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.lima\Desktop\Isenções\"/>
    </mc:Choice>
  </mc:AlternateContent>
  <bookViews>
    <workbookView xWindow="0" yWindow="0" windowWidth="21600" windowHeight="930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60" i="1" l="1"/>
  <c r="F8560" i="1"/>
  <c r="E8560" i="1"/>
  <c r="G8559" i="1"/>
  <c r="F8559" i="1"/>
  <c r="E8559" i="1"/>
  <c r="G8558" i="1"/>
  <c r="F8558" i="1"/>
  <c r="E8558" i="1"/>
  <c r="G8557" i="1"/>
  <c r="F8557" i="1"/>
  <c r="E8557" i="1"/>
  <c r="G8556" i="1"/>
  <c r="F8556" i="1"/>
  <c r="E8556" i="1"/>
  <c r="G8555" i="1"/>
  <c r="F8555" i="1"/>
  <c r="E8555" i="1"/>
  <c r="G8554" i="1"/>
  <c r="F8554" i="1"/>
  <c r="E8554" i="1"/>
  <c r="G8553" i="1"/>
  <c r="F8553" i="1"/>
  <c r="E8553" i="1"/>
  <c r="G8552" i="1"/>
  <c r="F8552" i="1"/>
  <c r="E8552" i="1"/>
  <c r="G8551" i="1"/>
  <c r="F8551" i="1"/>
  <c r="E8551" i="1"/>
  <c r="G8550" i="1"/>
  <c r="F8550" i="1"/>
  <c r="E8550" i="1"/>
  <c r="G8549" i="1"/>
  <c r="F8549" i="1"/>
  <c r="E8549" i="1"/>
  <c r="G8548" i="1"/>
  <c r="F8548" i="1"/>
  <c r="E8548" i="1"/>
  <c r="G8547" i="1"/>
  <c r="F8547" i="1"/>
  <c r="E8547" i="1"/>
  <c r="G8546" i="1"/>
  <c r="F8546" i="1"/>
  <c r="E8546" i="1"/>
  <c r="G8545" i="1"/>
  <c r="F8545" i="1"/>
  <c r="E8545" i="1"/>
  <c r="G8544" i="1"/>
  <c r="F8544" i="1"/>
  <c r="E8544" i="1"/>
  <c r="G8543" i="1"/>
  <c r="F8543" i="1"/>
  <c r="E8543" i="1"/>
  <c r="G8542" i="1"/>
  <c r="F8542" i="1"/>
  <c r="E8542" i="1"/>
  <c r="G8541" i="1"/>
  <c r="F8541" i="1"/>
  <c r="E8541" i="1"/>
  <c r="G8540" i="1"/>
  <c r="F8540" i="1"/>
  <c r="E8540" i="1"/>
  <c r="G8539" i="1"/>
  <c r="F8539" i="1"/>
  <c r="E8539" i="1"/>
  <c r="G8538" i="1"/>
  <c r="F8538" i="1"/>
  <c r="E8538" i="1"/>
  <c r="G8537" i="1"/>
  <c r="F8537" i="1"/>
  <c r="E8537" i="1"/>
  <c r="G8536" i="1"/>
  <c r="F8536" i="1"/>
  <c r="E8536" i="1"/>
  <c r="G8535" i="1"/>
  <c r="F8535" i="1"/>
  <c r="E8535" i="1"/>
  <c r="G8534" i="1"/>
  <c r="F8534" i="1"/>
  <c r="E8534" i="1"/>
  <c r="G8533" i="1"/>
  <c r="F8533" i="1"/>
  <c r="E8533" i="1"/>
  <c r="G8532" i="1"/>
  <c r="F8532" i="1"/>
  <c r="E8532" i="1"/>
  <c r="G8531" i="1"/>
  <c r="F8531" i="1"/>
  <c r="E8531" i="1"/>
  <c r="G8530" i="1"/>
  <c r="F8530" i="1"/>
  <c r="E8530" i="1"/>
  <c r="G8529" i="1"/>
  <c r="F8529" i="1"/>
  <c r="E8529" i="1"/>
  <c r="G8528" i="1"/>
  <c r="F8528" i="1"/>
  <c r="E8528" i="1"/>
  <c r="G8527" i="1"/>
  <c r="F8527" i="1"/>
  <c r="E8527" i="1"/>
  <c r="G8526" i="1"/>
  <c r="F8526" i="1"/>
  <c r="E8526" i="1"/>
  <c r="G8525" i="1"/>
  <c r="F8525" i="1"/>
  <c r="E8525" i="1"/>
  <c r="G8524" i="1"/>
  <c r="F8524" i="1"/>
  <c r="E8524" i="1"/>
  <c r="G8523" i="1"/>
  <c r="F8523" i="1"/>
  <c r="E8523" i="1"/>
  <c r="G8522" i="1"/>
  <c r="F8522" i="1"/>
  <c r="E8522" i="1"/>
  <c r="G8521" i="1"/>
  <c r="F8521" i="1"/>
  <c r="E8521" i="1"/>
  <c r="G8520" i="1"/>
  <c r="F8520" i="1"/>
  <c r="E8520" i="1"/>
  <c r="G8519" i="1"/>
  <c r="F8519" i="1"/>
  <c r="E8519" i="1"/>
  <c r="G8518" i="1"/>
  <c r="F8518" i="1"/>
  <c r="E8518" i="1"/>
  <c r="G8517" i="1"/>
  <c r="F8517" i="1"/>
  <c r="E8517" i="1"/>
  <c r="G8516" i="1"/>
  <c r="F8516" i="1"/>
  <c r="E8516" i="1"/>
  <c r="G8515" i="1"/>
  <c r="F8515" i="1"/>
  <c r="E8515" i="1"/>
  <c r="G8514" i="1"/>
  <c r="F8514" i="1"/>
  <c r="E8514" i="1"/>
  <c r="G8513" i="1"/>
  <c r="F8513" i="1"/>
  <c r="E8513" i="1"/>
  <c r="G8512" i="1"/>
  <c r="F8512" i="1"/>
  <c r="E8512" i="1"/>
  <c r="G8511" i="1"/>
  <c r="F8511" i="1"/>
  <c r="E8511" i="1"/>
  <c r="G8510" i="1"/>
  <c r="F8510" i="1"/>
  <c r="E8510" i="1"/>
  <c r="G8509" i="1"/>
  <c r="F8509" i="1"/>
  <c r="E8509" i="1"/>
  <c r="G8508" i="1"/>
  <c r="F8508" i="1"/>
  <c r="E8508" i="1"/>
  <c r="G8507" i="1"/>
  <c r="F8507" i="1"/>
  <c r="E8507" i="1"/>
  <c r="G8506" i="1"/>
  <c r="F8506" i="1"/>
  <c r="E8506" i="1"/>
  <c r="G8505" i="1"/>
  <c r="F8505" i="1"/>
  <c r="E8505" i="1"/>
  <c r="G8504" i="1"/>
  <c r="F8504" i="1"/>
  <c r="E8504" i="1"/>
  <c r="G8503" i="1"/>
  <c r="F8503" i="1"/>
  <c r="E8503" i="1"/>
  <c r="G8502" i="1"/>
  <c r="F8502" i="1"/>
  <c r="E8502" i="1"/>
  <c r="G8501" i="1"/>
  <c r="F8501" i="1"/>
  <c r="E8501" i="1"/>
  <c r="G8500" i="1"/>
  <c r="F8500" i="1"/>
  <c r="E8500" i="1"/>
  <c r="G8499" i="1"/>
  <c r="F8499" i="1"/>
  <c r="E8499" i="1"/>
  <c r="G8498" i="1"/>
  <c r="F8498" i="1"/>
  <c r="E8498" i="1"/>
  <c r="G8497" i="1"/>
  <c r="F8497" i="1"/>
  <c r="E8497" i="1"/>
  <c r="G8496" i="1"/>
  <c r="F8496" i="1"/>
  <c r="E8496" i="1"/>
  <c r="G8495" i="1"/>
  <c r="F8495" i="1"/>
  <c r="E8495" i="1"/>
  <c r="G8494" i="1"/>
  <c r="F8494" i="1"/>
  <c r="E8494" i="1"/>
  <c r="G8493" i="1"/>
  <c r="F8493" i="1"/>
  <c r="E8493" i="1"/>
  <c r="G8492" i="1"/>
  <c r="F8492" i="1"/>
  <c r="E8492" i="1"/>
  <c r="G8491" i="1"/>
  <c r="F8491" i="1"/>
  <c r="E8491" i="1"/>
  <c r="G8490" i="1"/>
  <c r="F8490" i="1"/>
  <c r="E8490" i="1"/>
  <c r="G8489" i="1"/>
  <c r="F8489" i="1"/>
  <c r="E8489" i="1"/>
  <c r="G8488" i="1"/>
  <c r="F8488" i="1"/>
  <c r="E8488" i="1"/>
  <c r="G8487" i="1"/>
  <c r="F8487" i="1"/>
  <c r="E8487" i="1"/>
  <c r="G8486" i="1"/>
  <c r="F8486" i="1"/>
  <c r="E8486" i="1"/>
  <c r="G8485" i="1"/>
  <c r="F8485" i="1"/>
  <c r="E8485" i="1"/>
  <c r="G8484" i="1"/>
  <c r="F8484" i="1"/>
  <c r="E8484" i="1"/>
  <c r="G8483" i="1"/>
  <c r="F8483" i="1"/>
  <c r="E8483" i="1"/>
  <c r="G8482" i="1"/>
  <c r="F8482" i="1"/>
  <c r="E8482" i="1"/>
  <c r="G8481" i="1"/>
  <c r="F8481" i="1"/>
  <c r="E8481" i="1"/>
  <c r="G8480" i="1"/>
  <c r="F8480" i="1"/>
  <c r="E8480" i="1"/>
  <c r="G8479" i="1"/>
  <c r="F8479" i="1"/>
  <c r="E8479" i="1"/>
  <c r="G8478" i="1"/>
  <c r="F8478" i="1"/>
  <c r="E8478" i="1"/>
  <c r="G8477" i="1"/>
  <c r="F8477" i="1"/>
  <c r="E8477" i="1"/>
  <c r="G8476" i="1"/>
  <c r="F8476" i="1"/>
  <c r="E8476" i="1"/>
  <c r="G8475" i="1"/>
  <c r="F8475" i="1"/>
  <c r="E8475" i="1"/>
  <c r="G8474" i="1"/>
  <c r="F8474" i="1"/>
  <c r="E8474" i="1"/>
  <c r="G8473" i="1"/>
  <c r="F8473" i="1"/>
  <c r="E8473" i="1"/>
  <c r="G8472" i="1"/>
  <c r="F8472" i="1"/>
  <c r="E8472" i="1"/>
  <c r="G8471" i="1"/>
  <c r="F8471" i="1"/>
  <c r="E8471" i="1"/>
  <c r="G8470" i="1"/>
  <c r="F8470" i="1"/>
  <c r="E8470" i="1"/>
  <c r="G8469" i="1"/>
  <c r="F8469" i="1"/>
  <c r="E8469" i="1"/>
  <c r="G8468" i="1"/>
  <c r="F8468" i="1"/>
  <c r="E8468" i="1"/>
  <c r="G8467" i="1"/>
  <c r="F8467" i="1"/>
  <c r="E8467" i="1"/>
  <c r="G8466" i="1"/>
  <c r="F8466" i="1"/>
  <c r="E8466" i="1"/>
  <c r="G8465" i="1"/>
  <c r="F8465" i="1"/>
  <c r="E8465" i="1"/>
  <c r="G8464" i="1"/>
  <c r="F8464" i="1"/>
  <c r="E8464" i="1"/>
  <c r="G8463" i="1"/>
  <c r="F8463" i="1"/>
  <c r="E8463" i="1"/>
  <c r="G8462" i="1"/>
  <c r="F8462" i="1"/>
  <c r="E8462" i="1"/>
  <c r="G8461" i="1"/>
  <c r="F8461" i="1"/>
  <c r="E8461" i="1"/>
  <c r="G8460" i="1"/>
  <c r="F8460" i="1"/>
  <c r="E8460" i="1"/>
  <c r="G8459" i="1"/>
  <c r="F8459" i="1"/>
  <c r="E8459" i="1"/>
  <c r="G8458" i="1"/>
  <c r="F8458" i="1"/>
  <c r="E8458" i="1"/>
  <c r="G8457" i="1"/>
  <c r="F8457" i="1"/>
  <c r="E8457" i="1"/>
  <c r="G8456" i="1"/>
  <c r="F8456" i="1"/>
  <c r="E8456" i="1"/>
  <c r="G8455" i="1"/>
  <c r="F8455" i="1"/>
  <c r="E8455" i="1"/>
  <c r="G8454" i="1"/>
  <c r="F8454" i="1"/>
  <c r="E8454" i="1"/>
  <c r="G8453" i="1"/>
  <c r="F8453" i="1"/>
  <c r="E8453" i="1"/>
  <c r="G8452" i="1"/>
  <c r="F8452" i="1"/>
  <c r="E8452" i="1"/>
  <c r="G8451" i="1"/>
  <c r="F8451" i="1"/>
  <c r="E8451" i="1"/>
  <c r="G8450" i="1"/>
  <c r="F8450" i="1"/>
  <c r="E8450" i="1"/>
  <c r="G8449" i="1"/>
  <c r="F8449" i="1"/>
  <c r="E8449" i="1"/>
  <c r="G8448" i="1"/>
  <c r="F8448" i="1"/>
  <c r="E8448" i="1"/>
  <c r="G8447" i="1"/>
  <c r="F8447" i="1"/>
  <c r="E8447" i="1"/>
  <c r="G8446" i="1"/>
  <c r="F8446" i="1"/>
  <c r="E8446" i="1"/>
  <c r="G8445" i="1"/>
  <c r="F8445" i="1"/>
  <c r="E8445" i="1"/>
  <c r="G8444" i="1"/>
  <c r="F8444" i="1"/>
  <c r="E8444" i="1"/>
  <c r="G8443" i="1"/>
  <c r="F8443" i="1"/>
  <c r="E8443" i="1"/>
  <c r="G8442" i="1"/>
  <c r="F8442" i="1"/>
  <c r="E8442" i="1"/>
  <c r="G8441" i="1"/>
  <c r="F8441" i="1"/>
  <c r="E8441" i="1"/>
  <c r="G8440" i="1"/>
  <c r="F8440" i="1"/>
  <c r="E8440" i="1"/>
  <c r="G8439" i="1"/>
  <c r="F8439" i="1"/>
  <c r="E8439" i="1"/>
  <c r="G8438" i="1"/>
  <c r="F8438" i="1"/>
  <c r="E8438" i="1"/>
  <c r="G8437" i="1"/>
  <c r="F8437" i="1"/>
  <c r="E8437" i="1"/>
  <c r="G8436" i="1"/>
  <c r="F8436" i="1"/>
  <c r="E8436" i="1"/>
  <c r="G8435" i="1"/>
  <c r="F8435" i="1"/>
  <c r="E8435" i="1"/>
  <c r="G8434" i="1"/>
  <c r="F8434" i="1"/>
  <c r="E8434" i="1"/>
  <c r="G8433" i="1"/>
  <c r="F8433" i="1"/>
  <c r="E8433" i="1"/>
  <c r="G8432" i="1"/>
  <c r="F8432" i="1"/>
  <c r="E8432" i="1"/>
  <c r="G8431" i="1"/>
  <c r="F8431" i="1"/>
  <c r="E8431" i="1"/>
  <c r="G8430" i="1"/>
  <c r="F8430" i="1"/>
  <c r="E8430" i="1"/>
  <c r="G8429" i="1"/>
  <c r="F8429" i="1"/>
  <c r="E8429" i="1"/>
  <c r="G8428" i="1"/>
  <c r="F8428" i="1"/>
  <c r="E8428" i="1"/>
  <c r="G8427" i="1"/>
  <c r="F8427" i="1"/>
  <c r="E8427" i="1"/>
  <c r="G8426" i="1"/>
  <c r="F8426" i="1"/>
  <c r="E8426" i="1"/>
  <c r="G8425" i="1"/>
  <c r="F8425" i="1"/>
  <c r="E8425" i="1"/>
  <c r="G8424" i="1"/>
  <c r="F8424" i="1"/>
  <c r="E8424" i="1"/>
  <c r="G8423" i="1"/>
  <c r="F8423" i="1"/>
  <c r="E8423" i="1"/>
  <c r="G8422" i="1"/>
  <c r="F8422" i="1"/>
  <c r="E8422" i="1"/>
  <c r="G8421" i="1"/>
  <c r="F8421" i="1"/>
  <c r="E8421" i="1"/>
  <c r="G8420" i="1"/>
  <c r="F8420" i="1"/>
  <c r="E8420" i="1"/>
  <c r="G8419" i="1"/>
  <c r="F8419" i="1"/>
  <c r="E8419" i="1"/>
  <c r="G8418" i="1"/>
  <c r="F8418" i="1"/>
  <c r="E8418" i="1"/>
  <c r="G8417" i="1"/>
  <c r="F8417" i="1"/>
  <c r="E8417" i="1"/>
  <c r="G8416" i="1"/>
  <c r="F8416" i="1"/>
  <c r="E8416" i="1"/>
  <c r="G8415" i="1"/>
  <c r="F8415" i="1"/>
  <c r="E8415" i="1"/>
  <c r="G8414" i="1"/>
  <c r="F8414" i="1"/>
  <c r="E8414" i="1"/>
  <c r="G8413" i="1"/>
  <c r="F8413" i="1"/>
  <c r="E8413" i="1"/>
  <c r="G8412" i="1"/>
  <c r="F8412" i="1"/>
  <c r="E8412" i="1"/>
  <c r="G8411" i="1"/>
  <c r="F8411" i="1"/>
  <c r="E8411" i="1"/>
  <c r="G8410" i="1"/>
  <c r="F8410" i="1"/>
  <c r="E8410" i="1"/>
  <c r="G8409" i="1"/>
  <c r="F8409" i="1"/>
  <c r="E8409" i="1"/>
  <c r="G8408" i="1"/>
  <c r="F8408" i="1"/>
  <c r="E8408" i="1"/>
  <c r="G8407" i="1"/>
  <c r="F8407" i="1"/>
  <c r="E8407" i="1"/>
  <c r="G8406" i="1"/>
  <c r="F8406" i="1"/>
  <c r="E8406" i="1"/>
  <c r="G8405" i="1"/>
  <c r="F8405" i="1"/>
  <c r="E8405" i="1"/>
  <c r="G8404" i="1"/>
  <c r="F8404" i="1"/>
  <c r="E8404" i="1"/>
  <c r="G8403" i="1"/>
  <c r="F8403" i="1"/>
  <c r="E8403" i="1"/>
  <c r="G8402" i="1"/>
  <c r="F8402" i="1"/>
  <c r="E8402" i="1"/>
  <c r="G8401" i="1"/>
  <c r="F8401" i="1"/>
  <c r="E8401" i="1"/>
  <c r="G8400" i="1"/>
  <c r="F8400" i="1"/>
  <c r="E8400" i="1"/>
  <c r="G8399" i="1"/>
  <c r="F8399" i="1"/>
  <c r="E8399" i="1"/>
  <c r="G8398" i="1"/>
  <c r="F8398" i="1"/>
  <c r="E8398" i="1"/>
  <c r="G8397" i="1"/>
  <c r="F8397" i="1"/>
  <c r="E8397" i="1"/>
  <c r="G8396" i="1"/>
  <c r="F8396" i="1"/>
  <c r="E8396" i="1"/>
  <c r="G8395" i="1"/>
  <c r="F8395" i="1"/>
  <c r="E8395" i="1"/>
  <c r="G8394" i="1"/>
  <c r="F8394" i="1"/>
  <c r="E8394" i="1"/>
  <c r="G8393" i="1"/>
  <c r="F8393" i="1"/>
  <c r="E8393" i="1"/>
  <c r="G8392" i="1"/>
  <c r="F8392" i="1"/>
  <c r="E8392" i="1"/>
  <c r="G8391" i="1"/>
  <c r="F8391" i="1"/>
  <c r="E8391" i="1"/>
  <c r="G8390" i="1"/>
  <c r="F8390" i="1"/>
  <c r="E8390" i="1"/>
  <c r="G8389" i="1"/>
  <c r="F8389" i="1"/>
  <c r="E8389" i="1"/>
  <c r="G8388" i="1"/>
  <c r="F8388" i="1"/>
  <c r="E8388" i="1"/>
  <c r="G8387" i="1"/>
  <c r="F8387" i="1"/>
  <c r="E8387" i="1"/>
  <c r="G8386" i="1"/>
  <c r="F8386" i="1"/>
  <c r="E8386" i="1"/>
  <c r="G8385" i="1"/>
  <c r="F8385" i="1"/>
  <c r="E8385" i="1"/>
  <c r="G8384" i="1"/>
  <c r="F8384" i="1"/>
  <c r="E8384" i="1"/>
  <c r="G8383" i="1"/>
  <c r="F8383" i="1"/>
  <c r="E8383" i="1"/>
  <c r="G8382" i="1"/>
  <c r="F8382" i="1"/>
  <c r="E8382" i="1"/>
  <c r="G8381" i="1"/>
  <c r="F8381" i="1"/>
  <c r="E8381" i="1"/>
  <c r="G8380" i="1"/>
  <c r="F8380" i="1"/>
  <c r="E8380" i="1"/>
  <c r="G8379" i="1"/>
  <c r="F8379" i="1"/>
  <c r="E8379" i="1"/>
  <c r="G8378" i="1"/>
  <c r="F8378" i="1"/>
  <c r="E8378" i="1"/>
  <c r="G8377" i="1"/>
  <c r="F8377" i="1"/>
  <c r="E8377" i="1"/>
  <c r="G8376" i="1"/>
  <c r="F8376" i="1"/>
  <c r="E8376" i="1"/>
  <c r="G8375" i="1"/>
  <c r="F8375" i="1"/>
  <c r="E8375" i="1"/>
  <c r="G8374" i="1"/>
  <c r="F8374" i="1"/>
  <c r="E8374" i="1"/>
  <c r="G8373" i="1"/>
  <c r="F8373" i="1"/>
  <c r="E8373" i="1"/>
  <c r="G8372" i="1"/>
  <c r="F8372" i="1"/>
  <c r="E8372" i="1"/>
  <c r="G8371" i="1"/>
  <c r="F8371" i="1"/>
  <c r="E8371" i="1"/>
  <c r="G8370" i="1"/>
  <c r="F8370" i="1"/>
  <c r="E8370" i="1"/>
  <c r="G8369" i="1"/>
  <c r="F8369" i="1"/>
  <c r="E8369" i="1"/>
  <c r="G8368" i="1"/>
  <c r="F8368" i="1"/>
  <c r="E8368" i="1"/>
  <c r="G8367" i="1"/>
  <c r="F8367" i="1"/>
  <c r="E8367" i="1"/>
  <c r="G8366" i="1"/>
  <c r="F8366" i="1"/>
  <c r="E8366" i="1"/>
  <c r="G8365" i="1"/>
  <c r="F8365" i="1"/>
  <c r="E8365" i="1"/>
  <c r="G8364" i="1"/>
  <c r="F8364" i="1"/>
  <c r="E8364" i="1"/>
  <c r="G8363" i="1"/>
  <c r="F8363" i="1"/>
  <c r="E8363" i="1"/>
  <c r="G8362" i="1"/>
  <c r="F8362" i="1"/>
  <c r="E8362" i="1"/>
  <c r="G8361" i="1"/>
  <c r="F8361" i="1"/>
  <c r="E8361" i="1"/>
  <c r="G8360" i="1"/>
  <c r="F8360" i="1"/>
  <c r="E8360" i="1"/>
  <c r="G8359" i="1"/>
  <c r="F8359" i="1"/>
  <c r="E8359" i="1"/>
  <c r="G8358" i="1"/>
  <c r="F8358" i="1"/>
  <c r="E8358" i="1"/>
  <c r="G8357" i="1"/>
  <c r="F8357" i="1"/>
  <c r="E8357" i="1"/>
  <c r="G8356" i="1"/>
  <c r="F8356" i="1"/>
  <c r="E8356" i="1"/>
  <c r="G8355" i="1"/>
  <c r="F8355" i="1"/>
  <c r="E8355" i="1"/>
  <c r="G8354" i="1"/>
  <c r="F8354" i="1"/>
  <c r="E8354" i="1"/>
  <c r="G8353" i="1"/>
  <c r="F8353" i="1"/>
  <c r="E8353" i="1"/>
  <c r="G8352" i="1"/>
  <c r="F8352" i="1"/>
  <c r="E8352" i="1"/>
  <c r="G8351" i="1"/>
  <c r="F8351" i="1"/>
  <c r="E8351" i="1"/>
  <c r="G8350" i="1"/>
  <c r="F8350" i="1"/>
  <c r="E8350" i="1"/>
  <c r="G8349" i="1"/>
  <c r="F8349" i="1"/>
  <c r="E8349" i="1"/>
  <c r="G8348" i="1"/>
  <c r="F8348" i="1"/>
  <c r="E8348" i="1"/>
  <c r="G8347" i="1"/>
  <c r="F8347" i="1"/>
  <c r="E8347" i="1"/>
  <c r="G8346" i="1"/>
  <c r="F8346" i="1"/>
  <c r="E8346" i="1"/>
  <c r="G8345" i="1"/>
  <c r="F8345" i="1"/>
  <c r="E8345" i="1"/>
  <c r="G8344" i="1"/>
  <c r="F8344" i="1"/>
  <c r="E8344" i="1"/>
  <c r="G8343" i="1"/>
  <c r="F8343" i="1"/>
  <c r="E8343" i="1"/>
  <c r="G8342" i="1"/>
  <c r="F8342" i="1"/>
  <c r="E8342" i="1"/>
  <c r="G8341" i="1"/>
  <c r="F8341" i="1"/>
  <c r="E8341" i="1"/>
  <c r="G8340" i="1"/>
  <c r="F8340" i="1"/>
  <c r="E8340" i="1"/>
  <c r="G8339" i="1"/>
  <c r="F8339" i="1"/>
  <c r="E8339" i="1"/>
  <c r="G8338" i="1"/>
  <c r="F8338" i="1"/>
  <c r="E8338" i="1"/>
  <c r="G8337" i="1"/>
  <c r="F8337" i="1"/>
  <c r="E8337" i="1"/>
  <c r="G8336" i="1"/>
  <c r="F8336" i="1"/>
  <c r="E8336" i="1"/>
  <c r="G8335" i="1"/>
  <c r="F8335" i="1"/>
  <c r="E8335" i="1"/>
  <c r="G8334" i="1"/>
  <c r="F8334" i="1"/>
  <c r="E8334" i="1"/>
  <c r="G8333" i="1"/>
  <c r="F8333" i="1"/>
  <c r="E8333" i="1"/>
  <c r="G8332" i="1"/>
  <c r="F8332" i="1"/>
  <c r="E8332" i="1"/>
  <c r="G8331" i="1"/>
  <c r="F8331" i="1"/>
  <c r="E8331" i="1"/>
  <c r="G8330" i="1"/>
  <c r="F8330" i="1"/>
  <c r="E8330" i="1"/>
  <c r="G8329" i="1"/>
  <c r="F8329" i="1"/>
  <c r="E8329" i="1"/>
  <c r="G8328" i="1"/>
  <c r="F8328" i="1"/>
  <c r="E8328" i="1"/>
  <c r="G8327" i="1"/>
  <c r="F8327" i="1"/>
  <c r="E8327" i="1"/>
  <c r="G8326" i="1"/>
  <c r="F8326" i="1"/>
  <c r="E8326" i="1"/>
  <c r="G8325" i="1"/>
  <c r="F8325" i="1"/>
  <c r="E8325" i="1"/>
  <c r="G8324" i="1"/>
  <c r="F8324" i="1"/>
  <c r="E8324" i="1"/>
  <c r="G8323" i="1"/>
  <c r="F8323" i="1"/>
  <c r="E8323" i="1"/>
  <c r="G8322" i="1"/>
  <c r="F8322" i="1"/>
  <c r="E8322" i="1"/>
  <c r="G8321" i="1"/>
  <c r="F8321" i="1"/>
  <c r="E8321" i="1"/>
  <c r="G8320" i="1"/>
  <c r="F8320" i="1"/>
  <c r="E8320" i="1"/>
  <c r="G8319" i="1"/>
  <c r="F8319" i="1"/>
  <c r="E8319" i="1"/>
  <c r="G8318" i="1"/>
  <c r="F8318" i="1"/>
  <c r="E8318" i="1"/>
  <c r="G8317" i="1"/>
  <c r="F8317" i="1"/>
  <c r="E8317" i="1"/>
  <c r="G8316" i="1"/>
  <c r="F8316" i="1"/>
  <c r="E8316" i="1"/>
  <c r="G8315" i="1"/>
  <c r="F8315" i="1"/>
  <c r="E8315" i="1"/>
  <c r="G8314" i="1"/>
  <c r="F8314" i="1"/>
  <c r="E8314" i="1"/>
  <c r="G8313" i="1"/>
  <c r="F8313" i="1"/>
  <c r="E8313" i="1"/>
  <c r="G8312" i="1"/>
  <c r="F8312" i="1"/>
  <c r="E8312" i="1"/>
  <c r="G8311" i="1"/>
  <c r="F8311" i="1"/>
  <c r="E8311" i="1"/>
  <c r="G8310" i="1"/>
  <c r="F8310" i="1"/>
  <c r="E8310" i="1"/>
  <c r="G8309" i="1"/>
  <c r="F8309" i="1"/>
  <c r="E8309" i="1"/>
  <c r="G8308" i="1"/>
  <c r="F8308" i="1"/>
  <c r="E8308" i="1"/>
  <c r="G8307" i="1"/>
  <c r="F8307" i="1"/>
  <c r="E8307" i="1"/>
  <c r="G8306" i="1"/>
  <c r="F8306" i="1"/>
  <c r="E8306" i="1"/>
  <c r="G8305" i="1"/>
  <c r="F8305" i="1"/>
  <c r="E8305" i="1"/>
  <c r="G8304" i="1"/>
  <c r="F8304" i="1"/>
  <c r="E8304" i="1"/>
  <c r="G8303" i="1"/>
  <c r="F8303" i="1"/>
  <c r="E8303" i="1"/>
  <c r="G8302" i="1"/>
  <c r="F8302" i="1"/>
  <c r="E8302" i="1"/>
  <c r="G8301" i="1"/>
  <c r="F8301" i="1"/>
  <c r="E8301" i="1"/>
  <c r="G8300" i="1"/>
  <c r="F8300" i="1"/>
  <c r="E8300" i="1"/>
  <c r="G8299" i="1"/>
  <c r="F8299" i="1"/>
  <c r="E8299" i="1"/>
  <c r="G8298" i="1"/>
  <c r="F8298" i="1"/>
  <c r="E8298" i="1"/>
  <c r="G8297" i="1"/>
  <c r="F8297" i="1"/>
  <c r="E8297" i="1"/>
  <c r="G8296" i="1"/>
  <c r="F8296" i="1"/>
  <c r="E8296" i="1"/>
  <c r="G8295" i="1"/>
  <c r="F8295" i="1"/>
  <c r="E8295" i="1"/>
  <c r="G8294" i="1"/>
  <c r="F8294" i="1"/>
  <c r="E8294" i="1"/>
  <c r="G8293" i="1"/>
  <c r="F8293" i="1"/>
  <c r="E8293" i="1"/>
  <c r="G8292" i="1"/>
  <c r="F8292" i="1"/>
  <c r="E8292" i="1"/>
  <c r="G8291" i="1"/>
  <c r="F8291" i="1"/>
  <c r="E8291" i="1"/>
  <c r="G8290" i="1"/>
  <c r="F8290" i="1"/>
  <c r="E8290" i="1"/>
  <c r="G8289" i="1"/>
  <c r="F8289" i="1"/>
  <c r="E8289" i="1"/>
  <c r="G8288" i="1"/>
  <c r="F8288" i="1"/>
  <c r="E8288" i="1"/>
  <c r="G8287" i="1"/>
  <c r="F8287" i="1"/>
  <c r="E8287" i="1"/>
  <c r="G8286" i="1"/>
  <c r="F8286" i="1"/>
  <c r="E8286" i="1"/>
  <c r="G8285" i="1"/>
  <c r="F8285" i="1"/>
  <c r="E8285" i="1"/>
  <c r="G8284" i="1"/>
  <c r="F8284" i="1"/>
  <c r="E8284" i="1"/>
  <c r="G8283" i="1"/>
  <c r="F8283" i="1"/>
  <c r="E8283" i="1"/>
  <c r="G8282" i="1"/>
  <c r="F8282" i="1"/>
  <c r="E8282" i="1"/>
  <c r="G8281" i="1"/>
  <c r="F8281" i="1"/>
  <c r="E8281" i="1"/>
  <c r="G8280" i="1"/>
  <c r="F8280" i="1"/>
  <c r="E8280" i="1"/>
  <c r="G8279" i="1"/>
  <c r="F8279" i="1"/>
  <c r="E8279" i="1"/>
  <c r="G8278" i="1"/>
  <c r="F8278" i="1"/>
  <c r="E8278" i="1"/>
  <c r="G8277" i="1"/>
  <c r="F8277" i="1"/>
  <c r="E8277" i="1"/>
  <c r="G8276" i="1"/>
  <c r="F8276" i="1"/>
  <c r="E8276" i="1"/>
  <c r="G8275" i="1"/>
  <c r="F8275" i="1"/>
  <c r="E8275" i="1"/>
  <c r="G8274" i="1"/>
  <c r="F8274" i="1"/>
  <c r="E8274" i="1"/>
  <c r="G8273" i="1"/>
  <c r="F8273" i="1"/>
  <c r="E8273" i="1"/>
  <c r="G8272" i="1"/>
  <c r="F8272" i="1"/>
  <c r="E8272" i="1"/>
  <c r="G8271" i="1"/>
  <c r="F8271" i="1"/>
  <c r="E8271" i="1"/>
  <c r="G8270" i="1"/>
  <c r="F8270" i="1"/>
  <c r="E8270" i="1"/>
  <c r="G8269" i="1"/>
  <c r="F8269" i="1"/>
  <c r="E8269" i="1"/>
  <c r="G8268" i="1"/>
  <c r="F8268" i="1"/>
  <c r="E8268" i="1"/>
  <c r="G8267" i="1"/>
  <c r="F8267" i="1"/>
  <c r="E8267" i="1"/>
  <c r="G8266" i="1"/>
  <c r="F8266" i="1"/>
  <c r="E8266" i="1"/>
  <c r="G8265" i="1"/>
  <c r="F8265" i="1"/>
  <c r="E8265" i="1"/>
  <c r="G8264" i="1"/>
  <c r="F8264" i="1"/>
  <c r="E8264" i="1"/>
  <c r="G8263" i="1"/>
  <c r="F8263" i="1"/>
  <c r="E8263" i="1"/>
  <c r="G8262" i="1"/>
  <c r="F8262" i="1"/>
  <c r="E8262" i="1"/>
  <c r="G8261" i="1"/>
  <c r="F8261" i="1"/>
  <c r="E8261" i="1"/>
  <c r="G8260" i="1"/>
  <c r="F8260" i="1"/>
  <c r="E8260" i="1"/>
  <c r="G8259" i="1"/>
  <c r="F8259" i="1"/>
  <c r="E8259" i="1"/>
  <c r="G8258" i="1"/>
  <c r="F8258" i="1"/>
  <c r="E8258" i="1"/>
  <c r="G8257" i="1"/>
  <c r="F8257" i="1"/>
  <c r="E8257" i="1"/>
  <c r="G8256" i="1"/>
  <c r="F8256" i="1"/>
  <c r="E8256" i="1"/>
  <c r="G8255" i="1"/>
  <c r="F8255" i="1"/>
  <c r="E8255" i="1"/>
  <c r="G8254" i="1"/>
  <c r="F8254" i="1"/>
  <c r="E8254" i="1"/>
  <c r="G8253" i="1"/>
  <c r="F8253" i="1"/>
  <c r="E8253" i="1"/>
  <c r="G8252" i="1"/>
  <c r="F8252" i="1"/>
  <c r="E8252" i="1"/>
  <c r="G8251" i="1"/>
  <c r="F8251" i="1"/>
  <c r="E8251" i="1"/>
  <c r="G8250" i="1"/>
  <c r="F8250" i="1"/>
  <c r="E8250" i="1"/>
  <c r="G8249" i="1"/>
  <c r="F8249" i="1"/>
  <c r="E8249" i="1"/>
  <c r="G8248" i="1"/>
  <c r="F8248" i="1"/>
  <c r="E8248" i="1"/>
  <c r="G8247" i="1"/>
  <c r="F8247" i="1"/>
  <c r="E8247" i="1"/>
  <c r="G8246" i="1"/>
  <c r="F8246" i="1"/>
  <c r="E8246" i="1"/>
  <c r="G8245" i="1"/>
  <c r="F8245" i="1"/>
  <c r="E8245" i="1"/>
  <c r="G8244" i="1"/>
  <c r="F8244" i="1"/>
  <c r="E8244" i="1"/>
  <c r="G8243" i="1"/>
  <c r="F8243" i="1"/>
  <c r="E8243" i="1"/>
  <c r="G8242" i="1"/>
  <c r="F8242" i="1"/>
  <c r="E8242" i="1"/>
  <c r="G8241" i="1"/>
  <c r="F8241" i="1"/>
  <c r="E8241" i="1"/>
  <c r="G8240" i="1"/>
  <c r="F8240" i="1"/>
  <c r="E8240" i="1"/>
  <c r="G8239" i="1"/>
  <c r="F8239" i="1"/>
  <c r="E8239" i="1"/>
  <c r="G8238" i="1"/>
  <c r="F8238" i="1"/>
  <c r="E8238" i="1"/>
  <c r="G8237" i="1"/>
  <c r="F8237" i="1"/>
  <c r="E8237" i="1"/>
  <c r="G8236" i="1"/>
  <c r="F8236" i="1"/>
  <c r="E8236" i="1"/>
  <c r="G8235" i="1"/>
  <c r="F8235" i="1"/>
  <c r="E8235" i="1"/>
  <c r="G8234" i="1"/>
  <c r="F8234" i="1"/>
  <c r="E8234" i="1"/>
  <c r="G8233" i="1"/>
  <c r="F8233" i="1"/>
  <c r="E8233" i="1"/>
  <c r="G8232" i="1"/>
  <c r="F8232" i="1"/>
  <c r="E8232" i="1"/>
  <c r="G8231" i="1"/>
  <c r="F8231" i="1"/>
  <c r="E8231" i="1"/>
  <c r="G8230" i="1"/>
  <c r="F8230" i="1"/>
  <c r="E8230" i="1"/>
  <c r="G8229" i="1"/>
  <c r="F8229" i="1"/>
  <c r="E8229" i="1"/>
  <c r="G8228" i="1"/>
  <c r="F8228" i="1"/>
  <c r="E8228" i="1"/>
  <c r="G8227" i="1"/>
  <c r="F8227" i="1"/>
  <c r="E8227" i="1"/>
  <c r="G8226" i="1"/>
  <c r="F8226" i="1"/>
  <c r="E8226" i="1"/>
  <c r="G8225" i="1"/>
  <c r="F8225" i="1"/>
  <c r="E8225" i="1"/>
  <c r="G8224" i="1"/>
  <c r="F8224" i="1"/>
  <c r="E8224" i="1"/>
  <c r="G8223" i="1"/>
  <c r="F8223" i="1"/>
  <c r="E8223" i="1"/>
  <c r="G8222" i="1"/>
  <c r="F8222" i="1"/>
  <c r="E8222" i="1"/>
  <c r="G8221" i="1"/>
  <c r="F8221" i="1"/>
  <c r="E8221" i="1"/>
  <c r="G8220" i="1"/>
  <c r="F8220" i="1"/>
  <c r="E8220" i="1"/>
  <c r="G8219" i="1"/>
  <c r="F8219" i="1"/>
  <c r="E8219" i="1"/>
  <c r="G8218" i="1"/>
  <c r="F8218" i="1"/>
  <c r="E8218" i="1"/>
  <c r="G8217" i="1"/>
  <c r="F8217" i="1"/>
  <c r="E8217" i="1"/>
  <c r="G8216" i="1"/>
  <c r="F8216" i="1"/>
  <c r="E8216" i="1"/>
  <c r="G8215" i="1"/>
  <c r="F8215" i="1"/>
  <c r="E8215" i="1"/>
  <c r="G8214" i="1"/>
  <c r="F8214" i="1"/>
  <c r="E8214" i="1"/>
  <c r="G8213" i="1"/>
  <c r="F8213" i="1"/>
  <c r="E8213" i="1"/>
  <c r="G8212" i="1"/>
  <c r="F8212" i="1"/>
  <c r="E8212" i="1"/>
  <c r="G8211" i="1"/>
  <c r="F8211" i="1"/>
  <c r="E8211" i="1"/>
  <c r="G8210" i="1"/>
  <c r="F8210" i="1"/>
  <c r="E8210" i="1"/>
  <c r="G8209" i="1"/>
  <c r="F8209" i="1"/>
  <c r="E8209" i="1"/>
  <c r="G8208" i="1"/>
  <c r="F8208" i="1"/>
  <c r="E8208" i="1"/>
  <c r="G8207" i="1"/>
  <c r="F8207" i="1"/>
  <c r="E8207" i="1"/>
  <c r="G8206" i="1"/>
  <c r="F8206" i="1"/>
  <c r="E8206" i="1"/>
  <c r="G8205" i="1"/>
  <c r="F8205" i="1"/>
  <c r="E8205" i="1"/>
  <c r="G8204" i="1"/>
  <c r="F8204" i="1"/>
  <c r="E8204" i="1"/>
  <c r="G8203" i="1"/>
  <c r="F8203" i="1"/>
  <c r="E8203" i="1"/>
  <c r="G8202" i="1"/>
  <c r="F8202" i="1"/>
  <c r="E8202" i="1"/>
  <c r="G8201" i="1"/>
  <c r="F8201" i="1"/>
  <c r="E8201" i="1"/>
  <c r="G8200" i="1"/>
  <c r="F8200" i="1"/>
  <c r="E8200" i="1"/>
  <c r="G8199" i="1"/>
  <c r="F8199" i="1"/>
  <c r="E8199" i="1"/>
  <c r="G8198" i="1"/>
  <c r="F8198" i="1"/>
  <c r="E8198" i="1"/>
  <c r="G8197" i="1"/>
  <c r="F8197" i="1"/>
  <c r="E8197" i="1"/>
  <c r="G8196" i="1"/>
  <c r="F8196" i="1"/>
  <c r="E8196" i="1"/>
  <c r="G8195" i="1"/>
  <c r="F8195" i="1"/>
  <c r="E8195" i="1"/>
  <c r="G8194" i="1"/>
  <c r="F8194" i="1"/>
  <c r="E8194" i="1"/>
  <c r="G8193" i="1"/>
  <c r="F8193" i="1"/>
  <c r="E8193" i="1"/>
  <c r="G8192" i="1"/>
  <c r="F8192" i="1"/>
  <c r="E8192" i="1"/>
  <c r="G8191" i="1"/>
  <c r="F8191" i="1"/>
  <c r="E8191" i="1"/>
  <c r="G8190" i="1"/>
  <c r="F8190" i="1"/>
  <c r="E8190" i="1"/>
  <c r="G8189" i="1"/>
  <c r="F8189" i="1"/>
  <c r="E8189" i="1"/>
  <c r="G8188" i="1"/>
  <c r="F8188" i="1"/>
  <c r="E8188" i="1"/>
  <c r="G8187" i="1"/>
  <c r="F8187" i="1"/>
  <c r="E8187" i="1"/>
  <c r="G8186" i="1"/>
  <c r="F8186" i="1"/>
  <c r="E8186" i="1"/>
  <c r="G8185" i="1"/>
  <c r="F8185" i="1"/>
  <c r="E8185" i="1"/>
  <c r="G8184" i="1"/>
  <c r="F8184" i="1"/>
  <c r="E8184" i="1"/>
  <c r="G8183" i="1"/>
  <c r="F8183" i="1"/>
  <c r="E8183" i="1"/>
  <c r="G8182" i="1"/>
  <c r="F8182" i="1"/>
  <c r="E8182" i="1"/>
  <c r="G8181" i="1"/>
  <c r="F8181" i="1"/>
  <c r="E8181" i="1"/>
  <c r="G8180" i="1"/>
  <c r="F8180" i="1"/>
  <c r="E8180" i="1"/>
  <c r="G8179" i="1"/>
  <c r="F8179" i="1"/>
  <c r="E8179" i="1"/>
  <c r="G8178" i="1"/>
  <c r="F8178" i="1"/>
  <c r="E8178" i="1"/>
  <c r="G8177" i="1"/>
  <c r="F8177" i="1"/>
  <c r="E8177" i="1"/>
  <c r="G8176" i="1"/>
  <c r="F8176" i="1"/>
  <c r="E8176" i="1"/>
  <c r="G8175" i="1"/>
  <c r="F8175" i="1"/>
  <c r="E8175" i="1"/>
  <c r="G8174" i="1"/>
  <c r="F8174" i="1"/>
  <c r="E8174" i="1"/>
  <c r="G8173" i="1"/>
  <c r="F8173" i="1"/>
  <c r="E8173" i="1"/>
  <c r="G8172" i="1"/>
  <c r="F8172" i="1"/>
  <c r="E8172" i="1"/>
  <c r="G8171" i="1"/>
  <c r="F8171" i="1"/>
  <c r="E8171" i="1"/>
  <c r="G8170" i="1"/>
  <c r="F8170" i="1"/>
  <c r="E8170" i="1"/>
  <c r="G8169" i="1"/>
  <c r="F8169" i="1"/>
  <c r="E8169" i="1"/>
  <c r="G8168" i="1"/>
  <c r="F8168" i="1"/>
  <c r="E8168" i="1"/>
  <c r="G8167" i="1"/>
  <c r="F8167" i="1"/>
  <c r="E8167" i="1"/>
  <c r="G8166" i="1"/>
  <c r="F8166" i="1"/>
  <c r="E8166" i="1"/>
  <c r="G8165" i="1"/>
  <c r="F8165" i="1"/>
  <c r="E8165" i="1"/>
  <c r="G8164" i="1"/>
  <c r="F8164" i="1"/>
  <c r="E8164" i="1"/>
  <c r="G8163" i="1"/>
  <c r="F8163" i="1"/>
  <c r="E8163" i="1"/>
  <c r="G8162" i="1"/>
  <c r="F8162" i="1"/>
  <c r="E8162" i="1"/>
  <c r="G8161" i="1"/>
  <c r="F8161" i="1"/>
  <c r="E8161" i="1"/>
  <c r="G8160" i="1"/>
  <c r="F8160" i="1"/>
  <c r="E8160" i="1"/>
  <c r="G8159" i="1"/>
  <c r="F8159" i="1"/>
  <c r="E8159" i="1"/>
  <c r="G8158" i="1"/>
  <c r="F8158" i="1"/>
  <c r="E8158" i="1"/>
  <c r="G8157" i="1"/>
  <c r="F8157" i="1"/>
  <c r="E8157" i="1"/>
  <c r="G8156" i="1"/>
  <c r="F8156" i="1"/>
  <c r="E8156" i="1"/>
  <c r="G8155" i="1"/>
  <c r="F8155" i="1"/>
  <c r="E8155" i="1"/>
  <c r="G8154" i="1"/>
  <c r="F8154" i="1"/>
  <c r="E8154" i="1"/>
  <c r="G8153" i="1"/>
  <c r="F8153" i="1"/>
  <c r="E8153" i="1"/>
  <c r="G8152" i="1"/>
  <c r="F8152" i="1"/>
  <c r="E8152" i="1"/>
  <c r="G8151" i="1"/>
  <c r="F8151" i="1"/>
  <c r="E8151" i="1"/>
  <c r="G8150" i="1"/>
  <c r="F8150" i="1"/>
  <c r="E8150" i="1"/>
  <c r="G8149" i="1"/>
  <c r="F8149" i="1"/>
  <c r="E8149" i="1"/>
  <c r="G8148" i="1"/>
  <c r="F8148" i="1"/>
  <c r="E8148" i="1"/>
  <c r="G8147" i="1"/>
  <c r="F8147" i="1"/>
  <c r="E8147" i="1"/>
  <c r="G8146" i="1"/>
  <c r="F8146" i="1"/>
  <c r="E8146" i="1"/>
  <c r="G8145" i="1"/>
  <c r="F8145" i="1"/>
  <c r="E8145" i="1"/>
  <c r="G8144" i="1"/>
  <c r="F8144" i="1"/>
  <c r="E8144" i="1"/>
  <c r="G8143" i="1"/>
  <c r="F8143" i="1"/>
  <c r="E8143" i="1"/>
  <c r="G8142" i="1"/>
  <c r="F8142" i="1"/>
  <c r="E8142" i="1"/>
  <c r="G8141" i="1"/>
  <c r="F8141" i="1"/>
  <c r="E8141" i="1"/>
  <c r="G8140" i="1"/>
  <c r="F8140" i="1"/>
  <c r="E8140" i="1"/>
  <c r="G8139" i="1"/>
  <c r="F8139" i="1"/>
  <c r="E8139" i="1"/>
  <c r="G8138" i="1"/>
  <c r="F8138" i="1"/>
  <c r="E8138" i="1"/>
  <c r="G8137" i="1"/>
  <c r="F8137" i="1"/>
  <c r="E8137" i="1"/>
  <c r="G8136" i="1"/>
  <c r="F8136" i="1"/>
  <c r="E8136" i="1"/>
  <c r="G8135" i="1"/>
  <c r="F8135" i="1"/>
  <c r="E8135" i="1"/>
  <c r="G8134" i="1"/>
  <c r="F8134" i="1"/>
  <c r="E8134" i="1"/>
  <c r="G8133" i="1"/>
  <c r="F8133" i="1"/>
  <c r="E8133" i="1"/>
  <c r="G8132" i="1"/>
  <c r="F8132" i="1"/>
  <c r="E8132" i="1"/>
  <c r="G8131" i="1"/>
  <c r="F8131" i="1"/>
  <c r="E8131" i="1"/>
  <c r="G8130" i="1"/>
  <c r="F8130" i="1"/>
  <c r="E8130" i="1"/>
  <c r="G8129" i="1"/>
  <c r="F8129" i="1"/>
  <c r="E8129" i="1"/>
  <c r="G8128" i="1"/>
  <c r="F8128" i="1"/>
  <c r="E8128" i="1"/>
  <c r="G8127" i="1"/>
  <c r="F8127" i="1"/>
  <c r="E8127" i="1"/>
  <c r="G8126" i="1"/>
  <c r="F8126" i="1"/>
  <c r="E8126" i="1"/>
  <c r="G8125" i="1"/>
  <c r="F8125" i="1"/>
  <c r="E8125" i="1"/>
  <c r="G8124" i="1"/>
  <c r="F8124" i="1"/>
  <c r="E8124" i="1"/>
  <c r="G8123" i="1"/>
  <c r="F8123" i="1"/>
  <c r="E8123" i="1"/>
  <c r="G8122" i="1"/>
  <c r="F8122" i="1"/>
  <c r="E8122" i="1"/>
  <c r="G8121" i="1"/>
  <c r="F8121" i="1"/>
  <c r="E8121" i="1"/>
  <c r="G8120" i="1"/>
  <c r="F8120" i="1"/>
  <c r="E8120" i="1"/>
  <c r="G8119" i="1"/>
  <c r="F8119" i="1"/>
  <c r="E8119" i="1"/>
  <c r="G8118" i="1"/>
  <c r="F8118" i="1"/>
  <c r="E8118" i="1"/>
  <c r="G8117" i="1"/>
  <c r="F8117" i="1"/>
  <c r="E8117" i="1"/>
  <c r="G8116" i="1"/>
  <c r="F8116" i="1"/>
  <c r="E8116" i="1"/>
  <c r="G8115" i="1"/>
  <c r="F8115" i="1"/>
  <c r="E8115" i="1"/>
  <c r="G8114" i="1"/>
  <c r="F8114" i="1"/>
  <c r="E8114" i="1"/>
  <c r="G8113" i="1"/>
  <c r="F8113" i="1"/>
  <c r="E8113" i="1"/>
  <c r="G8112" i="1"/>
  <c r="F8112" i="1"/>
  <c r="E8112" i="1"/>
  <c r="G8111" i="1"/>
  <c r="F8111" i="1"/>
  <c r="E8111" i="1"/>
  <c r="G8110" i="1"/>
  <c r="F8110" i="1"/>
  <c r="E8110" i="1"/>
  <c r="G8109" i="1"/>
  <c r="F8109" i="1"/>
  <c r="E8109" i="1"/>
  <c r="G8108" i="1"/>
  <c r="F8108" i="1"/>
  <c r="E8108" i="1"/>
  <c r="G8107" i="1"/>
  <c r="F8107" i="1"/>
  <c r="E8107" i="1"/>
  <c r="G8106" i="1"/>
  <c r="F8106" i="1"/>
  <c r="E8106" i="1"/>
  <c r="G8105" i="1"/>
  <c r="F8105" i="1"/>
  <c r="E8105" i="1"/>
  <c r="G8104" i="1"/>
  <c r="F8104" i="1"/>
  <c r="E8104" i="1"/>
  <c r="G8103" i="1"/>
  <c r="F8103" i="1"/>
  <c r="E8103" i="1"/>
  <c r="G8102" i="1"/>
  <c r="F8102" i="1"/>
  <c r="E8102" i="1"/>
  <c r="G8101" i="1"/>
  <c r="F8101" i="1"/>
  <c r="E8101" i="1"/>
  <c r="G8100" i="1"/>
  <c r="F8100" i="1"/>
  <c r="E8100" i="1"/>
  <c r="G8099" i="1"/>
  <c r="F8099" i="1"/>
  <c r="E8099" i="1"/>
  <c r="G8098" i="1"/>
  <c r="F8098" i="1"/>
  <c r="E8098" i="1"/>
  <c r="G8097" i="1"/>
  <c r="F8097" i="1"/>
  <c r="E8097" i="1"/>
  <c r="G8096" i="1"/>
  <c r="F8096" i="1"/>
  <c r="E8096" i="1"/>
  <c r="G8095" i="1"/>
  <c r="F8095" i="1"/>
  <c r="E8095" i="1"/>
  <c r="G8094" i="1"/>
  <c r="F8094" i="1"/>
  <c r="E8094" i="1"/>
  <c r="G8093" i="1"/>
  <c r="F8093" i="1"/>
  <c r="E8093" i="1"/>
  <c r="G8092" i="1"/>
  <c r="F8092" i="1"/>
  <c r="E8092" i="1"/>
  <c r="G8091" i="1"/>
  <c r="F8091" i="1"/>
  <c r="E8091" i="1"/>
  <c r="G8090" i="1"/>
  <c r="F8090" i="1"/>
  <c r="E8090" i="1"/>
  <c r="G8089" i="1"/>
  <c r="F8089" i="1"/>
  <c r="E8089" i="1"/>
  <c r="G8088" i="1"/>
  <c r="F8088" i="1"/>
  <c r="E8088" i="1"/>
  <c r="G8087" i="1"/>
  <c r="F8087" i="1"/>
  <c r="E8087" i="1"/>
  <c r="G8086" i="1"/>
  <c r="F8086" i="1"/>
  <c r="E8086" i="1"/>
  <c r="G8085" i="1"/>
  <c r="F8085" i="1"/>
  <c r="E8085" i="1"/>
  <c r="G8084" i="1"/>
  <c r="F8084" i="1"/>
  <c r="E8084" i="1"/>
  <c r="G8083" i="1"/>
  <c r="F8083" i="1"/>
  <c r="E8083" i="1"/>
  <c r="G8082" i="1"/>
  <c r="F8082" i="1"/>
  <c r="E8082" i="1"/>
  <c r="G8081" i="1"/>
  <c r="F8081" i="1"/>
  <c r="E8081" i="1"/>
  <c r="G8080" i="1"/>
  <c r="F8080" i="1"/>
  <c r="E8080" i="1"/>
  <c r="G8079" i="1"/>
  <c r="F8079" i="1"/>
  <c r="E8079" i="1"/>
  <c r="G8078" i="1"/>
  <c r="F8078" i="1"/>
  <c r="E8078" i="1"/>
  <c r="G8077" i="1"/>
  <c r="F8077" i="1"/>
  <c r="E8077" i="1"/>
  <c r="G8076" i="1"/>
  <c r="F8076" i="1"/>
  <c r="E8076" i="1"/>
  <c r="G8075" i="1"/>
  <c r="F8075" i="1"/>
  <c r="E8075" i="1"/>
  <c r="G8074" i="1"/>
  <c r="F8074" i="1"/>
  <c r="E8074" i="1"/>
  <c r="G8073" i="1"/>
  <c r="F8073" i="1"/>
  <c r="E8073" i="1"/>
  <c r="G8072" i="1"/>
  <c r="F8072" i="1"/>
  <c r="E8072" i="1"/>
  <c r="G8071" i="1"/>
  <c r="F8071" i="1"/>
  <c r="E8071" i="1"/>
  <c r="G8070" i="1"/>
  <c r="F8070" i="1"/>
  <c r="E8070" i="1"/>
  <c r="G8069" i="1"/>
  <c r="F8069" i="1"/>
  <c r="E8069" i="1"/>
  <c r="G8068" i="1"/>
  <c r="F8068" i="1"/>
  <c r="E8068" i="1"/>
  <c r="G8067" i="1"/>
  <c r="F8067" i="1"/>
  <c r="E8067" i="1"/>
  <c r="G8066" i="1"/>
  <c r="F8066" i="1"/>
  <c r="E8066" i="1"/>
  <c r="G8065" i="1"/>
  <c r="F8065" i="1"/>
  <c r="E8065" i="1"/>
  <c r="G8064" i="1"/>
  <c r="F8064" i="1"/>
  <c r="E8064" i="1"/>
  <c r="G8063" i="1"/>
  <c r="F8063" i="1"/>
  <c r="E8063" i="1"/>
  <c r="G8062" i="1"/>
  <c r="F8062" i="1"/>
  <c r="E8062" i="1"/>
  <c r="G8061" i="1"/>
  <c r="F8061" i="1"/>
  <c r="E8061" i="1"/>
  <c r="G8060" i="1"/>
  <c r="F8060" i="1"/>
  <c r="E8060" i="1"/>
  <c r="G8059" i="1"/>
  <c r="F8059" i="1"/>
  <c r="E8059" i="1"/>
  <c r="G8058" i="1"/>
  <c r="F8058" i="1"/>
  <c r="E8058" i="1"/>
  <c r="G8057" i="1"/>
  <c r="F8057" i="1"/>
  <c r="E8057" i="1"/>
  <c r="G8056" i="1"/>
  <c r="F8056" i="1"/>
  <c r="E8056" i="1"/>
  <c r="G8055" i="1"/>
  <c r="F8055" i="1"/>
  <c r="E8055" i="1"/>
  <c r="G8054" i="1"/>
  <c r="F8054" i="1"/>
  <c r="E8054" i="1"/>
  <c r="G8053" i="1"/>
  <c r="F8053" i="1"/>
  <c r="E8053" i="1"/>
  <c r="G8052" i="1"/>
  <c r="F8052" i="1"/>
  <c r="E8052" i="1"/>
  <c r="G8051" i="1"/>
  <c r="F8051" i="1"/>
  <c r="E8051" i="1"/>
  <c r="G8050" i="1"/>
  <c r="F8050" i="1"/>
  <c r="E8050" i="1"/>
  <c r="G8049" i="1"/>
  <c r="F8049" i="1"/>
  <c r="E8049" i="1"/>
  <c r="G8048" i="1"/>
  <c r="F8048" i="1"/>
  <c r="E8048" i="1"/>
  <c r="G8047" i="1"/>
  <c r="F8047" i="1"/>
  <c r="E8047" i="1"/>
  <c r="G8046" i="1"/>
  <c r="F8046" i="1"/>
  <c r="E8046" i="1"/>
  <c r="G8045" i="1"/>
  <c r="F8045" i="1"/>
  <c r="E8045" i="1"/>
  <c r="G8044" i="1"/>
  <c r="F8044" i="1"/>
  <c r="E8044" i="1"/>
  <c r="G8043" i="1"/>
  <c r="F8043" i="1"/>
  <c r="E8043" i="1"/>
  <c r="G8042" i="1"/>
  <c r="F8042" i="1"/>
  <c r="E8042" i="1"/>
  <c r="G8041" i="1"/>
  <c r="F8041" i="1"/>
  <c r="E8041" i="1"/>
  <c r="G8040" i="1"/>
  <c r="F8040" i="1"/>
  <c r="E8040" i="1"/>
  <c r="G8039" i="1"/>
  <c r="F8039" i="1"/>
  <c r="E8039" i="1"/>
  <c r="G8038" i="1"/>
  <c r="F8038" i="1"/>
  <c r="E8038" i="1"/>
  <c r="G8037" i="1"/>
  <c r="F8037" i="1"/>
  <c r="E8037" i="1"/>
  <c r="G8036" i="1"/>
  <c r="F8036" i="1"/>
  <c r="E8036" i="1"/>
  <c r="G8035" i="1"/>
  <c r="F8035" i="1"/>
  <c r="E8035" i="1"/>
  <c r="G8034" i="1"/>
  <c r="F8034" i="1"/>
  <c r="E8034" i="1"/>
  <c r="G8033" i="1"/>
  <c r="F8033" i="1"/>
  <c r="E8033" i="1"/>
  <c r="G8032" i="1"/>
  <c r="F8032" i="1"/>
  <c r="E8032" i="1"/>
  <c r="G8031" i="1"/>
  <c r="F8031" i="1"/>
  <c r="E8031" i="1"/>
  <c r="G8030" i="1"/>
  <c r="F8030" i="1"/>
  <c r="E8030" i="1"/>
  <c r="G8029" i="1"/>
  <c r="F8029" i="1"/>
  <c r="E8029" i="1"/>
  <c r="G8028" i="1"/>
  <c r="F8028" i="1"/>
  <c r="E8028" i="1"/>
  <c r="G8027" i="1"/>
  <c r="F8027" i="1"/>
  <c r="E8027" i="1"/>
  <c r="G8026" i="1"/>
  <c r="F8026" i="1"/>
  <c r="E8026" i="1"/>
  <c r="G8025" i="1"/>
  <c r="F8025" i="1"/>
  <c r="E8025" i="1"/>
  <c r="G8024" i="1"/>
  <c r="F8024" i="1"/>
  <c r="E8024" i="1"/>
  <c r="G8023" i="1"/>
  <c r="F8023" i="1"/>
  <c r="E8023" i="1"/>
  <c r="G8022" i="1"/>
  <c r="F8022" i="1"/>
  <c r="E8022" i="1"/>
  <c r="G8021" i="1"/>
  <c r="F8021" i="1"/>
  <c r="E8021" i="1"/>
  <c r="G8020" i="1"/>
  <c r="F8020" i="1"/>
  <c r="E8020" i="1"/>
  <c r="G8019" i="1"/>
  <c r="F8019" i="1"/>
  <c r="E8019" i="1"/>
  <c r="G8018" i="1"/>
  <c r="F8018" i="1"/>
  <c r="E8018" i="1"/>
  <c r="G8017" i="1"/>
  <c r="F8017" i="1"/>
  <c r="E8017" i="1"/>
  <c r="G8016" i="1"/>
  <c r="F8016" i="1"/>
  <c r="E8016" i="1"/>
  <c r="G8015" i="1"/>
  <c r="F8015" i="1"/>
  <c r="E8015" i="1"/>
  <c r="G8014" i="1"/>
  <c r="F8014" i="1"/>
  <c r="E8014" i="1"/>
  <c r="G8013" i="1"/>
  <c r="F8013" i="1"/>
  <c r="E8013" i="1"/>
  <c r="G8012" i="1"/>
  <c r="F8012" i="1"/>
  <c r="E8012" i="1"/>
  <c r="G8011" i="1"/>
  <c r="F8011" i="1"/>
  <c r="E8011" i="1"/>
  <c r="G8010" i="1"/>
  <c r="F8010" i="1"/>
  <c r="E8010" i="1"/>
  <c r="G8009" i="1"/>
  <c r="F8009" i="1"/>
  <c r="E8009" i="1"/>
  <c r="G8008" i="1"/>
  <c r="F8008" i="1"/>
  <c r="E8008" i="1"/>
  <c r="G8007" i="1"/>
  <c r="F8007" i="1"/>
  <c r="E8007" i="1"/>
  <c r="G8006" i="1"/>
  <c r="F8006" i="1"/>
  <c r="E8006" i="1"/>
  <c r="G8005" i="1"/>
  <c r="F8005" i="1"/>
  <c r="E8005" i="1"/>
  <c r="G8004" i="1"/>
  <c r="F8004" i="1"/>
  <c r="E8004" i="1"/>
  <c r="G8003" i="1"/>
  <c r="F8003" i="1"/>
  <c r="E8003" i="1"/>
  <c r="G8002" i="1"/>
  <c r="F8002" i="1"/>
  <c r="E8002" i="1"/>
  <c r="G8001" i="1"/>
  <c r="F8001" i="1"/>
  <c r="E8001" i="1"/>
  <c r="G8000" i="1"/>
  <c r="F8000" i="1"/>
  <c r="E8000" i="1"/>
  <c r="G7999" i="1"/>
  <c r="F7999" i="1"/>
  <c r="E7999" i="1"/>
  <c r="G7998" i="1"/>
  <c r="F7998" i="1"/>
  <c r="E7998" i="1"/>
  <c r="G7997" i="1"/>
  <c r="F7997" i="1"/>
  <c r="E7997" i="1"/>
  <c r="G7996" i="1"/>
  <c r="F7996" i="1"/>
  <c r="E7996" i="1"/>
  <c r="G7995" i="1"/>
  <c r="F7995" i="1"/>
  <c r="E7995" i="1"/>
  <c r="G7994" i="1"/>
  <c r="F7994" i="1"/>
  <c r="E7994" i="1"/>
  <c r="G7993" i="1"/>
  <c r="F7993" i="1"/>
  <c r="E7993" i="1"/>
  <c r="G7992" i="1"/>
  <c r="F7992" i="1"/>
  <c r="E7992" i="1"/>
  <c r="G7991" i="1"/>
  <c r="F7991" i="1"/>
  <c r="E7991" i="1"/>
  <c r="G7990" i="1"/>
  <c r="F7990" i="1"/>
  <c r="E7990" i="1"/>
  <c r="G7989" i="1"/>
  <c r="F7989" i="1"/>
  <c r="E7989" i="1"/>
  <c r="G7988" i="1"/>
  <c r="F7988" i="1"/>
  <c r="E7988" i="1"/>
  <c r="G7987" i="1"/>
  <c r="F7987" i="1"/>
  <c r="E7987" i="1"/>
  <c r="G7986" i="1"/>
  <c r="F7986" i="1"/>
  <c r="E7986" i="1"/>
  <c r="G7985" i="1"/>
  <c r="F7985" i="1"/>
  <c r="E7985" i="1"/>
  <c r="G7984" i="1"/>
  <c r="F7984" i="1"/>
  <c r="E7984" i="1"/>
  <c r="G7983" i="1"/>
  <c r="F7983" i="1"/>
  <c r="E7983" i="1"/>
  <c r="G7982" i="1"/>
  <c r="F7982" i="1"/>
  <c r="E7982" i="1"/>
  <c r="G7981" i="1"/>
  <c r="F7981" i="1"/>
  <c r="E7981" i="1"/>
  <c r="G7980" i="1"/>
  <c r="F7980" i="1"/>
  <c r="E7980" i="1"/>
  <c r="G7979" i="1"/>
  <c r="F7979" i="1"/>
  <c r="E7979" i="1"/>
  <c r="G7978" i="1"/>
  <c r="F7978" i="1"/>
  <c r="E7978" i="1"/>
  <c r="G7977" i="1"/>
  <c r="F7977" i="1"/>
  <c r="E7977" i="1"/>
  <c r="G7976" i="1"/>
  <c r="F7976" i="1"/>
  <c r="E7976" i="1"/>
  <c r="G7975" i="1"/>
  <c r="F7975" i="1"/>
  <c r="E7975" i="1"/>
  <c r="G7974" i="1"/>
  <c r="F7974" i="1"/>
  <c r="E7974" i="1"/>
  <c r="G7973" i="1"/>
  <c r="F7973" i="1"/>
  <c r="E7973" i="1"/>
  <c r="G7972" i="1"/>
  <c r="F7972" i="1"/>
  <c r="E7972" i="1"/>
  <c r="G7971" i="1"/>
  <c r="F7971" i="1"/>
  <c r="E7971" i="1"/>
  <c r="G7970" i="1"/>
  <c r="F7970" i="1"/>
  <c r="E7970" i="1"/>
  <c r="G7969" i="1"/>
  <c r="F7969" i="1"/>
  <c r="E7969" i="1"/>
  <c r="G7968" i="1"/>
  <c r="F7968" i="1"/>
  <c r="E7968" i="1"/>
  <c r="G7967" i="1"/>
  <c r="F7967" i="1"/>
  <c r="E7967" i="1"/>
  <c r="G7966" i="1"/>
  <c r="F7966" i="1"/>
  <c r="E7966" i="1"/>
  <c r="G7965" i="1"/>
  <c r="F7965" i="1"/>
  <c r="E7965" i="1"/>
  <c r="G7964" i="1"/>
  <c r="F7964" i="1"/>
  <c r="E7964" i="1"/>
  <c r="G7963" i="1"/>
  <c r="F7963" i="1"/>
  <c r="E7963" i="1"/>
  <c r="G7962" i="1"/>
  <c r="F7962" i="1"/>
  <c r="E7962" i="1"/>
  <c r="G7961" i="1"/>
  <c r="F7961" i="1"/>
  <c r="E7961" i="1"/>
  <c r="G7960" i="1"/>
  <c r="F7960" i="1"/>
  <c r="E7960" i="1"/>
  <c r="G7959" i="1"/>
  <c r="F7959" i="1"/>
  <c r="E7959" i="1"/>
  <c r="G7958" i="1"/>
  <c r="F7958" i="1"/>
  <c r="E7958" i="1"/>
  <c r="G7957" i="1"/>
  <c r="F7957" i="1"/>
  <c r="E7957" i="1"/>
  <c r="G7956" i="1"/>
  <c r="F7956" i="1"/>
  <c r="E7956" i="1"/>
  <c r="G7955" i="1"/>
  <c r="F7955" i="1"/>
  <c r="E7955" i="1"/>
  <c r="G7954" i="1"/>
  <c r="F7954" i="1"/>
  <c r="E7954" i="1"/>
  <c r="G7953" i="1"/>
  <c r="F7953" i="1"/>
  <c r="E7953" i="1"/>
  <c r="G7952" i="1"/>
  <c r="F7952" i="1"/>
  <c r="E7952" i="1"/>
  <c r="G7951" i="1"/>
  <c r="F7951" i="1"/>
  <c r="E7951" i="1"/>
  <c r="G7950" i="1"/>
  <c r="F7950" i="1"/>
  <c r="E7950" i="1"/>
  <c r="G7949" i="1"/>
  <c r="F7949" i="1"/>
  <c r="E7949" i="1"/>
  <c r="G7948" i="1"/>
  <c r="F7948" i="1"/>
  <c r="E7948" i="1"/>
  <c r="G7947" i="1"/>
  <c r="F7947" i="1"/>
  <c r="E7947" i="1"/>
  <c r="G7946" i="1"/>
  <c r="F7946" i="1"/>
  <c r="E7946" i="1"/>
  <c r="G7945" i="1"/>
  <c r="F7945" i="1"/>
  <c r="E7945" i="1"/>
  <c r="G7944" i="1"/>
  <c r="F7944" i="1"/>
  <c r="E7944" i="1"/>
  <c r="G7943" i="1"/>
  <c r="F7943" i="1"/>
  <c r="E7943" i="1"/>
  <c r="G7942" i="1"/>
  <c r="F7942" i="1"/>
  <c r="E7942" i="1"/>
  <c r="G7941" i="1"/>
  <c r="F7941" i="1"/>
  <c r="E7941" i="1"/>
  <c r="G7940" i="1"/>
  <c r="F7940" i="1"/>
  <c r="E7940" i="1"/>
  <c r="G7939" i="1"/>
  <c r="F7939" i="1"/>
  <c r="E7939" i="1"/>
  <c r="G7938" i="1"/>
  <c r="F7938" i="1"/>
  <c r="E7938" i="1"/>
  <c r="G7937" i="1"/>
  <c r="F7937" i="1"/>
  <c r="E7937" i="1"/>
  <c r="G7936" i="1"/>
  <c r="F7936" i="1"/>
  <c r="E7936" i="1"/>
  <c r="G7935" i="1"/>
  <c r="F7935" i="1"/>
  <c r="E7935" i="1"/>
  <c r="G7934" i="1"/>
  <c r="F7934" i="1"/>
  <c r="E7934" i="1"/>
  <c r="G7933" i="1"/>
  <c r="F7933" i="1"/>
  <c r="E7933" i="1"/>
  <c r="G7932" i="1"/>
  <c r="F7932" i="1"/>
  <c r="E7932" i="1"/>
  <c r="G7931" i="1"/>
  <c r="F7931" i="1"/>
  <c r="E7931" i="1"/>
  <c r="G7930" i="1"/>
  <c r="F7930" i="1"/>
  <c r="E7930" i="1"/>
  <c r="G7929" i="1"/>
  <c r="F7929" i="1"/>
  <c r="E7929" i="1"/>
  <c r="G7928" i="1"/>
  <c r="F7928" i="1"/>
  <c r="E7928" i="1"/>
  <c r="G7927" i="1"/>
  <c r="F7927" i="1"/>
  <c r="E7927" i="1"/>
  <c r="G7926" i="1"/>
  <c r="F7926" i="1"/>
  <c r="E7926" i="1"/>
  <c r="G7925" i="1"/>
  <c r="F7925" i="1"/>
  <c r="E7925" i="1"/>
  <c r="G7924" i="1"/>
  <c r="F7924" i="1"/>
  <c r="E7924" i="1"/>
  <c r="G7923" i="1"/>
  <c r="F7923" i="1"/>
  <c r="E7923" i="1"/>
  <c r="G7922" i="1"/>
  <c r="F7922" i="1"/>
  <c r="E7922" i="1"/>
  <c r="G7921" i="1"/>
  <c r="F7921" i="1"/>
  <c r="E7921" i="1"/>
  <c r="G7920" i="1"/>
  <c r="F7920" i="1"/>
  <c r="E7920" i="1"/>
  <c r="G7919" i="1"/>
  <c r="F7919" i="1"/>
  <c r="E7919" i="1"/>
  <c r="G7918" i="1"/>
  <c r="F7918" i="1"/>
  <c r="E7918" i="1"/>
  <c r="G7917" i="1"/>
  <c r="F7917" i="1"/>
  <c r="E7917" i="1"/>
  <c r="G7916" i="1"/>
  <c r="F7916" i="1"/>
  <c r="E7916" i="1"/>
  <c r="G7915" i="1"/>
  <c r="F7915" i="1"/>
  <c r="E7915" i="1"/>
  <c r="G7914" i="1"/>
  <c r="F7914" i="1"/>
  <c r="E7914" i="1"/>
  <c r="G7913" i="1"/>
  <c r="F7913" i="1"/>
  <c r="E7913" i="1"/>
  <c r="G7912" i="1"/>
  <c r="F7912" i="1"/>
  <c r="E7912" i="1"/>
  <c r="G7911" i="1"/>
  <c r="F7911" i="1"/>
  <c r="E7911" i="1"/>
  <c r="G7910" i="1"/>
  <c r="F7910" i="1"/>
  <c r="E7910" i="1"/>
  <c r="G7909" i="1"/>
  <c r="F7909" i="1"/>
  <c r="E7909" i="1"/>
  <c r="G7908" i="1"/>
  <c r="F7908" i="1"/>
  <c r="E7908" i="1"/>
  <c r="G7907" i="1"/>
  <c r="F7907" i="1"/>
  <c r="E7907" i="1"/>
  <c r="G7906" i="1"/>
  <c r="F7906" i="1"/>
  <c r="E7906" i="1"/>
  <c r="G7905" i="1"/>
  <c r="F7905" i="1"/>
  <c r="E7905" i="1"/>
  <c r="G7904" i="1"/>
  <c r="F7904" i="1"/>
  <c r="E7904" i="1"/>
  <c r="G7903" i="1"/>
  <c r="F7903" i="1"/>
  <c r="E7903" i="1"/>
  <c r="G7902" i="1"/>
  <c r="F7902" i="1"/>
  <c r="E7902" i="1"/>
  <c r="G7901" i="1"/>
  <c r="F7901" i="1"/>
  <c r="E7901" i="1"/>
  <c r="G7900" i="1"/>
  <c r="F7900" i="1"/>
  <c r="E7900" i="1"/>
  <c r="G7899" i="1"/>
  <c r="F7899" i="1"/>
  <c r="E7899" i="1"/>
  <c r="G7898" i="1"/>
  <c r="F7898" i="1"/>
  <c r="E7898" i="1"/>
  <c r="G7897" i="1"/>
  <c r="F7897" i="1"/>
  <c r="E7897" i="1"/>
  <c r="G7896" i="1"/>
  <c r="F7896" i="1"/>
  <c r="E7896" i="1"/>
  <c r="G7895" i="1"/>
  <c r="F7895" i="1"/>
  <c r="E7895" i="1"/>
  <c r="G7894" i="1"/>
  <c r="F7894" i="1"/>
  <c r="E7894" i="1"/>
  <c r="G7893" i="1"/>
  <c r="F7893" i="1"/>
  <c r="E7893" i="1"/>
  <c r="G7892" i="1"/>
  <c r="F7892" i="1"/>
  <c r="E7892" i="1"/>
  <c r="G7891" i="1"/>
  <c r="F7891" i="1"/>
  <c r="E7891" i="1"/>
  <c r="G7890" i="1"/>
  <c r="F7890" i="1"/>
  <c r="E7890" i="1"/>
  <c r="G7889" i="1"/>
  <c r="F7889" i="1"/>
  <c r="E7889" i="1"/>
  <c r="G7888" i="1"/>
  <c r="F7888" i="1"/>
  <c r="E7888" i="1"/>
  <c r="G7887" i="1"/>
  <c r="F7887" i="1"/>
  <c r="E7887" i="1"/>
  <c r="G7886" i="1"/>
  <c r="F7886" i="1"/>
  <c r="E7886" i="1"/>
  <c r="G7885" i="1"/>
  <c r="F7885" i="1"/>
  <c r="E7885" i="1"/>
  <c r="G7884" i="1"/>
  <c r="F7884" i="1"/>
  <c r="E7884" i="1"/>
  <c r="G7883" i="1"/>
  <c r="F7883" i="1"/>
  <c r="E7883" i="1"/>
  <c r="G7882" i="1"/>
  <c r="F7882" i="1"/>
  <c r="E7882" i="1"/>
  <c r="G7881" i="1"/>
  <c r="F7881" i="1"/>
  <c r="E7881" i="1"/>
  <c r="G7880" i="1"/>
  <c r="F7880" i="1"/>
  <c r="E7880" i="1"/>
  <c r="G7879" i="1"/>
  <c r="F7879" i="1"/>
  <c r="E7879" i="1"/>
  <c r="G7878" i="1"/>
  <c r="F7878" i="1"/>
  <c r="E7878" i="1"/>
  <c r="G7877" i="1"/>
  <c r="F7877" i="1"/>
  <c r="E7877" i="1"/>
  <c r="G7876" i="1"/>
  <c r="F7876" i="1"/>
  <c r="E7876" i="1"/>
  <c r="G7875" i="1"/>
  <c r="F7875" i="1"/>
  <c r="E7875" i="1"/>
  <c r="G7874" i="1"/>
  <c r="F7874" i="1"/>
  <c r="E7874" i="1"/>
  <c r="G7873" i="1"/>
  <c r="F7873" i="1"/>
  <c r="E7873" i="1"/>
  <c r="G7872" i="1"/>
  <c r="F7872" i="1"/>
  <c r="E7872" i="1"/>
  <c r="G7871" i="1"/>
  <c r="F7871" i="1"/>
  <c r="E7871" i="1"/>
  <c r="G7870" i="1"/>
  <c r="F7870" i="1"/>
  <c r="E7870" i="1"/>
  <c r="G7869" i="1"/>
  <c r="F7869" i="1"/>
  <c r="E7869" i="1"/>
  <c r="G7868" i="1"/>
  <c r="F7868" i="1"/>
  <c r="E7868" i="1"/>
  <c r="G7867" i="1"/>
  <c r="F7867" i="1"/>
  <c r="E7867" i="1"/>
  <c r="G7866" i="1"/>
  <c r="F7866" i="1"/>
  <c r="E7866" i="1"/>
  <c r="G7865" i="1"/>
  <c r="F7865" i="1"/>
  <c r="E7865" i="1"/>
  <c r="G7864" i="1"/>
  <c r="F7864" i="1"/>
  <c r="E7864" i="1"/>
  <c r="G7863" i="1"/>
  <c r="F7863" i="1"/>
  <c r="E7863" i="1"/>
  <c r="G7862" i="1"/>
  <c r="F7862" i="1"/>
  <c r="E7862" i="1"/>
  <c r="G7861" i="1"/>
  <c r="F7861" i="1"/>
  <c r="E7861" i="1"/>
  <c r="G7860" i="1"/>
  <c r="F7860" i="1"/>
  <c r="E7860" i="1"/>
  <c r="G7859" i="1"/>
  <c r="F7859" i="1"/>
  <c r="E7859" i="1"/>
  <c r="G7858" i="1"/>
  <c r="F7858" i="1"/>
  <c r="E7858" i="1"/>
  <c r="G7857" i="1"/>
  <c r="F7857" i="1"/>
  <c r="E7857" i="1"/>
  <c r="G7856" i="1"/>
  <c r="F7856" i="1"/>
  <c r="E7856" i="1"/>
  <c r="G7855" i="1"/>
  <c r="F7855" i="1"/>
  <c r="E7855" i="1"/>
  <c r="G7854" i="1"/>
  <c r="F7854" i="1"/>
  <c r="E7854" i="1"/>
  <c r="G7853" i="1"/>
  <c r="F7853" i="1"/>
  <c r="E7853" i="1"/>
  <c r="G7852" i="1"/>
  <c r="F7852" i="1"/>
  <c r="E7852" i="1"/>
  <c r="G7851" i="1"/>
  <c r="F7851" i="1"/>
  <c r="E7851" i="1"/>
  <c r="G7850" i="1"/>
  <c r="F7850" i="1"/>
  <c r="E7850" i="1"/>
  <c r="G7849" i="1"/>
  <c r="F7849" i="1"/>
  <c r="E7849" i="1"/>
  <c r="G7848" i="1"/>
  <c r="F7848" i="1"/>
  <c r="E7848" i="1"/>
  <c r="G7847" i="1"/>
  <c r="F7847" i="1"/>
  <c r="E7847" i="1"/>
  <c r="G7846" i="1"/>
  <c r="F7846" i="1"/>
  <c r="E7846" i="1"/>
  <c r="G7845" i="1"/>
  <c r="F7845" i="1"/>
  <c r="E7845" i="1"/>
  <c r="G7844" i="1"/>
  <c r="F7844" i="1"/>
  <c r="E7844" i="1"/>
  <c r="G7843" i="1"/>
  <c r="F7843" i="1"/>
  <c r="E7843" i="1"/>
  <c r="G7842" i="1"/>
  <c r="F7842" i="1"/>
  <c r="E7842" i="1"/>
  <c r="G7841" i="1"/>
  <c r="F7841" i="1"/>
  <c r="E7841" i="1"/>
  <c r="G7840" i="1"/>
  <c r="F7840" i="1"/>
  <c r="E7840" i="1"/>
  <c r="G7839" i="1"/>
  <c r="F7839" i="1"/>
  <c r="E7839" i="1"/>
  <c r="G7838" i="1"/>
  <c r="F7838" i="1"/>
  <c r="E7838" i="1"/>
  <c r="G7837" i="1"/>
  <c r="F7837" i="1"/>
  <c r="E7837" i="1"/>
  <c r="G7836" i="1"/>
  <c r="F7836" i="1"/>
  <c r="E7836" i="1"/>
  <c r="G7835" i="1"/>
  <c r="F7835" i="1"/>
  <c r="E7835" i="1"/>
  <c r="G7834" i="1"/>
  <c r="F7834" i="1"/>
  <c r="E7834" i="1"/>
  <c r="G7833" i="1"/>
  <c r="F7833" i="1"/>
  <c r="E7833" i="1"/>
  <c r="G7832" i="1"/>
  <c r="F7832" i="1"/>
  <c r="E7832" i="1"/>
  <c r="G7831" i="1"/>
  <c r="F7831" i="1"/>
  <c r="E7831" i="1"/>
  <c r="G7830" i="1"/>
  <c r="F7830" i="1"/>
  <c r="E7830" i="1"/>
  <c r="G7829" i="1"/>
  <c r="F7829" i="1"/>
  <c r="E7829" i="1"/>
  <c r="G7828" i="1"/>
  <c r="F7828" i="1"/>
  <c r="E7828" i="1"/>
  <c r="G7827" i="1"/>
  <c r="F7827" i="1"/>
  <c r="E7827" i="1"/>
  <c r="G7826" i="1"/>
  <c r="F7826" i="1"/>
  <c r="E7826" i="1"/>
  <c r="G7825" i="1"/>
  <c r="F7825" i="1"/>
  <c r="E7825" i="1"/>
  <c r="G7824" i="1"/>
  <c r="F7824" i="1"/>
  <c r="E7824" i="1"/>
  <c r="G7823" i="1"/>
  <c r="F7823" i="1"/>
  <c r="E7823" i="1"/>
  <c r="G7822" i="1"/>
  <c r="F7822" i="1"/>
  <c r="E7822" i="1"/>
  <c r="G7821" i="1"/>
  <c r="F7821" i="1"/>
  <c r="E7821" i="1"/>
  <c r="G7820" i="1"/>
  <c r="F7820" i="1"/>
  <c r="E7820" i="1"/>
  <c r="G7819" i="1"/>
  <c r="F7819" i="1"/>
  <c r="E7819" i="1"/>
  <c r="G7818" i="1"/>
  <c r="F7818" i="1"/>
  <c r="E7818" i="1"/>
  <c r="G7817" i="1"/>
  <c r="F7817" i="1"/>
  <c r="E7817" i="1"/>
  <c r="G7816" i="1"/>
  <c r="F7816" i="1"/>
  <c r="E7816" i="1"/>
  <c r="G7815" i="1"/>
  <c r="F7815" i="1"/>
  <c r="E7815" i="1"/>
  <c r="G7814" i="1"/>
  <c r="F7814" i="1"/>
  <c r="E7814" i="1"/>
  <c r="G7813" i="1"/>
  <c r="F7813" i="1"/>
  <c r="E7813" i="1"/>
  <c r="G7812" i="1"/>
  <c r="F7812" i="1"/>
  <c r="E7812" i="1"/>
  <c r="G7811" i="1"/>
  <c r="F7811" i="1"/>
  <c r="E7811" i="1"/>
  <c r="G7810" i="1"/>
  <c r="F7810" i="1"/>
  <c r="E7810" i="1"/>
  <c r="G7809" i="1"/>
  <c r="F7809" i="1"/>
  <c r="E7809" i="1"/>
  <c r="G7808" i="1"/>
  <c r="F7808" i="1"/>
  <c r="E7808" i="1"/>
  <c r="G7807" i="1"/>
  <c r="F7807" i="1"/>
  <c r="E7807" i="1"/>
  <c r="G7806" i="1"/>
  <c r="F7806" i="1"/>
  <c r="E7806" i="1"/>
  <c r="G7805" i="1"/>
  <c r="F7805" i="1"/>
  <c r="E7805" i="1"/>
  <c r="G7804" i="1"/>
  <c r="F7804" i="1"/>
  <c r="E7804" i="1"/>
  <c r="G7803" i="1"/>
  <c r="F7803" i="1"/>
  <c r="E7803" i="1"/>
  <c r="G7802" i="1"/>
  <c r="F7802" i="1"/>
  <c r="E7802" i="1"/>
  <c r="G7801" i="1"/>
  <c r="F7801" i="1"/>
  <c r="E7801" i="1"/>
  <c r="G7800" i="1"/>
  <c r="F7800" i="1"/>
  <c r="E7800" i="1"/>
  <c r="G7799" i="1"/>
  <c r="F7799" i="1"/>
  <c r="E7799" i="1"/>
  <c r="G7798" i="1"/>
  <c r="F7798" i="1"/>
  <c r="E7798" i="1"/>
  <c r="G7797" i="1"/>
  <c r="F7797" i="1"/>
  <c r="E7797" i="1"/>
  <c r="G7796" i="1"/>
  <c r="F7796" i="1"/>
  <c r="E7796" i="1"/>
  <c r="G7795" i="1"/>
  <c r="F7795" i="1"/>
  <c r="E7795" i="1"/>
  <c r="G7794" i="1"/>
  <c r="F7794" i="1"/>
  <c r="E7794" i="1"/>
  <c r="G7793" i="1"/>
  <c r="F7793" i="1"/>
  <c r="E7793" i="1"/>
  <c r="G7792" i="1"/>
  <c r="F7792" i="1"/>
  <c r="E7792" i="1"/>
  <c r="G7791" i="1"/>
  <c r="F7791" i="1"/>
  <c r="E7791" i="1"/>
  <c r="G7790" i="1"/>
  <c r="F7790" i="1"/>
  <c r="E7790" i="1"/>
  <c r="G7789" i="1"/>
  <c r="F7789" i="1"/>
  <c r="E7789" i="1"/>
  <c r="G7788" i="1"/>
  <c r="F7788" i="1"/>
  <c r="E7788" i="1"/>
  <c r="G7787" i="1"/>
  <c r="F7787" i="1"/>
  <c r="E7787" i="1"/>
  <c r="G7786" i="1"/>
  <c r="F7786" i="1"/>
  <c r="E7786" i="1"/>
  <c r="G7785" i="1"/>
  <c r="F7785" i="1"/>
  <c r="E7785" i="1"/>
  <c r="G7784" i="1"/>
  <c r="F7784" i="1"/>
  <c r="E7784" i="1"/>
  <c r="G7783" i="1"/>
  <c r="F7783" i="1"/>
  <c r="E7783" i="1"/>
  <c r="G7782" i="1"/>
  <c r="F7782" i="1"/>
  <c r="E7782" i="1"/>
  <c r="G7781" i="1"/>
  <c r="F7781" i="1"/>
  <c r="E7781" i="1"/>
  <c r="G7780" i="1"/>
  <c r="F7780" i="1"/>
  <c r="E7780" i="1"/>
  <c r="G7779" i="1"/>
  <c r="F7779" i="1"/>
  <c r="E7779" i="1"/>
  <c r="G7778" i="1"/>
  <c r="F7778" i="1"/>
  <c r="E7778" i="1"/>
  <c r="G7777" i="1"/>
  <c r="F7777" i="1"/>
  <c r="E7777" i="1"/>
  <c r="G7776" i="1"/>
  <c r="F7776" i="1"/>
  <c r="E7776" i="1"/>
  <c r="G7775" i="1"/>
  <c r="F7775" i="1"/>
  <c r="E7775" i="1"/>
  <c r="G7774" i="1"/>
  <c r="F7774" i="1"/>
  <c r="E7774" i="1"/>
  <c r="G7773" i="1"/>
  <c r="F7773" i="1"/>
  <c r="E7773" i="1"/>
  <c r="G7772" i="1"/>
  <c r="F7772" i="1"/>
  <c r="E7772" i="1"/>
  <c r="G7771" i="1"/>
  <c r="F7771" i="1"/>
  <c r="E7771" i="1"/>
  <c r="G7770" i="1"/>
  <c r="F7770" i="1"/>
  <c r="E7770" i="1"/>
  <c r="G7769" i="1"/>
  <c r="F7769" i="1"/>
  <c r="E7769" i="1"/>
  <c r="G7768" i="1"/>
  <c r="F7768" i="1"/>
  <c r="E7768" i="1"/>
  <c r="G7767" i="1"/>
  <c r="F7767" i="1"/>
  <c r="E7767" i="1"/>
  <c r="G7766" i="1"/>
  <c r="F7766" i="1"/>
  <c r="E7766" i="1"/>
  <c r="G7765" i="1"/>
  <c r="F7765" i="1"/>
  <c r="E7765" i="1"/>
  <c r="G7764" i="1"/>
  <c r="F7764" i="1"/>
  <c r="E7764" i="1"/>
  <c r="G7763" i="1"/>
  <c r="F7763" i="1"/>
  <c r="E7763" i="1"/>
  <c r="G7762" i="1"/>
  <c r="F7762" i="1"/>
  <c r="E7762" i="1"/>
  <c r="G7761" i="1"/>
  <c r="F7761" i="1"/>
  <c r="E7761" i="1"/>
  <c r="G7760" i="1"/>
  <c r="F7760" i="1"/>
  <c r="E7760" i="1"/>
  <c r="G7759" i="1"/>
  <c r="F7759" i="1"/>
  <c r="E7759" i="1"/>
  <c r="G7758" i="1"/>
  <c r="F7758" i="1"/>
  <c r="E7758" i="1"/>
  <c r="G7757" i="1"/>
  <c r="F7757" i="1"/>
  <c r="E7757" i="1"/>
  <c r="G7756" i="1"/>
  <c r="F7756" i="1"/>
  <c r="E7756" i="1"/>
  <c r="G7755" i="1"/>
  <c r="F7755" i="1"/>
  <c r="E7755" i="1"/>
  <c r="G7754" i="1"/>
  <c r="F7754" i="1"/>
  <c r="E7754" i="1"/>
  <c r="G7753" i="1"/>
  <c r="F7753" i="1"/>
  <c r="E7753" i="1"/>
  <c r="G7752" i="1"/>
  <c r="F7752" i="1"/>
  <c r="E7752" i="1"/>
  <c r="G7751" i="1"/>
  <c r="F7751" i="1"/>
  <c r="E7751" i="1"/>
  <c r="G7750" i="1"/>
  <c r="F7750" i="1"/>
  <c r="E7750" i="1"/>
  <c r="G7749" i="1"/>
  <c r="F7749" i="1"/>
  <c r="E7749" i="1"/>
  <c r="G7748" i="1"/>
  <c r="F7748" i="1"/>
  <c r="E7748" i="1"/>
  <c r="G7747" i="1"/>
  <c r="F7747" i="1"/>
  <c r="E7747" i="1"/>
  <c r="G7746" i="1"/>
  <c r="F7746" i="1"/>
  <c r="E7746" i="1"/>
  <c r="G7745" i="1"/>
  <c r="F7745" i="1"/>
  <c r="E7745" i="1"/>
  <c r="G7744" i="1"/>
  <c r="F7744" i="1"/>
  <c r="E7744" i="1"/>
  <c r="G7743" i="1"/>
  <c r="F7743" i="1"/>
  <c r="E7743" i="1"/>
  <c r="G7742" i="1"/>
  <c r="F7742" i="1"/>
  <c r="E7742" i="1"/>
  <c r="G7741" i="1"/>
  <c r="F7741" i="1"/>
  <c r="E7741" i="1"/>
  <c r="G7740" i="1"/>
  <c r="F7740" i="1"/>
  <c r="E7740" i="1"/>
  <c r="G7739" i="1"/>
  <c r="F7739" i="1"/>
  <c r="E7739" i="1"/>
  <c r="G7738" i="1"/>
  <c r="F7738" i="1"/>
  <c r="E7738" i="1"/>
  <c r="G7737" i="1"/>
  <c r="F7737" i="1"/>
  <c r="E7737" i="1"/>
  <c r="G7736" i="1"/>
  <c r="F7736" i="1"/>
  <c r="E7736" i="1"/>
  <c r="G7735" i="1"/>
  <c r="F7735" i="1"/>
  <c r="E7735" i="1"/>
  <c r="G7734" i="1"/>
  <c r="F7734" i="1"/>
  <c r="E7734" i="1"/>
  <c r="G7733" i="1"/>
  <c r="F7733" i="1"/>
  <c r="E7733" i="1"/>
  <c r="G7732" i="1"/>
  <c r="F7732" i="1"/>
  <c r="E7732" i="1"/>
  <c r="G7731" i="1"/>
  <c r="F7731" i="1"/>
  <c r="E7731" i="1"/>
  <c r="G7730" i="1"/>
  <c r="F7730" i="1"/>
  <c r="E7730" i="1"/>
  <c r="G7729" i="1"/>
  <c r="F7729" i="1"/>
  <c r="E7729" i="1"/>
  <c r="G7728" i="1"/>
  <c r="F7728" i="1"/>
  <c r="E7728" i="1"/>
  <c r="G7727" i="1"/>
  <c r="F7727" i="1"/>
  <c r="E7727" i="1"/>
  <c r="G7726" i="1"/>
  <c r="F7726" i="1"/>
  <c r="E7726" i="1"/>
  <c r="G7725" i="1"/>
  <c r="F7725" i="1"/>
  <c r="E7725" i="1"/>
  <c r="G7724" i="1"/>
  <c r="F7724" i="1"/>
  <c r="E7724" i="1"/>
  <c r="G7723" i="1"/>
  <c r="F7723" i="1"/>
  <c r="E7723" i="1"/>
  <c r="G7722" i="1"/>
  <c r="F7722" i="1"/>
  <c r="E7722" i="1"/>
  <c r="G7721" i="1"/>
  <c r="F7721" i="1"/>
  <c r="E7721" i="1"/>
  <c r="G7720" i="1"/>
  <c r="F7720" i="1"/>
  <c r="E7720" i="1"/>
  <c r="G7719" i="1"/>
  <c r="F7719" i="1"/>
  <c r="E7719" i="1"/>
  <c r="G7718" i="1"/>
  <c r="F7718" i="1"/>
  <c r="E7718" i="1"/>
  <c r="G7717" i="1"/>
  <c r="F7717" i="1"/>
  <c r="E7717" i="1"/>
  <c r="G7716" i="1"/>
  <c r="F7716" i="1"/>
  <c r="E7716" i="1"/>
  <c r="G7715" i="1"/>
  <c r="F7715" i="1"/>
  <c r="E7715" i="1"/>
  <c r="G7714" i="1"/>
  <c r="F7714" i="1"/>
  <c r="E7714" i="1"/>
  <c r="G7713" i="1"/>
  <c r="F7713" i="1"/>
  <c r="E7713" i="1"/>
  <c r="G7712" i="1"/>
  <c r="F7712" i="1"/>
  <c r="E7712" i="1"/>
  <c r="G7711" i="1"/>
  <c r="F7711" i="1"/>
  <c r="E7711" i="1"/>
  <c r="G7710" i="1"/>
  <c r="F7710" i="1"/>
  <c r="E7710" i="1"/>
  <c r="G7709" i="1"/>
  <c r="F7709" i="1"/>
  <c r="E7709" i="1"/>
  <c r="G7708" i="1"/>
  <c r="F7708" i="1"/>
  <c r="E7708" i="1"/>
  <c r="G7707" i="1"/>
  <c r="F7707" i="1"/>
  <c r="E7707" i="1"/>
  <c r="G7706" i="1"/>
  <c r="F7706" i="1"/>
  <c r="E7706" i="1"/>
  <c r="G7705" i="1"/>
  <c r="F7705" i="1"/>
  <c r="E7705" i="1"/>
  <c r="G7704" i="1"/>
  <c r="F7704" i="1"/>
  <c r="E7704" i="1"/>
  <c r="G7703" i="1"/>
  <c r="F7703" i="1"/>
  <c r="E7703" i="1"/>
  <c r="G7702" i="1"/>
  <c r="F7702" i="1"/>
  <c r="E7702" i="1"/>
  <c r="G7701" i="1"/>
  <c r="F7701" i="1"/>
  <c r="E7701" i="1"/>
  <c r="G7700" i="1"/>
  <c r="F7700" i="1"/>
  <c r="E7700" i="1"/>
  <c r="G7699" i="1"/>
  <c r="F7699" i="1"/>
  <c r="E7699" i="1"/>
  <c r="G7698" i="1"/>
  <c r="F7698" i="1"/>
  <c r="E7698" i="1"/>
  <c r="G7697" i="1"/>
  <c r="F7697" i="1"/>
  <c r="E7697" i="1"/>
  <c r="G7696" i="1"/>
  <c r="F7696" i="1"/>
  <c r="E7696" i="1"/>
  <c r="G7695" i="1"/>
  <c r="F7695" i="1"/>
  <c r="E7695" i="1"/>
  <c r="G7694" i="1"/>
  <c r="F7694" i="1"/>
  <c r="E7694" i="1"/>
  <c r="G7693" i="1"/>
  <c r="F7693" i="1"/>
  <c r="E7693" i="1"/>
  <c r="G7692" i="1"/>
  <c r="F7692" i="1"/>
  <c r="E7692" i="1"/>
  <c r="G7691" i="1"/>
  <c r="F7691" i="1"/>
  <c r="E7691" i="1"/>
  <c r="G7690" i="1"/>
  <c r="F7690" i="1"/>
  <c r="E7690" i="1"/>
  <c r="G7689" i="1"/>
  <c r="F7689" i="1"/>
  <c r="E7689" i="1"/>
  <c r="G7688" i="1"/>
  <c r="F7688" i="1"/>
  <c r="E7688" i="1"/>
  <c r="G7687" i="1"/>
  <c r="F7687" i="1"/>
  <c r="E7687" i="1"/>
  <c r="G7686" i="1"/>
  <c r="F7686" i="1"/>
  <c r="E7686" i="1"/>
  <c r="G7685" i="1"/>
  <c r="F7685" i="1"/>
  <c r="E7685" i="1"/>
  <c r="G7684" i="1"/>
  <c r="F7684" i="1"/>
  <c r="E7684" i="1"/>
  <c r="G7683" i="1"/>
  <c r="F7683" i="1"/>
  <c r="E7683" i="1"/>
  <c r="G7682" i="1"/>
  <c r="F7682" i="1"/>
  <c r="E7682" i="1"/>
  <c r="G7681" i="1"/>
  <c r="F7681" i="1"/>
  <c r="E7681" i="1"/>
  <c r="G7680" i="1"/>
  <c r="F7680" i="1"/>
  <c r="E7680" i="1"/>
  <c r="G7679" i="1"/>
  <c r="F7679" i="1"/>
  <c r="E7679" i="1"/>
  <c r="G7678" i="1"/>
  <c r="F7678" i="1"/>
  <c r="E7678" i="1"/>
  <c r="G7677" i="1"/>
  <c r="F7677" i="1"/>
  <c r="E7677" i="1"/>
  <c r="G7676" i="1"/>
  <c r="F7676" i="1"/>
  <c r="E7676" i="1"/>
  <c r="G7675" i="1"/>
  <c r="F7675" i="1"/>
  <c r="E7675" i="1"/>
  <c r="G7674" i="1"/>
  <c r="F7674" i="1"/>
  <c r="E7674" i="1"/>
  <c r="G7673" i="1"/>
  <c r="F7673" i="1"/>
  <c r="E7673" i="1"/>
  <c r="G7672" i="1"/>
  <c r="F7672" i="1"/>
  <c r="E7672" i="1"/>
  <c r="G7671" i="1"/>
  <c r="F7671" i="1"/>
  <c r="E7671" i="1"/>
  <c r="G7670" i="1"/>
  <c r="F7670" i="1"/>
  <c r="E7670" i="1"/>
  <c r="G7669" i="1"/>
  <c r="F7669" i="1"/>
  <c r="E7669" i="1"/>
  <c r="G7668" i="1"/>
  <c r="F7668" i="1"/>
  <c r="E7668" i="1"/>
  <c r="G7667" i="1"/>
  <c r="F7667" i="1"/>
  <c r="E7667" i="1"/>
  <c r="G7666" i="1"/>
  <c r="F7666" i="1"/>
  <c r="E7666" i="1"/>
  <c r="G7665" i="1"/>
  <c r="F7665" i="1"/>
  <c r="E7665" i="1"/>
  <c r="G7664" i="1"/>
  <c r="F7664" i="1"/>
  <c r="E7664" i="1"/>
  <c r="G7663" i="1"/>
  <c r="F7663" i="1"/>
  <c r="E7663" i="1"/>
  <c r="G7662" i="1"/>
  <c r="F7662" i="1"/>
  <c r="E7662" i="1"/>
  <c r="G7661" i="1"/>
  <c r="F7661" i="1"/>
  <c r="E7661" i="1"/>
  <c r="G7660" i="1"/>
  <c r="F7660" i="1"/>
  <c r="E7660" i="1"/>
  <c r="G7659" i="1"/>
  <c r="F7659" i="1"/>
  <c r="E7659" i="1"/>
  <c r="G7658" i="1"/>
  <c r="F7658" i="1"/>
  <c r="E7658" i="1"/>
  <c r="G7657" i="1"/>
  <c r="F7657" i="1"/>
  <c r="E7657" i="1"/>
  <c r="G7656" i="1"/>
  <c r="F7656" i="1"/>
  <c r="E7656" i="1"/>
  <c r="G7655" i="1"/>
  <c r="F7655" i="1"/>
  <c r="E7655" i="1"/>
  <c r="G7654" i="1"/>
  <c r="F7654" i="1"/>
  <c r="E7654" i="1"/>
  <c r="G7653" i="1"/>
  <c r="F7653" i="1"/>
  <c r="E7653" i="1"/>
  <c r="G7652" i="1"/>
  <c r="F7652" i="1"/>
  <c r="E7652" i="1"/>
  <c r="G7651" i="1"/>
  <c r="F7651" i="1"/>
  <c r="E7651" i="1"/>
  <c r="G7650" i="1"/>
  <c r="F7650" i="1"/>
  <c r="E7650" i="1"/>
  <c r="G7649" i="1"/>
  <c r="F7649" i="1"/>
  <c r="E7649" i="1"/>
  <c r="G7648" i="1"/>
  <c r="F7648" i="1"/>
  <c r="E7648" i="1"/>
  <c r="G7647" i="1"/>
  <c r="F7647" i="1"/>
  <c r="E7647" i="1"/>
  <c r="G7646" i="1"/>
  <c r="F7646" i="1"/>
  <c r="E7646" i="1"/>
  <c r="G7645" i="1"/>
  <c r="F7645" i="1"/>
  <c r="E7645" i="1"/>
  <c r="G7644" i="1"/>
  <c r="F7644" i="1"/>
  <c r="E7644" i="1"/>
  <c r="G7643" i="1"/>
  <c r="F7643" i="1"/>
  <c r="E7643" i="1"/>
  <c r="G7642" i="1"/>
  <c r="F7642" i="1"/>
  <c r="E7642" i="1"/>
  <c r="G7641" i="1"/>
  <c r="F7641" i="1"/>
  <c r="E7641" i="1"/>
  <c r="G7640" i="1"/>
  <c r="F7640" i="1"/>
  <c r="E7640" i="1"/>
  <c r="G7639" i="1"/>
  <c r="F7639" i="1"/>
  <c r="E7639" i="1"/>
  <c r="G7638" i="1"/>
  <c r="F7638" i="1"/>
  <c r="E7638" i="1"/>
  <c r="G7637" i="1"/>
  <c r="F7637" i="1"/>
  <c r="E7637" i="1"/>
  <c r="G7636" i="1"/>
  <c r="F7636" i="1"/>
  <c r="E7636" i="1"/>
  <c r="G7635" i="1"/>
  <c r="F7635" i="1"/>
  <c r="E7635" i="1"/>
  <c r="G7634" i="1"/>
  <c r="F7634" i="1"/>
  <c r="E7634" i="1"/>
  <c r="G7633" i="1"/>
  <c r="F7633" i="1"/>
  <c r="E7633" i="1"/>
  <c r="G7632" i="1"/>
  <c r="F7632" i="1"/>
  <c r="E7632" i="1"/>
  <c r="G7631" i="1"/>
  <c r="F7631" i="1"/>
  <c r="E7631" i="1"/>
  <c r="G7630" i="1"/>
  <c r="F7630" i="1"/>
  <c r="E7630" i="1"/>
  <c r="G7629" i="1"/>
  <c r="F7629" i="1"/>
  <c r="E7629" i="1"/>
  <c r="G7628" i="1"/>
  <c r="F7628" i="1"/>
  <c r="E7628" i="1"/>
  <c r="G7627" i="1"/>
  <c r="F7627" i="1"/>
  <c r="E7627" i="1"/>
  <c r="G7626" i="1"/>
  <c r="F7626" i="1"/>
  <c r="E7626" i="1"/>
  <c r="G7625" i="1"/>
  <c r="F7625" i="1"/>
  <c r="E7625" i="1"/>
  <c r="G7624" i="1"/>
  <c r="F7624" i="1"/>
  <c r="E7624" i="1"/>
  <c r="G7623" i="1"/>
  <c r="F7623" i="1"/>
  <c r="E7623" i="1"/>
  <c r="G7622" i="1"/>
  <c r="F7622" i="1"/>
  <c r="E7622" i="1"/>
  <c r="G7621" i="1"/>
  <c r="F7621" i="1"/>
  <c r="E7621" i="1"/>
  <c r="G7620" i="1"/>
  <c r="F7620" i="1"/>
  <c r="E7620" i="1"/>
  <c r="G7619" i="1"/>
  <c r="F7619" i="1"/>
  <c r="E7619" i="1"/>
  <c r="G7618" i="1"/>
  <c r="F7618" i="1"/>
  <c r="E7618" i="1"/>
  <c r="G7617" i="1"/>
  <c r="F7617" i="1"/>
  <c r="E7617" i="1"/>
  <c r="G7616" i="1"/>
  <c r="F7616" i="1"/>
  <c r="E7616" i="1"/>
  <c r="G7615" i="1"/>
  <c r="F7615" i="1"/>
  <c r="E7615" i="1"/>
  <c r="G7614" i="1"/>
  <c r="F7614" i="1"/>
  <c r="E7614" i="1"/>
  <c r="G7613" i="1"/>
  <c r="F7613" i="1"/>
  <c r="E7613" i="1"/>
  <c r="G7612" i="1"/>
  <c r="F7612" i="1"/>
  <c r="E7612" i="1"/>
  <c r="G7611" i="1"/>
  <c r="F7611" i="1"/>
  <c r="E7611" i="1"/>
  <c r="G7610" i="1"/>
  <c r="F7610" i="1"/>
  <c r="E7610" i="1"/>
  <c r="G7609" i="1"/>
  <c r="F7609" i="1"/>
  <c r="E7609" i="1"/>
  <c r="G7608" i="1"/>
  <c r="F7608" i="1"/>
  <c r="E7608" i="1"/>
  <c r="G7607" i="1"/>
  <c r="F7607" i="1"/>
  <c r="E7607" i="1"/>
  <c r="G7606" i="1"/>
  <c r="F7606" i="1"/>
  <c r="E7606" i="1"/>
  <c r="G7605" i="1"/>
  <c r="F7605" i="1"/>
  <c r="E7605" i="1"/>
  <c r="G7604" i="1"/>
  <c r="F7604" i="1"/>
  <c r="E7604" i="1"/>
  <c r="G7603" i="1"/>
  <c r="F7603" i="1"/>
  <c r="E7603" i="1"/>
  <c r="G7602" i="1"/>
  <c r="F7602" i="1"/>
  <c r="E7602" i="1"/>
  <c r="G7601" i="1"/>
  <c r="F7601" i="1"/>
  <c r="E7601" i="1"/>
  <c r="G7600" i="1"/>
  <c r="F7600" i="1"/>
  <c r="E7600" i="1"/>
  <c r="G7599" i="1"/>
  <c r="F7599" i="1"/>
  <c r="E7599" i="1"/>
  <c r="G7598" i="1"/>
  <c r="F7598" i="1"/>
  <c r="E7598" i="1"/>
  <c r="G7597" i="1"/>
  <c r="F7597" i="1"/>
  <c r="E7597" i="1"/>
  <c r="G7596" i="1"/>
  <c r="F7596" i="1"/>
  <c r="E7596" i="1"/>
  <c r="G7595" i="1"/>
  <c r="F7595" i="1"/>
  <c r="E7595" i="1"/>
  <c r="G7594" i="1"/>
  <c r="F7594" i="1"/>
  <c r="E7594" i="1"/>
  <c r="G7593" i="1"/>
  <c r="F7593" i="1"/>
  <c r="E7593" i="1"/>
  <c r="G7592" i="1"/>
  <c r="F7592" i="1"/>
  <c r="E7592" i="1"/>
  <c r="G7591" i="1"/>
  <c r="F7591" i="1"/>
  <c r="E7591" i="1"/>
  <c r="G7590" i="1"/>
  <c r="F7590" i="1"/>
  <c r="E7590" i="1"/>
  <c r="G7589" i="1"/>
  <c r="F7589" i="1"/>
  <c r="E7589" i="1"/>
  <c r="G7588" i="1"/>
  <c r="F7588" i="1"/>
  <c r="E7588" i="1"/>
  <c r="G7587" i="1"/>
  <c r="F7587" i="1"/>
  <c r="E7587" i="1"/>
  <c r="G7586" i="1"/>
  <c r="F7586" i="1"/>
  <c r="E7586" i="1"/>
  <c r="G7585" i="1"/>
  <c r="F7585" i="1"/>
  <c r="E7585" i="1"/>
  <c r="G7584" i="1"/>
  <c r="F7584" i="1"/>
  <c r="E7584" i="1"/>
  <c r="G7583" i="1"/>
  <c r="F7583" i="1"/>
  <c r="E7583" i="1"/>
  <c r="G7582" i="1"/>
  <c r="F7582" i="1"/>
  <c r="E7582" i="1"/>
  <c r="G7581" i="1"/>
  <c r="F7581" i="1"/>
  <c r="E7581" i="1"/>
  <c r="G7580" i="1"/>
  <c r="F7580" i="1"/>
  <c r="E7580" i="1"/>
  <c r="G7579" i="1"/>
  <c r="F7579" i="1"/>
  <c r="E7579" i="1"/>
  <c r="G7578" i="1"/>
  <c r="F7578" i="1"/>
  <c r="E7578" i="1"/>
  <c r="G7577" i="1"/>
  <c r="F7577" i="1"/>
  <c r="E7577" i="1"/>
  <c r="G7576" i="1"/>
  <c r="F7576" i="1"/>
  <c r="E7576" i="1"/>
  <c r="G7575" i="1"/>
  <c r="F7575" i="1"/>
  <c r="E7575" i="1"/>
  <c r="G7574" i="1"/>
  <c r="F7574" i="1"/>
  <c r="E7574" i="1"/>
  <c r="G7573" i="1"/>
  <c r="F7573" i="1"/>
  <c r="E7573" i="1"/>
  <c r="G7572" i="1"/>
  <c r="F7572" i="1"/>
  <c r="E7572" i="1"/>
  <c r="G7571" i="1"/>
  <c r="F7571" i="1"/>
  <c r="E7571" i="1"/>
  <c r="G7570" i="1"/>
  <c r="F7570" i="1"/>
  <c r="E7570" i="1"/>
  <c r="G7569" i="1"/>
  <c r="F7569" i="1"/>
  <c r="E7569" i="1"/>
  <c r="G7568" i="1"/>
  <c r="F7568" i="1"/>
  <c r="E7568" i="1"/>
  <c r="G7567" i="1"/>
  <c r="F7567" i="1"/>
  <c r="E7567" i="1"/>
  <c r="G7566" i="1"/>
  <c r="F7566" i="1"/>
  <c r="E7566" i="1"/>
  <c r="G7565" i="1"/>
  <c r="F7565" i="1"/>
  <c r="E7565" i="1"/>
  <c r="G7564" i="1"/>
  <c r="F7564" i="1"/>
  <c r="E7564" i="1"/>
  <c r="G7563" i="1"/>
  <c r="F7563" i="1"/>
  <c r="E7563" i="1"/>
  <c r="G7562" i="1"/>
  <c r="F7562" i="1"/>
  <c r="E7562" i="1"/>
  <c r="G7561" i="1"/>
  <c r="F7561" i="1"/>
  <c r="E7561" i="1"/>
  <c r="G7560" i="1"/>
  <c r="F7560" i="1"/>
  <c r="E7560" i="1"/>
  <c r="G7559" i="1"/>
  <c r="F7559" i="1"/>
  <c r="E7559" i="1"/>
  <c r="G7558" i="1"/>
  <c r="F7558" i="1"/>
  <c r="E7558" i="1"/>
  <c r="G7557" i="1"/>
  <c r="F7557" i="1"/>
  <c r="E7557" i="1"/>
  <c r="G7556" i="1"/>
  <c r="F7556" i="1"/>
  <c r="E7556" i="1"/>
  <c r="G7555" i="1"/>
  <c r="F7555" i="1"/>
  <c r="E7555" i="1"/>
  <c r="G7554" i="1"/>
  <c r="F7554" i="1"/>
  <c r="E7554" i="1"/>
  <c r="G7553" i="1"/>
  <c r="F7553" i="1"/>
  <c r="E7553" i="1"/>
  <c r="G7552" i="1"/>
  <c r="F7552" i="1"/>
  <c r="E7552" i="1"/>
  <c r="G7551" i="1"/>
  <c r="F7551" i="1"/>
  <c r="E7551" i="1"/>
  <c r="G7550" i="1"/>
  <c r="F7550" i="1"/>
  <c r="E7550" i="1"/>
  <c r="G7549" i="1"/>
  <c r="F7549" i="1"/>
  <c r="E7549" i="1"/>
  <c r="G7548" i="1"/>
  <c r="F7548" i="1"/>
  <c r="E7548" i="1"/>
  <c r="G7547" i="1"/>
  <c r="F7547" i="1"/>
  <c r="E7547" i="1"/>
  <c r="G7546" i="1"/>
  <c r="F7546" i="1"/>
  <c r="E7546" i="1"/>
  <c r="G7545" i="1"/>
  <c r="F7545" i="1"/>
  <c r="E7545" i="1"/>
  <c r="G7544" i="1"/>
  <c r="F7544" i="1"/>
  <c r="E7544" i="1"/>
  <c r="G7543" i="1"/>
  <c r="F7543" i="1"/>
  <c r="E7543" i="1"/>
  <c r="G7542" i="1"/>
  <c r="F7542" i="1"/>
  <c r="E7542" i="1"/>
  <c r="G7541" i="1"/>
  <c r="F7541" i="1"/>
  <c r="E7541" i="1"/>
  <c r="G7540" i="1"/>
  <c r="F7540" i="1"/>
  <c r="E7540" i="1"/>
  <c r="G7539" i="1"/>
  <c r="F7539" i="1"/>
  <c r="E7539" i="1"/>
  <c r="G7538" i="1"/>
  <c r="F7538" i="1"/>
  <c r="E7538" i="1"/>
  <c r="G7537" i="1"/>
  <c r="F7537" i="1"/>
  <c r="E7537" i="1"/>
  <c r="G7536" i="1"/>
  <c r="F7536" i="1"/>
  <c r="E7536" i="1"/>
  <c r="G7535" i="1"/>
  <c r="F7535" i="1"/>
  <c r="E7535" i="1"/>
  <c r="G7534" i="1"/>
  <c r="F7534" i="1"/>
  <c r="E7534" i="1"/>
  <c r="G7533" i="1"/>
  <c r="F7533" i="1"/>
  <c r="E7533" i="1"/>
  <c r="G7532" i="1"/>
  <c r="F7532" i="1"/>
  <c r="E7532" i="1"/>
  <c r="G7531" i="1"/>
  <c r="F7531" i="1"/>
  <c r="E7531" i="1"/>
  <c r="G7530" i="1"/>
  <c r="F7530" i="1"/>
  <c r="E7530" i="1"/>
  <c r="G7529" i="1"/>
  <c r="F7529" i="1"/>
  <c r="E7529" i="1"/>
  <c r="G7528" i="1"/>
  <c r="F7528" i="1"/>
  <c r="E7528" i="1"/>
  <c r="G7527" i="1"/>
  <c r="F7527" i="1"/>
  <c r="E7527" i="1"/>
  <c r="G7526" i="1"/>
  <c r="F7526" i="1"/>
  <c r="E7526" i="1"/>
  <c r="G7525" i="1"/>
  <c r="F7525" i="1"/>
  <c r="E7525" i="1"/>
  <c r="G7524" i="1"/>
  <c r="F7524" i="1"/>
  <c r="E7524" i="1"/>
  <c r="G7523" i="1"/>
  <c r="F7523" i="1"/>
  <c r="E7523" i="1"/>
  <c r="G7522" i="1"/>
  <c r="F7522" i="1"/>
  <c r="E7522" i="1"/>
  <c r="G7521" i="1"/>
  <c r="F7521" i="1"/>
  <c r="E7521" i="1"/>
  <c r="G7520" i="1"/>
  <c r="F7520" i="1"/>
  <c r="E7520" i="1"/>
  <c r="G7519" i="1"/>
  <c r="F7519" i="1"/>
  <c r="E7519" i="1"/>
  <c r="G7518" i="1"/>
  <c r="F7518" i="1"/>
  <c r="E7518" i="1"/>
  <c r="G7517" i="1"/>
  <c r="F7517" i="1"/>
  <c r="E7517" i="1"/>
  <c r="G7516" i="1"/>
  <c r="F7516" i="1"/>
  <c r="E7516" i="1"/>
  <c r="G7515" i="1"/>
  <c r="F7515" i="1"/>
  <c r="E7515" i="1"/>
  <c r="G7514" i="1"/>
  <c r="F7514" i="1"/>
  <c r="E7514" i="1"/>
  <c r="G7513" i="1"/>
  <c r="F7513" i="1"/>
  <c r="E7513" i="1"/>
  <c r="G7512" i="1"/>
  <c r="F7512" i="1"/>
  <c r="E7512" i="1"/>
  <c r="G7511" i="1"/>
  <c r="F7511" i="1"/>
  <c r="E7511" i="1"/>
  <c r="G7510" i="1"/>
  <c r="F7510" i="1"/>
  <c r="E7510" i="1"/>
  <c r="G7509" i="1"/>
  <c r="F7509" i="1"/>
  <c r="E7509" i="1"/>
  <c r="G7508" i="1"/>
  <c r="F7508" i="1"/>
  <c r="E7508" i="1"/>
  <c r="G7507" i="1"/>
  <c r="F7507" i="1"/>
  <c r="E7507" i="1"/>
  <c r="G7506" i="1"/>
  <c r="F7506" i="1"/>
  <c r="E7506" i="1"/>
  <c r="G7505" i="1"/>
  <c r="F7505" i="1"/>
  <c r="E7505" i="1"/>
  <c r="G7504" i="1"/>
  <c r="F7504" i="1"/>
  <c r="E7504" i="1"/>
  <c r="G7503" i="1"/>
  <c r="F7503" i="1"/>
  <c r="E7503" i="1"/>
  <c r="G7502" i="1"/>
  <c r="F7502" i="1"/>
  <c r="E7502" i="1"/>
  <c r="G7501" i="1"/>
  <c r="F7501" i="1"/>
  <c r="E7501" i="1"/>
  <c r="G7500" i="1"/>
  <c r="F7500" i="1"/>
  <c r="E7500" i="1"/>
  <c r="G7499" i="1"/>
  <c r="F7499" i="1"/>
  <c r="E7499" i="1"/>
  <c r="G7498" i="1"/>
  <c r="F7498" i="1"/>
  <c r="E7498" i="1"/>
  <c r="G7497" i="1"/>
  <c r="F7497" i="1"/>
  <c r="E7497" i="1"/>
  <c r="G7496" i="1"/>
  <c r="F7496" i="1"/>
  <c r="E7496" i="1"/>
  <c r="G7495" i="1"/>
  <c r="F7495" i="1"/>
  <c r="E7495" i="1"/>
  <c r="G7494" i="1"/>
  <c r="F7494" i="1"/>
  <c r="E7494" i="1"/>
  <c r="G7493" i="1"/>
  <c r="F7493" i="1"/>
  <c r="E7493" i="1"/>
  <c r="G7492" i="1"/>
  <c r="F7492" i="1"/>
  <c r="E7492" i="1"/>
  <c r="G7491" i="1"/>
  <c r="F7491" i="1"/>
  <c r="E7491" i="1"/>
  <c r="G7490" i="1"/>
  <c r="F7490" i="1"/>
  <c r="E7490" i="1"/>
  <c r="G7489" i="1"/>
  <c r="F7489" i="1"/>
  <c r="E7489" i="1"/>
  <c r="G7488" i="1"/>
  <c r="F7488" i="1"/>
  <c r="E7488" i="1"/>
  <c r="G7487" i="1"/>
  <c r="F7487" i="1"/>
  <c r="E7487" i="1"/>
  <c r="G7486" i="1"/>
  <c r="F7486" i="1"/>
  <c r="E7486" i="1"/>
  <c r="G7485" i="1"/>
  <c r="F7485" i="1"/>
  <c r="E7485" i="1"/>
  <c r="G7484" i="1"/>
  <c r="F7484" i="1"/>
  <c r="E7484" i="1"/>
  <c r="G7483" i="1"/>
  <c r="F7483" i="1"/>
  <c r="E7483" i="1"/>
  <c r="G7482" i="1"/>
  <c r="F7482" i="1"/>
  <c r="E7482" i="1"/>
  <c r="G7481" i="1"/>
  <c r="F7481" i="1"/>
  <c r="E7481" i="1"/>
  <c r="G7480" i="1"/>
  <c r="F7480" i="1"/>
  <c r="E7480" i="1"/>
  <c r="G7479" i="1"/>
  <c r="F7479" i="1"/>
  <c r="E7479" i="1"/>
  <c r="G7478" i="1"/>
  <c r="F7478" i="1"/>
  <c r="E7478" i="1"/>
  <c r="G7477" i="1"/>
  <c r="F7477" i="1"/>
  <c r="E7477" i="1"/>
  <c r="G7476" i="1"/>
  <c r="F7476" i="1"/>
  <c r="E7476" i="1"/>
  <c r="G7475" i="1"/>
  <c r="F7475" i="1"/>
  <c r="E7475" i="1"/>
  <c r="G7474" i="1"/>
  <c r="F7474" i="1"/>
  <c r="E7474" i="1"/>
  <c r="G7473" i="1"/>
  <c r="F7473" i="1"/>
  <c r="E7473" i="1"/>
  <c r="G7472" i="1"/>
  <c r="F7472" i="1"/>
  <c r="E7472" i="1"/>
  <c r="G7471" i="1"/>
  <c r="F7471" i="1"/>
  <c r="E7471" i="1"/>
  <c r="G7470" i="1"/>
  <c r="F7470" i="1"/>
  <c r="E7470" i="1"/>
  <c r="G7469" i="1"/>
  <c r="F7469" i="1"/>
  <c r="E7469" i="1"/>
  <c r="G7468" i="1"/>
  <c r="F7468" i="1"/>
  <c r="E7468" i="1"/>
  <c r="G7467" i="1"/>
  <c r="F7467" i="1"/>
  <c r="E7467" i="1"/>
  <c r="G7466" i="1"/>
  <c r="F7466" i="1"/>
  <c r="E7466" i="1"/>
  <c r="G7465" i="1"/>
  <c r="F7465" i="1"/>
  <c r="E7465" i="1"/>
  <c r="G7464" i="1"/>
  <c r="F7464" i="1"/>
  <c r="E7464" i="1"/>
  <c r="G7463" i="1"/>
  <c r="F7463" i="1"/>
  <c r="E7463" i="1"/>
  <c r="G7462" i="1"/>
  <c r="F7462" i="1"/>
  <c r="E7462" i="1"/>
  <c r="G7461" i="1"/>
  <c r="F7461" i="1"/>
  <c r="E7461" i="1"/>
  <c r="G7460" i="1"/>
  <c r="F7460" i="1"/>
  <c r="E7460" i="1"/>
  <c r="G7459" i="1"/>
  <c r="F7459" i="1"/>
  <c r="E7459" i="1"/>
  <c r="G7458" i="1"/>
  <c r="F7458" i="1"/>
  <c r="E7458" i="1"/>
  <c r="G7457" i="1"/>
  <c r="F7457" i="1"/>
  <c r="E7457" i="1"/>
  <c r="G7456" i="1"/>
  <c r="F7456" i="1"/>
  <c r="E7456" i="1"/>
  <c r="G7455" i="1"/>
  <c r="F7455" i="1"/>
  <c r="E7455" i="1"/>
  <c r="G7454" i="1"/>
  <c r="F7454" i="1"/>
  <c r="E7454" i="1"/>
  <c r="G7453" i="1"/>
  <c r="F7453" i="1"/>
  <c r="E7453" i="1"/>
  <c r="G7452" i="1"/>
  <c r="F7452" i="1"/>
  <c r="E7452" i="1"/>
  <c r="G7451" i="1"/>
  <c r="F7451" i="1"/>
  <c r="E7451" i="1"/>
  <c r="G7450" i="1"/>
  <c r="F7450" i="1"/>
  <c r="E7450" i="1"/>
  <c r="G7449" i="1"/>
  <c r="F7449" i="1"/>
  <c r="E7449" i="1"/>
  <c r="G7448" i="1"/>
  <c r="F7448" i="1"/>
  <c r="E7448" i="1"/>
  <c r="G7447" i="1"/>
  <c r="F7447" i="1"/>
  <c r="E7447" i="1"/>
  <c r="G7446" i="1"/>
  <c r="F7446" i="1"/>
  <c r="E7446" i="1"/>
  <c r="G7445" i="1"/>
  <c r="F7445" i="1"/>
  <c r="E7445" i="1"/>
  <c r="G7444" i="1"/>
  <c r="F7444" i="1"/>
  <c r="E7444" i="1"/>
  <c r="G7443" i="1"/>
  <c r="F7443" i="1"/>
  <c r="E7443" i="1"/>
  <c r="G7442" i="1"/>
  <c r="F7442" i="1"/>
  <c r="E7442" i="1"/>
  <c r="G7441" i="1"/>
  <c r="F7441" i="1"/>
  <c r="E7441" i="1"/>
  <c r="G7440" i="1"/>
  <c r="F7440" i="1"/>
  <c r="E7440" i="1"/>
  <c r="G7439" i="1"/>
  <c r="F7439" i="1"/>
  <c r="E7439" i="1"/>
  <c r="G7438" i="1"/>
  <c r="F7438" i="1"/>
  <c r="E7438" i="1"/>
  <c r="G7437" i="1"/>
  <c r="F7437" i="1"/>
  <c r="E7437" i="1"/>
  <c r="G7436" i="1"/>
  <c r="F7436" i="1"/>
  <c r="E7436" i="1"/>
  <c r="G7435" i="1"/>
  <c r="F7435" i="1"/>
  <c r="E7435" i="1"/>
  <c r="G7434" i="1"/>
  <c r="F7434" i="1"/>
  <c r="E7434" i="1"/>
  <c r="G7433" i="1"/>
  <c r="F7433" i="1"/>
  <c r="E7433" i="1"/>
  <c r="G7432" i="1"/>
  <c r="F7432" i="1"/>
  <c r="E7432" i="1"/>
  <c r="G7431" i="1"/>
  <c r="F7431" i="1"/>
  <c r="E7431" i="1"/>
  <c r="G7430" i="1"/>
  <c r="F7430" i="1"/>
  <c r="E7430" i="1"/>
  <c r="G7429" i="1"/>
  <c r="F7429" i="1"/>
  <c r="E7429" i="1"/>
  <c r="G7428" i="1"/>
  <c r="F7428" i="1"/>
  <c r="E7428" i="1"/>
  <c r="G7427" i="1"/>
  <c r="F7427" i="1"/>
  <c r="E7427" i="1"/>
  <c r="G7426" i="1"/>
  <c r="F7426" i="1"/>
  <c r="E7426" i="1"/>
  <c r="G7425" i="1"/>
  <c r="F7425" i="1"/>
  <c r="E7425" i="1"/>
  <c r="G7424" i="1"/>
  <c r="F7424" i="1"/>
  <c r="E7424" i="1"/>
  <c r="G7423" i="1"/>
  <c r="F7423" i="1"/>
  <c r="E7423" i="1"/>
  <c r="G7422" i="1"/>
  <c r="F7422" i="1"/>
  <c r="E7422" i="1"/>
  <c r="G7421" i="1"/>
  <c r="F7421" i="1"/>
  <c r="E7421" i="1"/>
  <c r="G7420" i="1"/>
  <c r="F7420" i="1"/>
  <c r="E7420" i="1"/>
  <c r="G7419" i="1"/>
  <c r="F7419" i="1"/>
  <c r="E7419" i="1"/>
  <c r="G7418" i="1"/>
  <c r="F7418" i="1"/>
  <c r="E7418" i="1"/>
  <c r="G7417" i="1"/>
  <c r="F7417" i="1"/>
  <c r="E7417" i="1"/>
  <c r="G7416" i="1"/>
  <c r="F7416" i="1"/>
  <c r="E7416" i="1"/>
  <c r="G7415" i="1"/>
  <c r="F7415" i="1"/>
  <c r="E7415" i="1"/>
  <c r="G7414" i="1"/>
  <c r="F7414" i="1"/>
  <c r="E7414" i="1"/>
  <c r="G7413" i="1"/>
  <c r="F7413" i="1"/>
  <c r="E7413" i="1"/>
  <c r="G7412" i="1"/>
  <c r="F7412" i="1"/>
  <c r="E7412" i="1"/>
  <c r="G7411" i="1"/>
  <c r="F7411" i="1"/>
  <c r="E7411" i="1"/>
  <c r="G7410" i="1"/>
  <c r="F7410" i="1"/>
  <c r="E7410" i="1"/>
  <c r="G7409" i="1"/>
  <c r="F7409" i="1"/>
  <c r="E7409" i="1"/>
  <c r="G7408" i="1"/>
  <c r="F7408" i="1"/>
  <c r="E7408" i="1"/>
  <c r="G7407" i="1"/>
  <c r="F7407" i="1"/>
  <c r="E7407" i="1"/>
  <c r="G7406" i="1"/>
  <c r="F7406" i="1"/>
  <c r="E7406" i="1"/>
  <c r="G7405" i="1"/>
  <c r="F7405" i="1"/>
  <c r="E7405" i="1"/>
  <c r="G7404" i="1"/>
  <c r="F7404" i="1"/>
  <c r="E7404" i="1"/>
  <c r="G7403" i="1"/>
  <c r="F7403" i="1"/>
  <c r="E7403" i="1"/>
  <c r="G7402" i="1"/>
  <c r="F7402" i="1"/>
  <c r="E7402" i="1"/>
  <c r="G7401" i="1"/>
  <c r="F7401" i="1"/>
  <c r="E7401" i="1"/>
  <c r="G7400" i="1"/>
  <c r="F7400" i="1"/>
  <c r="E7400" i="1"/>
  <c r="G7399" i="1"/>
  <c r="F7399" i="1"/>
  <c r="E7399" i="1"/>
  <c r="G7398" i="1"/>
  <c r="F7398" i="1"/>
  <c r="E7398" i="1"/>
  <c r="G7397" i="1"/>
  <c r="F7397" i="1"/>
  <c r="E7397" i="1"/>
  <c r="G7396" i="1"/>
  <c r="F7396" i="1"/>
  <c r="E7396" i="1"/>
  <c r="G7395" i="1"/>
  <c r="F7395" i="1"/>
  <c r="E7395" i="1"/>
  <c r="G7394" i="1"/>
  <c r="F7394" i="1"/>
  <c r="E7394" i="1"/>
  <c r="G7393" i="1"/>
  <c r="F7393" i="1"/>
  <c r="E7393" i="1"/>
  <c r="G7392" i="1"/>
  <c r="F7392" i="1"/>
  <c r="E7392" i="1"/>
  <c r="G7391" i="1"/>
  <c r="F7391" i="1"/>
  <c r="E7391" i="1"/>
  <c r="G7390" i="1"/>
  <c r="F7390" i="1"/>
  <c r="E7390" i="1"/>
  <c r="G7389" i="1"/>
  <c r="F7389" i="1"/>
  <c r="E7389" i="1"/>
  <c r="G7388" i="1"/>
  <c r="F7388" i="1"/>
  <c r="E7388" i="1"/>
  <c r="G7387" i="1"/>
  <c r="F7387" i="1"/>
  <c r="E7387" i="1"/>
  <c r="G7386" i="1"/>
  <c r="F7386" i="1"/>
  <c r="E7386" i="1"/>
  <c r="G7385" i="1"/>
  <c r="F7385" i="1"/>
  <c r="E7385" i="1"/>
  <c r="G7384" i="1"/>
  <c r="F7384" i="1"/>
  <c r="E7384" i="1"/>
  <c r="G7383" i="1"/>
  <c r="F7383" i="1"/>
  <c r="E7383" i="1"/>
  <c r="G7382" i="1"/>
  <c r="F7382" i="1"/>
  <c r="E7382" i="1"/>
  <c r="G7381" i="1"/>
  <c r="F7381" i="1"/>
  <c r="E7381" i="1"/>
  <c r="G7380" i="1"/>
  <c r="F7380" i="1"/>
  <c r="E7380" i="1"/>
  <c r="G7379" i="1"/>
  <c r="F7379" i="1"/>
  <c r="E7379" i="1"/>
  <c r="G7378" i="1"/>
  <c r="F7378" i="1"/>
  <c r="E7378" i="1"/>
  <c r="G7377" i="1"/>
  <c r="F7377" i="1"/>
  <c r="E7377" i="1"/>
  <c r="G7376" i="1"/>
  <c r="F7376" i="1"/>
  <c r="E7376" i="1"/>
  <c r="G7375" i="1"/>
  <c r="F7375" i="1"/>
  <c r="E7375" i="1"/>
  <c r="G7374" i="1"/>
  <c r="F7374" i="1"/>
  <c r="E7374" i="1"/>
  <c r="G7373" i="1"/>
  <c r="F7373" i="1"/>
  <c r="E7373" i="1"/>
  <c r="G7372" i="1"/>
  <c r="F7372" i="1"/>
  <c r="E7372" i="1"/>
  <c r="G7371" i="1"/>
  <c r="F7371" i="1"/>
  <c r="E7371" i="1"/>
  <c r="G7370" i="1"/>
  <c r="F7370" i="1"/>
  <c r="E7370" i="1"/>
  <c r="G7369" i="1"/>
  <c r="F7369" i="1"/>
  <c r="E7369" i="1"/>
  <c r="G7368" i="1"/>
  <c r="F7368" i="1"/>
  <c r="E7368" i="1"/>
  <c r="G7367" i="1"/>
  <c r="F7367" i="1"/>
  <c r="E7367" i="1"/>
  <c r="G7366" i="1"/>
  <c r="F7366" i="1"/>
  <c r="E7366" i="1"/>
  <c r="G7365" i="1"/>
  <c r="F7365" i="1"/>
  <c r="E7365" i="1"/>
  <c r="G7364" i="1"/>
  <c r="F7364" i="1"/>
  <c r="E7364" i="1"/>
  <c r="G7363" i="1"/>
  <c r="F7363" i="1"/>
  <c r="E7363" i="1"/>
  <c r="G7362" i="1"/>
  <c r="F7362" i="1"/>
  <c r="E7362" i="1"/>
  <c r="G7361" i="1"/>
  <c r="F7361" i="1"/>
  <c r="E7361" i="1"/>
  <c r="G7360" i="1"/>
  <c r="F7360" i="1"/>
  <c r="E7360" i="1"/>
  <c r="G7359" i="1"/>
  <c r="F7359" i="1"/>
  <c r="E7359" i="1"/>
  <c r="G7358" i="1"/>
  <c r="F7358" i="1"/>
  <c r="E7358" i="1"/>
  <c r="G7357" i="1"/>
  <c r="F7357" i="1"/>
  <c r="E7357" i="1"/>
  <c r="G7356" i="1"/>
  <c r="F7356" i="1"/>
  <c r="E7356" i="1"/>
  <c r="G7355" i="1"/>
  <c r="F7355" i="1"/>
  <c r="E7355" i="1"/>
  <c r="G7354" i="1"/>
  <c r="F7354" i="1"/>
  <c r="E7354" i="1"/>
  <c r="G7353" i="1"/>
  <c r="F7353" i="1"/>
  <c r="E7353" i="1"/>
  <c r="G7352" i="1"/>
  <c r="F7352" i="1"/>
  <c r="E7352" i="1"/>
  <c r="G7351" i="1"/>
  <c r="F7351" i="1"/>
  <c r="E7351" i="1"/>
  <c r="G7350" i="1"/>
  <c r="F7350" i="1"/>
  <c r="E7350" i="1"/>
  <c r="G7349" i="1"/>
  <c r="F7349" i="1"/>
  <c r="E7349" i="1"/>
  <c r="G7348" i="1"/>
  <c r="F7348" i="1"/>
  <c r="E7348" i="1"/>
  <c r="G7347" i="1"/>
  <c r="F7347" i="1"/>
  <c r="E7347" i="1"/>
  <c r="G7346" i="1"/>
  <c r="F7346" i="1"/>
  <c r="E7346" i="1"/>
  <c r="G7345" i="1"/>
  <c r="F7345" i="1"/>
  <c r="E7345" i="1"/>
  <c r="G7344" i="1"/>
  <c r="F7344" i="1"/>
  <c r="E7344" i="1"/>
  <c r="G7343" i="1"/>
  <c r="F7343" i="1"/>
  <c r="E7343" i="1"/>
  <c r="G7342" i="1"/>
  <c r="F7342" i="1"/>
  <c r="E7342" i="1"/>
  <c r="G7341" i="1"/>
  <c r="F7341" i="1"/>
  <c r="E7341" i="1"/>
  <c r="G7340" i="1"/>
  <c r="F7340" i="1"/>
  <c r="E7340" i="1"/>
  <c r="G7339" i="1"/>
  <c r="F7339" i="1"/>
  <c r="E7339" i="1"/>
  <c r="G7338" i="1"/>
  <c r="F7338" i="1"/>
  <c r="E7338" i="1"/>
  <c r="G7337" i="1"/>
  <c r="F7337" i="1"/>
  <c r="E7337" i="1"/>
  <c r="G7336" i="1"/>
  <c r="F7336" i="1"/>
  <c r="E7336" i="1"/>
  <c r="G7335" i="1"/>
  <c r="F7335" i="1"/>
  <c r="E7335" i="1"/>
  <c r="G7334" i="1"/>
  <c r="F7334" i="1"/>
  <c r="E7334" i="1"/>
  <c r="G7333" i="1"/>
  <c r="F7333" i="1"/>
  <c r="E7333" i="1"/>
  <c r="G7332" i="1"/>
  <c r="F7332" i="1"/>
  <c r="E7332" i="1"/>
  <c r="G7331" i="1"/>
  <c r="F7331" i="1"/>
  <c r="E7331" i="1"/>
  <c r="G7330" i="1"/>
  <c r="F7330" i="1"/>
  <c r="E7330" i="1"/>
  <c r="G7329" i="1"/>
  <c r="F7329" i="1"/>
  <c r="E7329" i="1"/>
  <c r="G7328" i="1"/>
  <c r="F7328" i="1"/>
  <c r="E7328" i="1"/>
  <c r="G7327" i="1"/>
  <c r="F7327" i="1"/>
  <c r="E7327" i="1"/>
  <c r="G7326" i="1"/>
  <c r="F7326" i="1"/>
  <c r="E7326" i="1"/>
  <c r="G7325" i="1"/>
  <c r="F7325" i="1"/>
  <c r="E7325" i="1"/>
  <c r="G7324" i="1"/>
  <c r="F7324" i="1"/>
  <c r="E7324" i="1"/>
  <c r="G7323" i="1"/>
  <c r="F7323" i="1"/>
  <c r="E7323" i="1"/>
  <c r="G7322" i="1"/>
  <c r="F7322" i="1"/>
  <c r="E7322" i="1"/>
  <c r="G7321" i="1"/>
  <c r="F7321" i="1"/>
  <c r="E7321" i="1"/>
  <c r="G7320" i="1"/>
  <c r="F7320" i="1"/>
  <c r="E7320" i="1"/>
  <c r="G7319" i="1"/>
  <c r="F7319" i="1"/>
  <c r="E7319" i="1"/>
  <c r="G7318" i="1"/>
  <c r="F7318" i="1"/>
  <c r="E7318" i="1"/>
  <c r="G7317" i="1"/>
  <c r="F7317" i="1"/>
  <c r="E7317" i="1"/>
  <c r="G7316" i="1"/>
  <c r="F7316" i="1"/>
  <c r="E7316" i="1"/>
  <c r="G7315" i="1"/>
  <c r="F7315" i="1"/>
  <c r="E7315" i="1"/>
  <c r="G7314" i="1"/>
  <c r="F7314" i="1"/>
  <c r="E7314" i="1"/>
  <c r="G7313" i="1"/>
  <c r="F7313" i="1"/>
  <c r="E7313" i="1"/>
  <c r="G7312" i="1"/>
  <c r="F7312" i="1"/>
  <c r="E7312" i="1"/>
  <c r="G7311" i="1"/>
  <c r="F7311" i="1"/>
  <c r="E7311" i="1"/>
  <c r="G7310" i="1"/>
  <c r="F7310" i="1"/>
  <c r="E7310" i="1"/>
  <c r="G7309" i="1"/>
  <c r="F7309" i="1"/>
  <c r="E7309" i="1"/>
  <c r="G7308" i="1"/>
  <c r="F7308" i="1"/>
  <c r="E7308" i="1"/>
  <c r="G7307" i="1"/>
  <c r="F7307" i="1"/>
  <c r="E7307" i="1"/>
  <c r="G7306" i="1"/>
  <c r="F7306" i="1"/>
  <c r="E7306" i="1"/>
  <c r="G7305" i="1"/>
  <c r="F7305" i="1"/>
  <c r="E7305" i="1"/>
  <c r="G7304" i="1"/>
  <c r="F7304" i="1"/>
  <c r="E7304" i="1"/>
  <c r="G7303" i="1"/>
  <c r="F7303" i="1"/>
  <c r="E7303" i="1"/>
  <c r="G7302" i="1"/>
  <c r="F7302" i="1"/>
  <c r="E7302" i="1"/>
  <c r="G7301" i="1"/>
  <c r="F7301" i="1"/>
  <c r="E7301" i="1"/>
  <c r="G7300" i="1"/>
  <c r="F7300" i="1"/>
  <c r="E7300" i="1"/>
  <c r="G7299" i="1"/>
  <c r="F7299" i="1"/>
  <c r="E7299" i="1"/>
  <c r="G7298" i="1"/>
  <c r="F7298" i="1"/>
  <c r="E7298" i="1"/>
  <c r="G7297" i="1"/>
  <c r="F7297" i="1"/>
  <c r="E7297" i="1"/>
  <c r="G7296" i="1"/>
  <c r="F7296" i="1"/>
  <c r="E7296" i="1"/>
  <c r="G7295" i="1"/>
  <c r="F7295" i="1"/>
  <c r="E7295" i="1"/>
  <c r="G7294" i="1"/>
  <c r="F7294" i="1"/>
  <c r="E7294" i="1"/>
  <c r="G7293" i="1"/>
  <c r="F7293" i="1"/>
  <c r="E7293" i="1"/>
  <c r="G7292" i="1"/>
  <c r="F7292" i="1"/>
  <c r="E7292" i="1"/>
  <c r="G7291" i="1"/>
  <c r="F7291" i="1"/>
  <c r="E7291" i="1"/>
  <c r="G7290" i="1"/>
  <c r="F7290" i="1"/>
  <c r="E7290" i="1"/>
  <c r="G7289" i="1"/>
  <c r="F7289" i="1"/>
  <c r="E7289" i="1"/>
  <c r="G7288" i="1"/>
  <c r="F7288" i="1"/>
  <c r="E7288" i="1"/>
  <c r="G7287" i="1"/>
  <c r="F7287" i="1"/>
  <c r="E7287" i="1"/>
  <c r="G7286" i="1"/>
  <c r="F7286" i="1"/>
  <c r="E7286" i="1"/>
  <c r="G7285" i="1"/>
  <c r="F7285" i="1"/>
  <c r="E7285" i="1"/>
  <c r="G7284" i="1"/>
  <c r="F7284" i="1"/>
  <c r="E7284" i="1"/>
  <c r="G7283" i="1"/>
  <c r="F7283" i="1"/>
  <c r="E7283" i="1"/>
  <c r="G7282" i="1"/>
  <c r="F7282" i="1"/>
  <c r="E7282" i="1"/>
  <c r="G7281" i="1"/>
  <c r="F7281" i="1"/>
  <c r="E7281" i="1"/>
  <c r="G7280" i="1"/>
  <c r="F7280" i="1"/>
  <c r="E7280" i="1"/>
  <c r="G7279" i="1"/>
  <c r="F7279" i="1"/>
  <c r="E7279" i="1"/>
  <c r="G7278" i="1"/>
  <c r="F7278" i="1"/>
  <c r="E7278" i="1"/>
  <c r="G7277" i="1"/>
  <c r="F7277" i="1"/>
  <c r="E7277" i="1"/>
  <c r="G7276" i="1"/>
  <c r="F7276" i="1"/>
  <c r="E7276" i="1"/>
  <c r="G7275" i="1"/>
  <c r="F7275" i="1"/>
  <c r="E7275" i="1"/>
  <c r="G7274" i="1"/>
  <c r="F7274" i="1"/>
  <c r="E7274" i="1"/>
  <c r="G7273" i="1"/>
  <c r="F7273" i="1"/>
  <c r="E7273" i="1"/>
  <c r="G7272" i="1"/>
  <c r="F7272" i="1"/>
  <c r="E7272" i="1"/>
  <c r="G7271" i="1"/>
  <c r="F7271" i="1"/>
  <c r="E7271" i="1"/>
  <c r="G7270" i="1"/>
  <c r="F7270" i="1"/>
  <c r="E7270" i="1"/>
  <c r="G7269" i="1"/>
  <c r="F7269" i="1"/>
  <c r="E7269" i="1"/>
  <c r="G7268" i="1"/>
  <c r="F7268" i="1"/>
  <c r="E7268" i="1"/>
  <c r="G7267" i="1"/>
  <c r="F7267" i="1"/>
  <c r="E7267" i="1"/>
  <c r="G7266" i="1"/>
  <c r="F7266" i="1"/>
  <c r="E7266" i="1"/>
  <c r="G7265" i="1"/>
  <c r="F7265" i="1"/>
  <c r="E7265" i="1"/>
  <c r="G7264" i="1"/>
  <c r="F7264" i="1"/>
  <c r="E7264" i="1"/>
  <c r="G7263" i="1"/>
  <c r="F7263" i="1"/>
  <c r="E7263" i="1"/>
  <c r="G7262" i="1"/>
  <c r="F7262" i="1"/>
  <c r="E7262" i="1"/>
  <c r="G7261" i="1"/>
  <c r="F7261" i="1"/>
  <c r="E7261" i="1"/>
  <c r="G7260" i="1"/>
  <c r="F7260" i="1"/>
  <c r="E7260" i="1"/>
  <c r="G7259" i="1"/>
  <c r="F7259" i="1"/>
  <c r="E7259" i="1"/>
  <c r="G7258" i="1"/>
  <c r="F7258" i="1"/>
  <c r="E7258" i="1"/>
  <c r="G7257" i="1"/>
  <c r="F7257" i="1"/>
  <c r="E7257" i="1"/>
  <c r="G7256" i="1"/>
  <c r="F7256" i="1"/>
  <c r="E7256" i="1"/>
  <c r="G7255" i="1"/>
  <c r="F7255" i="1"/>
  <c r="E7255" i="1"/>
  <c r="G7254" i="1"/>
  <c r="F7254" i="1"/>
  <c r="E7254" i="1"/>
  <c r="G7253" i="1"/>
  <c r="F7253" i="1"/>
  <c r="E7253" i="1"/>
  <c r="G7252" i="1"/>
  <c r="F7252" i="1"/>
  <c r="E7252" i="1"/>
  <c r="G7251" i="1"/>
  <c r="F7251" i="1"/>
  <c r="E7251" i="1"/>
  <c r="G7250" i="1"/>
  <c r="F7250" i="1"/>
  <c r="E7250" i="1"/>
  <c r="G7249" i="1"/>
  <c r="F7249" i="1"/>
  <c r="E7249" i="1"/>
  <c r="G7248" i="1"/>
  <c r="F7248" i="1"/>
  <c r="E7248" i="1"/>
  <c r="G7247" i="1"/>
  <c r="F7247" i="1"/>
  <c r="E7247" i="1"/>
  <c r="G7246" i="1"/>
  <c r="F7246" i="1"/>
  <c r="E7246" i="1"/>
  <c r="G7245" i="1"/>
  <c r="F7245" i="1"/>
  <c r="E7245" i="1"/>
  <c r="G7244" i="1"/>
  <c r="F7244" i="1"/>
  <c r="E7244" i="1"/>
  <c r="G7243" i="1"/>
  <c r="F7243" i="1"/>
  <c r="E7243" i="1"/>
  <c r="G7242" i="1"/>
  <c r="F7242" i="1"/>
  <c r="E7242" i="1"/>
  <c r="G7241" i="1"/>
  <c r="F7241" i="1"/>
  <c r="E7241" i="1"/>
  <c r="G7240" i="1"/>
  <c r="F7240" i="1"/>
  <c r="E7240" i="1"/>
  <c r="G7239" i="1"/>
  <c r="F7239" i="1"/>
  <c r="E7239" i="1"/>
  <c r="G7238" i="1"/>
  <c r="F7238" i="1"/>
  <c r="E7238" i="1"/>
  <c r="G7237" i="1"/>
  <c r="F7237" i="1"/>
  <c r="E7237" i="1"/>
  <c r="G7236" i="1"/>
  <c r="F7236" i="1"/>
  <c r="E7236" i="1"/>
  <c r="G7235" i="1"/>
  <c r="F7235" i="1"/>
  <c r="E7235" i="1"/>
  <c r="G7234" i="1"/>
  <c r="F7234" i="1"/>
  <c r="E7234" i="1"/>
  <c r="G7233" i="1"/>
  <c r="F7233" i="1"/>
  <c r="E7233" i="1"/>
  <c r="G7232" i="1"/>
  <c r="F7232" i="1"/>
  <c r="E7232" i="1"/>
  <c r="G7231" i="1"/>
  <c r="F7231" i="1"/>
  <c r="E7231" i="1"/>
  <c r="G7230" i="1"/>
  <c r="F7230" i="1"/>
  <c r="E7230" i="1"/>
  <c r="G7229" i="1"/>
  <c r="F7229" i="1"/>
  <c r="E7229" i="1"/>
  <c r="G7228" i="1"/>
  <c r="F7228" i="1"/>
  <c r="E7228" i="1"/>
  <c r="G7227" i="1"/>
  <c r="F7227" i="1"/>
  <c r="E7227" i="1"/>
  <c r="G7226" i="1"/>
  <c r="F7226" i="1"/>
  <c r="E7226" i="1"/>
  <c r="G7225" i="1"/>
  <c r="F7225" i="1"/>
  <c r="E7225" i="1"/>
  <c r="G7224" i="1"/>
  <c r="F7224" i="1"/>
  <c r="E7224" i="1"/>
  <c r="G7223" i="1"/>
  <c r="F7223" i="1"/>
  <c r="E7223" i="1"/>
  <c r="G7222" i="1"/>
  <c r="F7222" i="1"/>
  <c r="E7222" i="1"/>
  <c r="G7221" i="1"/>
  <c r="F7221" i="1"/>
  <c r="E7221" i="1"/>
  <c r="G7220" i="1"/>
  <c r="F7220" i="1"/>
  <c r="E7220" i="1"/>
  <c r="G7219" i="1"/>
  <c r="F7219" i="1"/>
  <c r="E7219" i="1"/>
  <c r="G7218" i="1"/>
  <c r="F7218" i="1"/>
  <c r="E7218" i="1"/>
  <c r="G7217" i="1"/>
  <c r="F7217" i="1"/>
  <c r="E7217" i="1"/>
  <c r="G7216" i="1"/>
  <c r="F7216" i="1"/>
  <c r="E7216" i="1"/>
  <c r="G7215" i="1"/>
  <c r="F7215" i="1"/>
  <c r="E7215" i="1"/>
  <c r="G7214" i="1"/>
  <c r="F7214" i="1"/>
  <c r="E7214" i="1"/>
  <c r="G7213" i="1"/>
  <c r="F7213" i="1"/>
  <c r="E7213" i="1"/>
  <c r="G7212" i="1"/>
  <c r="F7212" i="1"/>
  <c r="E7212" i="1"/>
  <c r="G7211" i="1"/>
  <c r="F7211" i="1"/>
  <c r="E7211" i="1"/>
  <c r="G7210" i="1"/>
  <c r="F7210" i="1"/>
  <c r="E7210" i="1"/>
  <c r="G7209" i="1"/>
  <c r="F7209" i="1"/>
  <c r="E7209" i="1"/>
  <c r="G7208" i="1"/>
  <c r="F7208" i="1"/>
  <c r="E7208" i="1"/>
  <c r="G7207" i="1"/>
  <c r="F7207" i="1"/>
  <c r="E7207" i="1"/>
  <c r="G7206" i="1"/>
  <c r="F7206" i="1"/>
  <c r="E7206" i="1"/>
  <c r="G7205" i="1"/>
  <c r="F7205" i="1"/>
  <c r="E7205" i="1"/>
  <c r="G7204" i="1"/>
  <c r="F7204" i="1"/>
  <c r="E7204" i="1"/>
  <c r="G7203" i="1"/>
  <c r="F7203" i="1"/>
  <c r="E7203" i="1"/>
  <c r="G7202" i="1"/>
  <c r="F7202" i="1"/>
  <c r="E7202" i="1"/>
  <c r="G7201" i="1"/>
  <c r="F7201" i="1"/>
  <c r="E7201" i="1"/>
  <c r="G7200" i="1"/>
  <c r="F7200" i="1"/>
  <c r="E7200" i="1"/>
  <c r="G7199" i="1"/>
  <c r="F7199" i="1"/>
  <c r="E7199" i="1"/>
  <c r="G7198" i="1"/>
  <c r="F7198" i="1"/>
  <c r="E7198" i="1"/>
  <c r="G7197" i="1"/>
  <c r="F7197" i="1"/>
  <c r="E7197" i="1"/>
  <c r="G7196" i="1"/>
  <c r="F7196" i="1"/>
  <c r="E7196" i="1"/>
  <c r="G7195" i="1"/>
  <c r="F7195" i="1"/>
  <c r="E7195" i="1"/>
  <c r="G7194" i="1"/>
  <c r="F7194" i="1"/>
  <c r="E7194" i="1"/>
  <c r="G7193" i="1"/>
  <c r="F7193" i="1"/>
  <c r="E7193" i="1"/>
  <c r="G7192" i="1"/>
  <c r="F7192" i="1"/>
  <c r="E7192" i="1"/>
  <c r="G7191" i="1"/>
  <c r="F7191" i="1"/>
  <c r="E7191" i="1"/>
  <c r="G7190" i="1"/>
  <c r="F7190" i="1"/>
  <c r="E7190" i="1"/>
  <c r="G7189" i="1"/>
  <c r="F7189" i="1"/>
  <c r="E7189" i="1"/>
  <c r="G7188" i="1"/>
  <c r="F7188" i="1"/>
  <c r="E7188" i="1"/>
  <c r="G7187" i="1"/>
  <c r="F7187" i="1"/>
  <c r="E7187" i="1"/>
  <c r="G7186" i="1"/>
  <c r="F7186" i="1"/>
  <c r="E7186" i="1"/>
  <c r="G7185" i="1"/>
  <c r="F7185" i="1"/>
  <c r="E7185" i="1"/>
  <c r="G7184" i="1"/>
  <c r="F7184" i="1"/>
  <c r="E7184" i="1"/>
  <c r="G7183" i="1"/>
  <c r="F7183" i="1"/>
  <c r="E7183" i="1"/>
  <c r="G7182" i="1"/>
  <c r="F7182" i="1"/>
  <c r="E7182" i="1"/>
  <c r="G7181" i="1"/>
  <c r="F7181" i="1"/>
  <c r="E7181" i="1"/>
  <c r="G7180" i="1"/>
  <c r="F7180" i="1"/>
  <c r="E7180" i="1"/>
  <c r="G7179" i="1"/>
  <c r="F7179" i="1"/>
  <c r="E7179" i="1"/>
  <c r="G7178" i="1"/>
  <c r="F7178" i="1"/>
  <c r="E7178" i="1"/>
  <c r="G7177" i="1"/>
  <c r="F7177" i="1"/>
  <c r="E7177" i="1"/>
  <c r="G7176" i="1"/>
  <c r="F7176" i="1"/>
  <c r="E7176" i="1"/>
  <c r="G7175" i="1"/>
  <c r="F7175" i="1"/>
  <c r="E7175" i="1"/>
  <c r="G7174" i="1"/>
  <c r="F7174" i="1"/>
  <c r="E7174" i="1"/>
  <c r="G7173" i="1"/>
  <c r="F7173" i="1"/>
  <c r="E7173" i="1"/>
  <c r="G7172" i="1"/>
  <c r="F7172" i="1"/>
  <c r="E7172" i="1"/>
  <c r="G7171" i="1"/>
  <c r="F7171" i="1"/>
  <c r="E7171" i="1"/>
  <c r="G7170" i="1"/>
  <c r="F7170" i="1"/>
  <c r="E7170" i="1"/>
  <c r="G7169" i="1"/>
  <c r="F7169" i="1"/>
  <c r="E7169" i="1"/>
  <c r="G7168" i="1"/>
  <c r="F7168" i="1"/>
  <c r="E7168" i="1"/>
  <c r="G7167" i="1"/>
  <c r="F7167" i="1"/>
  <c r="E7167" i="1"/>
  <c r="G7166" i="1"/>
  <c r="F7166" i="1"/>
  <c r="E7166" i="1"/>
  <c r="G7165" i="1"/>
  <c r="F7165" i="1"/>
  <c r="E7165" i="1"/>
  <c r="G7164" i="1"/>
  <c r="F7164" i="1"/>
  <c r="E7164" i="1"/>
  <c r="G7163" i="1"/>
  <c r="F7163" i="1"/>
  <c r="E7163" i="1"/>
  <c r="G7162" i="1"/>
  <c r="F7162" i="1"/>
  <c r="E7162" i="1"/>
  <c r="G7161" i="1"/>
  <c r="F7161" i="1"/>
  <c r="E7161" i="1"/>
  <c r="G7160" i="1"/>
  <c r="F7160" i="1"/>
  <c r="E7160" i="1"/>
  <c r="G7159" i="1"/>
  <c r="F7159" i="1"/>
  <c r="E7159" i="1"/>
  <c r="G7158" i="1"/>
  <c r="F7158" i="1"/>
  <c r="E7158" i="1"/>
  <c r="G7157" i="1"/>
  <c r="F7157" i="1"/>
  <c r="E7157" i="1"/>
  <c r="G7156" i="1"/>
  <c r="F7156" i="1"/>
  <c r="E7156" i="1"/>
  <c r="G7155" i="1"/>
  <c r="F7155" i="1"/>
  <c r="E7155" i="1"/>
  <c r="G7154" i="1"/>
  <c r="F7154" i="1"/>
  <c r="E7154" i="1"/>
  <c r="G7153" i="1"/>
  <c r="F7153" i="1"/>
  <c r="E7153" i="1"/>
  <c r="G7152" i="1"/>
  <c r="F7152" i="1"/>
  <c r="E7152" i="1"/>
  <c r="G7151" i="1"/>
  <c r="F7151" i="1"/>
  <c r="E7151" i="1"/>
  <c r="G7150" i="1"/>
  <c r="F7150" i="1"/>
  <c r="E7150" i="1"/>
  <c r="G7149" i="1"/>
  <c r="F7149" i="1"/>
  <c r="E7149" i="1"/>
  <c r="G7148" i="1"/>
  <c r="F7148" i="1"/>
  <c r="E7148" i="1"/>
  <c r="G7147" i="1"/>
  <c r="F7147" i="1"/>
  <c r="E7147" i="1"/>
  <c r="G7146" i="1"/>
  <c r="F7146" i="1"/>
  <c r="E7146" i="1"/>
  <c r="G7145" i="1"/>
  <c r="F7145" i="1"/>
  <c r="E7145" i="1"/>
  <c r="G7144" i="1"/>
  <c r="F7144" i="1"/>
  <c r="E7144" i="1"/>
  <c r="G7143" i="1"/>
  <c r="F7143" i="1"/>
  <c r="E7143" i="1"/>
  <c r="G7142" i="1"/>
  <c r="F7142" i="1"/>
  <c r="E7142" i="1"/>
  <c r="G7141" i="1"/>
  <c r="F7141" i="1"/>
  <c r="E7141" i="1"/>
  <c r="G7140" i="1"/>
  <c r="F7140" i="1"/>
  <c r="E7140" i="1"/>
  <c r="G7139" i="1"/>
  <c r="F7139" i="1"/>
  <c r="E7139" i="1"/>
  <c r="G7138" i="1"/>
  <c r="F7138" i="1"/>
  <c r="E7138" i="1"/>
  <c r="G7137" i="1"/>
  <c r="F7137" i="1"/>
  <c r="E7137" i="1"/>
  <c r="G7136" i="1"/>
  <c r="F7136" i="1"/>
  <c r="E7136" i="1"/>
  <c r="G7135" i="1"/>
  <c r="F7135" i="1"/>
  <c r="E7135" i="1"/>
  <c r="G7134" i="1"/>
  <c r="F7134" i="1"/>
  <c r="E7134" i="1"/>
  <c r="G7133" i="1"/>
  <c r="F7133" i="1"/>
  <c r="E7133" i="1"/>
  <c r="G7132" i="1"/>
  <c r="F7132" i="1"/>
  <c r="E7132" i="1"/>
  <c r="G7131" i="1"/>
  <c r="F7131" i="1"/>
  <c r="E7131" i="1"/>
  <c r="G7130" i="1"/>
  <c r="F7130" i="1"/>
  <c r="E7130" i="1"/>
  <c r="G7129" i="1"/>
  <c r="F7129" i="1"/>
  <c r="E7129" i="1"/>
  <c r="G7128" i="1"/>
  <c r="F7128" i="1"/>
  <c r="E7128" i="1"/>
  <c r="G7127" i="1"/>
  <c r="F7127" i="1"/>
  <c r="E7127" i="1"/>
  <c r="G7126" i="1"/>
  <c r="F7126" i="1"/>
  <c r="E7126" i="1"/>
  <c r="G7125" i="1"/>
  <c r="F7125" i="1"/>
  <c r="E7125" i="1"/>
  <c r="G7124" i="1"/>
  <c r="F7124" i="1"/>
  <c r="E7124" i="1"/>
  <c r="G7123" i="1"/>
  <c r="F7123" i="1"/>
  <c r="E7123" i="1"/>
  <c r="G7122" i="1"/>
  <c r="F7122" i="1"/>
  <c r="E7122" i="1"/>
  <c r="G7121" i="1"/>
  <c r="F7121" i="1"/>
  <c r="E7121" i="1"/>
  <c r="G7120" i="1"/>
  <c r="F7120" i="1"/>
  <c r="E7120" i="1"/>
  <c r="G7119" i="1"/>
  <c r="F7119" i="1"/>
  <c r="E7119" i="1"/>
  <c r="G7118" i="1"/>
  <c r="F7118" i="1"/>
  <c r="E7118" i="1"/>
  <c r="G7117" i="1"/>
  <c r="F7117" i="1"/>
  <c r="E7117" i="1"/>
  <c r="G7116" i="1"/>
  <c r="F7116" i="1"/>
  <c r="E7116" i="1"/>
  <c r="G7115" i="1"/>
  <c r="F7115" i="1"/>
  <c r="E7115" i="1"/>
  <c r="G7114" i="1"/>
  <c r="F7114" i="1"/>
  <c r="E7114" i="1"/>
  <c r="G7113" i="1"/>
  <c r="F7113" i="1"/>
  <c r="E7113" i="1"/>
  <c r="G7112" i="1"/>
  <c r="F7112" i="1"/>
  <c r="E7112" i="1"/>
  <c r="G7111" i="1"/>
  <c r="F7111" i="1"/>
  <c r="E7111" i="1"/>
  <c r="G7110" i="1"/>
  <c r="F7110" i="1"/>
  <c r="E7110" i="1"/>
  <c r="G7109" i="1"/>
  <c r="F7109" i="1"/>
  <c r="E7109" i="1"/>
  <c r="G7108" i="1"/>
  <c r="F7108" i="1"/>
  <c r="E7108" i="1"/>
  <c r="G7107" i="1"/>
  <c r="F7107" i="1"/>
  <c r="E7107" i="1"/>
  <c r="G7106" i="1"/>
  <c r="F7106" i="1"/>
  <c r="E7106" i="1"/>
  <c r="G7105" i="1"/>
  <c r="F7105" i="1"/>
  <c r="E7105" i="1"/>
  <c r="G7104" i="1"/>
  <c r="F7104" i="1"/>
  <c r="E7104" i="1"/>
  <c r="G7103" i="1"/>
  <c r="F7103" i="1"/>
  <c r="E7103" i="1"/>
  <c r="G7102" i="1"/>
  <c r="F7102" i="1"/>
  <c r="E7102" i="1"/>
  <c r="G7101" i="1"/>
  <c r="F7101" i="1"/>
  <c r="E7101" i="1"/>
  <c r="G7100" i="1"/>
  <c r="F7100" i="1"/>
  <c r="E7100" i="1"/>
  <c r="G7099" i="1"/>
  <c r="F7099" i="1"/>
  <c r="E7099" i="1"/>
  <c r="G7098" i="1"/>
  <c r="F7098" i="1"/>
  <c r="E7098" i="1"/>
  <c r="G7097" i="1"/>
  <c r="F7097" i="1"/>
  <c r="E7097" i="1"/>
  <c r="G7096" i="1"/>
  <c r="F7096" i="1"/>
  <c r="E7096" i="1"/>
  <c r="G7095" i="1"/>
  <c r="F7095" i="1"/>
  <c r="E7095" i="1"/>
  <c r="G7094" i="1"/>
  <c r="F7094" i="1"/>
  <c r="E7094" i="1"/>
  <c r="G7093" i="1"/>
  <c r="F7093" i="1"/>
  <c r="E7093" i="1"/>
  <c r="G7092" i="1"/>
  <c r="F7092" i="1"/>
  <c r="E7092" i="1"/>
  <c r="G7091" i="1"/>
  <c r="F7091" i="1"/>
  <c r="E7091" i="1"/>
  <c r="G7090" i="1"/>
  <c r="F7090" i="1"/>
  <c r="E7090" i="1"/>
  <c r="G7089" i="1"/>
  <c r="F7089" i="1"/>
  <c r="E7089" i="1"/>
  <c r="G7088" i="1"/>
  <c r="F7088" i="1"/>
  <c r="E7088" i="1"/>
  <c r="G7087" i="1"/>
  <c r="F7087" i="1"/>
  <c r="E7087" i="1"/>
  <c r="G7086" i="1"/>
  <c r="F7086" i="1"/>
  <c r="E7086" i="1"/>
  <c r="G7085" i="1"/>
  <c r="F7085" i="1"/>
  <c r="E7085" i="1"/>
  <c r="G7084" i="1"/>
  <c r="F7084" i="1"/>
  <c r="E7084" i="1"/>
  <c r="G7083" i="1"/>
  <c r="F7083" i="1"/>
  <c r="E7083" i="1"/>
  <c r="G7082" i="1"/>
  <c r="F7082" i="1"/>
  <c r="E7082" i="1"/>
  <c r="G7081" i="1"/>
  <c r="F7081" i="1"/>
  <c r="E7081" i="1"/>
  <c r="G7080" i="1"/>
  <c r="F7080" i="1"/>
  <c r="E7080" i="1"/>
  <c r="G7079" i="1"/>
  <c r="F7079" i="1"/>
  <c r="E7079" i="1"/>
  <c r="G7078" i="1"/>
  <c r="F7078" i="1"/>
  <c r="E7078" i="1"/>
  <c r="G7077" i="1"/>
  <c r="F7077" i="1"/>
  <c r="E7077" i="1"/>
  <c r="G7076" i="1"/>
  <c r="F7076" i="1"/>
  <c r="E7076" i="1"/>
  <c r="G7075" i="1"/>
  <c r="F7075" i="1"/>
  <c r="E7075" i="1"/>
  <c r="G7074" i="1"/>
  <c r="F7074" i="1"/>
  <c r="E7074" i="1"/>
  <c r="G7073" i="1"/>
  <c r="F7073" i="1"/>
  <c r="E7073" i="1"/>
  <c r="G7072" i="1"/>
  <c r="F7072" i="1"/>
  <c r="E7072" i="1"/>
  <c r="G7071" i="1"/>
  <c r="F7071" i="1"/>
  <c r="E7071" i="1"/>
  <c r="G7070" i="1"/>
  <c r="F7070" i="1"/>
  <c r="E7070" i="1"/>
  <c r="G7069" i="1"/>
  <c r="F7069" i="1"/>
  <c r="E7069" i="1"/>
  <c r="G7068" i="1"/>
  <c r="F7068" i="1"/>
  <c r="E7068" i="1"/>
  <c r="G7067" i="1"/>
  <c r="F7067" i="1"/>
  <c r="E7067" i="1"/>
  <c r="G7066" i="1"/>
  <c r="F7066" i="1"/>
  <c r="E7066" i="1"/>
  <c r="G7065" i="1"/>
  <c r="F7065" i="1"/>
  <c r="E7065" i="1"/>
  <c r="G7064" i="1"/>
  <c r="F7064" i="1"/>
  <c r="E7064" i="1"/>
  <c r="G7063" i="1"/>
  <c r="F7063" i="1"/>
  <c r="E7063" i="1"/>
  <c r="G7062" i="1"/>
  <c r="F7062" i="1"/>
  <c r="E7062" i="1"/>
  <c r="G7061" i="1"/>
  <c r="F7061" i="1"/>
  <c r="E7061" i="1"/>
  <c r="G7060" i="1"/>
  <c r="F7060" i="1"/>
  <c r="E7060" i="1"/>
  <c r="G7059" i="1"/>
  <c r="F7059" i="1"/>
  <c r="E7059" i="1"/>
  <c r="G7058" i="1"/>
  <c r="F7058" i="1"/>
  <c r="E7058" i="1"/>
  <c r="G7057" i="1"/>
  <c r="F7057" i="1"/>
  <c r="E7057" i="1"/>
  <c r="G7056" i="1"/>
  <c r="F7056" i="1"/>
  <c r="E7056" i="1"/>
  <c r="G7055" i="1"/>
  <c r="F7055" i="1"/>
  <c r="E7055" i="1"/>
  <c r="G7054" i="1"/>
  <c r="F7054" i="1"/>
  <c r="E7054" i="1"/>
  <c r="G7053" i="1"/>
  <c r="F7053" i="1"/>
  <c r="E7053" i="1"/>
  <c r="G7052" i="1"/>
  <c r="F7052" i="1"/>
  <c r="E7052" i="1"/>
  <c r="G7051" i="1"/>
  <c r="F7051" i="1"/>
  <c r="E7051" i="1"/>
  <c r="G7050" i="1"/>
  <c r="F7050" i="1"/>
  <c r="E7050" i="1"/>
  <c r="G7049" i="1"/>
  <c r="F7049" i="1"/>
  <c r="E7049" i="1"/>
  <c r="G7048" i="1"/>
  <c r="F7048" i="1"/>
  <c r="E7048" i="1"/>
  <c r="G7047" i="1"/>
  <c r="F7047" i="1"/>
  <c r="E7047" i="1"/>
  <c r="G7046" i="1"/>
  <c r="F7046" i="1"/>
  <c r="E7046" i="1"/>
  <c r="G7045" i="1"/>
  <c r="F7045" i="1"/>
  <c r="E7045" i="1"/>
  <c r="G7044" i="1"/>
  <c r="F7044" i="1"/>
  <c r="E7044" i="1"/>
  <c r="G7043" i="1"/>
  <c r="F7043" i="1"/>
  <c r="E7043" i="1"/>
  <c r="G7042" i="1"/>
  <c r="F7042" i="1"/>
  <c r="E7042" i="1"/>
  <c r="G7041" i="1"/>
  <c r="F7041" i="1"/>
  <c r="E7041" i="1"/>
  <c r="G7040" i="1"/>
  <c r="F7040" i="1"/>
  <c r="E7040" i="1"/>
  <c r="G7039" i="1"/>
  <c r="F7039" i="1"/>
  <c r="E7039" i="1"/>
  <c r="G7038" i="1"/>
  <c r="F7038" i="1"/>
  <c r="E7038" i="1"/>
  <c r="G7037" i="1"/>
  <c r="F7037" i="1"/>
  <c r="E7037" i="1"/>
  <c r="G7036" i="1"/>
  <c r="F7036" i="1"/>
  <c r="E7036" i="1"/>
  <c r="G7035" i="1"/>
  <c r="F7035" i="1"/>
  <c r="E7035" i="1"/>
  <c r="G7034" i="1"/>
  <c r="F7034" i="1"/>
  <c r="E7034" i="1"/>
  <c r="G7033" i="1"/>
  <c r="F7033" i="1"/>
  <c r="E7033" i="1"/>
  <c r="G7032" i="1"/>
  <c r="F7032" i="1"/>
  <c r="E7032" i="1"/>
  <c r="G7031" i="1"/>
  <c r="F7031" i="1"/>
  <c r="E7031" i="1"/>
  <c r="G7030" i="1"/>
  <c r="F7030" i="1"/>
  <c r="E7030" i="1"/>
  <c r="G7029" i="1"/>
  <c r="F7029" i="1"/>
  <c r="E7029" i="1"/>
  <c r="G7028" i="1"/>
  <c r="F7028" i="1"/>
  <c r="E7028" i="1"/>
  <c r="G7027" i="1"/>
  <c r="F7027" i="1"/>
  <c r="E7027" i="1"/>
  <c r="G7026" i="1"/>
  <c r="F7026" i="1"/>
  <c r="E7026" i="1"/>
  <c r="G7025" i="1"/>
  <c r="F7025" i="1"/>
  <c r="E7025" i="1"/>
  <c r="G7024" i="1"/>
  <c r="F7024" i="1"/>
  <c r="E7024" i="1"/>
  <c r="G7023" i="1"/>
  <c r="F7023" i="1"/>
  <c r="E7023" i="1"/>
  <c r="G7022" i="1"/>
  <c r="F7022" i="1"/>
  <c r="E7022" i="1"/>
  <c r="G7021" i="1"/>
  <c r="F7021" i="1"/>
  <c r="E7021" i="1"/>
  <c r="G7020" i="1"/>
  <c r="F7020" i="1"/>
  <c r="E7020" i="1"/>
  <c r="G7019" i="1"/>
  <c r="F7019" i="1"/>
  <c r="E7019" i="1"/>
  <c r="G7018" i="1"/>
  <c r="F7018" i="1"/>
  <c r="E7018" i="1"/>
  <c r="G7017" i="1"/>
  <c r="F7017" i="1"/>
  <c r="E7017" i="1"/>
  <c r="G7016" i="1"/>
  <c r="F7016" i="1"/>
  <c r="E7016" i="1"/>
  <c r="G7015" i="1"/>
  <c r="F7015" i="1"/>
  <c r="E7015" i="1"/>
  <c r="G7014" i="1"/>
  <c r="F7014" i="1"/>
  <c r="E7014" i="1"/>
  <c r="G7013" i="1"/>
  <c r="F7013" i="1"/>
  <c r="E7013" i="1"/>
  <c r="G7012" i="1"/>
  <c r="F7012" i="1"/>
  <c r="E7012" i="1"/>
  <c r="G7011" i="1"/>
  <c r="F7011" i="1"/>
  <c r="E7011" i="1"/>
  <c r="G7010" i="1"/>
  <c r="F7010" i="1"/>
  <c r="E7010" i="1"/>
  <c r="G7009" i="1"/>
  <c r="F7009" i="1"/>
  <c r="E7009" i="1"/>
  <c r="G7008" i="1"/>
  <c r="F7008" i="1"/>
  <c r="E7008" i="1"/>
  <c r="G7007" i="1"/>
  <c r="F7007" i="1"/>
  <c r="E7007" i="1"/>
  <c r="G7006" i="1"/>
  <c r="F7006" i="1"/>
  <c r="E7006" i="1"/>
  <c r="G7005" i="1"/>
  <c r="F7005" i="1"/>
  <c r="E7005" i="1"/>
  <c r="G7004" i="1"/>
  <c r="F7004" i="1"/>
  <c r="E7004" i="1"/>
  <c r="G7003" i="1"/>
  <c r="F7003" i="1"/>
  <c r="E7003" i="1"/>
  <c r="G7002" i="1"/>
  <c r="F7002" i="1"/>
  <c r="E7002" i="1"/>
  <c r="G7001" i="1"/>
  <c r="F7001" i="1"/>
  <c r="E7001" i="1"/>
  <c r="G7000" i="1"/>
  <c r="F7000" i="1"/>
  <c r="E7000" i="1"/>
  <c r="G6999" i="1"/>
  <c r="F6999" i="1"/>
  <c r="E6999" i="1"/>
  <c r="G6998" i="1"/>
  <c r="F6998" i="1"/>
  <c r="E6998" i="1"/>
  <c r="G6997" i="1"/>
  <c r="F6997" i="1"/>
  <c r="E6997" i="1"/>
  <c r="G6996" i="1"/>
  <c r="F6996" i="1"/>
  <c r="E6996" i="1"/>
  <c r="G6995" i="1"/>
  <c r="F6995" i="1"/>
  <c r="E6995" i="1"/>
  <c r="G6994" i="1"/>
  <c r="F6994" i="1"/>
  <c r="E6994" i="1"/>
  <c r="G6993" i="1"/>
  <c r="F6993" i="1"/>
  <c r="E6993" i="1"/>
  <c r="G6992" i="1"/>
  <c r="F6992" i="1"/>
  <c r="E6992" i="1"/>
  <c r="G6991" i="1"/>
  <c r="F6991" i="1"/>
  <c r="E6991" i="1"/>
  <c r="G6990" i="1"/>
  <c r="F6990" i="1"/>
  <c r="E6990" i="1"/>
  <c r="G6989" i="1"/>
  <c r="F6989" i="1"/>
  <c r="E6989" i="1"/>
  <c r="G6988" i="1"/>
  <c r="F6988" i="1"/>
  <c r="E6988" i="1"/>
  <c r="G6987" i="1"/>
  <c r="F6987" i="1"/>
  <c r="E6987" i="1"/>
  <c r="G6986" i="1"/>
  <c r="F6986" i="1"/>
  <c r="E6986" i="1"/>
  <c r="G6985" i="1"/>
  <c r="F6985" i="1"/>
  <c r="E6985" i="1"/>
  <c r="G6984" i="1"/>
  <c r="F6984" i="1"/>
  <c r="E6984" i="1"/>
  <c r="G6983" i="1"/>
  <c r="F6983" i="1"/>
  <c r="E6983" i="1"/>
  <c r="G6982" i="1"/>
  <c r="F6982" i="1"/>
  <c r="E6982" i="1"/>
  <c r="G6981" i="1"/>
  <c r="F6981" i="1"/>
  <c r="E6981" i="1"/>
  <c r="G6980" i="1"/>
  <c r="F6980" i="1"/>
  <c r="E6980" i="1"/>
  <c r="G6979" i="1"/>
  <c r="F6979" i="1"/>
  <c r="E6979" i="1"/>
  <c r="G6978" i="1"/>
  <c r="F6978" i="1"/>
  <c r="E6978" i="1"/>
  <c r="G6977" i="1"/>
  <c r="F6977" i="1"/>
  <c r="E6977" i="1"/>
  <c r="G6976" i="1"/>
  <c r="F6976" i="1"/>
  <c r="E6976" i="1"/>
  <c r="G6975" i="1"/>
  <c r="F6975" i="1"/>
  <c r="E6975" i="1"/>
  <c r="G6974" i="1"/>
  <c r="F6974" i="1"/>
  <c r="E6974" i="1"/>
  <c r="G6973" i="1"/>
  <c r="F6973" i="1"/>
  <c r="E6973" i="1"/>
  <c r="G6972" i="1"/>
  <c r="F6972" i="1"/>
  <c r="E6972" i="1"/>
  <c r="G6971" i="1"/>
  <c r="F6971" i="1"/>
  <c r="E6971" i="1"/>
  <c r="G6970" i="1"/>
  <c r="F6970" i="1"/>
  <c r="E6970" i="1"/>
  <c r="G6969" i="1"/>
  <c r="F6969" i="1"/>
  <c r="E6969" i="1"/>
  <c r="G6968" i="1"/>
  <c r="F6968" i="1"/>
  <c r="E6968" i="1"/>
  <c r="G6967" i="1"/>
  <c r="F6967" i="1"/>
  <c r="E6967" i="1"/>
  <c r="G6966" i="1"/>
  <c r="F6966" i="1"/>
  <c r="E6966" i="1"/>
  <c r="G6965" i="1"/>
  <c r="F6965" i="1"/>
  <c r="E6965" i="1"/>
  <c r="G6964" i="1"/>
  <c r="F6964" i="1"/>
  <c r="E6964" i="1"/>
  <c r="G6963" i="1"/>
  <c r="F6963" i="1"/>
  <c r="E6963" i="1"/>
  <c r="G6962" i="1"/>
  <c r="F6962" i="1"/>
  <c r="E6962" i="1"/>
  <c r="G6961" i="1"/>
  <c r="F6961" i="1"/>
  <c r="E6961" i="1"/>
  <c r="G6960" i="1"/>
  <c r="F6960" i="1"/>
  <c r="E6960" i="1"/>
  <c r="G6959" i="1"/>
  <c r="F6959" i="1"/>
  <c r="E6959" i="1"/>
  <c r="G6958" i="1"/>
  <c r="F6958" i="1"/>
  <c r="E6958" i="1"/>
  <c r="G6957" i="1"/>
  <c r="F6957" i="1"/>
  <c r="E6957" i="1"/>
  <c r="G6956" i="1"/>
  <c r="F6956" i="1"/>
  <c r="E6956" i="1"/>
  <c r="G6955" i="1"/>
  <c r="F6955" i="1"/>
  <c r="E6955" i="1"/>
  <c r="G6954" i="1"/>
  <c r="F6954" i="1"/>
  <c r="E6954" i="1"/>
  <c r="G6953" i="1"/>
  <c r="F6953" i="1"/>
  <c r="E6953" i="1"/>
  <c r="G6952" i="1"/>
  <c r="F6952" i="1"/>
  <c r="E6952" i="1"/>
  <c r="G6951" i="1"/>
  <c r="F6951" i="1"/>
  <c r="E6951" i="1"/>
  <c r="G6950" i="1"/>
  <c r="F6950" i="1"/>
  <c r="E6950" i="1"/>
  <c r="G6949" i="1"/>
  <c r="F6949" i="1"/>
  <c r="E6949" i="1"/>
  <c r="G6948" i="1"/>
  <c r="F6948" i="1"/>
  <c r="E6948" i="1"/>
  <c r="G6947" i="1"/>
  <c r="F6947" i="1"/>
  <c r="E6947" i="1"/>
  <c r="G6946" i="1"/>
  <c r="F6946" i="1"/>
  <c r="E6946" i="1"/>
  <c r="G6945" i="1"/>
  <c r="F6945" i="1"/>
  <c r="E6945" i="1"/>
  <c r="G6944" i="1"/>
  <c r="F6944" i="1"/>
  <c r="E6944" i="1"/>
  <c r="G6943" i="1"/>
  <c r="F6943" i="1"/>
  <c r="E6943" i="1"/>
  <c r="G6942" i="1"/>
  <c r="F6942" i="1"/>
  <c r="E6942" i="1"/>
  <c r="G6941" i="1"/>
  <c r="F6941" i="1"/>
  <c r="E6941" i="1"/>
  <c r="G6940" i="1"/>
  <c r="F6940" i="1"/>
  <c r="E6940" i="1"/>
  <c r="G6939" i="1"/>
  <c r="F6939" i="1"/>
  <c r="E6939" i="1"/>
  <c r="G6938" i="1"/>
  <c r="F6938" i="1"/>
  <c r="E6938" i="1"/>
  <c r="G6937" i="1"/>
  <c r="F6937" i="1"/>
  <c r="E6937" i="1"/>
  <c r="G6936" i="1"/>
  <c r="F6936" i="1"/>
  <c r="E6936" i="1"/>
  <c r="G6935" i="1"/>
  <c r="F6935" i="1"/>
  <c r="E6935" i="1"/>
  <c r="G6934" i="1"/>
  <c r="F6934" i="1"/>
  <c r="E6934" i="1"/>
  <c r="G6933" i="1"/>
  <c r="F6933" i="1"/>
  <c r="E6933" i="1"/>
  <c r="G6932" i="1"/>
  <c r="F6932" i="1"/>
  <c r="E6932" i="1"/>
  <c r="G6931" i="1"/>
  <c r="F6931" i="1"/>
  <c r="E6931" i="1"/>
  <c r="G6930" i="1"/>
  <c r="F6930" i="1"/>
  <c r="E6930" i="1"/>
  <c r="G6929" i="1"/>
  <c r="F6929" i="1"/>
  <c r="E6929" i="1"/>
  <c r="G6928" i="1"/>
  <c r="F6928" i="1"/>
  <c r="E6928" i="1"/>
  <c r="G6927" i="1"/>
  <c r="F6927" i="1"/>
  <c r="E6927" i="1"/>
  <c r="G6926" i="1"/>
  <c r="F6926" i="1"/>
  <c r="E6926" i="1"/>
  <c r="G6925" i="1"/>
  <c r="F6925" i="1"/>
  <c r="E6925" i="1"/>
  <c r="G6924" i="1"/>
  <c r="F6924" i="1"/>
  <c r="E6924" i="1"/>
  <c r="G6923" i="1"/>
  <c r="F6923" i="1"/>
  <c r="E6923" i="1"/>
  <c r="G6922" i="1"/>
  <c r="F6922" i="1"/>
  <c r="E6922" i="1"/>
  <c r="G6921" i="1"/>
  <c r="F6921" i="1"/>
  <c r="E6921" i="1"/>
  <c r="G6920" i="1"/>
  <c r="F6920" i="1"/>
  <c r="E6920" i="1"/>
  <c r="G6919" i="1"/>
  <c r="F6919" i="1"/>
  <c r="E6919" i="1"/>
  <c r="G6918" i="1"/>
  <c r="F6918" i="1"/>
  <c r="E6918" i="1"/>
  <c r="G6917" i="1"/>
  <c r="F6917" i="1"/>
  <c r="E6917" i="1"/>
  <c r="G6916" i="1"/>
  <c r="F6916" i="1"/>
  <c r="E6916" i="1"/>
  <c r="G6915" i="1"/>
  <c r="F6915" i="1"/>
  <c r="E6915" i="1"/>
  <c r="G6914" i="1"/>
  <c r="F6914" i="1"/>
  <c r="E6914" i="1"/>
  <c r="G6913" i="1"/>
  <c r="F6913" i="1"/>
  <c r="E6913" i="1"/>
  <c r="G6912" i="1"/>
  <c r="F6912" i="1"/>
  <c r="E6912" i="1"/>
  <c r="G6911" i="1"/>
  <c r="F6911" i="1"/>
  <c r="E6911" i="1"/>
  <c r="G6910" i="1"/>
  <c r="F6910" i="1"/>
  <c r="E6910" i="1"/>
  <c r="G6909" i="1"/>
  <c r="F6909" i="1"/>
  <c r="E6909" i="1"/>
  <c r="G6908" i="1"/>
  <c r="F6908" i="1"/>
  <c r="E6908" i="1"/>
  <c r="G6907" i="1"/>
  <c r="F6907" i="1"/>
  <c r="E6907" i="1"/>
  <c r="G6906" i="1"/>
  <c r="F6906" i="1"/>
  <c r="E6906" i="1"/>
  <c r="G6905" i="1"/>
  <c r="F6905" i="1"/>
  <c r="E6905" i="1"/>
  <c r="G6904" i="1"/>
  <c r="F6904" i="1"/>
  <c r="E6904" i="1"/>
  <c r="G6903" i="1"/>
  <c r="F6903" i="1"/>
  <c r="E6903" i="1"/>
  <c r="G6902" i="1"/>
  <c r="F6902" i="1"/>
  <c r="E6902" i="1"/>
  <c r="G6901" i="1"/>
  <c r="F6901" i="1"/>
  <c r="E6901" i="1"/>
  <c r="G6900" i="1"/>
  <c r="F6900" i="1"/>
  <c r="E6900" i="1"/>
  <c r="G6899" i="1"/>
  <c r="F6899" i="1"/>
  <c r="E6899" i="1"/>
  <c r="G6898" i="1"/>
  <c r="F6898" i="1"/>
  <c r="E6898" i="1"/>
  <c r="G6897" i="1"/>
  <c r="F6897" i="1"/>
  <c r="E6897" i="1"/>
  <c r="G6896" i="1"/>
  <c r="F6896" i="1"/>
  <c r="E6896" i="1"/>
  <c r="G6895" i="1"/>
  <c r="F6895" i="1"/>
  <c r="E6895" i="1"/>
  <c r="G6894" i="1"/>
  <c r="F6894" i="1"/>
  <c r="E6894" i="1"/>
  <c r="G6893" i="1"/>
  <c r="F6893" i="1"/>
  <c r="E6893" i="1"/>
  <c r="G6892" i="1"/>
  <c r="F6892" i="1"/>
  <c r="E6892" i="1"/>
  <c r="G6891" i="1"/>
  <c r="F6891" i="1"/>
  <c r="E6891" i="1"/>
  <c r="G6890" i="1"/>
  <c r="F6890" i="1"/>
  <c r="E6890" i="1"/>
  <c r="G6889" i="1"/>
  <c r="F6889" i="1"/>
  <c r="E6889" i="1"/>
  <c r="G6888" i="1"/>
  <c r="F6888" i="1"/>
  <c r="E6888" i="1"/>
  <c r="G6887" i="1"/>
  <c r="F6887" i="1"/>
  <c r="E6887" i="1"/>
  <c r="G6886" i="1"/>
  <c r="F6886" i="1"/>
  <c r="E6886" i="1"/>
  <c r="G6885" i="1"/>
  <c r="F6885" i="1"/>
  <c r="E6885" i="1"/>
  <c r="G6884" i="1"/>
  <c r="F6884" i="1"/>
  <c r="E6884" i="1"/>
  <c r="G6883" i="1"/>
  <c r="F6883" i="1"/>
  <c r="E6883" i="1"/>
  <c r="G6882" i="1"/>
  <c r="F6882" i="1"/>
  <c r="E6882" i="1"/>
  <c r="G6881" i="1"/>
  <c r="F6881" i="1"/>
  <c r="E6881" i="1"/>
  <c r="G6880" i="1"/>
  <c r="F6880" i="1"/>
  <c r="E6880" i="1"/>
  <c r="G6879" i="1"/>
  <c r="F6879" i="1"/>
  <c r="E6879" i="1"/>
  <c r="G6878" i="1"/>
  <c r="F6878" i="1"/>
  <c r="E6878" i="1"/>
  <c r="G6877" i="1"/>
  <c r="F6877" i="1"/>
  <c r="E6877" i="1"/>
  <c r="G6876" i="1"/>
  <c r="F6876" i="1"/>
  <c r="E6876" i="1"/>
  <c r="G6875" i="1"/>
  <c r="F6875" i="1"/>
  <c r="E6875" i="1"/>
  <c r="G6874" i="1"/>
  <c r="F6874" i="1"/>
  <c r="E6874" i="1"/>
  <c r="G6873" i="1"/>
  <c r="F6873" i="1"/>
  <c r="E6873" i="1"/>
  <c r="G6872" i="1"/>
  <c r="F6872" i="1"/>
  <c r="E6872" i="1"/>
  <c r="G6871" i="1"/>
  <c r="F6871" i="1"/>
  <c r="E6871" i="1"/>
  <c r="G6870" i="1"/>
  <c r="F6870" i="1"/>
  <c r="E6870" i="1"/>
  <c r="G6869" i="1"/>
  <c r="F6869" i="1"/>
  <c r="E6869" i="1"/>
  <c r="G6868" i="1"/>
  <c r="F6868" i="1"/>
  <c r="E6868" i="1"/>
  <c r="G6867" i="1"/>
  <c r="F6867" i="1"/>
  <c r="E6867" i="1"/>
  <c r="G6866" i="1"/>
  <c r="F6866" i="1"/>
  <c r="E6866" i="1"/>
  <c r="G6865" i="1"/>
  <c r="F6865" i="1"/>
  <c r="E6865" i="1"/>
  <c r="G6864" i="1"/>
  <c r="F6864" i="1"/>
  <c r="E6864" i="1"/>
  <c r="G6863" i="1"/>
  <c r="F6863" i="1"/>
  <c r="E6863" i="1"/>
  <c r="G6862" i="1"/>
  <c r="F6862" i="1"/>
  <c r="E6862" i="1"/>
  <c r="G6861" i="1"/>
  <c r="F6861" i="1"/>
  <c r="E6861" i="1"/>
  <c r="G6860" i="1"/>
  <c r="F6860" i="1"/>
  <c r="E6860" i="1"/>
  <c r="G6859" i="1"/>
  <c r="F6859" i="1"/>
  <c r="E6859" i="1"/>
  <c r="G6858" i="1"/>
  <c r="F6858" i="1"/>
  <c r="E6858" i="1"/>
  <c r="G6857" i="1"/>
  <c r="F6857" i="1"/>
  <c r="E6857" i="1"/>
  <c r="G6856" i="1"/>
  <c r="F6856" i="1"/>
  <c r="E6856" i="1"/>
  <c r="G6855" i="1"/>
  <c r="F6855" i="1"/>
  <c r="E6855" i="1"/>
  <c r="G6854" i="1"/>
  <c r="F6854" i="1"/>
  <c r="E6854" i="1"/>
  <c r="G6853" i="1"/>
  <c r="F6853" i="1"/>
  <c r="E6853" i="1"/>
  <c r="G6852" i="1"/>
  <c r="F6852" i="1"/>
  <c r="E6852" i="1"/>
  <c r="G6851" i="1"/>
  <c r="F6851" i="1"/>
  <c r="E6851" i="1"/>
  <c r="G6850" i="1"/>
  <c r="F6850" i="1"/>
  <c r="E6850" i="1"/>
  <c r="G6849" i="1"/>
  <c r="F6849" i="1"/>
  <c r="E6849" i="1"/>
  <c r="G6848" i="1"/>
  <c r="F6848" i="1"/>
  <c r="E6848" i="1"/>
  <c r="G6847" i="1"/>
  <c r="F6847" i="1"/>
  <c r="E6847" i="1"/>
  <c r="G6846" i="1"/>
  <c r="F6846" i="1"/>
  <c r="E6846" i="1"/>
  <c r="G6845" i="1"/>
  <c r="F6845" i="1"/>
  <c r="E6845" i="1"/>
  <c r="G6844" i="1"/>
  <c r="F6844" i="1"/>
  <c r="E6844" i="1"/>
  <c r="G6843" i="1"/>
  <c r="F6843" i="1"/>
  <c r="E6843" i="1"/>
  <c r="G6842" i="1"/>
  <c r="F6842" i="1"/>
  <c r="E6842" i="1"/>
  <c r="G6841" i="1"/>
  <c r="F6841" i="1"/>
  <c r="E6841" i="1"/>
  <c r="G6840" i="1"/>
  <c r="F6840" i="1"/>
  <c r="E6840" i="1"/>
  <c r="G6839" i="1"/>
  <c r="F6839" i="1"/>
  <c r="E6839" i="1"/>
  <c r="G6838" i="1"/>
  <c r="F6838" i="1"/>
  <c r="E6838" i="1"/>
  <c r="G6837" i="1"/>
  <c r="F6837" i="1"/>
  <c r="E6837" i="1"/>
  <c r="G6836" i="1"/>
  <c r="F6836" i="1"/>
  <c r="E6836" i="1"/>
  <c r="G6835" i="1"/>
  <c r="F6835" i="1"/>
  <c r="E6835" i="1"/>
  <c r="G6834" i="1"/>
  <c r="F6834" i="1"/>
  <c r="E6834" i="1"/>
  <c r="G6833" i="1"/>
  <c r="F6833" i="1"/>
  <c r="E6833" i="1"/>
  <c r="G6832" i="1"/>
  <c r="F6832" i="1"/>
  <c r="E6832" i="1"/>
  <c r="G6831" i="1"/>
  <c r="F6831" i="1"/>
  <c r="E6831" i="1"/>
  <c r="G6830" i="1"/>
  <c r="F6830" i="1"/>
  <c r="E6830" i="1"/>
  <c r="G6829" i="1"/>
  <c r="F6829" i="1"/>
  <c r="E6829" i="1"/>
  <c r="G6828" i="1"/>
  <c r="F6828" i="1"/>
  <c r="E6828" i="1"/>
  <c r="G6827" i="1"/>
  <c r="F6827" i="1"/>
  <c r="E6827" i="1"/>
  <c r="G6826" i="1"/>
  <c r="F6826" i="1"/>
  <c r="E6826" i="1"/>
  <c r="G6825" i="1"/>
  <c r="F6825" i="1"/>
  <c r="E6825" i="1"/>
  <c r="G6824" i="1"/>
  <c r="F6824" i="1"/>
  <c r="E6824" i="1"/>
  <c r="G6823" i="1"/>
  <c r="F6823" i="1"/>
  <c r="E6823" i="1"/>
  <c r="G6822" i="1"/>
  <c r="F6822" i="1"/>
  <c r="E6822" i="1"/>
  <c r="G6821" i="1"/>
  <c r="F6821" i="1"/>
  <c r="E6821" i="1"/>
  <c r="G6820" i="1"/>
  <c r="F6820" i="1"/>
  <c r="E6820" i="1"/>
  <c r="G6819" i="1"/>
  <c r="F6819" i="1"/>
  <c r="E6819" i="1"/>
  <c r="G6818" i="1"/>
  <c r="F6818" i="1"/>
  <c r="E6818" i="1"/>
  <c r="G6817" i="1"/>
  <c r="F6817" i="1"/>
  <c r="E6817" i="1"/>
  <c r="G6816" i="1"/>
  <c r="F6816" i="1"/>
  <c r="E6816" i="1"/>
  <c r="G6815" i="1"/>
  <c r="F6815" i="1"/>
  <c r="E6815" i="1"/>
  <c r="G6814" i="1"/>
  <c r="F6814" i="1"/>
  <c r="E6814" i="1"/>
  <c r="G6813" i="1"/>
  <c r="F6813" i="1"/>
  <c r="E6813" i="1"/>
  <c r="G6812" i="1"/>
  <c r="F6812" i="1"/>
  <c r="E6812" i="1"/>
  <c r="G6811" i="1"/>
  <c r="F6811" i="1"/>
  <c r="E6811" i="1"/>
  <c r="G6810" i="1"/>
  <c r="F6810" i="1"/>
  <c r="E6810" i="1"/>
  <c r="G6809" i="1"/>
  <c r="F6809" i="1"/>
  <c r="E6809" i="1"/>
  <c r="G6808" i="1"/>
  <c r="F6808" i="1"/>
  <c r="E6808" i="1"/>
  <c r="G6807" i="1"/>
  <c r="F6807" i="1"/>
  <c r="E6807" i="1"/>
  <c r="G6806" i="1"/>
  <c r="F6806" i="1"/>
  <c r="E6806" i="1"/>
  <c r="G6805" i="1"/>
  <c r="F6805" i="1"/>
  <c r="E6805" i="1"/>
  <c r="G6804" i="1"/>
  <c r="F6804" i="1"/>
  <c r="E6804" i="1"/>
  <c r="G6803" i="1"/>
  <c r="F6803" i="1"/>
  <c r="E6803" i="1"/>
  <c r="G6802" i="1"/>
  <c r="F6802" i="1"/>
  <c r="E6802" i="1"/>
  <c r="G6801" i="1"/>
  <c r="F6801" i="1"/>
  <c r="E6801" i="1"/>
  <c r="G6800" i="1"/>
  <c r="F6800" i="1"/>
  <c r="E6800" i="1"/>
  <c r="G6799" i="1"/>
  <c r="F6799" i="1"/>
  <c r="E6799" i="1"/>
  <c r="G6798" i="1"/>
  <c r="F6798" i="1"/>
  <c r="E6798" i="1"/>
  <c r="G6797" i="1"/>
  <c r="F6797" i="1"/>
  <c r="E6797" i="1"/>
  <c r="G6796" i="1"/>
  <c r="F6796" i="1"/>
  <c r="E6796" i="1"/>
  <c r="G6795" i="1"/>
  <c r="F6795" i="1"/>
  <c r="E6795" i="1"/>
  <c r="G6794" i="1"/>
  <c r="F6794" i="1"/>
  <c r="E6794" i="1"/>
  <c r="G6793" i="1"/>
  <c r="F6793" i="1"/>
  <c r="E6793" i="1"/>
  <c r="G6792" i="1"/>
  <c r="F6792" i="1"/>
  <c r="E6792" i="1"/>
  <c r="G6791" i="1"/>
  <c r="F6791" i="1"/>
  <c r="E6791" i="1"/>
  <c r="G6790" i="1"/>
  <c r="F6790" i="1"/>
  <c r="E6790" i="1"/>
  <c r="G6789" i="1"/>
  <c r="F6789" i="1"/>
  <c r="E6789" i="1"/>
  <c r="G6788" i="1"/>
  <c r="F6788" i="1"/>
  <c r="E6788" i="1"/>
  <c r="G6787" i="1"/>
  <c r="F6787" i="1"/>
  <c r="E6787" i="1"/>
  <c r="G6786" i="1"/>
  <c r="F6786" i="1"/>
  <c r="E6786" i="1"/>
  <c r="G6785" i="1"/>
  <c r="F6785" i="1"/>
  <c r="E6785" i="1"/>
  <c r="G6784" i="1"/>
  <c r="F6784" i="1"/>
  <c r="E6784" i="1"/>
  <c r="G6783" i="1"/>
  <c r="F6783" i="1"/>
  <c r="E6783" i="1"/>
  <c r="G6782" i="1"/>
  <c r="F6782" i="1"/>
  <c r="E6782" i="1"/>
  <c r="G6781" i="1"/>
  <c r="F6781" i="1"/>
  <c r="E6781" i="1"/>
  <c r="G6780" i="1"/>
  <c r="F6780" i="1"/>
  <c r="E6780" i="1"/>
  <c r="G6779" i="1"/>
  <c r="F6779" i="1"/>
  <c r="E6779" i="1"/>
  <c r="G6778" i="1"/>
  <c r="F6778" i="1"/>
  <c r="E6778" i="1"/>
  <c r="G6777" i="1"/>
  <c r="F6777" i="1"/>
  <c r="E6777" i="1"/>
  <c r="G6776" i="1"/>
  <c r="F6776" i="1"/>
  <c r="E6776" i="1"/>
  <c r="G6775" i="1"/>
  <c r="F6775" i="1"/>
  <c r="E6775" i="1"/>
  <c r="G6774" i="1"/>
  <c r="F6774" i="1"/>
  <c r="E6774" i="1"/>
  <c r="G6773" i="1"/>
  <c r="F6773" i="1"/>
  <c r="E6773" i="1"/>
  <c r="G6772" i="1"/>
  <c r="F6772" i="1"/>
  <c r="E6772" i="1"/>
  <c r="G6771" i="1"/>
  <c r="F6771" i="1"/>
  <c r="E6771" i="1"/>
  <c r="G6770" i="1"/>
  <c r="F6770" i="1"/>
  <c r="E6770" i="1"/>
  <c r="G6769" i="1"/>
  <c r="F6769" i="1"/>
  <c r="E6769" i="1"/>
  <c r="G6768" i="1"/>
  <c r="F6768" i="1"/>
  <c r="E6768" i="1"/>
  <c r="G6767" i="1"/>
  <c r="F6767" i="1"/>
  <c r="E6767" i="1"/>
  <c r="G6766" i="1"/>
  <c r="F6766" i="1"/>
  <c r="E6766" i="1"/>
  <c r="G6765" i="1"/>
  <c r="F6765" i="1"/>
  <c r="E6765" i="1"/>
  <c r="G6764" i="1"/>
  <c r="F6764" i="1"/>
  <c r="E6764" i="1"/>
  <c r="G6763" i="1"/>
  <c r="F6763" i="1"/>
  <c r="E6763" i="1"/>
  <c r="G6762" i="1"/>
  <c r="F6762" i="1"/>
  <c r="E6762" i="1"/>
  <c r="G6761" i="1"/>
  <c r="F6761" i="1"/>
  <c r="E6761" i="1"/>
  <c r="G6760" i="1"/>
  <c r="F6760" i="1"/>
  <c r="E6760" i="1"/>
  <c r="G6759" i="1"/>
  <c r="F6759" i="1"/>
  <c r="E6759" i="1"/>
  <c r="G6758" i="1"/>
  <c r="F6758" i="1"/>
  <c r="E6758" i="1"/>
  <c r="G6757" i="1"/>
  <c r="F6757" i="1"/>
  <c r="E6757" i="1"/>
  <c r="G6756" i="1"/>
  <c r="F6756" i="1"/>
  <c r="E6756" i="1"/>
  <c r="G6755" i="1"/>
  <c r="F6755" i="1"/>
  <c r="E6755" i="1"/>
  <c r="G6754" i="1"/>
  <c r="F6754" i="1"/>
  <c r="E6754" i="1"/>
  <c r="G6753" i="1"/>
  <c r="F6753" i="1"/>
  <c r="E6753" i="1"/>
  <c r="G6752" i="1"/>
  <c r="F6752" i="1"/>
  <c r="E6752" i="1"/>
  <c r="G6751" i="1"/>
  <c r="F6751" i="1"/>
  <c r="E6751" i="1"/>
  <c r="G6750" i="1"/>
  <c r="F6750" i="1"/>
  <c r="E6750" i="1"/>
  <c r="G6749" i="1"/>
  <c r="F6749" i="1"/>
  <c r="E6749" i="1"/>
  <c r="G6748" i="1"/>
  <c r="F6748" i="1"/>
  <c r="E6748" i="1"/>
  <c r="G6747" i="1"/>
  <c r="F6747" i="1"/>
  <c r="E6747" i="1"/>
  <c r="G6746" i="1"/>
  <c r="F6746" i="1"/>
  <c r="E6746" i="1"/>
  <c r="G6745" i="1"/>
  <c r="F6745" i="1"/>
  <c r="E6745" i="1"/>
  <c r="G6744" i="1"/>
  <c r="F6744" i="1"/>
  <c r="E6744" i="1"/>
  <c r="G6743" i="1"/>
  <c r="F6743" i="1"/>
  <c r="E6743" i="1"/>
  <c r="G6742" i="1"/>
  <c r="F6742" i="1"/>
  <c r="E6742" i="1"/>
  <c r="G6741" i="1"/>
  <c r="F6741" i="1"/>
  <c r="E6741" i="1"/>
  <c r="G6740" i="1"/>
  <c r="F6740" i="1"/>
  <c r="E6740" i="1"/>
  <c r="G6739" i="1"/>
  <c r="F6739" i="1"/>
  <c r="E6739" i="1"/>
  <c r="G6738" i="1"/>
  <c r="F6738" i="1"/>
  <c r="E6738" i="1"/>
  <c r="G6737" i="1"/>
  <c r="F6737" i="1"/>
  <c r="E6737" i="1"/>
  <c r="G6736" i="1"/>
  <c r="F6736" i="1"/>
  <c r="E6736" i="1"/>
  <c r="G6735" i="1"/>
  <c r="F6735" i="1"/>
  <c r="E6735" i="1"/>
  <c r="G6734" i="1"/>
  <c r="F6734" i="1"/>
  <c r="E6734" i="1"/>
  <c r="G6733" i="1"/>
  <c r="F6733" i="1"/>
  <c r="E6733" i="1"/>
  <c r="G6732" i="1"/>
  <c r="F6732" i="1"/>
  <c r="E6732" i="1"/>
  <c r="G6731" i="1"/>
  <c r="F6731" i="1"/>
  <c r="E6731" i="1"/>
  <c r="G6730" i="1"/>
  <c r="F6730" i="1"/>
  <c r="E6730" i="1"/>
  <c r="G6729" i="1"/>
  <c r="F6729" i="1"/>
  <c r="E6729" i="1"/>
  <c r="G6728" i="1"/>
  <c r="F6728" i="1"/>
  <c r="E6728" i="1"/>
  <c r="G6727" i="1"/>
  <c r="F6727" i="1"/>
  <c r="E6727" i="1"/>
  <c r="G6726" i="1"/>
  <c r="F6726" i="1"/>
  <c r="E6726" i="1"/>
  <c r="G6725" i="1"/>
  <c r="F6725" i="1"/>
  <c r="E6725" i="1"/>
  <c r="G6724" i="1"/>
  <c r="F6724" i="1"/>
  <c r="E6724" i="1"/>
  <c r="G6723" i="1"/>
  <c r="F6723" i="1"/>
  <c r="E6723" i="1"/>
  <c r="G6722" i="1"/>
  <c r="F6722" i="1"/>
  <c r="E6722" i="1"/>
  <c r="G6721" i="1"/>
  <c r="F6721" i="1"/>
  <c r="E6721" i="1"/>
  <c r="G6720" i="1"/>
  <c r="F6720" i="1"/>
  <c r="E6720" i="1"/>
  <c r="G6719" i="1"/>
  <c r="F6719" i="1"/>
  <c r="E6719" i="1"/>
  <c r="G6718" i="1"/>
  <c r="F6718" i="1"/>
  <c r="E6718" i="1"/>
  <c r="G6717" i="1"/>
  <c r="F6717" i="1"/>
  <c r="E6717" i="1"/>
  <c r="G6716" i="1"/>
  <c r="F6716" i="1"/>
  <c r="E6716" i="1"/>
  <c r="G6715" i="1"/>
  <c r="F6715" i="1"/>
  <c r="E6715" i="1"/>
  <c r="G6714" i="1"/>
  <c r="F6714" i="1"/>
  <c r="E6714" i="1"/>
  <c r="G6713" i="1"/>
  <c r="F6713" i="1"/>
  <c r="E6713" i="1"/>
  <c r="G6712" i="1"/>
  <c r="F6712" i="1"/>
  <c r="E6712" i="1"/>
  <c r="G6711" i="1"/>
  <c r="F6711" i="1"/>
  <c r="E6711" i="1"/>
  <c r="G6710" i="1"/>
  <c r="F6710" i="1"/>
  <c r="E6710" i="1"/>
  <c r="G6709" i="1"/>
  <c r="F6709" i="1"/>
  <c r="E6709" i="1"/>
  <c r="G6708" i="1"/>
  <c r="F6708" i="1"/>
  <c r="E6708" i="1"/>
  <c r="G6707" i="1"/>
  <c r="F6707" i="1"/>
  <c r="E6707" i="1"/>
  <c r="G6706" i="1"/>
  <c r="F6706" i="1"/>
  <c r="E6706" i="1"/>
  <c r="G6705" i="1"/>
  <c r="F6705" i="1"/>
  <c r="E6705" i="1"/>
  <c r="G6704" i="1"/>
  <c r="F6704" i="1"/>
  <c r="E6704" i="1"/>
  <c r="G6703" i="1"/>
  <c r="F6703" i="1"/>
  <c r="E6703" i="1"/>
  <c r="G6702" i="1"/>
  <c r="F6702" i="1"/>
  <c r="E6702" i="1"/>
  <c r="G6701" i="1"/>
  <c r="F6701" i="1"/>
  <c r="E6701" i="1"/>
  <c r="G6700" i="1"/>
  <c r="F6700" i="1"/>
  <c r="E6700" i="1"/>
  <c r="G6699" i="1"/>
  <c r="F6699" i="1"/>
  <c r="E6699" i="1"/>
  <c r="G6698" i="1"/>
  <c r="F6698" i="1"/>
  <c r="E6698" i="1"/>
  <c r="G6697" i="1"/>
  <c r="F6697" i="1"/>
  <c r="E6697" i="1"/>
  <c r="G6696" i="1"/>
  <c r="F6696" i="1"/>
  <c r="E6696" i="1"/>
  <c r="G6695" i="1"/>
  <c r="F6695" i="1"/>
  <c r="E6695" i="1"/>
  <c r="G6694" i="1"/>
  <c r="F6694" i="1"/>
  <c r="E6694" i="1"/>
  <c r="G6693" i="1"/>
  <c r="F6693" i="1"/>
  <c r="E6693" i="1"/>
  <c r="G6692" i="1"/>
  <c r="F6692" i="1"/>
  <c r="E6692" i="1"/>
  <c r="G6691" i="1"/>
  <c r="F6691" i="1"/>
  <c r="E6691" i="1"/>
  <c r="G6690" i="1"/>
  <c r="F6690" i="1"/>
  <c r="E6690" i="1"/>
  <c r="G6689" i="1"/>
  <c r="F6689" i="1"/>
  <c r="E6689" i="1"/>
  <c r="G6688" i="1"/>
  <c r="F6688" i="1"/>
  <c r="E6688" i="1"/>
  <c r="G6687" i="1"/>
  <c r="F6687" i="1"/>
  <c r="E6687" i="1"/>
  <c r="G6686" i="1"/>
  <c r="F6686" i="1"/>
  <c r="E6686" i="1"/>
  <c r="G6685" i="1"/>
  <c r="F6685" i="1"/>
  <c r="E6685" i="1"/>
  <c r="G6684" i="1"/>
  <c r="F6684" i="1"/>
  <c r="E6684" i="1"/>
  <c r="G6683" i="1"/>
  <c r="F6683" i="1"/>
  <c r="E6683" i="1"/>
  <c r="G6682" i="1"/>
  <c r="F6682" i="1"/>
  <c r="E6682" i="1"/>
  <c r="G6681" i="1"/>
  <c r="F6681" i="1"/>
  <c r="E6681" i="1"/>
  <c r="G6680" i="1"/>
  <c r="F6680" i="1"/>
  <c r="E6680" i="1"/>
  <c r="G6679" i="1"/>
  <c r="F6679" i="1"/>
  <c r="E6679" i="1"/>
  <c r="G6678" i="1"/>
  <c r="F6678" i="1"/>
  <c r="E6678" i="1"/>
  <c r="G6677" i="1"/>
  <c r="F6677" i="1"/>
  <c r="E6677" i="1"/>
  <c r="G6676" i="1"/>
  <c r="F6676" i="1"/>
  <c r="E6676" i="1"/>
  <c r="G6675" i="1"/>
  <c r="F6675" i="1"/>
  <c r="E6675" i="1"/>
  <c r="G6674" i="1"/>
  <c r="F6674" i="1"/>
  <c r="E6674" i="1"/>
  <c r="G6673" i="1"/>
  <c r="F6673" i="1"/>
  <c r="E6673" i="1"/>
  <c r="G6672" i="1"/>
  <c r="F6672" i="1"/>
  <c r="E6672" i="1"/>
  <c r="G6671" i="1"/>
  <c r="F6671" i="1"/>
  <c r="E6671" i="1"/>
  <c r="G6670" i="1"/>
  <c r="F6670" i="1"/>
  <c r="E6670" i="1"/>
  <c r="G6669" i="1"/>
  <c r="F6669" i="1"/>
  <c r="E6669" i="1"/>
  <c r="G6668" i="1"/>
  <c r="F6668" i="1"/>
  <c r="E6668" i="1"/>
  <c r="G6667" i="1"/>
  <c r="F6667" i="1"/>
  <c r="E6667" i="1"/>
  <c r="G6666" i="1"/>
  <c r="F6666" i="1"/>
  <c r="E6666" i="1"/>
  <c r="G6665" i="1"/>
  <c r="F6665" i="1"/>
  <c r="E6665" i="1"/>
  <c r="G6664" i="1"/>
  <c r="F6664" i="1"/>
  <c r="E6664" i="1"/>
  <c r="G6663" i="1"/>
  <c r="F6663" i="1"/>
  <c r="E6663" i="1"/>
  <c r="G6662" i="1"/>
  <c r="F6662" i="1"/>
  <c r="E6662" i="1"/>
  <c r="G6661" i="1"/>
  <c r="F6661" i="1"/>
  <c r="E6661" i="1"/>
  <c r="G6660" i="1"/>
  <c r="F6660" i="1"/>
  <c r="E6660" i="1"/>
  <c r="G6659" i="1"/>
  <c r="F6659" i="1"/>
  <c r="E6659" i="1"/>
  <c r="G6658" i="1"/>
  <c r="F6658" i="1"/>
  <c r="E6658" i="1"/>
  <c r="G6657" i="1"/>
  <c r="F6657" i="1"/>
  <c r="E6657" i="1"/>
  <c r="G6656" i="1"/>
  <c r="F6656" i="1"/>
  <c r="E6656" i="1"/>
  <c r="G6655" i="1"/>
  <c r="F6655" i="1"/>
  <c r="E6655" i="1"/>
  <c r="G6654" i="1"/>
  <c r="F6654" i="1"/>
  <c r="E6654" i="1"/>
  <c r="G6653" i="1"/>
  <c r="F6653" i="1"/>
  <c r="E6653" i="1"/>
  <c r="G6652" i="1"/>
  <c r="F6652" i="1"/>
  <c r="E6652" i="1"/>
  <c r="G6651" i="1"/>
  <c r="F6651" i="1"/>
  <c r="E6651" i="1"/>
  <c r="G6650" i="1"/>
  <c r="F6650" i="1"/>
  <c r="E6650" i="1"/>
  <c r="G6649" i="1"/>
  <c r="F6649" i="1"/>
  <c r="E6649" i="1"/>
  <c r="G6648" i="1"/>
  <c r="F6648" i="1"/>
  <c r="E6648" i="1"/>
  <c r="G6647" i="1"/>
  <c r="F6647" i="1"/>
  <c r="E6647" i="1"/>
  <c r="G6646" i="1"/>
  <c r="F6646" i="1"/>
  <c r="E6646" i="1"/>
  <c r="G6645" i="1"/>
  <c r="F6645" i="1"/>
  <c r="E6645" i="1"/>
  <c r="G6644" i="1"/>
  <c r="F6644" i="1"/>
  <c r="E6644" i="1"/>
  <c r="G6643" i="1"/>
  <c r="F6643" i="1"/>
  <c r="E6643" i="1"/>
  <c r="G6642" i="1"/>
  <c r="F6642" i="1"/>
  <c r="E6642" i="1"/>
  <c r="G6641" i="1"/>
  <c r="F6641" i="1"/>
  <c r="E6641" i="1"/>
  <c r="G6640" i="1"/>
  <c r="F6640" i="1"/>
  <c r="E6640" i="1"/>
  <c r="G6639" i="1"/>
  <c r="F6639" i="1"/>
  <c r="E6639" i="1"/>
  <c r="G6638" i="1"/>
  <c r="F6638" i="1"/>
  <c r="E6638" i="1"/>
  <c r="G6637" i="1"/>
  <c r="F6637" i="1"/>
  <c r="E6637" i="1"/>
  <c r="G6636" i="1"/>
  <c r="F6636" i="1"/>
  <c r="E6636" i="1"/>
  <c r="G6635" i="1"/>
  <c r="F6635" i="1"/>
  <c r="E6635" i="1"/>
  <c r="G6634" i="1"/>
  <c r="F6634" i="1"/>
  <c r="E6634" i="1"/>
  <c r="G6633" i="1"/>
  <c r="F6633" i="1"/>
  <c r="E6633" i="1"/>
  <c r="G6632" i="1"/>
  <c r="F6632" i="1"/>
  <c r="E6632" i="1"/>
  <c r="G6631" i="1"/>
  <c r="F6631" i="1"/>
  <c r="E6631" i="1"/>
  <c r="G6630" i="1"/>
  <c r="F6630" i="1"/>
  <c r="E6630" i="1"/>
  <c r="G6629" i="1"/>
  <c r="F6629" i="1"/>
  <c r="E6629" i="1"/>
  <c r="G6628" i="1"/>
  <c r="F6628" i="1"/>
  <c r="E6628" i="1"/>
  <c r="G6627" i="1"/>
  <c r="F6627" i="1"/>
  <c r="E6627" i="1"/>
  <c r="G6626" i="1"/>
  <c r="F6626" i="1"/>
  <c r="E6626" i="1"/>
  <c r="G6625" i="1"/>
  <c r="F6625" i="1"/>
  <c r="E6625" i="1"/>
  <c r="G6624" i="1"/>
  <c r="F6624" i="1"/>
  <c r="E6624" i="1"/>
  <c r="G6623" i="1"/>
  <c r="F6623" i="1"/>
  <c r="E6623" i="1"/>
  <c r="G6622" i="1"/>
  <c r="F6622" i="1"/>
  <c r="E6622" i="1"/>
  <c r="G6621" i="1"/>
  <c r="F6621" i="1"/>
  <c r="E6621" i="1"/>
  <c r="G6620" i="1"/>
  <c r="F6620" i="1"/>
  <c r="E6620" i="1"/>
  <c r="G6619" i="1"/>
  <c r="F6619" i="1"/>
  <c r="E6619" i="1"/>
  <c r="G6618" i="1"/>
  <c r="F6618" i="1"/>
  <c r="E6618" i="1"/>
  <c r="G6617" i="1"/>
  <c r="F6617" i="1"/>
  <c r="E6617" i="1"/>
  <c r="G6616" i="1"/>
  <c r="F6616" i="1"/>
  <c r="E6616" i="1"/>
  <c r="G6615" i="1"/>
  <c r="F6615" i="1"/>
  <c r="E6615" i="1"/>
  <c r="G6614" i="1"/>
  <c r="F6614" i="1"/>
  <c r="E6614" i="1"/>
  <c r="G6613" i="1"/>
  <c r="F6613" i="1"/>
  <c r="E6613" i="1"/>
  <c r="G6612" i="1"/>
  <c r="F6612" i="1"/>
  <c r="E6612" i="1"/>
  <c r="G6611" i="1"/>
  <c r="F6611" i="1"/>
  <c r="E6611" i="1"/>
  <c r="G6610" i="1"/>
  <c r="F6610" i="1"/>
  <c r="E6610" i="1"/>
  <c r="G6609" i="1"/>
  <c r="F6609" i="1"/>
  <c r="E6609" i="1"/>
  <c r="G6608" i="1"/>
  <c r="F6608" i="1"/>
  <c r="E6608" i="1"/>
  <c r="G6607" i="1"/>
  <c r="F6607" i="1"/>
  <c r="E6607" i="1"/>
  <c r="G6606" i="1"/>
  <c r="F6606" i="1"/>
  <c r="E6606" i="1"/>
  <c r="G6605" i="1"/>
  <c r="F6605" i="1"/>
  <c r="E6605" i="1"/>
  <c r="G6604" i="1"/>
  <c r="F6604" i="1"/>
  <c r="E6604" i="1"/>
  <c r="G6603" i="1"/>
  <c r="F6603" i="1"/>
  <c r="E6603" i="1"/>
  <c r="G6602" i="1"/>
  <c r="F6602" i="1"/>
  <c r="E6602" i="1"/>
  <c r="G6601" i="1"/>
  <c r="F6601" i="1"/>
  <c r="E6601" i="1"/>
  <c r="G6600" i="1"/>
  <c r="F6600" i="1"/>
  <c r="E6600" i="1"/>
  <c r="G6599" i="1"/>
  <c r="F6599" i="1"/>
  <c r="E6599" i="1"/>
  <c r="G6598" i="1"/>
  <c r="F6598" i="1"/>
  <c r="E6598" i="1"/>
  <c r="G6597" i="1"/>
  <c r="F6597" i="1"/>
  <c r="E6597" i="1"/>
  <c r="G6596" i="1"/>
  <c r="F6596" i="1"/>
  <c r="E6596" i="1"/>
  <c r="G6595" i="1"/>
  <c r="F6595" i="1"/>
  <c r="E6595" i="1"/>
  <c r="G6594" i="1"/>
  <c r="F6594" i="1"/>
  <c r="E6594" i="1"/>
  <c r="G6593" i="1"/>
  <c r="F6593" i="1"/>
  <c r="E6593" i="1"/>
  <c r="G6592" i="1"/>
  <c r="F6592" i="1"/>
  <c r="E6592" i="1"/>
  <c r="G6591" i="1"/>
  <c r="F6591" i="1"/>
  <c r="E6591" i="1"/>
  <c r="G6590" i="1"/>
  <c r="F6590" i="1"/>
  <c r="E6590" i="1"/>
  <c r="G6589" i="1"/>
  <c r="F6589" i="1"/>
  <c r="E6589" i="1"/>
  <c r="G6588" i="1"/>
  <c r="F6588" i="1"/>
  <c r="E6588" i="1"/>
  <c r="G6587" i="1"/>
  <c r="F6587" i="1"/>
  <c r="E6587" i="1"/>
  <c r="G6586" i="1"/>
  <c r="F6586" i="1"/>
  <c r="E6586" i="1"/>
  <c r="G6585" i="1"/>
  <c r="F6585" i="1"/>
  <c r="E6585" i="1"/>
  <c r="G6584" i="1"/>
  <c r="F6584" i="1"/>
  <c r="E6584" i="1"/>
  <c r="G6583" i="1"/>
  <c r="F6583" i="1"/>
  <c r="E6583" i="1"/>
  <c r="G6582" i="1"/>
  <c r="F6582" i="1"/>
  <c r="E6582" i="1"/>
  <c r="G6581" i="1"/>
  <c r="F6581" i="1"/>
  <c r="E6581" i="1"/>
  <c r="G6580" i="1"/>
  <c r="F6580" i="1"/>
  <c r="E6580" i="1"/>
  <c r="G6579" i="1"/>
  <c r="F6579" i="1"/>
  <c r="E6579" i="1"/>
  <c r="G6578" i="1"/>
  <c r="F6578" i="1"/>
  <c r="E6578" i="1"/>
  <c r="G6577" i="1"/>
  <c r="F6577" i="1"/>
  <c r="E6577" i="1"/>
  <c r="G6576" i="1"/>
  <c r="F6576" i="1"/>
  <c r="E6576" i="1"/>
  <c r="G6575" i="1"/>
  <c r="F6575" i="1"/>
  <c r="E6575" i="1"/>
  <c r="G6574" i="1"/>
  <c r="F6574" i="1"/>
  <c r="E6574" i="1"/>
  <c r="G6573" i="1"/>
  <c r="F6573" i="1"/>
  <c r="E6573" i="1"/>
  <c r="G6572" i="1"/>
  <c r="F6572" i="1"/>
  <c r="E6572" i="1"/>
  <c r="G6571" i="1"/>
  <c r="F6571" i="1"/>
  <c r="E6571" i="1"/>
  <c r="G6570" i="1"/>
  <c r="F6570" i="1"/>
  <c r="E6570" i="1"/>
  <c r="G6569" i="1"/>
  <c r="F6569" i="1"/>
  <c r="E6569" i="1"/>
  <c r="G6568" i="1"/>
  <c r="F6568" i="1"/>
  <c r="E6568" i="1"/>
  <c r="G6567" i="1"/>
  <c r="F6567" i="1"/>
  <c r="E6567" i="1"/>
  <c r="G6566" i="1"/>
  <c r="F6566" i="1"/>
  <c r="E6566" i="1"/>
  <c r="G6565" i="1"/>
  <c r="F6565" i="1"/>
  <c r="E6565" i="1"/>
  <c r="G6564" i="1"/>
  <c r="F6564" i="1"/>
  <c r="E6564" i="1"/>
  <c r="G6563" i="1"/>
  <c r="F6563" i="1"/>
  <c r="E6563" i="1"/>
  <c r="G6562" i="1"/>
  <c r="F6562" i="1"/>
  <c r="E6562" i="1"/>
  <c r="G6561" i="1"/>
  <c r="F6561" i="1"/>
  <c r="E6561" i="1"/>
  <c r="G6560" i="1"/>
  <c r="F6560" i="1"/>
  <c r="E6560" i="1"/>
  <c r="G6559" i="1"/>
  <c r="F6559" i="1"/>
  <c r="E6559" i="1"/>
  <c r="G6558" i="1"/>
  <c r="F6558" i="1"/>
  <c r="E6558" i="1"/>
  <c r="G6557" i="1"/>
  <c r="F6557" i="1"/>
  <c r="E6557" i="1"/>
  <c r="G6556" i="1"/>
  <c r="F6556" i="1"/>
  <c r="E6556" i="1"/>
  <c r="G6555" i="1"/>
  <c r="F6555" i="1"/>
  <c r="E6555" i="1"/>
  <c r="G6554" i="1"/>
  <c r="F6554" i="1"/>
  <c r="E6554" i="1"/>
  <c r="G6553" i="1"/>
  <c r="F6553" i="1"/>
  <c r="E6553" i="1"/>
  <c r="G6552" i="1"/>
  <c r="F6552" i="1"/>
  <c r="E6552" i="1"/>
  <c r="G6551" i="1"/>
  <c r="F6551" i="1"/>
  <c r="E6551" i="1"/>
  <c r="G6550" i="1"/>
  <c r="F6550" i="1"/>
  <c r="E6550" i="1"/>
  <c r="G6549" i="1"/>
  <c r="F6549" i="1"/>
  <c r="E6549" i="1"/>
  <c r="G6548" i="1"/>
  <c r="F6548" i="1"/>
  <c r="E6548" i="1"/>
  <c r="G6547" i="1"/>
  <c r="F6547" i="1"/>
  <c r="E6547" i="1"/>
  <c r="G6546" i="1"/>
  <c r="F6546" i="1"/>
  <c r="E6546" i="1"/>
  <c r="G6545" i="1"/>
  <c r="F6545" i="1"/>
  <c r="E6545" i="1"/>
  <c r="G6544" i="1"/>
  <c r="F6544" i="1"/>
  <c r="E6544" i="1"/>
  <c r="G6543" i="1"/>
  <c r="F6543" i="1"/>
  <c r="E6543" i="1"/>
  <c r="G6542" i="1"/>
  <c r="F6542" i="1"/>
  <c r="E6542" i="1"/>
  <c r="G6541" i="1"/>
  <c r="F6541" i="1"/>
  <c r="E6541" i="1"/>
  <c r="G6540" i="1"/>
  <c r="F6540" i="1"/>
  <c r="E6540" i="1"/>
  <c r="G6539" i="1"/>
  <c r="F6539" i="1"/>
  <c r="E6539" i="1"/>
  <c r="G6538" i="1"/>
  <c r="F6538" i="1"/>
  <c r="E6538" i="1"/>
  <c r="G6537" i="1"/>
  <c r="F6537" i="1"/>
  <c r="E6537" i="1"/>
  <c r="G6536" i="1"/>
  <c r="F6536" i="1"/>
  <c r="E6536" i="1"/>
  <c r="G6535" i="1"/>
  <c r="F6535" i="1"/>
  <c r="E6535" i="1"/>
  <c r="G6534" i="1"/>
  <c r="F6534" i="1"/>
  <c r="E6534" i="1"/>
  <c r="G6533" i="1"/>
  <c r="F6533" i="1"/>
  <c r="E6533" i="1"/>
  <c r="G6532" i="1"/>
  <c r="F6532" i="1"/>
  <c r="E6532" i="1"/>
  <c r="G6531" i="1"/>
  <c r="F6531" i="1"/>
  <c r="E6531" i="1"/>
  <c r="G6530" i="1"/>
  <c r="F6530" i="1"/>
  <c r="E6530" i="1"/>
  <c r="G6529" i="1"/>
  <c r="F6529" i="1"/>
  <c r="E6529" i="1"/>
  <c r="G6528" i="1"/>
  <c r="F6528" i="1"/>
  <c r="E6528" i="1"/>
  <c r="G6527" i="1"/>
  <c r="F6527" i="1"/>
  <c r="E6527" i="1"/>
  <c r="G6526" i="1"/>
  <c r="F6526" i="1"/>
  <c r="E6526" i="1"/>
  <c r="G6525" i="1"/>
  <c r="F6525" i="1"/>
  <c r="E6525" i="1"/>
  <c r="G6524" i="1"/>
  <c r="F6524" i="1"/>
  <c r="E6524" i="1"/>
  <c r="G6523" i="1"/>
  <c r="F6523" i="1"/>
  <c r="E6523" i="1"/>
  <c r="G6522" i="1"/>
  <c r="F6522" i="1"/>
  <c r="E6522" i="1"/>
  <c r="G6521" i="1"/>
  <c r="F6521" i="1"/>
  <c r="E6521" i="1"/>
  <c r="G6520" i="1"/>
  <c r="F6520" i="1"/>
  <c r="E6520" i="1"/>
  <c r="G6519" i="1"/>
  <c r="F6519" i="1"/>
  <c r="E6519" i="1"/>
  <c r="G6518" i="1"/>
  <c r="F6518" i="1"/>
  <c r="E6518" i="1"/>
  <c r="G6517" i="1"/>
  <c r="F6517" i="1"/>
  <c r="E6517" i="1"/>
  <c r="G6516" i="1"/>
  <c r="F6516" i="1"/>
  <c r="E6516" i="1"/>
  <c r="G6515" i="1"/>
  <c r="F6515" i="1"/>
  <c r="E6515" i="1"/>
  <c r="G6514" i="1"/>
  <c r="F6514" i="1"/>
  <c r="E6514" i="1"/>
  <c r="G6513" i="1"/>
  <c r="F6513" i="1"/>
  <c r="E6513" i="1"/>
  <c r="G6512" i="1"/>
  <c r="F6512" i="1"/>
  <c r="E6512" i="1"/>
  <c r="G6511" i="1"/>
  <c r="F6511" i="1"/>
  <c r="E6511" i="1"/>
  <c r="G6510" i="1"/>
  <c r="F6510" i="1"/>
  <c r="E6510" i="1"/>
  <c r="G6509" i="1"/>
  <c r="F6509" i="1"/>
  <c r="E6509" i="1"/>
  <c r="G6508" i="1"/>
  <c r="F6508" i="1"/>
  <c r="E6508" i="1"/>
  <c r="G6507" i="1"/>
  <c r="F6507" i="1"/>
  <c r="E6507" i="1"/>
  <c r="G6506" i="1"/>
  <c r="F6506" i="1"/>
  <c r="E6506" i="1"/>
  <c r="G6505" i="1"/>
  <c r="F6505" i="1"/>
  <c r="E6505" i="1"/>
  <c r="G6504" i="1"/>
  <c r="F6504" i="1"/>
  <c r="E6504" i="1"/>
  <c r="G6503" i="1"/>
  <c r="F6503" i="1"/>
  <c r="E6503" i="1"/>
  <c r="G6502" i="1"/>
  <c r="F6502" i="1"/>
  <c r="E6502" i="1"/>
  <c r="G6501" i="1"/>
  <c r="F6501" i="1"/>
  <c r="E6501" i="1"/>
  <c r="G6500" i="1"/>
  <c r="F6500" i="1"/>
  <c r="E6500" i="1"/>
  <c r="G6499" i="1"/>
  <c r="F6499" i="1"/>
  <c r="E6499" i="1"/>
  <c r="G6498" i="1"/>
  <c r="F6498" i="1"/>
  <c r="E6498" i="1"/>
  <c r="G6497" i="1"/>
  <c r="F6497" i="1"/>
  <c r="E6497" i="1"/>
  <c r="G6496" i="1"/>
  <c r="F6496" i="1"/>
  <c r="E6496" i="1"/>
  <c r="G6495" i="1"/>
  <c r="F6495" i="1"/>
  <c r="E6495" i="1"/>
  <c r="G6494" i="1"/>
  <c r="F6494" i="1"/>
  <c r="E6494" i="1"/>
  <c r="G6493" i="1"/>
  <c r="F6493" i="1"/>
  <c r="E6493" i="1"/>
  <c r="G6492" i="1"/>
  <c r="F6492" i="1"/>
  <c r="E6492" i="1"/>
  <c r="G6491" i="1"/>
  <c r="F6491" i="1"/>
  <c r="E6491" i="1"/>
  <c r="G6490" i="1"/>
  <c r="F6490" i="1"/>
  <c r="E6490" i="1"/>
  <c r="G6489" i="1"/>
  <c r="F6489" i="1"/>
  <c r="E6489" i="1"/>
  <c r="G6488" i="1"/>
  <c r="F6488" i="1"/>
  <c r="E6488" i="1"/>
  <c r="G6487" i="1"/>
  <c r="F6487" i="1"/>
  <c r="E6487" i="1"/>
  <c r="G6486" i="1"/>
  <c r="F6486" i="1"/>
  <c r="E6486" i="1"/>
  <c r="G6485" i="1"/>
  <c r="F6485" i="1"/>
  <c r="E6485" i="1"/>
  <c r="G6484" i="1"/>
  <c r="F6484" i="1"/>
  <c r="E6484" i="1"/>
  <c r="G6483" i="1"/>
  <c r="F6483" i="1"/>
  <c r="E6483" i="1"/>
  <c r="G6482" i="1"/>
  <c r="F6482" i="1"/>
  <c r="E6482" i="1"/>
  <c r="G6481" i="1"/>
  <c r="F6481" i="1"/>
  <c r="E6481" i="1"/>
  <c r="G6480" i="1"/>
  <c r="F6480" i="1"/>
  <c r="E6480" i="1"/>
  <c r="G6479" i="1"/>
  <c r="F6479" i="1"/>
  <c r="E6479" i="1"/>
  <c r="G6478" i="1"/>
  <c r="F6478" i="1"/>
  <c r="E6478" i="1"/>
  <c r="G6477" i="1"/>
  <c r="F6477" i="1"/>
  <c r="E6477" i="1"/>
  <c r="G6476" i="1"/>
  <c r="F6476" i="1"/>
  <c r="E6476" i="1"/>
  <c r="G6475" i="1"/>
  <c r="F6475" i="1"/>
  <c r="E6475" i="1"/>
  <c r="G6474" i="1"/>
  <c r="F6474" i="1"/>
  <c r="E6474" i="1"/>
  <c r="G6473" i="1"/>
  <c r="F6473" i="1"/>
  <c r="E6473" i="1"/>
  <c r="G6472" i="1"/>
  <c r="F6472" i="1"/>
  <c r="E6472" i="1"/>
  <c r="G6471" i="1"/>
  <c r="F6471" i="1"/>
  <c r="E6471" i="1"/>
  <c r="G6470" i="1"/>
  <c r="F6470" i="1"/>
  <c r="E6470" i="1"/>
  <c r="G6469" i="1"/>
  <c r="F6469" i="1"/>
  <c r="E6469" i="1"/>
  <c r="G6468" i="1"/>
  <c r="F6468" i="1"/>
  <c r="E6468" i="1"/>
  <c r="G6467" i="1"/>
  <c r="F6467" i="1"/>
  <c r="E6467" i="1"/>
  <c r="G6466" i="1"/>
  <c r="F6466" i="1"/>
  <c r="E6466" i="1"/>
  <c r="G6465" i="1"/>
  <c r="F6465" i="1"/>
  <c r="E6465" i="1"/>
  <c r="G6464" i="1"/>
  <c r="F6464" i="1"/>
  <c r="E6464" i="1"/>
  <c r="G6463" i="1"/>
  <c r="F6463" i="1"/>
  <c r="E6463" i="1"/>
  <c r="G6462" i="1"/>
  <c r="F6462" i="1"/>
  <c r="E6462" i="1"/>
  <c r="G6461" i="1"/>
  <c r="F6461" i="1"/>
  <c r="E6461" i="1"/>
  <c r="G6460" i="1"/>
  <c r="F6460" i="1"/>
  <c r="E6460" i="1"/>
  <c r="G6459" i="1"/>
  <c r="F6459" i="1"/>
  <c r="E6459" i="1"/>
  <c r="G6458" i="1"/>
  <c r="F6458" i="1"/>
  <c r="E6458" i="1"/>
  <c r="G6457" i="1"/>
  <c r="F6457" i="1"/>
  <c r="E6457" i="1"/>
  <c r="G6456" i="1"/>
  <c r="F6456" i="1"/>
  <c r="E6456" i="1"/>
  <c r="G6455" i="1"/>
  <c r="F6455" i="1"/>
  <c r="E6455" i="1"/>
  <c r="G6454" i="1"/>
  <c r="F6454" i="1"/>
  <c r="E6454" i="1"/>
  <c r="G6453" i="1"/>
  <c r="F6453" i="1"/>
  <c r="E6453" i="1"/>
  <c r="G6452" i="1"/>
  <c r="F6452" i="1"/>
  <c r="E6452" i="1"/>
  <c r="G6451" i="1"/>
  <c r="F6451" i="1"/>
  <c r="E6451" i="1"/>
  <c r="G6450" i="1"/>
  <c r="F6450" i="1"/>
  <c r="E6450" i="1"/>
  <c r="G6449" i="1"/>
  <c r="F6449" i="1"/>
  <c r="E6449" i="1"/>
  <c r="G6448" i="1"/>
  <c r="F6448" i="1"/>
  <c r="E6448" i="1"/>
  <c r="G6447" i="1"/>
  <c r="F6447" i="1"/>
  <c r="E6447" i="1"/>
  <c r="G6446" i="1"/>
  <c r="F6446" i="1"/>
  <c r="E6446" i="1"/>
  <c r="G6445" i="1"/>
  <c r="F6445" i="1"/>
  <c r="E6445" i="1"/>
  <c r="G6444" i="1"/>
  <c r="F6444" i="1"/>
  <c r="E6444" i="1"/>
  <c r="G6443" i="1"/>
  <c r="F6443" i="1"/>
  <c r="E6443" i="1"/>
  <c r="G6442" i="1"/>
  <c r="F6442" i="1"/>
  <c r="E6442" i="1"/>
  <c r="G6441" i="1"/>
  <c r="F6441" i="1"/>
  <c r="E6441" i="1"/>
  <c r="G6440" i="1"/>
  <c r="F6440" i="1"/>
  <c r="E6440" i="1"/>
  <c r="G6439" i="1"/>
  <c r="F6439" i="1"/>
  <c r="E6439" i="1"/>
  <c r="G6438" i="1"/>
  <c r="F6438" i="1"/>
  <c r="E6438" i="1"/>
  <c r="G6437" i="1"/>
  <c r="F6437" i="1"/>
  <c r="E6437" i="1"/>
  <c r="G6436" i="1"/>
  <c r="F6436" i="1"/>
  <c r="E6436" i="1"/>
  <c r="G6435" i="1"/>
  <c r="F6435" i="1"/>
  <c r="E6435" i="1"/>
  <c r="G6434" i="1"/>
  <c r="F6434" i="1"/>
  <c r="E6434" i="1"/>
  <c r="G6433" i="1"/>
  <c r="F6433" i="1"/>
  <c r="E6433" i="1"/>
  <c r="G6432" i="1"/>
  <c r="F6432" i="1"/>
  <c r="E6432" i="1"/>
  <c r="G6431" i="1"/>
  <c r="F6431" i="1"/>
  <c r="E6431" i="1"/>
  <c r="G6430" i="1"/>
  <c r="F6430" i="1"/>
  <c r="E6430" i="1"/>
  <c r="G6429" i="1"/>
  <c r="F6429" i="1"/>
  <c r="E6429" i="1"/>
  <c r="G6428" i="1"/>
  <c r="F6428" i="1"/>
  <c r="E6428" i="1"/>
  <c r="G6427" i="1"/>
  <c r="F6427" i="1"/>
  <c r="E6427" i="1"/>
  <c r="G6426" i="1"/>
  <c r="F6426" i="1"/>
  <c r="E6426" i="1"/>
  <c r="G6425" i="1"/>
  <c r="F6425" i="1"/>
  <c r="E6425" i="1"/>
  <c r="G6424" i="1"/>
  <c r="F6424" i="1"/>
  <c r="E6424" i="1"/>
  <c r="G6423" i="1"/>
  <c r="F6423" i="1"/>
  <c r="E6423" i="1"/>
  <c r="G6422" i="1"/>
  <c r="F6422" i="1"/>
  <c r="E6422" i="1"/>
  <c r="G6421" i="1"/>
  <c r="F6421" i="1"/>
  <c r="E6421" i="1"/>
  <c r="G6420" i="1"/>
  <c r="F6420" i="1"/>
  <c r="E6420" i="1"/>
  <c r="G6419" i="1"/>
  <c r="F6419" i="1"/>
  <c r="E6419" i="1"/>
  <c r="G6418" i="1"/>
  <c r="F6418" i="1"/>
  <c r="E6418" i="1"/>
  <c r="G6417" i="1"/>
  <c r="F6417" i="1"/>
  <c r="E6417" i="1"/>
  <c r="G6416" i="1"/>
  <c r="F6416" i="1"/>
  <c r="E6416" i="1"/>
  <c r="G6415" i="1"/>
  <c r="F6415" i="1"/>
  <c r="E6415" i="1"/>
  <c r="G6414" i="1"/>
  <c r="F6414" i="1"/>
  <c r="E6414" i="1"/>
  <c r="G6413" i="1"/>
  <c r="F6413" i="1"/>
  <c r="E6413" i="1"/>
  <c r="G6412" i="1"/>
  <c r="F6412" i="1"/>
  <c r="E6412" i="1"/>
  <c r="G6411" i="1"/>
  <c r="F6411" i="1"/>
  <c r="E6411" i="1"/>
  <c r="G6410" i="1"/>
  <c r="F6410" i="1"/>
  <c r="E6410" i="1"/>
  <c r="G6409" i="1"/>
  <c r="F6409" i="1"/>
  <c r="E6409" i="1"/>
  <c r="G6408" i="1"/>
  <c r="F6408" i="1"/>
  <c r="E6408" i="1"/>
  <c r="G6407" i="1"/>
  <c r="F6407" i="1"/>
  <c r="E6407" i="1"/>
  <c r="G6406" i="1"/>
  <c r="F6406" i="1"/>
  <c r="E6406" i="1"/>
  <c r="G6405" i="1"/>
  <c r="F6405" i="1"/>
  <c r="E6405" i="1"/>
  <c r="G6404" i="1"/>
  <c r="F6404" i="1"/>
  <c r="E6404" i="1"/>
  <c r="G6403" i="1"/>
  <c r="F6403" i="1"/>
  <c r="E6403" i="1"/>
  <c r="G6402" i="1"/>
  <c r="F6402" i="1"/>
  <c r="E6402" i="1"/>
  <c r="G6401" i="1"/>
  <c r="F6401" i="1"/>
  <c r="E6401" i="1"/>
  <c r="G6400" i="1"/>
  <c r="F6400" i="1"/>
  <c r="E6400" i="1"/>
  <c r="G6399" i="1"/>
  <c r="F6399" i="1"/>
  <c r="E6399" i="1"/>
  <c r="G6398" i="1"/>
  <c r="F6398" i="1"/>
  <c r="E6398" i="1"/>
  <c r="G6397" i="1"/>
  <c r="F6397" i="1"/>
  <c r="E6397" i="1"/>
  <c r="G6396" i="1"/>
  <c r="F6396" i="1"/>
  <c r="E6396" i="1"/>
  <c r="G6395" i="1"/>
  <c r="F6395" i="1"/>
  <c r="E6395" i="1"/>
  <c r="G6394" i="1"/>
  <c r="F6394" i="1"/>
  <c r="E6394" i="1"/>
  <c r="G6393" i="1"/>
  <c r="F6393" i="1"/>
  <c r="E6393" i="1"/>
  <c r="G6392" i="1"/>
  <c r="F6392" i="1"/>
  <c r="E6392" i="1"/>
  <c r="G6391" i="1"/>
  <c r="F6391" i="1"/>
  <c r="E6391" i="1"/>
  <c r="G6390" i="1"/>
  <c r="F6390" i="1"/>
  <c r="E6390" i="1"/>
  <c r="G6389" i="1"/>
  <c r="F6389" i="1"/>
  <c r="E6389" i="1"/>
  <c r="G6388" i="1"/>
  <c r="F6388" i="1"/>
  <c r="E6388" i="1"/>
  <c r="G6387" i="1"/>
  <c r="F6387" i="1"/>
  <c r="E6387" i="1"/>
  <c r="G6386" i="1"/>
  <c r="F6386" i="1"/>
  <c r="E6386" i="1"/>
  <c r="G6385" i="1"/>
  <c r="F6385" i="1"/>
  <c r="E6385" i="1"/>
  <c r="G6384" i="1"/>
  <c r="F6384" i="1"/>
  <c r="E6384" i="1"/>
  <c r="G6383" i="1"/>
  <c r="F6383" i="1"/>
  <c r="E6383" i="1"/>
  <c r="G6382" i="1"/>
  <c r="F6382" i="1"/>
  <c r="E6382" i="1"/>
  <c r="G6381" i="1"/>
  <c r="F6381" i="1"/>
  <c r="E6381" i="1"/>
  <c r="G6380" i="1"/>
  <c r="F6380" i="1"/>
  <c r="E6380" i="1"/>
  <c r="G6379" i="1"/>
  <c r="F6379" i="1"/>
  <c r="E6379" i="1"/>
  <c r="G6378" i="1"/>
  <c r="F6378" i="1"/>
  <c r="E6378" i="1"/>
  <c r="G6377" i="1"/>
  <c r="F6377" i="1"/>
  <c r="E6377" i="1"/>
  <c r="G6376" i="1"/>
  <c r="F6376" i="1"/>
  <c r="E6376" i="1"/>
  <c r="G6375" i="1"/>
  <c r="F6375" i="1"/>
  <c r="E6375" i="1"/>
  <c r="G6374" i="1"/>
  <c r="F6374" i="1"/>
  <c r="E6374" i="1"/>
  <c r="G6373" i="1"/>
  <c r="F6373" i="1"/>
  <c r="E6373" i="1"/>
  <c r="G6372" i="1"/>
  <c r="F6372" i="1"/>
  <c r="E6372" i="1"/>
  <c r="G6371" i="1"/>
  <c r="F6371" i="1"/>
  <c r="E6371" i="1"/>
  <c r="G6370" i="1"/>
  <c r="F6370" i="1"/>
  <c r="E6370" i="1"/>
  <c r="G6369" i="1"/>
  <c r="F6369" i="1"/>
  <c r="E6369" i="1"/>
  <c r="G6368" i="1"/>
  <c r="F6368" i="1"/>
  <c r="E6368" i="1"/>
  <c r="G6367" i="1"/>
  <c r="F6367" i="1"/>
  <c r="E6367" i="1"/>
  <c r="G6366" i="1"/>
  <c r="F6366" i="1"/>
  <c r="E6366" i="1"/>
  <c r="G6365" i="1"/>
  <c r="F6365" i="1"/>
  <c r="E6365" i="1"/>
  <c r="G6364" i="1"/>
  <c r="F6364" i="1"/>
  <c r="E6364" i="1"/>
  <c r="G6363" i="1"/>
  <c r="F6363" i="1"/>
  <c r="E6363" i="1"/>
  <c r="G6362" i="1"/>
  <c r="F6362" i="1"/>
  <c r="E6362" i="1"/>
  <c r="G6361" i="1"/>
  <c r="F6361" i="1"/>
  <c r="E6361" i="1"/>
  <c r="G6360" i="1"/>
  <c r="F6360" i="1"/>
  <c r="E6360" i="1"/>
  <c r="G6359" i="1"/>
  <c r="F6359" i="1"/>
  <c r="E6359" i="1"/>
  <c r="G6358" i="1"/>
  <c r="F6358" i="1"/>
  <c r="E6358" i="1"/>
  <c r="G6357" i="1"/>
  <c r="F6357" i="1"/>
  <c r="E6357" i="1"/>
  <c r="G6356" i="1"/>
  <c r="F6356" i="1"/>
  <c r="E6356" i="1"/>
  <c r="G6355" i="1"/>
  <c r="F6355" i="1"/>
  <c r="E6355" i="1"/>
  <c r="G6354" i="1"/>
  <c r="F6354" i="1"/>
  <c r="E6354" i="1"/>
  <c r="G6353" i="1"/>
  <c r="F6353" i="1"/>
  <c r="E6353" i="1"/>
  <c r="G6352" i="1"/>
  <c r="F6352" i="1"/>
  <c r="E6352" i="1"/>
  <c r="G6351" i="1"/>
  <c r="F6351" i="1"/>
  <c r="E6351" i="1"/>
  <c r="G6350" i="1"/>
  <c r="F6350" i="1"/>
  <c r="E6350" i="1"/>
  <c r="G6349" i="1"/>
  <c r="F6349" i="1"/>
  <c r="E6349" i="1"/>
  <c r="G6348" i="1"/>
  <c r="F6348" i="1"/>
  <c r="E6348" i="1"/>
  <c r="G6347" i="1"/>
  <c r="F6347" i="1"/>
  <c r="E6347" i="1"/>
  <c r="G6346" i="1"/>
  <c r="F6346" i="1"/>
  <c r="E6346" i="1"/>
  <c r="G6345" i="1"/>
  <c r="F6345" i="1"/>
  <c r="E6345" i="1"/>
  <c r="G6344" i="1"/>
  <c r="F6344" i="1"/>
  <c r="E6344" i="1"/>
  <c r="G6343" i="1"/>
  <c r="F6343" i="1"/>
  <c r="E6343" i="1"/>
  <c r="G6342" i="1"/>
  <c r="F6342" i="1"/>
  <c r="E6342" i="1"/>
  <c r="G6341" i="1"/>
  <c r="F6341" i="1"/>
  <c r="E6341" i="1"/>
  <c r="G6340" i="1"/>
  <c r="F6340" i="1"/>
  <c r="E6340" i="1"/>
  <c r="G6339" i="1"/>
  <c r="F6339" i="1"/>
  <c r="E6339" i="1"/>
  <c r="G6338" i="1"/>
  <c r="F6338" i="1"/>
  <c r="E6338" i="1"/>
  <c r="G6337" i="1"/>
  <c r="F6337" i="1"/>
  <c r="E6337" i="1"/>
  <c r="G6336" i="1"/>
  <c r="F6336" i="1"/>
  <c r="E6336" i="1"/>
  <c r="G6335" i="1"/>
  <c r="F6335" i="1"/>
  <c r="E6335" i="1"/>
  <c r="G6334" i="1"/>
  <c r="F6334" i="1"/>
  <c r="E6334" i="1"/>
  <c r="G6333" i="1"/>
  <c r="F6333" i="1"/>
  <c r="E6333" i="1"/>
  <c r="G6332" i="1"/>
  <c r="F6332" i="1"/>
  <c r="E6332" i="1"/>
  <c r="G6331" i="1"/>
  <c r="F6331" i="1"/>
  <c r="E6331" i="1"/>
  <c r="G6330" i="1"/>
  <c r="F6330" i="1"/>
  <c r="E6330" i="1"/>
  <c r="G6329" i="1"/>
  <c r="F6329" i="1"/>
  <c r="E6329" i="1"/>
  <c r="G6328" i="1"/>
  <c r="F6328" i="1"/>
  <c r="E6328" i="1"/>
  <c r="G6327" i="1"/>
  <c r="F6327" i="1"/>
  <c r="E6327" i="1"/>
  <c r="G6326" i="1"/>
  <c r="F6326" i="1"/>
  <c r="E6326" i="1"/>
  <c r="G6325" i="1"/>
  <c r="F6325" i="1"/>
  <c r="E6325" i="1"/>
  <c r="G6324" i="1"/>
  <c r="F6324" i="1"/>
  <c r="E6324" i="1"/>
  <c r="G6323" i="1"/>
  <c r="F6323" i="1"/>
  <c r="E6323" i="1"/>
  <c r="G6322" i="1"/>
  <c r="F6322" i="1"/>
  <c r="E6322" i="1"/>
  <c r="G6321" i="1"/>
  <c r="F6321" i="1"/>
  <c r="E6321" i="1"/>
  <c r="G6320" i="1"/>
  <c r="F6320" i="1"/>
  <c r="E6320" i="1"/>
  <c r="G6319" i="1"/>
  <c r="F6319" i="1"/>
  <c r="E6319" i="1"/>
  <c r="G6318" i="1"/>
  <c r="F6318" i="1"/>
  <c r="E6318" i="1"/>
  <c r="G6317" i="1"/>
  <c r="F6317" i="1"/>
  <c r="E6317" i="1"/>
  <c r="G6316" i="1"/>
  <c r="F6316" i="1"/>
  <c r="E6316" i="1"/>
  <c r="G6315" i="1"/>
  <c r="F6315" i="1"/>
  <c r="E6315" i="1"/>
  <c r="G6314" i="1"/>
  <c r="F6314" i="1"/>
  <c r="E6314" i="1"/>
  <c r="G6313" i="1"/>
  <c r="F6313" i="1"/>
  <c r="E6313" i="1"/>
  <c r="G6312" i="1"/>
  <c r="F6312" i="1"/>
  <c r="E6312" i="1"/>
  <c r="G6311" i="1"/>
  <c r="F6311" i="1"/>
  <c r="E6311" i="1"/>
  <c r="G6310" i="1"/>
  <c r="F6310" i="1"/>
  <c r="E6310" i="1"/>
  <c r="G6309" i="1"/>
  <c r="F6309" i="1"/>
  <c r="E6309" i="1"/>
  <c r="G6308" i="1"/>
  <c r="F6308" i="1"/>
  <c r="E6308" i="1"/>
  <c r="G6307" i="1"/>
  <c r="F6307" i="1"/>
  <c r="E6307" i="1"/>
  <c r="G6306" i="1"/>
  <c r="F6306" i="1"/>
  <c r="E6306" i="1"/>
  <c r="G6305" i="1"/>
  <c r="F6305" i="1"/>
  <c r="E6305" i="1"/>
  <c r="G6304" i="1"/>
  <c r="F6304" i="1"/>
  <c r="E6304" i="1"/>
  <c r="G6303" i="1"/>
  <c r="F6303" i="1"/>
  <c r="E6303" i="1"/>
  <c r="G6302" i="1"/>
  <c r="F6302" i="1"/>
  <c r="E6302" i="1"/>
  <c r="G6301" i="1"/>
  <c r="F6301" i="1"/>
  <c r="E6301" i="1"/>
  <c r="G6300" i="1"/>
  <c r="F6300" i="1"/>
  <c r="E6300" i="1"/>
  <c r="G6299" i="1"/>
  <c r="F6299" i="1"/>
  <c r="E6299" i="1"/>
  <c r="G6298" i="1"/>
  <c r="F6298" i="1"/>
  <c r="E6298" i="1"/>
  <c r="G6297" i="1"/>
  <c r="F6297" i="1"/>
  <c r="E6297" i="1"/>
  <c r="G6296" i="1"/>
  <c r="F6296" i="1"/>
  <c r="E6296" i="1"/>
  <c r="G6295" i="1"/>
  <c r="F6295" i="1"/>
  <c r="E6295" i="1"/>
  <c r="G6294" i="1"/>
  <c r="F6294" i="1"/>
  <c r="E6294" i="1"/>
  <c r="G6293" i="1"/>
  <c r="F6293" i="1"/>
  <c r="E6293" i="1"/>
  <c r="G6292" i="1"/>
  <c r="F6292" i="1"/>
  <c r="E6292" i="1"/>
  <c r="G6291" i="1"/>
  <c r="F6291" i="1"/>
  <c r="E6291" i="1"/>
  <c r="G6290" i="1"/>
  <c r="F6290" i="1"/>
  <c r="E6290" i="1"/>
  <c r="G6289" i="1"/>
  <c r="F6289" i="1"/>
  <c r="E6289" i="1"/>
  <c r="G6288" i="1"/>
  <c r="F6288" i="1"/>
  <c r="E6288" i="1"/>
  <c r="G6287" i="1"/>
  <c r="F6287" i="1"/>
  <c r="E6287" i="1"/>
  <c r="G6286" i="1"/>
  <c r="F6286" i="1"/>
  <c r="E6286" i="1"/>
  <c r="G6285" i="1"/>
  <c r="F6285" i="1"/>
  <c r="E6285" i="1"/>
  <c r="G6284" i="1"/>
  <c r="F6284" i="1"/>
  <c r="E6284" i="1"/>
  <c r="G6283" i="1"/>
  <c r="F6283" i="1"/>
  <c r="E6283" i="1"/>
  <c r="G6282" i="1"/>
  <c r="F6282" i="1"/>
  <c r="E6282" i="1"/>
  <c r="G6281" i="1"/>
  <c r="F6281" i="1"/>
  <c r="E6281" i="1"/>
  <c r="G6280" i="1"/>
  <c r="F6280" i="1"/>
  <c r="E6280" i="1"/>
  <c r="G6279" i="1"/>
  <c r="F6279" i="1"/>
  <c r="E6279" i="1"/>
  <c r="G6278" i="1"/>
  <c r="F6278" i="1"/>
  <c r="E6278" i="1"/>
  <c r="G6277" i="1"/>
  <c r="F6277" i="1"/>
  <c r="E6277" i="1"/>
  <c r="G6276" i="1"/>
  <c r="F6276" i="1"/>
  <c r="E6276" i="1"/>
  <c r="G6275" i="1"/>
  <c r="F6275" i="1"/>
  <c r="E6275" i="1"/>
  <c r="G6274" i="1"/>
  <c r="F6274" i="1"/>
  <c r="E6274" i="1"/>
  <c r="G6273" i="1"/>
  <c r="F6273" i="1"/>
  <c r="E6273" i="1"/>
  <c r="G6272" i="1"/>
  <c r="F6272" i="1"/>
  <c r="E6272" i="1"/>
  <c r="G6271" i="1"/>
  <c r="F6271" i="1"/>
  <c r="E6271" i="1"/>
  <c r="G6270" i="1"/>
  <c r="F6270" i="1"/>
  <c r="E6270" i="1"/>
  <c r="G6269" i="1"/>
  <c r="F6269" i="1"/>
  <c r="E6269" i="1"/>
  <c r="G6268" i="1"/>
  <c r="F6268" i="1"/>
  <c r="E6268" i="1"/>
  <c r="G6267" i="1"/>
  <c r="F6267" i="1"/>
  <c r="E6267" i="1"/>
  <c r="G6266" i="1"/>
  <c r="F6266" i="1"/>
  <c r="E6266" i="1"/>
  <c r="G6265" i="1"/>
  <c r="F6265" i="1"/>
  <c r="E6265" i="1"/>
  <c r="G6264" i="1"/>
  <c r="F6264" i="1"/>
  <c r="E6264" i="1"/>
  <c r="G6263" i="1"/>
  <c r="F6263" i="1"/>
  <c r="E6263" i="1"/>
  <c r="G6262" i="1"/>
  <c r="F6262" i="1"/>
  <c r="E6262" i="1"/>
  <c r="G6261" i="1"/>
  <c r="F6261" i="1"/>
  <c r="E6261" i="1"/>
  <c r="G6260" i="1"/>
  <c r="F6260" i="1"/>
  <c r="E6260" i="1"/>
  <c r="G6259" i="1"/>
  <c r="F6259" i="1"/>
  <c r="E6259" i="1"/>
  <c r="G6258" i="1"/>
  <c r="F6258" i="1"/>
  <c r="E6258" i="1"/>
  <c r="G6257" i="1"/>
  <c r="F6257" i="1"/>
  <c r="E6257" i="1"/>
  <c r="G6256" i="1"/>
  <c r="F6256" i="1"/>
  <c r="E6256" i="1"/>
  <c r="G6255" i="1"/>
  <c r="F6255" i="1"/>
  <c r="E6255" i="1"/>
  <c r="G6254" i="1"/>
  <c r="F6254" i="1"/>
  <c r="E6254" i="1"/>
  <c r="G6253" i="1"/>
  <c r="F6253" i="1"/>
  <c r="E6253" i="1"/>
  <c r="G6252" i="1"/>
  <c r="F6252" i="1"/>
  <c r="E6252" i="1"/>
  <c r="G6251" i="1"/>
  <c r="F6251" i="1"/>
  <c r="E6251" i="1"/>
  <c r="G6250" i="1"/>
  <c r="F6250" i="1"/>
  <c r="E6250" i="1"/>
  <c r="G6249" i="1"/>
  <c r="F6249" i="1"/>
  <c r="E6249" i="1"/>
  <c r="G6248" i="1"/>
  <c r="F6248" i="1"/>
  <c r="E6248" i="1"/>
  <c r="G6247" i="1"/>
  <c r="F6247" i="1"/>
  <c r="E6247" i="1"/>
  <c r="G6246" i="1"/>
  <c r="F6246" i="1"/>
  <c r="E6246" i="1"/>
  <c r="G6245" i="1"/>
  <c r="F6245" i="1"/>
  <c r="E6245" i="1"/>
  <c r="G6244" i="1"/>
  <c r="F6244" i="1"/>
  <c r="E6244" i="1"/>
  <c r="G6243" i="1"/>
  <c r="F6243" i="1"/>
  <c r="E6243" i="1"/>
  <c r="G6242" i="1"/>
  <c r="F6242" i="1"/>
  <c r="E6242" i="1"/>
  <c r="G6241" i="1"/>
  <c r="F6241" i="1"/>
  <c r="E6241" i="1"/>
  <c r="G6240" i="1"/>
  <c r="F6240" i="1"/>
  <c r="E6240" i="1"/>
  <c r="G6239" i="1"/>
  <c r="F6239" i="1"/>
  <c r="E6239" i="1"/>
  <c r="G6238" i="1"/>
  <c r="F6238" i="1"/>
  <c r="E6238" i="1"/>
  <c r="G6237" i="1"/>
  <c r="F6237" i="1"/>
  <c r="E6237" i="1"/>
  <c r="G6236" i="1"/>
  <c r="F6236" i="1"/>
  <c r="E6236" i="1"/>
  <c r="G6235" i="1"/>
  <c r="F6235" i="1"/>
  <c r="E6235" i="1"/>
  <c r="G6234" i="1"/>
  <c r="F6234" i="1"/>
  <c r="E6234" i="1"/>
  <c r="G6233" i="1"/>
  <c r="F6233" i="1"/>
  <c r="E6233" i="1"/>
  <c r="G6232" i="1"/>
  <c r="F6232" i="1"/>
  <c r="E6232" i="1"/>
  <c r="G6231" i="1"/>
  <c r="F6231" i="1"/>
  <c r="E6231" i="1"/>
  <c r="G6230" i="1"/>
  <c r="F6230" i="1"/>
  <c r="E6230" i="1"/>
  <c r="G6229" i="1"/>
  <c r="F6229" i="1"/>
  <c r="E6229" i="1"/>
  <c r="G6228" i="1"/>
  <c r="F6228" i="1"/>
  <c r="E6228" i="1"/>
  <c r="G6227" i="1"/>
  <c r="F6227" i="1"/>
  <c r="E6227" i="1"/>
  <c r="G6226" i="1"/>
  <c r="F6226" i="1"/>
  <c r="E6226" i="1"/>
  <c r="G6225" i="1"/>
  <c r="F6225" i="1"/>
  <c r="E6225" i="1"/>
  <c r="G6224" i="1"/>
  <c r="F6224" i="1"/>
  <c r="E6224" i="1"/>
  <c r="G6223" i="1"/>
  <c r="F6223" i="1"/>
  <c r="E6223" i="1"/>
  <c r="G6222" i="1"/>
  <c r="F6222" i="1"/>
  <c r="E6222" i="1"/>
  <c r="G6221" i="1"/>
  <c r="F6221" i="1"/>
  <c r="E6221" i="1"/>
  <c r="G6220" i="1"/>
  <c r="F6220" i="1"/>
  <c r="E6220" i="1"/>
  <c r="G6219" i="1"/>
  <c r="F6219" i="1"/>
  <c r="E6219" i="1"/>
  <c r="G6218" i="1"/>
  <c r="F6218" i="1"/>
  <c r="E6218" i="1"/>
  <c r="G6217" i="1"/>
  <c r="F6217" i="1"/>
  <c r="E6217" i="1"/>
  <c r="G6216" i="1"/>
  <c r="F6216" i="1"/>
  <c r="E6216" i="1"/>
  <c r="G6215" i="1"/>
  <c r="F6215" i="1"/>
  <c r="E6215" i="1"/>
  <c r="G6214" i="1"/>
  <c r="F6214" i="1"/>
  <c r="E6214" i="1"/>
  <c r="G6213" i="1"/>
  <c r="F6213" i="1"/>
  <c r="E6213" i="1"/>
  <c r="G6212" i="1"/>
  <c r="F6212" i="1"/>
  <c r="E6212" i="1"/>
  <c r="G6211" i="1"/>
  <c r="F6211" i="1"/>
  <c r="E6211" i="1"/>
  <c r="G6210" i="1"/>
  <c r="F6210" i="1"/>
  <c r="E6210" i="1"/>
  <c r="G6209" i="1"/>
  <c r="F6209" i="1"/>
  <c r="E6209" i="1"/>
  <c r="G6208" i="1"/>
  <c r="F6208" i="1"/>
  <c r="E6208" i="1"/>
  <c r="G6207" i="1"/>
  <c r="F6207" i="1"/>
  <c r="E6207" i="1"/>
  <c r="G6206" i="1"/>
  <c r="F6206" i="1"/>
  <c r="E6206" i="1"/>
  <c r="G6205" i="1"/>
  <c r="F6205" i="1"/>
  <c r="E6205" i="1"/>
  <c r="G6204" i="1"/>
  <c r="F6204" i="1"/>
  <c r="E6204" i="1"/>
  <c r="G6203" i="1"/>
  <c r="F6203" i="1"/>
  <c r="E6203" i="1"/>
  <c r="G6202" i="1"/>
  <c r="F6202" i="1"/>
  <c r="E6202" i="1"/>
  <c r="G6201" i="1"/>
  <c r="F6201" i="1"/>
  <c r="E6201" i="1"/>
  <c r="G6200" i="1"/>
  <c r="F6200" i="1"/>
  <c r="E6200" i="1"/>
  <c r="G6199" i="1"/>
  <c r="F6199" i="1"/>
  <c r="E6199" i="1"/>
  <c r="G6198" i="1"/>
  <c r="F6198" i="1"/>
  <c r="E6198" i="1"/>
  <c r="G6197" i="1"/>
  <c r="F6197" i="1"/>
  <c r="E6197" i="1"/>
  <c r="G6196" i="1"/>
  <c r="F6196" i="1"/>
  <c r="E6196" i="1"/>
  <c r="G6195" i="1"/>
  <c r="F6195" i="1"/>
  <c r="E6195" i="1"/>
  <c r="G6194" i="1"/>
  <c r="F6194" i="1"/>
  <c r="E6194" i="1"/>
  <c r="G6193" i="1"/>
  <c r="F6193" i="1"/>
  <c r="E6193" i="1"/>
  <c r="G6192" i="1"/>
  <c r="F6192" i="1"/>
  <c r="E6192" i="1"/>
  <c r="G6191" i="1"/>
  <c r="F6191" i="1"/>
  <c r="E6191" i="1"/>
  <c r="G6190" i="1"/>
  <c r="F6190" i="1"/>
  <c r="E6190" i="1"/>
  <c r="G6189" i="1"/>
  <c r="F6189" i="1"/>
  <c r="E6189" i="1"/>
  <c r="G6188" i="1"/>
  <c r="F6188" i="1"/>
  <c r="E6188" i="1"/>
  <c r="G6187" i="1"/>
  <c r="F6187" i="1"/>
  <c r="E6187" i="1"/>
  <c r="G6186" i="1"/>
  <c r="F6186" i="1"/>
  <c r="E6186" i="1"/>
  <c r="G6185" i="1"/>
  <c r="F6185" i="1"/>
  <c r="E6185" i="1"/>
  <c r="G6184" i="1"/>
  <c r="F6184" i="1"/>
  <c r="E6184" i="1"/>
  <c r="G6183" i="1"/>
  <c r="F6183" i="1"/>
  <c r="E6183" i="1"/>
  <c r="G6182" i="1"/>
  <c r="F6182" i="1"/>
  <c r="E6182" i="1"/>
  <c r="G6181" i="1"/>
  <c r="F6181" i="1"/>
  <c r="E6181" i="1"/>
  <c r="G6180" i="1"/>
  <c r="F6180" i="1"/>
  <c r="E6180" i="1"/>
  <c r="G6179" i="1"/>
  <c r="F6179" i="1"/>
  <c r="E6179" i="1"/>
  <c r="G6178" i="1"/>
  <c r="F6178" i="1"/>
  <c r="E6178" i="1"/>
  <c r="G6177" i="1"/>
  <c r="F6177" i="1"/>
  <c r="E6177" i="1"/>
  <c r="G6176" i="1"/>
  <c r="F6176" i="1"/>
  <c r="E6176" i="1"/>
  <c r="G6175" i="1"/>
  <c r="F6175" i="1"/>
  <c r="E6175" i="1"/>
  <c r="G6174" i="1"/>
  <c r="F6174" i="1"/>
  <c r="E6174" i="1"/>
  <c r="G6173" i="1"/>
  <c r="F6173" i="1"/>
  <c r="E6173" i="1"/>
  <c r="G6172" i="1"/>
  <c r="F6172" i="1"/>
  <c r="E6172" i="1"/>
  <c r="G6171" i="1"/>
  <c r="F6171" i="1"/>
  <c r="E6171" i="1"/>
  <c r="G6170" i="1"/>
  <c r="F6170" i="1"/>
  <c r="E6170" i="1"/>
  <c r="G6169" i="1"/>
  <c r="F6169" i="1"/>
  <c r="E6169" i="1"/>
  <c r="G6168" i="1"/>
  <c r="F6168" i="1"/>
  <c r="E6168" i="1"/>
  <c r="G6167" i="1"/>
  <c r="F6167" i="1"/>
  <c r="E6167" i="1"/>
  <c r="G6166" i="1"/>
  <c r="F6166" i="1"/>
  <c r="E6166" i="1"/>
  <c r="G6165" i="1"/>
  <c r="F6165" i="1"/>
  <c r="E6165" i="1"/>
  <c r="G6164" i="1"/>
  <c r="F6164" i="1"/>
  <c r="E6164" i="1"/>
  <c r="G6163" i="1"/>
  <c r="F6163" i="1"/>
  <c r="E6163" i="1"/>
  <c r="G6162" i="1"/>
  <c r="F6162" i="1"/>
  <c r="E6162" i="1"/>
  <c r="G6161" i="1"/>
  <c r="F6161" i="1"/>
  <c r="E6161" i="1"/>
  <c r="G6160" i="1"/>
  <c r="F6160" i="1"/>
  <c r="E6160" i="1"/>
  <c r="G6159" i="1"/>
  <c r="F6159" i="1"/>
  <c r="E6159" i="1"/>
  <c r="G6158" i="1"/>
  <c r="F6158" i="1"/>
  <c r="E6158" i="1"/>
  <c r="G6157" i="1"/>
  <c r="F6157" i="1"/>
  <c r="E6157" i="1"/>
  <c r="G6156" i="1"/>
  <c r="F6156" i="1"/>
  <c r="E6156" i="1"/>
  <c r="G6155" i="1"/>
  <c r="F6155" i="1"/>
  <c r="E6155" i="1"/>
  <c r="G6154" i="1"/>
  <c r="F6154" i="1"/>
  <c r="E6154" i="1"/>
  <c r="G6153" i="1"/>
  <c r="F6153" i="1"/>
  <c r="E6153" i="1"/>
  <c r="G6152" i="1"/>
  <c r="F6152" i="1"/>
  <c r="E6152" i="1"/>
  <c r="G6151" i="1"/>
  <c r="F6151" i="1"/>
  <c r="E6151" i="1"/>
  <c r="G6150" i="1"/>
  <c r="F6150" i="1"/>
  <c r="E6150" i="1"/>
  <c r="G6149" i="1"/>
  <c r="F6149" i="1"/>
  <c r="E6149" i="1"/>
  <c r="G6148" i="1"/>
  <c r="F6148" i="1"/>
  <c r="E6148" i="1"/>
  <c r="G6147" i="1"/>
  <c r="F6147" i="1"/>
  <c r="E6147" i="1"/>
  <c r="G6146" i="1"/>
  <c r="F6146" i="1"/>
  <c r="E6146" i="1"/>
  <c r="G6145" i="1"/>
  <c r="F6145" i="1"/>
  <c r="E6145" i="1"/>
  <c r="G6144" i="1"/>
  <c r="F6144" i="1"/>
  <c r="E6144" i="1"/>
  <c r="G6143" i="1"/>
  <c r="F6143" i="1"/>
  <c r="E6143" i="1"/>
  <c r="G6142" i="1"/>
  <c r="F6142" i="1"/>
  <c r="E6142" i="1"/>
  <c r="G6141" i="1"/>
  <c r="F6141" i="1"/>
  <c r="E6141" i="1"/>
  <c r="G6140" i="1"/>
  <c r="F6140" i="1"/>
  <c r="E6140" i="1"/>
  <c r="G6139" i="1"/>
  <c r="F6139" i="1"/>
  <c r="E6139" i="1"/>
  <c r="G6138" i="1"/>
  <c r="F6138" i="1"/>
  <c r="E6138" i="1"/>
  <c r="G6137" i="1"/>
  <c r="F6137" i="1"/>
  <c r="E6137" i="1"/>
  <c r="G6136" i="1"/>
  <c r="F6136" i="1"/>
  <c r="E6136" i="1"/>
  <c r="G6135" i="1"/>
  <c r="F6135" i="1"/>
  <c r="E6135" i="1"/>
  <c r="G6134" i="1"/>
  <c r="F6134" i="1"/>
  <c r="E6134" i="1"/>
  <c r="G6133" i="1"/>
  <c r="F6133" i="1"/>
  <c r="E6133" i="1"/>
  <c r="G6132" i="1"/>
  <c r="F6132" i="1"/>
  <c r="E6132" i="1"/>
  <c r="G6131" i="1"/>
  <c r="F6131" i="1"/>
  <c r="E6131" i="1"/>
  <c r="G6130" i="1"/>
  <c r="F6130" i="1"/>
  <c r="E6130" i="1"/>
  <c r="G6129" i="1"/>
  <c r="F6129" i="1"/>
  <c r="E6129" i="1"/>
  <c r="G6128" i="1"/>
  <c r="F6128" i="1"/>
  <c r="E6128" i="1"/>
  <c r="G6127" i="1"/>
  <c r="F6127" i="1"/>
  <c r="E6127" i="1"/>
  <c r="G6126" i="1"/>
  <c r="F6126" i="1"/>
  <c r="E6126" i="1"/>
  <c r="G6125" i="1"/>
  <c r="F6125" i="1"/>
  <c r="E6125" i="1"/>
  <c r="G6124" i="1"/>
  <c r="F6124" i="1"/>
  <c r="E6124" i="1"/>
  <c r="G6123" i="1"/>
  <c r="F6123" i="1"/>
  <c r="E6123" i="1"/>
  <c r="G6122" i="1"/>
  <c r="F6122" i="1"/>
  <c r="E6122" i="1"/>
  <c r="G6121" i="1"/>
  <c r="F6121" i="1"/>
  <c r="E6121" i="1"/>
  <c r="G6120" i="1"/>
  <c r="F6120" i="1"/>
  <c r="E6120" i="1"/>
  <c r="G6119" i="1"/>
  <c r="F6119" i="1"/>
  <c r="E6119" i="1"/>
  <c r="G6118" i="1"/>
  <c r="F6118" i="1"/>
  <c r="E6118" i="1"/>
  <c r="G6117" i="1"/>
  <c r="F6117" i="1"/>
  <c r="E6117" i="1"/>
  <c r="G6116" i="1"/>
  <c r="F6116" i="1"/>
  <c r="E6116" i="1"/>
  <c r="G6115" i="1"/>
  <c r="F6115" i="1"/>
  <c r="E6115" i="1"/>
  <c r="G6114" i="1"/>
  <c r="F6114" i="1"/>
  <c r="E6114" i="1"/>
  <c r="G6113" i="1"/>
  <c r="F6113" i="1"/>
  <c r="E6113" i="1"/>
  <c r="G6112" i="1"/>
  <c r="F6112" i="1"/>
  <c r="E6112" i="1"/>
  <c r="G6111" i="1"/>
  <c r="F6111" i="1"/>
  <c r="E6111" i="1"/>
  <c r="G6110" i="1"/>
  <c r="F6110" i="1"/>
  <c r="E6110" i="1"/>
  <c r="G6109" i="1"/>
  <c r="F6109" i="1"/>
  <c r="E6109" i="1"/>
  <c r="G6108" i="1"/>
  <c r="F6108" i="1"/>
  <c r="E6108" i="1"/>
  <c r="G6107" i="1"/>
  <c r="F6107" i="1"/>
  <c r="E6107" i="1"/>
  <c r="G6106" i="1"/>
  <c r="F6106" i="1"/>
  <c r="E6106" i="1"/>
  <c r="G6105" i="1"/>
  <c r="F6105" i="1"/>
  <c r="E6105" i="1"/>
  <c r="G6104" i="1"/>
  <c r="F6104" i="1"/>
  <c r="E6104" i="1"/>
  <c r="G6103" i="1"/>
  <c r="F6103" i="1"/>
  <c r="E6103" i="1"/>
  <c r="G6102" i="1"/>
  <c r="F6102" i="1"/>
  <c r="E6102" i="1"/>
  <c r="G6101" i="1"/>
  <c r="F6101" i="1"/>
  <c r="E6101" i="1"/>
  <c r="G6100" i="1"/>
  <c r="F6100" i="1"/>
  <c r="E6100" i="1"/>
  <c r="G6099" i="1"/>
  <c r="F6099" i="1"/>
  <c r="E6099" i="1"/>
  <c r="G6098" i="1"/>
  <c r="F6098" i="1"/>
  <c r="E6098" i="1"/>
  <c r="G6097" i="1"/>
  <c r="F6097" i="1"/>
  <c r="E6097" i="1"/>
  <c r="G6096" i="1"/>
  <c r="F6096" i="1"/>
  <c r="E6096" i="1"/>
  <c r="G6095" i="1"/>
  <c r="F6095" i="1"/>
  <c r="E6095" i="1"/>
  <c r="G6094" i="1"/>
  <c r="F6094" i="1"/>
  <c r="E6094" i="1"/>
  <c r="G6093" i="1"/>
  <c r="F6093" i="1"/>
  <c r="E6093" i="1"/>
  <c r="G6092" i="1"/>
  <c r="F6092" i="1"/>
  <c r="E6092" i="1"/>
  <c r="G6091" i="1"/>
  <c r="F6091" i="1"/>
  <c r="E6091" i="1"/>
  <c r="G6090" i="1"/>
  <c r="F6090" i="1"/>
  <c r="E6090" i="1"/>
  <c r="G6089" i="1"/>
  <c r="F6089" i="1"/>
  <c r="E6089" i="1"/>
  <c r="G6088" i="1"/>
  <c r="F6088" i="1"/>
  <c r="E6088" i="1"/>
  <c r="G6087" i="1"/>
  <c r="F6087" i="1"/>
  <c r="E6087" i="1"/>
  <c r="G6086" i="1"/>
  <c r="F6086" i="1"/>
  <c r="E6086" i="1"/>
  <c r="G6085" i="1"/>
  <c r="F6085" i="1"/>
  <c r="E6085" i="1"/>
  <c r="G6084" i="1"/>
  <c r="F6084" i="1"/>
  <c r="E6084" i="1"/>
  <c r="G6083" i="1"/>
  <c r="F6083" i="1"/>
  <c r="E6083" i="1"/>
  <c r="G6082" i="1"/>
  <c r="F6082" i="1"/>
  <c r="E6082" i="1"/>
  <c r="G6081" i="1"/>
  <c r="F6081" i="1"/>
  <c r="E6081" i="1"/>
  <c r="G6080" i="1"/>
  <c r="F6080" i="1"/>
  <c r="E6080" i="1"/>
  <c r="G6079" i="1"/>
  <c r="F6079" i="1"/>
  <c r="E6079" i="1"/>
  <c r="G6078" i="1"/>
  <c r="F6078" i="1"/>
  <c r="E6078" i="1"/>
  <c r="G6077" i="1"/>
  <c r="F6077" i="1"/>
  <c r="E6077" i="1"/>
  <c r="G6076" i="1"/>
  <c r="F6076" i="1"/>
  <c r="E6076" i="1"/>
  <c r="G6075" i="1"/>
  <c r="F6075" i="1"/>
  <c r="E6075" i="1"/>
  <c r="G6074" i="1"/>
  <c r="F6074" i="1"/>
  <c r="E6074" i="1"/>
  <c r="G6073" i="1"/>
  <c r="F6073" i="1"/>
  <c r="E6073" i="1"/>
  <c r="G6072" i="1"/>
  <c r="F6072" i="1"/>
  <c r="E6072" i="1"/>
  <c r="G6071" i="1"/>
  <c r="F6071" i="1"/>
  <c r="E6071" i="1"/>
  <c r="G6070" i="1"/>
  <c r="F6070" i="1"/>
  <c r="E6070" i="1"/>
  <c r="G6069" i="1"/>
  <c r="F6069" i="1"/>
  <c r="E6069" i="1"/>
  <c r="G6068" i="1"/>
  <c r="F6068" i="1"/>
  <c r="E6068" i="1"/>
  <c r="G6067" i="1"/>
  <c r="F6067" i="1"/>
  <c r="E6067" i="1"/>
  <c r="G6066" i="1"/>
  <c r="F6066" i="1"/>
  <c r="E6066" i="1"/>
  <c r="G6065" i="1"/>
  <c r="F6065" i="1"/>
  <c r="E6065" i="1"/>
  <c r="G6064" i="1"/>
  <c r="F6064" i="1"/>
  <c r="E6064" i="1"/>
  <c r="G6063" i="1"/>
  <c r="F6063" i="1"/>
  <c r="E6063" i="1"/>
  <c r="G6062" i="1"/>
  <c r="F6062" i="1"/>
  <c r="E6062" i="1"/>
  <c r="G6061" i="1"/>
  <c r="F6061" i="1"/>
  <c r="E6061" i="1"/>
  <c r="G6060" i="1"/>
  <c r="F6060" i="1"/>
  <c r="E6060" i="1"/>
  <c r="G6059" i="1"/>
  <c r="F6059" i="1"/>
  <c r="E6059" i="1"/>
  <c r="G6058" i="1"/>
  <c r="F6058" i="1"/>
  <c r="E6058" i="1"/>
  <c r="G6057" i="1"/>
  <c r="F6057" i="1"/>
  <c r="E6057" i="1"/>
  <c r="G6056" i="1"/>
  <c r="F6056" i="1"/>
  <c r="E6056" i="1"/>
  <c r="G6055" i="1"/>
  <c r="F6055" i="1"/>
  <c r="E6055" i="1"/>
  <c r="G6054" i="1"/>
  <c r="F6054" i="1"/>
  <c r="E6054" i="1"/>
  <c r="G6053" i="1"/>
  <c r="F6053" i="1"/>
  <c r="E6053" i="1"/>
  <c r="G6052" i="1"/>
  <c r="F6052" i="1"/>
  <c r="E6052" i="1"/>
  <c r="G6051" i="1"/>
  <c r="F6051" i="1"/>
  <c r="E6051" i="1"/>
  <c r="G6050" i="1"/>
  <c r="F6050" i="1"/>
  <c r="E6050" i="1"/>
  <c r="G6049" i="1"/>
  <c r="F6049" i="1"/>
  <c r="E6049" i="1"/>
  <c r="G6048" i="1"/>
  <c r="F6048" i="1"/>
  <c r="E6048" i="1"/>
  <c r="G6047" i="1"/>
  <c r="F6047" i="1"/>
  <c r="E6047" i="1"/>
  <c r="G6046" i="1"/>
  <c r="F6046" i="1"/>
  <c r="E6046" i="1"/>
  <c r="G6045" i="1"/>
  <c r="F6045" i="1"/>
  <c r="E6045" i="1"/>
  <c r="G6044" i="1"/>
  <c r="F6044" i="1"/>
  <c r="E6044" i="1"/>
  <c r="G6043" i="1"/>
  <c r="F6043" i="1"/>
  <c r="E6043" i="1"/>
  <c r="G6042" i="1"/>
  <c r="F6042" i="1"/>
  <c r="E6042" i="1"/>
  <c r="G6041" i="1"/>
  <c r="F6041" i="1"/>
  <c r="E6041" i="1"/>
  <c r="G6040" i="1"/>
  <c r="F6040" i="1"/>
  <c r="E6040" i="1"/>
  <c r="G6039" i="1"/>
  <c r="F6039" i="1"/>
  <c r="E6039" i="1"/>
  <c r="G6038" i="1"/>
  <c r="F6038" i="1"/>
  <c r="E6038" i="1"/>
  <c r="G6037" i="1"/>
  <c r="F6037" i="1"/>
  <c r="E6037" i="1"/>
  <c r="G6036" i="1"/>
  <c r="F6036" i="1"/>
  <c r="E6036" i="1"/>
  <c r="G6035" i="1"/>
  <c r="F6035" i="1"/>
  <c r="E6035" i="1"/>
  <c r="G6034" i="1"/>
  <c r="F6034" i="1"/>
  <c r="E6034" i="1"/>
  <c r="G6033" i="1"/>
  <c r="F6033" i="1"/>
  <c r="E6033" i="1"/>
  <c r="G6032" i="1"/>
  <c r="F6032" i="1"/>
  <c r="E6032" i="1"/>
  <c r="G6031" i="1"/>
  <c r="F6031" i="1"/>
  <c r="E6031" i="1"/>
  <c r="G6030" i="1"/>
  <c r="F6030" i="1"/>
  <c r="E6030" i="1"/>
  <c r="G6029" i="1"/>
  <c r="F6029" i="1"/>
  <c r="E6029" i="1"/>
  <c r="G6028" i="1"/>
  <c r="F6028" i="1"/>
  <c r="E6028" i="1"/>
  <c r="G6027" i="1"/>
  <c r="F6027" i="1"/>
  <c r="E6027" i="1"/>
  <c r="G6026" i="1"/>
  <c r="F6026" i="1"/>
  <c r="E6026" i="1"/>
  <c r="G6025" i="1"/>
  <c r="F6025" i="1"/>
  <c r="E6025" i="1"/>
  <c r="G6024" i="1"/>
  <c r="F6024" i="1"/>
  <c r="E6024" i="1"/>
  <c r="G6023" i="1"/>
  <c r="F6023" i="1"/>
  <c r="E6023" i="1"/>
  <c r="G6022" i="1"/>
  <c r="F6022" i="1"/>
  <c r="E6022" i="1"/>
  <c r="G6021" i="1"/>
  <c r="F6021" i="1"/>
  <c r="E6021" i="1"/>
  <c r="G6020" i="1"/>
  <c r="F6020" i="1"/>
  <c r="E6020" i="1"/>
  <c r="G6019" i="1"/>
  <c r="F6019" i="1"/>
  <c r="E6019" i="1"/>
  <c r="G6018" i="1"/>
  <c r="F6018" i="1"/>
  <c r="E6018" i="1"/>
  <c r="G6017" i="1"/>
  <c r="F6017" i="1"/>
  <c r="E6017" i="1"/>
  <c r="G6016" i="1"/>
  <c r="F6016" i="1"/>
  <c r="E6016" i="1"/>
  <c r="G6015" i="1"/>
  <c r="F6015" i="1"/>
  <c r="E6015" i="1"/>
  <c r="G6014" i="1"/>
  <c r="F6014" i="1"/>
  <c r="E6014" i="1"/>
  <c r="G6013" i="1"/>
  <c r="F6013" i="1"/>
  <c r="E6013" i="1"/>
  <c r="G6012" i="1"/>
  <c r="F6012" i="1"/>
  <c r="E6012" i="1"/>
  <c r="G6011" i="1"/>
  <c r="F6011" i="1"/>
  <c r="E6011" i="1"/>
  <c r="G6010" i="1"/>
  <c r="F6010" i="1"/>
  <c r="E6010" i="1"/>
  <c r="G6009" i="1"/>
  <c r="F6009" i="1"/>
  <c r="E6009" i="1"/>
  <c r="G6008" i="1"/>
  <c r="F6008" i="1"/>
  <c r="E6008" i="1"/>
  <c r="G6007" i="1"/>
  <c r="F6007" i="1"/>
  <c r="E6007" i="1"/>
  <c r="G6006" i="1"/>
  <c r="F6006" i="1"/>
  <c r="E6006" i="1"/>
  <c r="G6005" i="1"/>
  <c r="F6005" i="1"/>
  <c r="E6005" i="1"/>
  <c r="G6004" i="1"/>
  <c r="F6004" i="1"/>
  <c r="E6004" i="1"/>
  <c r="G6003" i="1"/>
  <c r="F6003" i="1"/>
  <c r="E6003" i="1"/>
  <c r="G6002" i="1"/>
  <c r="F6002" i="1"/>
  <c r="E6002" i="1"/>
  <c r="G6001" i="1"/>
  <c r="F6001" i="1"/>
  <c r="E6001" i="1"/>
  <c r="G6000" i="1"/>
  <c r="F6000" i="1"/>
  <c r="E6000" i="1"/>
  <c r="G5999" i="1"/>
  <c r="F5999" i="1"/>
  <c r="E5999" i="1"/>
  <c r="G5998" i="1"/>
  <c r="F5998" i="1"/>
  <c r="E5998" i="1"/>
  <c r="G5997" i="1"/>
  <c r="F5997" i="1"/>
  <c r="E5997" i="1"/>
  <c r="G5996" i="1"/>
  <c r="F5996" i="1"/>
  <c r="E5996" i="1"/>
  <c r="G5995" i="1"/>
  <c r="F5995" i="1"/>
  <c r="E5995" i="1"/>
  <c r="G5994" i="1"/>
  <c r="F5994" i="1"/>
  <c r="E5994" i="1"/>
  <c r="G5993" i="1"/>
  <c r="F5993" i="1"/>
  <c r="E5993" i="1"/>
  <c r="G5992" i="1"/>
  <c r="F5992" i="1"/>
  <c r="E5992" i="1"/>
  <c r="G5991" i="1"/>
  <c r="F5991" i="1"/>
  <c r="E5991" i="1"/>
  <c r="G5990" i="1"/>
  <c r="F5990" i="1"/>
  <c r="E5990" i="1"/>
  <c r="G5989" i="1"/>
  <c r="F5989" i="1"/>
  <c r="E5989" i="1"/>
  <c r="G5988" i="1"/>
  <c r="F5988" i="1"/>
  <c r="E5988" i="1"/>
  <c r="G5987" i="1"/>
  <c r="F5987" i="1"/>
  <c r="E5987" i="1"/>
  <c r="G5986" i="1"/>
  <c r="F5986" i="1"/>
  <c r="E5986" i="1"/>
  <c r="G5985" i="1"/>
  <c r="F5985" i="1"/>
  <c r="E5985" i="1"/>
  <c r="G5984" i="1"/>
  <c r="F5984" i="1"/>
  <c r="E5984" i="1"/>
  <c r="G5983" i="1"/>
  <c r="F5983" i="1"/>
  <c r="E5983" i="1"/>
  <c r="G5982" i="1"/>
  <c r="F5982" i="1"/>
  <c r="E5982" i="1"/>
  <c r="G5981" i="1"/>
  <c r="F5981" i="1"/>
  <c r="E5981" i="1"/>
  <c r="G5980" i="1"/>
  <c r="F5980" i="1"/>
  <c r="E5980" i="1"/>
  <c r="G5979" i="1"/>
  <c r="F5979" i="1"/>
  <c r="E5979" i="1"/>
  <c r="G5978" i="1"/>
  <c r="F5978" i="1"/>
  <c r="E5978" i="1"/>
  <c r="G5977" i="1"/>
  <c r="F5977" i="1"/>
  <c r="E5977" i="1"/>
  <c r="G5976" i="1"/>
  <c r="F5976" i="1"/>
  <c r="E5976" i="1"/>
  <c r="G5975" i="1"/>
  <c r="F5975" i="1"/>
  <c r="E5975" i="1"/>
  <c r="G5974" i="1"/>
  <c r="F5974" i="1"/>
  <c r="E5974" i="1"/>
  <c r="G5973" i="1"/>
  <c r="F5973" i="1"/>
  <c r="E5973" i="1"/>
  <c r="G5972" i="1"/>
  <c r="F5972" i="1"/>
  <c r="E5972" i="1"/>
  <c r="G5971" i="1"/>
  <c r="F5971" i="1"/>
  <c r="E5971" i="1"/>
  <c r="G5970" i="1"/>
  <c r="F5970" i="1"/>
  <c r="E5970" i="1"/>
  <c r="G5969" i="1"/>
  <c r="F5969" i="1"/>
  <c r="E5969" i="1"/>
  <c r="G5968" i="1"/>
  <c r="F5968" i="1"/>
  <c r="E5968" i="1"/>
  <c r="G5967" i="1"/>
  <c r="F5967" i="1"/>
  <c r="E5967" i="1"/>
  <c r="G5966" i="1"/>
  <c r="F5966" i="1"/>
  <c r="E5966" i="1"/>
  <c r="G5965" i="1"/>
  <c r="F5965" i="1"/>
  <c r="E5965" i="1"/>
  <c r="G5964" i="1"/>
  <c r="F5964" i="1"/>
  <c r="E5964" i="1"/>
  <c r="G5963" i="1"/>
  <c r="F5963" i="1"/>
  <c r="E5963" i="1"/>
  <c r="G5962" i="1"/>
  <c r="F5962" i="1"/>
  <c r="E5962" i="1"/>
  <c r="G5961" i="1"/>
  <c r="F5961" i="1"/>
  <c r="E5961" i="1"/>
  <c r="G5960" i="1"/>
  <c r="F5960" i="1"/>
  <c r="E5960" i="1"/>
  <c r="G5959" i="1"/>
  <c r="F5959" i="1"/>
  <c r="E5959" i="1"/>
  <c r="G5958" i="1"/>
  <c r="F5958" i="1"/>
  <c r="E5958" i="1"/>
  <c r="G5957" i="1"/>
  <c r="F5957" i="1"/>
  <c r="E5957" i="1"/>
  <c r="G5956" i="1"/>
  <c r="F5956" i="1"/>
  <c r="E5956" i="1"/>
  <c r="G5955" i="1"/>
  <c r="F5955" i="1"/>
  <c r="E5955" i="1"/>
  <c r="G5954" i="1"/>
  <c r="F5954" i="1"/>
  <c r="E5954" i="1"/>
  <c r="G5953" i="1"/>
  <c r="F5953" i="1"/>
  <c r="E5953" i="1"/>
  <c r="G5952" i="1"/>
  <c r="F5952" i="1"/>
  <c r="E5952" i="1"/>
  <c r="G5951" i="1"/>
  <c r="F5951" i="1"/>
  <c r="E5951" i="1"/>
  <c r="G5950" i="1"/>
  <c r="F5950" i="1"/>
  <c r="E5950" i="1"/>
  <c r="G5949" i="1"/>
  <c r="F5949" i="1"/>
  <c r="E5949" i="1"/>
  <c r="G5948" i="1"/>
  <c r="F5948" i="1"/>
  <c r="E5948" i="1"/>
  <c r="G5947" i="1"/>
  <c r="F5947" i="1"/>
  <c r="E5947" i="1"/>
  <c r="G5946" i="1"/>
  <c r="F5946" i="1"/>
  <c r="E5946" i="1"/>
  <c r="G5945" i="1"/>
  <c r="F5945" i="1"/>
  <c r="E5945" i="1"/>
  <c r="G5944" i="1"/>
  <c r="F5944" i="1"/>
  <c r="E5944" i="1"/>
  <c r="G5943" i="1"/>
  <c r="F5943" i="1"/>
  <c r="E5943" i="1"/>
  <c r="G5942" i="1"/>
  <c r="F5942" i="1"/>
  <c r="E5942" i="1"/>
  <c r="G5941" i="1"/>
  <c r="F5941" i="1"/>
  <c r="E5941" i="1"/>
  <c r="G5940" i="1"/>
  <c r="F5940" i="1"/>
  <c r="E5940" i="1"/>
  <c r="G5939" i="1"/>
  <c r="F5939" i="1"/>
  <c r="E5939" i="1"/>
  <c r="G5938" i="1"/>
  <c r="F5938" i="1"/>
  <c r="E5938" i="1"/>
  <c r="G5937" i="1"/>
  <c r="F5937" i="1"/>
  <c r="E5937" i="1"/>
  <c r="G5936" i="1"/>
  <c r="F5936" i="1"/>
  <c r="E5936" i="1"/>
  <c r="G5935" i="1"/>
  <c r="F5935" i="1"/>
  <c r="E5935" i="1"/>
  <c r="G5934" i="1"/>
  <c r="F5934" i="1"/>
  <c r="E5934" i="1"/>
  <c r="G5933" i="1"/>
  <c r="F5933" i="1"/>
  <c r="E5933" i="1"/>
  <c r="G5932" i="1"/>
  <c r="F5932" i="1"/>
  <c r="E5932" i="1"/>
  <c r="G5931" i="1"/>
  <c r="F5931" i="1"/>
  <c r="E5931" i="1"/>
  <c r="G5930" i="1"/>
  <c r="F5930" i="1"/>
  <c r="E5930" i="1"/>
  <c r="G5929" i="1"/>
  <c r="F5929" i="1"/>
  <c r="E5929" i="1"/>
  <c r="G5928" i="1"/>
  <c r="F5928" i="1"/>
  <c r="E5928" i="1"/>
  <c r="G5927" i="1"/>
  <c r="F5927" i="1"/>
  <c r="E5927" i="1"/>
  <c r="G5926" i="1"/>
  <c r="F5926" i="1"/>
  <c r="E5926" i="1"/>
  <c r="G5925" i="1"/>
  <c r="F5925" i="1"/>
  <c r="E5925" i="1"/>
  <c r="G5924" i="1"/>
  <c r="F5924" i="1"/>
  <c r="E5924" i="1"/>
  <c r="G5923" i="1"/>
  <c r="F5923" i="1"/>
  <c r="E5923" i="1"/>
  <c r="G5922" i="1"/>
  <c r="F5922" i="1"/>
  <c r="E5922" i="1"/>
  <c r="G5921" i="1"/>
  <c r="F5921" i="1"/>
  <c r="E5921" i="1"/>
  <c r="G5920" i="1"/>
  <c r="F5920" i="1"/>
  <c r="E5920" i="1"/>
  <c r="G5919" i="1"/>
  <c r="F5919" i="1"/>
  <c r="E5919" i="1"/>
  <c r="G5918" i="1"/>
  <c r="F5918" i="1"/>
  <c r="E5918" i="1"/>
  <c r="G5917" i="1"/>
  <c r="F5917" i="1"/>
  <c r="E5917" i="1"/>
  <c r="G5916" i="1"/>
  <c r="F5916" i="1"/>
  <c r="E5916" i="1"/>
  <c r="G5915" i="1"/>
  <c r="F5915" i="1"/>
  <c r="E5915" i="1"/>
  <c r="G5914" i="1"/>
  <c r="F5914" i="1"/>
  <c r="E5914" i="1"/>
  <c r="G5913" i="1"/>
  <c r="F5913" i="1"/>
  <c r="E5913" i="1"/>
  <c r="G5912" i="1"/>
  <c r="F5912" i="1"/>
  <c r="E5912" i="1"/>
  <c r="G5911" i="1"/>
  <c r="F5911" i="1"/>
  <c r="E5911" i="1"/>
  <c r="G5910" i="1"/>
  <c r="F5910" i="1"/>
  <c r="E5910" i="1"/>
  <c r="G5909" i="1"/>
  <c r="F5909" i="1"/>
  <c r="E5909" i="1"/>
  <c r="G5908" i="1"/>
  <c r="F5908" i="1"/>
  <c r="E5908" i="1"/>
  <c r="G5907" i="1"/>
  <c r="F5907" i="1"/>
  <c r="E5907" i="1"/>
  <c r="G5906" i="1"/>
  <c r="F5906" i="1"/>
  <c r="E5906" i="1"/>
  <c r="G5905" i="1"/>
  <c r="F5905" i="1"/>
  <c r="E5905" i="1"/>
  <c r="G5904" i="1"/>
  <c r="F5904" i="1"/>
  <c r="E5904" i="1"/>
  <c r="G5903" i="1"/>
  <c r="F5903" i="1"/>
  <c r="E5903" i="1"/>
  <c r="G5902" i="1"/>
  <c r="F5902" i="1"/>
  <c r="E5902" i="1"/>
  <c r="G5901" i="1"/>
  <c r="F5901" i="1"/>
  <c r="E5901" i="1"/>
  <c r="G5900" i="1"/>
  <c r="F5900" i="1"/>
  <c r="E5900" i="1"/>
  <c r="G5899" i="1"/>
  <c r="F5899" i="1"/>
  <c r="E5899" i="1"/>
  <c r="G5898" i="1"/>
  <c r="F5898" i="1"/>
  <c r="E5898" i="1"/>
  <c r="G5897" i="1"/>
  <c r="F5897" i="1"/>
  <c r="E5897" i="1"/>
  <c r="G5896" i="1"/>
  <c r="F5896" i="1"/>
  <c r="E5896" i="1"/>
  <c r="G5895" i="1"/>
  <c r="F5895" i="1"/>
  <c r="E5895" i="1"/>
  <c r="G5894" i="1"/>
  <c r="F5894" i="1"/>
  <c r="E5894" i="1"/>
  <c r="G5893" i="1"/>
  <c r="F5893" i="1"/>
  <c r="E5893" i="1"/>
  <c r="G5892" i="1"/>
  <c r="F5892" i="1"/>
  <c r="E5892" i="1"/>
  <c r="G5891" i="1"/>
  <c r="F5891" i="1"/>
  <c r="E5891" i="1"/>
  <c r="G5890" i="1"/>
  <c r="F5890" i="1"/>
  <c r="E5890" i="1"/>
  <c r="G5889" i="1"/>
  <c r="F5889" i="1"/>
  <c r="E5889" i="1"/>
  <c r="G5888" i="1"/>
  <c r="F5888" i="1"/>
  <c r="E5888" i="1"/>
  <c r="G5887" i="1"/>
  <c r="F5887" i="1"/>
  <c r="E5887" i="1"/>
  <c r="G5886" i="1"/>
  <c r="F5886" i="1"/>
  <c r="E5886" i="1"/>
  <c r="G5885" i="1"/>
  <c r="F5885" i="1"/>
  <c r="E5885" i="1"/>
  <c r="G5884" i="1"/>
  <c r="F5884" i="1"/>
  <c r="E5884" i="1"/>
  <c r="G5883" i="1"/>
  <c r="F5883" i="1"/>
  <c r="E5883" i="1"/>
  <c r="G5882" i="1"/>
  <c r="F5882" i="1"/>
  <c r="E5882" i="1"/>
  <c r="G5881" i="1"/>
  <c r="F5881" i="1"/>
  <c r="E5881" i="1"/>
  <c r="G5880" i="1"/>
  <c r="F5880" i="1"/>
  <c r="E5880" i="1"/>
  <c r="G5879" i="1"/>
  <c r="F5879" i="1"/>
  <c r="E5879" i="1"/>
  <c r="G5878" i="1"/>
  <c r="F5878" i="1"/>
  <c r="E5878" i="1"/>
  <c r="G5877" i="1"/>
  <c r="F5877" i="1"/>
  <c r="E5877" i="1"/>
  <c r="G5876" i="1"/>
  <c r="F5876" i="1"/>
  <c r="E5876" i="1"/>
  <c r="G5875" i="1"/>
  <c r="F5875" i="1"/>
  <c r="E5875" i="1"/>
  <c r="G5874" i="1"/>
  <c r="F5874" i="1"/>
  <c r="E5874" i="1"/>
  <c r="G5873" i="1"/>
  <c r="F5873" i="1"/>
  <c r="E5873" i="1"/>
  <c r="G5872" i="1"/>
  <c r="F5872" i="1"/>
  <c r="E5872" i="1"/>
  <c r="G5871" i="1"/>
  <c r="F5871" i="1"/>
  <c r="E5871" i="1"/>
  <c r="G5870" i="1"/>
  <c r="F5870" i="1"/>
  <c r="E5870" i="1"/>
  <c r="G5869" i="1"/>
  <c r="F5869" i="1"/>
  <c r="E5869" i="1"/>
  <c r="G5868" i="1"/>
  <c r="F5868" i="1"/>
  <c r="E5868" i="1"/>
  <c r="G5867" i="1"/>
  <c r="F5867" i="1"/>
  <c r="E5867" i="1"/>
  <c r="G5866" i="1"/>
  <c r="F5866" i="1"/>
  <c r="E5866" i="1"/>
  <c r="G5865" i="1"/>
  <c r="F5865" i="1"/>
  <c r="E5865" i="1"/>
  <c r="G5864" i="1"/>
  <c r="F5864" i="1"/>
  <c r="E5864" i="1"/>
  <c r="G5863" i="1"/>
  <c r="F5863" i="1"/>
  <c r="E5863" i="1"/>
  <c r="G5862" i="1"/>
  <c r="F5862" i="1"/>
  <c r="E5862" i="1"/>
  <c r="G5861" i="1"/>
  <c r="F5861" i="1"/>
  <c r="E5861" i="1"/>
  <c r="G5860" i="1"/>
  <c r="F5860" i="1"/>
  <c r="E5860" i="1"/>
  <c r="G5859" i="1"/>
  <c r="F5859" i="1"/>
  <c r="E5859" i="1"/>
  <c r="G5858" i="1"/>
  <c r="F5858" i="1"/>
  <c r="E5858" i="1"/>
  <c r="G5857" i="1"/>
  <c r="F5857" i="1"/>
  <c r="E5857" i="1"/>
  <c r="G5856" i="1"/>
  <c r="F5856" i="1"/>
  <c r="E5856" i="1"/>
  <c r="G5855" i="1"/>
  <c r="F5855" i="1"/>
  <c r="E5855" i="1"/>
  <c r="G5854" i="1"/>
  <c r="F5854" i="1"/>
  <c r="E5854" i="1"/>
  <c r="G5853" i="1"/>
  <c r="F5853" i="1"/>
  <c r="E5853" i="1"/>
  <c r="G5852" i="1"/>
  <c r="F5852" i="1"/>
  <c r="E5852" i="1"/>
  <c r="G5851" i="1"/>
  <c r="F5851" i="1"/>
  <c r="E5851" i="1"/>
  <c r="G5850" i="1"/>
  <c r="F5850" i="1"/>
  <c r="E5850" i="1"/>
  <c r="G5849" i="1"/>
  <c r="F5849" i="1"/>
  <c r="E5849" i="1"/>
  <c r="G5848" i="1"/>
  <c r="F5848" i="1"/>
  <c r="E5848" i="1"/>
  <c r="G5847" i="1"/>
  <c r="F5847" i="1"/>
  <c r="E5847" i="1"/>
  <c r="G5846" i="1"/>
  <c r="F5846" i="1"/>
  <c r="E5846" i="1"/>
  <c r="G5845" i="1"/>
  <c r="F5845" i="1"/>
  <c r="E5845" i="1"/>
  <c r="G5844" i="1"/>
  <c r="F5844" i="1"/>
  <c r="E5844" i="1"/>
  <c r="G5843" i="1"/>
  <c r="F5843" i="1"/>
  <c r="E5843" i="1"/>
  <c r="G5842" i="1"/>
  <c r="F5842" i="1"/>
  <c r="E5842" i="1"/>
  <c r="G5841" i="1"/>
  <c r="F5841" i="1"/>
  <c r="E5841" i="1"/>
  <c r="G5840" i="1"/>
  <c r="F5840" i="1"/>
  <c r="E5840" i="1"/>
  <c r="G5839" i="1"/>
  <c r="F5839" i="1"/>
  <c r="E5839" i="1"/>
  <c r="G5838" i="1"/>
  <c r="F5838" i="1"/>
  <c r="E5838" i="1"/>
  <c r="G5837" i="1"/>
  <c r="F5837" i="1"/>
  <c r="E5837" i="1"/>
  <c r="G5836" i="1"/>
  <c r="F5836" i="1"/>
  <c r="E5836" i="1"/>
  <c r="G5835" i="1"/>
  <c r="F5835" i="1"/>
  <c r="E5835" i="1"/>
  <c r="G5834" i="1"/>
  <c r="F5834" i="1"/>
  <c r="E5834" i="1"/>
  <c r="G5833" i="1"/>
  <c r="F5833" i="1"/>
  <c r="E5833" i="1"/>
  <c r="G5832" i="1"/>
  <c r="F5832" i="1"/>
  <c r="E5832" i="1"/>
  <c r="G5831" i="1"/>
  <c r="F5831" i="1"/>
  <c r="E5831" i="1"/>
  <c r="G5830" i="1"/>
  <c r="F5830" i="1"/>
  <c r="E5830" i="1"/>
  <c r="G5829" i="1"/>
  <c r="F5829" i="1"/>
  <c r="E5829" i="1"/>
  <c r="G5828" i="1"/>
  <c r="F5828" i="1"/>
  <c r="E5828" i="1"/>
  <c r="G5827" i="1"/>
  <c r="F5827" i="1"/>
  <c r="E5827" i="1"/>
  <c r="G5826" i="1"/>
  <c r="F5826" i="1"/>
  <c r="E5826" i="1"/>
  <c r="G5825" i="1"/>
  <c r="F5825" i="1"/>
  <c r="E5825" i="1"/>
  <c r="G5824" i="1"/>
  <c r="F5824" i="1"/>
  <c r="E5824" i="1"/>
  <c r="G5823" i="1"/>
  <c r="F5823" i="1"/>
  <c r="E5823" i="1"/>
  <c r="G5822" i="1"/>
  <c r="F5822" i="1"/>
  <c r="E5822" i="1"/>
  <c r="G5821" i="1"/>
  <c r="F5821" i="1"/>
  <c r="E5821" i="1"/>
  <c r="G5820" i="1"/>
  <c r="F5820" i="1"/>
  <c r="E5820" i="1"/>
  <c r="G5819" i="1"/>
  <c r="F5819" i="1"/>
  <c r="E5819" i="1"/>
  <c r="G5818" i="1"/>
  <c r="F5818" i="1"/>
  <c r="E5818" i="1"/>
  <c r="G5817" i="1"/>
  <c r="F5817" i="1"/>
  <c r="E5817" i="1"/>
  <c r="G5816" i="1"/>
  <c r="F5816" i="1"/>
  <c r="E5816" i="1"/>
  <c r="G5815" i="1"/>
  <c r="F5815" i="1"/>
  <c r="E5815" i="1"/>
  <c r="G5814" i="1"/>
  <c r="F5814" i="1"/>
  <c r="E5814" i="1"/>
  <c r="G5813" i="1"/>
  <c r="F5813" i="1"/>
  <c r="E5813" i="1"/>
  <c r="G5812" i="1"/>
  <c r="F5812" i="1"/>
  <c r="E5812" i="1"/>
  <c r="G5811" i="1"/>
  <c r="F5811" i="1"/>
  <c r="E5811" i="1"/>
  <c r="G5810" i="1"/>
  <c r="F5810" i="1"/>
  <c r="E5810" i="1"/>
  <c r="G5809" i="1"/>
  <c r="F5809" i="1"/>
  <c r="E5809" i="1"/>
  <c r="G5808" i="1"/>
  <c r="F5808" i="1"/>
  <c r="E5808" i="1"/>
  <c r="G5807" i="1"/>
  <c r="F5807" i="1"/>
  <c r="E5807" i="1"/>
  <c r="G5806" i="1"/>
  <c r="F5806" i="1"/>
  <c r="E5806" i="1"/>
  <c r="G5805" i="1"/>
  <c r="F5805" i="1"/>
  <c r="E5805" i="1"/>
  <c r="G5804" i="1"/>
  <c r="F5804" i="1"/>
  <c r="E5804" i="1"/>
  <c r="G5803" i="1"/>
  <c r="F5803" i="1"/>
  <c r="E5803" i="1"/>
  <c r="G5802" i="1"/>
  <c r="F5802" i="1"/>
  <c r="E5802" i="1"/>
  <c r="G5801" i="1"/>
  <c r="F5801" i="1"/>
  <c r="E5801" i="1"/>
  <c r="G5800" i="1"/>
  <c r="F5800" i="1"/>
  <c r="E5800" i="1"/>
  <c r="G5799" i="1"/>
  <c r="F5799" i="1"/>
  <c r="E5799" i="1"/>
  <c r="G5798" i="1"/>
  <c r="F5798" i="1"/>
  <c r="E5798" i="1"/>
  <c r="G5797" i="1"/>
  <c r="F5797" i="1"/>
  <c r="E5797" i="1"/>
  <c r="G5796" i="1"/>
  <c r="F5796" i="1"/>
  <c r="E5796" i="1"/>
  <c r="G5795" i="1"/>
  <c r="F5795" i="1"/>
  <c r="E5795" i="1"/>
  <c r="G5794" i="1"/>
  <c r="F5794" i="1"/>
  <c r="E5794" i="1"/>
  <c r="G5793" i="1"/>
  <c r="F5793" i="1"/>
  <c r="E5793" i="1"/>
  <c r="G5792" i="1"/>
  <c r="F5792" i="1"/>
  <c r="E5792" i="1"/>
  <c r="G5791" i="1"/>
  <c r="F5791" i="1"/>
  <c r="E5791" i="1"/>
  <c r="G5790" i="1"/>
  <c r="F5790" i="1"/>
  <c r="E5790" i="1"/>
  <c r="G5789" i="1"/>
  <c r="F5789" i="1"/>
  <c r="E5789" i="1"/>
  <c r="G5788" i="1"/>
  <c r="F5788" i="1"/>
  <c r="E5788" i="1"/>
  <c r="G5787" i="1"/>
  <c r="F5787" i="1"/>
  <c r="E5787" i="1"/>
  <c r="G5786" i="1"/>
  <c r="F5786" i="1"/>
  <c r="E5786" i="1"/>
  <c r="G5785" i="1"/>
  <c r="F5785" i="1"/>
  <c r="E5785" i="1"/>
  <c r="G5784" i="1"/>
  <c r="F5784" i="1"/>
  <c r="E5784" i="1"/>
  <c r="G5783" i="1"/>
  <c r="F5783" i="1"/>
  <c r="E5783" i="1"/>
  <c r="G5782" i="1"/>
  <c r="F5782" i="1"/>
  <c r="E5782" i="1"/>
  <c r="G5781" i="1"/>
  <c r="F5781" i="1"/>
  <c r="E5781" i="1"/>
  <c r="G5780" i="1"/>
  <c r="F5780" i="1"/>
  <c r="E5780" i="1"/>
  <c r="G5779" i="1"/>
  <c r="F5779" i="1"/>
  <c r="E5779" i="1"/>
  <c r="G5778" i="1"/>
  <c r="F5778" i="1"/>
  <c r="E5778" i="1"/>
  <c r="G5777" i="1"/>
  <c r="F5777" i="1"/>
  <c r="E5777" i="1"/>
  <c r="G5776" i="1"/>
  <c r="F5776" i="1"/>
  <c r="E5776" i="1"/>
  <c r="G5775" i="1"/>
  <c r="F5775" i="1"/>
  <c r="E5775" i="1"/>
  <c r="G5774" i="1"/>
  <c r="F5774" i="1"/>
  <c r="E5774" i="1"/>
  <c r="G5773" i="1"/>
  <c r="F5773" i="1"/>
  <c r="E5773" i="1"/>
  <c r="G5772" i="1"/>
  <c r="F5772" i="1"/>
  <c r="E5772" i="1"/>
  <c r="G5771" i="1"/>
  <c r="F5771" i="1"/>
  <c r="E5771" i="1"/>
  <c r="G5770" i="1"/>
  <c r="F5770" i="1"/>
  <c r="E5770" i="1"/>
  <c r="G5769" i="1"/>
  <c r="F5769" i="1"/>
  <c r="E5769" i="1"/>
  <c r="G5768" i="1"/>
  <c r="F5768" i="1"/>
  <c r="E5768" i="1"/>
  <c r="G5767" i="1"/>
  <c r="F5767" i="1"/>
  <c r="E5767" i="1"/>
  <c r="G5766" i="1"/>
  <c r="F5766" i="1"/>
  <c r="E5766" i="1"/>
  <c r="G5765" i="1"/>
  <c r="F5765" i="1"/>
  <c r="E5765" i="1"/>
  <c r="G5764" i="1"/>
  <c r="F5764" i="1"/>
  <c r="E5764" i="1"/>
  <c r="G5763" i="1"/>
  <c r="F5763" i="1"/>
  <c r="E5763" i="1"/>
  <c r="G5762" i="1"/>
  <c r="F5762" i="1"/>
  <c r="E5762" i="1"/>
  <c r="G5761" i="1"/>
  <c r="F5761" i="1"/>
  <c r="E5761" i="1"/>
  <c r="G5760" i="1"/>
  <c r="F5760" i="1"/>
  <c r="E5760" i="1"/>
  <c r="G5759" i="1"/>
  <c r="F5759" i="1"/>
  <c r="E5759" i="1"/>
  <c r="G5758" i="1"/>
  <c r="F5758" i="1"/>
  <c r="E5758" i="1"/>
  <c r="G5757" i="1"/>
  <c r="F5757" i="1"/>
  <c r="E5757" i="1"/>
  <c r="G5756" i="1"/>
  <c r="F5756" i="1"/>
  <c r="E5756" i="1"/>
  <c r="G5755" i="1"/>
  <c r="F5755" i="1"/>
  <c r="E5755" i="1"/>
  <c r="G5754" i="1"/>
  <c r="F5754" i="1"/>
  <c r="E5754" i="1"/>
  <c r="G5753" i="1"/>
  <c r="F5753" i="1"/>
  <c r="E5753" i="1"/>
  <c r="G5752" i="1"/>
  <c r="F5752" i="1"/>
  <c r="E5752" i="1"/>
  <c r="G5751" i="1"/>
  <c r="F5751" i="1"/>
  <c r="E5751" i="1"/>
  <c r="G5750" i="1"/>
  <c r="F5750" i="1"/>
  <c r="E5750" i="1"/>
  <c r="G5749" i="1"/>
  <c r="F5749" i="1"/>
  <c r="E5749" i="1"/>
  <c r="G5748" i="1"/>
  <c r="F5748" i="1"/>
  <c r="E5748" i="1"/>
  <c r="G5747" i="1"/>
  <c r="F5747" i="1"/>
  <c r="E5747" i="1"/>
  <c r="G5746" i="1"/>
  <c r="F5746" i="1"/>
  <c r="E5746" i="1"/>
  <c r="G5745" i="1"/>
  <c r="F5745" i="1"/>
  <c r="E5745" i="1"/>
  <c r="G5744" i="1"/>
  <c r="F5744" i="1"/>
  <c r="E5744" i="1"/>
  <c r="G5743" i="1"/>
  <c r="F5743" i="1"/>
  <c r="E5743" i="1"/>
  <c r="G5742" i="1"/>
  <c r="F5742" i="1"/>
  <c r="E5742" i="1"/>
  <c r="G5741" i="1"/>
  <c r="F5741" i="1"/>
  <c r="E5741" i="1"/>
  <c r="G5740" i="1"/>
  <c r="F5740" i="1"/>
  <c r="E5740" i="1"/>
  <c r="G5739" i="1"/>
  <c r="F5739" i="1"/>
  <c r="E5739" i="1"/>
  <c r="G5738" i="1"/>
  <c r="F5738" i="1"/>
  <c r="E5738" i="1"/>
  <c r="G5737" i="1"/>
  <c r="F5737" i="1"/>
  <c r="E5737" i="1"/>
  <c r="G5736" i="1"/>
  <c r="F5736" i="1"/>
  <c r="E5736" i="1"/>
  <c r="G5735" i="1"/>
  <c r="F5735" i="1"/>
  <c r="E5735" i="1"/>
  <c r="G5734" i="1"/>
  <c r="F5734" i="1"/>
  <c r="E5734" i="1"/>
  <c r="G5733" i="1"/>
  <c r="F5733" i="1"/>
  <c r="E5733" i="1"/>
  <c r="G5732" i="1"/>
  <c r="F5732" i="1"/>
  <c r="E5732" i="1"/>
  <c r="G5731" i="1"/>
  <c r="F5731" i="1"/>
  <c r="E5731" i="1"/>
  <c r="G5730" i="1"/>
  <c r="F5730" i="1"/>
  <c r="E5730" i="1"/>
  <c r="G5729" i="1"/>
  <c r="F5729" i="1"/>
  <c r="E5729" i="1"/>
  <c r="G5728" i="1"/>
  <c r="F5728" i="1"/>
  <c r="E5728" i="1"/>
  <c r="G5727" i="1"/>
  <c r="F5727" i="1"/>
  <c r="E5727" i="1"/>
  <c r="G5726" i="1"/>
  <c r="F5726" i="1"/>
  <c r="E5726" i="1"/>
  <c r="G5725" i="1"/>
  <c r="F5725" i="1"/>
  <c r="E5725" i="1"/>
  <c r="G5724" i="1"/>
  <c r="F5724" i="1"/>
  <c r="E5724" i="1"/>
  <c r="G5723" i="1"/>
  <c r="F5723" i="1"/>
  <c r="E5723" i="1"/>
  <c r="G5722" i="1"/>
  <c r="F5722" i="1"/>
  <c r="E5722" i="1"/>
  <c r="G5721" i="1"/>
  <c r="F5721" i="1"/>
  <c r="E5721" i="1"/>
  <c r="G5720" i="1"/>
  <c r="F5720" i="1"/>
  <c r="E5720" i="1"/>
  <c r="G5719" i="1"/>
  <c r="F5719" i="1"/>
  <c r="E5719" i="1"/>
  <c r="G5718" i="1"/>
  <c r="F5718" i="1"/>
  <c r="E5718" i="1"/>
  <c r="G5717" i="1"/>
  <c r="F5717" i="1"/>
  <c r="E5717" i="1"/>
  <c r="G5716" i="1"/>
  <c r="F5716" i="1"/>
  <c r="E5716" i="1"/>
  <c r="G5715" i="1"/>
  <c r="F5715" i="1"/>
  <c r="E5715" i="1"/>
  <c r="G5714" i="1"/>
  <c r="F5714" i="1"/>
  <c r="E5714" i="1"/>
  <c r="G5713" i="1"/>
  <c r="F5713" i="1"/>
  <c r="E5713" i="1"/>
  <c r="G5712" i="1"/>
  <c r="F5712" i="1"/>
  <c r="E5712" i="1"/>
  <c r="G5711" i="1"/>
  <c r="F5711" i="1"/>
  <c r="E5711" i="1"/>
  <c r="G5710" i="1"/>
  <c r="F5710" i="1"/>
  <c r="E5710" i="1"/>
  <c r="G5709" i="1"/>
  <c r="F5709" i="1"/>
  <c r="E5709" i="1"/>
  <c r="G5708" i="1"/>
  <c r="F5708" i="1"/>
  <c r="E5708" i="1"/>
  <c r="G5707" i="1"/>
  <c r="F5707" i="1"/>
  <c r="E5707" i="1"/>
  <c r="G5706" i="1"/>
  <c r="F5706" i="1"/>
  <c r="E5706" i="1"/>
  <c r="G5705" i="1"/>
  <c r="F5705" i="1"/>
  <c r="E5705" i="1"/>
  <c r="G5704" i="1"/>
  <c r="F5704" i="1"/>
  <c r="E5704" i="1"/>
  <c r="G5703" i="1"/>
  <c r="F5703" i="1"/>
  <c r="E5703" i="1"/>
  <c r="G5702" i="1"/>
  <c r="F5702" i="1"/>
  <c r="E5702" i="1"/>
  <c r="G5701" i="1"/>
  <c r="F5701" i="1"/>
  <c r="E5701" i="1"/>
  <c r="G5700" i="1"/>
  <c r="F5700" i="1"/>
  <c r="E5700" i="1"/>
  <c r="G5699" i="1"/>
  <c r="F5699" i="1"/>
  <c r="E5699" i="1"/>
  <c r="G5698" i="1"/>
  <c r="F5698" i="1"/>
  <c r="E5698" i="1"/>
  <c r="G5697" i="1"/>
  <c r="F5697" i="1"/>
  <c r="E5697" i="1"/>
  <c r="G5696" i="1"/>
  <c r="F5696" i="1"/>
  <c r="E5696" i="1"/>
  <c r="G5695" i="1"/>
  <c r="F5695" i="1"/>
  <c r="E5695" i="1"/>
  <c r="G5694" i="1"/>
  <c r="F5694" i="1"/>
  <c r="E5694" i="1"/>
  <c r="G5693" i="1"/>
  <c r="F5693" i="1"/>
  <c r="E5693" i="1"/>
  <c r="G5692" i="1"/>
  <c r="F5692" i="1"/>
  <c r="E5692" i="1"/>
  <c r="G5691" i="1"/>
  <c r="F5691" i="1"/>
  <c r="E5691" i="1"/>
  <c r="G5690" i="1"/>
  <c r="F5690" i="1"/>
  <c r="E5690" i="1"/>
  <c r="G5689" i="1"/>
  <c r="F5689" i="1"/>
  <c r="E5689" i="1"/>
  <c r="G5688" i="1"/>
  <c r="F5688" i="1"/>
  <c r="E5688" i="1"/>
  <c r="G5687" i="1"/>
  <c r="F5687" i="1"/>
  <c r="E5687" i="1"/>
  <c r="G5686" i="1"/>
  <c r="F5686" i="1"/>
  <c r="E5686" i="1"/>
  <c r="G5685" i="1"/>
  <c r="F5685" i="1"/>
  <c r="E5685" i="1"/>
  <c r="G5684" i="1"/>
  <c r="F5684" i="1"/>
  <c r="E5684" i="1"/>
  <c r="G5683" i="1"/>
  <c r="F5683" i="1"/>
  <c r="E5683" i="1"/>
  <c r="G5682" i="1"/>
  <c r="F5682" i="1"/>
  <c r="E5682" i="1"/>
  <c r="G5681" i="1"/>
  <c r="F5681" i="1"/>
  <c r="E5681" i="1"/>
  <c r="G5680" i="1"/>
  <c r="F5680" i="1"/>
  <c r="E5680" i="1"/>
  <c r="G5679" i="1"/>
  <c r="F5679" i="1"/>
  <c r="E5679" i="1"/>
  <c r="G5678" i="1"/>
  <c r="F5678" i="1"/>
  <c r="E5678" i="1"/>
  <c r="G5677" i="1"/>
  <c r="F5677" i="1"/>
  <c r="E5677" i="1"/>
  <c r="G5676" i="1"/>
  <c r="F5676" i="1"/>
  <c r="E5676" i="1"/>
  <c r="G5675" i="1"/>
  <c r="F5675" i="1"/>
  <c r="E5675" i="1"/>
  <c r="G5674" i="1"/>
  <c r="F5674" i="1"/>
  <c r="E5674" i="1"/>
  <c r="G5673" i="1"/>
  <c r="F5673" i="1"/>
  <c r="E5673" i="1"/>
  <c r="G5672" i="1"/>
  <c r="F5672" i="1"/>
  <c r="E5672" i="1"/>
  <c r="G5671" i="1"/>
  <c r="F5671" i="1"/>
  <c r="E5671" i="1"/>
  <c r="G5670" i="1"/>
  <c r="F5670" i="1"/>
  <c r="E5670" i="1"/>
  <c r="G5669" i="1"/>
  <c r="F5669" i="1"/>
  <c r="E5669" i="1"/>
  <c r="G5668" i="1"/>
  <c r="F5668" i="1"/>
  <c r="E5668" i="1"/>
  <c r="G5667" i="1"/>
  <c r="F5667" i="1"/>
  <c r="E5667" i="1"/>
  <c r="G5666" i="1"/>
  <c r="F5666" i="1"/>
  <c r="E5666" i="1"/>
  <c r="G5665" i="1"/>
  <c r="F5665" i="1"/>
  <c r="E5665" i="1"/>
  <c r="G5664" i="1"/>
  <c r="F5664" i="1"/>
  <c r="E5664" i="1"/>
  <c r="G5663" i="1"/>
  <c r="F5663" i="1"/>
  <c r="E5663" i="1"/>
  <c r="G5662" i="1"/>
  <c r="F5662" i="1"/>
  <c r="E5662" i="1"/>
  <c r="G5661" i="1"/>
  <c r="F5661" i="1"/>
  <c r="E5661" i="1"/>
  <c r="G5660" i="1"/>
  <c r="F5660" i="1"/>
  <c r="E5660" i="1"/>
  <c r="G5659" i="1"/>
  <c r="F5659" i="1"/>
  <c r="E5659" i="1"/>
  <c r="G5658" i="1"/>
  <c r="F5658" i="1"/>
  <c r="E5658" i="1"/>
  <c r="G5657" i="1"/>
  <c r="F5657" i="1"/>
  <c r="E5657" i="1"/>
  <c r="G5656" i="1"/>
  <c r="F5656" i="1"/>
  <c r="E5656" i="1"/>
  <c r="G5655" i="1"/>
  <c r="F5655" i="1"/>
  <c r="E5655" i="1"/>
  <c r="G5654" i="1"/>
  <c r="F5654" i="1"/>
  <c r="E5654" i="1"/>
  <c r="G5653" i="1"/>
  <c r="F5653" i="1"/>
  <c r="E5653" i="1"/>
  <c r="G5652" i="1"/>
  <c r="F5652" i="1"/>
  <c r="E5652" i="1"/>
  <c r="G5651" i="1"/>
  <c r="F5651" i="1"/>
  <c r="E5651" i="1"/>
  <c r="G5650" i="1"/>
  <c r="F5650" i="1"/>
  <c r="E5650" i="1"/>
  <c r="G5649" i="1"/>
  <c r="F5649" i="1"/>
  <c r="E5649" i="1"/>
  <c r="G5648" i="1"/>
  <c r="F5648" i="1"/>
  <c r="E5648" i="1"/>
  <c r="G5647" i="1"/>
  <c r="F5647" i="1"/>
  <c r="E5647" i="1"/>
  <c r="G5646" i="1"/>
  <c r="F5646" i="1"/>
  <c r="E5646" i="1"/>
  <c r="G5645" i="1"/>
  <c r="F5645" i="1"/>
  <c r="E5645" i="1"/>
  <c r="G5644" i="1"/>
  <c r="F5644" i="1"/>
  <c r="E5644" i="1"/>
  <c r="G5643" i="1"/>
  <c r="F5643" i="1"/>
  <c r="E5643" i="1"/>
  <c r="G5642" i="1"/>
  <c r="F5642" i="1"/>
  <c r="E5642" i="1"/>
  <c r="G5641" i="1"/>
  <c r="F5641" i="1"/>
  <c r="E5641" i="1"/>
  <c r="G5640" i="1"/>
  <c r="F5640" i="1"/>
  <c r="E5640" i="1"/>
  <c r="G5639" i="1"/>
  <c r="F5639" i="1"/>
  <c r="E5639" i="1"/>
  <c r="G5638" i="1"/>
  <c r="F5638" i="1"/>
  <c r="E5638" i="1"/>
  <c r="G5637" i="1"/>
  <c r="F5637" i="1"/>
  <c r="E5637" i="1"/>
  <c r="G5636" i="1"/>
  <c r="F5636" i="1"/>
  <c r="E5636" i="1"/>
  <c r="G5635" i="1"/>
  <c r="F5635" i="1"/>
  <c r="E5635" i="1"/>
  <c r="G5634" i="1"/>
  <c r="F5634" i="1"/>
  <c r="E5634" i="1"/>
  <c r="G5633" i="1"/>
  <c r="F5633" i="1"/>
  <c r="E5633" i="1"/>
  <c r="G5632" i="1"/>
  <c r="F5632" i="1"/>
  <c r="E5632" i="1"/>
  <c r="G5631" i="1"/>
  <c r="F5631" i="1"/>
  <c r="E5631" i="1"/>
  <c r="G5630" i="1"/>
  <c r="F5630" i="1"/>
  <c r="E5630" i="1"/>
  <c r="G5629" i="1"/>
  <c r="F5629" i="1"/>
  <c r="E5629" i="1"/>
  <c r="G5628" i="1"/>
  <c r="F5628" i="1"/>
  <c r="E5628" i="1"/>
  <c r="G5627" i="1"/>
  <c r="F5627" i="1"/>
  <c r="E5627" i="1"/>
  <c r="G5626" i="1"/>
  <c r="F5626" i="1"/>
  <c r="E5626" i="1"/>
  <c r="G5625" i="1"/>
  <c r="F5625" i="1"/>
  <c r="E5625" i="1"/>
  <c r="G5624" i="1"/>
  <c r="F5624" i="1"/>
  <c r="E5624" i="1"/>
  <c r="G5623" i="1"/>
  <c r="F5623" i="1"/>
  <c r="E5623" i="1"/>
  <c r="G5622" i="1"/>
  <c r="F5622" i="1"/>
  <c r="E5622" i="1"/>
  <c r="G5621" i="1"/>
  <c r="F5621" i="1"/>
  <c r="E5621" i="1"/>
  <c r="G5620" i="1"/>
  <c r="F5620" i="1"/>
  <c r="E5620" i="1"/>
  <c r="G5619" i="1"/>
  <c r="F5619" i="1"/>
  <c r="E5619" i="1"/>
  <c r="G5618" i="1"/>
  <c r="F5618" i="1"/>
  <c r="E5618" i="1"/>
  <c r="G5617" i="1"/>
  <c r="F5617" i="1"/>
  <c r="E5617" i="1"/>
  <c r="G5616" i="1"/>
  <c r="F5616" i="1"/>
  <c r="E5616" i="1"/>
  <c r="G5615" i="1"/>
  <c r="F5615" i="1"/>
  <c r="E5615" i="1"/>
  <c r="G5614" i="1"/>
  <c r="F5614" i="1"/>
  <c r="E5614" i="1"/>
  <c r="G5613" i="1"/>
  <c r="F5613" i="1"/>
  <c r="E5613" i="1"/>
  <c r="G5612" i="1"/>
  <c r="F5612" i="1"/>
  <c r="E5612" i="1"/>
  <c r="G5611" i="1"/>
  <c r="F5611" i="1"/>
  <c r="E5611" i="1"/>
  <c r="G5610" i="1"/>
  <c r="F5610" i="1"/>
  <c r="E5610" i="1"/>
  <c r="G5609" i="1"/>
  <c r="F5609" i="1"/>
  <c r="E5609" i="1"/>
  <c r="G5608" i="1"/>
  <c r="F5608" i="1"/>
  <c r="E5608" i="1"/>
  <c r="G5607" i="1"/>
  <c r="F5607" i="1"/>
  <c r="E5607" i="1"/>
  <c r="G5606" i="1"/>
  <c r="F5606" i="1"/>
  <c r="E5606" i="1"/>
  <c r="G5605" i="1"/>
  <c r="F5605" i="1"/>
  <c r="E5605" i="1"/>
  <c r="G5604" i="1"/>
  <c r="F5604" i="1"/>
  <c r="E5604" i="1"/>
  <c r="G5603" i="1"/>
  <c r="F5603" i="1"/>
  <c r="E5603" i="1"/>
  <c r="G5602" i="1"/>
  <c r="F5602" i="1"/>
  <c r="E5602" i="1"/>
  <c r="G5601" i="1"/>
  <c r="F5601" i="1"/>
  <c r="E5601" i="1"/>
  <c r="G5600" i="1"/>
  <c r="F5600" i="1"/>
  <c r="E5600" i="1"/>
  <c r="G5599" i="1"/>
  <c r="F5599" i="1"/>
  <c r="E5599" i="1"/>
  <c r="G5598" i="1"/>
  <c r="F5598" i="1"/>
  <c r="E5598" i="1"/>
  <c r="G5597" i="1"/>
  <c r="F5597" i="1"/>
  <c r="E5597" i="1"/>
  <c r="G5596" i="1"/>
  <c r="F5596" i="1"/>
  <c r="E5596" i="1"/>
  <c r="G5595" i="1"/>
  <c r="F5595" i="1"/>
  <c r="E5595" i="1"/>
  <c r="G5594" i="1"/>
  <c r="F5594" i="1"/>
  <c r="E5594" i="1"/>
  <c r="G5593" i="1"/>
  <c r="F5593" i="1"/>
  <c r="E5593" i="1"/>
  <c r="G5592" i="1"/>
  <c r="F5592" i="1"/>
  <c r="E5592" i="1"/>
  <c r="G5591" i="1"/>
  <c r="F5591" i="1"/>
  <c r="E5591" i="1"/>
  <c r="G5590" i="1"/>
  <c r="F5590" i="1"/>
  <c r="E5590" i="1"/>
  <c r="G5589" i="1"/>
  <c r="F5589" i="1"/>
  <c r="E5589" i="1"/>
  <c r="G5588" i="1"/>
  <c r="F5588" i="1"/>
  <c r="E5588" i="1"/>
  <c r="G5587" i="1"/>
  <c r="F5587" i="1"/>
  <c r="E5587" i="1"/>
  <c r="G5586" i="1"/>
  <c r="F5586" i="1"/>
  <c r="E5586" i="1"/>
  <c r="G5585" i="1"/>
  <c r="F5585" i="1"/>
  <c r="E5585" i="1"/>
  <c r="G5584" i="1"/>
  <c r="F5584" i="1"/>
  <c r="E5584" i="1"/>
  <c r="G5583" i="1"/>
  <c r="F5583" i="1"/>
  <c r="E5583" i="1"/>
  <c r="G5582" i="1"/>
  <c r="F5582" i="1"/>
  <c r="E5582" i="1"/>
  <c r="G5581" i="1"/>
  <c r="F5581" i="1"/>
  <c r="E5581" i="1"/>
  <c r="G5580" i="1"/>
  <c r="F5580" i="1"/>
  <c r="E5580" i="1"/>
  <c r="G5579" i="1"/>
  <c r="F5579" i="1"/>
  <c r="E5579" i="1"/>
  <c r="G5578" i="1"/>
  <c r="F5578" i="1"/>
  <c r="E5578" i="1"/>
  <c r="G5577" i="1"/>
  <c r="F5577" i="1"/>
  <c r="E5577" i="1"/>
  <c r="G5576" i="1"/>
  <c r="F5576" i="1"/>
  <c r="E5576" i="1"/>
  <c r="G5575" i="1"/>
  <c r="F5575" i="1"/>
  <c r="E5575" i="1"/>
  <c r="G5574" i="1"/>
  <c r="F5574" i="1"/>
  <c r="E5574" i="1"/>
  <c r="G5573" i="1"/>
  <c r="F5573" i="1"/>
  <c r="E5573" i="1"/>
  <c r="G5572" i="1"/>
  <c r="F5572" i="1"/>
  <c r="E5572" i="1"/>
  <c r="G5571" i="1"/>
  <c r="F5571" i="1"/>
  <c r="E5571" i="1"/>
  <c r="G5570" i="1"/>
  <c r="F5570" i="1"/>
  <c r="E5570" i="1"/>
  <c r="G5569" i="1"/>
  <c r="F5569" i="1"/>
  <c r="E5569" i="1"/>
  <c r="G5568" i="1"/>
  <c r="F5568" i="1"/>
  <c r="E5568" i="1"/>
  <c r="G5567" i="1"/>
  <c r="F5567" i="1"/>
  <c r="E5567" i="1"/>
  <c r="G5566" i="1"/>
  <c r="F5566" i="1"/>
  <c r="E5566" i="1"/>
  <c r="G5565" i="1"/>
  <c r="F5565" i="1"/>
  <c r="E5565" i="1"/>
  <c r="G5564" i="1"/>
  <c r="F5564" i="1"/>
  <c r="E5564" i="1"/>
  <c r="G5563" i="1"/>
  <c r="F5563" i="1"/>
  <c r="E5563" i="1"/>
  <c r="G5562" i="1"/>
  <c r="F5562" i="1"/>
  <c r="E5562" i="1"/>
  <c r="G5561" i="1"/>
  <c r="F5561" i="1"/>
  <c r="E5561" i="1"/>
  <c r="G5560" i="1"/>
  <c r="F5560" i="1"/>
  <c r="E5560" i="1"/>
  <c r="G5559" i="1"/>
  <c r="F5559" i="1"/>
  <c r="E5559" i="1"/>
  <c r="G5558" i="1"/>
  <c r="F5558" i="1"/>
  <c r="E5558" i="1"/>
  <c r="G5557" i="1"/>
  <c r="F5557" i="1"/>
  <c r="E5557" i="1"/>
  <c r="G5556" i="1"/>
  <c r="F5556" i="1"/>
  <c r="E5556" i="1"/>
  <c r="G5555" i="1"/>
  <c r="F5555" i="1"/>
  <c r="E5555" i="1"/>
  <c r="G5554" i="1"/>
  <c r="F5554" i="1"/>
  <c r="E5554" i="1"/>
  <c r="G5553" i="1"/>
  <c r="F5553" i="1"/>
  <c r="E5553" i="1"/>
  <c r="G5552" i="1"/>
  <c r="F5552" i="1"/>
  <c r="E5552" i="1"/>
  <c r="G5551" i="1"/>
  <c r="F5551" i="1"/>
  <c r="E5551" i="1"/>
  <c r="G5550" i="1"/>
  <c r="F5550" i="1"/>
  <c r="E5550" i="1"/>
  <c r="G5549" i="1"/>
  <c r="F5549" i="1"/>
  <c r="E5549" i="1"/>
  <c r="G5548" i="1"/>
  <c r="F5548" i="1"/>
  <c r="E5548" i="1"/>
  <c r="G5547" i="1"/>
  <c r="F5547" i="1"/>
  <c r="E5547" i="1"/>
  <c r="G5546" i="1"/>
  <c r="F5546" i="1"/>
  <c r="E5546" i="1"/>
  <c r="G5545" i="1"/>
  <c r="F5545" i="1"/>
  <c r="E5545" i="1"/>
  <c r="G5544" i="1"/>
  <c r="F5544" i="1"/>
  <c r="E5544" i="1"/>
  <c r="G5543" i="1"/>
  <c r="F5543" i="1"/>
  <c r="E5543" i="1"/>
  <c r="G5542" i="1"/>
  <c r="F5542" i="1"/>
  <c r="E5542" i="1"/>
  <c r="G5541" i="1"/>
  <c r="F5541" i="1"/>
  <c r="E5541" i="1"/>
  <c r="G5540" i="1"/>
  <c r="F5540" i="1"/>
  <c r="E5540" i="1"/>
  <c r="G5539" i="1"/>
  <c r="F5539" i="1"/>
  <c r="E5539" i="1"/>
  <c r="G5538" i="1"/>
  <c r="F5538" i="1"/>
  <c r="E5538" i="1"/>
  <c r="G5537" i="1"/>
  <c r="F5537" i="1"/>
  <c r="E5537" i="1"/>
  <c r="G5536" i="1"/>
  <c r="F5536" i="1"/>
  <c r="E5536" i="1"/>
  <c r="G5535" i="1"/>
  <c r="F5535" i="1"/>
  <c r="E5535" i="1"/>
  <c r="G5534" i="1"/>
  <c r="F5534" i="1"/>
  <c r="E5534" i="1"/>
  <c r="G5533" i="1"/>
  <c r="F5533" i="1"/>
  <c r="E5533" i="1"/>
  <c r="G5532" i="1"/>
  <c r="F5532" i="1"/>
  <c r="E5532" i="1"/>
  <c r="G5531" i="1"/>
  <c r="F5531" i="1"/>
  <c r="E5531" i="1"/>
  <c r="G5530" i="1"/>
  <c r="F5530" i="1"/>
  <c r="E5530" i="1"/>
  <c r="G5529" i="1"/>
  <c r="F5529" i="1"/>
  <c r="E5529" i="1"/>
  <c r="G5528" i="1"/>
  <c r="F5528" i="1"/>
  <c r="E5528" i="1"/>
  <c r="G5527" i="1"/>
  <c r="F5527" i="1"/>
  <c r="E5527" i="1"/>
  <c r="G5526" i="1"/>
  <c r="F5526" i="1"/>
  <c r="E5526" i="1"/>
  <c r="G5525" i="1"/>
  <c r="F5525" i="1"/>
  <c r="E5525" i="1"/>
  <c r="G5524" i="1"/>
  <c r="F5524" i="1"/>
  <c r="E5524" i="1"/>
  <c r="G5523" i="1"/>
  <c r="F5523" i="1"/>
  <c r="E5523" i="1"/>
  <c r="G5522" i="1"/>
  <c r="F5522" i="1"/>
  <c r="E5522" i="1"/>
  <c r="G5521" i="1"/>
  <c r="F5521" i="1"/>
  <c r="E5521" i="1"/>
  <c r="G5520" i="1"/>
  <c r="F5520" i="1"/>
  <c r="E5520" i="1"/>
  <c r="G5519" i="1"/>
  <c r="F5519" i="1"/>
  <c r="E5519" i="1"/>
  <c r="G5518" i="1"/>
  <c r="F5518" i="1"/>
  <c r="E5518" i="1"/>
  <c r="G5517" i="1"/>
  <c r="F5517" i="1"/>
  <c r="E5517" i="1"/>
  <c r="G5516" i="1"/>
  <c r="F5516" i="1"/>
  <c r="E5516" i="1"/>
  <c r="G5515" i="1"/>
  <c r="F5515" i="1"/>
  <c r="E5515" i="1"/>
  <c r="G5514" i="1"/>
  <c r="F5514" i="1"/>
  <c r="E5514" i="1"/>
  <c r="G5513" i="1"/>
  <c r="F5513" i="1"/>
  <c r="E5513" i="1"/>
  <c r="G5512" i="1"/>
  <c r="F5512" i="1"/>
  <c r="E5512" i="1"/>
  <c r="G5511" i="1"/>
  <c r="F5511" i="1"/>
  <c r="E5511" i="1"/>
  <c r="G5510" i="1"/>
  <c r="F5510" i="1"/>
  <c r="E5510" i="1"/>
  <c r="G5509" i="1"/>
  <c r="F5509" i="1"/>
  <c r="E5509" i="1"/>
  <c r="G5508" i="1"/>
  <c r="F5508" i="1"/>
  <c r="E5508" i="1"/>
  <c r="G5507" i="1"/>
  <c r="F5507" i="1"/>
  <c r="E5507" i="1"/>
  <c r="G5506" i="1"/>
  <c r="F5506" i="1"/>
  <c r="E5506" i="1"/>
  <c r="G5505" i="1"/>
  <c r="F5505" i="1"/>
  <c r="E5505" i="1"/>
  <c r="G5504" i="1"/>
  <c r="F5504" i="1"/>
  <c r="E5504" i="1"/>
  <c r="G5503" i="1"/>
  <c r="F5503" i="1"/>
  <c r="E5503" i="1"/>
  <c r="G5502" i="1"/>
  <c r="F5502" i="1"/>
  <c r="E5502" i="1"/>
  <c r="G5501" i="1"/>
  <c r="F5501" i="1"/>
  <c r="E5501" i="1"/>
  <c r="G5500" i="1"/>
  <c r="F5500" i="1"/>
  <c r="E5500" i="1"/>
  <c r="G5499" i="1"/>
  <c r="F5499" i="1"/>
  <c r="E5499" i="1"/>
  <c r="G5498" i="1"/>
  <c r="F5498" i="1"/>
  <c r="E5498" i="1"/>
  <c r="G5497" i="1"/>
  <c r="F5497" i="1"/>
  <c r="E5497" i="1"/>
  <c r="G5496" i="1"/>
  <c r="F5496" i="1"/>
  <c r="E5496" i="1"/>
  <c r="G5495" i="1"/>
  <c r="F5495" i="1"/>
  <c r="E5495" i="1"/>
  <c r="G5494" i="1"/>
  <c r="F5494" i="1"/>
  <c r="E5494" i="1"/>
  <c r="G5493" i="1"/>
  <c r="F5493" i="1"/>
  <c r="E5493" i="1"/>
  <c r="G5492" i="1"/>
  <c r="F5492" i="1"/>
  <c r="E5492" i="1"/>
  <c r="G5491" i="1"/>
  <c r="F5491" i="1"/>
  <c r="E5491" i="1"/>
  <c r="G5490" i="1"/>
  <c r="F5490" i="1"/>
  <c r="E5490" i="1"/>
  <c r="G5489" i="1"/>
  <c r="F5489" i="1"/>
  <c r="E5489" i="1"/>
  <c r="G5488" i="1"/>
  <c r="F5488" i="1"/>
  <c r="E5488" i="1"/>
  <c r="G5487" i="1"/>
  <c r="F5487" i="1"/>
  <c r="E5487" i="1"/>
  <c r="G5486" i="1"/>
  <c r="F5486" i="1"/>
  <c r="E5486" i="1"/>
  <c r="G5485" i="1"/>
  <c r="F5485" i="1"/>
  <c r="E5485" i="1"/>
  <c r="G5484" i="1"/>
  <c r="F5484" i="1"/>
  <c r="E5484" i="1"/>
  <c r="G5483" i="1"/>
  <c r="F5483" i="1"/>
  <c r="E5483" i="1"/>
  <c r="G5482" i="1"/>
  <c r="F5482" i="1"/>
  <c r="E5482" i="1"/>
  <c r="G5481" i="1"/>
  <c r="F5481" i="1"/>
  <c r="E5481" i="1"/>
  <c r="G5480" i="1"/>
  <c r="F5480" i="1"/>
  <c r="E5480" i="1"/>
  <c r="G5479" i="1"/>
  <c r="F5479" i="1"/>
  <c r="E5479" i="1"/>
  <c r="G5478" i="1"/>
  <c r="F5478" i="1"/>
  <c r="E5478" i="1"/>
  <c r="G5477" i="1"/>
  <c r="F5477" i="1"/>
  <c r="E5477" i="1"/>
  <c r="G5476" i="1"/>
  <c r="F5476" i="1"/>
  <c r="E5476" i="1"/>
  <c r="G5475" i="1"/>
  <c r="F5475" i="1"/>
  <c r="E5475" i="1"/>
  <c r="G5474" i="1"/>
  <c r="F5474" i="1"/>
  <c r="E5474" i="1"/>
  <c r="G5473" i="1"/>
  <c r="F5473" i="1"/>
  <c r="E5473" i="1"/>
  <c r="G5472" i="1"/>
  <c r="F5472" i="1"/>
  <c r="E5472" i="1"/>
  <c r="G5471" i="1"/>
  <c r="F5471" i="1"/>
  <c r="E5471" i="1"/>
  <c r="G5470" i="1"/>
  <c r="F5470" i="1"/>
  <c r="E5470" i="1"/>
  <c r="G5469" i="1"/>
  <c r="F5469" i="1"/>
  <c r="E5469" i="1"/>
  <c r="G5468" i="1"/>
  <c r="F5468" i="1"/>
  <c r="E5468" i="1"/>
  <c r="G5467" i="1"/>
  <c r="F5467" i="1"/>
  <c r="E5467" i="1"/>
  <c r="G5466" i="1"/>
  <c r="F5466" i="1"/>
  <c r="E5466" i="1"/>
  <c r="G5465" i="1"/>
  <c r="F5465" i="1"/>
  <c r="E5465" i="1"/>
  <c r="G5464" i="1"/>
  <c r="F5464" i="1"/>
  <c r="E5464" i="1"/>
  <c r="G5463" i="1"/>
  <c r="F5463" i="1"/>
  <c r="E5463" i="1"/>
  <c r="G5462" i="1"/>
  <c r="F5462" i="1"/>
  <c r="E5462" i="1"/>
  <c r="G5461" i="1"/>
  <c r="F5461" i="1"/>
  <c r="E5461" i="1"/>
  <c r="G5460" i="1"/>
  <c r="F5460" i="1"/>
  <c r="E5460" i="1"/>
  <c r="G5459" i="1"/>
  <c r="F5459" i="1"/>
  <c r="E5459" i="1"/>
  <c r="G5458" i="1"/>
  <c r="F5458" i="1"/>
  <c r="E5458" i="1"/>
  <c r="G5457" i="1"/>
  <c r="F5457" i="1"/>
  <c r="E5457" i="1"/>
  <c r="G5456" i="1"/>
  <c r="F5456" i="1"/>
  <c r="E5456" i="1"/>
  <c r="G5455" i="1"/>
  <c r="F5455" i="1"/>
  <c r="E5455" i="1"/>
  <c r="G5454" i="1"/>
  <c r="F5454" i="1"/>
  <c r="E5454" i="1"/>
  <c r="G5453" i="1"/>
  <c r="F5453" i="1"/>
  <c r="E5453" i="1"/>
  <c r="G5452" i="1"/>
  <c r="F5452" i="1"/>
  <c r="E5452" i="1"/>
  <c r="G5451" i="1"/>
  <c r="F5451" i="1"/>
  <c r="E5451" i="1"/>
  <c r="G5450" i="1"/>
  <c r="F5450" i="1"/>
  <c r="E5450" i="1"/>
  <c r="G5449" i="1"/>
  <c r="F5449" i="1"/>
  <c r="E5449" i="1"/>
  <c r="G5448" i="1"/>
  <c r="F5448" i="1"/>
  <c r="E5448" i="1"/>
  <c r="G5447" i="1"/>
  <c r="F5447" i="1"/>
  <c r="E5447" i="1"/>
  <c r="G5446" i="1"/>
  <c r="F5446" i="1"/>
  <c r="E5446" i="1"/>
  <c r="G5445" i="1"/>
  <c r="F5445" i="1"/>
  <c r="E5445" i="1"/>
  <c r="G5444" i="1"/>
  <c r="F5444" i="1"/>
  <c r="E5444" i="1"/>
  <c r="G5443" i="1"/>
  <c r="F5443" i="1"/>
  <c r="E5443" i="1"/>
  <c r="G5442" i="1"/>
  <c r="F5442" i="1"/>
  <c r="E5442" i="1"/>
  <c r="G5441" i="1"/>
  <c r="F5441" i="1"/>
  <c r="E5441" i="1"/>
  <c r="G5440" i="1"/>
  <c r="F5440" i="1"/>
  <c r="E5440" i="1"/>
  <c r="G5439" i="1"/>
  <c r="F5439" i="1"/>
  <c r="E5439" i="1"/>
  <c r="G5438" i="1"/>
  <c r="F5438" i="1"/>
  <c r="E5438" i="1"/>
  <c r="G5437" i="1"/>
  <c r="F5437" i="1"/>
  <c r="E5437" i="1"/>
  <c r="G5436" i="1"/>
  <c r="F5436" i="1"/>
  <c r="E5436" i="1"/>
  <c r="G5435" i="1"/>
  <c r="F5435" i="1"/>
  <c r="E5435" i="1"/>
  <c r="G5434" i="1"/>
  <c r="F5434" i="1"/>
  <c r="E5434" i="1"/>
  <c r="G5433" i="1"/>
  <c r="F5433" i="1"/>
  <c r="E5433" i="1"/>
  <c r="G5432" i="1"/>
  <c r="F5432" i="1"/>
  <c r="E5432" i="1"/>
  <c r="G5431" i="1"/>
  <c r="F5431" i="1"/>
  <c r="E5431" i="1"/>
  <c r="G5430" i="1"/>
  <c r="F5430" i="1"/>
  <c r="E5430" i="1"/>
  <c r="G5429" i="1"/>
  <c r="F5429" i="1"/>
  <c r="E5429" i="1"/>
  <c r="G5428" i="1"/>
  <c r="F5428" i="1"/>
  <c r="E5428" i="1"/>
  <c r="G5427" i="1"/>
  <c r="F5427" i="1"/>
  <c r="E5427" i="1"/>
  <c r="G5426" i="1"/>
  <c r="F5426" i="1"/>
  <c r="E5426" i="1"/>
  <c r="G5425" i="1"/>
  <c r="F5425" i="1"/>
  <c r="E5425" i="1"/>
  <c r="G5424" i="1"/>
  <c r="F5424" i="1"/>
  <c r="E5424" i="1"/>
  <c r="G5423" i="1"/>
  <c r="F5423" i="1"/>
  <c r="E5423" i="1"/>
  <c r="G5422" i="1"/>
  <c r="F5422" i="1"/>
  <c r="E5422" i="1"/>
  <c r="G5421" i="1"/>
  <c r="F5421" i="1"/>
  <c r="E5421" i="1"/>
  <c r="G5420" i="1"/>
  <c r="F5420" i="1"/>
  <c r="E5420" i="1"/>
  <c r="G5419" i="1"/>
  <c r="F5419" i="1"/>
  <c r="E5419" i="1"/>
  <c r="G5418" i="1"/>
  <c r="F5418" i="1"/>
  <c r="E5418" i="1"/>
  <c r="G5417" i="1"/>
  <c r="F5417" i="1"/>
  <c r="E5417" i="1"/>
  <c r="G5416" i="1"/>
  <c r="F5416" i="1"/>
  <c r="E5416" i="1"/>
  <c r="G5415" i="1"/>
  <c r="F5415" i="1"/>
  <c r="E5415" i="1"/>
  <c r="G5414" i="1"/>
  <c r="F5414" i="1"/>
  <c r="E5414" i="1"/>
  <c r="G5413" i="1"/>
  <c r="F5413" i="1"/>
  <c r="E5413" i="1"/>
  <c r="G5412" i="1"/>
  <c r="F5412" i="1"/>
  <c r="E5412" i="1"/>
  <c r="G5411" i="1"/>
  <c r="F5411" i="1"/>
  <c r="E5411" i="1"/>
  <c r="G5410" i="1"/>
  <c r="F5410" i="1"/>
  <c r="E5410" i="1"/>
  <c r="G5409" i="1"/>
  <c r="F5409" i="1"/>
  <c r="E5409" i="1"/>
  <c r="G5408" i="1"/>
  <c r="F5408" i="1"/>
  <c r="E5408" i="1"/>
  <c r="G5407" i="1"/>
  <c r="F5407" i="1"/>
  <c r="E5407" i="1"/>
  <c r="G5406" i="1"/>
  <c r="F5406" i="1"/>
  <c r="E5406" i="1"/>
  <c r="G5405" i="1"/>
  <c r="F5405" i="1"/>
  <c r="E5405" i="1"/>
  <c r="G5404" i="1"/>
  <c r="F5404" i="1"/>
  <c r="E5404" i="1"/>
  <c r="G5403" i="1"/>
  <c r="F5403" i="1"/>
  <c r="E5403" i="1"/>
  <c r="G5402" i="1"/>
  <c r="F5402" i="1"/>
  <c r="E5402" i="1"/>
  <c r="G5401" i="1"/>
  <c r="F5401" i="1"/>
  <c r="E5401" i="1"/>
  <c r="G5400" i="1"/>
  <c r="F5400" i="1"/>
  <c r="E5400" i="1"/>
  <c r="G5399" i="1"/>
  <c r="F5399" i="1"/>
  <c r="E5399" i="1"/>
  <c r="G5398" i="1"/>
  <c r="F5398" i="1"/>
  <c r="E5398" i="1"/>
  <c r="G5397" i="1"/>
  <c r="F5397" i="1"/>
  <c r="E5397" i="1"/>
  <c r="G5396" i="1"/>
  <c r="F5396" i="1"/>
  <c r="E5396" i="1"/>
  <c r="G5395" i="1"/>
  <c r="F5395" i="1"/>
  <c r="E5395" i="1"/>
  <c r="G5394" i="1"/>
  <c r="F5394" i="1"/>
  <c r="E5394" i="1"/>
  <c r="G5393" i="1"/>
  <c r="F5393" i="1"/>
  <c r="E5393" i="1"/>
  <c r="G5392" i="1"/>
  <c r="F5392" i="1"/>
  <c r="E5392" i="1"/>
  <c r="G5391" i="1"/>
  <c r="F5391" i="1"/>
  <c r="E5391" i="1"/>
  <c r="G5390" i="1"/>
  <c r="F5390" i="1"/>
  <c r="E5390" i="1"/>
  <c r="G5389" i="1"/>
  <c r="F5389" i="1"/>
  <c r="E5389" i="1"/>
  <c r="G5388" i="1"/>
  <c r="F5388" i="1"/>
  <c r="E5388" i="1"/>
  <c r="G5387" i="1"/>
  <c r="F5387" i="1"/>
  <c r="E5387" i="1"/>
  <c r="G5386" i="1"/>
  <c r="F5386" i="1"/>
  <c r="E5386" i="1"/>
  <c r="G5385" i="1"/>
  <c r="F5385" i="1"/>
  <c r="E5385" i="1"/>
  <c r="G5384" i="1"/>
  <c r="F5384" i="1"/>
  <c r="E5384" i="1"/>
  <c r="G5383" i="1"/>
  <c r="F5383" i="1"/>
  <c r="E5383" i="1"/>
  <c r="G5382" i="1"/>
  <c r="F5382" i="1"/>
  <c r="E5382" i="1"/>
  <c r="G5381" i="1"/>
  <c r="F5381" i="1"/>
  <c r="E5381" i="1"/>
  <c r="G5380" i="1"/>
  <c r="F5380" i="1"/>
  <c r="E5380" i="1"/>
  <c r="G5379" i="1"/>
  <c r="F5379" i="1"/>
  <c r="E5379" i="1"/>
  <c r="G5378" i="1"/>
  <c r="F5378" i="1"/>
  <c r="E5378" i="1"/>
  <c r="G5377" i="1"/>
  <c r="F5377" i="1"/>
  <c r="E5377" i="1"/>
  <c r="G5376" i="1"/>
  <c r="F5376" i="1"/>
  <c r="E5376" i="1"/>
  <c r="G5375" i="1"/>
  <c r="F5375" i="1"/>
  <c r="E5375" i="1"/>
  <c r="G5374" i="1"/>
  <c r="F5374" i="1"/>
  <c r="E5374" i="1"/>
  <c r="G5373" i="1"/>
  <c r="F5373" i="1"/>
  <c r="E5373" i="1"/>
  <c r="G5372" i="1"/>
  <c r="F5372" i="1"/>
  <c r="E5372" i="1"/>
  <c r="G5371" i="1"/>
  <c r="F5371" i="1"/>
  <c r="E5371" i="1"/>
  <c r="G5370" i="1"/>
  <c r="F5370" i="1"/>
  <c r="E5370" i="1"/>
  <c r="G5369" i="1"/>
  <c r="F5369" i="1"/>
  <c r="E5369" i="1"/>
  <c r="G5368" i="1"/>
  <c r="F5368" i="1"/>
  <c r="E5368" i="1"/>
  <c r="G5367" i="1"/>
  <c r="F5367" i="1"/>
  <c r="E5367" i="1"/>
  <c r="G5366" i="1"/>
  <c r="F5366" i="1"/>
  <c r="E5366" i="1"/>
  <c r="G5365" i="1"/>
  <c r="F5365" i="1"/>
  <c r="E5365" i="1"/>
  <c r="G5364" i="1"/>
  <c r="F5364" i="1"/>
  <c r="E5364" i="1"/>
  <c r="G5363" i="1"/>
  <c r="F5363" i="1"/>
  <c r="E5363" i="1"/>
  <c r="G5362" i="1"/>
  <c r="F5362" i="1"/>
  <c r="E5362" i="1"/>
  <c r="G5361" i="1"/>
  <c r="F5361" i="1"/>
  <c r="E5361" i="1"/>
  <c r="G5360" i="1"/>
  <c r="F5360" i="1"/>
  <c r="E5360" i="1"/>
  <c r="G5359" i="1"/>
  <c r="F5359" i="1"/>
  <c r="E5359" i="1"/>
  <c r="G5358" i="1"/>
  <c r="F5358" i="1"/>
  <c r="E5358" i="1"/>
  <c r="G5357" i="1"/>
  <c r="F5357" i="1"/>
  <c r="E5357" i="1"/>
  <c r="G5356" i="1"/>
  <c r="F5356" i="1"/>
  <c r="E5356" i="1"/>
  <c r="G5355" i="1"/>
  <c r="F5355" i="1"/>
  <c r="E5355" i="1"/>
  <c r="G5354" i="1"/>
  <c r="F5354" i="1"/>
  <c r="E5354" i="1"/>
  <c r="G5353" i="1"/>
  <c r="F5353" i="1"/>
  <c r="E5353" i="1"/>
  <c r="G5352" i="1"/>
  <c r="F5352" i="1"/>
  <c r="E5352" i="1"/>
  <c r="G5351" i="1"/>
  <c r="F5351" i="1"/>
  <c r="E5351" i="1"/>
  <c r="G5350" i="1"/>
  <c r="F5350" i="1"/>
  <c r="E5350" i="1"/>
  <c r="G5349" i="1"/>
  <c r="F5349" i="1"/>
  <c r="E5349" i="1"/>
  <c r="G5348" i="1"/>
  <c r="F5348" i="1"/>
  <c r="E5348" i="1"/>
  <c r="G5347" i="1"/>
  <c r="F5347" i="1"/>
  <c r="E5347" i="1"/>
  <c r="G5346" i="1"/>
  <c r="F5346" i="1"/>
  <c r="E5346" i="1"/>
  <c r="G5345" i="1"/>
  <c r="F5345" i="1"/>
  <c r="E5345" i="1"/>
  <c r="G5344" i="1"/>
  <c r="F5344" i="1"/>
  <c r="E5344" i="1"/>
  <c r="G5343" i="1"/>
  <c r="F5343" i="1"/>
  <c r="E5343" i="1"/>
  <c r="G5342" i="1"/>
  <c r="F5342" i="1"/>
  <c r="E5342" i="1"/>
  <c r="G5341" i="1"/>
  <c r="F5341" i="1"/>
  <c r="E5341" i="1"/>
  <c r="G5340" i="1"/>
  <c r="F5340" i="1"/>
  <c r="E5340" i="1"/>
  <c r="G5339" i="1"/>
  <c r="F5339" i="1"/>
  <c r="E5339" i="1"/>
  <c r="G5338" i="1"/>
  <c r="F5338" i="1"/>
  <c r="E5338" i="1"/>
  <c r="G5337" i="1"/>
  <c r="F5337" i="1"/>
  <c r="E5337" i="1"/>
  <c r="G5336" i="1"/>
  <c r="F5336" i="1"/>
  <c r="E5336" i="1"/>
  <c r="G5335" i="1"/>
  <c r="F5335" i="1"/>
  <c r="E5335" i="1"/>
  <c r="G5334" i="1"/>
  <c r="F5334" i="1"/>
  <c r="E5334" i="1"/>
  <c r="G5333" i="1"/>
  <c r="F5333" i="1"/>
  <c r="E5333" i="1"/>
  <c r="G5332" i="1"/>
  <c r="F5332" i="1"/>
  <c r="E5332" i="1"/>
  <c r="G5331" i="1"/>
  <c r="F5331" i="1"/>
  <c r="E5331" i="1"/>
  <c r="G5330" i="1"/>
  <c r="F5330" i="1"/>
  <c r="E5330" i="1"/>
  <c r="G5329" i="1"/>
  <c r="F5329" i="1"/>
  <c r="E5329" i="1"/>
  <c r="G5328" i="1"/>
  <c r="F5328" i="1"/>
  <c r="E5328" i="1"/>
  <c r="G5327" i="1"/>
  <c r="F5327" i="1"/>
  <c r="E5327" i="1"/>
  <c r="G5326" i="1"/>
  <c r="F5326" i="1"/>
  <c r="E5326" i="1"/>
  <c r="G5325" i="1"/>
  <c r="F5325" i="1"/>
  <c r="E5325" i="1"/>
  <c r="G5324" i="1"/>
  <c r="F5324" i="1"/>
  <c r="E5324" i="1"/>
  <c r="G5323" i="1"/>
  <c r="F5323" i="1"/>
  <c r="E5323" i="1"/>
  <c r="G5322" i="1"/>
  <c r="F5322" i="1"/>
  <c r="E5322" i="1"/>
  <c r="G5321" i="1"/>
  <c r="F5321" i="1"/>
  <c r="E5321" i="1"/>
  <c r="G5320" i="1"/>
  <c r="F5320" i="1"/>
  <c r="E5320" i="1"/>
  <c r="G5319" i="1"/>
  <c r="F5319" i="1"/>
  <c r="E5319" i="1"/>
  <c r="G5318" i="1"/>
  <c r="F5318" i="1"/>
  <c r="E5318" i="1"/>
  <c r="G5317" i="1"/>
  <c r="F5317" i="1"/>
  <c r="E5317" i="1"/>
  <c r="G5316" i="1"/>
  <c r="F5316" i="1"/>
  <c r="E5316" i="1"/>
  <c r="G5315" i="1"/>
  <c r="F5315" i="1"/>
  <c r="E5315" i="1"/>
  <c r="G5314" i="1"/>
  <c r="F5314" i="1"/>
  <c r="E5314" i="1"/>
  <c r="G5313" i="1"/>
  <c r="F5313" i="1"/>
  <c r="E5313" i="1"/>
  <c r="G5312" i="1"/>
  <c r="F5312" i="1"/>
  <c r="E5312" i="1"/>
  <c r="G5311" i="1"/>
  <c r="F5311" i="1"/>
  <c r="E5311" i="1"/>
  <c r="G5310" i="1"/>
  <c r="F5310" i="1"/>
  <c r="E5310" i="1"/>
  <c r="G5309" i="1"/>
  <c r="F5309" i="1"/>
  <c r="E5309" i="1"/>
  <c r="G5308" i="1"/>
  <c r="F5308" i="1"/>
  <c r="E5308" i="1"/>
  <c r="G5307" i="1"/>
  <c r="F5307" i="1"/>
  <c r="E5307" i="1"/>
  <c r="G5306" i="1"/>
  <c r="F5306" i="1"/>
  <c r="E5306" i="1"/>
  <c r="G5305" i="1"/>
  <c r="F5305" i="1"/>
  <c r="E5305" i="1"/>
  <c r="G5304" i="1"/>
  <c r="F5304" i="1"/>
  <c r="E5304" i="1"/>
  <c r="G5303" i="1"/>
  <c r="F5303" i="1"/>
  <c r="E5303" i="1"/>
  <c r="G5302" i="1"/>
  <c r="F5302" i="1"/>
  <c r="E5302" i="1"/>
  <c r="G5301" i="1"/>
  <c r="F5301" i="1"/>
  <c r="E5301" i="1"/>
  <c r="G5300" i="1"/>
  <c r="F5300" i="1"/>
  <c r="E5300" i="1"/>
  <c r="G5299" i="1"/>
  <c r="F5299" i="1"/>
  <c r="E5299" i="1"/>
  <c r="G5298" i="1"/>
  <c r="F5298" i="1"/>
  <c r="E5298" i="1"/>
  <c r="G5297" i="1"/>
  <c r="F5297" i="1"/>
  <c r="E5297" i="1"/>
  <c r="G5296" i="1"/>
  <c r="F5296" i="1"/>
  <c r="E5296" i="1"/>
  <c r="G5295" i="1"/>
  <c r="F5295" i="1"/>
  <c r="E5295" i="1"/>
  <c r="G5294" i="1"/>
  <c r="F5294" i="1"/>
  <c r="E5294" i="1"/>
  <c r="G5293" i="1"/>
  <c r="F5293" i="1"/>
  <c r="E5293" i="1"/>
  <c r="G5292" i="1"/>
  <c r="F5292" i="1"/>
  <c r="E5292" i="1"/>
  <c r="G5291" i="1"/>
  <c r="F5291" i="1"/>
  <c r="E5291" i="1"/>
  <c r="G5290" i="1"/>
  <c r="F5290" i="1"/>
  <c r="E5290" i="1"/>
  <c r="G5289" i="1"/>
  <c r="F5289" i="1"/>
  <c r="E5289" i="1"/>
  <c r="G5288" i="1"/>
  <c r="F5288" i="1"/>
  <c r="E5288" i="1"/>
  <c r="G5287" i="1"/>
  <c r="F5287" i="1"/>
  <c r="E5287" i="1"/>
  <c r="G5286" i="1"/>
  <c r="F5286" i="1"/>
  <c r="E5286" i="1"/>
  <c r="G5285" i="1"/>
  <c r="F5285" i="1"/>
  <c r="E5285" i="1"/>
  <c r="G5284" i="1"/>
  <c r="F5284" i="1"/>
  <c r="E5284" i="1"/>
  <c r="G5283" i="1"/>
  <c r="F5283" i="1"/>
  <c r="E5283" i="1"/>
  <c r="G5282" i="1"/>
  <c r="F5282" i="1"/>
  <c r="E5282" i="1"/>
  <c r="G5281" i="1"/>
  <c r="F5281" i="1"/>
  <c r="E5281" i="1"/>
  <c r="G5280" i="1"/>
  <c r="F5280" i="1"/>
  <c r="E5280" i="1"/>
  <c r="G5279" i="1"/>
  <c r="F5279" i="1"/>
  <c r="E5279" i="1"/>
  <c r="G5278" i="1"/>
  <c r="F5278" i="1"/>
  <c r="E5278" i="1"/>
  <c r="G5277" i="1"/>
  <c r="F5277" i="1"/>
  <c r="E5277" i="1"/>
  <c r="G5276" i="1"/>
  <c r="F5276" i="1"/>
  <c r="E5276" i="1"/>
  <c r="G5275" i="1"/>
  <c r="F5275" i="1"/>
  <c r="E5275" i="1"/>
  <c r="G5274" i="1"/>
  <c r="F5274" i="1"/>
  <c r="E5274" i="1"/>
  <c r="G5273" i="1"/>
  <c r="F5273" i="1"/>
  <c r="E5273" i="1"/>
  <c r="G5272" i="1"/>
  <c r="F5272" i="1"/>
  <c r="E5272" i="1"/>
  <c r="G5271" i="1"/>
  <c r="F5271" i="1"/>
  <c r="E5271" i="1"/>
  <c r="G5270" i="1"/>
  <c r="F5270" i="1"/>
  <c r="E5270" i="1"/>
  <c r="G5269" i="1"/>
  <c r="F5269" i="1"/>
  <c r="E5269" i="1"/>
  <c r="G5268" i="1"/>
  <c r="F5268" i="1"/>
  <c r="E5268" i="1"/>
  <c r="G5267" i="1"/>
  <c r="F5267" i="1"/>
  <c r="E5267" i="1"/>
  <c r="G5266" i="1"/>
  <c r="F5266" i="1"/>
  <c r="E5266" i="1"/>
  <c r="G5265" i="1"/>
  <c r="F5265" i="1"/>
  <c r="E5265" i="1"/>
  <c r="G5264" i="1"/>
  <c r="F5264" i="1"/>
  <c r="E5264" i="1"/>
  <c r="G5263" i="1"/>
  <c r="F5263" i="1"/>
  <c r="E5263" i="1"/>
  <c r="G5262" i="1"/>
  <c r="F5262" i="1"/>
  <c r="E5262" i="1"/>
  <c r="G5261" i="1"/>
  <c r="F5261" i="1"/>
  <c r="E5261" i="1"/>
  <c r="G5260" i="1"/>
  <c r="F5260" i="1"/>
  <c r="E5260" i="1"/>
  <c r="G5259" i="1"/>
  <c r="F5259" i="1"/>
  <c r="E5259" i="1"/>
  <c r="G5258" i="1"/>
  <c r="F5258" i="1"/>
  <c r="E5258" i="1"/>
  <c r="G5257" i="1"/>
  <c r="F5257" i="1"/>
  <c r="E5257" i="1"/>
  <c r="G5256" i="1"/>
  <c r="F5256" i="1"/>
  <c r="E5256" i="1"/>
  <c r="G5255" i="1"/>
  <c r="F5255" i="1"/>
  <c r="E5255" i="1"/>
  <c r="G5254" i="1"/>
  <c r="F5254" i="1"/>
  <c r="E5254" i="1"/>
  <c r="G5253" i="1"/>
  <c r="F5253" i="1"/>
  <c r="E5253" i="1"/>
  <c r="G5252" i="1"/>
  <c r="F5252" i="1"/>
  <c r="E5252" i="1"/>
  <c r="G5251" i="1"/>
  <c r="F5251" i="1"/>
  <c r="E5251" i="1"/>
  <c r="G5250" i="1"/>
  <c r="F5250" i="1"/>
  <c r="E5250" i="1"/>
  <c r="G5249" i="1"/>
  <c r="F5249" i="1"/>
  <c r="E5249" i="1"/>
  <c r="G5248" i="1"/>
  <c r="F5248" i="1"/>
  <c r="E5248" i="1"/>
  <c r="G5247" i="1"/>
  <c r="F5247" i="1"/>
  <c r="E5247" i="1"/>
  <c r="G5246" i="1"/>
  <c r="F5246" i="1"/>
  <c r="E5246" i="1"/>
  <c r="G5245" i="1"/>
  <c r="F5245" i="1"/>
  <c r="E5245" i="1"/>
  <c r="G5244" i="1"/>
  <c r="F5244" i="1"/>
  <c r="E5244" i="1"/>
  <c r="G5243" i="1"/>
  <c r="F5243" i="1"/>
  <c r="E5243" i="1"/>
  <c r="G5242" i="1"/>
  <c r="F5242" i="1"/>
  <c r="E5242" i="1"/>
  <c r="G5241" i="1"/>
  <c r="F5241" i="1"/>
  <c r="E5241" i="1"/>
  <c r="G5240" i="1"/>
  <c r="F5240" i="1"/>
  <c r="E5240" i="1"/>
  <c r="G5239" i="1"/>
  <c r="F5239" i="1"/>
  <c r="E5239" i="1"/>
  <c r="G5238" i="1"/>
  <c r="F5238" i="1"/>
  <c r="E5238" i="1"/>
  <c r="G5237" i="1"/>
  <c r="F5237" i="1"/>
  <c r="E5237" i="1"/>
  <c r="G5236" i="1"/>
  <c r="F5236" i="1"/>
  <c r="E5236" i="1"/>
  <c r="G5235" i="1"/>
  <c r="F5235" i="1"/>
  <c r="E5235" i="1"/>
  <c r="G5234" i="1"/>
  <c r="F5234" i="1"/>
  <c r="E5234" i="1"/>
  <c r="G5233" i="1"/>
  <c r="F5233" i="1"/>
  <c r="E5233" i="1"/>
  <c r="G5232" i="1"/>
  <c r="F5232" i="1"/>
  <c r="E5232" i="1"/>
  <c r="G5231" i="1"/>
  <c r="F5231" i="1"/>
  <c r="E5231" i="1"/>
  <c r="G5230" i="1"/>
  <c r="F5230" i="1"/>
  <c r="E5230" i="1"/>
  <c r="G5229" i="1"/>
  <c r="F5229" i="1"/>
  <c r="E5229" i="1"/>
  <c r="G5228" i="1"/>
  <c r="F5228" i="1"/>
  <c r="E5228" i="1"/>
  <c r="G5227" i="1"/>
  <c r="F5227" i="1"/>
  <c r="E5227" i="1"/>
  <c r="G5226" i="1"/>
  <c r="F5226" i="1"/>
  <c r="E5226" i="1"/>
  <c r="G5225" i="1"/>
  <c r="F5225" i="1"/>
  <c r="E5225" i="1"/>
  <c r="G5224" i="1"/>
  <c r="F5224" i="1"/>
  <c r="E5224" i="1"/>
  <c r="G5223" i="1"/>
  <c r="F5223" i="1"/>
  <c r="E5223" i="1"/>
  <c r="G5222" i="1"/>
  <c r="F5222" i="1"/>
  <c r="E5222" i="1"/>
  <c r="G5221" i="1"/>
  <c r="F5221" i="1"/>
  <c r="E5221" i="1"/>
  <c r="G5220" i="1"/>
  <c r="F5220" i="1"/>
  <c r="E5220" i="1"/>
  <c r="G5219" i="1"/>
  <c r="F5219" i="1"/>
  <c r="E5219" i="1"/>
  <c r="G5218" i="1"/>
  <c r="F5218" i="1"/>
  <c r="E5218" i="1"/>
  <c r="G5217" i="1"/>
  <c r="F5217" i="1"/>
  <c r="E5217" i="1"/>
  <c r="G5216" i="1"/>
  <c r="F5216" i="1"/>
  <c r="E5216" i="1"/>
  <c r="G5215" i="1"/>
  <c r="F5215" i="1"/>
  <c r="E5215" i="1"/>
  <c r="G5214" i="1"/>
  <c r="F5214" i="1"/>
  <c r="E5214" i="1"/>
  <c r="G5213" i="1"/>
  <c r="F5213" i="1"/>
  <c r="E5213" i="1"/>
  <c r="G5212" i="1"/>
  <c r="F5212" i="1"/>
  <c r="E5212" i="1"/>
  <c r="G5211" i="1"/>
  <c r="F5211" i="1"/>
  <c r="E5211" i="1"/>
  <c r="G5210" i="1"/>
  <c r="F5210" i="1"/>
  <c r="E5210" i="1"/>
  <c r="G5209" i="1"/>
  <c r="F5209" i="1"/>
  <c r="E5209" i="1"/>
  <c r="G5208" i="1"/>
  <c r="F5208" i="1"/>
  <c r="E5208" i="1"/>
  <c r="G5207" i="1"/>
  <c r="F5207" i="1"/>
  <c r="E5207" i="1"/>
  <c r="G5206" i="1"/>
  <c r="F5206" i="1"/>
  <c r="E5206" i="1"/>
  <c r="G5205" i="1"/>
  <c r="F5205" i="1"/>
  <c r="E5205" i="1"/>
  <c r="G5204" i="1"/>
  <c r="F5204" i="1"/>
  <c r="E5204" i="1"/>
  <c r="G5203" i="1"/>
  <c r="F5203" i="1"/>
  <c r="E5203" i="1"/>
  <c r="G5202" i="1"/>
  <c r="F5202" i="1"/>
  <c r="E5202" i="1"/>
  <c r="G5201" i="1"/>
  <c r="F5201" i="1"/>
  <c r="E5201" i="1"/>
  <c r="G5200" i="1"/>
  <c r="F5200" i="1"/>
  <c r="E5200" i="1"/>
  <c r="G5199" i="1"/>
  <c r="F5199" i="1"/>
  <c r="E5199" i="1"/>
  <c r="G5198" i="1"/>
  <c r="F5198" i="1"/>
  <c r="E5198" i="1"/>
  <c r="G5197" i="1"/>
  <c r="F5197" i="1"/>
  <c r="E5197" i="1"/>
  <c r="G5196" i="1"/>
  <c r="F5196" i="1"/>
  <c r="E5196" i="1"/>
  <c r="G5195" i="1"/>
  <c r="F5195" i="1"/>
  <c r="E5195" i="1"/>
  <c r="G5194" i="1"/>
  <c r="F5194" i="1"/>
  <c r="E5194" i="1"/>
  <c r="G5193" i="1"/>
  <c r="F5193" i="1"/>
  <c r="E5193" i="1"/>
  <c r="G5192" i="1"/>
  <c r="F5192" i="1"/>
  <c r="E5192" i="1"/>
  <c r="G5191" i="1"/>
  <c r="F5191" i="1"/>
  <c r="E5191" i="1"/>
  <c r="G5190" i="1"/>
  <c r="F5190" i="1"/>
  <c r="E5190" i="1"/>
  <c r="G5189" i="1"/>
  <c r="F5189" i="1"/>
  <c r="E5189" i="1"/>
  <c r="G5188" i="1"/>
  <c r="F5188" i="1"/>
  <c r="E5188" i="1"/>
  <c r="G5187" i="1"/>
  <c r="F5187" i="1"/>
  <c r="E5187" i="1"/>
  <c r="G5186" i="1"/>
  <c r="F5186" i="1"/>
  <c r="E5186" i="1"/>
  <c r="G5185" i="1"/>
  <c r="F5185" i="1"/>
  <c r="E5185" i="1"/>
  <c r="G5184" i="1"/>
  <c r="F5184" i="1"/>
  <c r="E5184" i="1"/>
  <c r="G5183" i="1"/>
  <c r="F5183" i="1"/>
  <c r="E5183" i="1"/>
  <c r="G5182" i="1"/>
  <c r="F5182" i="1"/>
  <c r="E5182" i="1"/>
  <c r="G5181" i="1"/>
  <c r="F5181" i="1"/>
  <c r="E5181" i="1"/>
  <c r="G5180" i="1"/>
  <c r="F5180" i="1"/>
  <c r="E5180" i="1"/>
  <c r="G5179" i="1"/>
  <c r="F5179" i="1"/>
  <c r="E5179" i="1"/>
  <c r="G5178" i="1"/>
  <c r="F5178" i="1"/>
  <c r="E5178" i="1"/>
  <c r="G5177" i="1"/>
  <c r="F5177" i="1"/>
  <c r="E5177" i="1"/>
  <c r="G5176" i="1"/>
  <c r="F5176" i="1"/>
  <c r="E5176" i="1"/>
  <c r="G5175" i="1"/>
  <c r="F5175" i="1"/>
  <c r="E5175" i="1"/>
  <c r="G5174" i="1"/>
  <c r="F5174" i="1"/>
  <c r="E5174" i="1"/>
  <c r="G5173" i="1"/>
  <c r="F5173" i="1"/>
  <c r="E5173" i="1"/>
  <c r="G5172" i="1"/>
  <c r="F5172" i="1"/>
  <c r="E5172" i="1"/>
  <c r="G5171" i="1"/>
  <c r="F5171" i="1"/>
  <c r="E5171" i="1"/>
  <c r="G5170" i="1"/>
  <c r="F5170" i="1"/>
  <c r="E5170" i="1"/>
  <c r="G5169" i="1"/>
  <c r="F5169" i="1"/>
  <c r="E5169" i="1"/>
  <c r="G5168" i="1"/>
  <c r="F5168" i="1"/>
  <c r="E5168" i="1"/>
  <c r="G5167" i="1"/>
  <c r="F5167" i="1"/>
  <c r="E5167" i="1"/>
  <c r="G5166" i="1"/>
  <c r="F5166" i="1"/>
  <c r="E5166" i="1"/>
  <c r="G5165" i="1"/>
  <c r="F5165" i="1"/>
  <c r="E5165" i="1"/>
  <c r="G5164" i="1"/>
  <c r="F5164" i="1"/>
  <c r="E5164" i="1"/>
  <c r="G5163" i="1"/>
  <c r="F5163" i="1"/>
  <c r="E5163" i="1"/>
  <c r="G5162" i="1"/>
  <c r="F5162" i="1"/>
  <c r="E5162" i="1"/>
  <c r="G5161" i="1"/>
  <c r="F5161" i="1"/>
  <c r="E5161" i="1"/>
  <c r="G5160" i="1"/>
  <c r="F5160" i="1"/>
  <c r="E5160" i="1"/>
  <c r="G5159" i="1"/>
  <c r="F5159" i="1"/>
  <c r="E5159" i="1"/>
  <c r="G5158" i="1"/>
  <c r="F5158" i="1"/>
  <c r="E5158" i="1"/>
  <c r="G5157" i="1"/>
  <c r="F5157" i="1"/>
  <c r="E5157" i="1"/>
  <c r="G5156" i="1"/>
  <c r="F5156" i="1"/>
  <c r="E5156" i="1"/>
  <c r="G5155" i="1"/>
  <c r="F5155" i="1"/>
  <c r="E5155" i="1"/>
  <c r="G5154" i="1"/>
  <c r="F5154" i="1"/>
  <c r="E5154" i="1"/>
  <c r="G5153" i="1"/>
  <c r="F5153" i="1"/>
  <c r="E5153" i="1"/>
  <c r="G5152" i="1"/>
  <c r="F5152" i="1"/>
  <c r="E5152" i="1"/>
  <c r="G5151" i="1"/>
  <c r="F5151" i="1"/>
  <c r="E5151" i="1"/>
  <c r="G5150" i="1"/>
  <c r="F5150" i="1"/>
  <c r="E5150" i="1"/>
  <c r="G5149" i="1"/>
  <c r="F5149" i="1"/>
  <c r="E5149" i="1"/>
  <c r="G5148" i="1"/>
  <c r="F5148" i="1"/>
  <c r="E5148" i="1"/>
  <c r="G5147" i="1"/>
  <c r="F5147" i="1"/>
  <c r="E5147" i="1"/>
  <c r="G5146" i="1"/>
  <c r="F5146" i="1"/>
  <c r="E5146" i="1"/>
  <c r="G5145" i="1"/>
  <c r="F5145" i="1"/>
  <c r="E5145" i="1"/>
  <c r="G5144" i="1"/>
  <c r="F5144" i="1"/>
  <c r="E5144" i="1"/>
  <c r="G5143" i="1"/>
  <c r="F5143" i="1"/>
  <c r="E5143" i="1"/>
  <c r="G5142" i="1"/>
  <c r="F5142" i="1"/>
  <c r="E5142" i="1"/>
  <c r="G5141" i="1"/>
  <c r="F5141" i="1"/>
  <c r="E5141" i="1"/>
  <c r="G5140" i="1"/>
  <c r="F5140" i="1"/>
  <c r="E5140" i="1"/>
  <c r="G5139" i="1"/>
  <c r="F5139" i="1"/>
  <c r="E5139" i="1"/>
  <c r="G5138" i="1"/>
  <c r="F5138" i="1"/>
  <c r="E5138" i="1"/>
  <c r="G5137" i="1"/>
  <c r="F5137" i="1"/>
  <c r="E5137" i="1"/>
  <c r="G5136" i="1"/>
  <c r="F5136" i="1"/>
  <c r="E5136" i="1"/>
  <c r="G5135" i="1"/>
  <c r="F5135" i="1"/>
  <c r="E5135" i="1"/>
  <c r="G5134" i="1"/>
  <c r="F5134" i="1"/>
  <c r="E5134" i="1"/>
  <c r="G5133" i="1"/>
  <c r="F5133" i="1"/>
  <c r="E5133" i="1"/>
  <c r="G5132" i="1"/>
  <c r="F5132" i="1"/>
  <c r="E5132" i="1"/>
  <c r="G5131" i="1"/>
  <c r="F5131" i="1"/>
  <c r="E5131" i="1"/>
  <c r="G5130" i="1"/>
  <c r="F5130" i="1"/>
  <c r="E5130" i="1"/>
  <c r="G5129" i="1"/>
  <c r="F5129" i="1"/>
  <c r="E5129" i="1"/>
  <c r="G5128" i="1"/>
  <c r="F5128" i="1"/>
  <c r="E5128" i="1"/>
  <c r="G5127" i="1"/>
  <c r="F5127" i="1"/>
  <c r="E5127" i="1"/>
  <c r="G5126" i="1"/>
  <c r="F5126" i="1"/>
  <c r="E5126" i="1"/>
  <c r="G5125" i="1"/>
  <c r="F5125" i="1"/>
  <c r="E5125" i="1"/>
  <c r="G5124" i="1"/>
  <c r="F5124" i="1"/>
  <c r="E5124" i="1"/>
  <c r="G5123" i="1"/>
  <c r="F5123" i="1"/>
  <c r="E5123" i="1"/>
  <c r="G5122" i="1"/>
  <c r="F5122" i="1"/>
  <c r="E5122" i="1"/>
  <c r="G5121" i="1"/>
  <c r="F5121" i="1"/>
  <c r="E5121" i="1"/>
  <c r="G5120" i="1"/>
  <c r="F5120" i="1"/>
  <c r="E5120" i="1"/>
  <c r="G5119" i="1"/>
  <c r="F5119" i="1"/>
  <c r="E5119" i="1"/>
  <c r="G5118" i="1"/>
  <c r="F5118" i="1"/>
  <c r="E5118" i="1"/>
  <c r="G5117" i="1"/>
  <c r="F5117" i="1"/>
  <c r="E5117" i="1"/>
  <c r="G5116" i="1"/>
  <c r="F5116" i="1"/>
  <c r="E5116" i="1"/>
  <c r="G5115" i="1"/>
  <c r="F5115" i="1"/>
  <c r="E5115" i="1"/>
  <c r="G5114" i="1"/>
  <c r="F5114" i="1"/>
  <c r="E5114" i="1"/>
  <c r="G5113" i="1"/>
  <c r="F5113" i="1"/>
  <c r="E5113" i="1"/>
  <c r="G5112" i="1"/>
  <c r="F5112" i="1"/>
  <c r="E5112" i="1"/>
  <c r="G5111" i="1"/>
  <c r="F5111" i="1"/>
  <c r="E5111" i="1"/>
  <c r="G5110" i="1"/>
  <c r="F5110" i="1"/>
  <c r="E5110" i="1"/>
  <c r="G5109" i="1"/>
  <c r="F5109" i="1"/>
  <c r="E5109" i="1"/>
  <c r="G5108" i="1"/>
  <c r="F5108" i="1"/>
  <c r="E5108" i="1"/>
  <c r="G5107" i="1"/>
  <c r="F5107" i="1"/>
  <c r="E5107" i="1"/>
  <c r="G5106" i="1"/>
  <c r="F5106" i="1"/>
  <c r="E5106" i="1"/>
  <c r="G5105" i="1"/>
  <c r="F5105" i="1"/>
  <c r="E5105" i="1"/>
  <c r="G5104" i="1"/>
  <c r="F5104" i="1"/>
  <c r="E5104" i="1"/>
  <c r="G5103" i="1"/>
  <c r="F5103" i="1"/>
  <c r="E5103" i="1"/>
  <c r="G5102" i="1"/>
  <c r="F5102" i="1"/>
  <c r="E5102" i="1"/>
  <c r="G5101" i="1"/>
  <c r="F5101" i="1"/>
  <c r="E5101" i="1"/>
  <c r="G5100" i="1"/>
  <c r="F5100" i="1"/>
  <c r="E5100" i="1"/>
  <c r="G5099" i="1"/>
  <c r="F5099" i="1"/>
  <c r="E5099" i="1"/>
  <c r="G5098" i="1"/>
  <c r="F5098" i="1"/>
  <c r="E5098" i="1"/>
  <c r="G5097" i="1"/>
  <c r="F5097" i="1"/>
  <c r="E5097" i="1"/>
  <c r="G5096" i="1"/>
  <c r="F5096" i="1"/>
  <c r="E5096" i="1"/>
  <c r="G5095" i="1"/>
  <c r="F5095" i="1"/>
  <c r="E5095" i="1"/>
  <c r="G5094" i="1"/>
  <c r="F5094" i="1"/>
  <c r="E5094" i="1"/>
  <c r="G5093" i="1"/>
  <c r="F5093" i="1"/>
  <c r="E5093" i="1"/>
  <c r="G5092" i="1"/>
  <c r="F5092" i="1"/>
  <c r="E5092" i="1"/>
  <c r="G5091" i="1"/>
  <c r="F5091" i="1"/>
  <c r="E5091" i="1"/>
  <c r="G5090" i="1"/>
  <c r="F5090" i="1"/>
  <c r="E5090" i="1"/>
  <c r="G5089" i="1"/>
  <c r="F5089" i="1"/>
  <c r="E5089" i="1"/>
  <c r="G5088" i="1"/>
  <c r="F5088" i="1"/>
  <c r="E5088" i="1"/>
  <c r="G5087" i="1"/>
  <c r="F5087" i="1"/>
  <c r="E5087" i="1"/>
  <c r="G5086" i="1"/>
  <c r="F5086" i="1"/>
  <c r="E5086" i="1"/>
  <c r="G5085" i="1"/>
  <c r="F5085" i="1"/>
  <c r="E5085" i="1"/>
  <c r="G5084" i="1"/>
  <c r="F5084" i="1"/>
  <c r="E5084" i="1"/>
  <c r="G5083" i="1"/>
  <c r="F5083" i="1"/>
  <c r="E5083" i="1"/>
  <c r="G5082" i="1"/>
  <c r="F5082" i="1"/>
  <c r="E5082" i="1"/>
  <c r="G5081" i="1"/>
  <c r="F5081" i="1"/>
  <c r="E5081" i="1"/>
  <c r="G5080" i="1"/>
  <c r="F5080" i="1"/>
  <c r="E5080" i="1"/>
  <c r="G5079" i="1"/>
  <c r="F5079" i="1"/>
  <c r="E5079" i="1"/>
  <c r="G5078" i="1"/>
  <c r="F5078" i="1"/>
  <c r="E5078" i="1"/>
  <c r="G5077" i="1"/>
  <c r="F5077" i="1"/>
  <c r="E5077" i="1"/>
  <c r="G5076" i="1"/>
  <c r="F5076" i="1"/>
  <c r="E5076" i="1"/>
  <c r="G5075" i="1"/>
  <c r="F5075" i="1"/>
  <c r="E5075" i="1"/>
  <c r="G5074" i="1"/>
  <c r="F5074" i="1"/>
  <c r="E5074" i="1"/>
  <c r="G5073" i="1"/>
  <c r="F5073" i="1"/>
  <c r="E5073" i="1"/>
  <c r="G5072" i="1"/>
  <c r="F5072" i="1"/>
  <c r="E5072" i="1"/>
  <c r="G5071" i="1"/>
  <c r="F5071" i="1"/>
  <c r="E5071" i="1"/>
  <c r="G5070" i="1"/>
  <c r="F5070" i="1"/>
  <c r="E5070" i="1"/>
  <c r="G5069" i="1"/>
  <c r="F5069" i="1"/>
  <c r="E5069" i="1"/>
  <c r="G5068" i="1"/>
  <c r="F5068" i="1"/>
  <c r="E5068" i="1"/>
  <c r="G5067" i="1"/>
  <c r="F5067" i="1"/>
  <c r="E5067" i="1"/>
  <c r="G5066" i="1"/>
  <c r="F5066" i="1"/>
  <c r="E5066" i="1"/>
  <c r="G5065" i="1"/>
  <c r="F5065" i="1"/>
  <c r="E5065" i="1"/>
  <c r="G5064" i="1"/>
  <c r="F5064" i="1"/>
  <c r="E5064" i="1"/>
  <c r="G5063" i="1"/>
  <c r="F5063" i="1"/>
  <c r="E5063" i="1"/>
  <c r="G5062" i="1"/>
  <c r="F5062" i="1"/>
  <c r="E5062" i="1"/>
  <c r="G5061" i="1"/>
  <c r="F5061" i="1"/>
  <c r="E5061" i="1"/>
  <c r="G5060" i="1"/>
  <c r="F5060" i="1"/>
  <c r="E5060" i="1"/>
  <c r="G5059" i="1"/>
  <c r="F5059" i="1"/>
  <c r="E5059" i="1"/>
  <c r="G5058" i="1"/>
  <c r="F5058" i="1"/>
  <c r="E5058" i="1"/>
  <c r="G5057" i="1"/>
  <c r="F5057" i="1"/>
  <c r="E5057" i="1"/>
  <c r="G5056" i="1"/>
  <c r="F5056" i="1"/>
  <c r="E5056" i="1"/>
  <c r="G5055" i="1"/>
  <c r="F5055" i="1"/>
  <c r="E5055" i="1"/>
  <c r="G5054" i="1"/>
  <c r="F5054" i="1"/>
  <c r="E5054" i="1"/>
  <c r="G5053" i="1"/>
  <c r="F5053" i="1"/>
  <c r="E5053" i="1"/>
  <c r="G5052" i="1"/>
  <c r="F5052" i="1"/>
  <c r="E5052" i="1"/>
  <c r="G5051" i="1"/>
  <c r="F5051" i="1"/>
  <c r="E5051" i="1"/>
  <c r="G5050" i="1"/>
  <c r="F5050" i="1"/>
  <c r="E5050" i="1"/>
  <c r="G5049" i="1"/>
  <c r="F5049" i="1"/>
  <c r="E5049" i="1"/>
  <c r="G5048" i="1"/>
  <c r="F5048" i="1"/>
  <c r="E5048" i="1"/>
  <c r="G5047" i="1"/>
  <c r="F5047" i="1"/>
  <c r="E5047" i="1"/>
  <c r="G5046" i="1"/>
  <c r="F5046" i="1"/>
  <c r="E5046" i="1"/>
  <c r="G5045" i="1"/>
  <c r="F5045" i="1"/>
  <c r="E5045" i="1"/>
  <c r="G5044" i="1"/>
  <c r="F5044" i="1"/>
  <c r="E5044" i="1"/>
  <c r="G5043" i="1"/>
  <c r="F5043" i="1"/>
  <c r="E5043" i="1"/>
  <c r="G5042" i="1"/>
  <c r="F5042" i="1"/>
  <c r="E5042" i="1"/>
  <c r="G5041" i="1"/>
  <c r="F5041" i="1"/>
  <c r="E5041" i="1"/>
  <c r="G5040" i="1"/>
  <c r="F5040" i="1"/>
  <c r="E5040" i="1"/>
  <c r="G5039" i="1"/>
  <c r="F5039" i="1"/>
  <c r="E5039" i="1"/>
  <c r="G5038" i="1"/>
  <c r="F5038" i="1"/>
  <c r="E5038" i="1"/>
  <c r="G5037" i="1"/>
  <c r="F5037" i="1"/>
  <c r="E5037" i="1"/>
  <c r="G5036" i="1"/>
  <c r="F5036" i="1"/>
  <c r="E5036" i="1"/>
  <c r="G5035" i="1"/>
  <c r="F5035" i="1"/>
  <c r="E5035" i="1"/>
  <c r="G5034" i="1"/>
  <c r="F5034" i="1"/>
  <c r="E5034" i="1"/>
  <c r="G5033" i="1"/>
  <c r="F5033" i="1"/>
  <c r="E5033" i="1"/>
  <c r="G5032" i="1"/>
  <c r="F5032" i="1"/>
  <c r="E5032" i="1"/>
  <c r="G5031" i="1"/>
  <c r="F5031" i="1"/>
  <c r="E5031" i="1"/>
  <c r="G5030" i="1"/>
  <c r="F5030" i="1"/>
  <c r="E5030" i="1"/>
  <c r="G5029" i="1"/>
  <c r="F5029" i="1"/>
  <c r="E5029" i="1"/>
  <c r="G5028" i="1"/>
  <c r="F5028" i="1"/>
  <c r="E5028" i="1"/>
  <c r="G5027" i="1"/>
  <c r="F5027" i="1"/>
  <c r="E5027" i="1"/>
  <c r="G5026" i="1"/>
  <c r="F5026" i="1"/>
  <c r="E5026" i="1"/>
  <c r="G5025" i="1"/>
  <c r="F5025" i="1"/>
  <c r="E5025" i="1"/>
  <c r="G5024" i="1"/>
  <c r="F5024" i="1"/>
  <c r="E5024" i="1"/>
  <c r="G5023" i="1"/>
  <c r="F5023" i="1"/>
  <c r="E5023" i="1"/>
  <c r="G5022" i="1"/>
  <c r="F5022" i="1"/>
  <c r="E5022" i="1"/>
  <c r="G5021" i="1"/>
  <c r="F5021" i="1"/>
  <c r="E5021" i="1"/>
  <c r="G5020" i="1"/>
  <c r="F5020" i="1"/>
  <c r="E5020" i="1"/>
  <c r="G5019" i="1"/>
  <c r="F5019" i="1"/>
  <c r="E5019" i="1"/>
  <c r="G5018" i="1"/>
  <c r="F5018" i="1"/>
  <c r="E5018" i="1"/>
  <c r="G5017" i="1"/>
  <c r="F5017" i="1"/>
  <c r="E5017" i="1"/>
  <c r="G5016" i="1"/>
  <c r="F5016" i="1"/>
  <c r="E5016" i="1"/>
  <c r="G5015" i="1"/>
  <c r="F5015" i="1"/>
  <c r="E5015" i="1"/>
  <c r="G5014" i="1"/>
  <c r="F5014" i="1"/>
  <c r="E5014" i="1"/>
  <c r="G5013" i="1"/>
  <c r="F5013" i="1"/>
  <c r="E5013" i="1"/>
  <c r="G5012" i="1"/>
  <c r="F5012" i="1"/>
  <c r="E5012" i="1"/>
  <c r="G5011" i="1"/>
  <c r="F5011" i="1"/>
  <c r="E5011" i="1"/>
  <c r="G5010" i="1"/>
  <c r="F5010" i="1"/>
  <c r="E5010" i="1"/>
  <c r="G5009" i="1"/>
  <c r="F5009" i="1"/>
  <c r="E5009" i="1"/>
  <c r="G5008" i="1"/>
  <c r="F5008" i="1"/>
  <c r="E5008" i="1"/>
  <c r="G5007" i="1"/>
  <c r="F5007" i="1"/>
  <c r="E5007" i="1"/>
  <c r="G5006" i="1"/>
  <c r="F5006" i="1"/>
  <c r="E5006" i="1"/>
  <c r="G5005" i="1"/>
  <c r="F5005" i="1"/>
  <c r="E5005" i="1"/>
  <c r="G5004" i="1"/>
  <c r="F5004" i="1"/>
  <c r="E5004" i="1"/>
  <c r="G5003" i="1"/>
  <c r="F5003" i="1"/>
  <c r="E5003" i="1"/>
  <c r="G5002" i="1"/>
  <c r="F5002" i="1"/>
  <c r="E5002" i="1"/>
  <c r="G5001" i="1"/>
  <c r="F5001" i="1"/>
  <c r="E5001" i="1"/>
  <c r="G5000" i="1"/>
  <c r="F5000" i="1"/>
  <c r="E5000" i="1"/>
  <c r="G4999" i="1"/>
  <c r="F4999" i="1"/>
  <c r="E4999" i="1"/>
  <c r="G4998" i="1"/>
  <c r="F4998" i="1"/>
  <c r="E4998" i="1"/>
  <c r="G4997" i="1"/>
  <c r="F4997" i="1"/>
  <c r="E4997" i="1"/>
  <c r="G4996" i="1"/>
  <c r="F4996" i="1"/>
  <c r="E4996" i="1"/>
  <c r="G4995" i="1"/>
  <c r="F4995" i="1"/>
  <c r="E4995" i="1"/>
  <c r="G4994" i="1"/>
  <c r="F4994" i="1"/>
  <c r="E4994" i="1"/>
  <c r="G4993" i="1"/>
  <c r="F4993" i="1"/>
  <c r="E4993" i="1"/>
  <c r="G4992" i="1"/>
  <c r="F4992" i="1"/>
  <c r="E4992" i="1"/>
  <c r="G4991" i="1"/>
  <c r="F4991" i="1"/>
  <c r="E4991" i="1"/>
  <c r="G4990" i="1"/>
  <c r="F4990" i="1"/>
  <c r="E4990" i="1"/>
  <c r="G4989" i="1"/>
  <c r="F4989" i="1"/>
  <c r="E4989" i="1"/>
  <c r="G4988" i="1"/>
  <c r="F4988" i="1"/>
  <c r="E4988" i="1"/>
  <c r="G4987" i="1"/>
  <c r="F4987" i="1"/>
  <c r="E4987" i="1"/>
  <c r="G4986" i="1"/>
  <c r="F4986" i="1"/>
  <c r="E4986" i="1"/>
  <c r="G4985" i="1"/>
  <c r="F4985" i="1"/>
  <c r="E4985" i="1"/>
  <c r="G4984" i="1"/>
  <c r="F4984" i="1"/>
  <c r="E4984" i="1"/>
  <c r="G4983" i="1"/>
  <c r="F4983" i="1"/>
  <c r="E4983" i="1"/>
  <c r="G4982" i="1"/>
  <c r="F4982" i="1"/>
  <c r="E4982" i="1"/>
  <c r="G4981" i="1"/>
  <c r="F4981" i="1"/>
  <c r="E4981" i="1"/>
  <c r="G4980" i="1"/>
  <c r="F4980" i="1"/>
  <c r="E4980" i="1"/>
  <c r="G4979" i="1"/>
  <c r="F4979" i="1"/>
  <c r="E4979" i="1"/>
  <c r="G4978" i="1"/>
  <c r="F4978" i="1"/>
  <c r="E4978" i="1"/>
  <c r="G4977" i="1"/>
  <c r="F4977" i="1"/>
  <c r="E4977" i="1"/>
  <c r="G4976" i="1"/>
  <c r="F4976" i="1"/>
  <c r="E4976" i="1"/>
  <c r="G4975" i="1"/>
  <c r="F4975" i="1"/>
  <c r="E4975" i="1"/>
  <c r="G4974" i="1"/>
  <c r="F4974" i="1"/>
  <c r="E4974" i="1"/>
  <c r="G4973" i="1"/>
  <c r="F4973" i="1"/>
  <c r="E4973" i="1"/>
  <c r="G4972" i="1"/>
  <c r="F4972" i="1"/>
  <c r="E4972" i="1"/>
  <c r="G4971" i="1"/>
  <c r="F4971" i="1"/>
  <c r="E4971" i="1"/>
  <c r="G4970" i="1"/>
  <c r="F4970" i="1"/>
  <c r="E4970" i="1"/>
  <c r="G4969" i="1"/>
  <c r="F4969" i="1"/>
  <c r="E4969" i="1"/>
  <c r="G4968" i="1"/>
  <c r="F4968" i="1"/>
  <c r="E4968" i="1"/>
  <c r="G4967" i="1"/>
  <c r="F4967" i="1"/>
  <c r="E4967" i="1"/>
  <c r="G4966" i="1"/>
  <c r="F4966" i="1"/>
  <c r="E4966" i="1"/>
  <c r="G4965" i="1"/>
  <c r="F4965" i="1"/>
  <c r="E4965" i="1"/>
  <c r="G4964" i="1"/>
  <c r="F4964" i="1"/>
  <c r="E4964" i="1"/>
  <c r="G4963" i="1"/>
  <c r="F4963" i="1"/>
  <c r="E4963" i="1"/>
  <c r="G4962" i="1"/>
  <c r="F4962" i="1"/>
  <c r="E4962" i="1"/>
  <c r="G4961" i="1"/>
  <c r="F4961" i="1"/>
  <c r="E4961" i="1"/>
  <c r="G4960" i="1"/>
  <c r="F4960" i="1"/>
  <c r="E4960" i="1"/>
  <c r="G4959" i="1"/>
  <c r="F4959" i="1"/>
  <c r="E4959" i="1"/>
  <c r="G4958" i="1"/>
  <c r="F4958" i="1"/>
  <c r="E4958" i="1"/>
  <c r="G4957" i="1"/>
  <c r="F4957" i="1"/>
  <c r="E4957" i="1"/>
  <c r="G4956" i="1"/>
  <c r="F4956" i="1"/>
  <c r="E4956" i="1"/>
  <c r="G4955" i="1"/>
  <c r="F4955" i="1"/>
  <c r="E4955" i="1"/>
  <c r="G4954" i="1"/>
  <c r="F4954" i="1"/>
  <c r="E4954" i="1"/>
  <c r="G4953" i="1"/>
  <c r="F4953" i="1"/>
  <c r="E4953" i="1"/>
  <c r="G4952" i="1"/>
  <c r="F4952" i="1"/>
  <c r="E4952" i="1"/>
  <c r="G4951" i="1"/>
  <c r="F4951" i="1"/>
  <c r="E4951" i="1"/>
  <c r="G4950" i="1"/>
  <c r="F4950" i="1"/>
  <c r="E4950" i="1"/>
  <c r="G4949" i="1"/>
  <c r="F4949" i="1"/>
  <c r="E4949" i="1"/>
  <c r="G4948" i="1"/>
  <c r="F4948" i="1"/>
  <c r="E4948" i="1"/>
  <c r="G4947" i="1"/>
  <c r="F4947" i="1"/>
  <c r="E4947" i="1"/>
  <c r="G4946" i="1"/>
  <c r="F4946" i="1"/>
  <c r="E4946" i="1"/>
  <c r="G4945" i="1"/>
  <c r="F4945" i="1"/>
  <c r="E4945" i="1"/>
  <c r="G4944" i="1"/>
  <c r="F4944" i="1"/>
  <c r="E4944" i="1"/>
  <c r="G4943" i="1"/>
  <c r="F4943" i="1"/>
  <c r="E4943" i="1"/>
  <c r="G4942" i="1"/>
  <c r="F4942" i="1"/>
  <c r="E4942" i="1"/>
  <c r="G4941" i="1"/>
  <c r="F4941" i="1"/>
  <c r="E4941" i="1"/>
  <c r="G4940" i="1"/>
  <c r="F4940" i="1"/>
  <c r="E4940" i="1"/>
  <c r="G4939" i="1"/>
  <c r="F4939" i="1"/>
  <c r="E4939" i="1"/>
  <c r="G4938" i="1"/>
  <c r="F4938" i="1"/>
  <c r="E4938" i="1"/>
  <c r="G4937" i="1"/>
  <c r="F4937" i="1"/>
  <c r="E4937" i="1"/>
  <c r="G4936" i="1"/>
  <c r="F4936" i="1"/>
  <c r="E4936" i="1"/>
  <c r="G4935" i="1"/>
  <c r="F4935" i="1"/>
  <c r="E4935" i="1"/>
  <c r="G4934" i="1"/>
  <c r="F4934" i="1"/>
  <c r="E4934" i="1"/>
  <c r="G4933" i="1"/>
  <c r="F4933" i="1"/>
  <c r="E4933" i="1"/>
  <c r="G4932" i="1"/>
  <c r="F4932" i="1"/>
  <c r="E4932" i="1"/>
  <c r="G4931" i="1"/>
  <c r="F4931" i="1"/>
  <c r="E4931" i="1"/>
  <c r="G4930" i="1"/>
  <c r="F4930" i="1"/>
  <c r="E4930" i="1"/>
  <c r="G4929" i="1"/>
  <c r="F4929" i="1"/>
  <c r="E4929" i="1"/>
  <c r="G4928" i="1"/>
  <c r="F4928" i="1"/>
  <c r="E4928" i="1"/>
  <c r="G4927" i="1"/>
  <c r="F4927" i="1"/>
  <c r="E4927" i="1"/>
  <c r="G4926" i="1"/>
  <c r="F4926" i="1"/>
  <c r="E4926" i="1"/>
  <c r="G4925" i="1"/>
  <c r="F4925" i="1"/>
  <c r="E4925" i="1"/>
  <c r="G4924" i="1"/>
  <c r="F4924" i="1"/>
  <c r="E4924" i="1"/>
  <c r="G4923" i="1"/>
  <c r="F4923" i="1"/>
  <c r="E4923" i="1"/>
  <c r="G4922" i="1"/>
  <c r="F4922" i="1"/>
  <c r="E4922" i="1"/>
  <c r="G4921" i="1"/>
  <c r="F4921" i="1"/>
  <c r="E4921" i="1"/>
  <c r="G4920" i="1"/>
  <c r="F4920" i="1"/>
  <c r="E4920" i="1"/>
  <c r="G4919" i="1"/>
  <c r="F4919" i="1"/>
  <c r="E4919" i="1"/>
  <c r="G4918" i="1"/>
  <c r="F4918" i="1"/>
  <c r="E4918" i="1"/>
  <c r="G4917" i="1"/>
  <c r="F4917" i="1"/>
  <c r="E4917" i="1"/>
  <c r="G4916" i="1"/>
  <c r="F4916" i="1"/>
  <c r="E4916" i="1"/>
  <c r="G4915" i="1"/>
  <c r="F4915" i="1"/>
  <c r="E4915" i="1"/>
  <c r="G4914" i="1"/>
  <c r="F4914" i="1"/>
  <c r="E4914" i="1"/>
  <c r="G4913" i="1"/>
  <c r="F4913" i="1"/>
  <c r="E4913" i="1"/>
  <c r="G4912" i="1"/>
  <c r="F4912" i="1"/>
  <c r="E4912" i="1"/>
  <c r="G4911" i="1"/>
  <c r="F4911" i="1"/>
  <c r="E4911" i="1"/>
  <c r="G4910" i="1"/>
  <c r="F4910" i="1"/>
  <c r="E4910" i="1"/>
  <c r="G4909" i="1"/>
  <c r="F4909" i="1"/>
  <c r="E4909" i="1"/>
  <c r="G4908" i="1"/>
  <c r="F4908" i="1"/>
  <c r="E4908" i="1"/>
  <c r="G4907" i="1"/>
  <c r="F4907" i="1"/>
  <c r="E4907" i="1"/>
  <c r="G4906" i="1"/>
  <c r="F4906" i="1"/>
  <c r="E4906" i="1"/>
  <c r="G4905" i="1"/>
  <c r="F4905" i="1"/>
  <c r="E4905" i="1"/>
  <c r="G4904" i="1"/>
  <c r="F4904" i="1"/>
  <c r="E4904" i="1"/>
  <c r="G4903" i="1"/>
  <c r="F4903" i="1"/>
  <c r="E4903" i="1"/>
  <c r="G4902" i="1"/>
  <c r="F4902" i="1"/>
  <c r="E4902" i="1"/>
  <c r="G4901" i="1"/>
  <c r="F4901" i="1"/>
  <c r="E4901" i="1"/>
  <c r="G4900" i="1"/>
  <c r="F4900" i="1"/>
  <c r="E4900" i="1"/>
  <c r="G4899" i="1"/>
  <c r="F4899" i="1"/>
  <c r="E4899" i="1"/>
  <c r="G4898" i="1"/>
  <c r="F4898" i="1"/>
  <c r="E4898" i="1"/>
  <c r="G4897" i="1"/>
  <c r="F4897" i="1"/>
  <c r="E4897" i="1"/>
  <c r="G4896" i="1"/>
  <c r="F4896" i="1"/>
  <c r="E4896" i="1"/>
  <c r="G4895" i="1"/>
  <c r="F4895" i="1"/>
  <c r="E4895" i="1"/>
  <c r="G4894" i="1"/>
  <c r="F4894" i="1"/>
  <c r="E4894" i="1"/>
  <c r="G4893" i="1"/>
  <c r="F4893" i="1"/>
  <c r="E4893" i="1"/>
  <c r="G4892" i="1"/>
  <c r="F4892" i="1"/>
  <c r="E4892" i="1"/>
  <c r="G4891" i="1"/>
  <c r="F4891" i="1"/>
  <c r="E4891" i="1"/>
  <c r="G4890" i="1"/>
  <c r="F4890" i="1"/>
  <c r="E4890" i="1"/>
  <c r="G4889" i="1"/>
  <c r="F4889" i="1"/>
  <c r="E4889" i="1"/>
  <c r="G4888" i="1"/>
  <c r="F4888" i="1"/>
  <c r="E4888" i="1"/>
  <c r="G4887" i="1"/>
  <c r="F4887" i="1"/>
  <c r="E4887" i="1"/>
  <c r="G4886" i="1"/>
  <c r="F4886" i="1"/>
  <c r="E4886" i="1"/>
  <c r="G4885" i="1"/>
  <c r="F4885" i="1"/>
  <c r="E4885" i="1"/>
  <c r="G4884" i="1"/>
  <c r="F4884" i="1"/>
  <c r="E4884" i="1"/>
  <c r="G4883" i="1"/>
  <c r="F4883" i="1"/>
  <c r="E4883" i="1"/>
  <c r="G4882" i="1"/>
  <c r="F4882" i="1"/>
  <c r="E4882" i="1"/>
  <c r="G4881" i="1"/>
  <c r="F4881" i="1"/>
  <c r="E4881" i="1"/>
  <c r="G4880" i="1"/>
  <c r="F4880" i="1"/>
  <c r="E4880" i="1"/>
  <c r="G4879" i="1"/>
  <c r="F4879" i="1"/>
  <c r="E4879" i="1"/>
  <c r="G4878" i="1"/>
  <c r="F4878" i="1"/>
  <c r="E4878" i="1"/>
  <c r="G4877" i="1"/>
  <c r="F4877" i="1"/>
  <c r="E4877" i="1"/>
  <c r="G4876" i="1"/>
  <c r="F4876" i="1"/>
  <c r="E4876" i="1"/>
  <c r="G4875" i="1"/>
  <c r="F4875" i="1"/>
  <c r="E4875" i="1"/>
  <c r="G4874" i="1"/>
  <c r="F4874" i="1"/>
  <c r="E4874" i="1"/>
  <c r="G4873" i="1"/>
  <c r="F4873" i="1"/>
  <c r="E4873" i="1"/>
  <c r="G4872" i="1"/>
  <c r="F4872" i="1"/>
  <c r="E4872" i="1"/>
  <c r="G4871" i="1"/>
  <c r="F4871" i="1"/>
  <c r="E4871" i="1"/>
  <c r="G4870" i="1"/>
  <c r="F4870" i="1"/>
  <c r="E4870" i="1"/>
  <c r="G4869" i="1"/>
  <c r="F4869" i="1"/>
  <c r="E4869" i="1"/>
  <c r="G4868" i="1"/>
  <c r="F4868" i="1"/>
  <c r="E4868" i="1"/>
  <c r="G4867" i="1"/>
  <c r="F4867" i="1"/>
  <c r="E4867" i="1"/>
  <c r="G4866" i="1"/>
  <c r="F4866" i="1"/>
  <c r="E4866" i="1"/>
  <c r="G4865" i="1"/>
  <c r="F4865" i="1"/>
  <c r="E4865" i="1"/>
  <c r="G4864" i="1"/>
  <c r="F4864" i="1"/>
  <c r="E4864" i="1"/>
  <c r="G4863" i="1"/>
  <c r="F4863" i="1"/>
  <c r="E4863" i="1"/>
  <c r="G4862" i="1"/>
  <c r="F4862" i="1"/>
  <c r="E4862" i="1"/>
  <c r="G4861" i="1"/>
  <c r="F4861" i="1"/>
  <c r="E4861" i="1"/>
  <c r="G4860" i="1"/>
  <c r="F4860" i="1"/>
  <c r="E4860" i="1"/>
  <c r="G4859" i="1"/>
  <c r="F4859" i="1"/>
  <c r="E4859" i="1"/>
  <c r="G4858" i="1"/>
  <c r="F4858" i="1"/>
  <c r="E4858" i="1"/>
  <c r="G4857" i="1"/>
  <c r="F4857" i="1"/>
  <c r="E4857" i="1"/>
  <c r="G4856" i="1"/>
  <c r="F4856" i="1"/>
  <c r="E4856" i="1"/>
  <c r="G4855" i="1"/>
  <c r="F4855" i="1"/>
  <c r="E4855" i="1"/>
  <c r="G4854" i="1"/>
  <c r="F4854" i="1"/>
  <c r="E4854" i="1"/>
  <c r="G4853" i="1"/>
  <c r="F4853" i="1"/>
  <c r="E4853" i="1"/>
  <c r="G4852" i="1"/>
  <c r="F4852" i="1"/>
  <c r="E4852" i="1"/>
  <c r="G4851" i="1"/>
  <c r="F4851" i="1"/>
  <c r="E4851" i="1"/>
  <c r="G4850" i="1"/>
  <c r="F4850" i="1"/>
  <c r="E4850" i="1"/>
  <c r="G4849" i="1"/>
  <c r="F4849" i="1"/>
  <c r="E4849" i="1"/>
  <c r="G4848" i="1"/>
  <c r="F4848" i="1"/>
  <c r="E4848" i="1"/>
  <c r="G4847" i="1"/>
  <c r="F4847" i="1"/>
  <c r="E4847" i="1"/>
  <c r="G4846" i="1"/>
  <c r="F4846" i="1"/>
  <c r="E4846" i="1"/>
  <c r="G4845" i="1"/>
  <c r="F4845" i="1"/>
  <c r="E4845" i="1"/>
  <c r="G4844" i="1"/>
  <c r="F4844" i="1"/>
  <c r="E4844" i="1"/>
  <c r="G4843" i="1"/>
  <c r="F4843" i="1"/>
  <c r="E4843" i="1"/>
  <c r="G4842" i="1"/>
  <c r="F4842" i="1"/>
  <c r="E4842" i="1"/>
  <c r="G4841" i="1"/>
  <c r="F4841" i="1"/>
  <c r="E4841" i="1"/>
  <c r="G4840" i="1"/>
  <c r="F4840" i="1"/>
  <c r="E4840" i="1"/>
  <c r="G4839" i="1"/>
  <c r="F4839" i="1"/>
  <c r="E4839" i="1"/>
  <c r="G4838" i="1"/>
  <c r="F4838" i="1"/>
  <c r="E4838" i="1"/>
  <c r="G4837" i="1"/>
  <c r="F4837" i="1"/>
  <c r="E4837" i="1"/>
  <c r="G4836" i="1"/>
  <c r="F4836" i="1"/>
  <c r="E4836" i="1"/>
  <c r="G4835" i="1"/>
  <c r="F4835" i="1"/>
  <c r="E4835" i="1"/>
  <c r="G4834" i="1"/>
  <c r="F4834" i="1"/>
  <c r="E4834" i="1"/>
  <c r="G4833" i="1"/>
  <c r="F4833" i="1"/>
  <c r="E4833" i="1"/>
  <c r="G4832" i="1"/>
  <c r="F4832" i="1"/>
  <c r="E4832" i="1"/>
  <c r="G4831" i="1"/>
  <c r="F4831" i="1"/>
  <c r="E4831" i="1"/>
  <c r="G4830" i="1"/>
  <c r="F4830" i="1"/>
  <c r="E4830" i="1"/>
  <c r="G4829" i="1"/>
  <c r="F4829" i="1"/>
  <c r="E4829" i="1"/>
  <c r="G4828" i="1"/>
  <c r="F4828" i="1"/>
  <c r="E4828" i="1"/>
  <c r="G4827" i="1"/>
  <c r="F4827" i="1"/>
  <c r="E4827" i="1"/>
  <c r="G4826" i="1"/>
  <c r="F4826" i="1"/>
  <c r="E4826" i="1"/>
  <c r="G4825" i="1"/>
  <c r="F4825" i="1"/>
  <c r="E4825" i="1"/>
  <c r="G4824" i="1"/>
  <c r="F4824" i="1"/>
  <c r="E4824" i="1"/>
  <c r="G4823" i="1"/>
  <c r="F4823" i="1"/>
  <c r="E4823" i="1"/>
  <c r="G4822" i="1"/>
  <c r="F4822" i="1"/>
  <c r="E4822" i="1"/>
  <c r="G4821" i="1"/>
  <c r="F4821" i="1"/>
  <c r="E4821" i="1"/>
  <c r="G4820" i="1"/>
  <c r="F4820" i="1"/>
  <c r="E4820" i="1"/>
  <c r="G4819" i="1"/>
  <c r="F4819" i="1"/>
  <c r="E4819" i="1"/>
  <c r="G4818" i="1"/>
  <c r="F4818" i="1"/>
  <c r="E4818" i="1"/>
  <c r="G4817" i="1"/>
  <c r="F4817" i="1"/>
  <c r="E4817" i="1"/>
  <c r="G4816" i="1"/>
  <c r="F4816" i="1"/>
  <c r="E4816" i="1"/>
  <c r="G4815" i="1"/>
  <c r="F4815" i="1"/>
  <c r="E4815" i="1"/>
  <c r="G4814" i="1"/>
  <c r="F4814" i="1"/>
  <c r="E4814" i="1"/>
  <c r="G4813" i="1"/>
  <c r="F4813" i="1"/>
  <c r="E4813" i="1"/>
  <c r="G4812" i="1"/>
  <c r="F4812" i="1"/>
  <c r="E4812" i="1"/>
  <c r="G4811" i="1"/>
  <c r="F4811" i="1"/>
  <c r="E4811" i="1"/>
  <c r="G4810" i="1"/>
  <c r="F4810" i="1"/>
  <c r="E4810" i="1"/>
  <c r="G4809" i="1"/>
  <c r="F4809" i="1"/>
  <c r="E4809" i="1"/>
  <c r="G4808" i="1"/>
  <c r="F4808" i="1"/>
  <c r="E4808" i="1"/>
  <c r="G4807" i="1"/>
  <c r="F4807" i="1"/>
  <c r="E4807" i="1"/>
  <c r="G4806" i="1"/>
  <c r="F4806" i="1"/>
  <c r="E4806" i="1"/>
  <c r="G4805" i="1"/>
  <c r="F4805" i="1"/>
  <c r="E4805" i="1"/>
  <c r="G4804" i="1"/>
  <c r="F4804" i="1"/>
  <c r="E4804" i="1"/>
  <c r="G4803" i="1"/>
  <c r="F4803" i="1"/>
  <c r="E4803" i="1"/>
  <c r="G4802" i="1"/>
  <c r="F4802" i="1"/>
  <c r="E4802" i="1"/>
  <c r="G4801" i="1"/>
  <c r="F4801" i="1"/>
  <c r="E4801" i="1"/>
  <c r="G4800" i="1"/>
  <c r="F4800" i="1"/>
  <c r="E4800" i="1"/>
  <c r="G4799" i="1"/>
  <c r="F4799" i="1"/>
  <c r="E4799" i="1"/>
  <c r="G4798" i="1"/>
  <c r="F4798" i="1"/>
  <c r="E4798" i="1"/>
  <c r="G4797" i="1"/>
  <c r="F4797" i="1"/>
  <c r="E4797" i="1"/>
  <c r="G4796" i="1"/>
  <c r="F4796" i="1"/>
  <c r="E4796" i="1"/>
  <c r="G4795" i="1"/>
  <c r="F4795" i="1"/>
  <c r="E4795" i="1"/>
  <c r="G4794" i="1"/>
  <c r="F4794" i="1"/>
  <c r="E4794" i="1"/>
  <c r="G4793" i="1"/>
  <c r="F4793" i="1"/>
  <c r="E4793" i="1"/>
  <c r="G4792" i="1"/>
  <c r="F4792" i="1"/>
  <c r="E4792" i="1"/>
  <c r="G4791" i="1"/>
  <c r="F4791" i="1"/>
  <c r="E4791" i="1"/>
  <c r="G4790" i="1"/>
  <c r="F4790" i="1"/>
  <c r="E4790" i="1"/>
  <c r="G4789" i="1"/>
  <c r="F4789" i="1"/>
  <c r="E4789" i="1"/>
  <c r="G4788" i="1"/>
  <c r="F4788" i="1"/>
  <c r="E4788" i="1"/>
  <c r="G4787" i="1"/>
  <c r="F4787" i="1"/>
  <c r="E4787" i="1"/>
  <c r="G4786" i="1"/>
  <c r="F4786" i="1"/>
  <c r="E4786" i="1"/>
  <c r="G4785" i="1"/>
  <c r="F4785" i="1"/>
  <c r="E4785" i="1"/>
  <c r="G4784" i="1"/>
  <c r="F4784" i="1"/>
  <c r="E4784" i="1"/>
  <c r="G4783" i="1"/>
  <c r="F4783" i="1"/>
  <c r="E4783" i="1"/>
  <c r="G4782" i="1"/>
  <c r="F4782" i="1"/>
  <c r="E4782" i="1"/>
  <c r="G4781" i="1"/>
  <c r="F4781" i="1"/>
  <c r="E4781" i="1"/>
  <c r="G4780" i="1"/>
  <c r="F4780" i="1"/>
  <c r="E4780" i="1"/>
  <c r="G4779" i="1"/>
  <c r="F4779" i="1"/>
  <c r="E4779" i="1"/>
  <c r="G4778" i="1"/>
  <c r="F4778" i="1"/>
  <c r="E4778" i="1"/>
  <c r="G4777" i="1"/>
  <c r="F4777" i="1"/>
  <c r="E4777" i="1"/>
  <c r="G4776" i="1"/>
  <c r="F4776" i="1"/>
  <c r="E4776" i="1"/>
  <c r="G4775" i="1"/>
  <c r="F4775" i="1"/>
  <c r="E4775" i="1"/>
  <c r="G4774" i="1"/>
  <c r="F4774" i="1"/>
  <c r="E4774" i="1"/>
  <c r="G4773" i="1"/>
  <c r="F4773" i="1"/>
  <c r="E4773" i="1"/>
  <c r="G4772" i="1"/>
  <c r="F4772" i="1"/>
  <c r="E4772" i="1"/>
  <c r="G4771" i="1"/>
  <c r="F4771" i="1"/>
  <c r="E4771" i="1"/>
  <c r="G4770" i="1"/>
  <c r="F4770" i="1"/>
  <c r="E4770" i="1"/>
  <c r="G4769" i="1"/>
  <c r="F4769" i="1"/>
  <c r="E4769" i="1"/>
  <c r="G4768" i="1"/>
  <c r="F4768" i="1"/>
  <c r="E4768" i="1"/>
  <c r="G4767" i="1"/>
  <c r="F4767" i="1"/>
  <c r="E4767" i="1"/>
  <c r="G4766" i="1"/>
  <c r="F4766" i="1"/>
  <c r="E4766" i="1"/>
  <c r="G4765" i="1"/>
  <c r="F4765" i="1"/>
  <c r="E4765" i="1"/>
  <c r="G4764" i="1"/>
  <c r="F4764" i="1"/>
  <c r="E4764" i="1"/>
  <c r="G4763" i="1"/>
  <c r="F4763" i="1"/>
  <c r="E4763" i="1"/>
  <c r="G4762" i="1"/>
  <c r="F4762" i="1"/>
  <c r="E4762" i="1"/>
  <c r="G4761" i="1"/>
  <c r="F4761" i="1"/>
  <c r="E4761" i="1"/>
  <c r="G4760" i="1"/>
  <c r="F4760" i="1"/>
  <c r="E4760" i="1"/>
  <c r="G4759" i="1"/>
  <c r="F4759" i="1"/>
  <c r="E4759" i="1"/>
  <c r="G4758" i="1"/>
  <c r="F4758" i="1"/>
  <c r="E4758" i="1"/>
  <c r="G4757" i="1"/>
  <c r="F4757" i="1"/>
  <c r="E4757" i="1"/>
  <c r="G4756" i="1"/>
  <c r="F4756" i="1"/>
  <c r="E4756" i="1"/>
  <c r="G4755" i="1"/>
  <c r="F4755" i="1"/>
  <c r="E4755" i="1"/>
  <c r="G4754" i="1"/>
  <c r="F4754" i="1"/>
  <c r="E4754" i="1"/>
  <c r="G4753" i="1"/>
  <c r="F4753" i="1"/>
  <c r="E4753" i="1"/>
  <c r="G4752" i="1"/>
  <c r="F4752" i="1"/>
  <c r="E4752" i="1"/>
  <c r="G4751" i="1"/>
  <c r="F4751" i="1"/>
  <c r="E4751" i="1"/>
  <c r="G4750" i="1"/>
  <c r="F4750" i="1"/>
  <c r="E4750" i="1"/>
  <c r="G4749" i="1"/>
  <c r="F4749" i="1"/>
  <c r="E4749" i="1"/>
  <c r="G4748" i="1"/>
  <c r="F4748" i="1"/>
  <c r="E4748" i="1"/>
  <c r="G4747" i="1"/>
  <c r="F4747" i="1"/>
  <c r="E4747" i="1"/>
  <c r="G4746" i="1"/>
  <c r="F4746" i="1"/>
  <c r="E4746" i="1"/>
  <c r="G4745" i="1"/>
  <c r="F4745" i="1"/>
  <c r="E4745" i="1"/>
  <c r="G4744" i="1"/>
  <c r="F4744" i="1"/>
  <c r="E4744" i="1"/>
  <c r="G4743" i="1"/>
  <c r="F4743" i="1"/>
  <c r="E4743" i="1"/>
  <c r="G4742" i="1"/>
  <c r="F4742" i="1"/>
  <c r="E4742" i="1"/>
  <c r="G4741" i="1"/>
  <c r="F4741" i="1"/>
  <c r="E4741" i="1"/>
  <c r="G4740" i="1"/>
  <c r="F4740" i="1"/>
  <c r="E4740" i="1"/>
  <c r="G4739" i="1"/>
  <c r="F4739" i="1"/>
  <c r="E4739" i="1"/>
  <c r="G4738" i="1"/>
  <c r="F4738" i="1"/>
  <c r="E4738" i="1"/>
  <c r="G4737" i="1"/>
  <c r="F4737" i="1"/>
  <c r="E4737" i="1"/>
  <c r="G4736" i="1"/>
  <c r="F4736" i="1"/>
  <c r="E4736" i="1"/>
  <c r="G4735" i="1"/>
  <c r="F4735" i="1"/>
  <c r="E4735" i="1"/>
  <c r="G4734" i="1"/>
  <c r="F4734" i="1"/>
  <c r="E4734" i="1"/>
  <c r="G4733" i="1"/>
  <c r="F4733" i="1"/>
  <c r="E4733" i="1"/>
  <c r="G4732" i="1"/>
  <c r="F4732" i="1"/>
  <c r="E4732" i="1"/>
  <c r="G4731" i="1"/>
  <c r="F4731" i="1"/>
  <c r="E4731" i="1"/>
  <c r="G4730" i="1"/>
  <c r="F4730" i="1"/>
  <c r="E4730" i="1"/>
  <c r="G4729" i="1"/>
  <c r="F4729" i="1"/>
  <c r="E4729" i="1"/>
  <c r="G4728" i="1"/>
  <c r="F4728" i="1"/>
  <c r="E4728" i="1"/>
  <c r="G4727" i="1"/>
  <c r="F4727" i="1"/>
  <c r="E4727" i="1"/>
  <c r="G4726" i="1"/>
  <c r="F4726" i="1"/>
  <c r="E4726" i="1"/>
  <c r="G4725" i="1"/>
  <c r="F4725" i="1"/>
  <c r="E4725" i="1"/>
  <c r="G4724" i="1"/>
  <c r="F4724" i="1"/>
  <c r="E4724" i="1"/>
  <c r="G4723" i="1"/>
  <c r="F4723" i="1"/>
  <c r="E4723" i="1"/>
  <c r="G4722" i="1"/>
  <c r="F4722" i="1"/>
  <c r="E4722" i="1"/>
  <c r="G4721" i="1"/>
  <c r="F4721" i="1"/>
  <c r="E4721" i="1"/>
  <c r="G4720" i="1"/>
  <c r="F4720" i="1"/>
  <c r="E4720" i="1"/>
  <c r="G4719" i="1"/>
  <c r="F4719" i="1"/>
  <c r="E4719" i="1"/>
  <c r="G4718" i="1"/>
  <c r="F4718" i="1"/>
  <c r="E4718" i="1"/>
  <c r="G4717" i="1"/>
  <c r="F4717" i="1"/>
  <c r="E4717" i="1"/>
  <c r="G4716" i="1"/>
  <c r="F4716" i="1"/>
  <c r="E4716" i="1"/>
  <c r="G4715" i="1"/>
  <c r="F4715" i="1"/>
  <c r="E4715" i="1"/>
  <c r="G4714" i="1"/>
  <c r="F4714" i="1"/>
  <c r="E4714" i="1"/>
  <c r="G4713" i="1"/>
  <c r="F4713" i="1"/>
  <c r="E4713" i="1"/>
  <c r="G4712" i="1"/>
  <c r="F4712" i="1"/>
  <c r="E4712" i="1"/>
  <c r="G4711" i="1"/>
  <c r="F4711" i="1"/>
  <c r="E4711" i="1"/>
  <c r="G4710" i="1"/>
  <c r="F4710" i="1"/>
  <c r="E4710" i="1"/>
  <c r="G4709" i="1"/>
  <c r="F4709" i="1"/>
  <c r="E4709" i="1"/>
  <c r="G4708" i="1"/>
  <c r="F4708" i="1"/>
  <c r="E4708" i="1"/>
  <c r="G4707" i="1"/>
  <c r="F4707" i="1"/>
  <c r="E4707" i="1"/>
  <c r="G4706" i="1"/>
  <c r="F4706" i="1"/>
  <c r="E4706" i="1"/>
  <c r="G4705" i="1"/>
  <c r="F4705" i="1"/>
  <c r="E4705" i="1"/>
  <c r="G4704" i="1"/>
  <c r="F4704" i="1"/>
  <c r="E4704" i="1"/>
  <c r="G4703" i="1"/>
  <c r="F4703" i="1"/>
  <c r="E4703" i="1"/>
  <c r="G4702" i="1"/>
  <c r="F4702" i="1"/>
  <c r="E4702" i="1"/>
  <c r="G4701" i="1"/>
  <c r="F4701" i="1"/>
  <c r="E4701" i="1"/>
  <c r="G4700" i="1"/>
  <c r="F4700" i="1"/>
  <c r="E4700" i="1"/>
  <c r="G4699" i="1"/>
  <c r="F4699" i="1"/>
  <c r="E4699" i="1"/>
  <c r="G4698" i="1"/>
  <c r="F4698" i="1"/>
  <c r="E4698" i="1"/>
  <c r="G4697" i="1"/>
  <c r="F4697" i="1"/>
  <c r="E4697" i="1"/>
  <c r="G4696" i="1"/>
  <c r="F4696" i="1"/>
  <c r="E4696" i="1"/>
  <c r="G4695" i="1"/>
  <c r="F4695" i="1"/>
  <c r="E4695" i="1"/>
  <c r="G4694" i="1"/>
  <c r="F4694" i="1"/>
  <c r="E4694" i="1"/>
  <c r="G4693" i="1"/>
  <c r="F4693" i="1"/>
  <c r="E4693" i="1"/>
  <c r="G4692" i="1"/>
  <c r="F4692" i="1"/>
  <c r="E4692" i="1"/>
  <c r="G4691" i="1"/>
  <c r="F4691" i="1"/>
  <c r="E4691" i="1"/>
  <c r="G4690" i="1"/>
  <c r="F4690" i="1"/>
  <c r="E4690" i="1"/>
  <c r="G4689" i="1"/>
  <c r="F4689" i="1"/>
  <c r="E4689" i="1"/>
  <c r="G4688" i="1"/>
  <c r="F4688" i="1"/>
  <c r="E4688" i="1"/>
  <c r="G4687" i="1"/>
  <c r="F4687" i="1"/>
  <c r="E4687" i="1"/>
  <c r="G4686" i="1"/>
  <c r="F4686" i="1"/>
  <c r="E4686" i="1"/>
  <c r="G4685" i="1"/>
  <c r="F4685" i="1"/>
  <c r="E4685" i="1"/>
  <c r="G4684" i="1"/>
  <c r="F4684" i="1"/>
  <c r="E4684" i="1"/>
  <c r="G4683" i="1"/>
  <c r="F4683" i="1"/>
  <c r="E4683" i="1"/>
  <c r="G4682" i="1"/>
  <c r="F4682" i="1"/>
  <c r="E4682" i="1"/>
  <c r="G4681" i="1"/>
  <c r="F4681" i="1"/>
  <c r="E4681" i="1"/>
  <c r="G4680" i="1"/>
  <c r="F4680" i="1"/>
  <c r="E4680" i="1"/>
  <c r="G4679" i="1"/>
  <c r="F4679" i="1"/>
  <c r="E4679" i="1"/>
  <c r="G4678" i="1"/>
  <c r="F4678" i="1"/>
  <c r="E4678" i="1"/>
  <c r="G4677" i="1"/>
  <c r="F4677" i="1"/>
  <c r="E4677" i="1"/>
  <c r="G4676" i="1"/>
  <c r="F4676" i="1"/>
  <c r="E4676" i="1"/>
  <c r="G4675" i="1"/>
  <c r="F4675" i="1"/>
  <c r="E4675" i="1"/>
  <c r="G4674" i="1"/>
  <c r="F4674" i="1"/>
  <c r="E4674" i="1"/>
  <c r="G4673" i="1"/>
  <c r="F4673" i="1"/>
  <c r="E4673" i="1"/>
  <c r="G4672" i="1"/>
  <c r="F4672" i="1"/>
  <c r="E4672" i="1"/>
  <c r="G4671" i="1"/>
  <c r="F4671" i="1"/>
  <c r="E4671" i="1"/>
  <c r="G4670" i="1"/>
  <c r="F4670" i="1"/>
  <c r="E4670" i="1"/>
  <c r="G4669" i="1"/>
  <c r="F4669" i="1"/>
  <c r="E4669" i="1"/>
  <c r="G4668" i="1"/>
  <c r="F4668" i="1"/>
  <c r="E4668" i="1"/>
  <c r="G4667" i="1"/>
  <c r="F4667" i="1"/>
  <c r="E4667" i="1"/>
  <c r="G4666" i="1"/>
  <c r="F4666" i="1"/>
  <c r="E4666" i="1"/>
  <c r="G4665" i="1"/>
  <c r="F4665" i="1"/>
  <c r="E4665" i="1"/>
  <c r="G4664" i="1"/>
  <c r="F4664" i="1"/>
  <c r="E4664" i="1"/>
  <c r="G4663" i="1"/>
  <c r="F4663" i="1"/>
  <c r="E4663" i="1"/>
  <c r="G4662" i="1"/>
  <c r="F4662" i="1"/>
  <c r="E4662" i="1"/>
  <c r="G4661" i="1"/>
  <c r="F4661" i="1"/>
  <c r="E4661" i="1"/>
  <c r="G4660" i="1"/>
  <c r="F4660" i="1"/>
  <c r="E4660" i="1"/>
  <c r="G4659" i="1"/>
  <c r="F4659" i="1"/>
  <c r="E4659" i="1"/>
  <c r="G4658" i="1"/>
  <c r="F4658" i="1"/>
  <c r="E4658" i="1"/>
  <c r="G4657" i="1"/>
  <c r="F4657" i="1"/>
  <c r="E4657" i="1"/>
  <c r="G4656" i="1"/>
  <c r="F4656" i="1"/>
  <c r="E4656" i="1"/>
  <c r="G4655" i="1"/>
  <c r="F4655" i="1"/>
  <c r="E4655" i="1"/>
  <c r="G4654" i="1"/>
  <c r="F4654" i="1"/>
  <c r="E4654" i="1"/>
  <c r="G4653" i="1"/>
  <c r="F4653" i="1"/>
  <c r="E4653" i="1"/>
  <c r="G4652" i="1"/>
  <c r="F4652" i="1"/>
  <c r="E4652" i="1"/>
  <c r="G4651" i="1"/>
  <c r="F4651" i="1"/>
  <c r="E4651" i="1"/>
  <c r="G4650" i="1"/>
  <c r="F4650" i="1"/>
  <c r="E4650" i="1"/>
  <c r="G4649" i="1"/>
  <c r="F4649" i="1"/>
  <c r="E4649" i="1"/>
  <c r="G4648" i="1"/>
  <c r="F4648" i="1"/>
  <c r="E4648" i="1"/>
  <c r="G4647" i="1"/>
  <c r="F4647" i="1"/>
  <c r="E4647" i="1"/>
  <c r="G4646" i="1"/>
  <c r="F4646" i="1"/>
  <c r="E4646" i="1"/>
  <c r="G4645" i="1"/>
  <c r="F4645" i="1"/>
  <c r="E4645" i="1"/>
  <c r="G4644" i="1"/>
  <c r="F4644" i="1"/>
  <c r="E4644" i="1"/>
  <c r="G4643" i="1"/>
  <c r="F4643" i="1"/>
  <c r="E4643" i="1"/>
  <c r="G4642" i="1"/>
  <c r="F4642" i="1"/>
  <c r="E4642" i="1"/>
  <c r="G4641" i="1"/>
  <c r="F4641" i="1"/>
  <c r="E4641" i="1"/>
  <c r="G4640" i="1"/>
  <c r="F4640" i="1"/>
  <c r="E4640" i="1"/>
  <c r="G4639" i="1"/>
  <c r="F4639" i="1"/>
  <c r="E4639" i="1"/>
  <c r="G4638" i="1"/>
  <c r="F4638" i="1"/>
  <c r="E4638" i="1"/>
  <c r="G4637" i="1"/>
  <c r="F4637" i="1"/>
  <c r="E4637" i="1"/>
  <c r="G4636" i="1"/>
  <c r="F4636" i="1"/>
  <c r="E4636" i="1"/>
  <c r="G4635" i="1"/>
  <c r="F4635" i="1"/>
  <c r="E4635" i="1"/>
  <c r="G4634" i="1"/>
  <c r="F4634" i="1"/>
  <c r="E4634" i="1"/>
  <c r="G4633" i="1"/>
  <c r="F4633" i="1"/>
  <c r="E4633" i="1"/>
  <c r="G4632" i="1"/>
  <c r="F4632" i="1"/>
  <c r="E4632" i="1"/>
  <c r="G4631" i="1"/>
  <c r="F4631" i="1"/>
  <c r="E4631" i="1"/>
  <c r="G4630" i="1"/>
  <c r="F4630" i="1"/>
  <c r="E4630" i="1"/>
  <c r="G4629" i="1"/>
  <c r="F4629" i="1"/>
  <c r="E4629" i="1"/>
  <c r="G4628" i="1"/>
  <c r="F4628" i="1"/>
  <c r="E4628" i="1"/>
  <c r="G4627" i="1"/>
  <c r="F4627" i="1"/>
  <c r="E4627" i="1"/>
  <c r="G4626" i="1"/>
  <c r="F4626" i="1"/>
  <c r="E4626" i="1"/>
  <c r="G4625" i="1"/>
  <c r="F4625" i="1"/>
  <c r="E4625" i="1"/>
  <c r="G4624" i="1"/>
  <c r="F4624" i="1"/>
  <c r="E4624" i="1"/>
  <c r="G4623" i="1"/>
  <c r="F4623" i="1"/>
  <c r="E4623" i="1"/>
  <c r="G4622" i="1"/>
  <c r="F4622" i="1"/>
  <c r="E4622" i="1"/>
  <c r="G4621" i="1"/>
  <c r="F4621" i="1"/>
  <c r="E4621" i="1"/>
  <c r="G4620" i="1"/>
  <c r="F4620" i="1"/>
  <c r="E4620" i="1"/>
  <c r="G4619" i="1"/>
  <c r="F4619" i="1"/>
  <c r="E4619" i="1"/>
  <c r="G4618" i="1"/>
  <c r="F4618" i="1"/>
  <c r="E4618" i="1"/>
  <c r="G4617" i="1"/>
  <c r="F4617" i="1"/>
  <c r="E4617" i="1"/>
  <c r="G4616" i="1"/>
  <c r="F4616" i="1"/>
  <c r="E4616" i="1"/>
  <c r="G4615" i="1"/>
  <c r="F4615" i="1"/>
  <c r="E4615" i="1"/>
  <c r="G4614" i="1"/>
  <c r="F4614" i="1"/>
  <c r="E4614" i="1"/>
  <c r="G4613" i="1"/>
  <c r="F4613" i="1"/>
  <c r="E4613" i="1"/>
  <c r="G4612" i="1"/>
  <c r="F4612" i="1"/>
  <c r="E4612" i="1"/>
  <c r="G4611" i="1"/>
  <c r="F4611" i="1"/>
  <c r="E4611" i="1"/>
  <c r="G4610" i="1"/>
  <c r="F4610" i="1"/>
  <c r="E4610" i="1"/>
  <c r="G4609" i="1"/>
  <c r="F4609" i="1"/>
  <c r="E4609" i="1"/>
  <c r="G4608" i="1"/>
  <c r="F4608" i="1"/>
  <c r="E4608" i="1"/>
  <c r="G4607" i="1"/>
  <c r="F4607" i="1"/>
  <c r="E4607" i="1"/>
  <c r="G4606" i="1"/>
  <c r="F4606" i="1"/>
  <c r="E4606" i="1"/>
  <c r="G4605" i="1"/>
  <c r="F4605" i="1"/>
  <c r="E4605" i="1"/>
  <c r="G4604" i="1"/>
  <c r="F4604" i="1"/>
  <c r="E4604" i="1"/>
  <c r="G4603" i="1"/>
  <c r="F4603" i="1"/>
  <c r="E4603" i="1"/>
  <c r="G4602" i="1"/>
  <c r="F4602" i="1"/>
  <c r="E4602" i="1"/>
  <c r="G4601" i="1"/>
  <c r="F4601" i="1"/>
  <c r="E4601" i="1"/>
  <c r="G4600" i="1"/>
  <c r="F4600" i="1"/>
  <c r="E4600" i="1"/>
  <c r="G4599" i="1"/>
  <c r="F4599" i="1"/>
  <c r="E4599" i="1"/>
  <c r="G4598" i="1"/>
  <c r="F4598" i="1"/>
  <c r="E4598" i="1"/>
  <c r="G4597" i="1"/>
  <c r="F4597" i="1"/>
  <c r="E4597" i="1"/>
  <c r="G4596" i="1"/>
  <c r="F4596" i="1"/>
  <c r="E4596" i="1"/>
  <c r="G4595" i="1"/>
  <c r="F4595" i="1"/>
  <c r="E4595" i="1"/>
  <c r="G4594" i="1"/>
  <c r="F4594" i="1"/>
  <c r="E4594" i="1"/>
  <c r="G4593" i="1"/>
  <c r="F4593" i="1"/>
  <c r="E4593" i="1"/>
  <c r="G4592" i="1"/>
  <c r="F4592" i="1"/>
  <c r="E4592" i="1"/>
  <c r="G4591" i="1"/>
  <c r="F4591" i="1"/>
  <c r="E4591" i="1"/>
  <c r="G4590" i="1"/>
  <c r="F4590" i="1"/>
  <c r="E4590" i="1"/>
  <c r="G4589" i="1"/>
  <c r="F4589" i="1"/>
  <c r="E4589" i="1"/>
  <c r="G4588" i="1"/>
  <c r="F4588" i="1"/>
  <c r="E4588" i="1"/>
  <c r="G4587" i="1"/>
  <c r="F4587" i="1"/>
  <c r="E4587" i="1"/>
  <c r="G4586" i="1"/>
  <c r="F4586" i="1"/>
  <c r="E4586" i="1"/>
  <c r="G4585" i="1"/>
  <c r="F4585" i="1"/>
  <c r="E4585" i="1"/>
  <c r="G4584" i="1"/>
  <c r="F4584" i="1"/>
  <c r="E4584" i="1"/>
  <c r="G4583" i="1"/>
  <c r="F4583" i="1"/>
  <c r="E4583" i="1"/>
  <c r="G4582" i="1"/>
  <c r="F4582" i="1"/>
  <c r="E4582" i="1"/>
  <c r="G4581" i="1"/>
  <c r="F4581" i="1"/>
  <c r="E4581" i="1"/>
  <c r="G4580" i="1"/>
  <c r="F4580" i="1"/>
  <c r="E4580" i="1"/>
  <c r="G4579" i="1"/>
  <c r="F4579" i="1"/>
  <c r="E4579" i="1"/>
  <c r="G4578" i="1"/>
  <c r="F4578" i="1"/>
  <c r="E4578" i="1"/>
  <c r="G4577" i="1"/>
  <c r="F4577" i="1"/>
  <c r="E4577" i="1"/>
  <c r="G4576" i="1"/>
  <c r="F4576" i="1"/>
  <c r="E4576" i="1"/>
  <c r="G4575" i="1"/>
  <c r="F4575" i="1"/>
  <c r="E4575" i="1"/>
  <c r="G4574" i="1"/>
  <c r="F4574" i="1"/>
  <c r="E4574" i="1"/>
  <c r="G4573" i="1"/>
  <c r="F4573" i="1"/>
  <c r="E4573" i="1"/>
  <c r="G4572" i="1"/>
  <c r="F4572" i="1"/>
  <c r="E4572" i="1"/>
  <c r="G4571" i="1"/>
  <c r="F4571" i="1"/>
  <c r="E4571" i="1"/>
  <c r="G4570" i="1"/>
  <c r="F4570" i="1"/>
  <c r="E4570" i="1"/>
  <c r="G4569" i="1"/>
  <c r="F4569" i="1"/>
  <c r="E4569" i="1"/>
  <c r="G4568" i="1"/>
  <c r="F4568" i="1"/>
  <c r="E4568" i="1"/>
  <c r="G4567" i="1"/>
  <c r="F4567" i="1"/>
  <c r="E4567" i="1"/>
  <c r="G4566" i="1"/>
  <c r="F4566" i="1"/>
  <c r="E4566" i="1"/>
  <c r="G4565" i="1"/>
  <c r="F4565" i="1"/>
  <c r="E4565" i="1"/>
  <c r="G4564" i="1"/>
  <c r="F4564" i="1"/>
  <c r="E4564" i="1"/>
  <c r="G4563" i="1"/>
  <c r="F4563" i="1"/>
  <c r="E4563" i="1"/>
  <c r="G4562" i="1"/>
  <c r="F4562" i="1"/>
  <c r="E4562" i="1"/>
  <c r="G4561" i="1"/>
  <c r="F4561" i="1"/>
  <c r="E4561" i="1"/>
  <c r="G4560" i="1"/>
  <c r="F4560" i="1"/>
  <c r="E4560" i="1"/>
  <c r="G4559" i="1"/>
  <c r="F4559" i="1"/>
  <c r="E4559" i="1"/>
  <c r="G4558" i="1"/>
  <c r="F4558" i="1"/>
  <c r="E4558" i="1"/>
  <c r="G4557" i="1"/>
  <c r="F4557" i="1"/>
  <c r="E4557" i="1"/>
  <c r="G4556" i="1"/>
  <c r="F4556" i="1"/>
  <c r="E4556" i="1"/>
  <c r="G4555" i="1"/>
  <c r="F4555" i="1"/>
  <c r="E4555" i="1"/>
  <c r="G4554" i="1"/>
  <c r="F4554" i="1"/>
  <c r="E4554" i="1"/>
  <c r="G4553" i="1"/>
  <c r="F4553" i="1"/>
  <c r="E4553" i="1"/>
  <c r="G4552" i="1"/>
  <c r="F4552" i="1"/>
  <c r="E4552" i="1"/>
  <c r="G4551" i="1"/>
  <c r="F4551" i="1"/>
  <c r="E4551" i="1"/>
  <c r="G4550" i="1"/>
  <c r="F4550" i="1"/>
  <c r="E4550" i="1"/>
  <c r="G4549" i="1"/>
  <c r="F4549" i="1"/>
  <c r="E4549" i="1"/>
  <c r="G4548" i="1"/>
  <c r="F4548" i="1"/>
  <c r="E4548" i="1"/>
  <c r="G4547" i="1"/>
  <c r="F4547" i="1"/>
  <c r="E4547" i="1"/>
  <c r="G4546" i="1"/>
  <c r="F4546" i="1"/>
  <c r="E4546" i="1"/>
  <c r="G4545" i="1"/>
  <c r="F4545" i="1"/>
  <c r="E4545" i="1"/>
  <c r="G4544" i="1"/>
  <c r="F4544" i="1"/>
  <c r="E4544" i="1"/>
  <c r="G4543" i="1"/>
  <c r="F4543" i="1"/>
  <c r="E4543" i="1"/>
  <c r="G4542" i="1"/>
  <c r="F4542" i="1"/>
  <c r="E4542" i="1"/>
  <c r="G4541" i="1"/>
  <c r="F4541" i="1"/>
  <c r="E4541" i="1"/>
  <c r="G4540" i="1"/>
  <c r="F4540" i="1"/>
  <c r="E4540" i="1"/>
  <c r="G4539" i="1"/>
  <c r="F4539" i="1"/>
  <c r="E4539" i="1"/>
  <c r="G4538" i="1"/>
  <c r="F4538" i="1"/>
  <c r="E4538" i="1"/>
  <c r="G4537" i="1"/>
  <c r="F4537" i="1"/>
  <c r="E4537" i="1"/>
  <c r="G4536" i="1"/>
  <c r="F4536" i="1"/>
  <c r="E4536" i="1"/>
  <c r="G4535" i="1"/>
  <c r="F4535" i="1"/>
  <c r="E4535" i="1"/>
  <c r="G4534" i="1"/>
  <c r="F4534" i="1"/>
  <c r="E4534" i="1"/>
  <c r="G4533" i="1"/>
  <c r="F4533" i="1"/>
  <c r="E4533" i="1"/>
  <c r="G4532" i="1"/>
  <c r="F4532" i="1"/>
  <c r="E4532" i="1"/>
  <c r="G4531" i="1"/>
  <c r="F4531" i="1"/>
  <c r="E4531" i="1"/>
  <c r="G4530" i="1"/>
  <c r="F4530" i="1"/>
  <c r="E4530" i="1"/>
  <c r="G4529" i="1"/>
  <c r="F4529" i="1"/>
  <c r="E4529" i="1"/>
  <c r="G4528" i="1"/>
  <c r="F4528" i="1"/>
  <c r="E4528" i="1"/>
  <c r="G4527" i="1"/>
  <c r="F4527" i="1"/>
  <c r="E4527" i="1"/>
  <c r="G4526" i="1"/>
  <c r="F4526" i="1"/>
  <c r="E4526" i="1"/>
  <c r="G4525" i="1"/>
  <c r="F4525" i="1"/>
  <c r="E4525" i="1"/>
  <c r="G4524" i="1"/>
  <c r="F4524" i="1"/>
  <c r="E4524" i="1"/>
  <c r="G4523" i="1"/>
  <c r="F4523" i="1"/>
  <c r="E4523" i="1"/>
  <c r="G4522" i="1"/>
  <c r="F4522" i="1"/>
  <c r="E4522" i="1"/>
  <c r="G4521" i="1"/>
  <c r="F4521" i="1"/>
  <c r="E4521" i="1"/>
  <c r="G4520" i="1"/>
  <c r="F4520" i="1"/>
  <c r="E4520" i="1"/>
  <c r="G4519" i="1"/>
  <c r="F4519" i="1"/>
  <c r="E4519" i="1"/>
  <c r="G4518" i="1"/>
  <c r="F4518" i="1"/>
  <c r="E4518" i="1"/>
  <c r="G4517" i="1"/>
  <c r="F4517" i="1"/>
  <c r="E4517" i="1"/>
  <c r="G4516" i="1"/>
  <c r="F4516" i="1"/>
  <c r="E4516" i="1"/>
  <c r="G4515" i="1"/>
  <c r="F4515" i="1"/>
  <c r="E4515" i="1"/>
  <c r="G4514" i="1"/>
  <c r="F4514" i="1"/>
  <c r="E4514" i="1"/>
  <c r="G4513" i="1"/>
  <c r="F4513" i="1"/>
  <c r="E4513" i="1"/>
  <c r="G4512" i="1"/>
  <c r="F4512" i="1"/>
  <c r="E4512" i="1"/>
  <c r="G4511" i="1"/>
  <c r="F4511" i="1"/>
  <c r="E4511" i="1"/>
  <c r="G4510" i="1"/>
  <c r="F4510" i="1"/>
  <c r="E4510" i="1"/>
  <c r="G4509" i="1"/>
  <c r="F4509" i="1"/>
  <c r="E4509" i="1"/>
  <c r="G4508" i="1"/>
  <c r="F4508" i="1"/>
  <c r="E4508" i="1"/>
  <c r="G4507" i="1"/>
  <c r="F4507" i="1"/>
  <c r="E4507" i="1"/>
  <c r="G4506" i="1"/>
  <c r="F4506" i="1"/>
  <c r="E4506" i="1"/>
  <c r="G4505" i="1"/>
  <c r="F4505" i="1"/>
  <c r="E4505" i="1"/>
  <c r="G4504" i="1"/>
  <c r="F4504" i="1"/>
  <c r="E4504" i="1"/>
  <c r="G4503" i="1"/>
  <c r="F4503" i="1"/>
  <c r="E4503" i="1"/>
  <c r="G4502" i="1"/>
  <c r="F4502" i="1"/>
  <c r="E4502" i="1"/>
  <c r="G4501" i="1"/>
  <c r="F4501" i="1"/>
  <c r="E4501" i="1"/>
  <c r="G4500" i="1"/>
  <c r="F4500" i="1"/>
  <c r="E4500" i="1"/>
  <c r="G4499" i="1"/>
  <c r="F4499" i="1"/>
  <c r="E4499" i="1"/>
  <c r="G4498" i="1"/>
  <c r="F4498" i="1"/>
  <c r="E4498" i="1"/>
  <c r="G4497" i="1"/>
  <c r="F4497" i="1"/>
  <c r="E4497" i="1"/>
  <c r="G4496" i="1"/>
  <c r="F4496" i="1"/>
  <c r="E4496" i="1"/>
  <c r="G4495" i="1"/>
  <c r="F4495" i="1"/>
  <c r="E4495" i="1"/>
  <c r="G4494" i="1"/>
  <c r="F4494" i="1"/>
  <c r="E4494" i="1"/>
  <c r="G4493" i="1"/>
  <c r="F4493" i="1"/>
  <c r="E4493" i="1"/>
  <c r="G4492" i="1"/>
  <c r="F4492" i="1"/>
  <c r="E4492" i="1"/>
  <c r="G4491" i="1"/>
  <c r="F4491" i="1"/>
  <c r="E4491" i="1"/>
  <c r="G4490" i="1"/>
  <c r="F4490" i="1"/>
  <c r="E4490" i="1"/>
  <c r="G4489" i="1"/>
  <c r="F4489" i="1"/>
  <c r="E4489" i="1"/>
  <c r="G4488" i="1"/>
  <c r="F4488" i="1"/>
  <c r="E4488" i="1"/>
  <c r="G4487" i="1"/>
  <c r="F4487" i="1"/>
  <c r="E4487" i="1"/>
  <c r="G4486" i="1"/>
  <c r="F4486" i="1"/>
  <c r="E4486" i="1"/>
  <c r="G4485" i="1"/>
  <c r="F4485" i="1"/>
  <c r="E4485" i="1"/>
  <c r="G4484" i="1"/>
  <c r="F4484" i="1"/>
  <c r="E4484" i="1"/>
  <c r="G4483" i="1"/>
  <c r="F4483" i="1"/>
  <c r="E4483" i="1"/>
  <c r="G4482" i="1"/>
  <c r="F4482" i="1"/>
  <c r="E4482" i="1"/>
  <c r="G4481" i="1"/>
  <c r="F4481" i="1"/>
  <c r="E4481" i="1"/>
  <c r="G4480" i="1"/>
  <c r="F4480" i="1"/>
  <c r="E4480" i="1"/>
  <c r="G4479" i="1"/>
  <c r="F4479" i="1"/>
  <c r="E4479" i="1"/>
  <c r="G4478" i="1"/>
  <c r="F4478" i="1"/>
  <c r="E4478" i="1"/>
  <c r="G4477" i="1"/>
  <c r="F4477" i="1"/>
  <c r="E4477" i="1"/>
  <c r="G4476" i="1"/>
  <c r="F4476" i="1"/>
  <c r="E4476" i="1"/>
  <c r="G4475" i="1"/>
  <c r="F4475" i="1"/>
  <c r="E4475" i="1"/>
  <c r="G4474" i="1"/>
  <c r="F4474" i="1"/>
  <c r="E4474" i="1"/>
  <c r="G4473" i="1"/>
  <c r="F4473" i="1"/>
  <c r="E4473" i="1"/>
  <c r="G4472" i="1"/>
  <c r="F4472" i="1"/>
  <c r="E4472" i="1"/>
  <c r="G4471" i="1"/>
  <c r="F4471" i="1"/>
  <c r="E4471" i="1"/>
  <c r="G4470" i="1"/>
  <c r="F4470" i="1"/>
  <c r="E4470" i="1"/>
  <c r="G4469" i="1"/>
  <c r="F4469" i="1"/>
  <c r="E4469" i="1"/>
  <c r="G4468" i="1"/>
  <c r="F4468" i="1"/>
  <c r="E4468" i="1"/>
  <c r="G4467" i="1"/>
  <c r="F4467" i="1"/>
  <c r="E4467" i="1"/>
  <c r="G4466" i="1"/>
  <c r="F4466" i="1"/>
  <c r="E4466" i="1"/>
  <c r="G4465" i="1"/>
  <c r="F4465" i="1"/>
  <c r="E4465" i="1"/>
  <c r="G4464" i="1"/>
  <c r="F4464" i="1"/>
  <c r="E4464" i="1"/>
  <c r="G4463" i="1"/>
  <c r="F4463" i="1"/>
  <c r="E4463" i="1"/>
  <c r="G4462" i="1"/>
  <c r="F4462" i="1"/>
  <c r="E4462" i="1"/>
  <c r="G4461" i="1"/>
  <c r="F4461" i="1"/>
  <c r="E4461" i="1"/>
  <c r="G4460" i="1"/>
  <c r="F4460" i="1"/>
  <c r="E4460" i="1"/>
  <c r="G4459" i="1"/>
  <c r="F4459" i="1"/>
  <c r="E4459" i="1"/>
  <c r="G4458" i="1"/>
  <c r="F4458" i="1"/>
  <c r="E4458" i="1"/>
  <c r="G4457" i="1"/>
  <c r="F4457" i="1"/>
  <c r="E4457" i="1"/>
  <c r="G4456" i="1"/>
  <c r="F4456" i="1"/>
  <c r="E4456" i="1"/>
  <c r="G4455" i="1"/>
  <c r="F4455" i="1"/>
  <c r="E4455" i="1"/>
  <c r="G4454" i="1"/>
  <c r="F4454" i="1"/>
  <c r="E4454" i="1"/>
  <c r="G4453" i="1"/>
  <c r="F4453" i="1"/>
  <c r="E4453" i="1"/>
  <c r="G4452" i="1"/>
  <c r="F4452" i="1"/>
  <c r="E4452" i="1"/>
  <c r="G4451" i="1"/>
  <c r="F4451" i="1"/>
  <c r="E4451" i="1"/>
  <c r="G4450" i="1"/>
  <c r="F4450" i="1"/>
  <c r="E4450" i="1"/>
  <c r="G4449" i="1"/>
  <c r="F4449" i="1"/>
  <c r="E4449" i="1"/>
  <c r="G4448" i="1"/>
  <c r="F4448" i="1"/>
  <c r="E4448" i="1"/>
  <c r="G4447" i="1"/>
  <c r="F4447" i="1"/>
  <c r="E4447" i="1"/>
  <c r="G4446" i="1"/>
  <c r="F4446" i="1"/>
  <c r="E4446" i="1"/>
  <c r="G4445" i="1"/>
  <c r="F4445" i="1"/>
  <c r="E4445" i="1"/>
  <c r="G4444" i="1"/>
  <c r="F4444" i="1"/>
  <c r="E4444" i="1"/>
  <c r="G4443" i="1"/>
  <c r="F4443" i="1"/>
  <c r="E4443" i="1"/>
  <c r="G4442" i="1"/>
  <c r="F4442" i="1"/>
  <c r="E4442" i="1"/>
  <c r="G4441" i="1"/>
  <c r="F4441" i="1"/>
  <c r="E4441" i="1"/>
  <c r="G4440" i="1"/>
  <c r="F4440" i="1"/>
  <c r="E4440" i="1"/>
  <c r="G4439" i="1"/>
  <c r="F4439" i="1"/>
  <c r="E4439" i="1"/>
  <c r="G4438" i="1"/>
  <c r="F4438" i="1"/>
  <c r="E4438" i="1"/>
  <c r="G4437" i="1"/>
  <c r="F4437" i="1"/>
  <c r="E4437" i="1"/>
  <c r="G4436" i="1"/>
  <c r="F4436" i="1"/>
  <c r="E4436" i="1"/>
  <c r="G4435" i="1"/>
  <c r="F4435" i="1"/>
  <c r="E4435" i="1"/>
  <c r="G4434" i="1"/>
  <c r="F4434" i="1"/>
  <c r="E4434" i="1"/>
  <c r="G4433" i="1"/>
  <c r="F4433" i="1"/>
  <c r="E4433" i="1"/>
  <c r="G4432" i="1"/>
  <c r="F4432" i="1"/>
  <c r="E4432" i="1"/>
  <c r="G4431" i="1"/>
  <c r="F4431" i="1"/>
  <c r="E4431" i="1"/>
  <c r="G4430" i="1"/>
  <c r="F4430" i="1"/>
  <c r="E4430" i="1"/>
  <c r="G4429" i="1"/>
  <c r="F4429" i="1"/>
  <c r="E4429" i="1"/>
  <c r="G4428" i="1"/>
  <c r="F4428" i="1"/>
  <c r="E4428" i="1"/>
  <c r="G4427" i="1"/>
  <c r="F4427" i="1"/>
  <c r="E4427" i="1"/>
  <c r="G4426" i="1"/>
  <c r="F4426" i="1"/>
  <c r="E4426" i="1"/>
  <c r="G4425" i="1"/>
  <c r="F4425" i="1"/>
  <c r="E4425" i="1"/>
  <c r="G4424" i="1"/>
  <c r="F4424" i="1"/>
  <c r="E4424" i="1"/>
  <c r="G4423" i="1"/>
  <c r="F4423" i="1"/>
  <c r="E4423" i="1"/>
  <c r="G4422" i="1"/>
  <c r="F4422" i="1"/>
  <c r="E4422" i="1"/>
  <c r="G4421" i="1"/>
  <c r="F4421" i="1"/>
  <c r="E4421" i="1"/>
  <c r="G4420" i="1"/>
  <c r="F4420" i="1"/>
  <c r="E4420" i="1"/>
  <c r="G4419" i="1"/>
  <c r="F4419" i="1"/>
  <c r="E4419" i="1"/>
  <c r="G4418" i="1"/>
  <c r="F4418" i="1"/>
  <c r="E4418" i="1"/>
  <c r="G4417" i="1"/>
  <c r="F4417" i="1"/>
  <c r="E4417" i="1"/>
  <c r="G4416" i="1"/>
  <c r="F4416" i="1"/>
  <c r="E4416" i="1"/>
  <c r="G4415" i="1"/>
  <c r="F4415" i="1"/>
  <c r="E4415" i="1"/>
  <c r="G4414" i="1"/>
  <c r="F4414" i="1"/>
  <c r="E4414" i="1"/>
  <c r="G4413" i="1"/>
  <c r="F4413" i="1"/>
  <c r="E4413" i="1"/>
  <c r="G4412" i="1"/>
  <c r="F4412" i="1"/>
  <c r="E4412" i="1"/>
  <c r="G4411" i="1"/>
  <c r="F4411" i="1"/>
  <c r="E4411" i="1"/>
  <c r="G4410" i="1"/>
  <c r="F4410" i="1"/>
  <c r="E4410" i="1"/>
  <c r="G4409" i="1"/>
  <c r="F4409" i="1"/>
  <c r="E4409" i="1"/>
  <c r="G4408" i="1"/>
  <c r="F4408" i="1"/>
  <c r="E4408" i="1"/>
  <c r="G4407" i="1"/>
  <c r="F4407" i="1"/>
  <c r="E4407" i="1"/>
  <c r="G4406" i="1"/>
  <c r="F4406" i="1"/>
  <c r="E4406" i="1"/>
  <c r="G4405" i="1"/>
  <c r="F4405" i="1"/>
  <c r="E4405" i="1"/>
  <c r="G4404" i="1"/>
  <c r="F4404" i="1"/>
  <c r="E4404" i="1"/>
  <c r="G4403" i="1"/>
  <c r="F4403" i="1"/>
  <c r="E4403" i="1"/>
  <c r="G4402" i="1"/>
  <c r="F4402" i="1"/>
  <c r="E4402" i="1"/>
  <c r="G4401" i="1"/>
  <c r="F4401" i="1"/>
  <c r="E4401" i="1"/>
  <c r="G4400" i="1"/>
  <c r="F4400" i="1"/>
  <c r="E4400" i="1"/>
  <c r="G4399" i="1"/>
  <c r="F4399" i="1"/>
  <c r="E4399" i="1"/>
  <c r="G4398" i="1"/>
  <c r="F4398" i="1"/>
  <c r="E4398" i="1"/>
  <c r="G4397" i="1"/>
  <c r="F4397" i="1"/>
  <c r="E4397" i="1"/>
  <c r="G4396" i="1"/>
  <c r="F4396" i="1"/>
  <c r="E4396" i="1"/>
  <c r="G4395" i="1"/>
  <c r="F4395" i="1"/>
  <c r="E4395" i="1"/>
  <c r="G4394" i="1"/>
  <c r="F4394" i="1"/>
  <c r="E4394" i="1"/>
  <c r="G4393" i="1"/>
  <c r="F4393" i="1"/>
  <c r="E4393" i="1"/>
  <c r="G4392" i="1"/>
  <c r="F4392" i="1"/>
  <c r="E4392" i="1"/>
  <c r="G4391" i="1"/>
  <c r="F4391" i="1"/>
  <c r="E4391" i="1"/>
  <c r="G4390" i="1"/>
  <c r="F4390" i="1"/>
  <c r="E4390" i="1"/>
  <c r="G4389" i="1"/>
  <c r="F4389" i="1"/>
  <c r="E4389" i="1"/>
  <c r="G4388" i="1"/>
  <c r="F4388" i="1"/>
  <c r="E4388" i="1"/>
  <c r="G4387" i="1"/>
  <c r="F4387" i="1"/>
  <c r="E4387" i="1"/>
  <c r="G4386" i="1"/>
  <c r="F4386" i="1"/>
  <c r="E4386" i="1"/>
  <c r="G4385" i="1"/>
  <c r="F4385" i="1"/>
  <c r="E4385" i="1"/>
  <c r="G4384" i="1"/>
  <c r="F4384" i="1"/>
  <c r="E4384" i="1"/>
  <c r="G4383" i="1"/>
  <c r="F4383" i="1"/>
  <c r="E4383" i="1"/>
  <c r="G4382" i="1"/>
  <c r="F4382" i="1"/>
  <c r="E4382" i="1"/>
  <c r="G4381" i="1"/>
  <c r="F4381" i="1"/>
  <c r="E4381" i="1"/>
  <c r="G4380" i="1"/>
  <c r="F4380" i="1"/>
  <c r="E4380" i="1"/>
  <c r="G4379" i="1"/>
  <c r="F4379" i="1"/>
  <c r="E4379" i="1"/>
  <c r="G4378" i="1"/>
  <c r="F4378" i="1"/>
  <c r="E4378" i="1"/>
  <c r="G4377" i="1"/>
  <c r="F4377" i="1"/>
  <c r="E4377" i="1"/>
  <c r="G4376" i="1"/>
  <c r="F4376" i="1"/>
  <c r="E4376" i="1"/>
  <c r="G4375" i="1"/>
  <c r="F4375" i="1"/>
  <c r="E4375" i="1"/>
  <c r="G4374" i="1"/>
  <c r="F4374" i="1"/>
  <c r="E4374" i="1"/>
  <c r="G4373" i="1"/>
  <c r="F4373" i="1"/>
  <c r="E4373" i="1"/>
  <c r="G4372" i="1"/>
  <c r="F4372" i="1"/>
  <c r="E4372" i="1"/>
  <c r="G4371" i="1"/>
  <c r="F4371" i="1"/>
  <c r="E4371" i="1"/>
  <c r="G4370" i="1"/>
  <c r="F4370" i="1"/>
  <c r="E4370" i="1"/>
  <c r="G4369" i="1"/>
  <c r="F4369" i="1"/>
  <c r="E4369" i="1"/>
  <c r="G4368" i="1"/>
  <c r="F4368" i="1"/>
  <c r="E4368" i="1"/>
  <c r="G4367" i="1"/>
  <c r="F4367" i="1"/>
  <c r="E4367" i="1"/>
  <c r="G4366" i="1"/>
  <c r="F4366" i="1"/>
  <c r="E4366" i="1"/>
  <c r="G4365" i="1"/>
  <c r="F4365" i="1"/>
  <c r="E4365" i="1"/>
  <c r="G4364" i="1"/>
  <c r="F4364" i="1"/>
  <c r="E4364" i="1"/>
  <c r="G4363" i="1"/>
  <c r="F4363" i="1"/>
  <c r="E4363" i="1"/>
  <c r="G4362" i="1"/>
  <c r="F4362" i="1"/>
  <c r="E4362" i="1"/>
  <c r="G4361" i="1"/>
  <c r="F4361" i="1"/>
  <c r="E4361" i="1"/>
  <c r="G4360" i="1"/>
  <c r="F4360" i="1"/>
  <c r="E4360" i="1"/>
  <c r="G4359" i="1"/>
  <c r="F4359" i="1"/>
  <c r="E4359" i="1"/>
  <c r="G4358" i="1"/>
  <c r="F4358" i="1"/>
  <c r="E4358" i="1"/>
  <c r="G4357" i="1"/>
  <c r="F4357" i="1"/>
  <c r="E4357" i="1"/>
  <c r="G4356" i="1"/>
  <c r="F4356" i="1"/>
  <c r="E4356" i="1"/>
  <c r="G4355" i="1"/>
  <c r="F4355" i="1"/>
  <c r="E4355" i="1"/>
  <c r="G4354" i="1"/>
  <c r="F4354" i="1"/>
  <c r="E4354" i="1"/>
  <c r="G4353" i="1"/>
  <c r="F4353" i="1"/>
  <c r="E4353" i="1"/>
  <c r="G4352" i="1"/>
  <c r="F4352" i="1"/>
  <c r="E4352" i="1"/>
  <c r="G4351" i="1"/>
  <c r="F4351" i="1"/>
  <c r="E4351" i="1"/>
  <c r="G4350" i="1"/>
  <c r="F4350" i="1"/>
  <c r="E4350" i="1"/>
  <c r="G4349" i="1"/>
  <c r="F4349" i="1"/>
  <c r="E4349" i="1"/>
  <c r="G4348" i="1"/>
  <c r="F4348" i="1"/>
  <c r="E4348" i="1"/>
  <c r="G4347" i="1"/>
  <c r="F4347" i="1"/>
  <c r="E4347" i="1"/>
  <c r="G4346" i="1"/>
  <c r="F4346" i="1"/>
  <c r="E4346" i="1"/>
  <c r="G4345" i="1"/>
  <c r="F4345" i="1"/>
  <c r="E4345" i="1"/>
  <c r="G4344" i="1"/>
  <c r="F4344" i="1"/>
  <c r="E4344" i="1"/>
  <c r="G4343" i="1"/>
  <c r="F4343" i="1"/>
  <c r="E4343" i="1"/>
  <c r="G4342" i="1"/>
  <c r="F4342" i="1"/>
  <c r="E4342" i="1"/>
  <c r="G4341" i="1"/>
  <c r="F4341" i="1"/>
  <c r="E4341" i="1"/>
  <c r="G4340" i="1"/>
  <c r="F4340" i="1"/>
  <c r="E4340" i="1"/>
  <c r="G4339" i="1"/>
  <c r="F4339" i="1"/>
  <c r="E4339" i="1"/>
  <c r="G4338" i="1"/>
  <c r="F4338" i="1"/>
  <c r="E4338" i="1"/>
  <c r="G4337" i="1"/>
  <c r="F4337" i="1"/>
  <c r="E4337" i="1"/>
  <c r="G4336" i="1"/>
  <c r="F4336" i="1"/>
  <c r="E4336" i="1"/>
  <c r="G4335" i="1"/>
  <c r="F4335" i="1"/>
  <c r="E4335" i="1"/>
  <c r="G4334" i="1"/>
  <c r="F4334" i="1"/>
  <c r="E4334" i="1"/>
  <c r="G4333" i="1"/>
  <c r="F4333" i="1"/>
  <c r="E4333" i="1"/>
  <c r="G4332" i="1"/>
  <c r="F4332" i="1"/>
  <c r="E4332" i="1"/>
  <c r="G4331" i="1"/>
  <c r="F4331" i="1"/>
  <c r="E4331" i="1"/>
  <c r="G4330" i="1"/>
  <c r="F4330" i="1"/>
  <c r="E4330" i="1"/>
  <c r="G4329" i="1"/>
  <c r="F4329" i="1"/>
  <c r="E4329" i="1"/>
  <c r="G4328" i="1"/>
  <c r="F4328" i="1"/>
  <c r="E4328" i="1"/>
  <c r="G4327" i="1"/>
  <c r="F4327" i="1"/>
  <c r="E4327" i="1"/>
  <c r="G4326" i="1"/>
  <c r="F4326" i="1"/>
  <c r="E4326" i="1"/>
  <c r="G4325" i="1"/>
  <c r="F4325" i="1"/>
  <c r="E4325" i="1"/>
  <c r="G4324" i="1"/>
  <c r="F4324" i="1"/>
  <c r="E4324" i="1"/>
  <c r="G4323" i="1"/>
  <c r="F4323" i="1"/>
  <c r="E4323" i="1"/>
  <c r="G4322" i="1"/>
  <c r="F4322" i="1"/>
  <c r="E4322" i="1"/>
  <c r="G4321" i="1"/>
  <c r="F4321" i="1"/>
  <c r="E4321" i="1"/>
  <c r="G4320" i="1"/>
  <c r="F4320" i="1"/>
  <c r="E4320" i="1"/>
  <c r="G4319" i="1"/>
  <c r="F4319" i="1"/>
  <c r="E4319" i="1"/>
  <c r="G4318" i="1"/>
  <c r="F4318" i="1"/>
  <c r="E4318" i="1"/>
  <c r="G4317" i="1"/>
  <c r="F4317" i="1"/>
  <c r="E4317" i="1"/>
  <c r="G4316" i="1"/>
  <c r="F4316" i="1"/>
  <c r="E4316" i="1"/>
  <c r="G4315" i="1"/>
  <c r="F4315" i="1"/>
  <c r="E4315" i="1"/>
  <c r="G4314" i="1"/>
  <c r="F4314" i="1"/>
  <c r="E4314" i="1"/>
  <c r="G4313" i="1"/>
  <c r="F4313" i="1"/>
  <c r="E4313" i="1"/>
  <c r="G4312" i="1"/>
  <c r="F4312" i="1"/>
  <c r="E4312" i="1"/>
  <c r="G4311" i="1"/>
  <c r="F4311" i="1"/>
  <c r="E4311" i="1"/>
  <c r="G4310" i="1"/>
  <c r="F4310" i="1"/>
  <c r="E4310" i="1"/>
  <c r="G4309" i="1"/>
  <c r="F4309" i="1"/>
  <c r="E4309" i="1"/>
  <c r="G4308" i="1"/>
  <c r="F4308" i="1"/>
  <c r="E4308" i="1"/>
  <c r="G4307" i="1"/>
  <c r="F4307" i="1"/>
  <c r="E4307" i="1"/>
  <c r="G4306" i="1"/>
  <c r="F4306" i="1"/>
  <c r="E4306" i="1"/>
  <c r="G4305" i="1"/>
  <c r="F4305" i="1"/>
  <c r="E4305" i="1"/>
  <c r="G4304" i="1"/>
  <c r="F4304" i="1"/>
  <c r="E4304" i="1"/>
  <c r="G4303" i="1"/>
  <c r="F4303" i="1"/>
  <c r="E4303" i="1"/>
  <c r="G4302" i="1"/>
  <c r="F4302" i="1"/>
  <c r="E4302" i="1"/>
  <c r="G4301" i="1"/>
  <c r="F4301" i="1"/>
  <c r="E4301" i="1"/>
  <c r="G4300" i="1"/>
  <c r="F4300" i="1"/>
  <c r="E4300" i="1"/>
  <c r="G4299" i="1"/>
  <c r="F4299" i="1"/>
  <c r="E4299" i="1"/>
  <c r="G4298" i="1"/>
  <c r="F4298" i="1"/>
  <c r="E4298" i="1"/>
  <c r="G4297" i="1"/>
  <c r="F4297" i="1"/>
  <c r="E4297" i="1"/>
  <c r="G4296" i="1"/>
  <c r="F4296" i="1"/>
  <c r="E4296" i="1"/>
  <c r="G4295" i="1"/>
  <c r="F4295" i="1"/>
  <c r="E4295" i="1"/>
  <c r="G4294" i="1"/>
  <c r="F4294" i="1"/>
  <c r="E4294" i="1"/>
  <c r="G4293" i="1"/>
  <c r="F4293" i="1"/>
  <c r="E4293" i="1"/>
  <c r="G4292" i="1"/>
  <c r="F4292" i="1"/>
  <c r="E4292" i="1"/>
  <c r="G4291" i="1"/>
  <c r="F4291" i="1"/>
  <c r="E4291" i="1"/>
  <c r="G4290" i="1"/>
  <c r="F4290" i="1"/>
  <c r="E4290" i="1"/>
  <c r="G4289" i="1"/>
  <c r="F4289" i="1"/>
  <c r="E4289" i="1"/>
  <c r="G4288" i="1"/>
  <c r="F4288" i="1"/>
  <c r="E4288" i="1"/>
  <c r="G4287" i="1"/>
  <c r="F4287" i="1"/>
  <c r="E4287" i="1"/>
  <c r="G4286" i="1"/>
  <c r="F4286" i="1"/>
  <c r="E4286" i="1"/>
  <c r="G4285" i="1"/>
  <c r="F4285" i="1"/>
  <c r="E4285" i="1"/>
  <c r="G4284" i="1"/>
  <c r="F4284" i="1"/>
  <c r="E4284" i="1"/>
  <c r="G4283" i="1"/>
  <c r="F4283" i="1"/>
  <c r="E4283" i="1"/>
  <c r="G4282" i="1"/>
  <c r="F4282" i="1"/>
  <c r="E4282" i="1"/>
  <c r="G4281" i="1"/>
  <c r="F4281" i="1"/>
  <c r="E4281" i="1"/>
  <c r="G4280" i="1"/>
  <c r="F4280" i="1"/>
  <c r="E4280" i="1"/>
  <c r="G4279" i="1"/>
  <c r="F4279" i="1"/>
  <c r="E4279" i="1"/>
  <c r="G4278" i="1"/>
  <c r="F4278" i="1"/>
  <c r="E4278" i="1"/>
  <c r="G4277" i="1"/>
  <c r="F4277" i="1"/>
  <c r="E4277" i="1"/>
  <c r="G4276" i="1"/>
  <c r="F4276" i="1"/>
  <c r="E4276" i="1"/>
  <c r="G4275" i="1"/>
  <c r="F4275" i="1"/>
  <c r="E4275" i="1"/>
  <c r="G4274" i="1"/>
  <c r="F4274" i="1"/>
  <c r="E4274" i="1"/>
  <c r="G4273" i="1"/>
  <c r="F4273" i="1"/>
  <c r="E4273" i="1"/>
  <c r="G4272" i="1"/>
  <c r="F4272" i="1"/>
  <c r="E4272" i="1"/>
  <c r="G4271" i="1"/>
  <c r="F4271" i="1"/>
  <c r="E4271" i="1"/>
  <c r="G4270" i="1"/>
  <c r="F4270" i="1"/>
  <c r="E4270" i="1"/>
  <c r="G4269" i="1"/>
  <c r="F4269" i="1"/>
  <c r="E4269" i="1"/>
  <c r="G4268" i="1"/>
  <c r="F4268" i="1"/>
  <c r="E4268" i="1"/>
  <c r="G4267" i="1"/>
  <c r="F4267" i="1"/>
  <c r="E4267" i="1"/>
  <c r="G4266" i="1"/>
  <c r="F4266" i="1"/>
  <c r="E4266" i="1"/>
  <c r="G4265" i="1"/>
  <c r="F4265" i="1"/>
  <c r="E4265" i="1"/>
  <c r="G4264" i="1"/>
  <c r="F4264" i="1"/>
  <c r="E4264" i="1"/>
  <c r="G4263" i="1"/>
  <c r="F4263" i="1"/>
  <c r="E4263" i="1"/>
  <c r="G4262" i="1"/>
  <c r="F4262" i="1"/>
  <c r="E4262" i="1"/>
  <c r="G4261" i="1"/>
  <c r="F4261" i="1"/>
  <c r="E4261" i="1"/>
  <c r="G4260" i="1"/>
  <c r="F4260" i="1"/>
  <c r="E4260" i="1"/>
  <c r="G4259" i="1"/>
  <c r="F4259" i="1"/>
  <c r="E4259" i="1"/>
  <c r="G4258" i="1"/>
  <c r="F4258" i="1"/>
  <c r="E4258" i="1"/>
  <c r="G4257" i="1"/>
  <c r="F4257" i="1"/>
  <c r="E4257" i="1"/>
  <c r="G4256" i="1"/>
  <c r="F4256" i="1"/>
  <c r="E4256" i="1"/>
  <c r="G4255" i="1"/>
  <c r="F4255" i="1"/>
  <c r="E4255" i="1"/>
  <c r="G4254" i="1"/>
  <c r="F4254" i="1"/>
  <c r="E4254" i="1"/>
  <c r="G4253" i="1"/>
  <c r="F4253" i="1"/>
  <c r="E4253" i="1"/>
  <c r="G4252" i="1"/>
  <c r="F4252" i="1"/>
  <c r="E4252" i="1"/>
  <c r="G4251" i="1"/>
  <c r="F4251" i="1"/>
  <c r="E4251" i="1"/>
  <c r="G4250" i="1"/>
  <c r="F4250" i="1"/>
  <c r="E4250" i="1"/>
  <c r="G4249" i="1"/>
  <c r="F4249" i="1"/>
  <c r="E4249" i="1"/>
  <c r="G4248" i="1"/>
  <c r="F4248" i="1"/>
  <c r="E4248" i="1"/>
  <c r="G4247" i="1"/>
  <c r="F4247" i="1"/>
  <c r="E4247" i="1"/>
  <c r="G4246" i="1"/>
  <c r="F4246" i="1"/>
  <c r="E4246" i="1"/>
  <c r="G4245" i="1"/>
  <c r="F4245" i="1"/>
  <c r="E4245" i="1"/>
  <c r="G4244" i="1"/>
  <c r="F4244" i="1"/>
  <c r="E4244" i="1"/>
  <c r="G4243" i="1"/>
  <c r="F4243" i="1"/>
  <c r="E4243" i="1"/>
  <c r="G4242" i="1"/>
  <c r="F4242" i="1"/>
  <c r="E4242" i="1"/>
  <c r="G4241" i="1"/>
  <c r="F4241" i="1"/>
  <c r="E4241" i="1"/>
  <c r="G4240" i="1"/>
  <c r="F4240" i="1"/>
  <c r="E4240" i="1"/>
  <c r="G4239" i="1"/>
  <c r="F4239" i="1"/>
  <c r="E4239" i="1"/>
  <c r="G4238" i="1"/>
  <c r="F4238" i="1"/>
  <c r="E4238" i="1"/>
  <c r="G4237" i="1"/>
  <c r="F4237" i="1"/>
  <c r="E4237" i="1"/>
  <c r="G4236" i="1"/>
  <c r="F4236" i="1"/>
  <c r="E4236" i="1"/>
  <c r="G4235" i="1"/>
  <c r="F4235" i="1"/>
  <c r="E4235" i="1"/>
  <c r="G4234" i="1"/>
  <c r="F4234" i="1"/>
  <c r="E4234" i="1"/>
  <c r="G4233" i="1"/>
  <c r="F4233" i="1"/>
  <c r="E4233" i="1"/>
  <c r="G4232" i="1"/>
  <c r="F4232" i="1"/>
  <c r="E4232" i="1"/>
  <c r="G4231" i="1"/>
  <c r="F4231" i="1"/>
  <c r="E4231" i="1"/>
  <c r="G4230" i="1"/>
  <c r="F4230" i="1"/>
  <c r="E4230" i="1"/>
  <c r="G4229" i="1"/>
  <c r="F4229" i="1"/>
  <c r="E4229" i="1"/>
  <c r="G4228" i="1"/>
  <c r="F4228" i="1"/>
  <c r="E4228" i="1"/>
  <c r="G4227" i="1"/>
  <c r="F4227" i="1"/>
  <c r="E4227" i="1"/>
  <c r="G4226" i="1"/>
  <c r="F4226" i="1"/>
  <c r="E4226" i="1"/>
  <c r="G4225" i="1"/>
  <c r="F4225" i="1"/>
  <c r="E4225" i="1"/>
  <c r="G4224" i="1"/>
  <c r="F4224" i="1"/>
  <c r="E4224" i="1"/>
  <c r="G4223" i="1"/>
  <c r="F4223" i="1"/>
  <c r="E4223" i="1"/>
  <c r="G4222" i="1"/>
  <c r="F4222" i="1"/>
  <c r="E4222" i="1"/>
  <c r="G4221" i="1"/>
  <c r="F4221" i="1"/>
  <c r="E4221" i="1"/>
  <c r="G4220" i="1"/>
  <c r="F4220" i="1"/>
  <c r="E4220" i="1"/>
  <c r="G4219" i="1"/>
  <c r="F4219" i="1"/>
  <c r="E4219" i="1"/>
  <c r="G4218" i="1"/>
  <c r="F4218" i="1"/>
  <c r="E4218" i="1"/>
  <c r="G4217" i="1"/>
  <c r="F4217" i="1"/>
  <c r="E4217" i="1"/>
  <c r="G4216" i="1"/>
  <c r="F4216" i="1"/>
  <c r="E4216" i="1"/>
  <c r="G4215" i="1"/>
  <c r="F4215" i="1"/>
  <c r="E4215" i="1"/>
  <c r="G4214" i="1"/>
  <c r="F4214" i="1"/>
  <c r="E4214" i="1"/>
  <c r="G4213" i="1"/>
  <c r="F4213" i="1"/>
  <c r="E4213" i="1"/>
  <c r="G4212" i="1"/>
  <c r="F4212" i="1"/>
  <c r="E4212" i="1"/>
  <c r="G4211" i="1"/>
  <c r="F4211" i="1"/>
  <c r="E4211" i="1"/>
  <c r="G4210" i="1"/>
  <c r="F4210" i="1"/>
  <c r="E4210" i="1"/>
  <c r="G4209" i="1"/>
  <c r="F4209" i="1"/>
  <c r="E4209" i="1"/>
  <c r="G4208" i="1"/>
  <c r="F4208" i="1"/>
  <c r="E4208" i="1"/>
  <c r="G4207" i="1"/>
  <c r="F4207" i="1"/>
  <c r="E4207" i="1"/>
  <c r="G4206" i="1"/>
  <c r="F4206" i="1"/>
  <c r="E4206" i="1"/>
  <c r="G4205" i="1"/>
  <c r="F4205" i="1"/>
  <c r="E4205" i="1"/>
  <c r="G4204" i="1"/>
  <c r="F4204" i="1"/>
  <c r="E4204" i="1"/>
  <c r="G4203" i="1"/>
  <c r="F4203" i="1"/>
  <c r="E4203" i="1"/>
  <c r="G4202" i="1"/>
  <c r="F4202" i="1"/>
  <c r="E4202" i="1"/>
  <c r="G4201" i="1"/>
  <c r="F4201" i="1"/>
  <c r="E4201" i="1"/>
  <c r="G4200" i="1"/>
  <c r="F4200" i="1"/>
  <c r="E4200" i="1"/>
  <c r="G4199" i="1"/>
  <c r="F4199" i="1"/>
  <c r="E4199" i="1"/>
  <c r="G4198" i="1"/>
  <c r="F4198" i="1"/>
  <c r="E4198" i="1"/>
  <c r="G4197" i="1"/>
  <c r="F4197" i="1"/>
  <c r="E4197" i="1"/>
  <c r="G4196" i="1"/>
  <c r="F4196" i="1"/>
  <c r="E4196" i="1"/>
  <c r="G4195" i="1"/>
  <c r="F4195" i="1"/>
  <c r="E4195" i="1"/>
  <c r="G4194" i="1"/>
  <c r="F4194" i="1"/>
  <c r="E4194" i="1"/>
  <c r="G4193" i="1"/>
  <c r="F4193" i="1"/>
  <c r="E4193" i="1"/>
  <c r="G4192" i="1"/>
  <c r="F4192" i="1"/>
  <c r="E4192" i="1"/>
  <c r="G4191" i="1"/>
  <c r="F4191" i="1"/>
  <c r="E4191" i="1"/>
  <c r="G4190" i="1"/>
  <c r="F4190" i="1"/>
  <c r="E4190" i="1"/>
  <c r="G4189" i="1"/>
  <c r="F4189" i="1"/>
  <c r="E4189" i="1"/>
  <c r="G4188" i="1"/>
  <c r="F4188" i="1"/>
  <c r="E4188" i="1"/>
  <c r="G4187" i="1"/>
  <c r="F4187" i="1"/>
  <c r="E4187" i="1"/>
  <c r="G4186" i="1"/>
  <c r="F4186" i="1"/>
  <c r="E4186" i="1"/>
  <c r="G4185" i="1"/>
  <c r="F4185" i="1"/>
  <c r="E4185" i="1"/>
  <c r="G4184" i="1"/>
  <c r="F4184" i="1"/>
  <c r="E4184" i="1"/>
  <c r="G4183" i="1"/>
  <c r="F4183" i="1"/>
  <c r="E4183" i="1"/>
  <c r="G4182" i="1"/>
  <c r="F4182" i="1"/>
  <c r="E4182" i="1"/>
  <c r="G4181" i="1"/>
  <c r="F4181" i="1"/>
  <c r="E4181" i="1"/>
  <c r="G4180" i="1"/>
  <c r="F4180" i="1"/>
  <c r="E4180" i="1"/>
  <c r="G4179" i="1"/>
  <c r="F4179" i="1"/>
  <c r="E4179" i="1"/>
  <c r="G4178" i="1"/>
  <c r="F4178" i="1"/>
  <c r="E4178" i="1"/>
  <c r="G4177" i="1"/>
  <c r="F4177" i="1"/>
  <c r="E4177" i="1"/>
  <c r="G4176" i="1"/>
  <c r="F4176" i="1"/>
  <c r="E4176" i="1"/>
  <c r="G4175" i="1"/>
  <c r="F4175" i="1"/>
  <c r="E4175" i="1"/>
  <c r="G4174" i="1"/>
  <c r="F4174" i="1"/>
  <c r="E4174" i="1"/>
  <c r="G4173" i="1"/>
  <c r="F4173" i="1"/>
  <c r="E4173" i="1"/>
  <c r="G4172" i="1"/>
  <c r="F4172" i="1"/>
  <c r="E4172" i="1"/>
  <c r="G4171" i="1"/>
  <c r="F4171" i="1"/>
  <c r="E4171" i="1"/>
  <c r="G4170" i="1"/>
  <c r="F4170" i="1"/>
  <c r="E4170" i="1"/>
  <c r="G4169" i="1"/>
  <c r="F4169" i="1"/>
  <c r="E4169" i="1"/>
  <c r="G4168" i="1"/>
  <c r="F4168" i="1"/>
  <c r="E4168" i="1"/>
  <c r="G4167" i="1"/>
  <c r="F4167" i="1"/>
  <c r="E4167" i="1"/>
  <c r="G4166" i="1"/>
  <c r="F4166" i="1"/>
  <c r="E4166" i="1"/>
  <c r="G4165" i="1"/>
  <c r="F4165" i="1"/>
  <c r="E4165" i="1"/>
  <c r="G4164" i="1"/>
  <c r="F4164" i="1"/>
  <c r="E4164" i="1"/>
  <c r="G4163" i="1"/>
  <c r="F4163" i="1"/>
  <c r="E4163" i="1"/>
  <c r="G4162" i="1"/>
  <c r="F4162" i="1"/>
  <c r="E4162" i="1"/>
  <c r="G4161" i="1"/>
  <c r="F4161" i="1"/>
  <c r="E4161" i="1"/>
  <c r="G4160" i="1"/>
  <c r="F4160" i="1"/>
  <c r="E4160" i="1"/>
  <c r="G4159" i="1"/>
  <c r="F4159" i="1"/>
  <c r="E4159" i="1"/>
  <c r="G4158" i="1"/>
  <c r="F4158" i="1"/>
  <c r="E4158" i="1"/>
  <c r="G4157" i="1"/>
  <c r="F4157" i="1"/>
  <c r="E4157" i="1"/>
  <c r="G4156" i="1"/>
  <c r="F4156" i="1"/>
  <c r="E4156" i="1"/>
  <c r="G4155" i="1"/>
  <c r="F4155" i="1"/>
  <c r="E4155" i="1"/>
  <c r="G4154" i="1"/>
  <c r="F4154" i="1"/>
  <c r="E4154" i="1"/>
  <c r="G4153" i="1"/>
  <c r="F4153" i="1"/>
  <c r="E4153" i="1"/>
  <c r="G4152" i="1"/>
  <c r="F4152" i="1"/>
  <c r="E4152" i="1"/>
  <c r="G4151" i="1"/>
  <c r="F4151" i="1"/>
  <c r="E4151" i="1"/>
  <c r="G4150" i="1"/>
  <c r="F4150" i="1"/>
  <c r="E4150" i="1"/>
  <c r="G4149" i="1"/>
  <c r="F4149" i="1"/>
  <c r="E4149" i="1"/>
  <c r="G4148" i="1"/>
  <c r="F4148" i="1"/>
  <c r="E4148" i="1"/>
  <c r="G4147" i="1"/>
  <c r="F4147" i="1"/>
  <c r="E4147" i="1"/>
  <c r="G4146" i="1"/>
  <c r="F4146" i="1"/>
  <c r="E4146" i="1"/>
  <c r="G4145" i="1"/>
  <c r="F4145" i="1"/>
  <c r="E4145" i="1"/>
  <c r="G4144" i="1"/>
  <c r="F4144" i="1"/>
  <c r="E4144" i="1"/>
  <c r="G4143" i="1"/>
  <c r="F4143" i="1"/>
  <c r="E4143" i="1"/>
  <c r="G4142" i="1"/>
  <c r="F4142" i="1"/>
  <c r="E4142" i="1"/>
  <c r="G4141" i="1"/>
  <c r="F4141" i="1"/>
  <c r="E4141" i="1"/>
  <c r="G4140" i="1"/>
  <c r="F4140" i="1"/>
  <c r="E4140" i="1"/>
  <c r="G4139" i="1"/>
  <c r="F4139" i="1"/>
  <c r="E4139" i="1"/>
  <c r="G4138" i="1"/>
  <c r="F4138" i="1"/>
  <c r="E4138" i="1"/>
  <c r="G4137" i="1"/>
  <c r="F4137" i="1"/>
  <c r="E4137" i="1"/>
  <c r="G4136" i="1"/>
  <c r="F4136" i="1"/>
  <c r="E4136" i="1"/>
  <c r="G4135" i="1"/>
  <c r="F4135" i="1"/>
  <c r="E4135" i="1"/>
  <c r="G4134" i="1"/>
  <c r="F4134" i="1"/>
  <c r="E4134" i="1"/>
  <c r="G4133" i="1"/>
  <c r="F4133" i="1"/>
  <c r="E4133" i="1"/>
  <c r="G4132" i="1"/>
  <c r="F4132" i="1"/>
  <c r="E4132" i="1"/>
  <c r="G4131" i="1"/>
  <c r="F4131" i="1"/>
  <c r="E4131" i="1"/>
  <c r="G4130" i="1"/>
  <c r="F4130" i="1"/>
  <c r="E4130" i="1"/>
  <c r="G4129" i="1"/>
  <c r="F4129" i="1"/>
  <c r="E4129" i="1"/>
  <c r="G4128" i="1"/>
  <c r="F4128" i="1"/>
  <c r="E4128" i="1"/>
  <c r="G4127" i="1"/>
  <c r="F4127" i="1"/>
  <c r="E4127" i="1"/>
  <c r="G4126" i="1"/>
  <c r="F4126" i="1"/>
  <c r="E4126" i="1"/>
  <c r="G4125" i="1"/>
  <c r="F4125" i="1"/>
  <c r="E4125" i="1"/>
  <c r="G4124" i="1"/>
  <c r="F4124" i="1"/>
  <c r="E4124" i="1"/>
  <c r="G4123" i="1"/>
  <c r="F4123" i="1"/>
  <c r="E4123" i="1"/>
  <c r="G4122" i="1"/>
  <c r="F4122" i="1"/>
  <c r="E4122" i="1"/>
  <c r="G4121" i="1"/>
  <c r="F4121" i="1"/>
  <c r="E4121" i="1"/>
  <c r="G4120" i="1"/>
  <c r="F4120" i="1"/>
  <c r="E4120" i="1"/>
  <c r="G4119" i="1"/>
  <c r="F4119" i="1"/>
  <c r="E4119" i="1"/>
  <c r="G4118" i="1"/>
  <c r="F4118" i="1"/>
  <c r="E4118" i="1"/>
  <c r="G4117" i="1"/>
  <c r="F4117" i="1"/>
  <c r="E4117" i="1"/>
  <c r="G4116" i="1"/>
  <c r="F4116" i="1"/>
  <c r="E4116" i="1"/>
  <c r="G4115" i="1"/>
  <c r="F4115" i="1"/>
  <c r="E4115" i="1"/>
  <c r="G4114" i="1"/>
  <c r="F4114" i="1"/>
  <c r="E4114" i="1"/>
  <c r="G4113" i="1"/>
  <c r="F4113" i="1"/>
  <c r="E4113" i="1"/>
  <c r="G4112" i="1"/>
  <c r="F4112" i="1"/>
  <c r="E4112" i="1"/>
  <c r="G4111" i="1"/>
  <c r="F4111" i="1"/>
  <c r="E4111" i="1"/>
  <c r="G4110" i="1"/>
  <c r="F4110" i="1"/>
  <c r="E4110" i="1"/>
  <c r="G4109" i="1"/>
  <c r="F4109" i="1"/>
  <c r="E4109" i="1"/>
  <c r="G4108" i="1"/>
  <c r="F4108" i="1"/>
  <c r="E4108" i="1"/>
  <c r="G4107" i="1"/>
  <c r="F4107" i="1"/>
  <c r="E4107" i="1"/>
  <c r="G4106" i="1"/>
  <c r="F4106" i="1"/>
  <c r="E4106" i="1"/>
  <c r="G4105" i="1"/>
  <c r="F4105" i="1"/>
  <c r="E4105" i="1"/>
  <c r="G4104" i="1"/>
  <c r="F4104" i="1"/>
  <c r="E4104" i="1"/>
  <c r="G4103" i="1"/>
  <c r="F4103" i="1"/>
  <c r="E4103" i="1"/>
  <c r="G4102" i="1"/>
  <c r="F4102" i="1"/>
  <c r="E4102" i="1"/>
  <c r="G4101" i="1"/>
  <c r="F4101" i="1"/>
  <c r="E4101" i="1"/>
  <c r="G4100" i="1"/>
  <c r="F4100" i="1"/>
  <c r="E4100" i="1"/>
  <c r="G4099" i="1"/>
  <c r="F4099" i="1"/>
  <c r="E4099" i="1"/>
  <c r="G4098" i="1"/>
  <c r="F4098" i="1"/>
  <c r="E4098" i="1"/>
  <c r="G4097" i="1"/>
  <c r="F4097" i="1"/>
  <c r="E4097" i="1"/>
  <c r="G4096" i="1"/>
  <c r="F4096" i="1"/>
  <c r="E4096" i="1"/>
  <c r="G4095" i="1"/>
  <c r="F4095" i="1"/>
  <c r="E4095" i="1"/>
  <c r="G4094" i="1"/>
  <c r="F4094" i="1"/>
  <c r="E4094" i="1"/>
  <c r="G4093" i="1"/>
  <c r="F4093" i="1"/>
  <c r="E4093" i="1"/>
  <c r="G4092" i="1"/>
  <c r="F4092" i="1"/>
  <c r="E4092" i="1"/>
  <c r="G4091" i="1"/>
  <c r="F4091" i="1"/>
  <c r="E4091" i="1"/>
  <c r="G4090" i="1"/>
  <c r="F4090" i="1"/>
  <c r="E4090" i="1"/>
  <c r="G4089" i="1"/>
  <c r="F4089" i="1"/>
  <c r="E4089" i="1"/>
  <c r="G4088" i="1"/>
  <c r="F4088" i="1"/>
  <c r="E4088" i="1"/>
  <c r="G4087" i="1"/>
  <c r="F4087" i="1"/>
  <c r="E4087" i="1"/>
  <c r="G4086" i="1"/>
  <c r="F4086" i="1"/>
  <c r="E4086" i="1"/>
  <c r="G4085" i="1"/>
  <c r="F4085" i="1"/>
  <c r="E4085" i="1"/>
  <c r="G4084" i="1"/>
  <c r="F4084" i="1"/>
  <c r="E4084" i="1"/>
  <c r="G4083" i="1"/>
  <c r="F4083" i="1"/>
  <c r="E4083" i="1"/>
  <c r="G4082" i="1"/>
  <c r="F4082" i="1"/>
  <c r="E4082" i="1"/>
  <c r="G4081" i="1"/>
  <c r="F4081" i="1"/>
  <c r="E4081" i="1"/>
  <c r="G4080" i="1"/>
  <c r="F4080" i="1"/>
  <c r="E4080" i="1"/>
  <c r="G4079" i="1"/>
  <c r="F4079" i="1"/>
  <c r="E4079" i="1"/>
  <c r="G4078" i="1"/>
  <c r="F4078" i="1"/>
  <c r="E4078" i="1"/>
  <c r="G4077" i="1"/>
  <c r="F4077" i="1"/>
  <c r="E4077" i="1"/>
  <c r="G4076" i="1"/>
  <c r="F4076" i="1"/>
  <c r="E4076" i="1"/>
  <c r="G4075" i="1"/>
  <c r="F4075" i="1"/>
  <c r="E4075" i="1"/>
  <c r="G4074" i="1"/>
  <c r="F4074" i="1"/>
  <c r="E4074" i="1"/>
  <c r="G4073" i="1"/>
  <c r="F4073" i="1"/>
  <c r="E4073" i="1"/>
  <c r="G4072" i="1"/>
  <c r="F4072" i="1"/>
  <c r="E4072" i="1"/>
  <c r="G4071" i="1"/>
  <c r="F4071" i="1"/>
  <c r="E4071" i="1"/>
  <c r="G4070" i="1"/>
  <c r="F4070" i="1"/>
  <c r="E4070" i="1"/>
  <c r="G4069" i="1"/>
  <c r="F4069" i="1"/>
  <c r="E4069" i="1"/>
  <c r="G4068" i="1"/>
  <c r="F4068" i="1"/>
  <c r="E4068" i="1"/>
  <c r="G4067" i="1"/>
  <c r="F4067" i="1"/>
  <c r="E4067" i="1"/>
  <c r="G4066" i="1"/>
  <c r="F4066" i="1"/>
  <c r="E4066" i="1"/>
  <c r="G4065" i="1"/>
  <c r="F4065" i="1"/>
  <c r="E4065" i="1"/>
  <c r="G4064" i="1"/>
  <c r="F4064" i="1"/>
  <c r="E4064" i="1"/>
  <c r="G4063" i="1"/>
  <c r="F4063" i="1"/>
  <c r="E4063" i="1"/>
  <c r="G4062" i="1"/>
  <c r="F4062" i="1"/>
  <c r="E4062" i="1"/>
  <c r="G4061" i="1"/>
  <c r="F4061" i="1"/>
  <c r="E4061" i="1"/>
  <c r="G4060" i="1"/>
  <c r="F4060" i="1"/>
  <c r="E4060" i="1"/>
  <c r="G4059" i="1"/>
  <c r="F4059" i="1"/>
  <c r="E4059" i="1"/>
  <c r="G4058" i="1"/>
  <c r="F4058" i="1"/>
  <c r="E4058" i="1"/>
  <c r="G4057" i="1"/>
  <c r="F4057" i="1"/>
  <c r="E4057" i="1"/>
  <c r="G4056" i="1"/>
  <c r="F4056" i="1"/>
  <c r="E4056" i="1"/>
  <c r="G4055" i="1"/>
  <c r="F4055" i="1"/>
  <c r="E4055" i="1"/>
  <c r="G4054" i="1"/>
  <c r="F4054" i="1"/>
  <c r="E4054" i="1"/>
  <c r="G4053" i="1"/>
  <c r="F4053" i="1"/>
  <c r="E4053" i="1"/>
  <c r="G4052" i="1"/>
  <c r="F4052" i="1"/>
  <c r="E4052" i="1"/>
  <c r="G4051" i="1"/>
  <c r="F4051" i="1"/>
  <c r="E4051" i="1"/>
  <c r="G4050" i="1"/>
  <c r="F4050" i="1"/>
  <c r="E4050" i="1"/>
  <c r="G4049" i="1"/>
  <c r="F4049" i="1"/>
  <c r="E4049" i="1"/>
  <c r="G4048" i="1"/>
  <c r="F4048" i="1"/>
  <c r="E4048" i="1"/>
  <c r="G4047" i="1"/>
  <c r="F4047" i="1"/>
  <c r="E4047" i="1"/>
  <c r="G4046" i="1"/>
  <c r="F4046" i="1"/>
  <c r="E4046" i="1"/>
  <c r="G4045" i="1"/>
  <c r="F4045" i="1"/>
  <c r="E4045" i="1"/>
  <c r="G4044" i="1"/>
  <c r="F4044" i="1"/>
  <c r="E4044" i="1"/>
  <c r="G4043" i="1"/>
  <c r="F4043" i="1"/>
  <c r="E4043" i="1"/>
  <c r="G4042" i="1"/>
  <c r="F4042" i="1"/>
  <c r="E4042" i="1"/>
  <c r="G4041" i="1"/>
  <c r="F4041" i="1"/>
  <c r="E4041" i="1"/>
  <c r="G4040" i="1"/>
  <c r="F4040" i="1"/>
  <c r="E4040" i="1"/>
  <c r="G4039" i="1"/>
  <c r="F4039" i="1"/>
  <c r="E4039" i="1"/>
  <c r="G4038" i="1"/>
  <c r="F4038" i="1"/>
  <c r="E4038" i="1"/>
  <c r="G4037" i="1"/>
  <c r="F4037" i="1"/>
  <c r="E4037" i="1"/>
  <c r="G4036" i="1"/>
  <c r="F4036" i="1"/>
  <c r="E4036" i="1"/>
  <c r="G4035" i="1"/>
  <c r="F4035" i="1"/>
  <c r="E4035" i="1"/>
  <c r="G4034" i="1"/>
  <c r="F4034" i="1"/>
  <c r="E4034" i="1"/>
  <c r="G4033" i="1"/>
  <c r="F4033" i="1"/>
  <c r="E4033" i="1"/>
  <c r="G4032" i="1"/>
  <c r="F4032" i="1"/>
  <c r="E4032" i="1"/>
  <c r="G4031" i="1"/>
  <c r="F4031" i="1"/>
  <c r="E4031" i="1"/>
  <c r="G4030" i="1"/>
  <c r="F4030" i="1"/>
  <c r="E4030" i="1"/>
  <c r="G4029" i="1"/>
  <c r="F4029" i="1"/>
  <c r="E4029" i="1"/>
  <c r="G4028" i="1"/>
  <c r="F4028" i="1"/>
  <c r="E4028" i="1"/>
  <c r="G4027" i="1"/>
  <c r="F4027" i="1"/>
  <c r="E4027" i="1"/>
  <c r="G4026" i="1"/>
  <c r="F4026" i="1"/>
  <c r="E4026" i="1"/>
  <c r="G4025" i="1"/>
  <c r="F4025" i="1"/>
  <c r="E4025" i="1"/>
  <c r="G4024" i="1"/>
  <c r="F4024" i="1"/>
  <c r="E4024" i="1"/>
  <c r="G4023" i="1"/>
  <c r="F4023" i="1"/>
  <c r="E4023" i="1"/>
  <c r="G4022" i="1"/>
  <c r="F4022" i="1"/>
  <c r="E4022" i="1"/>
  <c r="G4021" i="1"/>
  <c r="F4021" i="1"/>
  <c r="E4021" i="1"/>
  <c r="G4020" i="1"/>
  <c r="F4020" i="1"/>
  <c r="E4020" i="1"/>
  <c r="G4019" i="1"/>
  <c r="F4019" i="1"/>
  <c r="E4019" i="1"/>
  <c r="G4018" i="1"/>
  <c r="F4018" i="1"/>
  <c r="E4018" i="1"/>
  <c r="G4017" i="1"/>
  <c r="F4017" i="1"/>
  <c r="E4017" i="1"/>
  <c r="G4016" i="1"/>
  <c r="F4016" i="1"/>
  <c r="E4016" i="1"/>
  <c r="G4015" i="1"/>
  <c r="F4015" i="1"/>
  <c r="E4015" i="1"/>
  <c r="G4014" i="1"/>
  <c r="F4014" i="1"/>
  <c r="E4014" i="1"/>
  <c r="G4013" i="1"/>
  <c r="F4013" i="1"/>
  <c r="E4013" i="1"/>
  <c r="G4012" i="1"/>
  <c r="F4012" i="1"/>
  <c r="E4012" i="1"/>
  <c r="G4011" i="1"/>
  <c r="F4011" i="1"/>
  <c r="E4011" i="1"/>
  <c r="G4010" i="1"/>
  <c r="F4010" i="1"/>
  <c r="E4010" i="1"/>
  <c r="G4009" i="1"/>
  <c r="F4009" i="1"/>
  <c r="E4009" i="1"/>
  <c r="G4008" i="1"/>
  <c r="F4008" i="1"/>
  <c r="E4008" i="1"/>
  <c r="G4007" i="1"/>
  <c r="F4007" i="1"/>
  <c r="E4007" i="1"/>
  <c r="G4006" i="1"/>
  <c r="F4006" i="1"/>
  <c r="E4006" i="1"/>
  <c r="G4005" i="1"/>
  <c r="F4005" i="1"/>
  <c r="E4005" i="1"/>
  <c r="G4004" i="1"/>
  <c r="F4004" i="1"/>
  <c r="E4004" i="1"/>
  <c r="G4003" i="1"/>
  <c r="F4003" i="1"/>
  <c r="E4003" i="1"/>
  <c r="G4002" i="1"/>
  <c r="F4002" i="1"/>
  <c r="E4002" i="1"/>
  <c r="G4001" i="1"/>
  <c r="F4001" i="1"/>
  <c r="E4001" i="1"/>
  <c r="G4000" i="1"/>
  <c r="F4000" i="1"/>
  <c r="E4000" i="1"/>
  <c r="G3999" i="1"/>
  <c r="F3999" i="1"/>
  <c r="E3999" i="1"/>
  <c r="G3998" i="1"/>
  <c r="F3998" i="1"/>
  <c r="E3998" i="1"/>
  <c r="G3997" i="1"/>
  <c r="F3997" i="1"/>
  <c r="E3997" i="1"/>
  <c r="G3996" i="1"/>
  <c r="F3996" i="1"/>
  <c r="E3996" i="1"/>
  <c r="G3995" i="1"/>
  <c r="F3995" i="1"/>
  <c r="E3995" i="1"/>
  <c r="G3994" i="1"/>
  <c r="F3994" i="1"/>
  <c r="E3994" i="1"/>
  <c r="G3993" i="1"/>
  <c r="F3993" i="1"/>
  <c r="E3993" i="1"/>
  <c r="G3992" i="1"/>
  <c r="F3992" i="1"/>
  <c r="E3992" i="1"/>
  <c r="G3991" i="1"/>
  <c r="F3991" i="1"/>
  <c r="E3991" i="1"/>
  <c r="G3990" i="1"/>
  <c r="F3990" i="1"/>
  <c r="E3990" i="1"/>
  <c r="G3989" i="1"/>
  <c r="F3989" i="1"/>
  <c r="E3989" i="1"/>
  <c r="G3988" i="1"/>
  <c r="F3988" i="1"/>
  <c r="E3988" i="1"/>
  <c r="G3987" i="1"/>
  <c r="F3987" i="1"/>
  <c r="E3987" i="1"/>
  <c r="G3986" i="1"/>
  <c r="F3986" i="1"/>
  <c r="E3986" i="1"/>
  <c r="G3985" i="1"/>
  <c r="F3985" i="1"/>
  <c r="E3985" i="1"/>
  <c r="G3984" i="1"/>
  <c r="F3984" i="1"/>
  <c r="E3984" i="1"/>
  <c r="G3983" i="1"/>
  <c r="F3983" i="1"/>
  <c r="E3983" i="1"/>
  <c r="G3982" i="1"/>
  <c r="F3982" i="1"/>
  <c r="E3982" i="1"/>
  <c r="G3981" i="1"/>
  <c r="F3981" i="1"/>
  <c r="E3981" i="1"/>
  <c r="G3980" i="1"/>
  <c r="F3980" i="1"/>
  <c r="E3980" i="1"/>
  <c r="G3979" i="1"/>
  <c r="F3979" i="1"/>
  <c r="E3979" i="1"/>
  <c r="G3978" i="1"/>
  <c r="F3978" i="1"/>
  <c r="E3978" i="1"/>
  <c r="G3977" i="1"/>
  <c r="F3977" i="1"/>
  <c r="E3977" i="1"/>
  <c r="G3976" i="1"/>
  <c r="F3976" i="1"/>
  <c r="E3976" i="1"/>
  <c r="G3975" i="1"/>
  <c r="F3975" i="1"/>
  <c r="E3975" i="1"/>
  <c r="G3974" i="1"/>
  <c r="F3974" i="1"/>
  <c r="E3974" i="1"/>
  <c r="G3973" i="1"/>
  <c r="F3973" i="1"/>
  <c r="E3973" i="1"/>
  <c r="G3972" i="1"/>
  <c r="F3972" i="1"/>
  <c r="E3972" i="1"/>
  <c r="G3971" i="1"/>
  <c r="F3971" i="1"/>
  <c r="E3971" i="1"/>
  <c r="G3970" i="1"/>
  <c r="F3970" i="1"/>
  <c r="E3970" i="1"/>
  <c r="G3969" i="1"/>
  <c r="F3969" i="1"/>
  <c r="E3969" i="1"/>
  <c r="G3968" i="1"/>
  <c r="F3968" i="1"/>
  <c r="E3968" i="1"/>
  <c r="G3967" i="1"/>
  <c r="F3967" i="1"/>
  <c r="E3967" i="1"/>
  <c r="G3966" i="1"/>
  <c r="F3966" i="1"/>
  <c r="E3966" i="1"/>
  <c r="G3965" i="1"/>
  <c r="F3965" i="1"/>
  <c r="E3965" i="1"/>
  <c r="G3964" i="1"/>
  <c r="F3964" i="1"/>
  <c r="E3964" i="1"/>
  <c r="G3963" i="1"/>
  <c r="F3963" i="1"/>
  <c r="E3963" i="1"/>
  <c r="G3962" i="1"/>
  <c r="F3962" i="1"/>
  <c r="E3962" i="1"/>
  <c r="G3961" i="1"/>
  <c r="F3961" i="1"/>
  <c r="E3961" i="1"/>
  <c r="G3960" i="1"/>
  <c r="F3960" i="1"/>
  <c r="E3960" i="1"/>
  <c r="G3959" i="1"/>
  <c r="F3959" i="1"/>
  <c r="E3959" i="1"/>
  <c r="G3958" i="1"/>
  <c r="F3958" i="1"/>
  <c r="E3958" i="1"/>
  <c r="G3957" i="1"/>
  <c r="F3957" i="1"/>
  <c r="E3957" i="1"/>
  <c r="G3956" i="1"/>
  <c r="F3956" i="1"/>
  <c r="E3956" i="1"/>
  <c r="G3955" i="1"/>
  <c r="F3955" i="1"/>
  <c r="E3955" i="1"/>
  <c r="G3954" i="1"/>
  <c r="F3954" i="1"/>
  <c r="E3954" i="1"/>
  <c r="G3953" i="1"/>
  <c r="F3953" i="1"/>
  <c r="E3953" i="1"/>
  <c r="G3952" i="1"/>
  <c r="F3952" i="1"/>
  <c r="E3952" i="1"/>
  <c r="G3951" i="1"/>
  <c r="F3951" i="1"/>
  <c r="E3951" i="1"/>
  <c r="G3950" i="1"/>
  <c r="F3950" i="1"/>
  <c r="E3950" i="1"/>
  <c r="G3949" i="1"/>
  <c r="F3949" i="1"/>
  <c r="E3949" i="1"/>
  <c r="G3948" i="1"/>
  <c r="F3948" i="1"/>
  <c r="E3948" i="1"/>
  <c r="G3947" i="1"/>
  <c r="F3947" i="1"/>
  <c r="E3947" i="1"/>
  <c r="G3946" i="1"/>
  <c r="F3946" i="1"/>
  <c r="E3946" i="1"/>
  <c r="G3945" i="1"/>
  <c r="F3945" i="1"/>
  <c r="E3945" i="1"/>
  <c r="G3944" i="1"/>
  <c r="F3944" i="1"/>
  <c r="E3944" i="1"/>
  <c r="G3943" i="1"/>
  <c r="F3943" i="1"/>
  <c r="E3943" i="1"/>
  <c r="G3942" i="1"/>
  <c r="F3942" i="1"/>
  <c r="E3942" i="1"/>
  <c r="G3941" i="1"/>
  <c r="F3941" i="1"/>
  <c r="E3941" i="1"/>
  <c r="G3940" i="1"/>
  <c r="F3940" i="1"/>
  <c r="E3940" i="1"/>
  <c r="G3939" i="1"/>
  <c r="F3939" i="1"/>
  <c r="E3939" i="1"/>
  <c r="G3938" i="1"/>
  <c r="F3938" i="1"/>
  <c r="E3938" i="1"/>
  <c r="G3937" i="1"/>
  <c r="F3937" i="1"/>
  <c r="E3937" i="1"/>
  <c r="G3936" i="1"/>
  <c r="F3936" i="1"/>
  <c r="E3936" i="1"/>
  <c r="G3935" i="1"/>
  <c r="F3935" i="1"/>
  <c r="E3935" i="1"/>
  <c r="G3934" i="1"/>
  <c r="F3934" i="1"/>
  <c r="E3934" i="1"/>
  <c r="G3933" i="1"/>
  <c r="F3933" i="1"/>
  <c r="E3933" i="1"/>
  <c r="G3932" i="1"/>
  <c r="F3932" i="1"/>
  <c r="E3932" i="1"/>
  <c r="G3931" i="1"/>
  <c r="F3931" i="1"/>
  <c r="E3931" i="1"/>
  <c r="G3930" i="1"/>
  <c r="F3930" i="1"/>
  <c r="E3930" i="1"/>
  <c r="G3929" i="1"/>
  <c r="F3929" i="1"/>
  <c r="E3929" i="1"/>
  <c r="G3928" i="1"/>
  <c r="F3928" i="1"/>
  <c r="E3928" i="1"/>
  <c r="G3927" i="1"/>
  <c r="F3927" i="1"/>
  <c r="E3927" i="1"/>
  <c r="G3926" i="1"/>
  <c r="F3926" i="1"/>
  <c r="E3926" i="1"/>
  <c r="G3925" i="1"/>
  <c r="F3925" i="1"/>
  <c r="E3925" i="1"/>
  <c r="G3924" i="1"/>
  <c r="F3924" i="1"/>
  <c r="E3924" i="1"/>
  <c r="G3923" i="1"/>
  <c r="F3923" i="1"/>
  <c r="E3923" i="1"/>
  <c r="G3922" i="1"/>
  <c r="F3922" i="1"/>
  <c r="E3922" i="1"/>
  <c r="G3921" i="1"/>
  <c r="F3921" i="1"/>
  <c r="E3921" i="1"/>
  <c r="G3920" i="1"/>
  <c r="F3920" i="1"/>
  <c r="E3920" i="1"/>
  <c r="G3919" i="1"/>
  <c r="F3919" i="1"/>
  <c r="E3919" i="1"/>
  <c r="G3918" i="1"/>
  <c r="F3918" i="1"/>
  <c r="E3918" i="1"/>
  <c r="G3917" i="1"/>
  <c r="F3917" i="1"/>
  <c r="E3917" i="1"/>
  <c r="G3916" i="1"/>
  <c r="F3916" i="1"/>
  <c r="E3916" i="1"/>
  <c r="G3915" i="1"/>
  <c r="F3915" i="1"/>
  <c r="E3915" i="1"/>
  <c r="G3914" i="1"/>
  <c r="F3914" i="1"/>
  <c r="E3914" i="1"/>
  <c r="G3913" i="1"/>
  <c r="F3913" i="1"/>
  <c r="E3913" i="1"/>
  <c r="G3912" i="1"/>
  <c r="F3912" i="1"/>
  <c r="E3912" i="1"/>
  <c r="G3911" i="1"/>
  <c r="F3911" i="1"/>
  <c r="E3911" i="1"/>
  <c r="G3910" i="1"/>
  <c r="F3910" i="1"/>
  <c r="E3910" i="1"/>
  <c r="G3909" i="1"/>
  <c r="F3909" i="1"/>
  <c r="E3909" i="1"/>
  <c r="G3908" i="1"/>
  <c r="F3908" i="1"/>
  <c r="E3908" i="1"/>
  <c r="G3907" i="1"/>
  <c r="F3907" i="1"/>
  <c r="E3907" i="1"/>
  <c r="G3906" i="1"/>
  <c r="F3906" i="1"/>
  <c r="E3906" i="1"/>
  <c r="G3905" i="1"/>
  <c r="F3905" i="1"/>
  <c r="E3905" i="1"/>
  <c r="G3904" i="1"/>
  <c r="F3904" i="1"/>
  <c r="E3904" i="1"/>
  <c r="G3903" i="1"/>
  <c r="F3903" i="1"/>
  <c r="E3903" i="1"/>
  <c r="G3902" i="1"/>
  <c r="F3902" i="1"/>
  <c r="E3902" i="1"/>
  <c r="G3901" i="1"/>
  <c r="F3901" i="1"/>
  <c r="E3901" i="1"/>
  <c r="G3900" i="1"/>
  <c r="F3900" i="1"/>
  <c r="E3900" i="1"/>
  <c r="G3899" i="1"/>
  <c r="F3899" i="1"/>
  <c r="E3899" i="1"/>
  <c r="G3898" i="1"/>
  <c r="F3898" i="1"/>
  <c r="E3898" i="1"/>
  <c r="G3897" i="1"/>
  <c r="F3897" i="1"/>
  <c r="E3897" i="1"/>
  <c r="G3896" i="1"/>
  <c r="F3896" i="1"/>
  <c r="E3896" i="1"/>
  <c r="G3895" i="1"/>
  <c r="F3895" i="1"/>
  <c r="E3895" i="1"/>
  <c r="G3894" i="1"/>
  <c r="F3894" i="1"/>
  <c r="E3894" i="1"/>
  <c r="G3893" i="1"/>
  <c r="F3893" i="1"/>
  <c r="E3893" i="1"/>
  <c r="G3892" i="1"/>
  <c r="F3892" i="1"/>
  <c r="E3892" i="1"/>
  <c r="G3891" i="1"/>
  <c r="F3891" i="1"/>
  <c r="E3891" i="1"/>
  <c r="G3890" i="1"/>
  <c r="F3890" i="1"/>
  <c r="E3890" i="1"/>
  <c r="G3889" i="1"/>
  <c r="F3889" i="1"/>
  <c r="E3889" i="1"/>
  <c r="G3888" i="1"/>
  <c r="F3888" i="1"/>
  <c r="E3888" i="1"/>
  <c r="G3887" i="1"/>
  <c r="F3887" i="1"/>
  <c r="E3887" i="1"/>
  <c r="G3886" i="1"/>
  <c r="F3886" i="1"/>
  <c r="E3886" i="1"/>
  <c r="G3885" i="1"/>
  <c r="F3885" i="1"/>
  <c r="E3885" i="1"/>
  <c r="G3884" i="1"/>
  <c r="F3884" i="1"/>
  <c r="E3884" i="1"/>
  <c r="G3883" i="1"/>
  <c r="F3883" i="1"/>
  <c r="E3883" i="1"/>
  <c r="G3882" i="1"/>
  <c r="F3882" i="1"/>
  <c r="E3882" i="1"/>
  <c r="G3881" i="1"/>
  <c r="F3881" i="1"/>
  <c r="E3881" i="1"/>
  <c r="G3880" i="1"/>
  <c r="F3880" i="1"/>
  <c r="E3880" i="1"/>
  <c r="G3879" i="1"/>
  <c r="F3879" i="1"/>
  <c r="E3879" i="1"/>
  <c r="G3878" i="1"/>
  <c r="F3878" i="1"/>
  <c r="E3878" i="1"/>
  <c r="G3877" i="1"/>
  <c r="F3877" i="1"/>
  <c r="E3877" i="1"/>
  <c r="G3876" i="1"/>
  <c r="F3876" i="1"/>
  <c r="E3876" i="1"/>
  <c r="G3875" i="1"/>
  <c r="F3875" i="1"/>
  <c r="E3875" i="1"/>
  <c r="G3874" i="1"/>
  <c r="F3874" i="1"/>
  <c r="E3874" i="1"/>
  <c r="G3873" i="1"/>
  <c r="F3873" i="1"/>
  <c r="E3873" i="1"/>
  <c r="G3872" i="1"/>
  <c r="F3872" i="1"/>
  <c r="E3872" i="1"/>
  <c r="G3871" i="1"/>
  <c r="F3871" i="1"/>
  <c r="E3871" i="1"/>
  <c r="G3870" i="1"/>
  <c r="F3870" i="1"/>
  <c r="E3870" i="1"/>
  <c r="G3869" i="1"/>
  <c r="F3869" i="1"/>
  <c r="E3869" i="1"/>
  <c r="G3868" i="1"/>
  <c r="F3868" i="1"/>
  <c r="E3868" i="1"/>
  <c r="G3867" i="1"/>
  <c r="F3867" i="1"/>
  <c r="E3867" i="1"/>
  <c r="G3866" i="1"/>
  <c r="F3866" i="1"/>
  <c r="E3866" i="1"/>
  <c r="G3865" i="1"/>
  <c r="F3865" i="1"/>
  <c r="E3865" i="1"/>
  <c r="G3864" i="1"/>
  <c r="F3864" i="1"/>
  <c r="E3864" i="1"/>
  <c r="G3863" i="1"/>
  <c r="F3863" i="1"/>
  <c r="E3863" i="1"/>
  <c r="G3862" i="1"/>
  <c r="F3862" i="1"/>
  <c r="E3862" i="1"/>
  <c r="G3861" i="1"/>
  <c r="F3861" i="1"/>
  <c r="E3861" i="1"/>
  <c r="G3860" i="1"/>
  <c r="F3860" i="1"/>
  <c r="E3860" i="1"/>
  <c r="G3859" i="1"/>
  <c r="F3859" i="1"/>
  <c r="E3859" i="1"/>
  <c r="G3858" i="1"/>
  <c r="F3858" i="1"/>
  <c r="E3858" i="1"/>
  <c r="G3857" i="1"/>
  <c r="F3857" i="1"/>
  <c r="E3857" i="1"/>
  <c r="G3856" i="1"/>
  <c r="F3856" i="1"/>
  <c r="E3856" i="1"/>
  <c r="G3855" i="1"/>
  <c r="F3855" i="1"/>
  <c r="E3855" i="1"/>
  <c r="G3854" i="1"/>
  <c r="F3854" i="1"/>
  <c r="E3854" i="1"/>
  <c r="G3853" i="1"/>
  <c r="F3853" i="1"/>
  <c r="E3853" i="1"/>
  <c r="G3852" i="1"/>
  <c r="F3852" i="1"/>
  <c r="E3852" i="1"/>
  <c r="G3851" i="1"/>
  <c r="F3851" i="1"/>
  <c r="E3851" i="1"/>
  <c r="G3850" i="1"/>
  <c r="F3850" i="1"/>
  <c r="E3850" i="1"/>
  <c r="G3849" i="1"/>
  <c r="F3849" i="1"/>
  <c r="E3849" i="1"/>
  <c r="G3848" i="1"/>
  <c r="F3848" i="1"/>
  <c r="E3848" i="1"/>
  <c r="G3847" i="1"/>
  <c r="F3847" i="1"/>
  <c r="E3847" i="1"/>
  <c r="G3846" i="1"/>
  <c r="F3846" i="1"/>
  <c r="E3846" i="1"/>
  <c r="G3845" i="1"/>
  <c r="F3845" i="1"/>
  <c r="E3845" i="1"/>
  <c r="G3844" i="1"/>
  <c r="F3844" i="1"/>
  <c r="E3844" i="1"/>
  <c r="G3843" i="1"/>
  <c r="F3843" i="1"/>
  <c r="E3843" i="1"/>
  <c r="G3842" i="1"/>
  <c r="F3842" i="1"/>
  <c r="E3842" i="1"/>
  <c r="G3841" i="1"/>
  <c r="F3841" i="1"/>
  <c r="E3841" i="1"/>
  <c r="G3840" i="1"/>
  <c r="F3840" i="1"/>
  <c r="E3840" i="1"/>
  <c r="G3839" i="1"/>
  <c r="F3839" i="1"/>
  <c r="E3839" i="1"/>
  <c r="G3838" i="1"/>
  <c r="F3838" i="1"/>
  <c r="E3838" i="1"/>
  <c r="G3837" i="1"/>
  <c r="F3837" i="1"/>
  <c r="E3837" i="1"/>
  <c r="G3836" i="1"/>
  <c r="F3836" i="1"/>
  <c r="E3836" i="1"/>
  <c r="G3835" i="1"/>
  <c r="F3835" i="1"/>
  <c r="E3835" i="1"/>
  <c r="G3834" i="1"/>
  <c r="F3834" i="1"/>
  <c r="E3834" i="1"/>
  <c r="G3833" i="1"/>
  <c r="F3833" i="1"/>
  <c r="E3833" i="1"/>
  <c r="G3832" i="1"/>
  <c r="F3832" i="1"/>
  <c r="E3832" i="1"/>
  <c r="G3831" i="1"/>
  <c r="F3831" i="1"/>
  <c r="E3831" i="1"/>
  <c r="G3830" i="1"/>
  <c r="F3830" i="1"/>
  <c r="E3830" i="1"/>
  <c r="G3829" i="1"/>
  <c r="F3829" i="1"/>
  <c r="E3829" i="1"/>
  <c r="G3828" i="1"/>
  <c r="F3828" i="1"/>
  <c r="E3828" i="1"/>
  <c r="G3827" i="1"/>
  <c r="F3827" i="1"/>
  <c r="E3827" i="1"/>
  <c r="G3826" i="1"/>
  <c r="F3826" i="1"/>
  <c r="E3826" i="1"/>
  <c r="G3825" i="1"/>
  <c r="F3825" i="1"/>
  <c r="E3825" i="1"/>
  <c r="G3824" i="1"/>
  <c r="F3824" i="1"/>
  <c r="E3824" i="1"/>
  <c r="G3823" i="1"/>
  <c r="F3823" i="1"/>
  <c r="E3823" i="1"/>
  <c r="G3822" i="1"/>
  <c r="F3822" i="1"/>
  <c r="E3822" i="1"/>
  <c r="G3821" i="1"/>
  <c r="F3821" i="1"/>
  <c r="E3821" i="1"/>
  <c r="G3820" i="1"/>
  <c r="F3820" i="1"/>
  <c r="E3820" i="1"/>
  <c r="G3819" i="1"/>
  <c r="F3819" i="1"/>
  <c r="E3819" i="1"/>
  <c r="G3818" i="1"/>
  <c r="F3818" i="1"/>
  <c r="E3818" i="1"/>
  <c r="G3817" i="1"/>
  <c r="F3817" i="1"/>
  <c r="E3817" i="1"/>
  <c r="G3816" i="1"/>
  <c r="F3816" i="1"/>
  <c r="E3816" i="1"/>
  <c r="G3815" i="1"/>
  <c r="F3815" i="1"/>
  <c r="E3815" i="1"/>
  <c r="G3814" i="1"/>
  <c r="F3814" i="1"/>
  <c r="E3814" i="1"/>
  <c r="G3813" i="1"/>
  <c r="F3813" i="1"/>
  <c r="E3813" i="1"/>
  <c r="G3812" i="1"/>
  <c r="F3812" i="1"/>
  <c r="E3812" i="1"/>
  <c r="G3811" i="1"/>
  <c r="F3811" i="1"/>
  <c r="E3811" i="1"/>
  <c r="G3810" i="1"/>
  <c r="F3810" i="1"/>
  <c r="E3810" i="1"/>
  <c r="G3809" i="1"/>
  <c r="F3809" i="1"/>
  <c r="E3809" i="1"/>
  <c r="G3808" i="1"/>
  <c r="F3808" i="1"/>
  <c r="E3808" i="1"/>
  <c r="G3807" i="1"/>
  <c r="F3807" i="1"/>
  <c r="E3807" i="1"/>
  <c r="G3806" i="1"/>
  <c r="F3806" i="1"/>
  <c r="E3806" i="1"/>
  <c r="G3805" i="1"/>
  <c r="F3805" i="1"/>
  <c r="E3805" i="1"/>
  <c r="G3804" i="1"/>
  <c r="F3804" i="1"/>
  <c r="E3804" i="1"/>
  <c r="G3803" i="1"/>
  <c r="F3803" i="1"/>
  <c r="E3803" i="1"/>
  <c r="G3802" i="1"/>
  <c r="F3802" i="1"/>
  <c r="E3802" i="1"/>
  <c r="G3801" i="1"/>
  <c r="F3801" i="1"/>
  <c r="E3801" i="1"/>
  <c r="G3800" i="1"/>
  <c r="F3800" i="1"/>
  <c r="E3800" i="1"/>
  <c r="G3799" i="1"/>
  <c r="F3799" i="1"/>
  <c r="E3799" i="1"/>
  <c r="G3798" i="1"/>
  <c r="F3798" i="1"/>
  <c r="E3798" i="1"/>
  <c r="G3797" i="1"/>
  <c r="F3797" i="1"/>
  <c r="E3797" i="1"/>
  <c r="G3796" i="1"/>
  <c r="F3796" i="1"/>
  <c r="E3796" i="1"/>
  <c r="G3795" i="1"/>
  <c r="F3795" i="1"/>
  <c r="E3795" i="1"/>
  <c r="G3794" i="1"/>
  <c r="F3794" i="1"/>
  <c r="E3794" i="1"/>
  <c r="G3793" i="1"/>
  <c r="F3793" i="1"/>
  <c r="E3793" i="1"/>
  <c r="G3792" i="1"/>
  <c r="F3792" i="1"/>
  <c r="E3792" i="1"/>
  <c r="G3791" i="1"/>
  <c r="F3791" i="1"/>
  <c r="E3791" i="1"/>
  <c r="G3790" i="1"/>
  <c r="F3790" i="1"/>
  <c r="E3790" i="1"/>
  <c r="G3789" i="1"/>
  <c r="F3789" i="1"/>
  <c r="E3789" i="1"/>
  <c r="G3788" i="1"/>
  <c r="F3788" i="1"/>
  <c r="E3788" i="1"/>
  <c r="G3787" i="1"/>
  <c r="F3787" i="1"/>
  <c r="E3787" i="1"/>
  <c r="G3786" i="1"/>
  <c r="F3786" i="1"/>
  <c r="E3786" i="1"/>
  <c r="G3785" i="1"/>
  <c r="F3785" i="1"/>
  <c r="E3785" i="1"/>
  <c r="G3784" i="1"/>
  <c r="F3784" i="1"/>
  <c r="E3784" i="1"/>
  <c r="G3783" i="1"/>
  <c r="F3783" i="1"/>
  <c r="E3783" i="1"/>
  <c r="G3782" i="1"/>
  <c r="F3782" i="1"/>
  <c r="E3782" i="1"/>
  <c r="G3781" i="1"/>
  <c r="F3781" i="1"/>
  <c r="E3781" i="1"/>
  <c r="G3780" i="1"/>
  <c r="F3780" i="1"/>
  <c r="E3780" i="1"/>
  <c r="G3779" i="1"/>
  <c r="F3779" i="1"/>
  <c r="E3779" i="1"/>
  <c r="G3778" i="1"/>
  <c r="F3778" i="1"/>
  <c r="E3778" i="1"/>
  <c r="G3777" i="1"/>
  <c r="F3777" i="1"/>
  <c r="E3777" i="1"/>
  <c r="G3776" i="1"/>
  <c r="F3776" i="1"/>
  <c r="E3776" i="1"/>
  <c r="G3775" i="1"/>
  <c r="F3775" i="1"/>
  <c r="E3775" i="1"/>
  <c r="G3774" i="1"/>
  <c r="F3774" i="1"/>
  <c r="E3774" i="1"/>
  <c r="G3773" i="1"/>
  <c r="F3773" i="1"/>
  <c r="E3773" i="1"/>
  <c r="G3772" i="1"/>
  <c r="F3772" i="1"/>
  <c r="E3772" i="1"/>
  <c r="G3771" i="1"/>
  <c r="F3771" i="1"/>
  <c r="E3771" i="1"/>
  <c r="G3770" i="1"/>
  <c r="F3770" i="1"/>
  <c r="E3770" i="1"/>
  <c r="G3769" i="1"/>
  <c r="F3769" i="1"/>
  <c r="E3769" i="1"/>
  <c r="G3768" i="1"/>
  <c r="F3768" i="1"/>
  <c r="E3768" i="1"/>
  <c r="G3767" i="1"/>
  <c r="F3767" i="1"/>
  <c r="E3767" i="1"/>
  <c r="G3766" i="1"/>
  <c r="F3766" i="1"/>
  <c r="E3766" i="1"/>
  <c r="G3765" i="1"/>
  <c r="F3765" i="1"/>
  <c r="E3765" i="1"/>
  <c r="G3764" i="1"/>
  <c r="F3764" i="1"/>
  <c r="E3764" i="1"/>
  <c r="G3763" i="1"/>
  <c r="F3763" i="1"/>
  <c r="E3763" i="1"/>
  <c r="G3762" i="1"/>
  <c r="F3762" i="1"/>
  <c r="E3762" i="1"/>
  <c r="G3761" i="1"/>
  <c r="F3761" i="1"/>
  <c r="E3761" i="1"/>
  <c r="G3760" i="1"/>
  <c r="F3760" i="1"/>
  <c r="E3760" i="1"/>
  <c r="G3759" i="1"/>
  <c r="F3759" i="1"/>
  <c r="E3759" i="1"/>
  <c r="G3758" i="1"/>
  <c r="F3758" i="1"/>
  <c r="E3758" i="1"/>
  <c r="G3757" i="1"/>
  <c r="F3757" i="1"/>
  <c r="E3757" i="1"/>
  <c r="G3756" i="1"/>
  <c r="F3756" i="1"/>
  <c r="E3756" i="1"/>
  <c r="G3755" i="1"/>
  <c r="F3755" i="1"/>
  <c r="E3755" i="1"/>
  <c r="G3754" i="1"/>
  <c r="F3754" i="1"/>
  <c r="E3754" i="1"/>
  <c r="G3753" i="1"/>
  <c r="F3753" i="1"/>
  <c r="E3753" i="1"/>
  <c r="G3752" i="1"/>
  <c r="F3752" i="1"/>
  <c r="E3752" i="1"/>
  <c r="G3751" i="1"/>
  <c r="F3751" i="1"/>
  <c r="E3751" i="1"/>
  <c r="G3750" i="1"/>
  <c r="F3750" i="1"/>
  <c r="E3750" i="1"/>
  <c r="G3749" i="1"/>
  <c r="F3749" i="1"/>
  <c r="E3749" i="1"/>
  <c r="G3748" i="1"/>
  <c r="F3748" i="1"/>
  <c r="E3748" i="1"/>
  <c r="G3747" i="1"/>
  <c r="F3747" i="1"/>
  <c r="E3747" i="1"/>
  <c r="G3746" i="1"/>
  <c r="F3746" i="1"/>
  <c r="E3746" i="1"/>
  <c r="G3745" i="1"/>
  <c r="F3745" i="1"/>
  <c r="E3745" i="1"/>
  <c r="G3744" i="1"/>
  <c r="F3744" i="1"/>
  <c r="E3744" i="1"/>
  <c r="G3743" i="1"/>
  <c r="F3743" i="1"/>
  <c r="E3743" i="1"/>
  <c r="G3742" i="1"/>
  <c r="F3742" i="1"/>
  <c r="E3742" i="1"/>
  <c r="G3741" i="1"/>
  <c r="F3741" i="1"/>
  <c r="E3741" i="1"/>
  <c r="G3740" i="1"/>
  <c r="F3740" i="1"/>
  <c r="E3740" i="1"/>
  <c r="G3739" i="1"/>
  <c r="F3739" i="1"/>
  <c r="E3739" i="1"/>
  <c r="G3738" i="1"/>
  <c r="F3738" i="1"/>
  <c r="E3738" i="1"/>
  <c r="G3737" i="1"/>
  <c r="F3737" i="1"/>
  <c r="E3737" i="1"/>
  <c r="G3736" i="1"/>
  <c r="F3736" i="1"/>
  <c r="E3736" i="1"/>
  <c r="G3735" i="1"/>
  <c r="F3735" i="1"/>
  <c r="E3735" i="1"/>
  <c r="G3734" i="1"/>
  <c r="F3734" i="1"/>
  <c r="E3734" i="1"/>
  <c r="G3733" i="1"/>
  <c r="F3733" i="1"/>
  <c r="E3733" i="1"/>
  <c r="G3732" i="1"/>
  <c r="F3732" i="1"/>
  <c r="E3732" i="1"/>
  <c r="G3731" i="1"/>
  <c r="F3731" i="1"/>
  <c r="E3731" i="1"/>
  <c r="G3730" i="1"/>
  <c r="F3730" i="1"/>
  <c r="E3730" i="1"/>
  <c r="G3729" i="1"/>
  <c r="F3729" i="1"/>
  <c r="E3729" i="1"/>
  <c r="G3728" i="1"/>
  <c r="F3728" i="1"/>
  <c r="E3728" i="1"/>
  <c r="G3727" i="1"/>
  <c r="F3727" i="1"/>
  <c r="E3727" i="1"/>
  <c r="G3726" i="1"/>
  <c r="F3726" i="1"/>
  <c r="E3726" i="1"/>
  <c r="G3725" i="1"/>
  <c r="F3725" i="1"/>
  <c r="E3725" i="1"/>
  <c r="G3724" i="1"/>
  <c r="F3724" i="1"/>
  <c r="E3724" i="1"/>
  <c r="G3723" i="1"/>
  <c r="F3723" i="1"/>
  <c r="E3723" i="1"/>
  <c r="G3722" i="1"/>
  <c r="F3722" i="1"/>
  <c r="E3722" i="1"/>
  <c r="G3721" i="1"/>
  <c r="F3721" i="1"/>
  <c r="E3721" i="1"/>
  <c r="G3720" i="1"/>
  <c r="F3720" i="1"/>
  <c r="E3720" i="1"/>
  <c r="G3719" i="1"/>
  <c r="F3719" i="1"/>
  <c r="E3719" i="1"/>
  <c r="G3718" i="1"/>
  <c r="F3718" i="1"/>
  <c r="E3718" i="1"/>
  <c r="G3717" i="1"/>
  <c r="F3717" i="1"/>
  <c r="E3717" i="1"/>
  <c r="G3716" i="1"/>
  <c r="F3716" i="1"/>
  <c r="E3716" i="1"/>
  <c r="G3715" i="1"/>
  <c r="F3715" i="1"/>
  <c r="E3715" i="1"/>
  <c r="G3714" i="1"/>
  <c r="F3714" i="1"/>
  <c r="E3714" i="1"/>
  <c r="G3713" i="1"/>
  <c r="F3713" i="1"/>
  <c r="E3713" i="1"/>
  <c r="G3712" i="1"/>
  <c r="F3712" i="1"/>
  <c r="E3712" i="1"/>
  <c r="G3711" i="1"/>
  <c r="F3711" i="1"/>
  <c r="E3711" i="1"/>
  <c r="G3710" i="1"/>
  <c r="F3710" i="1"/>
  <c r="E3710" i="1"/>
  <c r="G3709" i="1"/>
  <c r="F3709" i="1"/>
  <c r="E3709" i="1"/>
  <c r="G3708" i="1"/>
  <c r="F3708" i="1"/>
  <c r="E3708" i="1"/>
  <c r="G3707" i="1"/>
  <c r="F3707" i="1"/>
  <c r="E3707" i="1"/>
  <c r="G3706" i="1"/>
  <c r="F3706" i="1"/>
  <c r="E3706" i="1"/>
  <c r="G3705" i="1"/>
  <c r="F3705" i="1"/>
  <c r="E3705" i="1"/>
  <c r="G3704" i="1"/>
  <c r="F3704" i="1"/>
  <c r="E3704" i="1"/>
  <c r="G3703" i="1"/>
  <c r="F3703" i="1"/>
  <c r="E3703" i="1"/>
  <c r="G3702" i="1"/>
  <c r="F3702" i="1"/>
  <c r="E3702" i="1"/>
  <c r="G3701" i="1"/>
  <c r="F3701" i="1"/>
  <c r="E3701" i="1"/>
  <c r="G3700" i="1"/>
  <c r="F3700" i="1"/>
  <c r="E3700" i="1"/>
  <c r="G3699" i="1"/>
  <c r="F3699" i="1"/>
  <c r="E3699" i="1"/>
  <c r="G3698" i="1"/>
  <c r="F3698" i="1"/>
  <c r="E3698" i="1"/>
  <c r="G3697" i="1"/>
  <c r="F3697" i="1"/>
  <c r="E3697" i="1"/>
  <c r="G3696" i="1"/>
  <c r="F3696" i="1"/>
  <c r="E3696" i="1"/>
  <c r="G3695" i="1"/>
  <c r="F3695" i="1"/>
  <c r="E3695" i="1"/>
  <c r="G3694" i="1"/>
  <c r="F3694" i="1"/>
  <c r="E3694" i="1"/>
  <c r="G3693" i="1"/>
  <c r="F3693" i="1"/>
  <c r="E3693" i="1"/>
  <c r="G3692" i="1"/>
  <c r="F3692" i="1"/>
  <c r="E3692" i="1"/>
  <c r="G3691" i="1"/>
  <c r="F3691" i="1"/>
  <c r="E3691" i="1"/>
  <c r="G3690" i="1"/>
  <c r="F3690" i="1"/>
  <c r="E3690" i="1"/>
  <c r="G3689" i="1"/>
  <c r="F3689" i="1"/>
  <c r="E3689" i="1"/>
  <c r="G3688" i="1"/>
  <c r="F3688" i="1"/>
  <c r="E3688" i="1"/>
  <c r="G3687" i="1"/>
  <c r="F3687" i="1"/>
  <c r="E3687" i="1"/>
  <c r="G3686" i="1"/>
  <c r="F3686" i="1"/>
  <c r="E3686" i="1"/>
  <c r="G3685" i="1"/>
  <c r="F3685" i="1"/>
  <c r="E3685" i="1"/>
  <c r="G3684" i="1"/>
  <c r="F3684" i="1"/>
  <c r="E3684" i="1"/>
  <c r="G3683" i="1"/>
  <c r="F3683" i="1"/>
  <c r="E3683" i="1"/>
  <c r="G3682" i="1"/>
  <c r="F3682" i="1"/>
  <c r="E3682" i="1"/>
  <c r="G3681" i="1"/>
  <c r="F3681" i="1"/>
  <c r="E3681" i="1"/>
  <c r="G3680" i="1"/>
  <c r="F3680" i="1"/>
  <c r="E3680" i="1"/>
  <c r="G3679" i="1"/>
  <c r="F3679" i="1"/>
  <c r="E3679" i="1"/>
  <c r="G3678" i="1"/>
  <c r="F3678" i="1"/>
  <c r="E3678" i="1"/>
  <c r="G3677" i="1"/>
  <c r="F3677" i="1"/>
  <c r="E3677" i="1"/>
  <c r="G3676" i="1"/>
  <c r="F3676" i="1"/>
  <c r="E3676" i="1"/>
  <c r="G3675" i="1"/>
  <c r="F3675" i="1"/>
  <c r="E3675" i="1"/>
  <c r="G3674" i="1"/>
  <c r="F3674" i="1"/>
  <c r="E3674" i="1"/>
  <c r="G3673" i="1"/>
  <c r="F3673" i="1"/>
  <c r="E3673" i="1"/>
  <c r="G3672" i="1"/>
  <c r="F3672" i="1"/>
  <c r="E3672" i="1"/>
  <c r="G3671" i="1"/>
  <c r="F3671" i="1"/>
  <c r="E3671" i="1"/>
  <c r="G3670" i="1"/>
  <c r="F3670" i="1"/>
  <c r="E3670" i="1"/>
  <c r="G3669" i="1"/>
  <c r="F3669" i="1"/>
  <c r="E3669" i="1"/>
  <c r="G3668" i="1"/>
  <c r="F3668" i="1"/>
  <c r="E3668" i="1"/>
  <c r="G3667" i="1"/>
  <c r="F3667" i="1"/>
  <c r="E3667" i="1"/>
  <c r="G3666" i="1"/>
  <c r="F3666" i="1"/>
  <c r="E3666" i="1"/>
  <c r="G3665" i="1"/>
  <c r="F3665" i="1"/>
  <c r="E3665" i="1"/>
  <c r="G3664" i="1"/>
  <c r="F3664" i="1"/>
  <c r="E3664" i="1"/>
  <c r="G3663" i="1"/>
  <c r="F3663" i="1"/>
  <c r="E3663" i="1"/>
  <c r="G3662" i="1"/>
  <c r="F3662" i="1"/>
  <c r="E3662" i="1"/>
  <c r="G3661" i="1"/>
  <c r="F3661" i="1"/>
  <c r="E3661" i="1"/>
  <c r="G3660" i="1"/>
  <c r="F3660" i="1"/>
  <c r="E3660" i="1"/>
  <c r="G3659" i="1"/>
  <c r="F3659" i="1"/>
  <c r="E3659" i="1"/>
  <c r="G3658" i="1"/>
  <c r="F3658" i="1"/>
  <c r="E3658" i="1"/>
  <c r="G3657" i="1"/>
  <c r="F3657" i="1"/>
  <c r="E3657" i="1"/>
  <c r="G3656" i="1"/>
  <c r="F3656" i="1"/>
  <c r="E3656" i="1"/>
  <c r="G3655" i="1"/>
  <c r="F3655" i="1"/>
  <c r="E3655" i="1"/>
  <c r="G3654" i="1"/>
  <c r="F3654" i="1"/>
  <c r="E3654" i="1"/>
  <c r="G3653" i="1"/>
  <c r="F3653" i="1"/>
  <c r="E3653" i="1"/>
  <c r="G3652" i="1"/>
  <c r="F3652" i="1"/>
  <c r="E3652" i="1"/>
  <c r="G3651" i="1"/>
  <c r="F3651" i="1"/>
  <c r="E3651" i="1"/>
  <c r="G3650" i="1"/>
  <c r="F3650" i="1"/>
  <c r="E3650" i="1"/>
  <c r="G3649" i="1"/>
  <c r="F3649" i="1"/>
  <c r="E3649" i="1"/>
  <c r="G3648" i="1"/>
  <c r="F3648" i="1"/>
  <c r="E3648" i="1"/>
  <c r="G3647" i="1"/>
  <c r="F3647" i="1"/>
  <c r="E3647" i="1"/>
  <c r="G3646" i="1"/>
  <c r="F3646" i="1"/>
  <c r="E3646" i="1"/>
  <c r="G3645" i="1"/>
  <c r="F3645" i="1"/>
  <c r="E3645" i="1"/>
  <c r="G3644" i="1"/>
  <c r="F3644" i="1"/>
  <c r="E3644" i="1"/>
  <c r="G3643" i="1"/>
  <c r="F3643" i="1"/>
  <c r="E3643" i="1"/>
  <c r="G3642" i="1"/>
  <c r="F3642" i="1"/>
  <c r="E3642" i="1"/>
  <c r="G3641" i="1"/>
  <c r="F3641" i="1"/>
  <c r="E3641" i="1"/>
  <c r="G3640" i="1"/>
  <c r="F3640" i="1"/>
  <c r="E3640" i="1"/>
  <c r="G3639" i="1"/>
  <c r="F3639" i="1"/>
  <c r="E3639" i="1"/>
  <c r="G3638" i="1"/>
  <c r="F3638" i="1"/>
  <c r="E3638" i="1"/>
  <c r="G3637" i="1"/>
  <c r="F3637" i="1"/>
  <c r="E3637" i="1"/>
  <c r="G3636" i="1"/>
  <c r="F3636" i="1"/>
  <c r="E3636" i="1"/>
  <c r="G3635" i="1"/>
  <c r="F3635" i="1"/>
  <c r="E3635" i="1"/>
  <c r="G3634" i="1"/>
  <c r="F3634" i="1"/>
  <c r="E3634" i="1"/>
  <c r="G3633" i="1"/>
  <c r="F3633" i="1"/>
  <c r="E3633" i="1"/>
  <c r="G3632" i="1"/>
  <c r="F3632" i="1"/>
  <c r="E3632" i="1"/>
  <c r="G3631" i="1"/>
  <c r="F3631" i="1"/>
  <c r="E3631" i="1"/>
  <c r="G3630" i="1"/>
  <c r="F3630" i="1"/>
  <c r="E3630" i="1"/>
  <c r="G3629" i="1"/>
  <c r="F3629" i="1"/>
  <c r="E3629" i="1"/>
  <c r="G3628" i="1"/>
  <c r="F3628" i="1"/>
  <c r="E3628" i="1"/>
  <c r="G3627" i="1"/>
  <c r="F3627" i="1"/>
  <c r="E3627" i="1"/>
  <c r="G3626" i="1"/>
  <c r="F3626" i="1"/>
  <c r="E3626" i="1"/>
  <c r="G3625" i="1"/>
  <c r="F3625" i="1"/>
  <c r="E3625" i="1"/>
  <c r="G3624" i="1"/>
  <c r="F3624" i="1"/>
  <c r="E3624" i="1"/>
  <c r="G3623" i="1"/>
  <c r="F3623" i="1"/>
  <c r="E3623" i="1"/>
  <c r="G3622" i="1"/>
  <c r="F3622" i="1"/>
  <c r="E3622" i="1"/>
  <c r="G3621" i="1"/>
  <c r="F3621" i="1"/>
  <c r="E3621" i="1"/>
  <c r="G3620" i="1"/>
  <c r="F3620" i="1"/>
  <c r="E3620" i="1"/>
  <c r="G3619" i="1"/>
  <c r="F3619" i="1"/>
  <c r="E3619" i="1"/>
  <c r="G3618" i="1"/>
  <c r="F3618" i="1"/>
  <c r="E3618" i="1"/>
  <c r="G3617" i="1"/>
  <c r="F3617" i="1"/>
  <c r="E3617" i="1"/>
  <c r="G3616" i="1"/>
  <c r="F3616" i="1"/>
  <c r="E3616" i="1"/>
  <c r="G3615" i="1"/>
  <c r="F3615" i="1"/>
  <c r="E3615" i="1"/>
  <c r="G3614" i="1"/>
  <c r="F3614" i="1"/>
  <c r="E3614" i="1"/>
  <c r="G3613" i="1"/>
  <c r="F3613" i="1"/>
  <c r="E3613" i="1"/>
  <c r="G3612" i="1"/>
  <c r="F3612" i="1"/>
  <c r="E3612" i="1"/>
  <c r="G3611" i="1"/>
  <c r="F3611" i="1"/>
  <c r="E3611" i="1"/>
  <c r="G3610" i="1"/>
  <c r="F3610" i="1"/>
  <c r="E3610" i="1"/>
  <c r="G3609" i="1"/>
  <c r="F3609" i="1"/>
  <c r="E3609" i="1"/>
  <c r="G3608" i="1"/>
  <c r="F3608" i="1"/>
  <c r="E3608" i="1"/>
  <c r="G3607" i="1"/>
  <c r="F3607" i="1"/>
  <c r="E3607" i="1"/>
  <c r="G3606" i="1"/>
  <c r="F3606" i="1"/>
  <c r="E3606" i="1"/>
  <c r="G3605" i="1"/>
  <c r="F3605" i="1"/>
  <c r="E3605" i="1"/>
  <c r="G3604" i="1"/>
  <c r="F3604" i="1"/>
  <c r="E3604" i="1"/>
  <c r="G3603" i="1"/>
  <c r="F3603" i="1"/>
  <c r="E3603" i="1"/>
  <c r="G3602" i="1"/>
  <c r="F3602" i="1"/>
  <c r="E3602" i="1"/>
  <c r="G3601" i="1"/>
  <c r="F3601" i="1"/>
  <c r="E3601" i="1"/>
  <c r="G3600" i="1"/>
  <c r="F3600" i="1"/>
  <c r="E3600" i="1"/>
  <c r="G3599" i="1"/>
  <c r="F3599" i="1"/>
  <c r="E3599" i="1"/>
  <c r="G3598" i="1"/>
  <c r="F3598" i="1"/>
  <c r="E3598" i="1"/>
  <c r="G3597" i="1"/>
  <c r="F3597" i="1"/>
  <c r="E3597" i="1"/>
  <c r="G3596" i="1"/>
  <c r="F3596" i="1"/>
  <c r="E3596" i="1"/>
  <c r="G3595" i="1"/>
  <c r="F3595" i="1"/>
  <c r="E3595" i="1"/>
  <c r="G3594" i="1"/>
  <c r="F3594" i="1"/>
  <c r="E3594" i="1"/>
  <c r="G3593" i="1"/>
  <c r="F3593" i="1"/>
  <c r="E3593" i="1"/>
  <c r="G3592" i="1"/>
  <c r="F3592" i="1"/>
  <c r="E3592" i="1"/>
  <c r="G3591" i="1"/>
  <c r="F3591" i="1"/>
  <c r="E3591" i="1"/>
  <c r="G3590" i="1"/>
  <c r="F3590" i="1"/>
  <c r="E3590" i="1"/>
  <c r="G3589" i="1"/>
  <c r="F3589" i="1"/>
  <c r="E3589" i="1"/>
  <c r="G3588" i="1"/>
  <c r="F3588" i="1"/>
  <c r="E3588" i="1"/>
  <c r="G3587" i="1"/>
  <c r="F3587" i="1"/>
  <c r="E3587" i="1"/>
  <c r="G3586" i="1"/>
  <c r="F3586" i="1"/>
  <c r="E3586" i="1"/>
  <c r="G3585" i="1"/>
  <c r="F3585" i="1"/>
  <c r="E3585" i="1"/>
  <c r="G3584" i="1"/>
  <c r="F3584" i="1"/>
  <c r="E3584" i="1"/>
  <c r="G3583" i="1"/>
  <c r="F3583" i="1"/>
  <c r="E3583" i="1"/>
  <c r="G3582" i="1"/>
  <c r="F3582" i="1"/>
  <c r="E3582" i="1"/>
  <c r="G3581" i="1"/>
  <c r="F3581" i="1"/>
  <c r="E3581" i="1"/>
  <c r="G3580" i="1"/>
  <c r="F3580" i="1"/>
  <c r="E3580" i="1"/>
  <c r="G3579" i="1"/>
  <c r="F3579" i="1"/>
  <c r="E3579" i="1"/>
  <c r="G3578" i="1"/>
  <c r="F3578" i="1"/>
  <c r="E3578" i="1"/>
  <c r="G3577" i="1"/>
  <c r="F3577" i="1"/>
  <c r="E3577" i="1"/>
  <c r="G3576" i="1"/>
  <c r="F3576" i="1"/>
  <c r="E3576" i="1"/>
  <c r="G3575" i="1"/>
  <c r="F3575" i="1"/>
  <c r="E3575" i="1"/>
  <c r="G3574" i="1"/>
  <c r="F3574" i="1"/>
  <c r="E3574" i="1"/>
  <c r="G3573" i="1"/>
  <c r="F3573" i="1"/>
  <c r="E3573" i="1"/>
  <c r="G3572" i="1"/>
  <c r="F3572" i="1"/>
  <c r="E3572" i="1"/>
  <c r="G3571" i="1"/>
  <c r="F3571" i="1"/>
  <c r="E3571" i="1"/>
  <c r="G3570" i="1"/>
  <c r="F3570" i="1"/>
  <c r="E3570" i="1"/>
  <c r="G3569" i="1"/>
  <c r="F3569" i="1"/>
  <c r="E3569" i="1"/>
  <c r="G3568" i="1"/>
  <c r="F3568" i="1"/>
  <c r="E3568" i="1"/>
  <c r="G3567" i="1"/>
  <c r="F3567" i="1"/>
  <c r="E3567" i="1"/>
  <c r="G3566" i="1"/>
  <c r="F3566" i="1"/>
  <c r="E3566" i="1"/>
  <c r="G3565" i="1"/>
  <c r="F3565" i="1"/>
  <c r="E3565" i="1"/>
  <c r="G3564" i="1"/>
  <c r="F3564" i="1"/>
  <c r="E3564" i="1"/>
  <c r="G3563" i="1"/>
  <c r="F3563" i="1"/>
  <c r="E3563" i="1"/>
  <c r="G3562" i="1"/>
  <c r="F3562" i="1"/>
  <c r="E3562" i="1"/>
  <c r="G3561" i="1"/>
  <c r="F3561" i="1"/>
  <c r="E3561" i="1"/>
  <c r="G3560" i="1"/>
  <c r="F3560" i="1"/>
  <c r="E3560" i="1"/>
  <c r="G3559" i="1"/>
  <c r="F3559" i="1"/>
  <c r="E3559" i="1"/>
  <c r="G3558" i="1"/>
  <c r="F3558" i="1"/>
  <c r="E3558" i="1"/>
  <c r="G3557" i="1"/>
  <c r="F3557" i="1"/>
  <c r="E3557" i="1"/>
  <c r="G3556" i="1"/>
  <c r="F3556" i="1"/>
  <c r="E3556" i="1"/>
  <c r="G3555" i="1"/>
  <c r="F3555" i="1"/>
  <c r="E3555" i="1"/>
  <c r="G3554" i="1"/>
  <c r="F3554" i="1"/>
  <c r="E3554" i="1"/>
  <c r="G3553" i="1"/>
  <c r="F3553" i="1"/>
  <c r="E3553" i="1"/>
  <c r="G3552" i="1"/>
  <c r="F3552" i="1"/>
  <c r="E3552" i="1"/>
  <c r="G3551" i="1"/>
  <c r="F3551" i="1"/>
  <c r="E3551" i="1"/>
  <c r="G3550" i="1"/>
  <c r="F3550" i="1"/>
  <c r="E3550" i="1"/>
  <c r="G3549" i="1"/>
  <c r="F3549" i="1"/>
  <c r="E3549" i="1"/>
  <c r="G3548" i="1"/>
  <c r="F3548" i="1"/>
  <c r="E3548" i="1"/>
  <c r="G3547" i="1"/>
  <c r="F3547" i="1"/>
  <c r="E3547" i="1"/>
  <c r="G3546" i="1"/>
  <c r="F3546" i="1"/>
  <c r="E3546" i="1"/>
  <c r="G3545" i="1"/>
  <c r="F3545" i="1"/>
  <c r="E3545" i="1"/>
  <c r="G3544" i="1"/>
  <c r="F3544" i="1"/>
  <c r="E3544" i="1"/>
  <c r="G3543" i="1"/>
  <c r="F3543" i="1"/>
  <c r="E3543" i="1"/>
  <c r="G3542" i="1"/>
  <c r="F3542" i="1"/>
  <c r="E3542" i="1"/>
  <c r="G3541" i="1"/>
  <c r="F3541" i="1"/>
  <c r="E3541" i="1"/>
  <c r="G3540" i="1"/>
  <c r="F3540" i="1"/>
  <c r="E3540" i="1"/>
  <c r="G3539" i="1"/>
  <c r="F3539" i="1"/>
  <c r="E3539" i="1"/>
  <c r="G3538" i="1"/>
  <c r="F3538" i="1"/>
  <c r="E3538" i="1"/>
  <c r="G3537" i="1"/>
  <c r="F3537" i="1"/>
  <c r="E3537" i="1"/>
  <c r="G3536" i="1"/>
  <c r="F3536" i="1"/>
  <c r="E3536" i="1"/>
  <c r="G3535" i="1"/>
  <c r="F3535" i="1"/>
  <c r="E3535" i="1"/>
  <c r="G3534" i="1"/>
  <c r="F3534" i="1"/>
  <c r="E3534" i="1"/>
  <c r="G3533" i="1"/>
  <c r="F3533" i="1"/>
  <c r="E3533" i="1"/>
  <c r="G3532" i="1"/>
  <c r="F3532" i="1"/>
  <c r="E3532" i="1"/>
  <c r="G3531" i="1"/>
  <c r="F3531" i="1"/>
  <c r="E3531" i="1"/>
  <c r="G3530" i="1"/>
  <c r="F3530" i="1"/>
  <c r="E3530" i="1"/>
  <c r="G3529" i="1"/>
  <c r="F3529" i="1"/>
  <c r="E3529" i="1"/>
  <c r="G3528" i="1"/>
  <c r="F3528" i="1"/>
  <c r="E3528" i="1"/>
  <c r="G3527" i="1"/>
  <c r="F3527" i="1"/>
  <c r="E3527" i="1"/>
  <c r="G3526" i="1"/>
  <c r="F3526" i="1"/>
  <c r="E3526" i="1"/>
  <c r="G3525" i="1"/>
  <c r="F3525" i="1"/>
  <c r="E3525" i="1"/>
  <c r="G3524" i="1"/>
  <c r="F3524" i="1"/>
  <c r="E3524" i="1"/>
  <c r="G3523" i="1"/>
  <c r="F3523" i="1"/>
  <c r="E3523" i="1"/>
  <c r="G3522" i="1"/>
  <c r="F3522" i="1"/>
  <c r="E3522" i="1"/>
  <c r="G3521" i="1"/>
  <c r="F3521" i="1"/>
  <c r="E3521" i="1"/>
  <c r="G3520" i="1"/>
  <c r="F3520" i="1"/>
  <c r="E3520" i="1"/>
  <c r="G3519" i="1"/>
  <c r="F3519" i="1"/>
  <c r="E3519" i="1"/>
  <c r="G3518" i="1"/>
  <c r="F3518" i="1"/>
  <c r="E3518" i="1"/>
  <c r="G3517" i="1"/>
  <c r="F3517" i="1"/>
  <c r="E3517" i="1"/>
  <c r="G3516" i="1"/>
  <c r="F3516" i="1"/>
  <c r="E3516" i="1"/>
  <c r="G3515" i="1"/>
  <c r="F3515" i="1"/>
  <c r="E3515" i="1"/>
  <c r="G3514" i="1"/>
  <c r="F3514" i="1"/>
  <c r="E3514" i="1"/>
  <c r="G3513" i="1"/>
  <c r="F3513" i="1"/>
  <c r="E3513" i="1"/>
  <c r="G3512" i="1"/>
  <c r="F3512" i="1"/>
  <c r="E3512" i="1"/>
  <c r="G3511" i="1"/>
  <c r="F3511" i="1"/>
  <c r="E3511" i="1"/>
  <c r="G3510" i="1"/>
  <c r="F3510" i="1"/>
  <c r="E3510" i="1"/>
  <c r="G3509" i="1"/>
  <c r="F3509" i="1"/>
  <c r="E3509" i="1"/>
  <c r="G3508" i="1"/>
  <c r="F3508" i="1"/>
  <c r="E3508" i="1"/>
  <c r="G3507" i="1"/>
  <c r="F3507" i="1"/>
  <c r="E3507" i="1"/>
  <c r="G3506" i="1"/>
  <c r="F3506" i="1"/>
  <c r="E3506" i="1"/>
  <c r="G3505" i="1"/>
  <c r="F3505" i="1"/>
  <c r="E3505" i="1"/>
  <c r="G3504" i="1"/>
  <c r="F3504" i="1"/>
  <c r="E3504" i="1"/>
  <c r="G3503" i="1"/>
  <c r="F3503" i="1"/>
  <c r="E3503" i="1"/>
  <c r="G3502" i="1"/>
  <c r="F3502" i="1"/>
  <c r="E3502" i="1"/>
  <c r="G3501" i="1"/>
  <c r="F3501" i="1"/>
  <c r="E3501" i="1"/>
  <c r="G3500" i="1"/>
  <c r="F3500" i="1"/>
  <c r="E3500" i="1"/>
  <c r="G3499" i="1"/>
  <c r="F3499" i="1"/>
  <c r="E3499" i="1"/>
  <c r="G3498" i="1"/>
  <c r="F3498" i="1"/>
  <c r="E3498" i="1"/>
  <c r="G3497" i="1"/>
  <c r="F3497" i="1"/>
  <c r="E3497" i="1"/>
  <c r="G3496" i="1"/>
  <c r="F3496" i="1"/>
  <c r="E3496" i="1"/>
  <c r="G3495" i="1"/>
  <c r="F3495" i="1"/>
  <c r="E3495" i="1"/>
  <c r="G3494" i="1"/>
  <c r="F3494" i="1"/>
  <c r="E3494" i="1"/>
  <c r="G3493" i="1"/>
  <c r="F3493" i="1"/>
  <c r="E3493" i="1"/>
  <c r="G3492" i="1"/>
  <c r="F3492" i="1"/>
  <c r="E3492" i="1"/>
  <c r="G3491" i="1"/>
  <c r="F3491" i="1"/>
  <c r="E3491" i="1"/>
  <c r="G3490" i="1"/>
  <c r="F3490" i="1"/>
  <c r="E3490" i="1"/>
  <c r="G3489" i="1"/>
  <c r="F3489" i="1"/>
  <c r="E3489" i="1"/>
  <c r="G3488" i="1"/>
  <c r="F3488" i="1"/>
  <c r="E3488" i="1"/>
  <c r="G3487" i="1"/>
  <c r="F3487" i="1"/>
  <c r="E3487" i="1"/>
  <c r="G3486" i="1"/>
  <c r="F3486" i="1"/>
  <c r="E3486" i="1"/>
  <c r="G3485" i="1"/>
  <c r="F3485" i="1"/>
  <c r="E3485" i="1"/>
  <c r="G3484" i="1"/>
  <c r="F3484" i="1"/>
  <c r="E3484" i="1"/>
  <c r="G3483" i="1"/>
  <c r="F3483" i="1"/>
  <c r="E3483" i="1"/>
  <c r="G3482" i="1"/>
  <c r="F3482" i="1"/>
  <c r="E3482" i="1"/>
  <c r="G3481" i="1"/>
  <c r="F3481" i="1"/>
  <c r="E3481" i="1"/>
  <c r="G3480" i="1"/>
  <c r="F3480" i="1"/>
  <c r="E3480" i="1"/>
  <c r="G3479" i="1"/>
  <c r="F3479" i="1"/>
  <c r="E3479" i="1"/>
  <c r="G3478" i="1"/>
  <c r="F3478" i="1"/>
  <c r="E3478" i="1"/>
  <c r="G3477" i="1"/>
  <c r="F3477" i="1"/>
  <c r="E3477" i="1"/>
  <c r="G3476" i="1"/>
  <c r="F3476" i="1"/>
  <c r="E3476" i="1"/>
  <c r="G3475" i="1"/>
  <c r="F3475" i="1"/>
  <c r="E3475" i="1"/>
  <c r="G3474" i="1"/>
  <c r="F3474" i="1"/>
  <c r="E3474" i="1"/>
  <c r="G3473" i="1"/>
  <c r="F3473" i="1"/>
  <c r="E3473" i="1"/>
  <c r="G3472" i="1"/>
  <c r="F3472" i="1"/>
  <c r="E3472" i="1"/>
  <c r="G3471" i="1"/>
  <c r="F3471" i="1"/>
  <c r="E3471" i="1"/>
  <c r="G3470" i="1"/>
  <c r="F3470" i="1"/>
  <c r="E3470" i="1"/>
  <c r="G3469" i="1"/>
  <c r="F3469" i="1"/>
  <c r="E3469" i="1"/>
  <c r="G3468" i="1"/>
  <c r="F3468" i="1"/>
  <c r="E3468" i="1"/>
  <c r="G3467" i="1"/>
  <c r="F3467" i="1"/>
  <c r="E3467" i="1"/>
  <c r="G3466" i="1"/>
  <c r="F3466" i="1"/>
  <c r="E3466" i="1"/>
  <c r="G3465" i="1"/>
  <c r="F3465" i="1"/>
  <c r="E3465" i="1"/>
  <c r="G3464" i="1"/>
  <c r="F3464" i="1"/>
  <c r="E3464" i="1"/>
  <c r="G3463" i="1"/>
  <c r="F3463" i="1"/>
  <c r="E3463" i="1"/>
  <c r="G3462" i="1"/>
  <c r="F3462" i="1"/>
  <c r="E3462" i="1"/>
  <c r="G3461" i="1"/>
  <c r="F3461" i="1"/>
  <c r="E3461" i="1"/>
  <c r="G3460" i="1"/>
  <c r="F3460" i="1"/>
  <c r="E3460" i="1"/>
  <c r="G3459" i="1"/>
  <c r="F3459" i="1"/>
  <c r="E3459" i="1"/>
  <c r="G3458" i="1"/>
  <c r="F3458" i="1"/>
  <c r="E3458" i="1"/>
  <c r="G3457" i="1"/>
  <c r="F3457" i="1"/>
  <c r="E3457" i="1"/>
  <c r="G3456" i="1"/>
  <c r="F3456" i="1"/>
  <c r="E3456" i="1"/>
  <c r="G3455" i="1"/>
  <c r="F3455" i="1"/>
  <c r="E3455" i="1"/>
  <c r="G3454" i="1"/>
  <c r="F3454" i="1"/>
  <c r="E3454" i="1"/>
  <c r="G3453" i="1"/>
  <c r="F3453" i="1"/>
  <c r="E3453" i="1"/>
  <c r="G3452" i="1"/>
  <c r="F3452" i="1"/>
  <c r="E3452" i="1"/>
  <c r="G3451" i="1"/>
  <c r="F3451" i="1"/>
  <c r="E3451" i="1"/>
  <c r="G3450" i="1"/>
  <c r="F3450" i="1"/>
  <c r="E3450" i="1"/>
  <c r="G3449" i="1"/>
  <c r="F3449" i="1"/>
  <c r="E3449" i="1"/>
  <c r="G3448" i="1"/>
  <c r="F3448" i="1"/>
  <c r="E3448" i="1"/>
  <c r="G3447" i="1"/>
  <c r="F3447" i="1"/>
  <c r="E3447" i="1"/>
  <c r="G3446" i="1"/>
  <c r="F3446" i="1"/>
  <c r="E3446" i="1"/>
  <c r="G3445" i="1"/>
  <c r="F3445" i="1"/>
  <c r="E3445" i="1"/>
  <c r="G3444" i="1"/>
  <c r="F3444" i="1"/>
  <c r="E3444" i="1"/>
  <c r="G3443" i="1"/>
  <c r="F3443" i="1"/>
  <c r="E3443" i="1"/>
  <c r="G3442" i="1"/>
  <c r="F3442" i="1"/>
  <c r="E3442" i="1"/>
  <c r="G3441" i="1"/>
  <c r="F3441" i="1"/>
  <c r="E3441" i="1"/>
  <c r="G3440" i="1"/>
  <c r="F3440" i="1"/>
  <c r="E3440" i="1"/>
  <c r="G3439" i="1"/>
  <c r="F3439" i="1"/>
  <c r="E3439" i="1"/>
  <c r="G3438" i="1"/>
  <c r="F3438" i="1"/>
  <c r="E3438" i="1"/>
  <c r="G3437" i="1"/>
  <c r="F3437" i="1"/>
  <c r="E3437" i="1"/>
  <c r="G3436" i="1"/>
  <c r="F3436" i="1"/>
  <c r="E3436" i="1"/>
  <c r="G3435" i="1"/>
  <c r="F3435" i="1"/>
  <c r="E3435" i="1"/>
  <c r="G3434" i="1"/>
  <c r="F3434" i="1"/>
  <c r="E3434" i="1"/>
  <c r="G3433" i="1"/>
  <c r="F3433" i="1"/>
  <c r="E3433" i="1"/>
  <c r="G3432" i="1"/>
  <c r="F3432" i="1"/>
  <c r="E3432" i="1"/>
  <c r="G3431" i="1"/>
  <c r="F3431" i="1"/>
  <c r="E3431" i="1"/>
  <c r="G3430" i="1"/>
  <c r="F3430" i="1"/>
  <c r="E3430" i="1"/>
  <c r="G3429" i="1"/>
  <c r="F3429" i="1"/>
  <c r="E3429" i="1"/>
  <c r="G3428" i="1"/>
  <c r="F3428" i="1"/>
  <c r="E3428" i="1"/>
  <c r="G3427" i="1"/>
  <c r="F3427" i="1"/>
  <c r="E3427" i="1"/>
  <c r="G3426" i="1"/>
  <c r="F3426" i="1"/>
  <c r="E3426" i="1"/>
  <c r="G3425" i="1"/>
  <c r="F3425" i="1"/>
  <c r="E3425" i="1"/>
  <c r="G3424" i="1"/>
  <c r="F3424" i="1"/>
  <c r="E3424" i="1"/>
  <c r="G3423" i="1"/>
  <c r="F3423" i="1"/>
  <c r="E3423" i="1"/>
  <c r="G3422" i="1"/>
  <c r="F3422" i="1"/>
  <c r="E3422" i="1"/>
  <c r="G3421" i="1"/>
  <c r="F3421" i="1"/>
  <c r="E3421" i="1"/>
  <c r="G3420" i="1"/>
  <c r="F3420" i="1"/>
  <c r="E3420" i="1"/>
  <c r="G3419" i="1"/>
  <c r="F3419" i="1"/>
  <c r="E3419" i="1"/>
  <c r="G3418" i="1"/>
  <c r="F3418" i="1"/>
  <c r="E3418" i="1"/>
  <c r="G3417" i="1"/>
  <c r="F3417" i="1"/>
  <c r="E3417" i="1"/>
  <c r="G3416" i="1"/>
  <c r="F3416" i="1"/>
  <c r="E3416" i="1"/>
  <c r="G3415" i="1"/>
  <c r="F3415" i="1"/>
  <c r="E3415" i="1"/>
  <c r="G3414" i="1"/>
  <c r="F3414" i="1"/>
  <c r="E3414" i="1"/>
  <c r="G3413" i="1"/>
  <c r="F3413" i="1"/>
  <c r="E3413" i="1"/>
  <c r="G3412" i="1"/>
  <c r="F3412" i="1"/>
  <c r="E3412" i="1"/>
  <c r="G3411" i="1"/>
  <c r="F3411" i="1"/>
  <c r="E3411" i="1"/>
  <c r="G3410" i="1"/>
  <c r="F3410" i="1"/>
  <c r="E3410" i="1"/>
  <c r="G3409" i="1"/>
  <c r="F3409" i="1"/>
  <c r="E3409" i="1"/>
  <c r="G3408" i="1"/>
  <c r="F3408" i="1"/>
  <c r="E3408" i="1"/>
  <c r="G3407" i="1"/>
  <c r="F3407" i="1"/>
  <c r="E3407" i="1"/>
  <c r="G3406" i="1"/>
  <c r="F3406" i="1"/>
  <c r="E3406" i="1"/>
  <c r="G3405" i="1"/>
  <c r="F3405" i="1"/>
  <c r="E3405" i="1"/>
  <c r="G3404" i="1"/>
  <c r="F3404" i="1"/>
  <c r="E3404" i="1"/>
  <c r="G3403" i="1"/>
  <c r="F3403" i="1"/>
  <c r="E3403" i="1"/>
  <c r="G3402" i="1"/>
  <c r="F3402" i="1"/>
  <c r="E3402" i="1"/>
  <c r="G3401" i="1"/>
  <c r="F3401" i="1"/>
  <c r="E3401" i="1"/>
  <c r="G3400" i="1"/>
  <c r="F3400" i="1"/>
  <c r="E3400" i="1"/>
  <c r="G3399" i="1"/>
  <c r="F3399" i="1"/>
  <c r="E3399" i="1"/>
  <c r="G3398" i="1"/>
  <c r="F3398" i="1"/>
  <c r="E3398" i="1"/>
  <c r="G3397" i="1"/>
  <c r="F3397" i="1"/>
  <c r="E3397" i="1"/>
  <c r="G3396" i="1"/>
  <c r="F3396" i="1"/>
  <c r="E3396" i="1"/>
  <c r="G3395" i="1"/>
  <c r="F3395" i="1"/>
  <c r="E3395" i="1"/>
  <c r="G3394" i="1"/>
  <c r="F3394" i="1"/>
  <c r="E3394" i="1"/>
  <c r="G3393" i="1"/>
  <c r="F3393" i="1"/>
  <c r="E3393" i="1"/>
  <c r="G3392" i="1"/>
  <c r="F3392" i="1"/>
  <c r="E3392" i="1"/>
  <c r="G3391" i="1"/>
  <c r="F3391" i="1"/>
  <c r="E3391" i="1"/>
  <c r="G3390" i="1"/>
  <c r="F3390" i="1"/>
  <c r="E3390" i="1"/>
  <c r="G3389" i="1"/>
  <c r="F3389" i="1"/>
  <c r="E3389" i="1"/>
  <c r="G3388" i="1"/>
  <c r="F3388" i="1"/>
  <c r="E3388" i="1"/>
  <c r="G3387" i="1"/>
  <c r="F3387" i="1"/>
  <c r="E3387" i="1"/>
  <c r="G3386" i="1"/>
  <c r="F3386" i="1"/>
  <c r="E3386" i="1"/>
  <c r="G3385" i="1"/>
  <c r="F3385" i="1"/>
  <c r="E3385" i="1"/>
  <c r="G3384" i="1"/>
  <c r="F3384" i="1"/>
  <c r="E3384" i="1"/>
  <c r="G3383" i="1"/>
  <c r="F3383" i="1"/>
  <c r="E3383" i="1"/>
  <c r="G3382" i="1"/>
  <c r="F3382" i="1"/>
  <c r="E3382" i="1"/>
  <c r="G3381" i="1"/>
  <c r="F3381" i="1"/>
  <c r="E3381" i="1"/>
  <c r="G3380" i="1"/>
  <c r="F3380" i="1"/>
  <c r="E3380" i="1"/>
  <c r="G3379" i="1"/>
  <c r="F3379" i="1"/>
  <c r="E3379" i="1"/>
  <c r="G3378" i="1"/>
  <c r="F3378" i="1"/>
  <c r="E3378" i="1"/>
  <c r="G3377" i="1"/>
  <c r="F3377" i="1"/>
  <c r="E3377" i="1"/>
  <c r="G3376" i="1"/>
  <c r="F3376" i="1"/>
  <c r="E3376" i="1"/>
  <c r="G3375" i="1"/>
  <c r="F3375" i="1"/>
  <c r="E3375" i="1"/>
  <c r="G3374" i="1"/>
  <c r="F3374" i="1"/>
  <c r="E3374" i="1"/>
  <c r="G3373" i="1"/>
  <c r="F3373" i="1"/>
  <c r="E3373" i="1"/>
  <c r="G3372" i="1"/>
  <c r="F3372" i="1"/>
  <c r="E3372" i="1"/>
  <c r="G3371" i="1"/>
  <c r="F3371" i="1"/>
  <c r="E3371" i="1"/>
  <c r="G3370" i="1"/>
  <c r="F3370" i="1"/>
  <c r="E3370" i="1"/>
  <c r="G3369" i="1"/>
  <c r="F3369" i="1"/>
  <c r="E3369" i="1"/>
  <c r="G3368" i="1"/>
  <c r="F3368" i="1"/>
  <c r="E3368" i="1"/>
  <c r="G3367" i="1"/>
  <c r="F3367" i="1"/>
  <c r="E3367" i="1"/>
  <c r="G3366" i="1"/>
  <c r="F3366" i="1"/>
  <c r="E3366" i="1"/>
  <c r="G3365" i="1"/>
  <c r="F3365" i="1"/>
  <c r="E3365" i="1"/>
  <c r="G3364" i="1"/>
  <c r="F3364" i="1"/>
  <c r="E3364" i="1"/>
  <c r="G3363" i="1"/>
  <c r="F3363" i="1"/>
  <c r="E3363" i="1"/>
  <c r="G3362" i="1"/>
  <c r="F3362" i="1"/>
  <c r="E3362" i="1"/>
  <c r="G3361" i="1"/>
  <c r="F3361" i="1"/>
  <c r="E3361" i="1"/>
  <c r="G3360" i="1"/>
  <c r="F3360" i="1"/>
  <c r="E3360" i="1"/>
  <c r="G3359" i="1"/>
  <c r="F3359" i="1"/>
  <c r="E3359" i="1"/>
  <c r="G3358" i="1"/>
  <c r="F3358" i="1"/>
  <c r="E3358" i="1"/>
  <c r="G3357" i="1"/>
  <c r="F3357" i="1"/>
  <c r="E3357" i="1"/>
  <c r="G3356" i="1"/>
  <c r="F3356" i="1"/>
  <c r="E3356" i="1"/>
  <c r="G3355" i="1"/>
  <c r="F3355" i="1"/>
  <c r="E3355" i="1"/>
  <c r="G3354" i="1"/>
  <c r="F3354" i="1"/>
  <c r="E3354" i="1"/>
  <c r="G3353" i="1"/>
  <c r="F3353" i="1"/>
  <c r="E3353" i="1"/>
  <c r="G3352" i="1"/>
  <c r="F3352" i="1"/>
  <c r="E3352" i="1"/>
  <c r="G3351" i="1"/>
  <c r="F3351" i="1"/>
  <c r="E3351" i="1"/>
  <c r="G3350" i="1"/>
  <c r="F3350" i="1"/>
  <c r="E3350" i="1"/>
  <c r="G3349" i="1"/>
  <c r="F3349" i="1"/>
  <c r="E3349" i="1"/>
  <c r="G3348" i="1"/>
  <c r="F3348" i="1"/>
  <c r="E3348" i="1"/>
  <c r="G3347" i="1"/>
  <c r="F3347" i="1"/>
  <c r="E3347" i="1"/>
  <c r="G3346" i="1"/>
  <c r="F3346" i="1"/>
  <c r="E3346" i="1"/>
  <c r="G3345" i="1"/>
  <c r="F3345" i="1"/>
  <c r="E3345" i="1"/>
  <c r="G3344" i="1"/>
  <c r="F3344" i="1"/>
  <c r="E3344" i="1"/>
  <c r="G3343" i="1"/>
  <c r="F3343" i="1"/>
  <c r="E3343" i="1"/>
  <c r="G3342" i="1"/>
  <c r="F3342" i="1"/>
  <c r="E3342" i="1"/>
  <c r="G3341" i="1"/>
  <c r="F3341" i="1"/>
  <c r="E3341" i="1"/>
  <c r="G3340" i="1"/>
  <c r="F3340" i="1"/>
  <c r="E3340" i="1"/>
  <c r="G3339" i="1"/>
  <c r="F3339" i="1"/>
  <c r="E3339" i="1"/>
  <c r="G3338" i="1"/>
  <c r="F3338" i="1"/>
  <c r="E3338" i="1"/>
  <c r="G3337" i="1"/>
  <c r="F3337" i="1"/>
  <c r="E3337" i="1"/>
  <c r="G3336" i="1"/>
  <c r="F3336" i="1"/>
  <c r="E3336" i="1"/>
  <c r="G3335" i="1"/>
  <c r="F3335" i="1"/>
  <c r="E3335" i="1"/>
  <c r="G3334" i="1"/>
  <c r="F3334" i="1"/>
  <c r="E3334" i="1"/>
  <c r="G3333" i="1"/>
  <c r="F3333" i="1"/>
  <c r="E3333" i="1"/>
  <c r="G3332" i="1"/>
  <c r="F3332" i="1"/>
  <c r="E3332" i="1"/>
  <c r="G3331" i="1"/>
  <c r="F3331" i="1"/>
  <c r="E3331" i="1"/>
  <c r="G3330" i="1"/>
  <c r="F3330" i="1"/>
  <c r="E3330" i="1"/>
  <c r="G3329" i="1"/>
  <c r="F3329" i="1"/>
  <c r="E3329" i="1"/>
  <c r="G3328" i="1"/>
  <c r="F3328" i="1"/>
  <c r="E3328" i="1"/>
  <c r="G3327" i="1"/>
  <c r="F3327" i="1"/>
  <c r="E3327" i="1"/>
  <c r="G3326" i="1"/>
  <c r="F3326" i="1"/>
  <c r="E3326" i="1"/>
  <c r="G3325" i="1"/>
  <c r="F3325" i="1"/>
  <c r="E3325" i="1"/>
  <c r="G3324" i="1"/>
  <c r="F3324" i="1"/>
  <c r="E3324" i="1"/>
  <c r="G3323" i="1"/>
  <c r="F3323" i="1"/>
  <c r="E3323" i="1"/>
  <c r="G3322" i="1"/>
  <c r="F3322" i="1"/>
  <c r="E3322" i="1"/>
  <c r="G3321" i="1"/>
  <c r="F3321" i="1"/>
  <c r="E3321" i="1"/>
  <c r="G3320" i="1"/>
  <c r="F3320" i="1"/>
  <c r="E3320" i="1"/>
  <c r="G3319" i="1"/>
  <c r="F3319" i="1"/>
  <c r="E3319" i="1"/>
  <c r="G3318" i="1"/>
  <c r="F3318" i="1"/>
  <c r="E3318" i="1"/>
  <c r="G3317" i="1"/>
  <c r="F3317" i="1"/>
  <c r="E3317" i="1"/>
  <c r="G3316" i="1"/>
  <c r="F3316" i="1"/>
  <c r="E3316" i="1"/>
  <c r="G3315" i="1"/>
  <c r="F3315" i="1"/>
  <c r="E3315" i="1"/>
  <c r="G3314" i="1"/>
  <c r="F3314" i="1"/>
  <c r="E3314" i="1"/>
  <c r="G3313" i="1"/>
  <c r="F3313" i="1"/>
  <c r="E3313" i="1"/>
  <c r="G3312" i="1"/>
  <c r="F3312" i="1"/>
  <c r="E3312" i="1"/>
  <c r="G3311" i="1"/>
  <c r="F3311" i="1"/>
  <c r="E3311" i="1"/>
  <c r="G3310" i="1"/>
  <c r="F3310" i="1"/>
  <c r="E3310" i="1"/>
  <c r="G3309" i="1"/>
  <c r="F3309" i="1"/>
  <c r="E3309" i="1"/>
  <c r="G3308" i="1"/>
  <c r="F3308" i="1"/>
  <c r="E3308" i="1"/>
  <c r="G3307" i="1"/>
  <c r="F3307" i="1"/>
  <c r="E3307" i="1"/>
  <c r="G3306" i="1"/>
  <c r="F3306" i="1"/>
  <c r="E3306" i="1"/>
  <c r="G3305" i="1"/>
  <c r="F3305" i="1"/>
  <c r="E3305" i="1"/>
  <c r="G3304" i="1"/>
  <c r="F3304" i="1"/>
  <c r="E3304" i="1"/>
  <c r="G3303" i="1"/>
  <c r="F3303" i="1"/>
  <c r="E3303" i="1"/>
  <c r="G3302" i="1"/>
  <c r="F3302" i="1"/>
  <c r="E3302" i="1"/>
  <c r="G3301" i="1"/>
  <c r="F3301" i="1"/>
  <c r="E3301" i="1"/>
  <c r="G3300" i="1"/>
  <c r="F3300" i="1"/>
  <c r="E3300" i="1"/>
  <c r="G3299" i="1"/>
  <c r="F3299" i="1"/>
  <c r="E3299" i="1"/>
  <c r="G3298" i="1"/>
  <c r="F3298" i="1"/>
  <c r="E3298" i="1"/>
  <c r="G3297" i="1"/>
  <c r="F3297" i="1"/>
  <c r="E3297" i="1"/>
  <c r="G3296" i="1"/>
  <c r="F3296" i="1"/>
  <c r="E3296" i="1"/>
  <c r="G3295" i="1"/>
  <c r="F3295" i="1"/>
  <c r="E3295" i="1"/>
  <c r="G3294" i="1"/>
  <c r="F3294" i="1"/>
  <c r="E3294" i="1"/>
  <c r="G3293" i="1"/>
  <c r="F3293" i="1"/>
  <c r="E3293" i="1"/>
  <c r="G3292" i="1"/>
  <c r="F3292" i="1"/>
  <c r="E3292" i="1"/>
  <c r="G3291" i="1"/>
  <c r="F3291" i="1"/>
  <c r="E3291" i="1"/>
  <c r="G3290" i="1"/>
  <c r="F3290" i="1"/>
  <c r="E3290" i="1"/>
  <c r="G3289" i="1"/>
  <c r="F3289" i="1"/>
  <c r="E3289" i="1"/>
  <c r="G3288" i="1"/>
  <c r="F3288" i="1"/>
  <c r="E3288" i="1"/>
  <c r="G3287" i="1"/>
  <c r="F3287" i="1"/>
  <c r="E3287" i="1"/>
  <c r="G3286" i="1"/>
  <c r="F3286" i="1"/>
  <c r="E3286" i="1"/>
  <c r="G3285" i="1"/>
  <c r="F3285" i="1"/>
  <c r="E3285" i="1"/>
  <c r="G3284" i="1"/>
  <c r="F3284" i="1"/>
  <c r="E3284" i="1"/>
  <c r="G3283" i="1"/>
  <c r="F3283" i="1"/>
  <c r="E3283" i="1"/>
  <c r="G3282" i="1"/>
  <c r="F3282" i="1"/>
  <c r="E3282" i="1"/>
  <c r="G3281" i="1"/>
  <c r="F3281" i="1"/>
  <c r="E3281" i="1"/>
  <c r="G3280" i="1"/>
  <c r="F3280" i="1"/>
  <c r="E3280" i="1"/>
  <c r="G3279" i="1"/>
  <c r="F3279" i="1"/>
  <c r="E3279" i="1"/>
  <c r="G3278" i="1"/>
  <c r="F3278" i="1"/>
  <c r="E3278" i="1"/>
  <c r="G3277" i="1"/>
  <c r="F3277" i="1"/>
  <c r="E3277" i="1"/>
  <c r="G3276" i="1"/>
  <c r="F3276" i="1"/>
  <c r="E3276" i="1"/>
  <c r="G3275" i="1"/>
  <c r="F3275" i="1"/>
  <c r="E3275" i="1"/>
  <c r="G3274" i="1"/>
  <c r="F3274" i="1"/>
  <c r="E3274" i="1"/>
  <c r="G3273" i="1"/>
  <c r="F3273" i="1"/>
  <c r="E3273" i="1"/>
  <c r="G3272" i="1"/>
  <c r="F3272" i="1"/>
  <c r="E3272" i="1"/>
  <c r="G3271" i="1"/>
  <c r="F3271" i="1"/>
  <c r="E3271" i="1"/>
  <c r="G3270" i="1"/>
  <c r="F3270" i="1"/>
  <c r="E3270" i="1"/>
  <c r="G3269" i="1"/>
  <c r="F3269" i="1"/>
  <c r="E3269" i="1"/>
  <c r="G3268" i="1"/>
  <c r="F3268" i="1"/>
  <c r="E3268" i="1"/>
  <c r="G3267" i="1"/>
  <c r="F3267" i="1"/>
  <c r="E3267" i="1"/>
  <c r="G3266" i="1"/>
  <c r="F3266" i="1"/>
  <c r="E3266" i="1"/>
  <c r="G3265" i="1"/>
  <c r="F3265" i="1"/>
  <c r="E3265" i="1"/>
  <c r="G3264" i="1"/>
  <c r="F3264" i="1"/>
  <c r="E3264" i="1"/>
  <c r="G3263" i="1"/>
  <c r="F3263" i="1"/>
  <c r="E3263" i="1"/>
  <c r="G3262" i="1"/>
  <c r="F3262" i="1"/>
  <c r="E3262" i="1"/>
  <c r="G3261" i="1"/>
  <c r="F3261" i="1"/>
  <c r="E3261" i="1"/>
  <c r="G3260" i="1"/>
  <c r="F3260" i="1"/>
  <c r="E3260" i="1"/>
  <c r="G3259" i="1"/>
  <c r="F3259" i="1"/>
  <c r="E3259" i="1"/>
  <c r="G3258" i="1"/>
  <c r="F3258" i="1"/>
  <c r="E3258" i="1"/>
  <c r="G3257" i="1"/>
  <c r="F3257" i="1"/>
  <c r="E3257" i="1"/>
  <c r="G3256" i="1"/>
  <c r="F3256" i="1"/>
  <c r="E3256" i="1"/>
  <c r="G3255" i="1"/>
  <c r="F3255" i="1"/>
  <c r="E3255" i="1"/>
  <c r="G3254" i="1"/>
  <c r="F3254" i="1"/>
  <c r="E3254" i="1"/>
  <c r="G3253" i="1"/>
  <c r="F3253" i="1"/>
  <c r="E3253" i="1"/>
  <c r="G3252" i="1"/>
  <c r="F3252" i="1"/>
  <c r="E3252" i="1"/>
  <c r="G3251" i="1"/>
  <c r="F3251" i="1"/>
  <c r="E3251" i="1"/>
  <c r="G3250" i="1"/>
  <c r="F3250" i="1"/>
  <c r="E3250" i="1"/>
  <c r="G3249" i="1"/>
  <c r="F3249" i="1"/>
  <c r="E3249" i="1"/>
  <c r="G3248" i="1"/>
  <c r="F3248" i="1"/>
  <c r="E3248" i="1"/>
  <c r="G3247" i="1"/>
  <c r="F3247" i="1"/>
  <c r="E3247" i="1"/>
  <c r="G3246" i="1"/>
  <c r="F3246" i="1"/>
  <c r="E3246" i="1"/>
  <c r="G3245" i="1"/>
  <c r="F3245" i="1"/>
  <c r="E3245" i="1"/>
  <c r="G3244" i="1"/>
  <c r="F3244" i="1"/>
  <c r="E3244" i="1"/>
  <c r="G3243" i="1"/>
  <c r="F3243" i="1"/>
  <c r="E3243" i="1"/>
  <c r="G3242" i="1"/>
  <c r="F3242" i="1"/>
  <c r="E3242" i="1"/>
  <c r="G3241" i="1"/>
  <c r="F3241" i="1"/>
  <c r="E3241" i="1"/>
  <c r="G3240" i="1"/>
  <c r="F3240" i="1"/>
  <c r="E3240" i="1"/>
  <c r="G3239" i="1"/>
  <c r="F3239" i="1"/>
  <c r="E3239" i="1"/>
  <c r="G3238" i="1"/>
  <c r="F3238" i="1"/>
  <c r="E3238" i="1"/>
  <c r="G3237" i="1"/>
  <c r="F3237" i="1"/>
  <c r="E3237" i="1"/>
  <c r="G3236" i="1"/>
  <c r="F3236" i="1"/>
  <c r="E3236" i="1"/>
  <c r="G3235" i="1"/>
  <c r="F3235" i="1"/>
  <c r="E3235" i="1"/>
  <c r="G3234" i="1"/>
  <c r="F3234" i="1"/>
  <c r="E3234" i="1"/>
  <c r="G3233" i="1"/>
  <c r="F3233" i="1"/>
  <c r="E3233" i="1"/>
  <c r="G3232" i="1"/>
  <c r="F3232" i="1"/>
  <c r="E3232" i="1"/>
  <c r="G3231" i="1"/>
  <c r="F3231" i="1"/>
  <c r="E3231" i="1"/>
  <c r="G3230" i="1"/>
  <c r="F3230" i="1"/>
  <c r="E3230" i="1"/>
  <c r="G3229" i="1"/>
  <c r="F3229" i="1"/>
  <c r="E3229" i="1"/>
  <c r="G3228" i="1"/>
  <c r="F3228" i="1"/>
  <c r="E3228" i="1"/>
  <c r="G3227" i="1"/>
  <c r="F3227" i="1"/>
  <c r="E3227" i="1"/>
  <c r="G3226" i="1"/>
  <c r="F3226" i="1"/>
  <c r="E3226" i="1"/>
  <c r="G3225" i="1"/>
  <c r="F3225" i="1"/>
  <c r="E3225" i="1"/>
  <c r="G3224" i="1"/>
  <c r="F3224" i="1"/>
  <c r="E3224" i="1"/>
  <c r="G3223" i="1"/>
  <c r="F3223" i="1"/>
  <c r="E3223" i="1"/>
  <c r="G3222" i="1"/>
  <c r="F3222" i="1"/>
  <c r="E3222" i="1"/>
  <c r="G3221" i="1"/>
  <c r="F3221" i="1"/>
  <c r="E3221" i="1"/>
  <c r="G3220" i="1"/>
  <c r="F3220" i="1"/>
  <c r="E3220" i="1"/>
  <c r="G3219" i="1"/>
  <c r="F3219" i="1"/>
  <c r="E3219" i="1"/>
  <c r="G3218" i="1"/>
  <c r="F3218" i="1"/>
  <c r="E3218" i="1"/>
  <c r="G3217" i="1"/>
  <c r="F3217" i="1"/>
  <c r="E3217" i="1"/>
  <c r="G3216" i="1"/>
  <c r="F3216" i="1"/>
  <c r="E3216" i="1"/>
  <c r="G3215" i="1"/>
  <c r="F3215" i="1"/>
  <c r="E3215" i="1"/>
  <c r="G3214" i="1"/>
  <c r="F3214" i="1"/>
  <c r="E3214" i="1"/>
  <c r="G3213" i="1"/>
  <c r="F3213" i="1"/>
  <c r="E3213" i="1"/>
  <c r="G3212" i="1"/>
  <c r="F3212" i="1"/>
  <c r="E3212" i="1"/>
  <c r="G3211" i="1"/>
  <c r="F3211" i="1"/>
  <c r="E3211" i="1"/>
  <c r="G3210" i="1"/>
  <c r="F3210" i="1"/>
  <c r="E3210" i="1"/>
  <c r="G3209" i="1"/>
  <c r="F3209" i="1"/>
  <c r="E3209" i="1"/>
  <c r="G3208" i="1"/>
  <c r="F3208" i="1"/>
  <c r="E3208" i="1"/>
  <c r="G3207" i="1"/>
  <c r="F3207" i="1"/>
  <c r="E3207" i="1"/>
  <c r="G3206" i="1"/>
  <c r="F3206" i="1"/>
  <c r="E3206" i="1"/>
  <c r="G3205" i="1"/>
  <c r="F3205" i="1"/>
  <c r="E3205" i="1"/>
  <c r="G3204" i="1"/>
  <c r="F3204" i="1"/>
  <c r="E3204" i="1"/>
  <c r="G3203" i="1"/>
  <c r="F3203" i="1"/>
  <c r="E3203" i="1"/>
  <c r="G3202" i="1"/>
  <c r="F3202" i="1"/>
  <c r="E3202" i="1"/>
  <c r="G3201" i="1"/>
  <c r="F3201" i="1"/>
  <c r="E3201" i="1"/>
  <c r="G3200" i="1"/>
  <c r="F3200" i="1"/>
  <c r="E3200" i="1"/>
  <c r="G3199" i="1"/>
  <c r="F3199" i="1"/>
  <c r="E3199" i="1"/>
  <c r="G3198" i="1"/>
  <c r="F3198" i="1"/>
  <c r="E3198" i="1"/>
  <c r="G3197" i="1"/>
  <c r="F3197" i="1"/>
  <c r="E3197" i="1"/>
  <c r="G3196" i="1"/>
  <c r="F3196" i="1"/>
  <c r="E3196" i="1"/>
  <c r="G3195" i="1"/>
  <c r="F3195" i="1"/>
  <c r="E3195" i="1"/>
  <c r="G3194" i="1"/>
  <c r="F3194" i="1"/>
  <c r="E3194" i="1"/>
  <c r="G3193" i="1"/>
  <c r="F3193" i="1"/>
  <c r="E3193" i="1"/>
  <c r="G3192" i="1"/>
  <c r="F3192" i="1"/>
  <c r="E3192" i="1"/>
  <c r="G3191" i="1"/>
  <c r="F3191" i="1"/>
  <c r="E3191" i="1"/>
  <c r="G3190" i="1"/>
  <c r="F3190" i="1"/>
  <c r="E3190" i="1"/>
  <c r="G3189" i="1"/>
  <c r="F3189" i="1"/>
  <c r="E3189" i="1"/>
  <c r="G3188" i="1"/>
  <c r="F3188" i="1"/>
  <c r="E3188" i="1"/>
  <c r="G3187" i="1"/>
  <c r="F3187" i="1"/>
  <c r="E3187" i="1"/>
  <c r="G3186" i="1"/>
  <c r="F3186" i="1"/>
  <c r="E3186" i="1"/>
  <c r="G3185" i="1"/>
  <c r="F3185" i="1"/>
  <c r="E3185" i="1"/>
  <c r="G3184" i="1"/>
  <c r="F3184" i="1"/>
  <c r="E3184" i="1"/>
  <c r="G3183" i="1"/>
  <c r="F3183" i="1"/>
  <c r="E3183" i="1"/>
  <c r="G3182" i="1"/>
  <c r="F3182" i="1"/>
  <c r="E3182" i="1"/>
  <c r="G3181" i="1"/>
  <c r="F3181" i="1"/>
  <c r="E3181" i="1"/>
  <c r="G3180" i="1"/>
  <c r="F3180" i="1"/>
  <c r="E3180" i="1"/>
  <c r="G3179" i="1"/>
  <c r="F3179" i="1"/>
  <c r="E3179" i="1"/>
  <c r="G3178" i="1"/>
  <c r="F3178" i="1"/>
  <c r="E3178" i="1"/>
  <c r="G3177" i="1"/>
  <c r="F3177" i="1"/>
  <c r="E3177" i="1"/>
  <c r="G3176" i="1"/>
  <c r="F3176" i="1"/>
  <c r="E3176" i="1"/>
  <c r="G3175" i="1"/>
  <c r="F3175" i="1"/>
  <c r="E3175" i="1"/>
  <c r="G3174" i="1"/>
  <c r="F3174" i="1"/>
  <c r="E3174" i="1"/>
  <c r="G3173" i="1"/>
  <c r="F3173" i="1"/>
  <c r="E3173" i="1"/>
  <c r="G3172" i="1"/>
  <c r="F3172" i="1"/>
  <c r="E3172" i="1"/>
  <c r="G3171" i="1"/>
  <c r="F3171" i="1"/>
  <c r="E3171" i="1"/>
  <c r="G3170" i="1"/>
  <c r="F3170" i="1"/>
  <c r="E3170" i="1"/>
  <c r="G3169" i="1"/>
  <c r="F3169" i="1"/>
  <c r="E3169" i="1"/>
  <c r="G3168" i="1"/>
  <c r="F3168" i="1"/>
  <c r="E3168" i="1"/>
  <c r="G3167" i="1"/>
  <c r="F3167" i="1"/>
  <c r="E3167" i="1"/>
  <c r="G3166" i="1"/>
  <c r="F3166" i="1"/>
  <c r="E3166" i="1"/>
  <c r="G3165" i="1"/>
  <c r="F3165" i="1"/>
  <c r="E3165" i="1"/>
  <c r="G3164" i="1"/>
  <c r="F3164" i="1"/>
  <c r="E3164" i="1"/>
  <c r="G3163" i="1"/>
  <c r="F3163" i="1"/>
  <c r="E3163" i="1"/>
  <c r="G3162" i="1"/>
  <c r="F3162" i="1"/>
  <c r="E3162" i="1"/>
  <c r="G3161" i="1"/>
  <c r="F3161" i="1"/>
  <c r="E3161" i="1"/>
  <c r="G3160" i="1"/>
  <c r="F3160" i="1"/>
  <c r="E3160" i="1"/>
  <c r="G3159" i="1"/>
  <c r="F3159" i="1"/>
  <c r="E3159" i="1"/>
  <c r="G3158" i="1"/>
  <c r="F3158" i="1"/>
  <c r="E3158" i="1"/>
  <c r="G3157" i="1"/>
  <c r="F3157" i="1"/>
  <c r="E3157" i="1"/>
  <c r="G3156" i="1"/>
  <c r="F3156" i="1"/>
  <c r="E3156" i="1"/>
  <c r="G3155" i="1"/>
  <c r="F3155" i="1"/>
  <c r="E3155" i="1"/>
  <c r="G3154" i="1"/>
  <c r="F3154" i="1"/>
  <c r="E3154" i="1"/>
  <c r="G3153" i="1"/>
  <c r="F3153" i="1"/>
  <c r="E3153" i="1"/>
  <c r="G3152" i="1"/>
  <c r="F3152" i="1"/>
  <c r="E3152" i="1"/>
  <c r="G3151" i="1"/>
  <c r="F3151" i="1"/>
  <c r="E3151" i="1"/>
  <c r="G3150" i="1"/>
  <c r="F3150" i="1"/>
  <c r="E3150" i="1"/>
  <c r="G3149" i="1"/>
  <c r="F3149" i="1"/>
  <c r="E3149" i="1"/>
  <c r="G3148" i="1"/>
  <c r="F3148" i="1"/>
  <c r="E3148" i="1"/>
  <c r="G3147" i="1"/>
  <c r="F3147" i="1"/>
  <c r="E3147" i="1"/>
  <c r="G3146" i="1"/>
  <c r="F3146" i="1"/>
  <c r="E3146" i="1"/>
  <c r="G3145" i="1"/>
  <c r="F3145" i="1"/>
  <c r="E3145" i="1"/>
  <c r="G3144" i="1"/>
  <c r="F3144" i="1"/>
  <c r="E3144" i="1"/>
  <c r="G3143" i="1"/>
  <c r="F3143" i="1"/>
  <c r="E3143" i="1"/>
  <c r="G3142" i="1"/>
  <c r="F3142" i="1"/>
  <c r="E3142" i="1"/>
  <c r="G3141" i="1"/>
  <c r="F3141" i="1"/>
  <c r="E3141" i="1"/>
  <c r="G3140" i="1"/>
  <c r="F3140" i="1"/>
  <c r="E3140" i="1"/>
  <c r="G3139" i="1"/>
  <c r="F3139" i="1"/>
  <c r="E3139" i="1"/>
  <c r="G3138" i="1"/>
  <c r="F3138" i="1"/>
  <c r="E3138" i="1"/>
  <c r="G3137" i="1"/>
  <c r="F3137" i="1"/>
  <c r="E3137" i="1"/>
  <c r="G3136" i="1"/>
  <c r="F3136" i="1"/>
  <c r="E3136" i="1"/>
  <c r="G3135" i="1"/>
  <c r="F3135" i="1"/>
  <c r="E3135" i="1"/>
  <c r="G3134" i="1"/>
  <c r="F3134" i="1"/>
  <c r="E3134" i="1"/>
  <c r="G3133" i="1"/>
  <c r="F3133" i="1"/>
  <c r="E3133" i="1"/>
  <c r="G3132" i="1"/>
  <c r="F3132" i="1"/>
  <c r="E3132" i="1"/>
  <c r="G3131" i="1"/>
  <c r="F3131" i="1"/>
  <c r="E3131" i="1"/>
  <c r="G3130" i="1"/>
  <c r="F3130" i="1"/>
  <c r="E3130" i="1"/>
  <c r="G3129" i="1"/>
  <c r="F3129" i="1"/>
  <c r="E3129" i="1"/>
  <c r="G3128" i="1"/>
  <c r="F3128" i="1"/>
  <c r="E3128" i="1"/>
  <c r="G3127" i="1"/>
  <c r="F3127" i="1"/>
  <c r="E3127" i="1"/>
  <c r="G3126" i="1"/>
  <c r="F3126" i="1"/>
  <c r="E3126" i="1"/>
  <c r="G3125" i="1"/>
  <c r="F3125" i="1"/>
  <c r="E3125" i="1"/>
  <c r="G3124" i="1"/>
  <c r="F3124" i="1"/>
  <c r="E3124" i="1"/>
  <c r="G3123" i="1"/>
  <c r="F3123" i="1"/>
  <c r="E3123" i="1"/>
  <c r="G3122" i="1"/>
  <c r="F3122" i="1"/>
  <c r="E3122" i="1"/>
  <c r="G3121" i="1"/>
  <c r="F3121" i="1"/>
  <c r="E3121" i="1"/>
  <c r="G3120" i="1"/>
  <c r="F3120" i="1"/>
  <c r="E3120" i="1"/>
  <c r="G3119" i="1"/>
  <c r="F3119" i="1"/>
  <c r="E3119" i="1"/>
  <c r="G3118" i="1"/>
  <c r="F3118" i="1"/>
  <c r="E3118" i="1"/>
  <c r="G3117" i="1"/>
  <c r="F3117" i="1"/>
  <c r="E3117" i="1"/>
  <c r="G3116" i="1"/>
  <c r="F3116" i="1"/>
  <c r="E3116" i="1"/>
  <c r="G3115" i="1"/>
  <c r="F3115" i="1"/>
  <c r="E3115" i="1"/>
  <c r="G3114" i="1"/>
  <c r="F3114" i="1"/>
  <c r="E3114" i="1"/>
  <c r="G3113" i="1"/>
  <c r="F3113" i="1"/>
  <c r="E3113" i="1"/>
  <c r="G3112" i="1"/>
  <c r="F3112" i="1"/>
  <c r="E3112" i="1"/>
  <c r="G3111" i="1"/>
  <c r="F3111" i="1"/>
  <c r="E3111" i="1"/>
  <c r="G3110" i="1"/>
  <c r="F3110" i="1"/>
  <c r="E3110" i="1"/>
  <c r="G3109" i="1"/>
  <c r="F3109" i="1"/>
  <c r="E3109" i="1"/>
  <c r="G3108" i="1"/>
  <c r="F3108" i="1"/>
  <c r="E3108" i="1"/>
  <c r="G3107" i="1"/>
  <c r="F3107" i="1"/>
  <c r="E3107" i="1"/>
  <c r="G3106" i="1"/>
  <c r="F3106" i="1"/>
  <c r="E3106" i="1"/>
  <c r="G3105" i="1"/>
  <c r="F3105" i="1"/>
  <c r="E3105" i="1"/>
  <c r="G3104" i="1"/>
  <c r="F3104" i="1"/>
  <c r="E3104" i="1"/>
  <c r="G3103" i="1"/>
  <c r="F3103" i="1"/>
  <c r="E3103" i="1"/>
  <c r="G3102" i="1"/>
  <c r="F3102" i="1"/>
  <c r="E3102" i="1"/>
  <c r="G3101" i="1"/>
  <c r="F3101" i="1"/>
  <c r="E3101" i="1"/>
  <c r="G3100" i="1"/>
  <c r="F3100" i="1"/>
  <c r="E3100" i="1"/>
  <c r="G3099" i="1"/>
  <c r="F3099" i="1"/>
  <c r="E3099" i="1"/>
  <c r="G3098" i="1"/>
  <c r="F3098" i="1"/>
  <c r="E3098" i="1"/>
  <c r="G3097" i="1"/>
  <c r="F3097" i="1"/>
  <c r="E3097" i="1"/>
  <c r="G3096" i="1"/>
  <c r="F3096" i="1"/>
  <c r="E3096" i="1"/>
  <c r="G3095" i="1"/>
  <c r="F3095" i="1"/>
  <c r="E3095" i="1"/>
  <c r="G3094" i="1"/>
  <c r="F3094" i="1"/>
  <c r="E3094" i="1"/>
  <c r="G3093" i="1"/>
  <c r="F3093" i="1"/>
  <c r="E3093" i="1"/>
  <c r="G3092" i="1"/>
  <c r="F3092" i="1"/>
  <c r="E3092" i="1"/>
  <c r="G3091" i="1"/>
  <c r="F3091" i="1"/>
  <c r="E3091" i="1"/>
  <c r="G3090" i="1"/>
  <c r="F3090" i="1"/>
  <c r="E3090" i="1"/>
  <c r="G3089" i="1"/>
  <c r="F3089" i="1"/>
  <c r="E3089" i="1"/>
  <c r="G3088" i="1"/>
  <c r="F3088" i="1"/>
  <c r="E3088" i="1"/>
  <c r="G3087" i="1"/>
  <c r="F3087" i="1"/>
  <c r="E3087" i="1"/>
  <c r="G3086" i="1"/>
  <c r="F3086" i="1"/>
  <c r="E3086" i="1"/>
  <c r="G3085" i="1"/>
  <c r="F3085" i="1"/>
  <c r="E3085" i="1"/>
  <c r="G3084" i="1"/>
  <c r="F3084" i="1"/>
  <c r="E3084" i="1"/>
  <c r="G3083" i="1"/>
  <c r="F3083" i="1"/>
  <c r="E3083" i="1"/>
  <c r="G3082" i="1"/>
  <c r="F3082" i="1"/>
  <c r="E3082" i="1"/>
  <c r="G3081" i="1"/>
  <c r="F3081" i="1"/>
  <c r="E3081" i="1"/>
  <c r="G3080" i="1"/>
  <c r="F3080" i="1"/>
  <c r="E3080" i="1"/>
  <c r="G3079" i="1"/>
  <c r="F3079" i="1"/>
  <c r="E3079" i="1"/>
  <c r="G3078" i="1"/>
  <c r="F3078" i="1"/>
  <c r="E3078" i="1"/>
  <c r="G3077" i="1"/>
  <c r="F3077" i="1"/>
  <c r="E3077" i="1"/>
  <c r="G3076" i="1"/>
  <c r="F3076" i="1"/>
  <c r="E3076" i="1"/>
  <c r="G3075" i="1"/>
  <c r="F3075" i="1"/>
  <c r="E3075" i="1"/>
  <c r="G3074" i="1"/>
  <c r="F3074" i="1"/>
  <c r="E3074" i="1"/>
  <c r="G3073" i="1"/>
  <c r="F3073" i="1"/>
  <c r="E3073" i="1"/>
  <c r="G3072" i="1"/>
  <c r="F3072" i="1"/>
  <c r="E3072" i="1"/>
  <c r="G3071" i="1"/>
  <c r="F3071" i="1"/>
  <c r="E3071" i="1"/>
  <c r="G3070" i="1"/>
  <c r="F3070" i="1"/>
  <c r="E3070" i="1"/>
  <c r="G3069" i="1"/>
  <c r="F3069" i="1"/>
  <c r="E3069" i="1"/>
  <c r="G3068" i="1"/>
  <c r="F3068" i="1"/>
  <c r="E3068" i="1"/>
  <c r="G3067" i="1"/>
  <c r="F3067" i="1"/>
  <c r="E3067" i="1"/>
  <c r="G3066" i="1"/>
  <c r="F3066" i="1"/>
  <c r="E3066" i="1"/>
  <c r="G3065" i="1"/>
  <c r="F3065" i="1"/>
  <c r="E3065" i="1"/>
  <c r="G3064" i="1"/>
  <c r="F3064" i="1"/>
  <c r="E3064" i="1"/>
  <c r="G3063" i="1"/>
  <c r="F3063" i="1"/>
  <c r="E3063" i="1"/>
  <c r="G3062" i="1"/>
  <c r="F3062" i="1"/>
  <c r="E3062" i="1"/>
  <c r="G3061" i="1"/>
  <c r="F3061" i="1"/>
  <c r="E3061" i="1"/>
  <c r="G3060" i="1"/>
  <c r="F3060" i="1"/>
  <c r="E3060" i="1"/>
  <c r="G3059" i="1"/>
  <c r="F3059" i="1"/>
  <c r="E3059" i="1"/>
  <c r="G3058" i="1"/>
  <c r="F3058" i="1"/>
  <c r="E3058" i="1"/>
  <c r="G3057" i="1"/>
  <c r="F3057" i="1"/>
  <c r="E3057" i="1"/>
  <c r="G3056" i="1"/>
  <c r="F3056" i="1"/>
  <c r="E3056" i="1"/>
  <c r="G3055" i="1"/>
  <c r="F3055" i="1"/>
  <c r="E3055" i="1"/>
  <c r="G3054" i="1"/>
  <c r="F3054" i="1"/>
  <c r="E3054" i="1"/>
  <c r="G3053" i="1"/>
  <c r="F3053" i="1"/>
  <c r="E3053" i="1"/>
  <c r="G3052" i="1"/>
  <c r="F3052" i="1"/>
  <c r="E3052" i="1"/>
  <c r="G3051" i="1"/>
  <c r="F3051" i="1"/>
  <c r="E3051" i="1"/>
  <c r="G3050" i="1"/>
  <c r="F3050" i="1"/>
  <c r="E3050" i="1"/>
  <c r="G3049" i="1"/>
  <c r="F3049" i="1"/>
  <c r="E3049" i="1"/>
  <c r="G3048" i="1"/>
  <c r="F3048" i="1"/>
  <c r="E3048" i="1"/>
  <c r="G3047" i="1"/>
  <c r="F3047" i="1"/>
  <c r="E3047" i="1"/>
  <c r="G3046" i="1"/>
  <c r="F3046" i="1"/>
  <c r="E3046" i="1"/>
  <c r="G3045" i="1"/>
  <c r="F3045" i="1"/>
  <c r="E3045" i="1"/>
  <c r="G3044" i="1"/>
  <c r="F3044" i="1"/>
  <c r="E3044" i="1"/>
  <c r="G3043" i="1"/>
  <c r="F3043" i="1"/>
  <c r="E3043" i="1"/>
  <c r="G3042" i="1"/>
  <c r="F3042" i="1"/>
  <c r="E3042" i="1"/>
  <c r="G3041" i="1"/>
  <c r="F3041" i="1"/>
  <c r="E3041" i="1"/>
  <c r="G3040" i="1"/>
  <c r="F3040" i="1"/>
  <c r="E3040" i="1"/>
  <c r="G3039" i="1"/>
  <c r="F3039" i="1"/>
  <c r="E3039" i="1"/>
  <c r="G3038" i="1"/>
  <c r="F3038" i="1"/>
  <c r="E3038" i="1"/>
  <c r="G3037" i="1"/>
  <c r="F3037" i="1"/>
  <c r="E3037" i="1"/>
  <c r="G3036" i="1"/>
  <c r="F3036" i="1"/>
  <c r="E3036" i="1"/>
  <c r="G3035" i="1"/>
  <c r="F3035" i="1"/>
  <c r="E3035" i="1"/>
  <c r="G3034" i="1"/>
  <c r="F3034" i="1"/>
  <c r="E3034" i="1"/>
  <c r="G3033" i="1"/>
  <c r="F3033" i="1"/>
  <c r="E3033" i="1"/>
  <c r="G3032" i="1"/>
  <c r="F3032" i="1"/>
  <c r="E3032" i="1"/>
  <c r="G3031" i="1"/>
  <c r="F3031" i="1"/>
  <c r="E3031" i="1"/>
  <c r="G3030" i="1"/>
  <c r="F3030" i="1"/>
  <c r="E3030" i="1"/>
  <c r="G3029" i="1"/>
  <c r="F3029" i="1"/>
  <c r="E3029" i="1"/>
  <c r="G3028" i="1"/>
  <c r="F3028" i="1"/>
  <c r="E3028" i="1"/>
  <c r="G3027" i="1"/>
  <c r="F3027" i="1"/>
  <c r="E3027" i="1"/>
  <c r="G3026" i="1"/>
  <c r="F3026" i="1"/>
  <c r="E3026" i="1"/>
  <c r="G3025" i="1"/>
  <c r="F3025" i="1"/>
  <c r="E3025" i="1"/>
  <c r="G3024" i="1"/>
  <c r="F3024" i="1"/>
  <c r="E3024" i="1"/>
  <c r="G3023" i="1"/>
  <c r="F3023" i="1"/>
  <c r="E3023" i="1"/>
  <c r="G3022" i="1"/>
  <c r="F3022" i="1"/>
  <c r="E3022" i="1"/>
  <c r="G3021" i="1"/>
  <c r="F3021" i="1"/>
  <c r="E3021" i="1"/>
  <c r="G3020" i="1"/>
  <c r="F3020" i="1"/>
  <c r="E3020" i="1"/>
  <c r="G3019" i="1"/>
  <c r="F3019" i="1"/>
  <c r="E3019" i="1"/>
  <c r="G3018" i="1"/>
  <c r="F3018" i="1"/>
  <c r="E3018" i="1"/>
  <c r="G3017" i="1"/>
  <c r="F3017" i="1"/>
  <c r="E3017" i="1"/>
  <c r="G3016" i="1"/>
  <c r="F3016" i="1"/>
  <c r="E3016" i="1"/>
  <c r="G3015" i="1"/>
  <c r="F3015" i="1"/>
  <c r="E3015" i="1"/>
  <c r="G3014" i="1"/>
  <c r="F3014" i="1"/>
  <c r="E3014" i="1"/>
  <c r="G3013" i="1"/>
  <c r="F3013" i="1"/>
  <c r="E3013" i="1"/>
  <c r="G3012" i="1"/>
  <c r="F3012" i="1"/>
  <c r="E3012" i="1"/>
  <c r="G3011" i="1"/>
  <c r="F3011" i="1"/>
  <c r="E3011" i="1"/>
  <c r="G3010" i="1"/>
  <c r="F3010" i="1"/>
  <c r="E3010" i="1"/>
  <c r="G3009" i="1"/>
  <c r="F3009" i="1"/>
  <c r="E3009" i="1"/>
  <c r="G3008" i="1"/>
  <c r="F3008" i="1"/>
  <c r="E3008" i="1"/>
  <c r="G3007" i="1"/>
  <c r="F3007" i="1"/>
  <c r="E3007" i="1"/>
  <c r="G3006" i="1"/>
  <c r="F3006" i="1"/>
  <c r="E3006" i="1"/>
  <c r="G3005" i="1"/>
  <c r="F3005" i="1"/>
  <c r="E3005" i="1"/>
  <c r="G3004" i="1"/>
  <c r="F3004" i="1"/>
  <c r="E3004" i="1"/>
  <c r="G3003" i="1"/>
  <c r="F3003" i="1"/>
  <c r="E3003" i="1"/>
  <c r="G3002" i="1"/>
  <c r="F3002" i="1"/>
  <c r="E3002" i="1"/>
  <c r="G3001" i="1"/>
  <c r="F3001" i="1"/>
  <c r="E3001" i="1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<sst xmlns="http://schemas.openxmlformats.org/spreadsheetml/2006/main" count="18883" uniqueCount="17124">
  <si>
    <t>Nome</t>
  </si>
  <si>
    <t>Análise manual</t>
  </si>
  <si>
    <t>Análise Programa (Contracheque)</t>
  </si>
  <si>
    <t>Análise Programa (Imposto de Renda)</t>
  </si>
  <si>
    <t>B.1) Contracheque 1 - Contracheque/comprovante de pagamento do examinando</t>
  </si>
  <si>
    <t>B.2) Contracheque 2 - Contracheque/comprovante de pagamento do examinando</t>
  </si>
  <si>
    <t>B.3) Contracheque 3 - Contracheque/comprovante de pagamento do examinando</t>
  </si>
  <si>
    <t>Adenilson Dos Santos Cerqueira</t>
  </si>
  <si>
    <t xml:space="preserve">alínea “c”; </t>
  </si>
  <si>
    <t>Larissa Rodrigues Ribeiro</t>
  </si>
  <si>
    <t>Rosilene Ferreira Carvalho De Moura</t>
  </si>
  <si>
    <t>Jairo Alves Da Silva Xavier</t>
  </si>
  <si>
    <t>Francisco Evanilson de Lima Costa</t>
  </si>
  <si>
    <t>Rayllana De Lima Barbosa</t>
  </si>
  <si>
    <t>Jhony Demetrio De Souza</t>
  </si>
  <si>
    <t>Leandro Oliveira Paiva</t>
  </si>
  <si>
    <t>Aline Lima Marques</t>
  </si>
  <si>
    <t>Cristiane Zanella Costenaro</t>
  </si>
  <si>
    <t>Rosemeri Marques Moreira</t>
  </si>
  <si>
    <t>Patrícia Carreira Batista</t>
  </si>
  <si>
    <t>Graciela Dias Da Silva Sales</t>
  </si>
  <si>
    <t>Ananda Catharine Gusmão Araujo</t>
  </si>
  <si>
    <t>Gustavo Alexandre Nobre De Brito</t>
  </si>
  <si>
    <t xml:space="preserve">alínea “h”; </t>
  </si>
  <si>
    <t>Joedna De Sousa Moraes</t>
  </si>
  <si>
    <t>Reginaldo Lopes De Souza</t>
  </si>
  <si>
    <t>Iara Fernandes Dias</t>
  </si>
  <si>
    <t>Eva Patrícia Braga Fernandes</t>
  </si>
  <si>
    <t>Vanessa Rosa De Azevedo De Lima</t>
  </si>
  <si>
    <t>Jovana Ferreira Pereira</t>
  </si>
  <si>
    <t>Yuri Ivan Bezerra Mota</t>
  </si>
  <si>
    <t>Marivaldo Cerqueira Anunciação</t>
  </si>
  <si>
    <t>Jessica Martins De Carvalho</t>
  </si>
  <si>
    <t>Emanuele De Melo Oliveira</t>
  </si>
  <si>
    <t>Raniely Alves Da Silva</t>
  </si>
  <si>
    <t>Amanda Caixeta Da Paixão Silva</t>
  </si>
  <si>
    <t>Isabela Nanachara Brandao Leitao</t>
  </si>
  <si>
    <t>Valéria Fontes Rodrigues Turones</t>
  </si>
  <si>
    <t>Lucinete Oliveira Dos Santos</t>
  </si>
  <si>
    <t>Keilane Da Silva Dos Santos</t>
  </si>
  <si>
    <t>Paula Tamyres Da Costa Marinho</t>
  </si>
  <si>
    <t>Renata Silva Perdiz Mesquita</t>
  </si>
  <si>
    <t xml:space="preserve">alínea “b”; alínea “c”; </t>
  </si>
  <si>
    <t>Cristiane Aparecida Guimarães De Moraes</t>
  </si>
  <si>
    <t>Marcelo Pereira Sotero</t>
  </si>
  <si>
    <t>José Janderson Maia Couto</t>
  </si>
  <si>
    <t>Cleiciane Guedes Ribeiro</t>
  </si>
  <si>
    <t>Isadora Generoso Sette Ayala</t>
  </si>
  <si>
    <t>Wanderley Rocha Silva</t>
  </si>
  <si>
    <t>Ederson Jose Barbosa Lopes</t>
  </si>
  <si>
    <t>Janaína Vilanova München</t>
  </si>
  <si>
    <t>Cleudijane De Sousa Moura</t>
  </si>
  <si>
    <t>Elaine Cristina Da Silva Lins Neves</t>
  </si>
  <si>
    <t>Janaina Rios Lopes</t>
  </si>
  <si>
    <t>Shirley Belichian Da Silva</t>
  </si>
  <si>
    <t>Eliane De Oliveira Nascimento</t>
  </si>
  <si>
    <t>Luzisllene Gailly Cardoso Silva</t>
  </si>
  <si>
    <t>Alessandro Aparecido Da Silva</t>
  </si>
  <si>
    <t>Elismar De Souza Barbosa</t>
  </si>
  <si>
    <t>Clovis Britto</t>
  </si>
  <si>
    <t>Isadora Aparecida Dos Reis Leite Gonçalves</t>
  </si>
  <si>
    <t>Caroline Dos Santos Feitoza</t>
  </si>
  <si>
    <t xml:space="preserve">alínea “b”; alínea “c”; alínea “h”; </t>
  </si>
  <si>
    <t>Maria Eliane Carvalho Barbosa</t>
  </si>
  <si>
    <t>Paulo Roberto Sena Da Silva</t>
  </si>
  <si>
    <t>Camilla Lima Escorcio</t>
  </si>
  <si>
    <t>Aécio Marcos Medeiros Filho</t>
  </si>
  <si>
    <t>Eullen Moreira Correa</t>
  </si>
  <si>
    <t>Bianca Souza Da Silva</t>
  </si>
  <si>
    <t>Jocelio De Jesus Vieira Louzeiro</t>
  </si>
  <si>
    <t>Sidalia Gomes Santana</t>
  </si>
  <si>
    <t>Ecilanne Rodrigues Do Couto</t>
  </si>
  <si>
    <t>Jeane Farias Da Silva</t>
  </si>
  <si>
    <t>Wagner Mergar Dos Santos</t>
  </si>
  <si>
    <t>Jussara De Souza Rosa</t>
  </si>
  <si>
    <t>Maiara Anastácia Vilhena Batista Nobre</t>
  </si>
  <si>
    <t>Karoline Valerio Lopes Da Luz</t>
  </si>
  <si>
    <t>Rita De Cassia Silva Santos</t>
  </si>
  <si>
    <t>Juciley Gama Da Silva</t>
  </si>
  <si>
    <t>Jennifer Souza Soares</t>
  </si>
  <si>
    <t>Rafael Xavier De Assis</t>
  </si>
  <si>
    <t>Alana Tamara Alcantara Barbosa</t>
  </si>
  <si>
    <t>Vanessa Da Silva</t>
  </si>
  <si>
    <t>Gilvan Lopes De Carvalho</t>
  </si>
  <si>
    <t>Alzira Solange Rios Pupim</t>
  </si>
  <si>
    <t>Raphael Verri Lopes</t>
  </si>
  <si>
    <t>Jucimara Rodrigues De Aragao</t>
  </si>
  <si>
    <t>Sandreia Da Silva Dabella</t>
  </si>
  <si>
    <t>Rafaela Barbosa Vales</t>
  </si>
  <si>
    <t>Karem Vitória Santos Brelaz</t>
  </si>
  <si>
    <t>alínea “b”;</t>
  </si>
  <si>
    <t>Cleidianne Ferreira De Araujo</t>
  </si>
  <si>
    <t>Adriana Maria Cruz De Oliveira Araújo</t>
  </si>
  <si>
    <t>Adilson Arruda Chaves</t>
  </si>
  <si>
    <t>José Do Nascimento Aires Cardoso</t>
  </si>
  <si>
    <t>Priscilla Costa Vitorino Santos</t>
  </si>
  <si>
    <t>Ana Paula Peres De Quadros</t>
  </si>
  <si>
    <t>Vanessa Silva Da Silva</t>
  </si>
  <si>
    <t>Gisele Severo Da Silva Silveira</t>
  </si>
  <si>
    <t>Allan Guerra Alves</t>
  </si>
  <si>
    <t>Maria Izabel Profirio De Oliveira</t>
  </si>
  <si>
    <t>Yuri Soares Cabral</t>
  </si>
  <si>
    <t>Gretchen Da Silva Sousa</t>
  </si>
  <si>
    <t>Luziana Dos Santos Passos</t>
  </si>
  <si>
    <t>Taline Guedes Borges</t>
  </si>
  <si>
    <t>Cristiano Sousa De Paula</t>
  </si>
  <si>
    <t>Laura Christina Oliveira Brito Rodrigues</t>
  </si>
  <si>
    <t>Maria Elisa Ricci Mourão</t>
  </si>
  <si>
    <t>Cleide Borges De Carvalho</t>
  </si>
  <si>
    <t>Fernanda Aparecida Romão De Souza Rocha</t>
  </si>
  <si>
    <t>Ivanir Marques</t>
  </si>
  <si>
    <t>Kellen Da Silva França</t>
  </si>
  <si>
    <t>Carlos Eduardo Paiva Carvalho</t>
  </si>
  <si>
    <t>Carolina Romeiro Eloy</t>
  </si>
  <si>
    <t>Lilian Santos Pereira Da Silva</t>
  </si>
  <si>
    <t>Viviane Helena Pacifico Monteiro</t>
  </si>
  <si>
    <t>Maria Zelane Da Silva Leitão</t>
  </si>
  <si>
    <t>Gisele Laura Gomes</t>
  </si>
  <si>
    <t>Bruno Rafael Santos Alves</t>
  </si>
  <si>
    <t>Renata Ferreira Sales</t>
  </si>
  <si>
    <t>Gabriel Mendes De Abreu</t>
  </si>
  <si>
    <t>Raiane Pereira De Evaristo</t>
  </si>
  <si>
    <t>Aline Lemos De Almeida</t>
  </si>
  <si>
    <t>Kilce Hellen Soares Toledano Abrão</t>
  </si>
  <si>
    <t>Jucileide Da Costa Ribeiro</t>
  </si>
  <si>
    <t>Sara Milena Martins De Assis</t>
  </si>
  <si>
    <t>Priscila Silva da Costa de Lima</t>
  </si>
  <si>
    <t>Raphael Francklin De Souza Da Silva</t>
  </si>
  <si>
    <t>Thiago Neves Batista</t>
  </si>
  <si>
    <t>Francisco Wallaci Dos Santos Paiva</t>
  </si>
  <si>
    <t>Francisco Jhonny Conceição Da Silva</t>
  </si>
  <si>
    <t>Rosimeire Barros De Moura</t>
  </si>
  <si>
    <t>Lizete Morais</t>
  </si>
  <si>
    <t>Isadora Rezende Bastos</t>
  </si>
  <si>
    <t>Jacqueline Mendes De Araújo</t>
  </si>
  <si>
    <t>Monica Vieira Mascarenhas</t>
  </si>
  <si>
    <t>Karen Da Silva Carlos</t>
  </si>
  <si>
    <t>Renan Marcelo Dos Santos Nazare</t>
  </si>
  <si>
    <t>Darline Caroline Dos Santos Chaves Rebelo</t>
  </si>
  <si>
    <t>Italo Alexandre Alves Bo</t>
  </si>
  <si>
    <t>Sandra Raquel Silva Santos</t>
  </si>
  <si>
    <t>Rogério De Freitas</t>
  </si>
  <si>
    <t>Wellington De Lima Vieira</t>
  </si>
  <si>
    <t>Renan Patrick Areias Pereira</t>
  </si>
  <si>
    <t>Daiane Alnert Cavalcanti</t>
  </si>
  <si>
    <t>Luis Carlos Da Costa Fernandes</t>
  </si>
  <si>
    <t>Ana De Fátima Lopes Melo</t>
  </si>
  <si>
    <t>Darllan Bastos Gonçalves</t>
  </si>
  <si>
    <t>Evelyn Victoria Alves Dos Santos</t>
  </si>
  <si>
    <t>Antonio Felipe De Alencar Sampaio</t>
  </si>
  <si>
    <t>Gracieny Bernardo Rosa</t>
  </si>
  <si>
    <t>Tatiana Oliveira Da Silva</t>
  </si>
  <si>
    <t>Marcia Gabbardo</t>
  </si>
  <si>
    <t>Luana Dias Miranda</t>
  </si>
  <si>
    <t>Thelbia Ferreira Da Mata Lima</t>
  </si>
  <si>
    <t>Luana Sibele Santana Soares</t>
  </si>
  <si>
    <t>Neliani Pantoja Marques</t>
  </si>
  <si>
    <t>Adriana Rosseli Medeiros De Souza</t>
  </si>
  <si>
    <t>Thalita Dos Santos Vieira Tavares</t>
  </si>
  <si>
    <t>Auzerina Melo Duarte</t>
  </si>
  <si>
    <t>Alberto Picanco De Sena Ramos</t>
  </si>
  <si>
    <t>Pedro Cirino Gomes Filho</t>
  </si>
  <si>
    <t>Walsi Marques Queiros Junior</t>
  </si>
  <si>
    <t>José Rafael Moraes Leal</t>
  </si>
  <si>
    <t>Carla Marindia Kohler</t>
  </si>
  <si>
    <t>Hendeson Morais De Souza</t>
  </si>
  <si>
    <t>Luiz Hiroyuki Maeda</t>
  </si>
  <si>
    <t>Pedro Araújo Lima</t>
  </si>
  <si>
    <t xml:space="preserve">alínea “c”; alínea “h”; </t>
  </si>
  <si>
    <t>Ana Paula Devesa Mendes</t>
  </si>
  <si>
    <t>José Borges De Almeida Neto</t>
  </si>
  <si>
    <t>Ariana Lelis Pontes</t>
  </si>
  <si>
    <t>Angela Adriana Barros Santos</t>
  </si>
  <si>
    <t>Scarlet Soares Alves</t>
  </si>
  <si>
    <t>Daiana Angelica Da Silva Araujo</t>
  </si>
  <si>
    <t>Aline Martins Nonato</t>
  </si>
  <si>
    <t>Lariza Graciele De Oliveira Gomes</t>
  </si>
  <si>
    <t>Jhefferson Leandro Dias Da Silva</t>
  </si>
  <si>
    <t>Inglis Souza Gonçalves</t>
  </si>
  <si>
    <t>Aiescha Dominiak Da Silveira</t>
  </si>
  <si>
    <t>Andrele De Oliveira Picanço</t>
  </si>
  <si>
    <t>Taís Henrique Reis</t>
  </si>
  <si>
    <t>Claudio Fernando Lopes Da Silva</t>
  </si>
  <si>
    <t>Nayara Carolina Pinho De Oliveira</t>
  </si>
  <si>
    <t>Miranilde Fernandes Magalhaes</t>
  </si>
  <si>
    <t>Viviane Lima Da Purificação</t>
  </si>
  <si>
    <t>Jair Carlos Custódio Dias</t>
  </si>
  <si>
    <t>Mara Luzia Paiva</t>
  </si>
  <si>
    <t>Geraldo Luiz Gomes</t>
  </si>
  <si>
    <t>Vitória De Araujo Pellegrin</t>
  </si>
  <si>
    <t>Dayanna Menezes Dos Santos</t>
  </si>
  <si>
    <t>Priscilla Farias Sanchez</t>
  </si>
  <si>
    <t>Huilse Antunes Dos Santos</t>
  </si>
  <si>
    <t>Mirian Santana Ferreira</t>
  </si>
  <si>
    <t>Francisca Fabiana Leandro Lopes</t>
  </si>
  <si>
    <t>Lucinéia Pereira De Souza França</t>
  </si>
  <si>
    <t>Thiago Soares Da Silva</t>
  </si>
  <si>
    <t xml:space="preserve">2.6.1., alínea “b”; </t>
  </si>
  <si>
    <t>Adryane Melissa Da Silva De Almeida</t>
  </si>
  <si>
    <t>Fabiane Dos Santos Medeiros</t>
  </si>
  <si>
    <t>Helio Da Hora Moura</t>
  </si>
  <si>
    <t>Núbia De Fátima Da Rocha Madeira</t>
  </si>
  <si>
    <t>Denner Douglas Silva</t>
  </si>
  <si>
    <t>Nelza Maria Alves Marques Machado</t>
  </si>
  <si>
    <t>Karla Francesca Abrantes Perez</t>
  </si>
  <si>
    <t>Isabel Batista De Castro</t>
  </si>
  <si>
    <t>Marcela Dornel Alves</t>
  </si>
  <si>
    <t>Suelen Teixeira Oliveira De Mendonça</t>
  </si>
  <si>
    <t>Diogo Francisco Da Silva</t>
  </si>
  <si>
    <t>Erivanda De Araújo Sousa</t>
  </si>
  <si>
    <t>Cláudia Magalhães Teixeira</t>
  </si>
  <si>
    <t>Suely Alves Da Cruz</t>
  </si>
  <si>
    <t>Silvanir Carneiro Costa</t>
  </si>
  <si>
    <t>Josiane Peres Botelho</t>
  </si>
  <si>
    <t>Daniella Da Costa E Silva</t>
  </si>
  <si>
    <t>Ingrid Constância Lins Neres</t>
  </si>
  <si>
    <t>Dábila Natielle Monte</t>
  </si>
  <si>
    <t>Willian Barbosa Monteiro</t>
  </si>
  <si>
    <t>Anderson Batista Dos Santos</t>
  </si>
  <si>
    <t>Wellington Wanderson De Sousa</t>
  </si>
  <si>
    <t>Daiana Flauzino</t>
  </si>
  <si>
    <t>Gracielma De Jesus Marcelino</t>
  </si>
  <si>
    <t>Maria Rosangela Conceicao Vilena</t>
  </si>
  <si>
    <t>Nimeyara Jo Andrade Silverio</t>
  </si>
  <si>
    <t>Alexsandra Karla Noberto Ferreira</t>
  </si>
  <si>
    <t>Suelen Raira Lima Dos Santos</t>
  </si>
  <si>
    <t>Mariane De Lima</t>
  </si>
  <si>
    <t>Karina Macedo Chaparro</t>
  </si>
  <si>
    <t>Janaína Bezerra Da Silva</t>
  </si>
  <si>
    <t>Mirian Dos Santos Nascimento Martinez</t>
  </si>
  <si>
    <t>Valéria Maria Pereira Rosa</t>
  </si>
  <si>
    <t>Luiz Claudio Ferri Teles</t>
  </si>
  <si>
    <t>Jean Augusto De Oliveira Martel</t>
  </si>
  <si>
    <t>Angelina Angela Ferreira Da Silva</t>
  </si>
  <si>
    <t>Kamila Da Silva Guimaraes</t>
  </si>
  <si>
    <t>Bruno Caldato Lopes</t>
  </si>
  <si>
    <t>Valdenize Do Espirito Santo Da Luz</t>
  </si>
  <si>
    <t>Jhonathan Lopes Ferreira</t>
  </si>
  <si>
    <t>Leide Daiane Dos Santos Dias</t>
  </si>
  <si>
    <t>Anne Marry Vieira Leal</t>
  </si>
  <si>
    <t>Thiago Maciel Dias</t>
  </si>
  <si>
    <t>Maria Aurizangela Lopes</t>
  </si>
  <si>
    <t>Raissa Priscilla De Souza Leite</t>
  </si>
  <si>
    <t>Gillson De Sousa Rodrigues</t>
  </si>
  <si>
    <t>Ana Kelly Costa Da Silva</t>
  </si>
  <si>
    <t>Wilson Salviano De Oliveira Filho Molick</t>
  </si>
  <si>
    <t>Raquel Terra Teixeira</t>
  </si>
  <si>
    <t>Paola Oliveira Sousa Alexandrino</t>
  </si>
  <si>
    <t>Everaldo Gomes Da Silva</t>
  </si>
  <si>
    <t>Danielle De Souza Barbosa E Silva</t>
  </si>
  <si>
    <t>Rickson Alan Nassin</t>
  </si>
  <si>
    <t>Jorge Luiz Miranda Holanda</t>
  </si>
  <si>
    <t>Laena Marina Dos Santos</t>
  </si>
  <si>
    <t>Lídia Maria Sousa De Brito</t>
  </si>
  <si>
    <t>Josué De Oliveira Gomes</t>
  </si>
  <si>
    <t>Katia Valeria Omura</t>
  </si>
  <si>
    <t>Antonio Carlos Monteiro Da Silva</t>
  </si>
  <si>
    <t>Hanna Kaline Torres Picanço Freitas</t>
  </si>
  <si>
    <t>Joseane Lourenço De Luna</t>
  </si>
  <si>
    <t>Letícia Rodrigues Kendzerski</t>
  </si>
  <si>
    <t>Maria Djane Da Silva</t>
  </si>
  <si>
    <t>Eliane Conceição Dos Santos</t>
  </si>
  <si>
    <t>Kemberly Andreza Correia Martins</t>
  </si>
  <si>
    <t>Josimar Dias Borges</t>
  </si>
  <si>
    <t>Gabriel Canada Cavalcante Carneiro</t>
  </si>
  <si>
    <t>Luciana Estral De Souza</t>
  </si>
  <si>
    <t>Juliana Duarte Da Silva</t>
  </si>
  <si>
    <t>Lirane Lima De Jesus</t>
  </si>
  <si>
    <t>Francisco Edes Braga Da Silva</t>
  </si>
  <si>
    <t>Ana Gabriela Barros Barbosa</t>
  </si>
  <si>
    <t>Aline Eliane Ledesma de Siqueira</t>
  </si>
  <si>
    <t>José Raimundo De Souza Filho</t>
  </si>
  <si>
    <t>Thaís Damasceno Pinheiro</t>
  </si>
  <si>
    <t>Renata Lis Morais Azevedo</t>
  </si>
  <si>
    <t>Jacinta Pereira Martins</t>
  </si>
  <si>
    <t>Reinan Aquino Dos Santos</t>
  </si>
  <si>
    <t>Maria Aparecida Pinto Da Silva</t>
  </si>
  <si>
    <t>Elton Nascimento Gomes</t>
  </si>
  <si>
    <t>Andressa Assunção Sousa</t>
  </si>
  <si>
    <t>Carlos Roberto Rodrigues De Carvalho</t>
  </si>
  <si>
    <t>Ronaldo Rodrigues De Oliveira</t>
  </si>
  <si>
    <t>Patricia Karolline De Souza</t>
  </si>
  <si>
    <t>Edna Cristina Xavier Souza Dos Santos</t>
  </si>
  <si>
    <t>Elaine De Fatima Tozetto</t>
  </si>
  <si>
    <t>Ernanda Cléscia Rodrigues Guedes</t>
  </si>
  <si>
    <t>Ivanda Meira Silva</t>
  </si>
  <si>
    <t>Paulo Celson Cândido De Alapenha</t>
  </si>
  <si>
    <t>Itaise Araújo Pinheiro</t>
  </si>
  <si>
    <t>Samantha Vasconcelos Da Silva</t>
  </si>
  <si>
    <t>Paula Karinne Amarante Merquires</t>
  </si>
  <si>
    <t>Neila Pedroso Gomes</t>
  </si>
  <si>
    <t>Thayanne Feitosa Abecassis</t>
  </si>
  <si>
    <t>Dennys Yuri Santana Lopes</t>
  </si>
  <si>
    <t>Luziene Gonçalves Da Silva Souza</t>
  </si>
  <si>
    <t>Tiana Teixeira Reis</t>
  </si>
  <si>
    <t>Lilia Valdivina Moreira De Souza</t>
  </si>
  <si>
    <t>Hellay Cristiny Dos Passos Marins</t>
  </si>
  <si>
    <t>Flavia Lima Dias</t>
  </si>
  <si>
    <t>Lilian Pessoa De Godoy</t>
  </si>
  <si>
    <t>Wallace Goncalves Dos Reis</t>
  </si>
  <si>
    <t>Daniela Santana Miranda</t>
  </si>
  <si>
    <t>Diana Gomes Da Silva</t>
  </si>
  <si>
    <t>Fernanda Pereira Da Silva</t>
  </si>
  <si>
    <t>Nataniel Paz De Carvalho</t>
  </si>
  <si>
    <t>Janaina De Lourdes Oliveira Cardoso</t>
  </si>
  <si>
    <t>Thiago Brasil Vieira</t>
  </si>
  <si>
    <t>Dalete Maus De Paula</t>
  </si>
  <si>
    <t>Maria Cecilia Tavares Da Silva</t>
  </si>
  <si>
    <t>alínea “c”;</t>
  </si>
  <si>
    <t>Silvana Dos Santos Ferreira</t>
  </si>
  <si>
    <t>Itaquadriara Costa Cavalcante</t>
  </si>
  <si>
    <t>Quelle Jamille Luciano Santos De Morais</t>
  </si>
  <si>
    <t>alínea “b”; alínea “c”;</t>
  </si>
  <si>
    <t>Carla Hilda Alves Dos Santos</t>
  </si>
  <si>
    <t>Sheila Cristina Pontes Guedes</t>
  </si>
  <si>
    <t>Tereza Suellen Lima Santos</t>
  </si>
  <si>
    <t>Evaldo Dos Reis Macedo</t>
  </si>
  <si>
    <t>Vera Gouveia Matos</t>
  </si>
  <si>
    <t>Milena Kívia Guimarães Lopes</t>
  </si>
  <si>
    <t>Edgar Teodoro De Souza</t>
  </si>
  <si>
    <t>Leandro Da Silva Alves</t>
  </si>
  <si>
    <t>Xenia Jacinto Santos</t>
  </si>
  <si>
    <t>Alessandra Silva De Araujo</t>
  </si>
  <si>
    <t>Vanderson Jesus De Oliveira</t>
  </si>
  <si>
    <t>Fagner Dantas De Araujo</t>
  </si>
  <si>
    <t>Luciana De Melo Torres</t>
  </si>
  <si>
    <t>Flaviana Quintino Moreira Souza</t>
  </si>
  <si>
    <t>Hortencia Beatriz Serra Ferreira</t>
  </si>
  <si>
    <t>Aryane Dos Santos Dias</t>
  </si>
  <si>
    <t>Elisangela Da Silva Souza</t>
  </si>
  <si>
    <t>Hugo Ricardo Dos Santos</t>
  </si>
  <si>
    <t>Maurício Guenka Neto</t>
  </si>
  <si>
    <t>Azariel Costa Da Silva</t>
  </si>
  <si>
    <t>Aline Costa Morais De Paula</t>
  </si>
  <si>
    <t>Tania Freitas Dos Santos</t>
  </si>
  <si>
    <t>Silmara Cristina Dos Reis Froes</t>
  </si>
  <si>
    <t>Neryanne Façanha Nery Pinheiro</t>
  </si>
  <si>
    <t>Aurora Lucia Chelles Bruno De Vasconcellos</t>
  </si>
  <si>
    <t>Anelise Lopes De Almeida</t>
  </si>
  <si>
    <t>Genilson Dos Santos</t>
  </si>
  <si>
    <t>Rodrigo Silva Alves Miranda</t>
  </si>
  <si>
    <t>Ângela Pereira Peixoto Lima</t>
  </si>
  <si>
    <t>Caio Eduardo Oliveira Leastro</t>
  </si>
  <si>
    <t>Renato Da Costa Barbosa</t>
  </si>
  <si>
    <t>Andréia Neves De Souza</t>
  </si>
  <si>
    <t>Nayalla Gabriela De Jesus Mota</t>
  </si>
  <si>
    <t>Regina Salvador Meneses</t>
  </si>
  <si>
    <t>Thuane Do Socorro Evangelista Oliveira</t>
  </si>
  <si>
    <t>Agenor Alessandro Vieira Borges</t>
  </si>
  <si>
    <t>Rebeca Coelho De Azevedo</t>
  </si>
  <si>
    <t>Juliana De Resende Silva</t>
  </si>
  <si>
    <t>Deyvid De Araujo Lemos</t>
  </si>
  <si>
    <t>Vitor Dério Pereira Da Silva</t>
  </si>
  <si>
    <t>Alcir De Castro</t>
  </si>
  <si>
    <t>Hamilton Jesus Da Silva</t>
  </si>
  <si>
    <t>Lucilene Paixão Dos Santos</t>
  </si>
  <si>
    <t>Patrick Walter De Andrade Kuhn</t>
  </si>
  <si>
    <t>Nerilucy Mesquita De Arruda Lima</t>
  </si>
  <si>
    <t>Antonia Nislânia Barreto Cavalcante</t>
  </si>
  <si>
    <t>Edilson Lucio Da Silva Duarte</t>
  </si>
  <si>
    <t>Vania Maxima Da Silva Ribeiro</t>
  </si>
  <si>
    <t>Kalliana Cinthia Da Silva Medeiros Teixeira</t>
  </si>
  <si>
    <t>Flávia Edwirges Dos Santos</t>
  </si>
  <si>
    <t>Romeria Martins Ribeiro</t>
  </si>
  <si>
    <t>Maria Cristina Dos Santos Guimarães</t>
  </si>
  <si>
    <t>Maria Sebastiana Oliveira Pereira</t>
  </si>
  <si>
    <t>Angela Maria Perroni</t>
  </si>
  <si>
    <t>Monica Sueli Ferreira Marques</t>
  </si>
  <si>
    <t>Andreza Suenia De Araujo Bezerra</t>
  </si>
  <si>
    <t>Maikon Cardoso De Morais</t>
  </si>
  <si>
    <t>Thaynara Martins Borges Padim</t>
  </si>
  <si>
    <t>Robson Santos Mendonça</t>
  </si>
  <si>
    <t>Elida Kaline Dos Santos Soares</t>
  </si>
  <si>
    <t>Gleyce Matos Vieira Cambui</t>
  </si>
  <si>
    <t>Aline Rodrigues Da Silva</t>
  </si>
  <si>
    <t>Cristine Cemin</t>
  </si>
  <si>
    <t>Eduarda Pocahontas Sousa</t>
  </si>
  <si>
    <t>Luciana Maria Dos Reis</t>
  </si>
  <si>
    <t>Gislaine Alves Da Silva</t>
  </si>
  <si>
    <t>Roberto Junior Da Silva Liduário</t>
  </si>
  <si>
    <t>Rozenilda Torres Martins Santana</t>
  </si>
  <si>
    <t>Cleonizar Santos Gomes</t>
  </si>
  <si>
    <t>Katherine Maria Silva Dos Santos</t>
  </si>
  <si>
    <t>Robson Pereira Dos Santos</t>
  </si>
  <si>
    <t>Marinalva Batista Silva</t>
  </si>
  <si>
    <t>Ikaro Jesus Sousa De Aviz</t>
  </si>
  <si>
    <t>Fernanda Leal Cardoso De Souza</t>
  </si>
  <si>
    <t>Ana Paula Baptista Ferreira</t>
  </si>
  <si>
    <t>Solange Pereira Dos Santos</t>
  </si>
  <si>
    <t>Cláudia Valéria Alves Dos Santos</t>
  </si>
  <si>
    <t>Katia Valeria Martins De Santana</t>
  </si>
  <si>
    <t>Larissa Pereira Mota</t>
  </si>
  <si>
    <t>Rafael Henrique Souza Da Silva</t>
  </si>
  <si>
    <t>Edilton Ferreira Do Nascimento</t>
  </si>
  <si>
    <t>Sara Moema Ferreira De Almeida</t>
  </si>
  <si>
    <t>Graziele Barbosa Da Silva</t>
  </si>
  <si>
    <t>Israel De Vasconcelos Arcanjo</t>
  </si>
  <si>
    <t>Pedro Tiago Alves Batista</t>
  </si>
  <si>
    <t>Herondina Silva Santos</t>
  </si>
  <si>
    <t>Vanessa Flores Silva</t>
  </si>
  <si>
    <t>André Luiz Moreira</t>
  </si>
  <si>
    <t>Luna Raylane Lopes Da Silva</t>
  </si>
  <si>
    <t>Tais Do Socorro Gouvea De Araujo</t>
  </si>
  <si>
    <t>Jaqueline Brito De Sá</t>
  </si>
  <si>
    <t>Karina Paula Alves</t>
  </si>
  <si>
    <t>Márcio Adriano Almeida Trindade</t>
  </si>
  <si>
    <t>Greciane Aparecida Barbosa</t>
  </si>
  <si>
    <t>Elton Ferreira De Souza</t>
  </si>
  <si>
    <t>Mariana Pereira Da Silva</t>
  </si>
  <si>
    <t>Alysson Deybson De Oliveira Leite</t>
  </si>
  <si>
    <t>Robeane Bastos Santos</t>
  </si>
  <si>
    <t>Igor Parente De Araujo</t>
  </si>
  <si>
    <t>Shaira Priscilla Ferreira Garcia</t>
  </si>
  <si>
    <t>Nadja Rodrigues Bezerra Sousa</t>
  </si>
  <si>
    <t>Suzanir De Souza Almeida</t>
  </si>
  <si>
    <t>Aécio Ribeiro Teixeira</t>
  </si>
  <si>
    <t>Suziane Mesquita Da Silva</t>
  </si>
  <si>
    <t>Milena Leite Lopes Dos Santos Mendes</t>
  </si>
  <si>
    <t>Douglas Tiago Costa De Oliveira</t>
  </si>
  <si>
    <t>Arlene Taiz Alves Lima</t>
  </si>
  <si>
    <t>Magna Mendes Dos Santos</t>
  </si>
  <si>
    <t>Bruna Barbosa De Menezes</t>
  </si>
  <si>
    <t>Jose Carlos Oliveira De Sousa Junior</t>
  </si>
  <si>
    <t>Jailda Barros Francisco</t>
  </si>
  <si>
    <t>Flor De Maria Da Silva Leal</t>
  </si>
  <si>
    <t>Kamila Rodrigues Naves Da Silva</t>
  </si>
  <si>
    <t>Márcia Freitas Castro Souza Costa</t>
  </si>
  <si>
    <t>Edimara Da Silva Bispo</t>
  </si>
  <si>
    <t>Diego Cruz Da Silva</t>
  </si>
  <si>
    <t>Janismar Souza Oliveira</t>
  </si>
  <si>
    <t>Ana Carolina Dos Santos Araújo</t>
  </si>
  <si>
    <t>Leonardo Soares Barreto</t>
  </si>
  <si>
    <t>Amanda Andrade Teixeira</t>
  </si>
  <si>
    <t>Elen Dayane Tavares De Brito</t>
  </si>
  <si>
    <t>Marilza Da Costa</t>
  </si>
  <si>
    <t>Anderson Castilho Gomes</t>
  </si>
  <si>
    <t>Maikel Ferreira Mendes</t>
  </si>
  <si>
    <t>Sara Freitas Souto</t>
  </si>
  <si>
    <t>Cassiana Luiza Eliseu Dos Santos</t>
  </si>
  <si>
    <t>Inhana Setenta Souza</t>
  </si>
  <si>
    <t>Lucelena Evangelista Pereira</t>
  </si>
  <si>
    <t>Diêgo Mota Dos Santos</t>
  </si>
  <si>
    <t>Fernando Gomes Váz Júnior</t>
  </si>
  <si>
    <t>José Henrique Dos Anjos</t>
  </si>
  <si>
    <t>Josiéli Cristofari Pinto</t>
  </si>
  <si>
    <t>Fabiana Souza De Jesus Costa</t>
  </si>
  <si>
    <t>Mayra Tainá Campelo Monteiro</t>
  </si>
  <si>
    <t>Angelita Aparecida Bernardes</t>
  </si>
  <si>
    <t>Camilla Christie Lopes De Albuquerque</t>
  </si>
  <si>
    <t>Érica De Oliveira Santos</t>
  </si>
  <si>
    <t>Priscila Kaline Alves Da Silva</t>
  </si>
  <si>
    <t>Railany Da Silva Costa</t>
  </si>
  <si>
    <t>Leandro Gonçalves</t>
  </si>
  <si>
    <t>Gell Wanderson Araujo Coelho</t>
  </si>
  <si>
    <t>Wanessa Souza E Silva Maciel</t>
  </si>
  <si>
    <t>Juliana Lima Da Cruz</t>
  </si>
  <si>
    <t>Luiza Cristina Alvarenga Bueno Da Silva</t>
  </si>
  <si>
    <t>Lauriene Augusta Do Nascimento</t>
  </si>
  <si>
    <t>Guilherme Silva Garcia</t>
  </si>
  <si>
    <t>Ricardo Da Cunha Conceição</t>
  </si>
  <si>
    <t>Rafaela Rocha Sueiro</t>
  </si>
  <si>
    <t>Gilson Dos Santos</t>
  </si>
  <si>
    <t>Francieli Duarte De Paula</t>
  </si>
  <si>
    <t>Handerson Alves Mourão</t>
  </si>
  <si>
    <t>Paulo Victor Da Costa Santos</t>
  </si>
  <si>
    <t>Vitória Garcia Barcelos</t>
  </si>
  <si>
    <t>Flaviana Alves</t>
  </si>
  <si>
    <t>Marcus Vinicius Rodrigues Alves</t>
  </si>
  <si>
    <t>Dienifer Leticia Ramos Aneres</t>
  </si>
  <si>
    <t>Josie Do Sacramento Ramos</t>
  </si>
  <si>
    <t>Cássio Da Silva Pacheco</t>
  </si>
  <si>
    <t>Evaneude Da Rocha Jesus Bomfim</t>
  </si>
  <si>
    <t>Gleicielly Rivane Lima Silva</t>
  </si>
  <si>
    <t>Jose Ricardo Da Silva</t>
  </si>
  <si>
    <t>Priscila Da Silva Miranda</t>
  </si>
  <si>
    <t>Valeria Soares De Souza</t>
  </si>
  <si>
    <t>Graciele Santiago Nery De Souza</t>
  </si>
  <si>
    <t>Maria Das Dores Moreira Dos Santos</t>
  </si>
  <si>
    <t>Simone Ramos De Mello</t>
  </si>
  <si>
    <t>Andréa Da Penha Vasconcellos Camargo</t>
  </si>
  <si>
    <t>Lélio Messias Da Silva Xavier Junior</t>
  </si>
  <si>
    <t>Raylan Alves Monteiro</t>
  </si>
  <si>
    <t>Evelyn Da Luz Pinho</t>
  </si>
  <si>
    <t>Alex Kennedy Lima Barreto</t>
  </si>
  <si>
    <t>Belini Nascimento Canté</t>
  </si>
  <si>
    <t>Eduarda Leticia Da Silva Santos</t>
  </si>
  <si>
    <t>Ramini Matos Brandao</t>
  </si>
  <si>
    <t>Joelma Mendes Pereira</t>
  </si>
  <si>
    <t>Joelma Lima Fernandes</t>
  </si>
  <si>
    <t>Roselane Pereira Dos Reis</t>
  </si>
  <si>
    <t>Carla Rosane Guerreiro</t>
  </si>
  <si>
    <t>Zuleica Coimbra Da Silva</t>
  </si>
  <si>
    <t>Luana Nascimento Dos Santos</t>
  </si>
  <si>
    <t>Ana Lúcia Porto Saraiva</t>
  </si>
  <si>
    <t>Jaqueline Michele Monteiro De Oliveira</t>
  </si>
  <si>
    <t>Ana Flavia Ferreira Costa</t>
  </si>
  <si>
    <t>Priscila Castro Da Silva</t>
  </si>
  <si>
    <t>Daniele Rodrigues Ferreira</t>
  </si>
  <si>
    <t>Jecimara Pessoa Frazão</t>
  </si>
  <si>
    <t>Ingrid Rafaela Da Silva Macedo</t>
  </si>
  <si>
    <t>Sanei Santos Souza</t>
  </si>
  <si>
    <t>Francielle Moura Amarante</t>
  </si>
  <si>
    <t>Diago Vitrio Moises</t>
  </si>
  <si>
    <t>Aluska Kelly Pereira Alves</t>
  </si>
  <si>
    <t>Márcia Cristina Lemos Silvano</t>
  </si>
  <si>
    <t>Juliana Ribeiro Thaupa</t>
  </si>
  <si>
    <t>Vlasdioneiton Antunes De Oliveira</t>
  </si>
  <si>
    <t>Anna Carla Dos Santos Fonseca</t>
  </si>
  <si>
    <t>Joselia Alves Dos Santos</t>
  </si>
  <si>
    <t>Jessica Lima De Freitas Roriz</t>
  </si>
  <si>
    <t>Lorena Moretel Chagas</t>
  </si>
  <si>
    <t>Lêda Camila Pollyanne Silva</t>
  </si>
  <si>
    <t>Rita De Cassia Felix Marinho</t>
  </si>
  <si>
    <t>Renata Rodrigues Saldanha</t>
  </si>
  <si>
    <t>Marjorye Lacerda Duarte</t>
  </si>
  <si>
    <t>Simone Figueiredo Rocha</t>
  </si>
  <si>
    <t>Thays Hanna Gomes De Oliveira</t>
  </si>
  <si>
    <t>Lidia Almeida De Paula</t>
  </si>
  <si>
    <t>Raqueline Da Silva Santos</t>
  </si>
  <si>
    <t>Cícera Açuelia Cristina da Silva</t>
  </si>
  <si>
    <t>Silvia Santana De Paula</t>
  </si>
  <si>
    <t>Taysa Dos Santos Nascimento Oliveira</t>
  </si>
  <si>
    <t>Moziane Messias Cavalcante</t>
  </si>
  <si>
    <t>Vitória Maria Rodrigues Marques Da Silva Pinto Pereira</t>
  </si>
  <si>
    <t>Leidiane Albuquerque Coelho</t>
  </si>
  <si>
    <t>Rutheselen Matos Ferreira</t>
  </si>
  <si>
    <t>David Mendes Pinheiro</t>
  </si>
  <si>
    <t>Cláudia Lanay Dos Santos Pinho</t>
  </si>
  <si>
    <t>Maria Eliane Correa Branco</t>
  </si>
  <si>
    <t>Jeferson Eduardo De Carvalho Silvestre</t>
  </si>
  <si>
    <t>Sthefane Ribeiro De Souza</t>
  </si>
  <si>
    <t>Kelen Bresque Dos Anjos</t>
  </si>
  <si>
    <t>Letícia De Jesus Vidal</t>
  </si>
  <si>
    <t>Francisco Lima Ribeiro Junior</t>
  </si>
  <si>
    <t>Jorge Luiz Ferreira Dos Santos</t>
  </si>
  <si>
    <t>Thaynara Rocha De Lima</t>
  </si>
  <si>
    <t>Luciane Rodrigues De Oliveira Souza</t>
  </si>
  <si>
    <t>Tamara De Menezes De Assis Fontenele</t>
  </si>
  <si>
    <t>Gleicyanne Colares Pinheiro</t>
  </si>
  <si>
    <t>Hillana Alves Duarte</t>
  </si>
  <si>
    <t>Ana Maria Epifanio Barros Soares</t>
  </si>
  <si>
    <t>Erivalda Santos Melo</t>
  </si>
  <si>
    <t>Adrielly Assis Barbosa</t>
  </si>
  <si>
    <t>Cristiane Maria Da Silva</t>
  </si>
  <si>
    <t>Esler Wagner Gomes Coelho</t>
  </si>
  <si>
    <t>Lawand Alexandre Jacob De Oliveira</t>
  </si>
  <si>
    <t>Iara Sâmia Do Nascimento Moreira</t>
  </si>
  <si>
    <t>Larissa do Socorro da Silva Lima</t>
  </si>
  <si>
    <t>Lana Cristina Carvalho Nascimento Almeida</t>
  </si>
  <si>
    <t>Clair Marcelino Da Silva</t>
  </si>
  <si>
    <t>Erivelton Fagner Rodrigues Oliveira Do Nascimento</t>
  </si>
  <si>
    <t>Catia Souza Caldeira</t>
  </si>
  <si>
    <t>Regina Inácio Da Rocha</t>
  </si>
  <si>
    <t>Joeverton Cortez De Moraes</t>
  </si>
  <si>
    <t>José Ricardo Alves Pereira Júnior</t>
  </si>
  <si>
    <t>Willian Francisco Riet Cardoso</t>
  </si>
  <si>
    <t>Ellen Leilane Hermenegildo</t>
  </si>
  <si>
    <t>Luis Carlos Vasconcelos Da Conceição</t>
  </si>
  <si>
    <t>Ianele Gabriela Fraga Nascimento</t>
  </si>
  <si>
    <t>Railton Pedrosa Gonzales</t>
  </si>
  <si>
    <t>Juliana Palma Da Silva</t>
  </si>
  <si>
    <t>Bruno Henrique Rodrigues Lima</t>
  </si>
  <si>
    <t>Rafael Pereira Bueno</t>
  </si>
  <si>
    <t>Bruna Lessandra Celes Dos Santos Cavalcante</t>
  </si>
  <si>
    <t>Andrielly Alves De Sousa</t>
  </si>
  <si>
    <t>Jhonata Bernardes Paiva</t>
  </si>
  <si>
    <t>Ana Paula Da Silva</t>
  </si>
  <si>
    <t>Thayla Araújo Severo</t>
  </si>
  <si>
    <t>Kelen Keterin Knierin</t>
  </si>
  <si>
    <t>Nicole Miranda Dos Santos</t>
  </si>
  <si>
    <t>Raimara Guimaraes Da Silva</t>
  </si>
  <si>
    <t>Elbiene Da Silva Neves</t>
  </si>
  <si>
    <t>Taynara Casa Grande Domingos</t>
  </si>
  <si>
    <t>Karina Yngrid De Oliveira Braga</t>
  </si>
  <si>
    <t>Julia Kethleen Lima E Silva</t>
  </si>
  <si>
    <t>Gabrielle Alves Marques</t>
  </si>
  <si>
    <t>Maria Ozelha Ferreira Do Nascimento</t>
  </si>
  <si>
    <t>Edivânia Gomes Da Silva Lima</t>
  </si>
  <si>
    <t>Suelem Carvalho Serra</t>
  </si>
  <si>
    <t>Maria Iraci Neta</t>
  </si>
  <si>
    <t>Mara Silva De Almeida</t>
  </si>
  <si>
    <t>Fabrício Dos Santos Melquíades</t>
  </si>
  <si>
    <t>Silvana Verona</t>
  </si>
  <si>
    <t>Francisco Regis Carvalho</t>
  </si>
  <si>
    <t>Érika Nallusa De Carvalho Madruga</t>
  </si>
  <si>
    <t>Keren Hapuque Alves Martins</t>
  </si>
  <si>
    <t>Surama Bezerra Araujo Rabelo</t>
  </si>
  <si>
    <t>Linalda Sales Dos Santos</t>
  </si>
  <si>
    <t>Amanda Emelyn Oliveira Saavedra</t>
  </si>
  <si>
    <t>Guilherme Dos Santos Andrade</t>
  </si>
  <si>
    <t>Alex Freitas Da Costa</t>
  </si>
  <si>
    <t>Jucelice Costa Conceicao</t>
  </si>
  <si>
    <t>Eliane Da Silva Rodrigues</t>
  </si>
  <si>
    <t>Vanessa Sanabria Trindade Ferreira</t>
  </si>
  <si>
    <t>Josileide Silva Das Neves</t>
  </si>
  <si>
    <t>Anailta De Jesus Santos</t>
  </si>
  <si>
    <t>Jander Mateus De Campos</t>
  </si>
  <si>
    <t>Miriian Grazieli Cezar Dos Santos</t>
  </si>
  <si>
    <t>Thaís Monthielly Silva Santos</t>
  </si>
  <si>
    <t>Jefferson Leandro Barbosa Rodrigues</t>
  </si>
  <si>
    <t>Aline Almeida De Carvalho</t>
  </si>
  <si>
    <t>Tiago Ferreira Rodrigues</t>
  </si>
  <si>
    <t>Julian Bosco Baiatones Costa</t>
  </si>
  <si>
    <t>Izamara Ribeiro De Farias</t>
  </si>
  <si>
    <t>Erivelton Júnior Ezequiel De Sales</t>
  </si>
  <si>
    <t>Letícia Adrião Cardoso</t>
  </si>
  <si>
    <t>Leonardo Furtado Sousa</t>
  </si>
  <si>
    <t>Vanessa Mendes Guterres</t>
  </si>
  <si>
    <t>Vanderlania Ferreira Dos Santos</t>
  </si>
  <si>
    <t>Michel Guedes Galiano</t>
  </si>
  <si>
    <t>Esthephany Evinyn De Araújo Rodrigues</t>
  </si>
  <si>
    <t>Josiane Fabiula Da Silva</t>
  </si>
  <si>
    <t>Priscila Da Cunha Mota Santos</t>
  </si>
  <si>
    <t>Suenaira Alves Da Silva</t>
  </si>
  <si>
    <t>Gerliene De Araujo Teles Pinheiro</t>
  </si>
  <si>
    <t>Adriana Castro Ferreira</t>
  </si>
  <si>
    <t>Allexsandro Vynicius De Souza Gemaque</t>
  </si>
  <si>
    <t>Diego Ribeiro Da Silva</t>
  </si>
  <si>
    <t>Marcielle De Souza Nunes</t>
  </si>
  <si>
    <t>Lucas Costa Brito</t>
  </si>
  <si>
    <t>Francisca Cibeli Silva Confessor</t>
  </si>
  <si>
    <t>Antonia Denise Dos Santos</t>
  </si>
  <si>
    <t>Andressa Karina Da Silva Marques</t>
  </si>
  <si>
    <t>Adriana Helena Pereira Da Costa</t>
  </si>
  <si>
    <t>Marcelo Sousa Abreu</t>
  </si>
  <si>
    <t>Bianca Cristina Da Silva Pereira</t>
  </si>
  <si>
    <t>Luana Caroline Lange Lopes</t>
  </si>
  <si>
    <t>Katia Kelly Teles Silva</t>
  </si>
  <si>
    <t>Amanda Priscila Almeida Marques</t>
  </si>
  <si>
    <t>Clarissa Kirst</t>
  </si>
  <si>
    <t>Mércia De Azevedo Reis</t>
  </si>
  <si>
    <t>Shirleidy Pereira De Lima</t>
  </si>
  <si>
    <t>Edna Vilma De Sousa Silva</t>
  </si>
  <si>
    <t>Kelven Costa De Oliveira</t>
  </si>
  <si>
    <t>Sandra Cátia Marinho Da Silva</t>
  </si>
  <si>
    <t>Wesla Conceição Barros Do Nascimento</t>
  </si>
  <si>
    <t>Thais Andressa Santos Da Cruz</t>
  </si>
  <si>
    <t>Gisele Rodrigues Leite</t>
  </si>
  <si>
    <t>Thalynara Furtado Barbosa</t>
  </si>
  <si>
    <t>Leidiane Ferreira Dias</t>
  </si>
  <si>
    <t>Kamila Suellen Ferreira Albuquerque</t>
  </si>
  <si>
    <t>Franciele Lanes Da Silva</t>
  </si>
  <si>
    <t>Maria Júlia Gonçalves Borges</t>
  </si>
  <si>
    <t>Mattias Sousa Carvalho</t>
  </si>
  <si>
    <t>Lauria Assis De Moraes</t>
  </si>
  <si>
    <t>Adriano Mesquita Chagas</t>
  </si>
  <si>
    <t>Erica Jaqueline Hermisdorff</t>
  </si>
  <si>
    <t>Edineia Macedo De Souza</t>
  </si>
  <si>
    <t>Leticia Ferreira Nunes</t>
  </si>
  <si>
    <t>Katriane Da Costa Oliveira</t>
  </si>
  <si>
    <t>Guaraci Juremo Soares Brum</t>
  </si>
  <si>
    <t>Ana Clara Dos Santos Silva Oliveira</t>
  </si>
  <si>
    <t>Lenir Carneiro Dos Santos</t>
  </si>
  <si>
    <t>Tatiana Sande</t>
  </si>
  <si>
    <t>Jeane Bonfim Santos</t>
  </si>
  <si>
    <t>Thais Pereira Da Cruz</t>
  </si>
  <si>
    <t>Dayana Gaspar Da Silva Sousa</t>
  </si>
  <si>
    <t>Sávila Brunelly Sousa Carneiro</t>
  </si>
  <si>
    <t>Régia Maria Oliveira Pereira</t>
  </si>
  <si>
    <t>Fabio De Oliveira Barros</t>
  </si>
  <si>
    <t>Vagner Vale Dos Santos</t>
  </si>
  <si>
    <t>Genara Lemos Campos</t>
  </si>
  <si>
    <t>Jheyzy Da Silva Lima</t>
  </si>
  <si>
    <t>Jeanderson Antonio De Jesus Da Silva</t>
  </si>
  <si>
    <t>Déborah Yara De Castro Silva</t>
  </si>
  <si>
    <t>Daniely Victoria Da Silva</t>
  </si>
  <si>
    <t>Nuance Inácio Moreira De Carvalho</t>
  </si>
  <si>
    <t>Scharline Fetter</t>
  </si>
  <si>
    <t>Marcela Alves Dantas Barbosa</t>
  </si>
  <si>
    <t>Weverton Carlos De Alcântara Silva Magalhães</t>
  </si>
  <si>
    <t>Edson Zalmiro Da Silva Nogueira</t>
  </si>
  <si>
    <t>Lívia Eloi Ribeiro</t>
  </si>
  <si>
    <t>Ivani Miranda De Melo</t>
  </si>
  <si>
    <t>Abnner Seraphim Moreira Alves Da Silva</t>
  </si>
  <si>
    <t>Lucia Cristina Cardoso Fonseca</t>
  </si>
  <si>
    <t>Messias De Souza</t>
  </si>
  <si>
    <t>Alanna Geovana Ferreira Barros</t>
  </si>
  <si>
    <t>Jaqueline Santos Gonçalves</t>
  </si>
  <si>
    <t>Lidia de Andrade Silva</t>
  </si>
  <si>
    <t>Thiago Barreto De Oliveira</t>
  </si>
  <si>
    <t>Hugo Danilo Bezerra De Souza</t>
  </si>
  <si>
    <t>Alda Aparecida Campos Pinto</t>
  </si>
  <si>
    <t>Gabriella Santos Mota</t>
  </si>
  <si>
    <t>Pedro Victor De Assis Brito</t>
  </si>
  <si>
    <t>Juliana Lauren Rodrigues Silva</t>
  </si>
  <si>
    <t>Kamila Da Silva Martins</t>
  </si>
  <si>
    <t>Priscila Mendes Ruiz</t>
  </si>
  <si>
    <t>Ester Maria Moraes Campos</t>
  </si>
  <si>
    <t>Jean Colares Da Silva</t>
  </si>
  <si>
    <t>Joelson Hilario</t>
  </si>
  <si>
    <t>Marcus Paulo De Assis</t>
  </si>
  <si>
    <t>Pricila Kubota Rosendo De Assis</t>
  </si>
  <si>
    <t>Fabiana Silva Souza Fernandes</t>
  </si>
  <si>
    <t>Nilzete Da Silva Pereira</t>
  </si>
  <si>
    <t>Nubia Cristina Ferreira Santana</t>
  </si>
  <si>
    <t>Sueli De Jesus</t>
  </si>
  <si>
    <t>Diego Alex Da Silva Almeida</t>
  </si>
  <si>
    <t>Margueritte Tavares Do Amaral</t>
  </si>
  <si>
    <t>Larissa Lopes Cunha</t>
  </si>
  <si>
    <t>Sirleia Candido Peixoto</t>
  </si>
  <si>
    <t>Uállace Reichel Lima Vaz</t>
  </si>
  <si>
    <t>Erica Cristina Da Silva Xavier</t>
  </si>
  <si>
    <t>Laurineide Araujo Da Silva</t>
  </si>
  <si>
    <t>Rafael Figueiredo Escosio</t>
  </si>
  <si>
    <t>Lorraine Coimbra De Oliveira</t>
  </si>
  <si>
    <t>Dheiny Freire Gomes</t>
  </si>
  <si>
    <t>Iana Porto Da Silva</t>
  </si>
  <si>
    <t>Luana Silva Babora</t>
  </si>
  <si>
    <t>Marina Dias Dos Santos</t>
  </si>
  <si>
    <t>Vitória Marques Duarte</t>
  </si>
  <si>
    <t>André Luis Ferraz Schulz</t>
  </si>
  <si>
    <t>Flávio Henrique Amorim Costa</t>
  </si>
  <si>
    <t>Queren Naiara De Oliveira Conceição</t>
  </si>
  <si>
    <t>Milla Christie Mislene De Alcantara Abdo</t>
  </si>
  <si>
    <t>Cicera Susan Kenhy Ferreira Nunes</t>
  </si>
  <si>
    <t>Sarah Da Silva Gomes</t>
  </si>
  <si>
    <t>Francila Quintanilha Dos Santos Arruda</t>
  </si>
  <si>
    <t>Marinalva Maria Da Silva Gomes</t>
  </si>
  <si>
    <t>Aurilene Moreira Santos</t>
  </si>
  <si>
    <t>Calebe Antonio Morais De Menezes</t>
  </si>
  <si>
    <t>Taynáh Lima Pereira</t>
  </si>
  <si>
    <t>Fernanda Lobato Aguiar</t>
  </si>
  <si>
    <t>Francilene Do Nascimento Almeida</t>
  </si>
  <si>
    <t>Joyce Silva De Freitas</t>
  </si>
  <si>
    <t>Alexssandra De Oliveira Figueiredo</t>
  </si>
  <si>
    <t>Newton Bllendon Monteiro De Souza</t>
  </si>
  <si>
    <t>Rúbia Domingos Da Silva</t>
  </si>
  <si>
    <t>Cesar Gomes Teixeira</t>
  </si>
  <si>
    <t>Luiza Victória Da Silva Souza</t>
  </si>
  <si>
    <t>Flavio Ramirez Gomes Nascimento</t>
  </si>
  <si>
    <t>Livia Maradi Reis Dos Santos</t>
  </si>
  <si>
    <t>Janiffer Stafford Câmara Barroso</t>
  </si>
  <si>
    <t>Ana Zelia Aquino Silva</t>
  </si>
  <si>
    <t>Graziene Silva Monteiro</t>
  </si>
  <si>
    <t>Rosângela Miranda</t>
  </si>
  <si>
    <t>Karla Beatriz Santos Siqueira</t>
  </si>
  <si>
    <t>Diandra Grazieli Lopes</t>
  </si>
  <si>
    <t>Antônio Alberto Prata Teodoro</t>
  </si>
  <si>
    <t>Liliene Da Silva Tomaz</t>
  </si>
  <si>
    <t>Mateus Pereira Bentes</t>
  </si>
  <si>
    <t>Ronilda Costa Da Silva</t>
  </si>
  <si>
    <t>Wesley Andreik Lopes De Freitas</t>
  </si>
  <si>
    <t>Célia Teixeira Lopes</t>
  </si>
  <si>
    <t>Jorge Claudio Pereira Da Silva</t>
  </si>
  <si>
    <t>Maria Hilmara Sampaio Lira</t>
  </si>
  <si>
    <t>Petronilha De Queiroz Mariano</t>
  </si>
  <si>
    <t>Fabiano Rodrigues</t>
  </si>
  <si>
    <t>Camila Ramos De Amorim</t>
  </si>
  <si>
    <t>Jessica Luisa Socoloski</t>
  </si>
  <si>
    <t>Thyago Pinto De Sousa</t>
  </si>
  <si>
    <t>Thalita Nascimento Bezerra</t>
  </si>
  <si>
    <t>Gabriela Mendes Valentim</t>
  </si>
  <si>
    <t>Simone Matos Silva</t>
  </si>
  <si>
    <t>Oséas Lemos Da Silva</t>
  </si>
  <si>
    <t>Bruno Costa Campos</t>
  </si>
  <si>
    <t>Nayara De Almeida Ferreira Reis</t>
  </si>
  <si>
    <t>Nelito Pereira Do Nascimento</t>
  </si>
  <si>
    <t>Julio Roberto Dos Santos Rocha Neto</t>
  </si>
  <si>
    <t>João Gabriel Lino Dos Santos</t>
  </si>
  <si>
    <t>Eliane Guilhermino Barbosa</t>
  </si>
  <si>
    <t>Tiago De Jesus Fernandez</t>
  </si>
  <si>
    <t>Raissa Marques Fonseca</t>
  </si>
  <si>
    <t>Polyana Souza Martins Cahuzac</t>
  </si>
  <si>
    <t>Thainara Rodrigues Silva</t>
  </si>
  <si>
    <t>Naianny Mitally Da Silva Amaral</t>
  </si>
  <si>
    <t>Priscilla Silva Do Nascimento</t>
  </si>
  <si>
    <t>Michele De Jesus Sousa</t>
  </si>
  <si>
    <t>Ione De Oliveira Silva</t>
  </si>
  <si>
    <t>Priscilla Alves Mendes</t>
  </si>
  <si>
    <t>Renata Barreto Pereira</t>
  </si>
  <si>
    <t>Ana Luiza Reis Dos Santos</t>
  </si>
  <si>
    <t>Erica Oliveira Franco</t>
  </si>
  <si>
    <t>Farailde Da Silva Vasconcelos Duarte</t>
  </si>
  <si>
    <t>Kaique Rodrigues Da Silva</t>
  </si>
  <si>
    <t>Jovina Miguelina De Sousa Marcos</t>
  </si>
  <si>
    <t>Paulo Cesar Cardoso Da Silva</t>
  </si>
  <si>
    <t>Vanir De França E Silva Magalhaes</t>
  </si>
  <si>
    <t>Leandro Fernandes De Oliveira</t>
  </si>
  <si>
    <t>Alessandra Miranda Omena</t>
  </si>
  <si>
    <t>Amanda Aparecida Pereira</t>
  </si>
  <si>
    <t>Francielly Alff Azevedo</t>
  </si>
  <si>
    <t>Diego Lima Dos Santos</t>
  </si>
  <si>
    <t>Susimeire Alcantara Santos</t>
  </si>
  <si>
    <t>Kleanna Mykaele Almeida Cabral</t>
  </si>
  <si>
    <t>Fernanda Silva Lagares</t>
  </si>
  <si>
    <t>Sanção Selestino Loiola</t>
  </si>
  <si>
    <t>Victória Cogo Silva Duarte</t>
  </si>
  <si>
    <t>Ana Priscila Siqueira Dos Santos</t>
  </si>
  <si>
    <t>Crisline Quethrey Ribeiro Venâncio</t>
  </si>
  <si>
    <t>Maria Do Espírito Santo Cantanhede</t>
  </si>
  <si>
    <t>Riely Cristina Ferreira Da Cunha</t>
  </si>
  <si>
    <t>Franciely Milene Braga Cruz</t>
  </si>
  <si>
    <t>Letícia Barbosa Oliveira</t>
  </si>
  <si>
    <t>Leonardo Teixeira Dos Santos</t>
  </si>
  <si>
    <t>Jéssica Picanço Ferreira</t>
  </si>
  <si>
    <t>Rogério Lago Stasiulevicius</t>
  </si>
  <si>
    <t>David Maia Amâncio</t>
  </si>
  <si>
    <t>Jéssica Aires Magalhães</t>
  </si>
  <si>
    <t>Leyllianne Cristina Ramos Silva</t>
  </si>
  <si>
    <t>Jéssica Nayane Soares Fernandes</t>
  </si>
  <si>
    <t>Izabela Ferreira Costa</t>
  </si>
  <si>
    <t>Leandro Miranda Brito</t>
  </si>
  <si>
    <t>Michellen Ferreira Dos Santos</t>
  </si>
  <si>
    <t>Jordana Soares De Araújo</t>
  </si>
  <si>
    <t>Matheus Guimaraes Araujo</t>
  </si>
  <si>
    <t>Adriel Arnoud Do Carmo</t>
  </si>
  <si>
    <t>Gustavo Faria Morais</t>
  </si>
  <si>
    <t>Bruna De Oliveira Alves</t>
  </si>
  <si>
    <t>Wesleyne Pereira Da Silva</t>
  </si>
  <si>
    <t>Michelle Silva Dos Santos</t>
  </si>
  <si>
    <t>Jadi Maria Kowalski</t>
  </si>
  <si>
    <t>Pamela Tawin Laura Dos Santos</t>
  </si>
  <si>
    <t>Luiz Eduardo Dos Santos</t>
  </si>
  <si>
    <t>Irene Fernandes De Morais</t>
  </si>
  <si>
    <t>Joelma Bezerra Marques Albuquerque</t>
  </si>
  <si>
    <t>Waleria Braga Martins Caridade</t>
  </si>
  <si>
    <t>Karen Marinho Feitosa</t>
  </si>
  <si>
    <t>Hélida Tavares Da Fonseca</t>
  </si>
  <si>
    <t>Ivison De Freitas Vasconcelos</t>
  </si>
  <si>
    <t>Elen Dos Santos Silva</t>
  </si>
  <si>
    <t>Gislaine Vilande Dos Santos</t>
  </si>
  <si>
    <t>Julio Cesar Pires Moreira De Oliveira</t>
  </si>
  <si>
    <t>Vivian Bezerra De Lima</t>
  </si>
  <si>
    <t>Yara Da Cruz Azevedo</t>
  </si>
  <si>
    <t>Thais Aparecida Da Silva De Arruda</t>
  </si>
  <si>
    <t>Leide Dayane Almeida De Amorim</t>
  </si>
  <si>
    <t>Luciane Marques De Araujo</t>
  </si>
  <si>
    <t>Elen Karoline Santos Ferreira</t>
  </si>
  <si>
    <t>Jonatha Davi Dos Santos Pantoja</t>
  </si>
  <si>
    <t>Stéfani Dos Santos Silva</t>
  </si>
  <si>
    <t>Kelly Aline Lopes Santos Torres</t>
  </si>
  <si>
    <t>Rosi Fátima Justino Da Silva</t>
  </si>
  <si>
    <t>Tálita Novaes Da Silva</t>
  </si>
  <si>
    <t>Jociane Souza</t>
  </si>
  <si>
    <t>Renan Douglas Mendes</t>
  </si>
  <si>
    <t>Janilson José Almeida Leão</t>
  </si>
  <si>
    <t>Hérica Divina De Oliveira</t>
  </si>
  <si>
    <t>Jéssica Lanz Machado</t>
  </si>
  <si>
    <t>Stefany Glauce Pinheiro Dos Santos</t>
  </si>
  <si>
    <t>Felipe Dos Santos Veloso</t>
  </si>
  <si>
    <t>Rosemir Neves Da Silva</t>
  </si>
  <si>
    <t>Vademir Junior Florencio Da Silva</t>
  </si>
  <si>
    <t>Ana Cláudia Dourado Pereira</t>
  </si>
  <si>
    <t>Suelen Dos Santos Oliveira</t>
  </si>
  <si>
    <t>Francyel Aluisio Ferreira Borges</t>
  </si>
  <si>
    <t>Elaine Gonçalves Barbosa</t>
  </si>
  <si>
    <t>Carlos Alberto Santos Da Silva</t>
  </si>
  <si>
    <t>Andressa Benetti Weide</t>
  </si>
  <si>
    <t>Maria Danielle Lima Carioca</t>
  </si>
  <si>
    <t>Simone Silva Magnus Coelho</t>
  </si>
  <si>
    <t>Vitor Augusto Silveira Da Silva</t>
  </si>
  <si>
    <t>Naasson Guilherme Costa Lima</t>
  </si>
  <si>
    <t>Elisama Maria Dos Prazeres Silva</t>
  </si>
  <si>
    <t>Domingos Alberto Pinho Paula</t>
  </si>
  <si>
    <t>Samuel Ferreira De Souza</t>
  </si>
  <si>
    <t>Thiely Fernandes De Seixas</t>
  </si>
  <si>
    <t>Marilia Gabrielle Silva Dos Remedios</t>
  </si>
  <si>
    <t>Mayara De Souza Maciel</t>
  </si>
  <si>
    <t>Adrielly Patricia Santos Da Costa</t>
  </si>
  <si>
    <t>Luciany Ferreira Dos Santos</t>
  </si>
  <si>
    <t>Maria Rita Damasceno Medeiros</t>
  </si>
  <si>
    <t>Thiago Marques Silva</t>
  </si>
  <si>
    <t>Rainara Rocha Gomes</t>
  </si>
  <si>
    <t>Fabiana Dos Anjos Barreto Matos</t>
  </si>
  <si>
    <t>Quelli Caldas Da Silva</t>
  </si>
  <si>
    <t>Sabrina Maciel De Oliveira Silva</t>
  </si>
  <si>
    <t>Letícia Dias de Jesus Lobo</t>
  </si>
  <si>
    <t>Antonio Cleiton Da Silva Gonçalves</t>
  </si>
  <si>
    <t>Rogério Rodrigues Carvalho Fernandes</t>
  </si>
  <si>
    <t>Keilis Souza Sabino</t>
  </si>
  <si>
    <t>Mirtha Elizabete Risden</t>
  </si>
  <si>
    <t>Diego Fernandes Carvalho</t>
  </si>
  <si>
    <t>Adriele Cristine Coelho Da Silva Brito</t>
  </si>
  <si>
    <t>Millene Sales Ferreira</t>
  </si>
  <si>
    <t>Jackeline Dos Santos Silva</t>
  </si>
  <si>
    <t>Neonilma Bernardino Carneiro</t>
  </si>
  <si>
    <t>Laura Cristina Dos Santos Monteiro De Souza</t>
  </si>
  <si>
    <t>Leandro Amorim Minas</t>
  </si>
  <si>
    <t>Muller Raphael Dos Santos Vieira</t>
  </si>
  <si>
    <t>André Espinosa Vieira</t>
  </si>
  <si>
    <t>Claudia De Carvalho Claudino</t>
  </si>
  <si>
    <t>Aline Do Nascimento Sousa</t>
  </si>
  <si>
    <t>Milene Castro De Villhena</t>
  </si>
  <si>
    <t>Valdirene Gomes Ferreira</t>
  </si>
  <si>
    <t>Vitória Maria Araújo Raulino</t>
  </si>
  <si>
    <t>Selma Costa Marques</t>
  </si>
  <si>
    <t>Lorena Di Tassia Lima Dos Santos</t>
  </si>
  <si>
    <t>Lucas Alves De Aguiar</t>
  </si>
  <si>
    <t>Cledielza Ferreira Reis</t>
  </si>
  <si>
    <t>Rosemberg Trajano De Mesquita Abreu</t>
  </si>
  <si>
    <t>Jaine Thaís Nogueira Da Silva</t>
  </si>
  <si>
    <t>Larissa Batista Marinho</t>
  </si>
  <si>
    <t>Sara Vergínia Da Silva</t>
  </si>
  <si>
    <t>Nadya Nayara Galvao De Brito</t>
  </si>
  <si>
    <t>Leiciane Miranda Cardoso</t>
  </si>
  <si>
    <t>Jaime Nunes Nascimento</t>
  </si>
  <si>
    <t>Gerson Roberto Veloso Miranda Junior</t>
  </si>
  <si>
    <t>Isadora Dos Santos Silva</t>
  </si>
  <si>
    <t>Marcos Felipe Da Silva Gomes</t>
  </si>
  <si>
    <t>Jose Roberto Da Conceição Costa Costa</t>
  </si>
  <si>
    <t>Thays Hossana Da Costa Sousa</t>
  </si>
  <si>
    <t>Thierry Amoras Vales Lira</t>
  </si>
  <si>
    <t>Marcos Paulo Da Rocha Oliveira</t>
  </si>
  <si>
    <t>Neuza Silva Da Silva</t>
  </si>
  <si>
    <t>Luis Eduardo Nunes</t>
  </si>
  <si>
    <t>Alessandra Zanoni</t>
  </si>
  <si>
    <t>Thayna Sales De Sousa Machado</t>
  </si>
  <si>
    <t>Osvaldina Cardoso Coelho</t>
  </si>
  <si>
    <t>Marcia Adriana Machado</t>
  </si>
  <si>
    <t>Oscarlina Peixoto De Souza</t>
  </si>
  <si>
    <t>Flávia Angelica Prelelue Dos Santos</t>
  </si>
  <si>
    <t>Ana Vitória Medeiros De Carvalho</t>
  </si>
  <si>
    <t>Juliana Maria Dias Lisboa</t>
  </si>
  <si>
    <t>Matheus Henrique Cordeiro Matos</t>
  </si>
  <si>
    <t>Marília Francisca De Carvalho Oliveira</t>
  </si>
  <si>
    <t>Thalita De Cássia Barbosa</t>
  </si>
  <si>
    <t>Diogo Lemos Pereira</t>
  </si>
  <si>
    <t>Stenio Moura Braz</t>
  </si>
  <si>
    <t>Danúbia Alves Gomes</t>
  </si>
  <si>
    <t>Wquislane Ferreira Dos Santos</t>
  </si>
  <si>
    <t>Elayne Gracielly Santos Silva</t>
  </si>
  <si>
    <t>Marcus Vinicius Ferreira Ramos</t>
  </si>
  <si>
    <t>Felipe Ovidio Dias</t>
  </si>
  <si>
    <t>Rossany Daphne Portela De Carvalho</t>
  </si>
  <si>
    <t>Jose Rinaldo Domingos De Melo</t>
  </si>
  <si>
    <t>Graciela De Sales Queiroz</t>
  </si>
  <si>
    <t>Ailana Dos Anjos Santos</t>
  </si>
  <si>
    <t>Ricardo Da Silva Lima</t>
  </si>
  <si>
    <t>Edilene De Jesus Mansão</t>
  </si>
  <si>
    <t>Taylyni Ferreira De Andrade</t>
  </si>
  <si>
    <t>Kelen Kristie Melo Guterres</t>
  </si>
  <si>
    <t>Alane Da Silva Lima</t>
  </si>
  <si>
    <t>Loidjane Pereira Dias</t>
  </si>
  <si>
    <t>Edina Claudia Clemente</t>
  </si>
  <si>
    <t>Diego Nunes Da Costa</t>
  </si>
  <si>
    <t>Beatriz Bacelo West Maia</t>
  </si>
  <si>
    <t>Melquisedeque Lima Do Nascimento</t>
  </si>
  <si>
    <t>Paloma Pereira Da Silva</t>
  </si>
  <si>
    <t>Josilma De Lima Barbosa</t>
  </si>
  <si>
    <t>Carlos Eduardo Rodrigues Barroso</t>
  </si>
  <si>
    <t>Adriana Lino Dos Santos</t>
  </si>
  <si>
    <t>Cássio Teixeira Araújo</t>
  </si>
  <si>
    <t>Josimar Pinto Santos</t>
  </si>
  <si>
    <t>Miguel Juvenal Da Silva Filho</t>
  </si>
  <si>
    <t>Larissa De Freitas Ferreira</t>
  </si>
  <si>
    <t>Celine Pontes Porto</t>
  </si>
  <si>
    <t>Dayane Kellen Barros Martins</t>
  </si>
  <si>
    <t>Cristiana Rodrigues Brito</t>
  </si>
  <si>
    <t>Alessandra Imúlia Yamamoto Carneiro</t>
  </si>
  <si>
    <t>Danielly Silva Pereira</t>
  </si>
  <si>
    <t>Gabriela Souza Araujo</t>
  </si>
  <si>
    <t>Sivaldo Bispo Da Silva</t>
  </si>
  <si>
    <t>Antonia Ediléia Da Silva Sobrinho</t>
  </si>
  <si>
    <t>Natasha Gabrielle De Melo Santos</t>
  </si>
  <si>
    <t>Clayton José Batista</t>
  </si>
  <si>
    <t>Sheila Wedima Barbosa Duarte</t>
  </si>
  <si>
    <t>Nathálya Sousa Nogueira</t>
  </si>
  <si>
    <t>Jhonatha William Nascimento De Vasconcelos</t>
  </si>
  <si>
    <t>Letícia Lamarão Leal</t>
  </si>
  <si>
    <t>Pedro Patocino Rodrigues Silva</t>
  </si>
  <si>
    <t>Elizandra Modesto Dos Santos</t>
  </si>
  <si>
    <t>Lorena Gomes Da Silva</t>
  </si>
  <si>
    <t>Moronhi Gabriel Moia Almeida</t>
  </si>
  <si>
    <t>Morgana Camargo Sozo</t>
  </si>
  <si>
    <t>Ednei Silva Santos</t>
  </si>
  <si>
    <t>Júlia De Souza Ferreira</t>
  </si>
  <si>
    <t>Israel Elton Palmeira Monteiro De Carvalho</t>
  </si>
  <si>
    <t>Ian Manta De Farias</t>
  </si>
  <si>
    <t>Maria Luciana Da Silva Brito</t>
  </si>
  <si>
    <t>Francinoely Vieira De Lima</t>
  </si>
  <si>
    <t>Maristela Soares Gaudereto</t>
  </si>
  <si>
    <t>Jessica Costa De Vasconcelos</t>
  </si>
  <si>
    <t>Zara Oliveira Siqueira</t>
  </si>
  <si>
    <t>Luciana Mara Da Silva</t>
  </si>
  <si>
    <t>Celia Da Silva Castro</t>
  </si>
  <si>
    <t>Graciele Matias Gonçalves</t>
  </si>
  <si>
    <t>Thatyanne Matos Bezerra</t>
  </si>
  <si>
    <t>Ana Paula Pereira Penha</t>
  </si>
  <si>
    <t>Luana Ferreira Da Silva</t>
  </si>
  <si>
    <t>Eliane Ferreira Dos Santos</t>
  </si>
  <si>
    <t>Mariana Silva Martins</t>
  </si>
  <si>
    <t>Jackeline Nascimento Dos Santos</t>
  </si>
  <si>
    <t>Thiago Gonçalves Dos Santos</t>
  </si>
  <si>
    <t>Ludmila Carneiro De Almeida</t>
  </si>
  <si>
    <t>Augusto Sa Correa Santos</t>
  </si>
  <si>
    <t>Iraci Maria de Lima Coelho</t>
  </si>
  <si>
    <t>Flaviane Almeida Verão</t>
  </si>
  <si>
    <t>Daise Santos De Jesus</t>
  </si>
  <si>
    <t>Andja Gonçalves Barreto</t>
  </si>
  <si>
    <t>Rhana Jheyce Dos Santos Pereira</t>
  </si>
  <si>
    <t>Leticia Dantas Borges</t>
  </si>
  <si>
    <t>Eloize Oliveira Serpa</t>
  </si>
  <si>
    <t>Thaísa Gabriela Da Silva</t>
  </si>
  <si>
    <t>Raquel Da Silva Ferreira</t>
  </si>
  <si>
    <t>Julio Cesar Raimundo</t>
  </si>
  <si>
    <t>Irlandia De Souza Cypreste</t>
  </si>
  <si>
    <t>Beatriz Canoe Wilson</t>
  </si>
  <si>
    <t>Ana Clara Pinheiro Lopes</t>
  </si>
  <si>
    <t>Ruberval Romão Batista</t>
  </si>
  <si>
    <t>Daniela Nascimento De Oliveira</t>
  </si>
  <si>
    <t>Joelma Dos Santos Silva Saldanha</t>
  </si>
  <si>
    <t>Claudia De Oliveira Ferreira</t>
  </si>
  <si>
    <t>Maria Eduarda Da Silva Almeida</t>
  </si>
  <si>
    <t>Nikolas Warricki Prawucki</t>
  </si>
  <si>
    <t>Lenir Flávio Teixeira Pinto</t>
  </si>
  <si>
    <t>Alecsandra Cristina Souza Meira</t>
  </si>
  <si>
    <t>Jaminie Farias Dos Santos</t>
  </si>
  <si>
    <t>Francisco Braz Pereira</t>
  </si>
  <si>
    <t>Liliane Alves De Luna</t>
  </si>
  <si>
    <t>Bárbara De Freitas Xavier</t>
  </si>
  <si>
    <t>Samyria De Carvalho Miranda</t>
  </si>
  <si>
    <t>Denise Mendes Pereira</t>
  </si>
  <si>
    <t>Fábio Batista De Almeida Brugger</t>
  </si>
  <si>
    <t>Herberth Da Silva Freire</t>
  </si>
  <si>
    <t>Sergio Luis Sampaio Olinda</t>
  </si>
  <si>
    <t>Francisco Diego Alves Sousa</t>
  </si>
  <si>
    <t>Elisete Gomes Viana Gonçalves</t>
  </si>
  <si>
    <t>Daniellen Dos Santos Pereira</t>
  </si>
  <si>
    <t>Beatriz Queiroz Artiago</t>
  </si>
  <si>
    <t>Gabriel Veloso Costa</t>
  </si>
  <si>
    <t>Carmem Francisco Reges Pereira</t>
  </si>
  <si>
    <t>Elizangela Simão</t>
  </si>
  <si>
    <t>Elizandra Da Costa Pereira Oliveira</t>
  </si>
  <si>
    <t>Cicero Geronimo Da Silva</t>
  </si>
  <si>
    <t>Mayd Alves Rodrigues De Souza</t>
  </si>
  <si>
    <t>Silvia Eli Nascimento Sousa</t>
  </si>
  <si>
    <t>Thallyny Cristina Mendes Gomes</t>
  </si>
  <si>
    <t>Kelle Dos Santos De Souza</t>
  </si>
  <si>
    <t>Camila Miranda Siqueira</t>
  </si>
  <si>
    <t>Eulannia Da Silva Sampaio</t>
  </si>
  <si>
    <t>Amanda Da Silva Oliveira</t>
  </si>
  <si>
    <t>Thalita Luana Silva</t>
  </si>
  <si>
    <t>Rafaele Silva Fernandes Paz</t>
  </si>
  <si>
    <t>Mislem Alves De Oliveira Lima</t>
  </si>
  <si>
    <t>Naiara Santos</t>
  </si>
  <si>
    <t>Anibal Fernandes De Brito Filho</t>
  </si>
  <si>
    <t>Fabiane Da Silva Araújo</t>
  </si>
  <si>
    <t>Émerson José Da Silva Bento</t>
  </si>
  <si>
    <t>Maria Deuselane De Sousa Costa</t>
  </si>
  <si>
    <t>Reinaldo Junior De Souza E Silva</t>
  </si>
  <si>
    <t>Thiago Da Silva Santana</t>
  </si>
  <si>
    <t>Ana Karla De Souza Pereira</t>
  </si>
  <si>
    <t>Gisele Alves Dos Santos</t>
  </si>
  <si>
    <t>Jasiel Tiago De Oliveira</t>
  </si>
  <si>
    <t>Ana Caroline Silva Borges</t>
  </si>
  <si>
    <t>Victor Hugo De Arruda Amorim</t>
  </si>
  <si>
    <t>Ana Elisa De Vargas Borges</t>
  </si>
  <si>
    <t>Ligia Barbosa Do Amor Divino</t>
  </si>
  <si>
    <t>Fanielly Cristina Romero Maldonado</t>
  </si>
  <si>
    <t>Elizianne Rodrigues De Almeida Abreu</t>
  </si>
  <si>
    <t>Rebeca Monteiro Da Silva</t>
  </si>
  <si>
    <t>Victor Bruno Da Silva Dias</t>
  </si>
  <si>
    <t>Amanda Dos Santos Fernandes Souza</t>
  </si>
  <si>
    <t>Silvania Vicente Da Silva</t>
  </si>
  <si>
    <t>Maria Aparecida Da Silva Batista</t>
  </si>
  <si>
    <t>Vinicius Oliveira Ribeiro</t>
  </si>
  <si>
    <t>Jéssica De Jesus Gomes</t>
  </si>
  <si>
    <t>Allana Sheyla Santos Oliveira</t>
  </si>
  <si>
    <t>Daniela De Castro Martins</t>
  </si>
  <si>
    <t>Rafael Fazzi Gomes</t>
  </si>
  <si>
    <t>Ivana Ferreira Da Silva</t>
  </si>
  <si>
    <t>Danielle Maria Gonçalves</t>
  </si>
  <si>
    <t>Hugo Silva Dos Santos</t>
  </si>
  <si>
    <t>Rosileide Campos Amorim</t>
  </si>
  <si>
    <t>Laiz Araujo De Souza</t>
  </si>
  <si>
    <t>Leonardo Alves Mateus</t>
  </si>
  <si>
    <t>Leandro Pereira Dos Santos</t>
  </si>
  <si>
    <t>Marielhe Farias Soares</t>
  </si>
  <si>
    <t>Laís Belmiro Silva Leal</t>
  </si>
  <si>
    <t>Eduardo Almeida Matos</t>
  </si>
  <si>
    <t>Andria Braga Silva De Castro</t>
  </si>
  <si>
    <t>Patricia Colvero Nunes</t>
  </si>
  <si>
    <t>Vânia Vieira Da Silva</t>
  </si>
  <si>
    <t>Lucas Araújo Dos Santos</t>
  </si>
  <si>
    <t>Isanly Grinke Calbo</t>
  </si>
  <si>
    <t>William Dantas Da Silva</t>
  </si>
  <si>
    <t>Leonardo Rodrigues Sganzerla</t>
  </si>
  <si>
    <t>Zélia Maria Almeida Pereira</t>
  </si>
  <si>
    <t>Poliana Soares</t>
  </si>
  <si>
    <t>Alison Fonseca Moreira</t>
  </si>
  <si>
    <t>Enaelk Do Vale Holanda</t>
  </si>
  <si>
    <t>Nayara Terezinha Dos Santos Silva Riquelme</t>
  </si>
  <si>
    <t>Yasmin Nascimento Ne</t>
  </si>
  <si>
    <t>Marivalda Pereira Dos Santos De Jesus</t>
  </si>
  <si>
    <t>Lucas Farias Ribeiro</t>
  </si>
  <si>
    <t>Bárbara Reis Santos Lima</t>
  </si>
  <si>
    <t>Roberto Costa Silva</t>
  </si>
  <si>
    <t>Aline Santos Schitini</t>
  </si>
  <si>
    <t>Maurício Mamona Boaventura</t>
  </si>
  <si>
    <t>Ana Neta Guimarães Santos</t>
  </si>
  <si>
    <t>Nereu Edson Do Carmo</t>
  </si>
  <si>
    <t>Maria Jucineide Almeida Da Silva</t>
  </si>
  <si>
    <t>Ane Caroline Da Cruz Alves Coimbra</t>
  </si>
  <si>
    <t>Jaqueline Dias</t>
  </si>
  <si>
    <t>Susane Da Silva Souza</t>
  </si>
  <si>
    <t>Matheus Martins Ordinola</t>
  </si>
  <si>
    <t>Diana Kele Celestrino De Moura Oliveira</t>
  </si>
  <si>
    <t>Francisca Tania Dos Santos Silva</t>
  </si>
  <si>
    <t>Marcio Paulo Rodrigues Felix</t>
  </si>
  <si>
    <t>Jean Kilian</t>
  </si>
  <si>
    <t>Andréia De Sousa Gomes</t>
  </si>
  <si>
    <t>Lucas De Oliveira Lima</t>
  </si>
  <si>
    <t>Rayna Kezia Sousa Silva</t>
  </si>
  <si>
    <t>Verônica Barreto Dos Santos</t>
  </si>
  <si>
    <t>Rafaela Dos Santos Carvalho</t>
  </si>
  <si>
    <t>Ana Cristina Do Nascimento Ferreira</t>
  </si>
  <si>
    <t>Igor Gleyser Carneiro Rodrigues</t>
  </si>
  <si>
    <t>Dayanne Fernandes Lopes</t>
  </si>
  <si>
    <t>Rosimeire Pereira De Andrade</t>
  </si>
  <si>
    <t>Fábio Silva De Albuquerque</t>
  </si>
  <si>
    <t>Maiara Cristiane De Almeida Da Cruz</t>
  </si>
  <si>
    <t>Monica Da Silva Brigido</t>
  </si>
  <si>
    <t>Alexandre Menezes Rabelo</t>
  </si>
  <si>
    <t>Jaquecilene De Jesus Oliveira</t>
  </si>
  <si>
    <t>Tauany Alves De Amaral</t>
  </si>
  <si>
    <t>Sandra De Araújo Nomachi Dias</t>
  </si>
  <si>
    <t>Flávia Gislaine Radiuk Pires</t>
  </si>
  <si>
    <t>Janaina Greice Duarte França De Maia</t>
  </si>
  <si>
    <t>Saskia Winder Diniz Santos</t>
  </si>
  <si>
    <t>Larissa Sofia Benicio Veiga</t>
  </si>
  <si>
    <t>Ondinéia Maurilia Spena</t>
  </si>
  <si>
    <t>Sandra Da Silva Dias</t>
  </si>
  <si>
    <t>Camille Monteiro Da Silva</t>
  </si>
  <si>
    <t>Daniela De Andrade Brito</t>
  </si>
  <si>
    <t>Diego Bonifácio De Souza</t>
  </si>
  <si>
    <t>Rodrigo Andrade Santos</t>
  </si>
  <si>
    <t>Klaisa Barros Da Silva</t>
  </si>
  <si>
    <t>Geyce Cristina De Matos</t>
  </si>
  <si>
    <t>Salete Silva Vaz</t>
  </si>
  <si>
    <t>Lucimar Pereira Soares</t>
  </si>
  <si>
    <t>Bruno Cicero Sena</t>
  </si>
  <si>
    <t>Edson Barbosa Mendes</t>
  </si>
  <si>
    <t>Daíza Cristina Dutra Pereira</t>
  </si>
  <si>
    <t>Edwin Antonio De Freitas Pereira</t>
  </si>
  <si>
    <t>Ana Paula Almeida Silva</t>
  </si>
  <si>
    <t>Rodrigo Rodrigues Costa Siqueira</t>
  </si>
  <si>
    <t>Patricia Bencke Machado</t>
  </si>
  <si>
    <t>Karla Eduarda Passos Ferreira</t>
  </si>
  <si>
    <t>Karen Cristina Santos Moraes</t>
  </si>
  <si>
    <t>Jessica Francieli Rodrigues Dos Santos</t>
  </si>
  <si>
    <t>Joyce Kelly Gomes Da Cunha</t>
  </si>
  <si>
    <t>Uerlhem Aranda Fernandes</t>
  </si>
  <si>
    <t>Cibele Jeane Correia Da Silva</t>
  </si>
  <si>
    <t>Lílian Pereira Dos Santos</t>
  </si>
  <si>
    <t>Gleydison Jhonathan Pereira Dos Santos</t>
  </si>
  <si>
    <t>Josilene Santos De Pontes</t>
  </si>
  <si>
    <t>Flávia Daviana Oliveira Rizzo</t>
  </si>
  <si>
    <t>Camila Rodrigues Mattos</t>
  </si>
  <si>
    <t>Luma Maiara Lucas Rodrigues</t>
  </si>
  <si>
    <t>Nicolas Araujo Conrado</t>
  </si>
  <si>
    <t>Felipe Clemente Lima</t>
  </si>
  <si>
    <t>Gracielle Freitas De Oliveira</t>
  </si>
  <si>
    <t>Públio Rossi Borges De Oliveira</t>
  </si>
  <si>
    <t>Vera Lúcia Lucas De Oliveira</t>
  </si>
  <si>
    <t>Vinicius De Souza Pinheiro</t>
  </si>
  <si>
    <t>Wellington Felipe De Jesus Da Luz</t>
  </si>
  <si>
    <t>Geilia Bispo Dos Santos</t>
  </si>
  <si>
    <t>Rafaela Coelho Batista</t>
  </si>
  <si>
    <t>Hellen Cristina Camara Freire</t>
  </si>
  <si>
    <t>Carlos Henrique De Jesus Santos</t>
  </si>
  <si>
    <t>Stephane Caroline Gonçalves Silva</t>
  </si>
  <si>
    <t>Angélica Seabra Lima</t>
  </si>
  <si>
    <t>Ana Paula Sales Cruz</t>
  </si>
  <si>
    <t>Jainy Thais Silveira Do Canto</t>
  </si>
  <si>
    <t>Mery Elias De Carvalho De Amaral</t>
  </si>
  <si>
    <t>Mayara Maria Lira Da Silva</t>
  </si>
  <si>
    <t>Daniel Faro Albuquerque</t>
  </si>
  <si>
    <t>David Mendes Rocha</t>
  </si>
  <si>
    <t>Jhonatas Da Silva Paes</t>
  </si>
  <si>
    <t>Débora Chaves Vaz</t>
  </si>
  <si>
    <t>Bianca Stefanny Nascimento Da Silva</t>
  </si>
  <si>
    <t>Jorge Faria Monteiro</t>
  </si>
  <si>
    <t>Michele Faria Ferreira</t>
  </si>
  <si>
    <t>Cristiane Nascimento Gonçalves</t>
  </si>
  <si>
    <t>Graciela Ribeiro Da Costa</t>
  </si>
  <si>
    <t>Nathalia Cristina De Freitas Herrera</t>
  </si>
  <si>
    <t>Debora Santana De Sousa</t>
  </si>
  <si>
    <t>Ionaldo Ribeiro De Lima</t>
  </si>
  <si>
    <t>Janaina Cristina Ribeiro</t>
  </si>
  <si>
    <t>Roberto Anderson Da Silva</t>
  </si>
  <si>
    <t>Thalita Rodrigues Mariano</t>
  </si>
  <si>
    <t>Jaqueline Barbosa Soares</t>
  </si>
  <si>
    <t>Fernanda Paiva Da Silva</t>
  </si>
  <si>
    <t>Vanessa Santos Da Costa</t>
  </si>
  <si>
    <t>Jonas Alves De Melo</t>
  </si>
  <si>
    <t>Nagylla Correa De Castro</t>
  </si>
  <si>
    <t>Willian Ramos Miszevski</t>
  </si>
  <si>
    <t>Fabiana Lins Dos Anjos Oliveira</t>
  </si>
  <si>
    <t>Elaine Rafael Silva</t>
  </si>
  <si>
    <t>Amanda Dos Reis Amanajas</t>
  </si>
  <si>
    <t>Tâmara Gabriela Lopes Alves</t>
  </si>
  <si>
    <t>Katia Barreto De Souza</t>
  </si>
  <si>
    <t>Rosimere Silva De Souza Caldas</t>
  </si>
  <si>
    <t>Valdiran Paes Da Silva</t>
  </si>
  <si>
    <t>Lucineia Santos De Abreu</t>
  </si>
  <si>
    <t>Daiane Ferreira De Santana</t>
  </si>
  <si>
    <t>Gilberto Lordani De Lima Junior</t>
  </si>
  <si>
    <t>Jocemar Cadete</t>
  </si>
  <si>
    <t>Cristiane Jovina Santos</t>
  </si>
  <si>
    <t>Robert Stefani Melo De Jesus</t>
  </si>
  <si>
    <t>Natielle Moraes Dos Santos Pereira</t>
  </si>
  <si>
    <t>Camila Garcia Feitosa</t>
  </si>
  <si>
    <t>Talita Docilio Lopes Silva</t>
  </si>
  <si>
    <t>Flavia Maia Dos Santos</t>
  </si>
  <si>
    <t>Gracielle Borges De Andrade</t>
  </si>
  <si>
    <t>Ademilson José Domingos Júnior</t>
  </si>
  <si>
    <t>Fernanda Laís Silveira</t>
  </si>
  <si>
    <t>Marina Cerqueira De Almeida</t>
  </si>
  <si>
    <t>Yara Bernall De Freitas</t>
  </si>
  <si>
    <t>Deiziane Arcanjo Da Silva</t>
  </si>
  <si>
    <t>Erivelton Paiva De Souza</t>
  </si>
  <si>
    <t>Brenda Calistro Lucas</t>
  </si>
  <si>
    <t>Leonardo Oliveira Dos Santos</t>
  </si>
  <si>
    <t>Beatriz Edielly Souza Monteiro</t>
  </si>
  <si>
    <t>Heloisa Modesto De Moura</t>
  </si>
  <si>
    <t>Margareth Martinez Metello Busanello</t>
  </si>
  <si>
    <t>Aparecida Fernandes De Souza Bungestab</t>
  </si>
  <si>
    <t>Érika Mesquita Pereira</t>
  </si>
  <si>
    <t>Maria Betania Vieira Correia</t>
  </si>
  <si>
    <t>Adrian Pereira De Morais</t>
  </si>
  <si>
    <t>Maria Auricélia dos Santos Sales Abreu</t>
  </si>
  <si>
    <t>Ygor Lima Monteiro</t>
  </si>
  <si>
    <t>Geovana Petrilly De Jesus Macedo</t>
  </si>
  <si>
    <t>Elizângela Santana Celestino</t>
  </si>
  <si>
    <t>Kelly Dayane Ramos Correa</t>
  </si>
  <si>
    <t>Yasmin Caroline De Lima E Lima</t>
  </si>
  <si>
    <t>Marcos José Do Nascimento</t>
  </si>
  <si>
    <t>Ivania Rosa Da Silva</t>
  </si>
  <si>
    <t>Bruno Lucotti Fernandes</t>
  </si>
  <si>
    <t>Tamara Maiara Silva Rocha</t>
  </si>
  <si>
    <t>Sabrina Carla Da Silva</t>
  </si>
  <si>
    <t>Fernanda Santos Da Costa</t>
  </si>
  <si>
    <t>Flávia De Oliveira De Souza</t>
  </si>
  <si>
    <t>Robson Antonio Ribeiro Dos Santos</t>
  </si>
  <si>
    <t>Maria Dos Milagres Dos Santos Amado De Freitas</t>
  </si>
  <si>
    <t>Leane Moreira De Souza</t>
  </si>
  <si>
    <t>Lucas De Rezende Oliveira Campos</t>
  </si>
  <si>
    <t>Phelipe Brendon Correia Santos</t>
  </si>
  <si>
    <t>Paulo De Souza Leite</t>
  </si>
  <si>
    <t>Tamayara Costa De Lima</t>
  </si>
  <si>
    <t>Nayara Sousa De Oliveira</t>
  </si>
  <si>
    <t>Claina Silva De Andrade</t>
  </si>
  <si>
    <t>Cleber Alves Da Silva</t>
  </si>
  <si>
    <t>Luciana Macedo Leite</t>
  </si>
  <si>
    <t>Yuri Henrique Assunção Teles</t>
  </si>
  <si>
    <t>Ediane Priscilla Moura Maciel</t>
  </si>
  <si>
    <t>Jacqueline Amaral Gama</t>
  </si>
  <si>
    <t>Nayane Soares De Lira</t>
  </si>
  <si>
    <t>Geane Pinho Dos Santos</t>
  </si>
  <si>
    <t>Dhon Lucas Da Gama Barros</t>
  </si>
  <si>
    <t>Gislene Nogueira Prates Zschaber</t>
  </si>
  <si>
    <t>Ileane Pereira De Lima</t>
  </si>
  <si>
    <t>Camila Botelho Santos</t>
  </si>
  <si>
    <t>Suelly Valeska Tavares De Sousa</t>
  </si>
  <si>
    <t>Aestro Pinheiro Dos Reis</t>
  </si>
  <si>
    <t>Fernanda Raquel Eusebio Ribeiro De Assis</t>
  </si>
  <si>
    <t>Samara De Jesus Bispo Silva</t>
  </si>
  <si>
    <t>Cristiana Jeremias Pereira</t>
  </si>
  <si>
    <t>Marisson Da Silva Piedade</t>
  </si>
  <si>
    <t>Uelda Laudelina Ribeiro Da Silva</t>
  </si>
  <si>
    <t>Fernanda Costa Rodrigues</t>
  </si>
  <si>
    <t>Joelma Dos Santos Silva</t>
  </si>
  <si>
    <t>Tainá Soares Dos Santos</t>
  </si>
  <si>
    <t>Giovanna Ferraz Do Bonfim</t>
  </si>
  <si>
    <t>Paula Beatriz Barbosa Silva</t>
  </si>
  <si>
    <t>Eliene Cardoso Fernandes</t>
  </si>
  <si>
    <t>Lidiane Da Palma Cruz</t>
  </si>
  <si>
    <t>Abigaele Pereira Do Nascimento</t>
  </si>
  <si>
    <t>Karoline Malta Seguins</t>
  </si>
  <si>
    <t>Alcione Carvalho Januario</t>
  </si>
  <si>
    <t>Juliana Camila Corrêa Lopes</t>
  </si>
  <si>
    <t>Claudio Eduardo Jeronimo Silva</t>
  </si>
  <si>
    <t>Cleide Dos Santos Oliveira</t>
  </si>
  <si>
    <t>Danyelle Bueno Amaral</t>
  </si>
  <si>
    <t>Jusara Magnolia Dos Santos</t>
  </si>
  <si>
    <t>Izadora Fernandes Alves</t>
  </si>
  <si>
    <t>Mayra Luize Lopes Boaventura Serra</t>
  </si>
  <si>
    <t>Michele De Souza Duarte</t>
  </si>
  <si>
    <t>Karem Luciana Lobato De Melo</t>
  </si>
  <si>
    <t>Isadora Rosa Zolet</t>
  </si>
  <si>
    <t>Ruth Gabriela De Jesus Fernandes</t>
  </si>
  <si>
    <t>Joana Paulino De Sousa</t>
  </si>
  <si>
    <t>Rudinei Bastos Schwab</t>
  </si>
  <si>
    <t>Natalia Lima De Oliveira</t>
  </si>
  <si>
    <t>Thais Dos Santos Silva</t>
  </si>
  <si>
    <t>Raysa Victória Da Silva Alves</t>
  </si>
  <si>
    <t>Grazielle Santos Da Silva Ribeiro</t>
  </si>
  <si>
    <t>Aireli Dos Santos Barauna</t>
  </si>
  <si>
    <t>Terezinha Monteiro Da Silva</t>
  </si>
  <si>
    <t>Eunice Maria Santos Ferreira Borges</t>
  </si>
  <si>
    <t>Marlene Alves Da Silva Delfino</t>
  </si>
  <si>
    <t>Keverson Borges Dutra</t>
  </si>
  <si>
    <t>Elizete Pereira De Andrade</t>
  </si>
  <si>
    <t>Jefferson Arruda De Souza</t>
  </si>
  <si>
    <t>Gisele Cristina Souza</t>
  </si>
  <si>
    <t>Evelin Bitencourt Campos</t>
  </si>
  <si>
    <t>Estela Skarlaty Gomes Beserra</t>
  </si>
  <si>
    <t>Matheus Kizan Oliveira Cunha</t>
  </si>
  <si>
    <t>Alexandre Luiz</t>
  </si>
  <si>
    <t>Adriana Gomes Lopes Da Silva</t>
  </si>
  <si>
    <t>Jose Pereira Bastos Filho</t>
  </si>
  <si>
    <t>Elaine De Alcantara Felix</t>
  </si>
  <si>
    <t>Jéssica Pereira Salbego</t>
  </si>
  <si>
    <t>Rafaella Pereira Machado Lemos</t>
  </si>
  <si>
    <t>Suellen Moreno Gonçalves</t>
  </si>
  <si>
    <t>Noelia Bispo Nery</t>
  </si>
  <si>
    <t>Vitória De Souza Santos</t>
  </si>
  <si>
    <t>Ellen Francisca Costa</t>
  </si>
  <si>
    <t>Caroline Silva Da Cunha</t>
  </si>
  <si>
    <t>Maria Ingrid Minho Mascarenhas</t>
  </si>
  <si>
    <t>Valney Alves Da Cunha</t>
  </si>
  <si>
    <t>Alessandra Rodrigues Pereira</t>
  </si>
  <si>
    <t>Ana Paula Gonçalves De Freitas</t>
  </si>
  <si>
    <t>Vivian Goulart Lira</t>
  </si>
  <si>
    <t>Luis Gustavo Teixeira Nasser</t>
  </si>
  <si>
    <t>Karla Thalia Silva Do Vale</t>
  </si>
  <si>
    <t>Shayane Alves Lemos</t>
  </si>
  <si>
    <t>Kelvin John Silva Dos Anjos</t>
  </si>
  <si>
    <t>Jéssica Nunes Gualberto</t>
  </si>
  <si>
    <t>Mayra Cristina Roseno</t>
  </si>
  <si>
    <t>Larissa De Aguiar Lima</t>
  </si>
  <si>
    <t>André Adson Cabral Coelho</t>
  </si>
  <si>
    <t>Joane Leal Do Carmo Santos</t>
  </si>
  <si>
    <t>Gideone Malta De Souza</t>
  </si>
  <si>
    <t>Wenceslau Evangelista Dos Santos Filho</t>
  </si>
  <si>
    <t>Rayra De Souza Almeida</t>
  </si>
  <si>
    <t>Carla Cristina Cunha Da Silva</t>
  </si>
  <si>
    <t>Fabíola Barbosa Ferreira Lira</t>
  </si>
  <si>
    <t>Elielson Santos Batista</t>
  </si>
  <si>
    <t>Cristina Coelho Dos Santos</t>
  </si>
  <si>
    <t>Marco Antonio Da Silva Cavalcante</t>
  </si>
  <si>
    <t>Nilda Pereira Dos Santos</t>
  </si>
  <si>
    <t>Ana Clebea Santana Barbosa</t>
  </si>
  <si>
    <t>Gabrielly Lourenço Rodrigues</t>
  </si>
  <si>
    <t>Elaine Cristina Gomes Simão</t>
  </si>
  <si>
    <t>Tuyane Da Silva Cavalcante</t>
  </si>
  <si>
    <t>Patrícia Pereira Reis</t>
  </si>
  <si>
    <t>Marcia Regina Sousa Seut</t>
  </si>
  <si>
    <t>Tifáni Oliveira Martins</t>
  </si>
  <si>
    <t>Thayna Lopes Da Silva</t>
  </si>
  <si>
    <t>Silvanete Gomes Dos Santos</t>
  </si>
  <si>
    <t>Mateus Pereira Da Silva</t>
  </si>
  <si>
    <t>Ananda Pereira Maciel</t>
  </si>
  <si>
    <t>Aieska Luana Da Silva Santos</t>
  </si>
  <si>
    <t>Iasmym Dos Santos Da Silva</t>
  </si>
  <si>
    <t>Marcia Gonçalves Da Silva</t>
  </si>
  <si>
    <t>Mayra Almeida Da Silva</t>
  </si>
  <si>
    <t>Edivânia De Oliveira Santos</t>
  </si>
  <si>
    <t>Luciano De Oliveira</t>
  </si>
  <si>
    <t>Fernanda Moraes Da Silva Freitas</t>
  </si>
  <si>
    <t>Larissa Souza Santos</t>
  </si>
  <si>
    <t>Kamila Valeria Reis Marques</t>
  </si>
  <si>
    <t>Maria Das Graças Pereira Gomes</t>
  </si>
  <si>
    <t>Denise Moreira Furtado</t>
  </si>
  <si>
    <t>Tatiane Santana Santos</t>
  </si>
  <si>
    <t>Marcelo Dias Santos</t>
  </si>
  <si>
    <t>Andreia Keli Nascimento Baeta</t>
  </si>
  <si>
    <t>Julia De Morais Rosa</t>
  </si>
  <si>
    <t>Elzir Correia Sousa</t>
  </si>
  <si>
    <t>Renan Augusto De Amorim Melo</t>
  </si>
  <si>
    <t>Graziela Gomes Pereira</t>
  </si>
  <si>
    <t>Mariana Thaisa De Oliveira Borba Rocha</t>
  </si>
  <si>
    <t>Jeissimara Garcia De Paula Goncalves</t>
  </si>
  <si>
    <t>Larissa De Sousa Costa</t>
  </si>
  <si>
    <t>Juliana Do Socorro Soeiro Monteiro</t>
  </si>
  <si>
    <t>Antonio Paulo De Sousa</t>
  </si>
  <si>
    <t>Saulo Silas De Oliveira Junior</t>
  </si>
  <si>
    <t>Letierri Fabras Da Costa</t>
  </si>
  <si>
    <t>Mariana Ferreira Nunes Santos</t>
  </si>
  <si>
    <t>Raphael Mesquita Sampaio</t>
  </si>
  <si>
    <t>Sheila Alves Pimentel</t>
  </si>
  <si>
    <t>Alana De Oliveira Bianchini</t>
  </si>
  <si>
    <t>Érika Pereira De Souza</t>
  </si>
  <si>
    <t>Laurielly Corsino Silva Moura</t>
  </si>
  <si>
    <t>Géssica Santana De Souza</t>
  </si>
  <si>
    <t>Bruna Evelly Pereira Braz</t>
  </si>
  <si>
    <t>Laís Maria Das Graças Rodrigues Silva</t>
  </si>
  <si>
    <t>Deivit Eduardo Carvalho Oliveira</t>
  </si>
  <si>
    <t>Sandryne Dos Santos Ribeiro</t>
  </si>
  <si>
    <t>Ana Paula Silva de Moura</t>
  </si>
  <si>
    <t>Antonia Cristina Da Silva Mendonça</t>
  </si>
  <si>
    <t>Patricia Cristina Barros Silva</t>
  </si>
  <si>
    <t>Letícia Magalhães Silva</t>
  </si>
  <si>
    <t>Rosangela Mizael Da Silva</t>
  </si>
  <si>
    <t>Diego Miranda</t>
  </si>
  <si>
    <t>Samuel Martins De Freitas</t>
  </si>
  <si>
    <t>Kamilla Maria Sá De Oliveira</t>
  </si>
  <si>
    <t>Ronan José De Barros Filho</t>
  </si>
  <si>
    <t>Edna Da Silva Rezende</t>
  </si>
  <si>
    <t>Susanne Gonçalves Marques</t>
  </si>
  <si>
    <t>Nathalia Mariana Bitencourt Pinheiro</t>
  </si>
  <si>
    <t>Mariele Inazaki Da Silva</t>
  </si>
  <si>
    <t>Eric Fabricio Rodrigues Barbosa</t>
  </si>
  <si>
    <t>Anderson Gonçalves Acácio</t>
  </si>
  <si>
    <t>Vanderleia Ramos Da Costa De Miranda</t>
  </si>
  <si>
    <t>Michael Loiola Souza Da Silva</t>
  </si>
  <si>
    <t>Leonite Rodrigues Silva</t>
  </si>
  <si>
    <t>Rogério Souza De Morais</t>
  </si>
  <si>
    <t>Joyce Mylena Gonçalves De Araujo</t>
  </si>
  <si>
    <t>Lucas Silva Dutra</t>
  </si>
  <si>
    <t>Marcos Scarpellini Fogliatto</t>
  </si>
  <si>
    <t>Karen Oliveira Alves Pedro</t>
  </si>
  <si>
    <t>Nelson Fernandes Dos Santos</t>
  </si>
  <si>
    <t>Luiza Roberta Marques Da Silva</t>
  </si>
  <si>
    <t>Maura Jeane Monteiro De Araujo</t>
  </si>
  <si>
    <t>Grazielly Thomaz Rodrigues</t>
  </si>
  <si>
    <t>Fabiola Da Silva Ferreira</t>
  </si>
  <si>
    <t>Lara Rafaela Siqueira De Sá Araujo De Sousa</t>
  </si>
  <si>
    <t>Iago De Souza Rodrigues</t>
  </si>
  <si>
    <t>Lucas Woichekoski Maciel</t>
  </si>
  <si>
    <t>Jéssica Batista Martins</t>
  </si>
  <si>
    <t>Ravenna Fernandes Melo</t>
  </si>
  <si>
    <t>Elizeu De Lima Franca</t>
  </si>
  <si>
    <t>Barbara Santos Batista</t>
  </si>
  <si>
    <t>Beatriz Carla Oliveira Lima</t>
  </si>
  <si>
    <t>Luís Raphael Damasceno Guimarães</t>
  </si>
  <si>
    <t>Poliana De Oliveira De Brito</t>
  </si>
  <si>
    <t>Paloma Viana Alves Silveira</t>
  </si>
  <si>
    <t>Adriele Bonfim Pedrosa</t>
  </si>
  <si>
    <t>Maclla Kellita Sousa Coelho</t>
  </si>
  <si>
    <t>Francisca das Chagas dos Santos Silva</t>
  </si>
  <si>
    <t>Dilma Tamiriz Almeida De Oliveira</t>
  </si>
  <si>
    <t>Lindomar Francisco De Carvalho</t>
  </si>
  <si>
    <t>Alessandra Moura Santos</t>
  </si>
  <si>
    <t>Adauta Mocinha Rocha Dos Santos</t>
  </si>
  <si>
    <t>Wesley Dos Santos Penha</t>
  </si>
  <si>
    <t>João Lucas Bispo Da Costa</t>
  </si>
  <si>
    <t>Kamila Rodrigues Da Mata</t>
  </si>
  <si>
    <t>Emilly Oliveira Santos</t>
  </si>
  <si>
    <t>Paulo Esequiel Dos Santos Almeida</t>
  </si>
  <si>
    <t>Angelita Paulista</t>
  </si>
  <si>
    <t>Cleidiane Ferreira Lima</t>
  </si>
  <si>
    <t>Cristina Aparecida Soares Ribeiro</t>
  </si>
  <si>
    <t>Edilene Rodrigues Gomes</t>
  </si>
  <si>
    <t>Gabriela Ribeiro Brito</t>
  </si>
  <si>
    <t>Lisiele Morais De Paula</t>
  </si>
  <si>
    <t>Maria Crenilda Azevedo</t>
  </si>
  <si>
    <t>Brenda Freitas Da Silva</t>
  </si>
  <si>
    <t>Renata Dos Santos</t>
  </si>
  <si>
    <t>Déborah Sena Rocha</t>
  </si>
  <si>
    <t>Leonardo Pereira Murta</t>
  </si>
  <si>
    <t>Davidson Wesley Chagas Souza</t>
  </si>
  <si>
    <t>Juliane Lowrrance De Arruda Correa</t>
  </si>
  <si>
    <t>Ivanuza Pereira Veloso</t>
  </si>
  <si>
    <t>Juliana Alves Do Prado</t>
  </si>
  <si>
    <t>André Leandro Epifanio Sigarini</t>
  </si>
  <si>
    <t>José Roberto Do Carmo</t>
  </si>
  <si>
    <t>Ane Caroline Dos Santos Miranda</t>
  </si>
  <si>
    <t>Erivelton Rocha De Jesus</t>
  </si>
  <si>
    <t>Cristiane Da Silva Souza</t>
  </si>
  <si>
    <t>Edilene Aparecida Muniz</t>
  </si>
  <si>
    <t>Letícia Cei Barra</t>
  </si>
  <si>
    <t>Victorya Kathryne Silveira Da Silva</t>
  </si>
  <si>
    <t>Felipe Leonardo Alves De Andrade</t>
  </si>
  <si>
    <t>Atila Cavalcante Alves</t>
  </si>
  <si>
    <t>Carlos Henrique Ribeiro Dos Santos</t>
  </si>
  <si>
    <t>Cristiane Da Silva Tavares</t>
  </si>
  <si>
    <t>Licinha Maria De Araújo Lima</t>
  </si>
  <si>
    <t>Pablo Roberto Santos Da Costa</t>
  </si>
  <si>
    <t>Alvaro Eduardo Ramos Nunes</t>
  </si>
  <si>
    <t>Jessica Barbosa Dos Santos</t>
  </si>
  <si>
    <t>Vilma Aparecida Moreira Da Silva Ranussi</t>
  </si>
  <si>
    <t>Bruna Pires Lacerda Domingues</t>
  </si>
  <si>
    <t>Elaine Santos Oliveira</t>
  </si>
  <si>
    <t>Elizabeth Gomes De Jesus</t>
  </si>
  <si>
    <t>Milla Moreno Queiroz Pinto</t>
  </si>
  <si>
    <t>Elinete Ferreira Carvalho</t>
  </si>
  <si>
    <t>Michele Silva De Souza</t>
  </si>
  <si>
    <t>Samuel Costa Silva</t>
  </si>
  <si>
    <t>Olivia Almeida Nunes</t>
  </si>
  <si>
    <t>Amanda Aguiar Braga</t>
  </si>
  <si>
    <t>Rafaela Felipe Martins</t>
  </si>
  <si>
    <t>Cleiverson Rufino Sales</t>
  </si>
  <si>
    <t>Ediel Froes De Souza</t>
  </si>
  <si>
    <t>Georgia Gomes De Souza</t>
  </si>
  <si>
    <t>Loideanne Ferreira Argivaes</t>
  </si>
  <si>
    <t>Luciana Oliveira Santos</t>
  </si>
  <si>
    <t>João Pedro Coelho Da Silva</t>
  </si>
  <si>
    <t>Winnie Rafaela Almeida Souza</t>
  </si>
  <si>
    <t>Tamiris Gonçalves Dos Santos</t>
  </si>
  <si>
    <t>Mirian Pereira Leho Silva</t>
  </si>
  <si>
    <t>Israel Braga Leite</t>
  </si>
  <si>
    <t>Lucineia Da Rocha Silva</t>
  </si>
  <si>
    <t>Niedja Suzanne Trindade</t>
  </si>
  <si>
    <t>Luiza Furtado Do Nascimento</t>
  </si>
  <si>
    <t>Ana Paula Surubi De Oliveira</t>
  </si>
  <si>
    <t>Doraty Ely Alves Martins</t>
  </si>
  <si>
    <t>Arianne Alves Correia</t>
  </si>
  <si>
    <t>Lara Souza De Oliveira</t>
  </si>
  <si>
    <t>Elenilce Antonia De Almeida</t>
  </si>
  <si>
    <t>Ana Paula Godoy Bueno</t>
  </si>
  <si>
    <t>Evellyn Rhanna Souza De Almeida</t>
  </si>
  <si>
    <t>Luiz Barbosa De Lima Júnior</t>
  </si>
  <si>
    <t>Rosiane Gomes Da Silva</t>
  </si>
  <si>
    <t>Ana Nery Torres Ferreira</t>
  </si>
  <si>
    <t>Simao Pedro Biesek</t>
  </si>
  <si>
    <t>Denisy Mendes Silva Da Silva</t>
  </si>
  <si>
    <t>Stéfane Silva Santos</t>
  </si>
  <si>
    <t>Luiza Rodrigues Da Costa</t>
  </si>
  <si>
    <t>Thais Ferreira Carrijo</t>
  </si>
  <si>
    <t>Emerson Dos Santos Silva</t>
  </si>
  <si>
    <t>Fernanda Da Silva Nascimento</t>
  </si>
  <si>
    <t>Ednaldo Araujo Ribeiro</t>
  </si>
  <si>
    <t>Anieli Dos Santos Modernel</t>
  </si>
  <si>
    <t>Sulyn Silva Da Rosa</t>
  </si>
  <si>
    <t>Kevin Richardson Rodrigues Albuquerque</t>
  </si>
  <si>
    <t>Nayara Gabriela Trindade De Souza</t>
  </si>
  <si>
    <t>Joyce Rafaela Barreto Santos De Assis</t>
  </si>
  <si>
    <t>Thiago Moura Oliveira</t>
  </si>
  <si>
    <t>Cristiana Neves Gonçalves</t>
  </si>
  <si>
    <t>Lara Fernanda Borges Hendges</t>
  </si>
  <si>
    <t>Nivalda Da Conceição Alves</t>
  </si>
  <si>
    <t>Marcelo Ramos Cordeiro</t>
  </si>
  <si>
    <t>Francisco Glailson Candido De Alcantara</t>
  </si>
  <si>
    <t>Natiele Neves Junqueira</t>
  </si>
  <si>
    <t>Fernanda Caracci Gomes Martins</t>
  </si>
  <si>
    <t>Amanda Carolina David Da Silva</t>
  </si>
  <si>
    <t>Gessiane Vernier Naloski</t>
  </si>
  <si>
    <t>Leisse Bezerra Da Silva</t>
  </si>
  <si>
    <t>Kayala Rosa Carvalho Dos Santos</t>
  </si>
  <si>
    <t>Magda Magaly Sagatauskiene</t>
  </si>
  <si>
    <t>Jose Celio Bastos Dos Santos</t>
  </si>
  <si>
    <t>Deisiane Jesus De Oliveira</t>
  </si>
  <si>
    <t>Thais Caroline Nascimento</t>
  </si>
  <si>
    <t>José Nilson Queiroz De Lima</t>
  </si>
  <si>
    <t>Juliana De Castro Correa</t>
  </si>
  <si>
    <t>Loiany Marques Da Silva</t>
  </si>
  <si>
    <t>Pablo Cesar Ferreira Da Silva Araujo</t>
  </si>
  <si>
    <t>Matheus Santana Gomes</t>
  </si>
  <si>
    <t>Ana Maria França Dos Santos</t>
  </si>
  <si>
    <t>Aldelane Steffanny Bahury Costa</t>
  </si>
  <si>
    <t>Maria José Soares De Araújo</t>
  </si>
  <si>
    <t>Aline Cunha Pessoa</t>
  </si>
  <si>
    <t>Leonardo Costa Oliveira</t>
  </si>
  <si>
    <t>Antonio Hamilton Rabelo Carneiro</t>
  </si>
  <si>
    <t>Loislene De Lima Araujo</t>
  </si>
  <si>
    <t>Samuel Pereira Alves</t>
  </si>
  <si>
    <t>Micael Soares Mesquita</t>
  </si>
  <si>
    <t>Ana Paula Santos Da Silva</t>
  </si>
  <si>
    <t>Leonardo Santos Silva</t>
  </si>
  <si>
    <t>Miguel Alves Machado Filho</t>
  </si>
  <si>
    <t>Emilly Sabrina Lago Gomes</t>
  </si>
  <si>
    <t>Joelma Romão Silva</t>
  </si>
  <si>
    <t>Manoela Gonçalves Dos Anjos</t>
  </si>
  <si>
    <t>Davison Meneses Ramos Martins</t>
  </si>
  <si>
    <t>Everton Rodrigo Falcão Costa Da Silva</t>
  </si>
  <si>
    <t>Bianca Gadelha De Campos</t>
  </si>
  <si>
    <t>Aline Roque Ferreira</t>
  </si>
  <si>
    <t>Vanessa Tainá Meneses Silva Fernandes</t>
  </si>
  <si>
    <t>Rodrigo Bandeira Da Silva</t>
  </si>
  <si>
    <t>Ingra Michelle Rodrigues Ferreira</t>
  </si>
  <si>
    <t>Márcia Maria Do Nascimento Silva</t>
  </si>
  <si>
    <t>Johnny Anderson Cavalcante Ramalho</t>
  </si>
  <si>
    <t>Maria Priscila Menezes Do Nascimento</t>
  </si>
  <si>
    <t>Deisy Simony Dourado Santos</t>
  </si>
  <si>
    <t>Daiane Souza Moreira Bardelli</t>
  </si>
  <si>
    <t>Maria Aparecida De Souza Santos</t>
  </si>
  <si>
    <t>Islas Da Silva Silveira</t>
  </si>
  <si>
    <t>Janete Cleia Ferreira Rodrigues Da Silva</t>
  </si>
  <si>
    <t>Jéssica Tainá Silva Do Carmo</t>
  </si>
  <si>
    <t>Francisca Da Silva Sousa</t>
  </si>
  <si>
    <t>Solange Santos De Roma</t>
  </si>
  <si>
    <t>Aline Lima Da Silva</t>
  </si>
  <si>
    <t>Rhonmiryo Bastos Cordeiro</t>
  </si>
  <si>
    <t>Priscila Bolzan Matos</t>
  </si>
  <si>
    <t>Virginia Barros Dos Santos E Silva</t>
  </si>
  <si>
    <t>José Lucas Paulino Gomes</t>
  </si>
  <si>
    <t>Helen Dos Santos Lima</t>
  </si>
  <si>
    <t>Luciene Torres Da Silva</t>
  </si>
  <si>
    <t>Igre Raynara Mendes</t>
  </si>
  <si>
    <t>Amanda Da Silva Sousa</t>
  </si>
  <si>
    <t>Andrieli Báo Ferreira</t>
  </si>
  <si>
    <t>Maria Angelica Duarte De Lima</t>
  </si>
  <si>
    <t>Ana Lúcia De Oliveira Silva</t>
  </si>
  <si>
    <t>Eleine Brandão Santos</t>
  </si>
  <si>
    <t>Lucielia Aires De Sousa</t>
  </si>
  <si>
    <t>Francisco Eleomarcos Tulio De Menezes Feitosa</t>
  </si>
  <si>
    <t>Luana Silva Saboia</t>
  </si>
  <si>
    <t>Luana Farias Cardoso</t>
  </si>
  <si>
    <t>Dhyann Cesar Oliveira Silva</t>
  </si>
  <si>
    <t>Alice Carolina Muniz Andrade</t>
  </si>
  <si>
    <t>Andreia Oliveira Dos Santos Porto</t>
  </si>
  <si>
    <t>Josué Alves</t>
  </si>
  <si>
    <t>Mayara Guerreiro Dos Santos</t>
  </si>
  <si>
    <t>Paulo Henrique Ferreira Da Silva</t>
  </si>
  <si>
    <t>Karen Ferreira Lima Da Silva</t>
  </si>
  <si>
    <t>Kalyne Ribeiro De Sousa</t>
  </si>
  <si>
    <t>Romualdo Rodrigues Da Silva</t>
  </si>
  <si>
    <t>Ailton Ferraz De Oliveira Filho</t>
  </si>
  <si>
    <t>Edenilson De Brito</t>
  </si>
  <si>
    <t>Adriana Tamayose Rezende</t>
  </si>
  <si>
    <t>Andreza Silva Ramos</t>
  </si>
  <si>
    <t>Robson De Araujo Gomes</t>
  </si>
  <si>
    <t>Audeline Andrade De Freitas</t>
  </si>
  <si>
    <t>Naira Pereira De Souza</t>
  </si>
  <si>
    <t>Luzia Carla Silva Azevedo</t>
  </si>
  <si>
    <t>Jussara Pereira Rocha</t>
  </si>
  <si>
    <t>Jaqueline Dos Santos Souza</t>
  </si>
  <si>
    <t>Bruno Casanova Lima</t>
  </si>
  <si>
    <t>Aparecida Assis De Brito</t>
  </si>
  <si>
    <t>Eric Jonas Santos De Andrade</t>
  </si>
  <si>
    <t>Eugles Vinicios Costa Vaz</t>
  </si>
  <si>
    <t>Thaina Menalla Souza de Oliveira</t>
  </si>
  <si>
    <t>Vanessa Dos Santos</t>
  </si>
  <si>
    <t>Maria Roziele Monteiro Coelho</t>
  </si>
  <si>
    <t>Joao Paulo Da Silva Figueiredo</t>
  </si>
  <si>
    <t>Herbert Andrew De Lima Oliveira</t>
  </si>
  <si>
    <t>Gabriela Beltrão Da Silva</t>
  </si>
  <si>
    <t>Lenita Cordeiro Martins</t>
  </si>
  <si>
    <t>Talison Dos Santos Ferreira</t>
  </si>
  <si>
    <t>Crislene Camara Medeiros</t>
  </si>
  <si>
    <t>Michel Nascimento De Santana</t>
  </si>
  <si>
    <t>Erika Samara De Oliveira Silva</t>
  </si>
  <si>
    <t>Jamile Nascimento De Jesus</t>
  </si>
  <si>
    <t>Camila Lisboa Ribeiro</t>
  </si>
  <si>
    <t>Claudiele Martins Correa</t>
  </si>
  <si>
    <t>Cássia Senna Dos Santos</t>
  </si>
  <si>
    <t>Luana Gomes De Carvalho</t>
  </si>
  <si>
    <t>Larissa Gomes Morais De Oliveira</t>
  </si>
  <si>
    <t>Maysa Sampaio Da Silva</t>
  </si>
  <si>
    <t>Robson Bispo Maleiro</t>
  </si>
  <si>
    <t>Alexandre Magno Ferreira Lima</t>
  </si>
  <si>
    <t>Roquelina Santos Conceição De Oliveira</t>
  </si>
  <si>
    <t>Janaína Silva Silveira</t>
  </si>
  <si>
    <t>Auda Alves Valente</t>
  </si>
  <si>
    <t>Marcelo Do Nascimento Huais</t>
  </si>
  <si>
    <t>Isabela Nascimento Freitas Da Conceição</t>
  </si>
  <si>
    <t>Cárolle Rízia Machado Oliveira</t>
  </si>
  <si>
    <t>Gedeon De Almeida Feitosa</t>
  </si>
  <si>
    <t>Janaina Diangeles Azevedo Aleixo</t>
  </si>
  <si>
    <t>Ana Cristina Alves Silva</t>
  </si>
  <si>
    <t>Ariele Lemos Soares</t>
  </si>
  <si>
    <t>Karla Vitoria Santos Viana</t>
  </si>
  <si>
    <t>Ellen Simayra Da Silva Souza</t>
  </si>
  <si>
    <t>Joana Batista Santos</t>
  </si>
  <si>
    <t>Marli De Sousa Oliveira</t>
  </si>
  <si>
    <t>Leticia Alves Dos Santos</t>
  </si>
  <si>
    <t>Karoline Alencar Dos Santos</t>
  </si>
  <si>
    <t>Jaqueline Keniane Ribeiro Da Silva</t>
  </si>
  <si>
    <t>Fabricio Novais Dos Santos Alves</t>
  </si>
  <si>
    <t>Thainara Marcia Da Silva</t>
  </si>
  <si>
    <t>Elias Chaves Baia</t>
  </si>
  <si>
    <t>Maria Eduarda Acosta Pereira</t>
  </si>
  <si>
    <t>Deijanilda Rabelo Reis</t>
  </si>
  <si>
    <t>Jéssika Panziera</t>
  </si>
  <si>
    <t>Balduino Eduardo Ferreira</t>
  </si>
  <si>
    <t>Erlanio Duarte De Oliveira</t>
  </si>
  <si>
    <t>Jéssica Damasceno Freitas</t>
  </si>
  <si>
    <t>Jackson Da Costa Rabelo</t>
  </si>
  <si>
    <t>Jonnes Santana Da Silva</t>
  </si>
  <si>
    <t>Luan Jurema Ferreira Santos</t>
  </si>
  <si>
    <t>Joader Alves De Lima</t>
  </si>
  <si>
    <t>Camilla Franncis Almeida Silva Vezaro</t>
  </si>
  <si>
    <t>Sidnéia De Lima Nunes</t>
  </si>
  <si>
    <t>Vanessa Ferreira Farias</t>
  </si>
  <si>
    <t>Arleson Leandro Santos Gonçalves</t>
  </si>
  <si>
    <t>Regiane Fernandes Centurião</t>
  </si>
  <si>
    <t>Paulo Alberto Gomes Da Luz</t>
  </si>
  <si>
    <t>Ivonete Soares De Jesus</t>
  </si>
  <si>
    <t>Beatriz Rodrigues Martins Ribeiro</t>
  </si>
  <si>
    <t>Suellen Das Neves Santos</t>
  </si>
  <si>
    <t>Islandia Quecia De Souza</t>
  </si>
  <si>
    <t>Carlos Alberto Silva Miranda</t>
  </si>
  <si>
    <t>Jaqueline Santos Villas Boas</t>
  </si>
  <si>
    <t>Claudinei Barbosa De Meneses</t>
  </si>
  <si>
    <t>Erica Conceição Santana Santos</t>
  </si>
  <si>
    <t>Alessandra Dantas Mendes</t>
  </si>
  <si>
    <t>Franciely Adelia Alves</t>
  </si>
  <si>
    <t>Marcelo João De Arimateia</t>
  </si>
  <si>
    <t>Laís Oliveira Santana</t>
  </si>
  <si>
    <t>Síria Ferreira Dos Santos</t>
  </si>
  <si>
    <t>Michelle Rodrigues Barbosa</t>
  </si>
  <si>
    <t>Elaine Lopes Da Silva</t>
  </si>
  <si>
    <t>Evelin Carolina Pereira Andrade</t>
  </si>
  <si>
    <t>Caroline Rego Beckmann</t>
  </si>
  <si>
    <t>Pablo Jeann Oliveira Da Silva</t>
  </si>
  <si>
    <t>Mara Letícia Da Silva Senhorinho</t>
  </si>
  <si>
    <t>Valéria Santos Mendes</t>
  </si>
  <si>
    <t>Claudiney Felipe Das Chagas</t>
  </si>
  <si>
    <t>Ludimila Lima Campos</t>
  </si>
  <si>
    <t>Ernandes Lima De Melo</t>
  </si>
  <si>
    <t>Neuzângela Gomes De Oliveira Silva</t>
  </si>
  <si>
    <t>Marcos Antonio Torres Silva</t>
  </si>
  <si>
    <t>Luana Benedita Gomes Da Silva</t>
  </si>
  <si>
    <t>Eulalia Cecilia Souza Da Costa</t>
  </si>
  <si>
    <t>Rayane Maikelen De Oliveira</t>
  </si>
  <si>
    <t>Denis Rafael Gonçalves Queiroz</t>
  </si>
  <si>
    <t>Regiane Do Socorro Da Silva Maia</t>
  </si>
  <si>
    <t>Elizângela Pinheiro Da Silva</t>
  </si>
  <si>
    <t>Conceicao Aparecida Dos Santos</t>
  </si>
  <si>
    <t>Rita De Cássia De Morais Paz</t>
  </si>
  <si>
    <t>Fabrício Da Silva Aquino</t>
  </si>
  <si>
    <t>Francisco Rafael Rodrigues Martins</t>
  </si>
  <si>
    <t>Wesley Junior Pereira Lima</t>
  </si>
  <si>
    <t>Eliane Dos Reis França</t>
  </si>
  <si>
    <t>Rosângela Nascimento Silva</t>
  </si>
  <si>
    <t>Farlis Willian Lima Da Purificação</t>
  </si>
  <si>
    <t>Michael Teixeira Feitoza</t>
  </si>
  <si>
    <t>Rummenygge Oliveira Araújo</t>
  </si>
  <si>
    <t>Aline Paula Da Silva</t>
  </si>
  <si>
    <t>Bruna Rafaela Barros De França</t>
  </si>
  <si>
    <t>Marco André Goveia</t>
  </si>
  <si>
    <t>Clayton Antunes De Macêdo</t>
  </si>
  <si>
    <t>Amanda Veridiana De Souza Leonel</t>
  </si>
  <si>
    <t>Tatiane De Oliveira Alves</t>
  </si>
  <si>
    <t>Bergson Henrique Da Silva Santana</t>
  </si>
  <si>
    <t>Laise Do Nascimento Silva</t>
  </si>
  <si>
    <t>Brenno Eduardo De Arruda Souza</t>
  </si>
  <si>
    <t>Paola Magalhães Da Conceição</t>
  </si>
  <si>
    <t>Liliane Santos de Oliveira</t>
  </si>
  <si>
    <t>Gabriel Douglas Tigre Oliveira</t>
  </si>
  <si>
    <t>Isabella Pereira</t>
  </si>
  <si>
    <t>Liliose De Grace Nonato Costa</t>
  </si>
  <si>
    <t>Giovanna Muniz Macêdo</t>
  </si>
  <si>
    <t>Heliomar De Aguiar Lima</t>
  </si>
  <si>
    <t>Rayara Ferreira Dos Santos</t>
  </si>
  <si>
    <t>Priscila Cristina Albergoni Paixão</t>
  </si>
  <si>
    <t>Marília Lima De Souza</t>
  </si>
  <si>
    <t>Sandra Floro Do Nascimento</t>
  </si>
  <si>
    <t>Aline Taina Gomes Morais</t>
  </si>
  <si>
    <t>Vitória Duarte Reis</t>
  </si>
  <si>
    <t>Alana Stephany Guedes Brabo</t>
  </si>
  <si>
    <t>Carolina Rodrigues Dombroski</t>
  </si>
  <si>
    <t>Vitória De Sousa Do Nascimento</t>
  </si>
  <si>
    <t>Bruna Santos Da Silva</t>
  </si>
  <si>
    <t>Jocy Ramos De Aquino</t>
  </si>
  <si>
    <t>Fernanda Silva Seixas</t>
  </si>
  <si>
    <t>Jackeline Lessa Claudio</t>
  </si>
  <si>
    <t>Laiane Cristina Pinheiro De Sene</t>
  </si>
  <si>
    <t>Grazielle Araújo Da Silva</t>
  </si>
  <si>
    <t>Charlaine Da Silva Pires</t>
  </si>
  <si>
    <t>Maria Do Socorro Batista</t>
  </si>
  <si>
    <t>Marily Cristina Simon</t>
  </si>
  <si>
    <t>Kelly Tamyres Castro De Matos Souza</t>
  </si>
  <si>
    <t>Glaugei Calais Iecker</t>
  </si>
  <si>
    <t>Kamylla Fernandes De França</t>
  </si>
  <si>
    <t>Mauren Aurora Da Silva Patel</t>
  </si>
  <si>
    <t>Tatijane Nascimento Gonçalves</t>
  </si>
  <si>
    <t>Gabriel Fenalti Dos Santos</t>
  </si>
  <si>
    <t>Rafaela Sousa Duarte</t>
  </si>
  <si>
    <t>Welton Alves Vieira</t>
  </si>
  <si>
    <t>Cristiane Arminda da Silva Caetano</t>
  </si>
  <si>
    <t>Mara Jane De Oliveira Guilhermino</t>
  </si>
  <si>
    <t>Maria Fernanda Duarte Silva</t>
  </si>
  <si>
    <t>Magna Da Silva Cunha</t>
  </si>
  <si>
    <t>Iasmim Kelly Nunes Oliveira</t>
  </si>
  <si>
    <t>Wania Cristina Borges Nunes</t>
  </si>
  <si>
    <t>Diogenes Pires Figueiredo</t>
  </si>
  <si>
    <t>Leandra Fabra Dos Santos</t>
  </si>
  <si>
    <t>Daniela De Jesus Da Silva</t>
  </si>
  <si>
    <t>Laura Dos Santos Leal</t>
  </si>
  <si>
    <t>Vinicius Oliveira Chagas Da Silva</t>
  </si>
  <si>
    <t>Rayanne De Souza Araujo</t>
  </si>
  <si>
    <t>Dirceu Brito De Almeida</t>
  </si>
  <si>
    <t>Cleciane De Fatima Melo Da Silva</t>
  </si>
  <si>
    <t>Laksmi Maria Dos Reis</t>
  </si>
  <si>
    <t>Illana Rhayanne De Souza Oliveira</t>
  </si>
  <si>
    <t>Renata Rayane Da Silva</t>
  </si>
  <si>
    <t>Marcos Aurelio Dos Santos Vieira Silva</t>
  </si>
  <si>
    <t>Débora Gomes De Almeida</t>
  </si>
  <si>
    <t>Jhonathan Da Rocha Porto</t>
  </si>
  <si>
    <t>Thialisson Da Silva Coelho</t>
  </si>
  <si>
    <t>Helio De Oliveira Silva</t>
  </si>
  <si>
    <t>Rayza Kallyne Olivindo Alves</t>
  </si>
  <si>
    <t>Julienne Luise Pereira De Oliveira</t>
  </si>
  <si>
    <t>Priscila Cristina Eduardo</t>
  </si>
  <si>
    <t>Rosilane Dos Santos Souza</t>
  </si>
  <si>
    <t>Graziele Soares Dos Santos</t>
  </si>
  <si>
    <t>Hiasmim Vitoria Centeno Kila</t>
  </si>
  <si>
    <t>Anny Cristine Da Silva Queiroz</t>
  </si>
  <si>
    <t>Quézia Melo De Sousa</t>
  </si>
  <si>
    <t>Danilo Da Silva Cavalcante</t>
  </si>
  <si>
    <t>Elias Goncalves Da Silva</t>
  </si>
  <si>
    <t>Erica Michelle Ferreira Lopes</t>
  </si>
  <si>
    <t>Juliana Paula De Oliveira</t>
  </si>
  <si>
    <t>Aline De Sousa Viana</t>
  </si>
  <si>
    <t>Roberta Cristina De Oliveira Miudo</t>
  </si>
  <si>
    <t>Edison Goncalves Dos Santos</t>
  </si>
  <si>
    <t>Jhulyein Aparecida De Sousa Cavalcante</t>
  </si>
  <si>
    <t>Sergio Felipe Da Silva Santos</t>
  </si>
  <si>
    <t>Renato Alves Pereira</t>
  </si>
  <si>
    <t>Elivania Cristina Barbosa</t>
  </si>
  <si>
    <t>Thalia Pinheiro Dias</t>
  </si>
  <si>
    <t>Shislley Castro Barbosa Souza</t>
  </si>
  <si>
    <t>Cicera Elikassia De Oliveira Germano</t>
  </si>
  <si>
    <t>Diógenes Da Silva Santos</t>
  </si>
  <si>
    <t>Yago Rangel Yarzon</t>
  </si>
  <si>
    <t>Marcia Carolini Da Silva Vieira</t>
  </si>
  <si>
    <t>Mariana Guirra Da Silva</t>
  </si>
  <si>
    <t>Danusia De Jesus Matos</t>
  </si>
  <si>
    <t>Matheus Pantoja Barbosa</t>
  </si>
  <si>
    <t>Vitor Rocha Martins Jorge</t>
  </si>
  <si>
    <t>Acacio Ferreira Resende Neto</t>
  </si>
  <si>
    <t>Andressa Rocha Silva</t>
  </si>
  <si>
    <t>Gleicielly Sudário Oliveira</t>
  </si>
  <si>
    <t>Joiciane Macedo De Souza</t>
  </si>
  <si>
    <t>Marcilene Santos Da Silva</t>
  </si>
  <si>
    <t>Júlio Feliciano Cazer Da Silva</t>
  </si>
  <si>
    <t>Gabriella Jeanine Bender</t>
  </si>
  <si>
    <t>Alice Vargas Velmude</t>
  </si>
  <si>
    <t>Wallace Nogueira Relvinhas</t>
  </si>
  <si>
    <t>Pamella Gualberto Dos Santos</t>
  </si>
  <si>
    <t>Gardenia Dias Gloria</t>
  </si>
  <si>
    <t>Ana Filgueira Pinto</t>
  </si>
  <si>
    <t>Lorranne Karla Sousa Andrade</t>
  </si>
  <si>
    <t>Camilla Carvalho Freitas</t>
  </si>
  <si>
    <t>Alexandre Jose De Oliveira</t>
  </si>
  <si>
    <t>Mônica Welchen Siqueira</t>
  </si>
  <si>
    <t>Monara Santana Da Silva</t>
  </si>
  <si>
    <t>Rita De Cassia Da Silva Abade</t>
  </si>
  <si>
    <t>Thuan Lousek De Oliveira</t>
  </si>
  <si>
    <t>Simone Pereira Dos Santos</t>
  </si>
  <si>
    <t>Eduardo Canton Rodrigues</t>
  </si>
  <si>
    <t>Karoline Lopes Dos Reis</t>
  </si>
  <si>
    <t>Marcelo Costa Dos Reis</t>
  </si>
  <si>
    <t>Karoline Gomes Souza</t>
  </si>
  <si>
    <t>Ana Luiza Gonçalves Nunes</t>
  </si>
  <si>
    <t>Sandra Regina De Santana</t>
  </si>
  <si>
    <t>Dheanny Gomes Dos Santos</t>
  </si>
  <si>
    <t>Dylene Marcia Leandro De Souza Da Silva</t>
  </si>
  <si>
    <t>Wildes Honorato Dos Santos</t>
  </si>
  <si>
    <t>Gabriela Amaral Santini</t>
  </si>
  <si>
    <t>Evellyn Grazielly Lima Cardoso</t>
  </si>
  <si>
    <t>Maria Helena Gutierrez Melo</t>
  </si>
  <si>
    <t>Cristiane Da Silva Mendes</t>
  </si>
  <si>
    <t>Alana Costa Gomes</t>
  </si>
  <si>
    <t>Eline De Sousa Marinho</t>
  </si>
  <si>
    <t>Joao Serafim De Couto Neto</t>
  </si>
  <si>
    <t>Liziane Costa Santana</t>
  </si>
  <si>
    <t>Lucas De Souza Amorim</t>
  </si>
  <si>
    <t>Davi Pereira Dos Santos</t>
  </si>
  <si>
    <t>Samila Sousa Vercosa</t>
  </si>
  <si>
    <t>Mylena Dos Santos Bonin</t>
  </si>
  <si>
    <t>Janicleide Reis Gomes</t>
  </si>
  <si>
    <t>Mayara Dos Santos Teixeira</t>
  </si>
  <si>
    <t>Ana Carolina Gonçalves Silva Felício</t>
  </si>
  <si>
    <t>José Lourenço Souza De Sena Junior</t>
  </si>
  <si>
    <t>Rogilene Bispo Batista Dos Santos</t>
  </si>
  <si>
    <t>Maize Andrielle Souza Santos</t>
  </si>
  <si>
    <t>Paula Inglind Da Silva Machado</t>
  </si>
  <si>
    <t>Lorrayny Crystiny Fernandes Ferreira Da Silva</t>
  </si>
  <si>
    <t>Herica Patricia Cardoso Torres</t>
  </si>
  <si>
    <t>Alessandra Oliveira Nogueira</t>
  </si>
  <si>
    <t>Paulo Henrique Almeida Pontes</t>
  </si>
  <si>
    <t>Fernanda Carla Alves Ferreira</t>
  </si>
  <si>
    <t>Silmara Cristina Rodrigues Alves</t>
  </si>
  <si>
    <t>Gleison Nunes Ferreira</t>
  </si>
  <si>
    <t>Bruna Farias Rezende</t>
  </si>
  <si>
    <t>Raiane Jesus De Paula</t>
  </si>
  <si>
    <t>Milena Negrao Serrao</t>
  </si>
  <si>
    <t>Nancy Silva De Santana</t>
  </si>
  <si>
    <t>Naldo Rodrigues de Oliveira</t>
  </si>
  <si>
    <t>Judite Lima</t>
  </si>
  <si>
    <t>Elinagila Moreira Dos Santos</t>
  </si>
  <si>
    <t>Maria De Jesus Ribeiro Dos Santos</t>
  </si>
  <si>
    <t>Ediane Tamiles Souza De Souza</t>
  </si>
  <si>
    <t>Lidirene Veríssimo Gomes</t>
  </si>
  <si>
    <t>Luciana Maria Dos Santos Ferreira</t>
  </si>
  <si>
    <t>Izac Rodrigues Dos Santos</t>
  </si>
  <si>
    <t>Luiza Carina Silva Villaroel</t>
  </si>
  <si>
    <t>Emilly Santos Tré</t>
  </si>
  <si>
    <t>Itamires Amorim De Oliveira</t>
  </si>
  <si>
    <t>Maurício Alves Da Silva</t>
  </si>
  <si>
    <t>Rosiani Da Cruz Cardoso</t>
  </si>
  <si>
    <t>Henrique Do Nascimento</t>
  </si>
  <si>
    <t>Fernanda Lucia De Jesus</t>
  </si>
  <si>
    <t>Ingredy Luanna Da Mata</t>
  </si>
  <si>
    <t>Geilson Inocencio Simão</t>
  </si>
  <si>
    <t>Thiago Gabriell Correia Rodrigues</t>
  </si>
  <si>
    <t>Karoline Monteiro Abel</t>
  </si>
  <si>
    <t>Gessica Costa De Souza</t>
  </si>
  <si>
    <t>Queren Andrade Reis</t>
  </si>
  <si>
    <t>Fernanda Beatriz De Jesus Ribeiro</t>
  </si>
  <si>
    <t>Pollyanna Morais Brito</t>
  </si>
  <si>
    <t>Hélida Conceição Gomes Da Fonseca Pereira</t>
  </si>
  <si>
    <t>Leticia Karoline Santiago Marreira</t>
  </si>
  <si>
    <t>Bruno Jesus De Azevedo Figueiredo</t>
  </si>
  <si>
    <t>Fernanda José Dos Santos</t>
  </si>
  <si>
    <t>Jacqueline Nercessian</t>
  </si>
  <si>
    <t>Luana De Souza Oliveira</t>
  </si>
  <si>
    <t>Karoliny Rayane Rocha</t>
  </si>
  <si>
    <t>Geisilaine Ferreira Da Silva</t>
  </si>
  <si>
    <t>Amanda Isabel Echeverria Nogueira</t>
  </si>
  <si>
    <t>Yasmin Regina Da Silva Guia</t>
  </si>
  <si>
    <t>Juciene Magela Dos Santos Duarte</t>
  </si>
  <si>
    <t>Lilian Martins Deamo</t>
  </si>
  <si>
    <t>Rhafael Amorim De Souza</t>
  </si>
  <si>
    <t>Thalles João Vinicius De Oliveira Trindade</t>
  </si>
  <si>
    <t>Adriele Juliana De Souza Corrêa</t>
  </si>
  <si>
    <t>Fernando Cardoso Coelho</t>
  </si>
  <si>
    <t>Karina Souza de Oliveira</t>
  </si>
  <si>
    <t>Bianca Victoria Da Trindade Dos Santos</t>
  </si>
  <si>
    <t>Tayse Gleyse De Jesus Pereira</t>
  </si>
  <si>
    <t>Jammily Silva Braga</t>
  </si>
  <si>
    <t>Hemeterio De Oliveira Lima</t>
  </si>
  <si>
    <t>Tainara Fernanda Lara Fernandes De Oliveira</t>
  </si>
  <si>
    <t>Rosielly Pereira De Matos</t>
  </si>
  <si>
    <t>Carla Tainan Galvão Lemos</t>
  </si>
  <si>
    <t>Kelly Cristina Costa</t>
  </si>
  <si>
    <t>Chaune Vanessa Branco Martins</t>
  </si>
  <si>
    <t>Ronaria De Souza Lima</t>
  </si>
  <si>
    <t>Lorrainy De Sousa Santos</t>
  </si>
  <si>
    <t>Messias Gomes De Oliveira</t>
  </si>
  <si>
    <t>Jackeline Shizuko Kochiyama</t>
  </si>
  <si>
    <t>Iane Lisly Lima De Assis</t>
  </si>
  <si>
    <t>Samila Nicole Dos Santos Nascimento</t>
  </si>
  <si>
    <t>Thais Christyane Carvalho de Sousa Gonçalves</t>
  </si>
  <si>
    <t>Juliene Maria De Sousa</t>
  </si>
  <si>
    <t>Antonio Dos Santos Filho</t>
  </si>
  <si>
    <t>Wellington Rodrigues Da Silva</t>
  </si>
  <si>
    <t>Valdicléa Querino Dos Santos</t>
  </si>
  <si>
    <t>Igor Severino Xavier</t>
  </si>
  <si>
    <t>Izabelle De Fatima Silva Amaral</t>
  </si>
  <si>
    <t>Carolinne Monteiro Costa</t>
  </si>
  <si>
    <t>Anderson Bonfim Da Silva</t>
  </si>
  <si>
    <t>André Luiz Santos Araújo</t>
  </si>
  <si>
    <t>Karolyne Miryellen Nascimento Ferreira Campos</t>
  </si>
  <si>
    <t>Daniel Victor Campelo Da Silva</t>
  </si>
  <si>
    <t>Iotila Alves Da Costa</t>
  </si>
  <si>
    <t>Marcos Antônio Pereira</t>
  </si>
  <si>
    <t>Maria Marcia Bomfim De Santana</t>
  </si>
  <si>
    <t>Rafaela Ferraz Suanez Teixeira</t>
  </si>
  <si>
    <t>Lilian Mendes Gonçalves</t>
  </si>
  <si>
    <t>Sarah De Almeida Feitosa</t>
  </si>
  <si>
    <t>Elisa Moreira Ary</t>
  </si>
  <si>
    <t>Fábio Cordeiro Da Silva</t>
  </si>
  <si>
    <t>Renata Luzia Do Nascimento</t>
  </si>
  <si>
    <t>Angélica Machado De Carvalho</t>
  </si>
  <si>
    <t>Suelen Rejane De Jesus Almeida</t>
  </si>
  <si>
    <t>Augusto Xavier Freitas Silva</t>
  </si>
  <si>
    <t>Claudia Dos Santos Ramires</t>
  </si>
  <si>
    <t>Auriane Santana Santos</t>
  </si>
  <si>
    <t>Marcos Levi Francisco Lopes</t>
  </si>
  <si>
    <t>Suiany Da Conceição Alves</t>
  </si>
  <si>
    <t>Antônia Fernanda Ferreira Da Silva</t>
  </si>
  <si>
    <t>Élma Francine De Arruda Lemos</t>
  </si>
  <si>
    <t>Suelene Garcia Ferreira</t>
  </si>
  <si>
    <t>Lucas Gabriel Moreno De Oliveira</t>
  </si>
  <si>
    <t>Amices Maciel Correia</t>
  </si>
  <si>
    <t>Uálisson Oliveira Da Mota</t>
  </si>
  <si>
    <t>Amanda De Jesus Siqueira</t>
  </si>
  <si>
    <t>Kauana Alves Anunciacao</t>
  </si>
  <si>
    <t>Damaris Bezerra Lima Do Nascimento</t>
  </si>
  <si>
    <t>Priscila Aparecida Da Silva</t>
  </si>
  <si>
    <t>Miriam Batista De Oliveira</t>
  </si>
  <si>
    <t>Brenda Lorrany Silva Ribeiro Formiga</t>
  </si>
  <si>
    <t>Ivanete Cristina Souza Messias</t>
  </si>
  <si>
    <t>Gloria Maria Alexandre Oliveira</t>
  </si>
  <si>
    <t>Anderson Siqueira Arrais</t>
  </si>
  <si>
    <t>Gabriella Cristina Oliveira De Souza</t>
  </si>
  <si>
    <t>Cleane Gomes Guida</t>
  </si>
  <si>
    <t>Nagyla Tavares Freire</t>
  </si>
  <si>
    <t>Maria Luisa Lütz Campos Pinheiro</t>
  </si>
  <si>
    <t>Emile Chaves De Souza Silva</t>
  </si>
  <si>
    <t>Heberth Borges De Jesus</t>
  </si>
  <si>
    <t>Cynthia Maria Delfino Maia Dos Reis</t>
  </si>
  <si>
    <t>Lucas Silva Ferreira</t>
  </si>
  <si>
    <t>Juliana Raquel Rebouças De Holanda Rolim</t>
  </si>
  <si>
    <t>Iago Rodrigues Mongelo</t>
  </si>
  <si>
    <t>Alana Cristina Magalhaes Guedes Silva</t>
  </si>
  <si>
    <t>Josiane Pereira Augusto</t>
  </si>
  <si>
    <t>Izael Damázio De Souza</t>
  </si>
  <si>
    <t>Lenir Gardênia Barbosa Coutinho</t>
  </si>
  <si>
    <t>Gislaine Vila Maior</t>
  </si>
  <si>
    <t>Wagner Nóbrega De Souza</t>
  </si>
  <si>
    <t>Francisco Alcântara Sousa</t>
  </si>
  <si>
    <t>Jorge Brito Santos</t>
  </si>
  <si>
    <t>Evelyn Amanda Santos Dos Santos</t>
  </si>
  <si>
    <t>Francisca Lais Vieira Alves</t>
  </si>
  <si>
    <t>Maria Joseane Alves De Sousa</t>
  </si>
  <si>
    <t>Denísio Marcelo Caron</t>
  </si>
  <si>
    <t>Kaylana Coelho Silva Alves</t>
  </si>
  <si>
    <t>Caroline Nunes Oliveira</t>
  </si>
  <si>
    <t>Laura Maria Brandão De Melo</t>
  </si>
  <si>
    <t>Emily Nascimento Santos</t>
  </si>
  <si>
    <t>Itala Mariana Dos Anjos</t>
  </si>
  <si>
    <t>Gerinaldo Dos Santos Lima De Jesus</t>
  </si>
  <si>
    <t>Rosielle Barbosa De Sousa</t>
  </si>
  <si>
    <t>Mariza De Jesus Santos</t>
  </si>
  <si>
    <t>Renata Do Nascimento</t>
  </si>
  <si>
    <t>Maiza Lidia Pereira De Souza</t>
  </si>
  <si>
    <t>Elton Santos Oliveira</t>
  </si>
  <si>
    <t>Thaynara Jamilly De Oliveira Silva</t>
  </si>
  <si>
    <t>Mariana Silva Alves Andrade</t>
  </si>
  <si>
    <t>Adrielly Kalck Kister</t>
  </si>
  <si>
    <t>Christiane Ribeiro De Faria</t>
  </si>
  <si>
    <t>Daiane Bomfim Dos Santos</t>
  </si>
  <si>
    <t>Eduarda Ângelo Goes Souza</t>
  </si>
  <si>
    <t>Gabriela Dias Coutinho</t>
  </si>
  <si>
    <t>Carita Ferreira Da Silva</t>
  </si>
  <si>
    <t>Marcelo Fernando Bezerra Da Silva</t>
  </si>
  <si>
    <t>Ariele Cruz Santana</t>
  </si>
  <si>
    <t>Evelyn Araujo Cerqueira</t>
  </si>
  <si>
    <t>Claudia Pereira Da Silva Marques</t>
  </si>
  <si>
    <t>Ana Cristina Brito Lima</t>
  </si>
  <si>
    <t>Karen Santos Ribeiro</t>
  </si>
  <si>
    <t>Keneti Nunes Miranda Santos</t>
  </si>
  <si>
    <t>Thiago Souza Da Silva</t>
  </si>
  <si>
    <t>Brenderson Silva Costa</t>
  </si>
  <si>
    <t>Gizelia Ferreira Vieira</t>
  </si>
  <si>
    <t>Ana Beatriz Lima Fortunato</t>
  </si>
  <si>
    <t>Rafael Freire Andrade</t>
  </si>
  <si>
    <t>Débora Quaresma Carvalho</t>
  </si>
  <si>
    <t>Layse Assunção Pereira</t>
  </si>
  <si>
    <t>Annie Karollinne De Moura Araujo</t>
  </si>
  <si>
    <t>Emili Laiane Rocha Lima</t>
  </si>
  <si>
    <t>Ana Beatriz Vaz De Vasconcelos</t>
  </si>
  <si>
    <t>Ivete Vargas Alves De Almeida</t>
  </si>
  <si>
    <t>Wanderson Silva Oliveira</t>
  </si>
  <si>
    <t>Paolla Rayane Padilha De Souza</t>
  </si>
  <si>
    <t>Milena Machado Miguel</t>
  </si>
  <si>
    <t>Kethleen Larisse Hoegen</t>
  </si>
  <si>
    <t>Eline Ramos Guimarães</t>
  </si>
  <si>
    <t>Poliana Lopes Teixeira</t>
  </si>
  <si>
    <t>Conceição Aparecida Alves</t>
  </si>
  <si>
    <t>Laís De Oliveira</t>
  </si>
  <si>
    <t>Serena Martins Teixeira</t>
  </si>
  <si>
    <t>Alessandra Santos De Souza</t>
  </si>
  <si>
    <t>Regina Aparecida Santiago</t>
  </si>
  <si>
    <t>Priscila Viana Da Silva</t>
  </si>
  <si>
    <t>Fabio Junior Rodrigues De Oliveira</t>
  </si>
  <si>
    <t>Natalia Ferreira Barreto</t>
  </si>
  <si>
    <t>Marcos Vinicius Machado Brasileiro Santos</t>
  </si>
  <si>
    <t>Julli Izabelle Monteiro</t>
  </si>
  <si>
    <t>Fabiano Da Silva</t>
  </si>
  <si>
    <t>Andrea De Souza Silva</t>
  </si>
  <si>
    <t>Lilia Ribeiro De Almeida</t>
  </si>
  <si>
    <t>Fernanda Carlos Brito Silva</t>
  </si>
  <si>
    <t>Gislaine Dos Santos Fernandes</t>
  </si>
  <si>
    <t>Priscila Leite Marques</t>
  </si>
  <si>
    <t>Amanda Jenniffer Paulo De Moura</t>
  </si>
  <si>
    <t>Camila Da Silva Lelis</t>
  </si>
  <si>
    <t>Aleixa Lemã Moreira Brandão</t>
  </si>
  <si>
    <t>Lillyan Correa Ramos</t>
  </si>
  <si>
    <t>Jessica Mota Da Silva</t>
  </si>
  <si>
    <t>Gabriela Alves Do Vale</t>
  </si>
  <si>
    <t>Marina Oliveira Pimentel</t>
  </si>
  <si>
    <t>Cynthia Barbosa Da Silva</t>
  </si>
  <si>
    <t>Vivianny Rhyvia Brito Carvalho</t>
  </si>
  <si>
    <t>Emanuella Oliveira Chagas</t>
  </si>
  <si>
    <t>Vania Silva Brasil</t>
  </si>
  <si>
    <t>Yasmim Mayara Alves Da Cunha</t>
  </si>
  <si>
    <t>Naiane Vasconcelos Wanus</t>
  </si>
  <si>
    <t>Camila Stephanie Araujo Do Couto</t>
  </si>
  <si>
    <t>Grazielly Rocha Souza</t>
  </si>
  <si>
    <t>Luciana Ribeiro Nascimento Neves</t>
  </si>
  <si>
    <t>Deuzirene Da Silva Do Nascimento</t>
  </si>
  <si>
    <t>Ricardo Da Fonseca Belens</t>
  </si>
  <si>
    <t>Adriana Romão Da Silva</t>
  </si>
  <si>
    <t>Karina Nunes De Magalhães</t>
  </si>
  <si>
    <t>Monique Larissa De Jesus Dos Santos</t>
  </si>
  <si>
    <t>Priscila Lorrayne Marchi Dadalto</t>
  </si>
  <si>
    <t>Jessica Cristina Da Silva Ribeiro</t>
  </si>
  <si>
    <t>Jessica Santos Guimarães</t>
  </si>
  <si>
    <t>Josiane Araujo Dos Santos</t>
  </si>
  <si>
    <t>Matias Gassen</t>
  </si>
  <si>
    <t>Sarah Oliveira Valentim Gomes</t>
  </si>
  <si>
    <t>Patricia Maria Do Nascimento</t>
  </si>
  <si>
    <t>Gabriel Lopes Do Rosário</t>
  </si>
  <si>
    <t>Istela Goncalves Gomes Valverde</t>
  </si>
  <si>
    <t>Ricardo Silva César</t>
  </si>
  <si>
    <t>Rene Paulo Moura Da Silva</t>
  </si>
  <si>
    <t>Sandra Regina Freitas</t>
  </si>
  <si>
    <t>Jonas Ventura Santos</t>
  </si>
  <si>
    <t>Priscila Karoline Da Silva</t>
  </si>
  <si>
    <t>Luciene Janice Da Silva</t>
  </si>
  <si>
    <t>Gessica Pereira De Souza</t>
  </si>
  <si>
    <t>Jessica Da Silva Gonçalves</t>
  </si>
  <si>
    <t>Hellen Pâmella Nascimento Silva</t>
  </si>
  <si>
    <t>Daniela Ribeiro Nunes Prospero</t>
  </si>
  <si>
    <t>Sarah Antonia Pereira Pinheiro</t>
  </si>
  <si>
    <t>Janaina Xavier Gomes Nunes</t>
  </si>
  <si>
    <t>Filiphe Ângelo Bezerra Silva</t>
  </si>
  <si>
    <t>Leiryane Silva Xavier</t>
  </si>
  <si>
    <t>Joana De Oliveira Krull</t>
  </si>
  <si>
    <t>Rita De Cassia Domingos</t>
  </si>
  <si>
    <t>Filipe Ewerton Ribeiro Teles</t>
  </si>
  <si>
    <t>Revia De Menezes Pereira</t>
  </si>
  <si>
    <t>Alaine Leite Da Silva Meneses</t>
  </si>
  <si>
    <t>Honorata Pereira Pinheiro</t>
  </si>
  <si>
    <t>Fernanda Cristina Silva Domingos</t>
  </si>
  <si>
    <t>Kaynara Emanuele Menezes Gama</t>
  </si>
  <si>
    <t>Magna Lima Magalhães Rocha</t>
  </si>
  <si>
    <t>Bruna Cristina Da Silva Martins</t>
  </si>
  <si>
    <t>Monielle Silva Dos Santos</t>
  </si>
  <si>
    <t>Bheatriz Moreira De Moraes</t>
  </si>
  <si>
    <t>Ellen Guimarães Vieira</t>
  </si>
  <si>
    <t>Dayana Darc Leal De Sousa</t>
  </si>
  <si>
    <t>Iara Albuquerque De Oliveira</t>
  </si>
  <si>
    <t>Francisca Luana Souza De Freitas</t>
  </si>
  <si>
    <t>Juliana Marques De Oliveira</t>
  </si>
  <si>
    <t>Sedielc Kênia Lima</t>
  </si>
  <si>
    <t>Franquinei Oliveira Da Silva</t>
  </si>
  <si>
    <t>Jaqueline Dos Santos Da Silva</t>
  </si>
  <si>
    <t>Edward Alexis Kraievski Grau</t>
  </si>
  <si>
    <t>Cleuma Feitoza Xavier</t>
  </si>
  <si>
    <t>Maria Isabel Alves Silva Guajajara</t>
  </si>
  <si>
    <t>Haroldo Alves De Souza</t>
  </si>
  <si>
    <t>Gracilene Rosa Rocha</t>
  </si>
  <si>
    <t>Pamella Alves Miranda</t>
  </si>
  <si>
    <t>Ana Luísa Costa Mendonça</t>
  </si>
  <si>
    <t>Maiume Felizardo De Oliveira</t>
  </si>
  <si>
    <t>Dirlene Ribeiro Amorim</t>
  </si>
  <si>
    <t>Renato Almeida Castro</t>
  </si>
  <si>
    <t>Ronali Nóbrega Silva</t>
  </si>
  <si>
    <t>Larissa Danielly Pereira Silva</t>
  </si>
  <si>
    <t>Joao Luis Silva Nascimento</t>
  </si>
  <si>
    <t>Adrielle Araujo Almeida</t>
  </si>
  <si>
    <t>Kleber Dos Santos Mendanha</t>
  </si>
  <si>
    <t>Jéssica Rayne Da Silva Carvalho Sampaio</t>
  </si>
  <si>
    <t>Camila Silva Pereira</t>
  </si>
  <si>
    <t>Ediovan De Souza Santana</t>
  </si>
  <si>
    <t>Layane Cristina Santos De Sousa</t>
  </si>
  <si>
    <t>Mateus Pereira De Oliveira</t>
  </si>
  <si>
    <t>Rosiane Silva Da Silva</t>
  </si>
  <si>
    <t>Carla Cristina De Oliveira Xavier</t>
  </si>
  <si>
    <t>Marta Maira Borges Patricio</t>
  </si>
  <si>
    <t>Ana Paula Silva De Sousa</t>
  </si>
  <si>
    <t>Matheus Freitas Lacerda</t>
  </si>
  <si>
    <t>Marcela Dias Das Chagas</t>
  </si>
  <si>
    <t>Eliflavia Sousa Costa</t>
  </si>
  <si>
    <t>Maria Do Socorro Carneiro De Carvalho</t>
  </si>
  <si>
    <t>Vitoria Espindula Maciel</t>
  </si>
  <si>
    <t>Wellisson Santos</t>
  </si>
  <si>
    <t>Sebastiana Batista Dos Santos</t>
  </si>
  <si>
    <t>Maria Tamires Barbosa De Lima</t>
  </si>
  <si>
    <t>Mike Wellington Pimentel Dos Santos</t>
  </si>
  <si>
    <t>Nayara Lais Da Silva Oliveira</t>
  </si>
  <si>
    <t>Luciano Rodrigues De Oliveira</t>
  </si>
  <si>
    <t>Ezabele Mota Moreira</t>
  </si>
  <si>
    <t>Amanda Cristina Gomes Da Silva</t>
  </si>
  <si>
    <t>Evelyn Muniz Dos Santos</t>
  </si>
  <si>
    <t>Gabriella Da Páscoa Freire</t>
  </si>
  <si>
    <t>Simone De Oliveira</t>
  </si>
  <si>
    <t>Rita De Cassia Pereira De Oliveira</t>
  </si>
  <si>
    <t>Oclecio Monteiro De Amorim</t>
  </si>
  <si>
    <t>Fernanda Pereira Do Nascimento Vieira</t>
  </si>
  <si>
    <t>Renato Barbosa Da Silva</t>
  </si>
  <si>
    <t>Felicia Estefanie Liveli De Deus Silva</t>
  </si>
  <si>
    <t>Jonatas Da Silva Silva</t>
  </si>
  <si>
    <t>Giane Aparecida Azarias</t>
  </si>
  <si>
    <t>Gabriel Simoes Prado</t>
  </si>
  <si>
    <t>Thalita Do Carmo</t>
  </si>
  <si>
    <t>Mikaelli Monique Borba De Oliveira</t>
  </si>
  <si>
    <t>Carlindo Pantoja Nogueira Junior</t>
  </si>
  <si>
    <t>Victória Anny Frota De Souza</t>
  </si>
  <si>
    <t>Jéssica Mawane Pereira Dos Santos</t>
  </si>
  <si>
    <t>Natali Martins Lima</t>
  </si>
  <si>
    <t>Graciele De Jesus Menezes Almeida</t>
  </si>
  <si>
    <t>Jaqueline Pereira Dos Reis</t>
  </si>
  <si>
    <t>Kamylla Chrystinna Da Silva Queiroz</t>
  </si>
  <si>
    <t>José Carlos Leal De Moura</t>
  </si>
  <si>
    <t>Tatiana De Lima Bernardo</t>
  </si>
  <si>
    <t>Claudinéia De Almeida Alves</t>
  </si>
  <si>
    <t>Gleice Kelly Chagas Ferreira</t>
  </si>
  <si>
    <t>Suelen Weluma Gordiano Da Silva E Silva</t>
  </si>
  <si>
    <t>Raul Da Silva Rodrigues</t>
  </si>
  <si>
    <t>Adna Kelly Barcelo De Castro</t>
  </si>
  <si>
    <t>Apoliana Moreira De Morais</t>
  </si>
  <si>
    <t>Ícaro Antunes Rocha</t>
  </si>
  <si>
    <t>Railton Gomes Viana</t>
  </si>
  <si>
    <t>Janaína Carla Castro Sousa</t>
  </si>
  <si>
    <t>Ingryd Rhayonara Balbino Dias Menezes</t>
  </si>
  <si>
    <t>Daniely Victória Araújo Silva</t>
  </si>
  <si>
    <t>Demetrios Nunes Batista</t>
  </si>
  <si>
    <t>Denisson Azevedo De Souza</t>
  </si>
  <si>
    <t>Crislane De Melo Dos Santos</t>
  </si>
  <si>
    <t>Thais Cristina Ferreira</t>
  </si>
  <si>
    <t>Camila Santana De Lima</t>
  </si>
  <si>
    <t>Leidiane Martins Dos Santos</t>
  </si>
  <si>
    <t>Nayara Sabrina Barroso Grego</t>
  </si>
  <si>
    <t>Adriano Manoel Da Silva</t>
  </si>
  <si>
    <t>Thayne Suzane Dias</t>
  </si>
  <si>
    <t>Willys Humberto Nobre Xavier</t>
  </si>
  <si>
    <t>Kleyton Correa Vieira</t>
  </si>
  <si>
    <t>Jéssica Cristina Vieira</t>
  </si>
  <si>
    <t>Dariane Araujo Bogea</t>
  </si>
  <si>
    <t>Bárbara Hanna Da Silva Conceição</t>
  </si>
  <si>
    <t>Adriano Damasceno Melo</t>
  </si>
  <si>
    <t>Jessica Pereira Paraguasu</t>
  </si>
  <si>
    <t>Clara Luiza Alves Franco</t>
  </si>
  <si>
    <t>Fernanda Ribeiro De Freitas</t>
  </si>
  <si>
    <t>Míriam Silva Oliveira</t>
  </si>
  <si>
    <t>Catia Da Costa Forreste Pereira</t>
  </si>
  <si>
    <t>Elvis Carlos Dos Santos Silva</t>
  </si>
  <si>
    <t>Everlayne Cristyane De Souza Sá</t>
  </si>
  <si>
    <t>Isabela Do Carmo Santos Bacelar</t>
  </si>
  <si>
    <t>Uarlei Vieira Santos</t>
  </si>
  <si>
    <t>Bruno Ernesto Vilas Boas Reback</t>
  </si>
  <si>
    <t>Juliana Do Nascimento Dias</t>
  </si>
  <si>
    <t>Edivan Marçal Magalhães</t>
  </si>
  <si>
    <t>Camila Francisca Dias</t>
  </si>
  <si>
    <t>Cândida Kely Silva De Carvalho</t>
  </si>
  <si>
    <t>Patricia Pereira Lemos</t>
  </si>
  <si>
    <t>Paulo Henrique De Oliveira Bacelar</t>
  </si>
  <si>
    <t>Jacqueline Ferreira De Lima</t>
  </si>
  <si>
    <t>Laylinne Chaves Lacerda</t>
  </si>
  <si>
    <t>Stefany Mendes Alves</t>
  </si>
  <si>
    <t>Márcia Cristina De Souza</t>
  </si>
  <si>
    <t>Paola Telles De Oliveira De Azevedo</t>
  </si>
  <si>
    <t>Saulo Freire</t>
  </si>
  <si>
    <t>Laís Gabryelle Dos Santos Vieira Fonseca</t>
  </si>
  <si>
    <t>Ana Carolina Brito Mendes</t>
  </si>
  <si>
    <t>Mariana Magalhaes De Oliveira França</t>
  </si>
  <si>
    <t>Emanuel Gomes Mesquita</t>
  </si>
  <si>
    <t>Marcos Paulo Marques Freitas</t>
  </si>
  <si>
    <t>Yuri Peixoto Andrade</t>
  </si>
  <si>
    <t>Caio Muryllo Ferraz Neves</t>
  </si>
  <si>
    <t>Roseane De Lima Gaião</t>
  </si>
  <si>
    <t>Bianca Idenir Moraes da Silva</t>
  </si>
  <si>
    <t>Marcilene Dias Da Silva</t>
  </si>
  <si>
    <t>Lidiana Rodrigues De Lima Aires</t>
  </si>
  <si>
    <t>Daniel Gonçalves</t>
  </si>
  <si>
    <t>Débora Kelly De Sousa Sales</t>
  </si>
  <si>
    <t>Suzaine Cosmes Da Silva</t>
  </si>
  <si>
    <t>Shirley Daiane Da Silva Santos</t>
  </si>
  <si>
    <t>Samuel Brendel Silva De Moura</t>
  </si>
  <si>
    <t>José Ricardo Dos Santos Filho</t>
  </si>
  <si>
    <t>Kaíse Rodrigues Curcino</t>
  </si>
  <si>
    <t>Anderson Denis Andrade De Sousa</t>
  </si>
  <si>
    <t>Gustavo De Cerqueira Lisboa</t>
  </si>
  <si>
    <t>Amanda Dos Santos</t>
  </si>
  <si>
    <t>Rozilaine Carla Da Silva</t>
  </si>
  <si>
    <t>Andressa De Paula Gomes Dos Santos</t>
  </si>
  <si>
    <t>Edielly Tais De Oliveira</t>
  </si>
  <si>
    <t>Carla Bitencourt Rego</t>
  </si>
  <si>
    <t>Rane Rihuma Leite Pinheiro</t>
  </si>
  <si>
    <t>Maiara Evelin Jesus Almeida</t>
  </si>
  <si>
    <t>Vanessa Lopes Barbosa</t>
  </si>
  <si>
    <t>Nilma Silva Dos Santos</t>
  </si>
  <si>
    <t>Camila Ferreira Dos Santos</t>
  </si>
  <si>
    <t>Maria Carolina Silva Araujo</t>
  </si>
  <si>
    <t>Rafael Oliveira Sousa</t>
  </si>
  <si>
    <t>Ana Flávia Rodrigues Lopes</t>
  </si>
  <si>
    <t>Gustavo Dos Santos Ramos</t>
  </si>
  <si>
    <t>Joice Ewelyn Pureza Cardoso</t>
  </si>
  <si>
    <t>Kelma Oliveira Dos Santos</t>
  </si>
  <si>
    <t>Gabriel Thomaz De Arruda Taques</t>
  </si>
  <si>
    <t>Rebeca Torres Silva</t>
  </si>
  <si>
    <t>Pâmella Gonçalves Costa</t>
  </si>
  <si>
    <t>Daniele Souza Araújo</t>
  </si>
  <si>
    <t>Vanessa Oliveira Costa</t>
  </si>
  <si>
    <t>Diego De Jesus Santos</t>
  </si>
  <si>
    <t>Ana Cláudia Andrade Da Silva</t>
  </si>
  <si>
    <t>Rosiane De Amorim Ortiz</t>
  </si>
  <si>
    <t>Geisa Gabriela Santos</t>
  </si>
  <si>
    <t>Jessica Diniz Da Silva</t>
  </si>
  <si>
    <t>Cleiton França De Jesus</t>
  </si>
  <si>
    <t>Aurilândia Leal E Silva</t>
  </si>
  <si>
    <t>Carlos André Pedrozo</t>
  </si>
  <si>
    <t>Maurisvânia Teixeira Marques</t>
  </si>
  <si>
    <t>Aline Soares Lima</t>
  </si>
  <si>
    <t>Silvia Helena Da Silva Sousa</t>
  </si>
  <si>
    <t>Ashley Costa</t>
  </si>
  <si>
    <t>Nágila Araújo De Lima Ferreira</t>
  </si>
  <si>
    <t>Angelica Rosa De Oliveira</t>
  </si>
  <si>
    <t>Maria De Fátima Da Silva Santos</t>
  </si>
  <si>
    <t>Elen Oliveira Brito</t>
  </si>
  <si>
    <t>Emilly Neves Pereira</t>
  </si>
  <si>
    <t>Zulene Raquel Luna Barbosa</t>
  </si>
  <si>
    <t>Gislainy Silva Machado Costa</t>
  </si>
  <si>
    <t>Hiago Gabriel Souza Da Costa</t>
  </si>
  <si>
    <t>Geverton Fagner Monteiro Tomaz</t>
  </si>
  <si>
    <t>Paula Silva Soares</t>
  </si>
  <si>
    <t>Carine Souza Reis</t>
  </si>
  <si>
    <t>Shara Geovana Moreira Da Silva</t>
  </si>
  <si>
    <t>Lanna Thais Mesquita Andrade</t>
  </si>
  <si>
    <t>Jéssica Laíza Santos Lopes</t>
  </si>
  <si>
    <t>Flavia De Jesus Santos Correa</t>
  </si>
  <si>
    <t>Clara Silva Frete</t>
  </si>
  <si>
    <t>Jessica Coresma Da Costa</t>
  </si>
  <si>
    <t>Renata Larissa Dias Dos Santos</t>
  </si>
  <si>
    <t>Rosalves Da Fonseca Lins Júnior</t>
  </si>
  <si>
    <t>Ana Paula Mendonça Da Rosa</t>
  </si>
  <si>
    <t>Renata De Oliveira Souza</t>
  </si>
  <si>
    <t>Bruno Santos De Matos</t>
  </si>
  <si>
    <t>Alysson Tiago Fernandes Thorpe</t>
  </si>
  <si>
    <t>Carolina Aparecida Teixeira Dos Santos</t>
  </si>
  <si>
    <t>Luiz Miguel Ageu Da Silva Sukar</t>
  </si>
  <si>
    <t>Samantha Saib Andrades Azevedo</t>
  </si>
  <si>
    <t>Ruth Dos Santos Souza</t>
  </si>
  <si>
    <t>Ellen Jennifer Soares Santana</t>
  </si>
  <si>
    <t>Jairo Darnley Alves Campos</t>
  </si>
  <si>
    <t xml:space="preserve">2.6.1., alínea “b”; alínea “c”; </t>
  </si>
  <si>
    <t>Monica Gonçalves De Almeida</t>
  </si>
  <si>
    <t>Ancelmo Batista Magalhães</t>
  </si>
  <si>
    <t>Noemi Da Costa Melo</t>
  </si>
  <si>
    <t>Shirlene Conceição Ponciano Matoso</t>
  </si>
  <si>
    <t>Phablice Alves Do Prado</t>
  </si>
  <si>
    <t>Nathália Rodrigues Smangorzevski</t>
  </si>
  <si>
    <t>Brena Sousa De Assuncao</t>
  </si>
  <si>
    <t>Gabrieli Cardoso Santana</t>
  </si>
  <si>
    <t>Suzannara Paes Dos Santos</t>
  </si>
  <si>
    <t>Bruna Santos Sampaio Pereira</t>
  </si>
  <si>
    <t>Suelen Rodrigues De Souza</t>
  </si>
  <si>
    <t>Rafaela Freitas Campos</t>
  </si>
  <si>
    <t>Lucilane De Souza Alves Salomão</t>
  </si>
  <si>
    <t>Felipe De Sousa Silva</t>
  </si>
  <si>
    <t>Liamara Ianguas Ferracciu</t>
  </si>
  <si>
    <t>Maria Letícia Oliveira De Lima</t>
  </si>
  <si>
    <t>Iara dos Santos Ribeiro</t>
  </si>
  <si>
    <t>Maria Cecilia Batista Da Silva</t>
  </si>
  <si>
    <t>Rayssa Gonçalves Silva</t>
  </si>
  <si>
    <t>Juliana Oliveira Das Virgens</t>
  </si>
  <si>
    <t>Lorrany Patrícia Fernandes Coelho</t>
  </si>
  <si>
    <t>Cassilene Almeida De Sousa</t>
  </si>
  <si>
    <t>Luis Vinicius Viana De Jesus</t>
  </si>
  <si>
    <t>Maria Das Graças Alves Da Rocha</t>
  </si>
  <si>
    <t>Paula Tainá Silva Rodrigues Oliveira</t>
  </si>
  <si>
    <t>Barbara Brenda Magalhães Menezes</t>
  </si>
  <si>
    <t>Barbara Luany Rodrigues Santos</t>
  </si>
  <si>
    <t>Duan Francisco Santos Dos Reis</t>
  </si>
  <si>
    <t>Livia Reges De Oliveira</t>
  </si>
  <si>
    <t>Sâmia De Figueiredo Archanjo Da Silva</t>
  </si>
  <si>
    <t>Marcos Vinícius Pachêco Sousa</t>
  </si>
  <si>
    <t>Vanessa Caetano Novaes</t>
  </si>
  <si>
    <t>Vitor Hugo Cabral Marques</t>
  </si>
  <si>
    <t>Karoline Gonçalves Almeida</t>
  </si>
  <si>
    <t>Yara Mônica De Souza</t>
  </si>
  <si>
    <t>Alex De Jesus Santos</t>
  </si>
  <si>
    <t>Liendrya De Jesus Martins Soares</t>
  </si>
  <si>
    <t>Ana Paula Pereira Dos Santos</t>
  </si>
  <si>
    <t>Veronica Gomes De Lima</t>
  </si>
  <si>
    <t>Patricia Loiane Coelho Leite</t>
  </si>
  <si>
    <t>Oriany Medina Vaz</t>
  </si>
  <si>
    <t>Jaciane Rumão De Sousa</t>
  </si>
  <si>
    <t>Gislaine Frasao Silva Cardoso</t>
  </si>
  <si>
    <t>Igor Lucas Nascimento Costa</t>
  </si>
  <si>
    <t>Rickson Greison Da Silva Lima</t>
  </si>
  <si>
    <t>Ana Karina Da Cruz Rodrigues</t>
  </si>
  <si>
    <t>Joicy Thâmara Cavalcanti Saraiva</t>
  </si>
  <si>
    <t>Ana Carolina Santana De Paula</t>
  </si>
  <si>
    <t>Franciele De Paiva Gama</t>
  </si>
  <si>
    <t>Sabrina Soares Freire</t>
  </si>
  <si>
    <t>Aldalecio Vital Pereira</t>
  </si>
  <si>
    <t>Ludimila Do Amaral Jara</t>
  </si>
  <si>
    <t>Claudio Alves Araujo</t>
  </si>
  <si>
    <t>Talles Henrique Lima De Sousa</t>
  </si>
  <si>
    <t>Ana Karoline Dos Reis Barradas</t>
  </si>
  <si>
    <t>Fabiana Silva Penha</t>
  </si>
  <si>
    <t>Estefany Rocha Santos</t>
  </si>
  <si>
    <t>Dheyner Clayton Da Silva</t>
  </si>
  <si>
    <t>Nathália Ferreira De Lima</t>
  </si>
  <si>
    <t>Harissa Fabiane Lima Ramos</t>
  </si>
  <si>
    <t>Claudia de Oliveira Lucena</t>
  </si>
  <si>
    <t>Erica De Jesus Marinho</t>
  </si>
  <si>
    <t>Andressa Oliveira Lima</t>
  </si>
  <si>
    <t>Valdênia Nonato De Sousa</t>
  </si>
  <si>
    <t>Suerda Maria Alves Dos Santos Cabral</t>
  </si>
  <si>
    <t>Erivaldo Costa Cruz</t>
  </si>
  <si>
    <t>Fabiana Torres Ayres Braz</t>
  </si>
  <si>
    <t>Lívia Carmo Dos Reis</t>
  </si>
  <si>
    <t>Wallinson Borges Pereira Costa</t>
  </si>
  <si>
    <t>Vinicius Inglis Ferreira Da Silva</t>
  </si>
  <si>
    <t>Ravena Ribeiro Martins Brisola</t>
  </si>
  <si>
    <t>Loriane Cristina De Souza Carvalho</t>
  </si>
  <si>
    <t>Juliana Ferreira dos Santos</t>
  </si>
  <si>
    <t>Edinez Pereira De Lima</t>
  </si>
  <si>
    <t xml:space="preserve">alínea “b”; </t>
  </si>
  <si>
    <t>Loren Olivie Souza Ribeiro De Resende</t>
  </si>
  <si>
    <t>Dagmar Da Silva</t>
  </si>
  <si>
    <t>Edimara Beatriz Faria Roque Da Cruz</t>
  </si>
  <si>
    <t>Samanta Costa Gama</t>
  </si>
  <si>
    <t>Luana Bernardino Aguiar</t>
  </si>
  <si>
    <t>Evellin Tayna Pereira</t>
  </si>
  <si>
    <t>Regiani Cristina Ponciano Da Silva</t>
  </si>
  <si>
    <t>Huberlandia Pereira Da Silva</t>
  </si>
  <si>
    <t>Gilvania Da Mota Silva</t>
  </si>
  <si>
    <t>Nathalia Kelly Galvao Da Silva</t>
  </si>
  <si>
    <t>Ana Lucia Ferreira</t>
  </si>
  <si>
    <t>Gláucia Braga De Sena</t>
  </si>
  <si>
    <t>Evelin Rose De Oliveira Pires Luiz</t>
  </si>
  <si>
    <t>Alessandra Mota De Amorim</t>
  </si>
  <si>
    <t>Lana Leticia Souza Noleto</t>
  </si>
  <si>
    <t>Rayla Lorena Barbosa Da Silva</t>
  </si>
  <si>
    <t>Liliane Hoffmann Navarros</t>
  </si>
  <si>
    <t>Miriã Marta Vieira Daniel Alves</t>
  </si>
  <si>
    <t>Magnum Lino Vieira Alves</t>
  </si>
  <si>
    <t>Natanna Freire Bremer</t>
  </si>
  <si>
    <t>Leiliane Rodrigues Aires</t>
  </si>
  <si>
    <t>Eduarda Vitória Rocha Bezerra</t>
  </si>
  <si>
    <t>Carla Isabel Muniz</t>
  </si>
  <si>
    <t>Jodie Hellen Dos Santos Martins</t>
  </si>
  <si>
    <t>Lucas Ferreira Gomes</t>
  </si>
  <si>
    <t>Luciana Gabriela Costa Pereira</t>
  </si>
  <si>
    <t>Márcio Gonçalves Da Rocha</t>
  </si>
  <si>
    <t>Sayara Stefanny Sa Florentim</t>
  </si>
  <si>
    <t>Matheus De Almeida Costa</t>
  </si>
  <si>
    <t>Samuel Evangelista De Souza</t>
  </si>
  <si>
    <t>Mirlla Reis Carneiro</t>
  </si>
  <si>
    <t>Marcos Joaquim Ferreira Alves</t>
  </si>
  <si>
    <t>Tuane Pereira Dos Santos</t>
  </si>
  <si>
    <t>Anires De Jesus</t>
  </si>
  <si>
    <t>Luciano Siqueira De Sá Curado</t>
  </si>
  <si>
    <t>Samara Assis De Freitas</t>
  </si>
  <si>
    <t>Maria Gisele Moura Da Silva</t>
  </si>
  <si>
    <t>Ítalo Paixão Lima Bomfim</t>
  </si>
  <si>
    <t>Yakine Thiarê Da Silva Santana</t>
  </si>
  <si>
    <t>Gabriela Cardoso Dos Reis</t>
  </si>
  <si>
    <t>Maryelly Alencar Da Silva Pereira Duarte</t>
  </si>
  <si>
    <t>Karine Keila Chaves</t>
  </si>
  <si>
    <t>Jadielma Ferreira Da Silva</t>
  </si>
  <si>
    <t>Evilasio Rosa Nascimento</t>
  </si>
  <si>
    <t>Lorrayne Borges Ferreira</t>
  </si>
  <si>
    <t>Natalia Alves Oliveira</t>
  </si>
  <si>
    <t>Alice Keila De Souza Machado</t>
  </si>
  <si>
    <t>Valdinei Gomes Menezes</t>
  </si>
  <si>
    <t>Eva Maisa Teixeira Dos Santos</t>
  </si>
  <si>
    <t>Luan Roberto Amancio Pereira</t>
  </si>
  <si>
    <t>Luara Primo Trindade</t>
  </si>
  <si>
    <t>Carlos Alberto Ferreira Fernandez</t>
  </si>
  <si>
    <t>Maíra De Jesus Mendes Nascimento</t>
  </si>
  <si>
    <t>Marilene Saramento</t>
  </si>
  <si>
    <t>Janaina Silva Aguiar</t>
  </si>
  <si>
    <t>Higo Coelho Rangel</t>
  </si>
  <si>
    <t>Bruna Thaiza Reis Castro</t>
  </si>
  <si>
    <t>Daniel Carvalho Dos Santos</t>
  </si>
  <si>
    <t>Herminia Sousa Da Silva</t>
  </si>
  <si>
    <t>Aline Marques De Arruda</t>
  </si>
  <si>
    <t>Denize Medeiros De Souza</t>
  </si>
  <si>
    <t>Edinoel Brunelli Da Silva Júnior</t>
  </si>
  <si>
    <t>Zaira Da Silva Araújo</t>
  </si>
  <si>
    <t>Ana Paula Marques Da Conceição</t>
  </si>
  <si>
    <t>Wilson Mariano Da Silva Barros</t>
  </si>
  <si>
    <t>Gabriele Neris Da Silva Dos Santos</t>
  </si>
  <si>
    <t>Carla Evangelista Couceiro</t>
  </si>
  <si>
    <t>Géssica Barreto Carlos</t>
  </si>
  <si>
    <t>Thaísa Lorrane Da Silva Romano</t>
  </si>
  <si>
    <t>Manoel Maciel Dos Santos</t>
  </si>
  <si>
    <t>Júnior De Sousa Ribeiro</t>
  </si>
  <si>
    <t>Antonio Kaian Da Costa Sousa</t>
  </si>
  <si>
    <t>Laice Da Costa Nascimento</t>
  </si>
  <si>
    <t>Gisely Vitória Gouveia Gonçalves Souza</t>
  </si>
  <si>
    <t>Iully Torres Macedo</t>
  </si>
  <si>
    <t>Taynara Pereira Da Silva Guimarães</t>
  </si>
  <si>
    <t>Joelma Silva Da Cruz</t>
  </si>
  <si>
    <t>Maria Luana Lunardi De Almeida</t>
  </si>
  <si>
    <t>Adna Nunes Souza</t>
  </si>
  <si>
    <t>Daniele Verbinen De Lima</t>
  </si>
  <si>
    <t>Luiz Filipe Freitas Dos Santos</t>
  </si>
  <si>
    <t>Maria Carolina Dos Santos Matos</t>
  </si>
  <si>
    <t>Eduarda Rodrigues Rodrigues</t>
  </si>
  <si>
    <t>Erica Da Silva Lima</t>
  </si>
  <si>
    <t>Anderson Vitor Batista De Sousa</t>
  </si>
  <si>
    <t>Everly Oliveira Ramos</t>
  </si>
  <si>
    <t>Cleide Araujo Santos</t>
  </si>
  <si>
    <t>Michel Claudino Ferreira</t>
  </si>
  <si>
    <t>Natalia Dias Da Silva</t>
  </si>
  <si>
    <t>Ana Paula Almeida Da Silva</t>
  </si>
  <si>
    <t>Esther De Souza Araujo</t>
  </si>
  <si>
    <t>Isabela Rodrigues Do Carmo</t>
  </si>
  <si>
    <t>Davi Miranda De Barros</t>
  </si>
  <si>
    <t>Raquel Soares Dos Santos</t>
  </si>
  <si>
    <t>Rodrigo De Oliveira Silva</t>
  </si>
  <si>
    <t>Andressa Alves De Jesus</t>
  </si>
  <si>
    <t>Samara Silva Ramos</t>
  </si>
  <si>
    <t>Kelly Cristina Cavalcante Nogueira</t>
  </si>
  <si>
    <t>Andreia Sperkoski</t>
  </si>
  <si>
    <t>Danielle Lima De Sousa</t>
  </si>
  <si>
    <t>Adson Oliveira Monteiro</t>
  </si>
  <si>
    <t>Anna Victória Marques De Sousa</t>
  </si>
  <si>
    <t>Bianca Torres Pereira Da Silva</t>
  </si>
  <si>
    <t>Sintia Nascimento Ferreira</t>
  </si>
  <si>
    <t>Rayane Andrade Serra</t>
  </si>
  <si>
    <t>Kássia Luelly Da Trindade Freitas</t>
  </si>
  <si>
    <t>Antônio Elvis De Souza Bezerra</t>
  </si>
  <si>
    <t>Danielle De Sousa Mesquita</t>
  </si>
  <si>
    <t>Jefferson Maciel Bretas</t>
  </si>
  <si>
    <t>Anna Thais Da Silva Araújo</t>
  </si>
  <si>
    <t>Ana Luiza Da Costa Reis</t>
  </si>
  <si>
    <t>Alana Thays Rocha De Oliveira</t>
  </si>
  <si>
    <t>Raniele Melo Mota</t>
  </si>
  <si>
    <t>Weritt Cleyton Souza Mendes</t>
  </si>
  <si>
    <t>Clara Lilia Alves Barbosa</t>
  </si>
  <si>
    <t>Julia De Souza Conceição</t>
  </si>
  <si>
    <t>Kheroly Da Silva</t>
  </si>
  <si>
    <t>Marcone Gonzaga Costa</t>
  </si>
  <si>
    <t>Eliane Chagas Rodrigues</t>
  </si>
  <si>
    <t>Aline Vanessa Silva Xavier</t>
  </si>
  <si>
    <t>Maíla Rocha Manresa Ferreira</t>
  </si>
  <si>
    <t>Lorena Melo Santos</t>
  </si>
  <si>
    <t>Janine Angelin Brito</t>
  </si>
  <si>
    <t>Fábio Luiz Ferreira Filho</t>
  </si>
  <si>
    <t>Lizianne Pereira Dos Anjos</t>
  </si>
  <si>
    <t>Edgard Vieira Gomes</t>
  </si>
  <si>
    <t>Victoria De Sousa Barbosa Chaves</t>
  </si>
  <si>
    <t>Ana Laura Lamounier Alves</t>
  </si>
  <si>
    <t>Tamires Silva Santiago</t>
  </si>
  <si>
    <t>Ediane Luciana Rodrigues Oliveira</t>
  </si>
  <si>
    <t>Jéssica Thais Dos Santos Pinto</t>
  </si>
  <si>
    <t>Maria Da Penha Gomes De Oliveira</t>
  </si>
  <si>
    <t>Amanda Luiza Gomes Campos</t>
  </si>
  <si>
    <t>Yslanny Karoliny Sampaio Ferreira</t>
  </si>
  <si>
    <t>Lais Souza Da Silva</t>
  </si>
  <si>
    <t>Édina Gil De Souza Mota</t>
  </si>
  <si>
    <t>Geisa Salomão Fagundes De Sousa</t>
  </si>
  <si>
    <t>Cleicieli Souza De Lima</t>
  </si>
  <si>
    <t>Wesley Pereira</t>
  </si>
  <si>
    <t>Carla Chimenes Tingo Taques</t>
  </si>
  <si>
    <t>Bruna Oliveira Da Silva</t>
  </si>
  <si>
    <t>Marcelo Henrique Chaves</t>
  </si>
  <si>
    <t>Viviane Helaine de Sousa</t>
  </si>
  <si>
    <t>Samara Dos Santos Bueno</t>
  </si>
  <si>
    <t>Rafael Almeida Campos</t>
  </si>
  <si>
    <t>Bruno Santos Moreno</t>
  </si>
  <si>
    <t>Shirley Andrade Oliveira Silva</t>
  </si>
  <si>
    <t>Grazielle De Freitas Duarte</t>
  </si>
  <si>
    <t>Isabella Almeida De Souza</t>
  </si>
  <si>
    <t>Leandro Cantuare Castro</t>
  </si>
  <si>
    <t>Lara Camila Coelho Ferraz</t>
  </si>
  <si>
    <t>Alysson Oliveira Dos Santos</t>
  </si>
  <si>
    <t>Nathalia Nascimento Cardoso</t>
  </si>
  <si>
    <t>Ivanice Da Silva Severiano</t>
  </si>
  <si>
    <t>Reger Teles Da Silva</t>
  </si>
  <si>
    <t>Maira Ticiana De Sousa Chaves</t>
  </si>
  <si>
    <t>Danillo Pereira Dos Santos Silva</t>
  </si>
  <si>
    <t>Thalia Vieira Velasco</t>
  </si>
  <si>
    <t>Vanessa Miranda Rocha Brandão</t>
  </si>
  <si>
    <t>Rafaela Da Costa Andrade</t>
  </si>
  <si>
    <t>Diego Matos De Souza</t>
  </si>
  <si>
    <t>Miriam Steine</t>
  </si>
  <si>
    <t>Taiane De Oliveira Coelho</t>
  </si>
  <si>
    <t>Elicleia Ribeiro Pinto Santos</t>
  </si>
  <si>
    <t>Isaac Vicente Sá Da Silva</t>
  </si>
  <si>
    <t>Márcio Eduardo De Melo Souza</t>
  </si>
  <si>
    <t>Michelle Paula Pimenta</t>
  </si>
  <si>
    <t>Adilson Barros Soares</t>
  </si>
  <si>
    <t>Micaelle Silva Honorato</t>
  </si>
  <si>
    <t>Thais Cayra Suquere De Campos</t>
  </si>
  <si>
    <t>Leany Santos Dos Santos</t>
  </si>
  <si>
    <t>Caroline Miranda De Souza</t>
  </si>
  <si>
    <t>Endy Jonhson Gomes Da Silva</t>
  </si>
  <si>
    <t>Alessandra Cristina De Oliveira</t>
  </si>
  <si>
    <t>Clícia Da Luz Paixão</t>
  </si>
  <si>
    <t>Patricia Soares Barbosa Neves</t>
  </si>
  <si>
    <t>José Edson Tavares De Barros</t>
  </si>
  <si>
    <t>Cesary Christian Silva Ribeiro</t>
  </si>
  <si>
    <t>Ilka Cynara Araújo De Souza</t>
  </si>
  <si>
    <t>Brunna Santos Silva</t>
  </si>
  <si>
    <t>Maria Michelle De Araújo Lima</t>
  </si>
  <si>
    <t>Jader Leal Tavares</t>
  </si>
  <si>
    <t>Iara Paloma Barbosa Santos</t>
  </si>
  <si>
    <t>Jeferson Alves Ramos De Oliveira</t>
  </si>
  <si>
    <t>Vanessa Do Carmo Gomes</t>
  </si>
  <si>
    <t>Rita De Cassia Goiz Mateus Santos</t>
  </si>
  <si>
    <t>Rafael Gomes Ramos</t>
  </si>
  <si>
    <t>Maria Madalena De Sousa</t>
  </si>
  <si>
    <t>Iany Larissa Barbosa Ferreira De Abreu</t>
  </si>
  <si>
    <t>Amanda Rosa Mendes</t>
  </si>
  <si>
    <t>Joziane De Souza Silva</t>
  </si>
  <si>
    <t>Damiana Leobino Ferreira</t>
  </si>
  <si>
    <t>Keteryn Santos Soares Da Cruz</t>
  </si>
  <si>
    <t>Amanda Araujo De Souza</t>
  </si>
  <si>
    <t>Daiane Frazão Pimentel</t>
  </si>
  <si>
    <t>Betina Santos Vidal</t>
  </si>
  <si>
    <t>Letícia Ferreira Oliveira</t>
  </si>
  <si>
    <t>Dayane Dos Santos De Sales</t>
  </si>
  <si>
    <t>Lucas Sousa De Oliveira</t>
  </si>
  <si>
    <t>João Paulo De Lima Pereira</t>
  </si>
  <si>
    <t>Marcelo Batista Dos Santos</t>
  </si>
  <si>
    <t>Francisca Luanna Queiroz Prado</t>
  </si>
  <si>
    <t>Jéssica Melo Martins</t>
  </si>
  <si>
    <t>Tatiane Santos De Matos</t>
  </si>
  <si>
    <t>Vanessa Silva Dos Santos</t>
  </si>
  <si>
    <t>Alexsander Alves Da Luz</t>
  </si>
  <si>
    <t>Eduardo Rodrigues Garcia</t>
  </si>
  <si>
    <t>Enerivalda Oliveira Soares</t>
  </si>
  <si>
    <t>Anna Carolina Lima Abreu E Abreu</t>
  </si>
  <si>
    <t>Ana Flávia Souza Ferreira</t>
  </si>
  <si>
    <t>Vanessa Pergentino Da Silva</t>
  </si>
  <si>
    <t>Luis Henrique Porto Jardim</t>
  </si>
  <si>
    <t>Débora Regina De Lima</t>
  </si>
  <si>
    <t>Flávia Silva De Carvalho</t>
  </si>
  <si>
    <t>Camylla Borges Carmo</t>
  </si>
  <si>
    <t>Sérgio Roberto Martins Ferreira Junior</t>
  </si>
  <si>
    <t>João Vitor Souza Gama</t>
  </si>
  <si>
    <t>Taise Santos Da Silva</t>
  </si>
  <si>
    <t>Amanda Prudente De Oliveira</t>
  </si>
  <si>
    <t>Adma De Fatima De Jesus Sousa</t>
  </si>
  <si>
    <t>Elaine Sacramento Rodrigues Costa</t>
  </si>
  <si>
    <t>Daniela Da Silva Ferraz</t>
  </si>
  <si>
    <t>Andressa Rodrigues Pereira</t>
  </si>
  <si>
    <t>Paloma Oliveira Dos Santos</t>
  </si>
  <si>
    <t>Adalgisa Souto Batista Teles</t>
  </si>
  <si>
    <t>Aiara Conceição Paim</t>
  </si>
  <si>
    <t>Marcelo Augusto Marques Sousa</t>
  </si>
  <si>
    <t>Iara Melo Rodrigues De Freitas</t>
  </si>
  <si>
    <t>Thalita Cristina Amorim Alves</t>
  </si>
  <si>
    <t>Lorena Brandão De Sousa</t>
  </si>
  <si>
    <t>Mateus Guimarães De Araújo</t>
  </si>
  <si>
    <t>Raisa Da Silva Lima</t>
  </si>
  <si>
    <t>Kaique Souza De Oliveira</t>
  </si>
  <si>
    <t>Gil Lustosa Silva Filho</t>
  </si>
  <si>
    <t>Elida Gracinda De Melo Lara</t>
  </si>
  <si>
    <t>Antônio Jerônimo Neto</t>
  </si>
  <si>
    <t>Gabriella Souza De Alcantara</t>
  </si>
  <si>
    <t>Joyce Mendonça Pereira Costa</t>
  </si>
  <si>
    <t>Ivanizia Ruiz Guimarães</t>
  </si>
  <si>
    <t>Joana Da Silva Zagallo</t>
  </si>
  <si>
    <t>Celso Germano Carvalho Lacerda</t>
  </si>
  <si>
    <t>Gabrielly Ribeiro De Oliveira Santos</t>
  </si>
  <si>
    <t>Iara Da Cruz Dos Santos</t>
  </si>
  <si>
    <t>Dara Rodrigues Queiroz</t>
  </si>
  <si>
    <t>Aline Da Silveira Barbosa</t>
  </si>
  <si>
    <t>alínea “h”;</t>
  </si>
  <si>
    <t>Thalita Souza Bispo Dórea</t>
  </si>
  <si>
    <t>Leonardo Dias Dourado</t>
  </si>
  <si>
    <t>Andrea Pereira Dos Santos</t>
  </si>
  <si>
    <t>Danielly Alves Souza</t>
  </si>
  <si>
    <t>Vívian Veylon Vital Lopes</t>
  </si>
  <si>
    <t>Eugenio Do Rosario Miguel</t>
  </si>
  <si>
    <t>Annelize Menezes Rachel Ortigoza</t>
  </si>
  <si>
    <t>Luiz Rodrigues Da Silva</t>
  </si>
  <si>
    <t>Adriana Lucia Tavares Da Silva</t>
  </si>
  <si>
    <t>Ana Alzira Ribeiro Da Costa</t>
  </si>
  <si>
    <t>Gerlani Ferreira De Almeida</t>
  </si>
  <si>
    <t>Geisiane Maciel De Moraes</t>
  </si>
  <si>
    <t>Maisa Alves Lima</t>
  </si>
  <si>
    <t>Kaline Soares Moura</t>
  </si>
  <si>
    <t>Rayna Raphaele Everton Araújo Fernandes</t>
  </si>
  <si>
    <t>Brena Kelly Lopes De Souza</t>
  </si>
  <si>
    <t>Sannia Pereira Germano</t>
  </si>
  <si>
    <t>Elika Gomes De França</t>
  </si>
  <si>
    <t>Sabrina Da Silva Gomes</t>
  </si>
  <si>
    <t>Jairo Santos Correia</t>
  </si>
  <si>
    <t>Larissa Gonçalves De Oliveira</t>
  </si>
  <si>
    <t>Karen Hapuque Barboza Santos</t>
  </si>
  <si>
    <t>Guilherme Farias Barros</t>
  </si>
  <si>
    <t>Rafaella Silva De Oliveira</t>
  </si>
  <si>
    <t>Gilberto Carlos Braz</t>
  </si>
  <si>
    <t>Elton Santiago Dos Santos</t>
  </si>
  <si>
    <t>Francilene Pereira Dos Santos</t>
  </si>
  <si>
    <t>Giovanna Valejo Da Silva Gonçalves</t>
  </si>
  <si>
    <t>Heloisa Dias De Medeiros</t>
  </si>
  <si>
    <t>Gyulia Santos Araújo</t>
  </si>
  <si>
    <t>Anne Michaella Marques Dos Santos Andrade</t>
  </si>
  <si>
    <t>Leonardo De Oliveira Pinheiro</t>
  </si>
  <si>
    <t>Willian Lozada Arteman</t>
  </si>
  <si>
    <t>Jose Jaildo Alves Da Cruz</t>
  </si>
  <si>
    <t>Nirovaldo Gonçalves Dias Filho</t>
  </si>
  <si>
    <t>Anne Lucilly Da Silva Varjão</t>
  </si>
  <si>
    <t>Damaris Brito Barros</t>
  </si>
  <si>
    <t>Letícia Arruda De Oliveira</t>
  </si>
  <si>
    <t>Camila Dos Santos Pereira</t>
  </si>
  <si>
    <t>Mateus Rodrigues Ferro De Abreu</t>
  </si>
  <si>
    <t>Eveline Gomes De Araújo</t>
  </si>
  <si>
    <t>Luana Dos Santos Xavier</t>
  </si>
  <si>
    <t>Maria Rosineide Da Silva</t>
  </si>
  <si>
    <t>Ludemila Soares Rodrigues</t>
  </si>
  <si>
    <t>Nathan Charbonnier Tavares</t>
  </si>
  <si>
    <t>Anielly Cristina Silva De Oliveira</t>
  </si>
  <si>
    <t>Brandon Santiago Couto</t>
  </si>
  <si>
    <t>Cíntia Grazielle Barbosa Fernandes</t>
  </si>
  <si>
    <t>Anna Izabelle Dos Santos Da Silva Rodrigues</t>
  </si>
  <si>
    <t>Antônio Ramon Lima Pinheiro</t>
  </si>
  <si>
    <t>Alessandra Da Costa Santos</t>
  </si>
  <si>
    <t>Tábitha Vieira De Menezes Dutra</t>
  </si>
  <si>
    <t>Kyssya Campos De Farias Rodrigues</t>
  </si>
  <si>
    <t>Ariely Kruschewsky De Almeida</t>
  </si>
  <si>
    <t>Amanda Alves Da Costa</t>
  </si>
  <si>
    <t>Adriele Uzeda Lima</t>
  </si>
  <si>
    <t>Maykon Gabriel Xavier Da Cunha</t>
  </si>
  <si>
    <t>Renilda Santos De Souza</t>
  </si>
  <si>
    <t>João Pedro Tavares Dutra</t>
  </si>
  <si>
    <t>Leocy Alves De Sousa Junior</t>
  </si>
  <si>
    <t>Antonia Daiane Nunes De Sousa</t>
  </si>
  <si>
    <t>Rafaela Teles Siqueira</t>
  </si>
  <si>
    <t>Maria Solangia Gomes Da Silva Oliveira</t>
  </si>
  <si>
    <t>Rodrigo Pinho Dantas</t>
  </si>
  <si>
    <t>Gabriela Lopes Soares</t>
  </si>
  <si>
    <t>Vitória Cristina Correia Garcia</t>
  </si>
  <si>
    <t>Bruna Karla Da Silva Costa</t>
  </si>
  <si>
    <t>Jessika Lucia Da Costa</t>
  </si>
  <si>
    <t>Thais Micaela Torres Carneiro</t>
  </si>
  <si>
    <t>Lucas Santos Souza</t>
  </si>
  <si>
    <t>Joelia Batista Dos Santos</t>
  </si>
  <si>
    <t>Maria Eduarda Resende Rocha</t>
  </si>
  <si>
    <t>Erika Safira Gonçalves Carneiro</t>
  </si>
  <si>
    <t>Ana Paula Germano Sá Da Silva</t>
  </si>
  <si>
    <t>Cristiane Alexandra Correa Dos Santos</t>
  </si>
  <si>
    <t>Danilo Arnaldo Da Rocha Dias</t>
  </si>
  <si>
    <t>Amarildo José Do Nascimento</t>
  </si>
  <si>
    <t>Joice Menezes De Matos</t>
  </si>
  <si>
    <t>Eliel Lemos Brandão</t>
  </si>
  <si>
    <t>Lahrissa Cahttarini Machado Santos</t>
  </si>
  <si>
    <t>Samanta Martins Duarte</t>
  </si>
  <si>
    <t>Higor Leandro Rodrigues Silva</t>
  </si>
  <si>
    <t>Amanda Lemes Souza</t>
  </si>
  <si>
    <t>Martta Ligia Da Silva Santos</t>
  </si>
  <si>
    <t>Ademar Pereira De Oliveira</t>
  </si>
  <si>
    <t>Ingred Cynara Santos De Jesus</t>
  </si>
  <si>
    <t>Fabio Pereira Batista</t>
  </si>
  <si>
    <t>Elianais Andrade Da Silva</t>
  </si>
  <si>
    <t>Bruno Corrêa Da Silva</t>
  </si>
  <si>
    <t>Ana Paula Silva De Souza</t>
  </si>
  <si>
    <t>Eder Rodrigues De Sousa</t>
  </si>
  <si>
    <t>Fernanda Dos Santos Pinheiro</t>
  </si>
  <si>
    <t>Rebeca Dos Santos Mendes</t>
  </si>
  <si>
    <t>Thiago Lima Dos Santos</t>
  </si>
  <si>
    <t>Emille Beatriz Santana De Andrade</t>
  </si>
  <si>
    <t>Juliana Dos Santos Azevedo</t>
  </si>
  <si>
    <t>Ediania Maciel De Oliveira</t>
  </si>
  <si>
    <t>Francisco Thallyson Pereira De Macedo</t>
  </si>
  <si>
    <t>Michel Mendes Pedreira</t>
  </si>
  <si>
    <t>Amanda Christina Silva Da Cruz</t>
  </si>
  <si>
    <t>Juliana Rodrigues Pontual</t>
  </si>
  <si>
    <t>Suellen Cristina Alves Da Silva</t>
  </si>
  <si>
    <t>Camila Ransoline Norberto Almeida</t>
  </si>
  <si>
    <t>Laís Naire Dias Dos Santos</t>
  </si>
  <si>
    <t>Matheus Valeriano Silva</t>
  </si>
  <si>
    <t>José Jorge Moreira</t>
  </si>
  <si>
    <t>Amanda Abreu Rosa</t>
  </si>
  <si>
    <t>Jeferson Willian Dias Rodrigues</t>
  </si>
  <si>
    <t>Elorrana Mayra Mendonça Do Carmo</t>
  </si>
  <si>
    <t>Adriano Alves Dantas</t>
  </si>
  <si>
    <t>Gilberis Rodrigues De Menezes Lima</t>
  </si>
  <si>
    <t>Leila Beatriz e Silva Sales</t>
  </si>
  <si>
    <t>Kilvia Regina Regis Da Silva</t>
  </si>
  <si>
    <t>Reulhy Sanches Da Silva</t>
  </si>
  <si>
    <t>Jose Rodolfo Cavalcanti Bruns</t>
  </si>
  <si>
    <t>Daiane Lahis Rodrigues de Andrade</t>
  </si>
  <si>
    <t>Maristela Silva De Oliveira</t>
  </si>
  <si>
    <t>Amanda Paulino De Souza</t>
  </si>
  <si>
    <t>Ricardo Siqueira Costa</t>
  </si>
  <si>
    <t>Ana Paula De Oliveira</t>
  </si>
  <si>
    <t>Walkiria Rodrigues De Lima</t>
  </si>
  <si>
    <t>Luzia Érica De Souza</t>
  </si>
  <si>
    <t>Bianca Garcia Costa</t>
  </si>
  <si>
    <t>Any Gabriela Araujo Souza</t>
  </si>
  <si>
    <t>Junio Cassio Maciel Costa</t>
  </si>
  <si>
    <t>Amanda Candida Da Silva</t>
  </si>
  <si>
    <t>Larissa Cosme Macêdo De Almeida</t>
  </si>
  <si>
    <t>Thayna Lourena Souza Leite</t>
  </si>
  <si>
    <t>Thallyta Eva Da Silva E Silva</t>
  </si>
  <si>
    <t>Cecilia Rosa Neves</t>
  </si>
  <si>
    <t>Jéssica Kelly Silva De Assis</t>
  </si>
  <si>
    <t>Augusto Santana De Jesus</t>
  </si>
  <si>
    <t>Ana Ruth de Freitas Marques</t>
  </si>
  <si>
    <t>Manuela Vitoria Muller Teles</t>
  </si>
  <si>
    <t>Vanessa Monteiro Costa Nascimento</t>
  </si>
  <si>
    <t>Patricia De Andrade Novaes</t>
  </si>
  <si>
    <t>João Victor Dos Santos Bomfim</t>
  </si>
  <si>
    <t>Talita Dias Brito</t>
  </si>
  <si>
    <t>Gleiciane Beserra Souza</t>
  </si>
  <si>
    <t>Alexandre Victor Da Silva Medeiros</t>
  </si>
  <si>
    <t>Raquel De Carvalho Cardoso</t>
  </si>
  <si>
    <t>Adriana Santana Almeida</t>
  </si>
  <si>
    <t>Eliaque Costa De Arruda</t>
  </si>
  <si>
    <t>Vitória Gomes Do Nascimento</t>
  </si>
  <si>
    <t>Débora Luara Silva De Aquino</t>
  </si>
  <si>
    <t>Alice Gabriela Da Silva Ribeiro</t>
  </si>
  <si>
    <t>Andreza Patricio De Oliveira</t>
  </si>
  <si>
    <t>Ingrid Alves Rocha</t>
  </si>
  <si>
    <t>Daniel Martins Borges</t>
  </si>
  <si>
    <t>Avyla Jamylle Gomes Dos Santos</t>
  </si>
  <si>
    <t>Aline Oliveira Gurjão</t>
  </si>
  <si>
    <t>Révio Mayk De Carvalho</t>
  </si>
  <si>
    <t>Pablo Henrique Silva Souza</t>
  </si>
  <si>
    <t>Jhennifer Mendes Oliveira</t>
  </si>
  <si>
    <t>Barbara Ferreira De Paula Silva</t>
  </si>
  <si>
    <t>Leticia Carrelo De Oliveira</t>
  </si>
  <si>
    <t>Josinei Soares De Lima França</t>
  </si>
  <si>
    <t>Paloma Furtado Ferraz</t>
  </si>
  <si>
    <t>Alexandre Gregorio Silva Junior</t>
  </si>
  <si>
    <t>Daniele De Souza Dias</t>
  </si>
  <si>
    <t>Vanderson Augusto Hang</t>
  </si>
  <si>
    <t>Karen Kristine Nunes Cavalheiro</t>
  </si>
  <si>
    <t>Vitoria Cristina De Oliveira Rego</t>
  </si>
  <si>
    <t>Glenia Silva Martins</t>
  </si>
  <si>
    <t>Lívia Thaynan Guimarães Almeida Muniz</t>
  </si>
  <si>
    <t>Guilherme Pereira Primo</t>
  </si>
  <si>
    <t>Nayra Da Costa Rodrigues</t>
  </si>
  <si>
    <t>Samara Leal</t>
  </si>
  <si>
    <t>Amanda Minateli Corrêa</t>
  </si>
  <si>
    <t>Bruna Araujo Silva</t>
  </si>
  <si>
    <t>Felipe Emmanuel Porto Mendes</t>
  </si>
  <si>
    <t>Stela Maria De Almeida Ferreira</t>
  </si>
  <si>
    <t>Rafaella Fernandes De Melo</t>
  </si>
  <si>
    <t>Emilly De Souza Andrade</t>
  </si>
  <si>
    <t>Nathália Bonfim Santana</t>
  </si>
  <si>
    <t>Elaíny Miguel Da Silva Penha Santos</t>
  </si>
  <si>
    <t>Vitória Tamara Marques De Queiroz</t>
  </si>
  <si>
    <t>Thayna Laura De Oliveira</t>
  </si>
  <si>
    <t>Francisco Nascimento Da Silva Neto</t>
  </si>
  <si>
    <t>Francieli Fernanda Da Silva</t>
  </si>
  <si>
    <t>Juliana Martins De Mattos Leal</t>
  </si>
  <si>
    <t>Mariana Pedrosa Da Silva Lages</t>
  </si>
  <si>
    <t>Luciano Alves Da Paixão Filho</t>
  </si>
  <si>
    <t>Letícia De Morais Frota Alves</t>
  </si>
  <si>
    <t>Felipe Estrela Da Silva Nunes</t>
  </si>
  <si>
    <t>Alane Oliveira Silva</t>
  </si>
  <si>
    <t>Larissa Andana Boeira</t>
  </si>
  <si>
    <t>Isaias Da Silva Oliveira</t>
  </si>
  <si>
    <t>Alana Maria De Almeida Pereira</t>
  </si>
  <si>
    <t>Jackson Lima De Jesus</t>
  </si>
  <si>
    <t>Soylane Batista Raimundo Da Silva</t>
  </si>
  <si>
    <t>Adilson Ferreira Da Silva Junior</t>
  </si>
  <si>
    <t>Jordania Lima De Souza</t>
  </si>
  <si>
    <t>Wilham De Souza Borges</t>
  </si>
  <si>
    <t>Mariana Martins Da Silva</t>
  </si>
  <si>
    <t>Renato Alves De Almeida</t>
  </si>
  <si>
    <t>Francisca Venância Da Sillva</t>
  </si>
  <si>
    <t>Rerrison Lane Da Silva Raimundo</t>
  </si>
  <si>
    <t>Amanda Ribeiro Da Costa</t>
  </si>
  <si>
    <t>Carlos Eduardo Da Silva Moreira</t>
  </si>
  <si>
    <t>Camila Medeiros Costa</t>
  </si>
  <si>
    <t>Silvana Maria Ibiapina Carvalho</t>
  </si>
  <si>
    <t>Ingrid Dos Santos Martins</t>
  </si>
  <si>
    <t>Aline Margarida Oliveira Da Silva</t>
  </si>
  <si>
    <t>Alex Freitas Da Silva</t>
  </si>
  <si>
    <t>Charlene Marise Da Silva</t>
  </si>
  <si>
    <t>Hericlys Henrique Nere Celestino</t>
  </si>
  <si>
    <t>Robson Teixeira Porto</t>
  </si>
  <si>
    <t>Taiz Dos Reis Santos Souza</t>
  </si>
  <si>
    <t>Thamires De Queiroz Cardoso</t>
  </si>
  <si>
    <t>Joyce Ingrid Barros Medeiros</t>
  </si>
  <si>
    <t>Edilaine Da Silva Leite</t>
  </si>
  <si>
    <t>Tamara Santos De Oliveira</t>
  </si>
  <si>
    <t>Anderson De Souza Ribeiro</t>
  </si>
  <si>
    <t>Luana Dos Santos Stamm</t>
  </si>
  <si>
    <t>Tamiris Baltazar Dos Santos Sousa</t>
  </si>
  <si>
    <t>Higor Buttner Rocha Lima</t>
  </si>
  <si>
    <t>Jodson Zatti Vieira</t>
  </si>
  <si>
    <t>Romulo Ronny Vieira De Sousa</t>
  </si>
  <si>
    <t>Matheus Sao Leao Dos Santos</t>
  </si>
  <si>
    <t>Beatriz De Jesus Silva</t>
  </si>
  <si>
    <t>Pedro Henrique Souza Tolentino</t>
  </si>
  <si>
    <t>Juciane Menezes Almeida</t>
  </si>
  <si>
    <t>Graciela Da Rocha Silva</t>
  </si>
  <si>
    <t>Carolaine Das Graças Jorge</t>
  </si>
  <si>
    <t>Maurício Dos Santos Mendonça</t>
  </si>
  <si>
    <t>Flancielle Nascimento De Almeida</t>
  </si>
  <si>
    <t>Jorge Eveli Silva</t>
  </si>
  <si>
    <t>Vinicius Da Silva Abreu Bezerra</t>
  </si>
  <si>
    <t>Raissa Dos Santos Braz</t>
  </si>
  <si>
    <t>Yann Cardoso Oliveira Lima</t>
  </si>
  <si>
    <t>Elaine Alzira De Melo</t>
  </si>
  <si>
    <t>Kelly Silene De Santana</t>
  </si>
  <si>
    <t>Maria Claudia De Fatima Moreira</t>
  </si>
  <si>
    <t>Edmylla Laryssa Da Silva Lacerda</t>
  </si>
  <si>
    <t>Renatalie Conceição Dos Santos</t>
  </si>
  <si>
    <t>Márcio Pereira Araújo</t>
  </si>
  <si>
    <t>Daniel Costa De Araujo</t>
  </si>
  <si>
    <t>Lorena Machado Buss Lopes</t>
  </si>
  <si>
    <t>Viviane Alves E Silva</t>
  </si>
  <si>
    <t>Alana Angélica Gonçalo Alves</t>
  </si>
  <si>
    <t>Kelly Ferreira Dos Santos</t>
  </si>
  <si>
    <t>Daiana Ferraz De Sá</t>
  </si>
  <si>
    <t>Stephani Bissoni Nunes</t>
  </si>
  <si>
    <t>Gabrielly Fonseca Costa</t>
  </si>
  <si>
    <t>Karine Rebeca Da Silva Carvalho</t>
  </si>
  <si>
    <t>Amanda Brigida Santos De Macedo</t>
  </si>
  <si>
    <t>Clayton Teixeira Dos Santos</t>
  </si>
  <si>
    <t>Ana Clara Ferreira Nascimento</t>
  </si>
  <si>
    <t>Cássio César Moreira Cruz Brandao</t>
  </si>
  <si>
    <t>Jefferson Oliveira De França</t>
  </si>
  <si>
    <t>Anairam De Souza Silva</t>
  </si>
  <si>
    <t>Joicemeire Costa Amorim</t>
  </si>
  <si>
    <t>Larissy Rocha Brito</t>
  </si>
  <si>
    <t>Ingrid Taynara Da Silva Costa</t>
  </si>
  <si>
    <t>Ana Flávia Lemos</t>
  </si>
  <si>
    <t>Sthanrley Ferreira Moura</t>
  </si>
  <si>
    <t>Wescley Do Nascimento Santos</t>
  </si>
  <si>
    <t>Rafael Souza Silva</t>
  </si>
  <si>
    <t>Caio Santana Santos</t>
  </si>
  <si>
    <t>Jussara Aparecida Martins Ferreira</t>
  </si>
  <si>
    <t>Gésia Da Natividade Santos</t>
  </si>
  <si>
    <t>Rafael Ferreira Da Silva</t>
  </si>
  <si>
    <t>Darlan Cabral Dos Santos</t>
  </si>
  <si>
    <t>Luana Dos Anjos Conceição</t>
  </si>
  <si>
    <t>Murilo Costa Ramos Dorea</t>
  </si>
  <si>
    <t>Rogério Lopes De Lima</t>
  </si>
  <si>
    <t>Mykaele Cordeiro Cavalcante</t>
  </si>
  <si>
    <t>Thiago De Lucca Ferreira Dos Santos</t>
  </si>
  <si>
    <t>Luana Marlene Da Silva Barros</t>
  </si>
  <si>
    <t>Danielly Gomes Moura Alves De Souza</t>
  </si>
  <si>
    <t>Lanna Suellen Santos Silva</t>
  </si>
  <si>
    <t>Iva Da Conceição Costa</t>
  </si>
  <si>
    <t>Hugo Galieta Dos Santos</t>
  </si>
  <si>
    <t>Marcos Rodrigues Oliveira</t>
  </si>
  <si>
    <t>Ana Júlia Moura De Oliveira</t>
  </si>
  <si>
    <t>Jaiane Da Silva Rodrigues</t>
  </si>
  <si>
    <t>Jhenyffer Skopek Cabral</t>
  </si>
  <si>
    <t>Ramon Do Nascimento Barros</t>
  </si>
  <si>
    <t>Roberta Malaquias Dos Santos</t>
  </si>
  <si>
    <t>Ananda Ribeiro De Carvalho Silva</t>
  </si>
  <si>
    <t>Joice Marinho Silva</t>
  </si>
  <si>
    <t>Regina Maria Soares Mesquita</t>
  </si>
  <si>
    <t>Faielly Rocha De Souza</t>
  </si>
  <si>
    <t>Talita Batista Bispo</t>
  </si>
  <si>
    <t>Matheus Magalhaes de Andrade</t>
  </si>
  <si>
    <t>Andressa De Oliveira Ferreira</t>
  </si>
  <si>
    <t>Thiago Nunes De Castro</t>
  </si>
  <si>
    <t>Antonia Roberia Neres Souza</t>
  </si>
  <si>
    <t>Francília Lima De Souza</t>
  </si>
  <si>
    <t>Viviane Paula Dias Lima</t>
  </si>
  <si>
    <t>Maria Jayne Gomes Da Silva</t>
  </si>
  <si>
    <t>Lara Caruliny Alexandre Da Cruz</t>
  </si>
  <si>
    <t>Claudenice Lopes Dos Santos</t>
  </si>
  <si>
    <t>Raissa Santos Carneiro Silva</t>
  </si>
  <si>
    <t>Luis Armando Dos Santos Carvalho</t>
  </si>
  <si>
    <t>Cleiton De Souza Dias</t>
  </si>
  <si>
    <t>Lidiane Da Silva Alencar</t>
  </si>
  <si>
    <t>Wildson De Souza Sá Sobrinho</t>
  </si>
  <si>
    <t>Diego Henrique De Farias Franzo</t>
  </si>
  <si>
    <t>Fernando De Macedo Soares</t>
  </si>
  <si>
    <t>Rodrigo Santos De Jesus</t>
  </si>
  <si>
    <t>Gisele Cardoso Rodrigues</t>
  </si>
  <si>
    <t>Aline Campos Nelio</t>
  </si>
  <si>
    <t>Ana Caroline Gomes De Araujo Berty</t>
  </si>
  <si>
    <t>Luis Carlos Melo De Alexandre</t>
  </si>
  <si>
    <t>Evelyn Oliveira Da Luz</t>
  </si>
  <si>
    <t>Bruna Letícia De Mendonça Lima</t>
  </si>
  <si>
    <t>Wellington Marciano Bastos</t>
  </si>
  <si>
    <t>Ana Claryssa Da Silva Damasceno</t>
  </si>
  <si>
    <t>Anelise Nunes De Moraes</t>
  </si>
  <si>
    <t>Stella Franco Dos Santos</t>
  </si>
  <si>
    <t>Antoniel Gonçalves Da Silva Santos</t>
  </si>
  <si>
    <t>Josenês Rocha Eremita</t>
  </si>
  <si>
    <t>Andre Souza Silva</t>
  </si>
  <si>
    <t>Antonio Joao Igwe</t>
  </si>
  <si>
    <t>Dandhara Kamyla Cebalho Campos</t>
  </si>
  <si>
    <t>Thaysa Barbosa Melo</t>
  </si>
  <si>
    <t>Isabella Silva De Souza</t>
  </si>
  <si>
    <t>Claudiana Santana Barbosa</t>
  </si>
  <si>
    <t>Patricia Da Silva E Silva</t>
  </si>
  <si>
    <t>Edivania Vieira Lima</t>
  </si>
  <si>
    <t>Gleyber Benigno Dos Santos</t>
  </si>
  <si>
    <t>Bruna Pacheco Barbosa</t>
  </si>
  <si>
    <t>Gabriela Santos</t>
  </si>
  <si>
    <t>Matheus Lima Maia</t>
  </si>
  <si>
    <t>Thaynara Vitoria Gomes De Oliveira</t>
  </si>
  <si>
    <t>Glenda Dos Santos Honório Da Silva</t>
  </si>
  <si>
    <t>Margarida Cardoso Oliveira</t>
  </si>
  <si>
    <t>Laryssa Kessia Cordeiro Lima</t>
  </si>
  <si>
    <t>Thayslane Jesus Dos Santos</t>
  </si>
  <si>
    <t>Gabrielly Nataly Martins Dos Santos</t>
  </si>
  <si>
    <t>Marcela Cristina De Oliveira Campos</t>
  </si>
  <si>
    <t>Letícia Magna Ribeiro De Sousa</t>
  </si>
  <si>
    <t>Tarcio De Jesus Barbosa</t>
  </si>
  <si>
    <t>Thais Cordeiro Do Amaral</t>
  </si>
  <si>
    <t>Jannine Mauricio De Santana</t>
  </si>
  <si>
    <t>Roniel Destefani Alves Miranda</t>
  </si>
  <si>
    <t>Ayane Belarmina Rodrigues</t>
  </si>
  <si>
    <t>Josenildo Pereira Costa</t>
  </si>
  <si>
    <t>Iasmin Freitas Andrade</t>
  </si>
  <si>
    <t>Andreia Dayane Silva Rosa</t>
  </si>
  <si>
    <t>Gabriela Monteiro Silva</t>
  </si>
  <si>
    <t>Amanda Luzia Farias Moreira</t>
  </si>
  <si>
    <t>Anna Julia Coelho De Freitas</t>
  </si>
  <si>
    <t>Maria Luiza Carvalho de Sousa</t>
  </si>
  <si>
    <t>Beatriz Santos Oliveira</t>
  </si>
  <si>
    <t>José Augusto Do Nascimento</t>
  </si>
  <si>
    <t>Josiel Tavares Aquino</t>
  </si>
  <si>
    <t>Gilcimara Camila Da Silva Ferreira</t>
  </si>
  <si>
    <t>Heloysa Cleia Sales Da Silva</t>
  </si>
  <si>
    <t>Claudia Fatima Rodrigues</t>
  </si>
  <si>
    <t>Franciane Medeiros Pires Da Silva</t>
  </si>
  <si>
    <t>Bruna Daiany Cavalcante Caitano</t>
  </si>
  <si>
    <t>José Henrique Da Silva Ribeiro</t>
  </si>
  <si>
    <t>Maria Cleusa Lopes De Jesus</t>
  </si>
  <si>
    <t>Leticia Magno De Carvalho</t>
  </si>
  <si>
    <t>Leandro De Sousa Almeida</t>
  </si>
  <si>
    <t>Poliana Da Silva Sebastião</t>
  </si>
  <si>
    <t>Weslaine Anaya Alves Da Silva</t>
  </si>
  <si>
    <t>Matheus Antonio Carneiro Da Costa</t>
  </si>
  <si>
    <t>Endio José Caetano Freitas</t>
  </si>
  <si>
    <t>Ítalo Sousa Da Silva</t>
  </si>
  <si>
    <t>Cálio Jafet De Souza Ribeiro</t>
  </si>
  <si>
    <t>Luma De Magalhães Campos</t>
  </si>
  <si>
    <t>Thaynara Almeida Dias</t>
  </si>
  <si>
    <t>Welder Miguel Silva</t>
  </si>
  <si>
    <t>Vanessa Souza Da Silva</t>
  </si>
  <si>
    <t>Id Lla Carla Rezende Silva Lopes</t>
  </si>
  <si>
    <t>Amanda Ferreira Da Silva</t>
  </si>
  <si>
    <t>Amanda Alcantara Dos Santos</t>
  </si>
  <si>
    <t>Maria Vitória Ribeiro De Souza Mainardi</t>
  </si>
  <si>
    <t>Shenia Mara Martins Romualdo</t>
  </si>
  <si>
    <t>Vanusa Marques De Oliveira</t>
  </si>
  <si>
    <t>Mayara Christie Campos Alves</t>
  </si>
  <si>
    <t>Ana Carolina Domingos Bernardo</t>
  </si>
  <si>
    <t>Camila Barreto Rego</t>
  </si>
  <si>
    <t>Jhonatan Pereira Dos Santos</t>
  </si>
  <si>
    <t>Amanda Ramos Da Silva</t>
  </si>
  <si>
    <t>Maria Vitória Rodrigues Menezes</t>
  </si>
  <si>
    <t>Daniel Elias Dourado Lopes</t>
  </si>
  <si>
    <t>Rayane De Jesus Carvalho</t>
  </si>
  <si>
    <t>Kessy Jones Rodrigues Marinho</t>
  </si>
  <si>
    <t>Maria Gilda De Medeiros Figueredo</t>
  </si>
  <si>
    <t>Adrielli Ramos Barreto</t>
  </si>
  <si>
    <t>Larissa Isabelle Antunes Sampaio Xavier</t>
  </si>
  <si>
    <t>Anna Maria Santos Soares</t>
  </si>
  <si>
    <t>Amanda Clara Oliveira Ramos</t>
  </si>
  <si>
    <t>Sheila Silva Borges</t>
  </si>
  <si>
    <t>Dômino Salvio Ferreira Costa De Oliveira</t>
  </si>
  <si>
    <t>Emanuela Pereira Dos Santos Monteiro</t>
  </si>
  <si>
    <t>Ana Paula Silva Salomão</t>
  </si>
  <si>
    <t>Kassiane Aparecida De Oliveira Monteiro</t>
  </si>
  <si>
    <t>Sandra Do Amaral</t>
  </si>
  <si>
    <t>Edja Ianka De Morais Meneses</t>
  </si>
  <si>
    <t>Adriana Damacena Pereira</t>
  </si>
  <si>
    <t>Gabrielly Mayane Ramos De Lima</t>
  </si>
  <si>
    <t>Taynara De Castro Pereira</t>
  </si>
  <si>
    <t>Sávio Joaquim Alves Santana</t>
  </si>
  <si>
    <t>Claudio Manoel Buarque Silva Filho</t>
  </si>
  <si>
    <t>Willyanne Santos Da Silva</t>
  </si>
  <si>
    <t>Mário Aparecido Lara</t>
  </si>
  <si>
    <t>Leone Correia Dos Santos</t>
  </si>
  <si>
    <t>Leila Regina Valença Marcelino</t>
  </si>
  <si>
    <t>Marcondes Costa Martins De Melo Filho</t>
  </si>
  <si>
    <t>Bruna Martins Fraga</t>
  </si>
  <si>
    <t>Tainar Florina Lima Santos</t>
  </si>
  <si>
    <t>João Paulo Paim Reis</t>
  </si>
  <si>
    <t>Francisco Guedes De Carvalho Neto</t>
  </si>
  <si>
    <t>Carolina Almeida Tavares</t>
  </si>
  <si>
    <t>Ohanna Raimunda Barros De Sousa</t>
  </si>
  <si>
    <t>Mari Izabel Jaques</t>
  </si>
  <si>
    <t>Adriane Sena De Oliveira Marques</t>
  </si>
  <si>
    <t>Erick Antonio De Lara De Souza</t>
  </si>
  <si>
    <t>Lorena Soares Santos</t>
  </si>
  <si>
    <t>Joyce Araujo Alves</t>
  </si>
  <si>
    <t>Maria Das Graças Dos Santos Almeida</t>
  </si>
  <si>
    <t>Jennifer Eduarda Alves De Aragão Santos</t>
  </si>
  <si>
    <t>Jessika Vargas Machado</t>
  </si>
  <si>
    <t>Maria Zenith Oliveira Barroso Costa Neta</t>
  </si>
  <si>
    <t>Sonildes Trindade De Jesus Carneiro</t>
  </si>
  <si>
    <t>Grazielly Assencio Pereira</t>
  </si>
  <si>
    <t>Jaelson Moreira Da Silva</t>
  </si>
  <si>
    <t>Fabiano Fernando Dos Santos</t>
  </si>
  <si>
    <t>Andreilson Da Silva De Araújo</t>
  </si>
  <si>
    <t>Jeferson Luiz Eloi</t>
  </si>
  <si>
    <t>Marcos Marques Silva</t>
  </si>
  <si>
    <t>Tatiana Araújo De Aquino</t>
  </si>
  <si>
    <t>Jeovana Andrade Santos</t>
  </si>
  <si>
    <t>Maria Aparecida Mota Venâncio</t>
  </si>
  <si>
    <t>Carla Daniele Silva Da Cunha</t>
  </si>
  <si>
    <t>Larissa Regina Da Cruz Silva</t>
  </si>
  <si>
    <t>Walquiria Barbosa Dos Santos</t>
  </si>
  <si>
    <t>David Wellington Ramos Da Silva</t>
  </si>
  <si>
    <t>Jeana Martins Souza</t>
  </si>
  <si>
    <t>Hugo Pereira Oliveira</t>
  </si>
  <si>
    <t>Alice Rodrigues De Souza</t>
  </si>
  <si>
    <t>Adriane Barbosa Santos</t>
  </si>
  <si>
    <t>Antonia Leyce Gonçalves Da Fonseca</t>
  </si>
  <si>
    <t>Leandro Carvalho Leite</t>
  </si>
  <si>
    <t>Matusalém Duarte Do Nascimento</t>
  </si>
  <si>
    <t>Layanny Rodrigues Dos Santos</t>
  </si>
  <si>
    <t>Suzana Kaline De Araújo Moreno</t>
  </si>
  <si>
    <t>Vitória Carolina De Morais Santana</t>
  </si>
  <si>
    <t>Antonia Monikelly Cavalcante Araujo</t>
  </si>
  <si>
    <t>Bruce Lima Da Silva</t>
  </si>
  <si>
    <t>Levy Silva Abade</t>
  </si>
  <si>
    <t>Antonio Victor Soares Da Paixao</t>
  </si>
  <si>
    <t>Marisa Da Graça Silva Da Costa</t>
  </si>
  <si>
    <t>Paula Silva De Oliveira</t>
  </si>
  <si>
    <t>José Mendonça Dos Santos</t>
  </si>
  <si>
    <t>Joziane Cristina Da Silva</t>
  </si>
  <si>
    <t>Anna Carolina Santos Sousa</t>
  </si>
  <si>
    <t>Samara Rodrigues Ferreira De Sousa</t>
  </si>
  <si>
    <t>Heloisa Ferreira Nascimento</t>
  </si>
  <si>
    <t>Emanuele Carvalho Alves</t>
  </si>
  <si>
    <t>Heideivirlandia Leite Galvao</t>
  </si>
  <si>
    <t>Maria Isabella Lima De Araujo Demery</t>
  </si>
  <si>
    <t>Paulo Ventura Da Silva Junior</t>
  </si>
  <si>
    <t>José Cosme De Moura</t>
  </si>
  <si>
    <t>Thais Feitosa Euzebio</t>
  </si>
  <si>
    <t>Pâmela Cândida Ferreira De Oliveira</t>
  </si>
  <si>
    <t>Daniel Sousa De Oliveira</t>
  </si>
  <si>
    <t>Karine Sanches Santos</t>
  </si>
  <si>
    <t>Jeanne De Souza Da Silva</t>
  </si>
  <si>
    <t>Noemy Rosa Franco</t>
  </si>
  <si>
    <t>Tayrine Neves Aguiar</t>
  </si>
  <si>
    <t>Elizangela Silva Dos Santos</t>
  </si>
  <si>
    <t>Mateus Manuel Da Costa</t>
  </si>
  <si>
    <t>Juliano André Dos Passos</t>
  </si>
  <si>
    <t>Janaina Da Silva Pires De Campos</t>
  </si>
  <si>
    <t>Francisca Marimar Alves Dos Santos Sousa</t>
  </si>
  <si>
    <t>Raphaella Rodrigues Pimenta</t>
  </si>
  <si>
    <t>Herivelto Diniz Pinto</t>
  </si>
  <si>
    <t>Matheus Lessa Dos Santos</t>
  </si>
  <si>
    <t>Jéssica Dos Santos Araújo</t>
  </si>
  <si>
    <t xml:space="preserve">alínea “b”; alínea “c”;  </t>
  </si>
  <si>
    <t>Rian Lear De Bessa</t>
  </si>
  <si>
    <t>Naiara Cerqueira De Jesus</t>
  </si>
  <si>
    <t>Juliana Rafaela Barbosa Alves</t>
  </si>
  <si>
    <t>Larissy Pereira Souza</t>
  </si>
  <si>
    <t>Michele Maria Portillo</t>
  </si>
  <si>
    <t>Thailane Conceição De Sousa</t>
  </si>
  <si>
    <t>Rosângela De Menezes Santos</t>
  </si>
  <si>
    <t>Camila Nascimento Peixoto</t>
  </si>
  <si>
    <t>Gabriel Costa Timoteo</t>
  </si>
  <si>
    <t>Erica Fernanda De Castro Gomes</t>
  </si>
  <si>
    <t>Eduarda Lima Da Silva</t>
  </si>
  <si>
    <t>Átila Paulo De Oliveira</t>
  </si>
  <si>
    <t>Cicera Hisraeliny Felix Da Silva</t>
  </si>
  <si>
    <t>Rafaela Rosa Flores De Souza</t>
  </si>
  <si>
    <t>Lucelia Martins Da Silva</t>
  </si>
  <si>
    <t>Marília Alice Sousa De Santana</t>
  </si>
  <si>
    <t>Erica Cassia Coutinho</t>
  </si>
  <si>
    <t>Rayane Olga De Araujo Alves</t>
  </si>
  <si>
    <t>Diógenes Aquiles Oliveira Costa</t>
  </si>
  <si>
    <t>Fernanda Dos Santos Mendes</t>
  </si>
  <si>
    <t>Ana Carolina Barbosa Da Cruz</t>
  </si>
  <si>
    <t>Larissa Boa Sorte Lima</t>
  </si>
  <si>
    <t>Júlia Isabela Monteiro Góes Rosa</t>
  </si>
  <si>
    <t>Lenison Oliveira Dos Santos</t>
  </si>
  <si>
    <t>Letícia Oliveira Da Silva</t>
  </si>
  <si>
    <t>Pedro Ramon Da Silva Gomes</t>
  </si>
  <si>
    <t>Tiago Moreira Dos Santos</t>
  </si>
  <si>
    <t>Ana Clara Matos De Souza</t>
  </si>
  <si>
    <t>Jaci Dos Santos Silva</t>
  </si>
  <si>
    <t>Gracilene Pinto Dos Santos</t>
  </si>
  <si>
    <t>Lucas Costa Martins</t>
  </si>
  <si>
    <t>Thalison Brito Da Silva</t>
  </si>
  <si>
    <t>Lara Cecília Da Costa Fonseca</t>
  </si>
  <si>
    <t>Matheus Filype Silva Martins</t>
  </si>
  <si>
    <t>Marlisson Filemon Alencar De Sa</t>
  </si>
  <si>
    <t>Carliete Lobato Rocha</t>
  </si>
  <si>
    <t>Natália Ribeiro Dos Santos</t>
  </si>
  <si>
    <t>Myrella Monteiro De Souza Celestino</t>
  </si>
  <si>
    <t>Isis Gomes Fernandes Batista</t>
  </si>
  <si>
    <t>Neymara Marques De Oliveira</t>
  </si>
  <si>
    <t>Hellen Lima Pereira</t>
  </si>
  <si>
    <t>Carolaine Dos Santos Vieira</t>
  </si>
  <si>
    <t>Bárbara Savanna Emidio Dos Santos</t>
  </si>
  <si>
    <t>Camila Andrielli Cavalcante</t>
  </si>
  <si>
    <t>Leonardo Santos Rocha</t>
  </si>
  <si>
    <t>Romário Ramos Nunes</t>
  </si>
  <si>
    <t>Jaqueline Cristina Sabino</t>
  </si>
  <si>
    <t>Andréia Valéria Silva Dos Santos</t>
  </si>
  <si>
    <t>Karolainy Fernandes Rodrigues</t>
  </si>
  <si>
    <t>Laurizete Gonçalves Da Silva</t>
  </si>
  <si>
    <t>Joseildo Do Nascimento Leite</t>
  </si>
  <si>
    <t>Alex Valdevino Rocha Bernardo</t>
  </si>
  <si>
    <t>Laís Miranda De Araújo</t>
  </si>
  <si>
    <t>Ana Luiza Alves Câmara</t>
  </si>
  <si>
    <t>Endril Henrique Matias De Castro</t>
  </si>
  <si>
    <t>Islaine Das Mercês Dos Santos</t>
  </si>
  <si>
    <t>Breno Dos Santos</t>
  </si>
  <si>
    <t>Isadora Silva Santos</t>
  </si>
  <si>
    <t>Lilian Carvalho Dos Santos</t>
  </si>
  <si>
    <t>Juliana Severina Da Silva</t>
  </si>
  <si>
    <t>Pedro Henrique Silva Dos Santos</t>
  </si>
  <si>
    <t>Anna Carolina Batista Da Silva</t>
  </si>
  <si>
    <t>Natalya Silva Oliveira</t>
  </si>
  <si>
    <t>Dalton Pinto Lima Filho</t>
  </si>
  <si>
    <t>Flávia Paula De Souza</t>
  </si>
  <si>
    <t>Camila Do Socorro Costa Freitas Silveira</t>
  </si>
  <si>
    <t>Gabrielly Barbosa De Albuquerque</t>
  </si>
  <si>
    <t>Dara Lorrayne Gonçalves De Melo</t>
  </si>
  <si>
    <t>Alice Barbosa Pimenta</t>
  </si>
  <si>
    <t>Taysa Luialla Dos Santos</t>
  </si>
  <si>
    <t>Rebeca Maria Da Penha Rodrigues</t>
  </si>
  <si>
    <t>Philip César Cardoso Dos Santos Alves Olegário Prado</t>
  </si>
  <si>
    <t>Rihan Mendonça Santos Brugni</t>
  </si>
  <si>
    <t>Livia De Andrade Santos</t>
  </si>
  <si>
    <t>Angela Maria Ferreira</t>
  </si>
  <si>
    <t>Josevania Santos Dos Reis</t>
  </si>
  <si>
    <t>Alana Rodrigues Sobral</t>
  </si>
  <si>
    <t>Paloma Amorim Da Trindade</t>
  </si>
  <si>
    <t>Amanda Irys Oliveira Lima</t>
  </si>
  <si>
    <t>Andreia Cristina Gomes</t>
  </si>
  <si>
    <t>Irislaine Vieira De Abreu</t>
  </si>
  <si>
    <t>Pablo Ramon De Araujo Vieira</t>
  </si>
  <si>
    <t>Barbara Cristina De Oliveira Ferreira Dos Santos</t>
  </si>
  <si>
    <t>Kalyne Rayane Da Silva</t>
  </si>
  <si>
    <t>Adriana Dantas Santos</t>
  </si>
  <si>
    <t>Luana De Freitas Araujo</t>
  </si>
  <si>
    <t>Tayuã Arruda Jucá Da Silva</t>
  </si>
  <si>
    <t>Tarciana Andrade De Oliveira</t>
  </si>
  <si>
    <t>Ranielle Dos Santos Alexandre Silva</t>
  </si>
  <si>
    <t>Vitória Maria Menezes Corrêa</t>
  </si>
  <si>
    <t>Rosiane De Oliveira Silva</t>
  </si>
  <si>
    <t>Beatriz Arão Da Silva</t>
  </si>
  <si>
    <t>Paulo Iago Brito De Lima</t>
  </si>
  <si>
    <t>Luana Rocha Dos Santos</t>
  </si>
  <si>
    <t>Brena Maria Fideles De Alencar</t>
  </si>
  <si>
    <t>Daniela Geovana Barbosa Da Silva</t>
  </si>
  <si>
    <t>Roberta Mendes Teixeira De Souza</t>
  </si>
  <si>
    <t>Paula Vagna De Sousa Rômolos</t>
  </si>
  <si>
    <t>Tatiana Moreira Da Silva Rocha</t>
  </si>
  <si>
    <t>Nivina Chérlida Valente De Oliveira</t>
  </si>
  <si>
    <t>Joelson De Sousa Carvalho</t>
  </si>
  <si>
    <t>Mateus Balbino De Sousa Veras</t>
  </si>
  <si>
    <t>Rafaella De Assis Souza</t>
  </si>
  <si>
    <t>Alessandra Borges Lemos</t>
  </si>
  <si>
    <t>Leonardo Higo De Souza Pinheiro</t>
  </si>
  <si>
    <t>Joyce Narlla Costa Figueiredo</t>
  </si>
  <si>
    <t>Erotildes Alves Lima De Albuquerque</t>
  </si>
  <si>
    <t>Ana Paula Araújo Sousa</t>
  </si>
  <si>
    <t>Vitor Agostinho Silva</t>
  </si>
  <si>
    <t>Skarlete Brena Novais Gomes</t>
  </si>
  <si>
    <t>Giseli Lima Ferreira De Jesus</t>
  </si>
  <si>
    <t>Bruna Rocha Bispo</t>
  </si>
  <si>
    <t>Matheus Bispo Alves Dos Santos</t>
  </si>
  <si>
    <t>Sintya Dos Santos Santos</t>
  </si>
  <si>
    <t>João Flavio Mello Ribeiro Da Silva</t>
  </si>
  <si>
    <t>Daiany Samara De Araújo Farias</t>
  </si>
  <si>
    <t>Gianine Sousa Santos</t>
  </si>
  <si>
    <t>Débora Barbosa Barroso</t>
  </si>
  <si>
    <t>Kamilla Alexandre Monteiro Da Silva</t>
  </si>
  <si>
    <t>Amanda Caroline De Lima</t>
  </si>
  <si>
    <t>Ana Karla Santos Rocha</t>
  </si>
  <si>
    <t>Dionísia Do Nascimento Ramos</t>
  </si>
  <si>
    <t>Mateus Fernandes Chaves</t>
  </si>
  <si>
    <t>Tamires Dos Anjos Santos</t>
  </si>
  <si>
    <t>Adriele Silva Sampaio</t>
  </si>
  <si>
    <t>Hellen Simara Da Silva Guirra</t>
  </si>
  <si>
    <t>Lorrane Lopes Da Silva</t>
  </si>
  <si>
    <t>Maria Jarlene Brito De Lima</t>
  </si>
  <si>
    <t>Kaluan Costa Santo</t>
  </si>
  <si>
    <t>Ariel Anicácio De Oliveira</t>
  </si>
  <si>
    <t>Gustavo Cardoso Oliveira Costa</t>
  </si>
  <si>
    <t>Sidney De Souza Silva</t>
  </si>
  <si>
    <t>Francisca Amanda Bezerra Da Silva</t>
  </si>
  <si>
    <t>Gleison Lopes Da Silva</t>
  </si>
  <si>
    <t>Josiene Dos Santos Marinho</t>
  </si>
  <si>
    <t>Cláudia Alessandra Barreto Gonzaga De Andrade</t>
  </si>
  <si>
    <t>Micaele Santos Meneses</t>
  </si>
  <si>
    <t>Rosimary Helena Da Silva Oliveira</t>
  </si>
  <si>
    <t>Andréia Pereira Moura</t>
  </si>
  <si>
    <t>Alexcya Santos Martins</t>
  </si>
  <si>
    <t>Islana Pereira Dos Santos</t>
  </si>
  <si>
    <t>Zenyelle Ramos De Souza</t>
  </si>
  <si>
    <t>Fabiola Pereira Diniz</t>
  </si>
  <si>
    <t>Alessandra Elsa Toegel</t>
  </si>
  <si>
    <t>Mayza Grazielle Dos Santos Luz</t>
  </si>
  <si>
    <t>Francisca Keury Teles Nunes</t>
  </si>
  <si>
    <t>Gisella Soares De França Lins</t>
  </si>
  <si>
    <t>Bruna Dara Alves Da Silva</t>
  </si>
  <si>
    <t>Lidiany Aciole Rodrigues Leite</t>
  </si>
  <si>
    <t>Maisla Lorany Silva De Jesus</t>
  </si>
  <si>
    <t>Isabella Gonçalves Rodrigues Dos Santos</t>
  </si>
  <si>
    <t>Mailson Ernandes Da Silva Martins</t>
  </si>
  <si>
    <t>Jessyka Thays Da Silva Santos</t>
  </si>
  <si>
    <t>Miqueias Da Silva Ferreira Cavalcante</t>
  </si>
  <si>
    <t>Tamires Mayara De Carvalho Silva</t>
  </si>
  <si>
    <t>Caroline Esteffen Marques Lima</t>
  </si>
  <si>
    <t>Riadne De Oliveira Cruz</t>
  </si>
  <si>
    <t>Rafaela Cristina Da Silva Rodrigues</t>
  </si>
  <si>
    <t>Laryssa Caroline Silva De Sousa</t>
  </si>
  <si>
    <t>Priscilla Kéren Mendes Da Mata</t>
  </si>
  <si>
    <t>José Ricardo Rodrigues De Lima Junior</t>
  </si>
  <si>
    <t>Thamara Rodrigues Ferreira De Sousa</t>
  </si>
  <si>
    <t>Irailde Da Silva Gomes</t>
  </si>
  <si>
    <t>Elenice Freitas De Assis</t>
  </si>
  <si>
    <t>Maria Luiza Da Silva Sousa</t>
  </si>
  <si>
    <t>Karla Rafaela Dias Da Silva</t>
  </si>
  <si>
    <t>Lorena Castro Silva</t>
  </si>
  <si>
    <t>Núbia Maria de Fátima dos Santos</t>
  </si>
  <si>
    <t>Denis Jose Vicente Duarte</t>
  </si>
  <si>
    <t>Francisca Regilania Tomaz</t>
  </si>
  <si>
    <t>Ana Caroline Correia Teixeira</t>
  </si>
  <si>
    <t>Andressa Viana Pires</t>
  </si>
  <si>
    <t>Lana Caroline Pereira Lima</t>
  </si>
  <si>
    <t>Leandro Ferreira Do Nascimento</t>
  </si>
  <si>
    <t>Roberto Carlos De Oliveira</t>
  </si>
  <si>
    <t>Tailane Pereira Dos Santos</t>
  </si>
  <si>
    <t>Reinan Da Costa Paixao</t>
  </si>
  <si>
    <t>Priscila Da Silva Rodrigues</t>
  </si>
  <si>
    <t>Antonia Beatriz Carneiro Silva</t>
  </si>
  <si>
    <t>Larissa Brito De Jesus</t>
  </si>
  <si>
    <t>Andressa Olivia Gonzaga Lopes</t>
  </si>
  <si>
    <t>Ana Paula Bruzinga</t>
  </si>
  <si>
    <t>Steffany Lemes Da Silva</t>
  </si>
  <si>
    <t>Bruna Batista Caires</t>
  </si>
  <si>
    <t>Conceição Silva Correia Barbosa</t>
  </si>
  <si>
    <t>Jeniffer Thalia Gonçalves Silva</t>
  </si>
  <si>
    <t>Dayane Dantas Santos</t>
  </si>
  <si>
    <t>Glauciene Gonçalves Jacinto</t>
  </si>
  <si>
    <t>Wilton De Medeiros Lima</t>
  </si>
  <si>
    <t>Nathã Elias Silva Tolentino</t>
  </si>
  <si>
    <t>Rejiane De Paula Oliveira</t>
  </si>
  <si>
    <t>Rodrigo Silva Fernandes De Araujo</t>
  </si>
  <si>
    <t>Vitória Da Silva Pimentel</t>
  </si>
  <si>
    <t>Antonio Sérgio Bastiano Filho</t>
  </si>
  <si>
    <t>Daiane De Camargo Zimermann</t>
  </si>
  <si>
    <t>Ana Cristina Dos Santos Silva</t>
  </si>
  <si>
    <t>Joselaine Da Silva Bonfim</t>
  </si>
  <si>
    <t>Leandro Coelho</t>
  </si>
  <si>
    <t>Tatiane Inacio De Araujo</t>
  </si>
  <si>
    <t>Deise Caroline Cardoso Teixeira</t>
  </si>
  <si>
    <t>Taylane Mendes Silva</t>
  </si>
  <si>
    <t>Azeli Antunes Martins</t>
  </si>
  <si>
    <t>Wagner Roberto De Oliveira</t>
  </si>
  <si>
    <t>Ronaldo Almeida Da Anunciação</t>
  </si>
  <si>
    <t>Aline Aparecida Flora De Souza</t>
  </si>
  <si>
    <t>Vyctória Nascimento Carneiro</t>
  </si>
  <si>
    <t>Tainá Lopes Da Silva</t>
  </si>
  <si>
    <t>Breno Gomes Da Silva</t>
  </si>
  <si>
    <t>Elaine Cristina Peixoto Trajano</t>
  </si>
  <si>
    <t>Gabriel Coutrim Nunes</t>
  </si>
  <si>
    <t>João Vitor Militão Dos Santos</t>
  </si>
  <si>
    <t>Caique Pontes Carvalho</t>
  </si>
  <si>
    <t>Silmara Neres Pereira</t>
  </si>
  <si>
    <t>Maria Lucywagna De Souza Figueira</t>
  </si>
  <si>
    <t>Liviane Da Costa Sousa</t>
  </si>
  <si>
    <t>Reinaldo Falcão</t>
  </si>
  <si>
    <t>Mayra Gabriele Paixão De Jesus</t>
  </si>
  <si>
    <t>David Da Costa Santos</t>
  </si>
  <si>
    <t>Leandro Pinto</t>
  </si>
  <si>
    <t>Dion Lenon da Silva</t>
  </si>
  <si>
    <t>Igor Dos Santos Lima</t>
  </si>
  <si>
    <t>Gabriela De Oliveira Machado</t>
  </si>
  <si>
    <t>Beatriz Lima Silva</t>
  </si>
  <si>
    <t>Quétula Elias De França Silva</t>
  </si>
  <si>
    <t>Erica De Sousa Martins</t>
  </si>
  <si>
    <t>Lais Chaves Oliveira</t>
  </si>
  <si>
    <t>Pedro Henrique Batista França</t>
  </si>
  <si>
    <t>Raissa Gonçalves Mazuchini Belai</t>
  </si>
  <si>
    <t>Cristiane Silva Soares</t>
  </si>
  <si>
    <t>Isadora Carlos Viana</t>
  </si>
  <si>
    <t>Francielli Ferreira Coelho Kisvardai</t>
  </si>
  <si>
    <t>Adriana Xavier Castro</t>
  </si>
  <si>
    <t>João Pedro Feitosa De Carvalho</t>
  </si>
  <si>
    <t>Douglas Carlos Gonçalves</t>
  </si>
  <si>
    <t>Francisca Amanda Barbosa Do Nascimento</t>
  </si>
  <si>
    <t>Wesley Henrique De Matos Barbosa</t>
  </si>
  <si>
    <t>Ingrid Dias Almeida</t>
  </si>
  <si>
    <t>Jeyssiane Sampaio De Oliveira</t>
  </si>
  <si>
    <t>Maria Elizabete Alves Romeiro</t>
  </si>
  <si>
    <t>Maria Eveline Almeida De Souza</t>
  </si>
  <si>
    <t>Keivi Keslei Da Silva</t>
  </si>
  <si>
    <t>Fabiana Gusmao Da Silva</t>
  </si>
  <si>
    <t>Maria Luiza Souza De Lisboa</t>
  </si>
  <si>
    <t>José Mendes De Souza Filho</t>
  </si>
  <si>
    <t>João Victor Da Rocha Costa</t>
  </si>
  <si>
    <t>Renatiana Rezende De Souza</t>
  </si>
  <si>
    <t>Paula Oliveira Santos</t>
  </si>
  <si>
    <t>Mirlene Karlene De Almeida</t>
  </si>
  <si>
    <t>Kalynne Gois Leal</t>
  </si>
  <si>
    <t>Marnei Marques De Lima</t>
  </si>
  <si>
    <t>Dabby Karlla Silva Costa</t>
  </si>
  <si>
    <t>Silvana Da Conceição De Santana</t>
  </si>
  <si>
    <t>Joire Ricardo Moreira Lopes</t>
  </si>
  <si>
    <t>Danyel Santana Porfirio</t>
  </si>
  <si>
    <t>Marcely Dos Santos Silva</t>
  </si>
  <si>
    <t>Natiele Santos De Jesus</t>
  </si>
  <si>
    <t>Sabrina Mara Santos</t>
  </si>
  <si>
    <t>Alan Maciel De Lira</t>
  </si>
  <si>
    <t>Jahna Kerole Lima Sampaio</t>
  </si>
  <si>
    <t>Janilza Teodoro Da Silva</t>
  </si>
  <si>
    <t>Ana Paula Carvalho Góes</t>
  </si>
  <si>
    <t>Maria Victoria Santos Dos Reis</t>
  </si>
  <si>
    <t>Arthur De Souza Scarcela</t>
  </si>
  <si>
    <t>José Igor Da Silva Santos</t>
  </si>
  <si>
    <t>Angela Maria Da Silva</t>
  </si>
  <si>
    <t>Ronaria Pereira Lima Da Silva</t>
  </si>
  <si>
    <t>Karielis Xavier Dos Santos</t>
  </si>
  <si>
    <t>Mauro Junior Oliveira</t>
  </si>
  <si>
    <t>Edileudo Ferreira Soares</t>
  </si>
  <si>
    <t>Debora Cristina Coelho</t>
  </si>
  <si>
    <t>Bruno Ferreira Da Silva</t>
  </si>
  <si>
    <t>Andreina Santos Reis</t>
  </si>
  <si>
    <t>Jessiane Moura Dos Santos</t>
  </si>
  <si>
    <t>Jussara Lopes Bicalho</t>
  </si>
  <si>
    <t>Virna Giovana Delfino Medeiros</t>
  </si>
  <si>
    <t>Rafael Marques Abrantes</t>
  </si>
  <si>
    <t>Aryan Bruna Rodrigues Saraiva</t>
  </si>
  <si>
    <t>Kennedy De Jesus Santos</t>
  </si>
  <si>
    <t>Irenice Da Costa</t>
  </si>
  <si>
    <t>Marcos Aurélio Gonçalves Ferreira</t>
  </si>
  <si>
    <t>Iracema Nunes Matias Dos Santos</t>
  </si>
  <si>
    <t>Suellem Vanessa Da Rosa Izolan</t>
  </si>
  <si>
    <t>Joseph Kevin De Medeiros</t>
  </si>
  <si>
    <t>Deisy Ester Moreli Fernandes</t>
  </si>
  <si>
    <t>Breno Manoel Varjão</t>
  </si>
  <si>
    <t>Thaisa Máyla Dos Santos Souza</t>
  </si>
  <si>
    <t>Marcos Vinicius Marques Gontijo</t>
  </si>
  <si>
    <t>Amanda De Paula Machado Silva</t>
  </si>
  <si>
    <t>Sonia Maria Ferreira</t>
  </si>
  <si>
    <t>Alinne Sousa Aguiar</t>
  </si>
  <si>
    <t>Raimundo Mendes De Lima Neto</t>
  </si>
  <si>
    <t>Hislane Gama Dos Santos</t>
  </si>
  <si>
    <t>Anderson Lima Alves</t>
  </si>
  <si>
    <t>João Carlos Costa Cavalcante</t>
  </si>
  <si>
    <t>Marcos Dos Santos Silva</t>
  </si>
  <si>
    <t>Wille Alves Monteiro Conceição</t>
  </si>
  <si>
    <t>Nathaly Siqueira Da Silva</t>
  </si>
  <si>
    <t>Lidiane Gomes Costa</t>
  </si>
  <si>
    <t>Natália De Sousa Silva</t>
  </si>
  <si>
    <t xml:space="preserve">alínea "c"; </t>
  </si>
  <si>
    <t>Cleidilene Irene De Oliveira</t>
  </si>
  <si>
    <t>Maria Clara Vieira De Sá</t>
  </si>
  <si>
    <t>Layane Ferreira Dos Santos</t>
  </si>
  <si>
    <t>alínea "h"</t>
  </si>
  <si>
    <t>Thirza Raquel Dantas Rodrigues</t>
  </si>
  <si>
    <t>Warley Ribeiro Pinto</t>
  </si>
  <si>
    <t>Marianna Aisha Costa De Menezes</t>
  </si>
  <si>
    <t>Patricia Beatriz Ferreira Moura</t>
  </si>
  <si>
    <t>Roberto Matheus Barros Severiano Da Silva</t>
  </si>
  <si>
    <t>Maria Clara Henrique Da Silva</t>
  </si>
  <si>
    <t>Michelle Dayane Ribeiro</t>
  </si>
  <si>
    <t>Aryelle Irys Souza Bispo</t>
  </si>
  <si>
    <t>Ana Victória Seabra Miranda</t>
  </si>
  <si>
    <t>Andrielle Karla Da Silva</t>
  </si>
  <si>
    <t>Clara Beatriz Carmo De Queiroz</t>
  </si>
  <si>
    <t>Yara Barros Silva</t>
  </si>
  <si>
    <t>Jonathan Rafael Dantas De Sousa</t>
  </si>
  <si>
    <t>Geovana Santiago Rocha</t>
  </si>
  <si>
    <t>Clairton Gleison Pereira Da Silva</t>
  </si>
  <si>
    <t>Amanda Santos Pereira</t>
  </si>
  <si>
    <t>Thainny Amorim Cruz</t>
  </si>
  <si>
    <t>Luiz Felipe Gomes Carneiro</t>
  </si>
  <si>
    <t>Gabriele De Oliveira Da Silva</t>
  </si>
  <si>
    <t>Luciana Oliveira De Holanda</t>
  </si>
  <si>
    <t>Tainara Pinheiro Dos Santos</t>
  </si>
  <si>
    <t>Lucas Gama De Souza</t>
  </si>
  <si>
    <t>Edson Ribeiro Dos Santos</t>
  </si>
  <si>
    <t>Vitória Dayanne Barros Saraiva</t>
  </si>
  <si>
    <t>Jucicarla Da Silva De Queiroz</t>
  </si>
  <si>
    <t>Willayanne Medeiros Ferreira</t>
  </si>
  <si>
    <t>Vitória Caroline Ferreira De Lima Morais</t>
  </si>
  <si>
    <t>Diego Alves Do Carmo</t>
  </si>
  <si>
    <t>Francisco Marcos Alves Evangelista</t>
  </si>
  <si>
    <t>Camila Valéria Dias Da Silva</t>
  </si>
  <si>
    <t>Stefânia Patrícia Neves De Figueiredo</t>
  </si>
  <si>
    <t>Flavia Monalysa De Sousa Ferreira</t>
  </si>
  <si>
    <t>Andriéli Dos Anjos Silva</t>
  </si>
  <si>
    <t>Lauro Raimundo De Luna Filho</t>
  </si>
  <si>
    <t>Kalliquia Lima Dos Santos</t>
  </si>
  <si>
    <t>Charles Ribeiro Marques</t>
  </si>
  <si>
    <t>Reinanda Oliveira Teixeira Santos</t>
  </si>
  <si>
    <t>Ezequias Riquel Santos Da Silva</t>
  </si>
  <si>
    <t>Nayara Gomes Portilha</t>
  </si>
  <si>
    <t>Esmeralda Vitória Ibiapino Gonçalves</t>
  </si>
  <si>
    <t>Edilaine Da Silva Pereira</t>
  </si>
  <si>
    <t>Mayara Dos Santos Rodrigues</t>
  </si>
  <si>
    <t>Beatriz Rodrigues Cardoso</t>
  </si>
  <si>
    <t>Victória Fonseca Régis</t>
  </si>
  <si>
    <t>Naiara Do Amor Divino Dos Santos</t>
  </si>
  <si>
    <t>Antônio Marcelo Alves De Oliveira</t>
  </si>
  <si>
    <t>Anderson Da Silva Cruz</t>
  </si>
  <si>
    <t>Géssica Da Silva Oliveira</t>
  </si>
  <si>
    <t>Jaqueline Ferreira Das Neves</t>
  </si>
  <si>
    <t>Bruna Karolyne De Oliveira</t>
  </si>
  <si>
    <t>Flávia Francisca Dos Santos</t>
  </si>
  <si>
    <t>Stephane Silva Rodrigues</t>
  </si>
  <si>
    <t>Ana Luísa Neris Ramalho</t>
  </si>
  <si>
    <t>Elane Pereira Da Silva</t>
  </si>
  <si>
    <t>Clivia Leticia Silva Araujo</t>
  </si>
  <si>
    <t>Matheus Stanley Sousa Santos</t>
  </si>
  <si>
    <t>Matias Borges Negreiros</t>
  </si>
  <si>
    <t>Ergton José Guimarães Da Silva</t>
  </si>
  <si>
    <t>Eliane Souza Pereira</t>
  </si>
  <si>
    <t>Renata Fernandes De Lima</t>
  </si>
  <si>
    <t>Ademilson Dos Santos Sales</t>
  </si>
  <si>
    <t>Gabriel Macedo Dos Santos</t>
  </si>
  <si>
    <t>Quésidy Alves Dos Passos</t>
  </si>
  <si>
    <t>Bruna Caroline Bandeira Da Silva</t>
  </si>
  <si>
    <t>José Elias Moreira De Alencar</t>
  </si>
  <si>
    <t>Claudia Matias Barbosa</t>
  </si>
  <si>
    <t>Crislanny Nunes Da Silva Rodrigues Melo</t>
  </si>
  <si>
    <t>Wanderlúcia Faustino Miranda</t>
  </si>
  <si>
    <t>Kesia Pereira Santana</t>
  </si>
  <si>
    <t>Antonio Anderson Lima Magalhães</t>
  </si>
  <si>
    <t>Wanne Caroline Santos</t>
  </si>
  <si>
    <t>Alanna Ferreira Machado Lima</t>
  </si>
  <si>
    <t>Vitor Nunes Santos</t>
  </si>
  <si>
    <t>Carla Caroline Ribeiro Dos Santos</t>
  </si>
  <si>
    <t>Douglas Diógenes Holanda De Souza</t>
  </si>
  <si>
    <t>Priscilla Peixoto Tavares</t>
  </si>
  <si>
    <t>Natali Moreira Lima</t>
  </si>
  <si>
    <t>Corina Maria De Jesus Dos Santos</t>
  </si>
  <si>
    <t>Adrielly Romero Boeira</t>
  </si>
  <si>
    <t>Thiago Araújo Martiniano</t>
  </si>
  <si>
    <t>Raphael Victor de Sousa Oliveira Sales</t>
  </si>
  <si>
    <t>Mirelly Lopes Da Silva</t>
  </si>
  <si>
    <t>Bruna Sofia Diogenes Ribeiro</t>
  </si>
  <si>
    <t>Ingrid Tainara Silva De Oliveira</t>
  </si>
  <si>
    <t>Palomma Raquel Duarte Bezerra</t>
  </si>
  <si>
    <t>Germana Nunes De Sousa</t>
  </si>
  <si>
    <t>Beatriz Nunes Bomfim</t>
  </si>
  <si>
    <t>Francisco Lucas Moreira De Carvalho</t>
  </si>
  <si>
    <t>Sueleide Pereira De Souza</t>
  </si>
  <si>
    <t>Antônio Marques De Aguiar Júnior</t>
  </si>
  <si>
    <t>Marly Cunha Marinho</t>
  </si>
  <si>
    <t>Alexsandra Bezerra De Souza Lemos</t>
  </si>
  <si>
    <t>Jose Augusto Bezerra Herculano De Medeiros</t>
  </si>
  <si>
    <t>Lorena Martins Bandeira</t>
  </si>
  <si>
    <t>Tiago Lopes</t>
  </si>
  <si>
    <t>Iago Francisco Queiroz Rabelo</t>
  </si>
  <si>
    <t>Ana Yolli Bezerra Fernandes</t>
  </si>
  <si>
    <t>Maria Angélica Silva Dos Santos</t>
  </si>
  <si>
    <t>Francisco Julio Freitas Batista</t>
  </si>
  <si>
    <t>Robson Douglas Martins</t>
  </si>
  <si>
    <t>Taciely Brenda Santos Da Silva</t>
  </si>
  <si>
    <t>Lucas Ramos Soares</t>
  </si>
  <si>
    <t>Maria Vitória De Melo Grigório</t>
  </si>
  <si>
    <t>Andreza Dos Santos Mota</t>
  </si>
  <si>
    <t>Carla Evelin Cerqueira De Carvalho</t>
  </si>
  <si>
    <t>Rosinely De Araújo Resende Lima</t>
  </si>
  <si>
    <t>Ianka Silva Rocha Ferraz</t>
  </si>
  <si>
    <t>Michael Lenon De Sousa Rodrigues</t>
  </si>
  <si>
    <t>Amanda Costa De Oliveira</t>
  </si>
  <si>
    <t>Ruteh Ribeiro Oliveira De Lima</t>
  </si>
  <si>
    <t>Ítala Teixeira Gonsalves</t>
  </si>
  <si>
    <t>Almir Pereira Da Silva Neto</t>
  </si>
  <si>
    <t>Mariana Natália Alves Ferreira</t>
  </si>
  <si>
    <t>Talita Ferreira Barbosa</t>
  </si>
  <si>
    <t>Geiza Oliveira Silva</t>
  </si>
  <si>
    <t>José Pedro Pereira Lima</t>
  </si>
  <si>
    <t>João Pedro Pereira Lima</t>
  </si>
  <si>
    <t>Camila Reis Dos Santos</t>
  </si>
  <si>
    <t>Thais Aline Lopes Godoi</t>
  </si>
  <si>
    <t>Silvia Helena Coelho Gomes</t>
  </si>
  <si>
    <t>Gabriela Dourado Gomes</t>
  </si>
  <si>
    <t>Jefferson Santos Pinheiro</t>
  </si>
  <si>
    <t>Jeysson Anderson Silva Gil</t>
  </si>
  <si>
    <t>Yego Flamel Galvão Silva</t>
  </si>
  <si>
    <t>Cintia De Paula Nogueira</t>
  </si>
  <si>
    <t>Victoria Santos Gomes</t>
  </si>
  <si>
    <t>Larisse Rodrigues Fernandes</t>
  </si>
  <si>
    <t>Helison Herbert Cruz Dos Santos</t>
  </si>
  <si>
    <t>Leticia Pereira Souza</t>
  </si>
  <si>
    <t>Matheus Rogério Teles Bastos</t>
  </si>
  <si>
    <t>Francineide Genuino Dos Santos</t>
  </si>
  <si>
    <t>Matheus Augusto Coelho Da Silva</t>
  </si>
  <si>
    <t>Antonio Marcus De Sampaio Carvalho</t>
  </si>
  <si>
    <t>Naiane Silva De Jesus</t>
  </si>
  <si>
    <t>Henrique Ramos De Aguiar</t>
  </si>
  <si>
    <t>Valdi Custodio Da Silva Filho</t>
  </si>
  <si>
    <t>Daniela De Oliveira Santos</t>
  </si>
  <si>
    <t>Priscyla Lucas Lima</t>
  </si>
  <si>
    <t>Luciana Franco Venancio</t>
  </si>
  <si>
    <t>Bianca Coimbra Camargo</t>
  </si>
  <si>
    <t>Thainara Matos Menezes</t>
  </si>
  <si>
    <t>Guilherme Antunes Oliveira Dias</t>
  </si>
  <si>
    <t>Nicole Dias Dos Santos</t>
  </si>
  <si>
    <t>Anne Carolyne Fernandes Silva</t>
  </si>
  <si>
    <t>Cristiana Rebello Viana Oliveira Santos</t>
  </si>
  <si>
    <t>Gabrielle Marinho Da Silva</t>
  </si>
  <si>
    <t>Andressa Melo Da Silva</t>
  </si>
  <si>
    <t>Iasmym Dos Santos De Freitas</t>
  </si>
  <si>
    <t>Carlos Henrique Martins De Brito</t>
  </si>
  <si>
    <t>Bruna Rafaela Mendes Fernandes</t>
  </si>
  <si>
    <t>Maria Gabriela Alves Da Silva</t>
  </si>
  <si>
    <t>Amanda Cavalcante Ferreira De Resende</t>
  </si>
  <si>
    <t>Ister Rocha De Mesquita</t>
  </si>
  <si>
    <t>Murilo Martins Cabral</t>
  </si>
  <si>
    <t>Vanessa Amorim Soares</t>
  </si>
  <si>
    <t>Maria Raquel De Lima Pereira</t>
  </si>
  <si>
    <t>Guilherme Eduardo Da Silva Alves</t>
  </si>
  <si>
    <t>Alessandra De Brito Castro</t>
  </si>
  <si>
    <t>Débora Cardoso Martins</t>
  </si>
  <si>
    <t>Matheus Vinicio Dias Santos</t>
  </si>
  <si>
    <t>Micaelle De Jesus Barros</t>
  </si>
  <si>
    <t>Priscila Karla Fernandes Rodrigues</t>
  </si>
  <si>
    <t>Rejane De Abreu Fernandes Rodrigues</t>
  </si>
  <si>
    <t>Rayla Cristina Pereira Vilas Boa</t>
  </si>
  <si>
    <t>Breno Reis Carvalho</t>
  </si>
  <si>
    <t>Renata De Oliveira Nascimento</t>
  </si>
  <si>
    <t>Elisabete Fernandes Da Silva</t>
  </si>
  <si>
    <t>Gabriela Cardoso Dos Santos</t>
  </si>
  <si>
    <t>Mayra Cardoso Mendes</t>
  </si>
  <si>
    <t>Camila Pereira Jardim De Souza</t>
  </si>
  <si>
    <t>Ana Carolina Araujo Florentino</t>
  </si>
  <si>
    <t>Rafael Dias De Queiroz</t>
  </si>
  <si>
    <t>Eliane Dos Santos Nunes</t>
  </si>
  <si>
    <t>Camila Samara Borges Cardoso</t>
  </si>
  <si>
    <t>Aline Rubiane Marafigo</t>
  </si>
  <si>
    <t>Tainara Da Silva Machado</t>
  </si>
  <si>
    <t>Luis Fernando Nunes De Souza Lima</t>
  </si>
  <si>
    <t>Fabio Guthemberg Penha</t>
  </si>
  <si>
    <t>Luana Dos Santos De Sousa Nascimento</t>
  </si>
  <si>
    <t>Victor Nunes Sodré</t>
  </si>
  <si>
    <t>Eliene Souza Santana</t>
  </si>
  <si>
    <t>Bruna Pires Barbosa</t>
  </si>
  <si>
    <t>Isac Barra Santos</t>
  </si>
  <si>
    <t>Malena Oliveira Barbosa</t>
  </si>
  <si>
    <t>Yorrana Ferreira Da Silva</t>
  </si>
  <si>
    <t>Thálita Murielly Ferreira De Sousa</t>
  </si>
  <si>
    <t>Daniel Soares De Araujo</t>
  </si>
  <si>
    <t>Catia Aparecida Viana Dos Santos</t>
  </si>
  <si>
    <t>Inês Santiago Lopes</t>
  </si>
  <si>
    <t>Evelise Strapação</t>
  </si>
  <si>
    <t>Ianca Karolainy Fernandes Cruz</t>
  </si>
  <si>
    <t>Isadora Batista Da Silva</t>
  </si>
  <si>
    <t>Fernanda Pacheco Barbosa</t>
  </si>
  <si>
    <t>Iracema Andrade Dos Santos</t>
  </si>
  <si>
    <t>Bruna Patrocinio Da Silva</t>
  </si>
  <si>
    <t>Janaina Brito Pinheiro</t>
  </si>
  <si>
    <t>Lucas Vinicius Goes Santos</t>
  </si>
  <si>
    <t>Lucas Damasceno Leite Santos</t>
  </si>
  <si>
    <t>Mayara Souza Rocha</t>
  </si>
  <si>
    <t>Italo John Freitas Da Silva</t>
  </si>
  <si>
    <t>Angelica Tayanna Oliveira Angelo</t>
  </si>
  <si>
    <t>Mateus Breno Campos De Carvalho</t>
  </si>
  <si>
    <t>Mariza Lopes Caetano</t>
  </si>
  <si>
    <t>Wallace Teles Dos Santos</t>
  </si>
  <si>
    <t>Bruna De Carvalho Pereira</t>
  </si>
  <si>
    <t>Andressa Júlia Sousa Silva</t>
  </si>
  <si>
    <t>Saralins Furtado Silva</t>
  </si>
  <si>
    <t>Daniela Vieira Santos</t>
  </si>
  <si>
    <t>Ana Cristina Goiabeira De Sousa</t>
  </si>
  <si>
    <t>Rosana Santos De Almeida</t>
  </si>
  <si>
    <t>Antonia Caroline Almeida Franklim</t>
  </si>
  <si>
    <t>Beatriz Patricio De Lima</t>
  </si>
  <si>
    <t>Leidyanne Rique Da Silva</t>
  </si>
  <si>
    <t>Pammela Louvor Tavares Fernandes</t>
  </si>
  <si>
    <t>Felipe Abreu Menezes Aguiar</t>
  </si>
  <si>
    <t>Marcos Rodrigues Estrela Filho</t>
  </si>
  <si>
    <t>Filipe Augusto Sodré Da Silva</t>
  </si>
  <si>
    <t>Ellen Gerceline Nogueira Sá</t>
  </si>
  <si>
    <t>Carla Ednery Alegre Da Silva</t>
  </si>
  <si>
    <t>Leslaine Silva De Paulo</t>
  </si>
  <si>
    <t>Camila Sena Da Silva</t>
  </si>
  <si>
    <t>Solange Dos Reis Da Silva</t>
  </si>
  <si>
    <t>Ana Raquel Pereira Cordeiro</t>
  </si>
  <si>
    <t>Emely De Jesus Da Cruz</t>
  </si>
  <si>
    <t>Thierry Damasceno Paiva Aragão</t>
  </si>
  <si>
    <t>Vitoria De Abreu Freitas Pereira</t>
  </si>
  <si>
    <t>Rafael Maynart Caló Da Silva Pereira Souza</t>
  </si>
  <si>
    <t>Geisiane Almeida Da Paixao</t>
  </si>
  <si>
    <t>Jordana Marques Gontijo</t>
  </si>
  <si>
    <t>Maria Taislane De Carvalho</t>
  </si>
  <si>
    <t>Thainá Barros Neves</t>
  </si>
  <si>
    <t>Juliana Barbosa De Oliveira</t>
  </si>
  <si>
    <t>Selma Maria Olegario Ribella</t>
  </si>
  <si>
    <t>Everson Pessoa Da Silva</t>
  </si>
  <si>
    <t>Marcos Henrique Gomes Da Silva</t>
  </si>
  <si>
    <t>Ayrton Filipe Pinheiro Oliveira</t>
  </si>
  <si>
    <t>Marilia Wedja Barros Siebra Dantas</t>
  </si>
  <si>
    <t>Bruna Istefany Novaes Rocha</t>
  </si>
  <si>
    <t>Rita De Cássia Magalhães</t>
  </si>
  <si>
    <t>Ilaine Oliveira Lima Matos</t>
  </si>
  <si>
    <t>Ricardo De Sousa</t>
  </si>
  <si>
    <t>Fabíola Rocha Ferreira</t>
  </si>
  <si>
    <t>Larissa Da Silva Oliveira</t>
  </si>
  <si>
    <t>Deisy De Oliveira Bruetto</t>
  </si>
  <si>
    <t>Andressa Maria Brito Paz</t>
  </si>
  <si>
    <t>Joiciane Maira Dos Santos Sousa</t>
  </si>
  <si>
    <t>Patrik Fernandes Ferreira</t>
  </si>
  <si>
    <t>Maria Gomes Da Frota</t>
  </si>
  <si>
    <t>Ana Beatriz De Oliveira Costa</t>
  </si>
  <si>
    <t>Elaene Pianca Baptista</t>
  </si>
  <si>
    <t>Paulo Robson Pereira Da Silva</t>
  </si>
  <si>
    <t>Rafael Mendes Nunes</t>
  </si>
  <si>
    <t>Maria Isabella Martins Cabral Rocha</t>
  </si>
  <si>
    <t>Francisco Rodrigo Dos Santos Costa</t>
  </si>
  <si>
    <t>Conceição de Maria Teixeira Silva</t>
  </si>
  <si>
    <t>Angélica De Melo Ramalho Gomes</t>
  </si>
  <si>
    <t>Cosmira Santana Silva</t>
  </si>
  <si>
    <t>Juvenal Vieira Da Silva</t>
  </si>
  <si>
    <t>Caroline Silva Santana</t>
  </si>
  <si>
    <t>Gabriel De Paula Machado</t>
  </si>
  <si>
    <t>Thalia Eduarda Silva Garcia</t>
  </si>
  <si>
    <t>Débora Jaysa Sousa Silva</t>
  </si>
  <si>
    <t>Angela Maria Da Silva Arcanjo</t>
  </si>
  <si>
    <t>Thais Aline Rodrigues Mendes</t>
  </si>
  <si>
    <t>Ana Carolina Da Costa Benevides</t>
  </si>
  <si>
    <t>Angelica Gomes De Queiroz</t>
  </si>
  <si>
    <t>Fernanda Barros Oliveira</t>
  </si>
  <si>
    <t>Naiara Ferreira Dos Santos</t>
  </si>
  <si>
    <t>Paula Geovana Araújo Gonçalves</t>
  </si>
  <si>
    <t>Carolinne Batista De Castro</t>
  </si>
  <si>
    <t>Iago Santos Silva</t>
  </si>
  <si>
    <t>Luciano De Farias Junior</t>
  </si>
  <si>
    <t>Mateus Da Silva Albuquerque</t>
  </si>
  <si>
    <t>Ernandes Antonio De Sousa</t>
  </si>
  <si>
    <t>Maria Milena Dantas De Lima</t>
  </si>
  <si>
    <t>Miguel Vicente Assis</t>
  </si>
  <si>
    <t>Poliane Vitoria Galdino Moreira</t>
  </si>
  <si>
    <t>Maria Kaila Dias</t>
  </si>
  <si>
    <t>André Da Silva Monteiro</t>
  </si>
  <si>
    <t>Ana Clara De Figueredo Moura</t>
  </si>
  <si>
    <t>Lizandra De Lima Menezes</t>
  </si>
  <si>
    <t>Ially De Sousa Santos</t>
  </si>
  <si>
    <t>Jamille Alves Rego</t>
  </si>
  <si>
    <t>Daniel Maciel De Sousa</t>
  </si>
  <si>
    <t>Danusa Emanuele Lopes Silva</t>
  </si>
  <si>
    <t>Ana Beatriz Pereira Queiroz</t>
  </si>
  <si>
    <t>Marielle Proença De Almeida</t>
  </si>
  <si>
    <t>Igor Felippe De Faveri</t>
  </si>
  <si>
    <t>Adriele Batista Dos Passos</t>
  </si>
  <si>
    <t>Andreza Stewart Duarte Ferreira</t>
  </si>
  <si>
    <t>Allan Braz Dantas Pereira</t>
  </si>
  <si>
    <t>Maria Leticia De Sousa Araújo</t>
  </si>
  <si>
    <t>Vitoria Joyce Lopes Albuquerque</t>
  </si>
  <si>
    <t>Evellin Guerda Ribeiro Viana</t>
  </si>
  <si>
    <t>Milton Alberto Dantas Neto</t>
  </si>
  <si>
    <t>Vitoria Mayara Ramos De Almeida</t>
  </si>
  <si>
    <t>Thaís Gonçalves Evangelista</t>
  </si>
  <si>
    <t>Maria Gervania Dias Tavares</t>
  </si>
  <si>
    <t>Ingridi Vitória Souza De Assis</t>
  </si>
  <si>
    <t>Cleidinaldo Ribeiro Dos Santos Andrade</t>
  </si>
  <si>
    <t>Thalyta De Sá Pereira</t>
  </si>
  <si>
    <t>Vanessa Maria Da Silva Sousa</t>
  </si>
  <si>
    <t>Maria Karilorrany Pereira Sousa</t>
  </si>
  <si>
    <t>Ricardo César Abrantes Da Silva</t>
  </si>
  <si>
    <t>Ana Teresa Vieira Dos Santos Sousa</t>
  </si>
  <si>
    <t>Edyelin Mariene Batista Silva</t>
  </si>
  <si>
    <t>Crislane Luz Santos</t>
  </si>
  <si>
    <t>Bruno Conceição Gonçalves</t>
  </si>
  <si>
    <t>Tatiane De Azevedo Da Conceição</t>
  </si>
  <si>
    <t>Yuri Antonov Aguiar De Novais</t>
  </si>
  <si>
    <t>Iana Siqueira Da Silva</t>
  </si>
  <si>
    <t>Marcos Ferreira Da Cunha Bertoldo</t>
  </si>
  <si>
    <t>Sandra Gabrielle Aguiar Ribeiro</t>
  </si>
  <si>
    <t>Darlan Da Costa Silva</t>
  </si>
  <si>
    <t>Guilherme Carneiro Pinto Silva</t>
  </si>
  <si>
    <t>Jarluany Emiliano Ferreira</t>
  </si>
  <si>
    <t>Nayego De Sousa Silva</t>
  </si>
  <si>
    <t>Marlene Martins Do Nascimento</t>
  </si>
  <si>
    <t>Marcelo Costa De Oliveira</t>
  </si>
  <si>
    <t>José Vittor Luz Aragão</t>
  </si>
  <si>
    <t>Amanda Arruda Da Silva</t>
  </si>
  <si>
    <t>Geovana Carolinne Da Silva Santos</t>
  </si>
  <si>
    <t>Divanildo Martins De Souza</t>
  </si>
  <si>
    <t>Assuelio Serafim Dos Santos</t>
  </si>
  <si>
    <t>Fernanda Sinobilina Souza</t>
  </si>
  <si>
    <t>Wesley Alves Costa</t>
  </si>
  <si>
    <t>Guilherme Fernandes Sousa</t>
  </si>
  <si>
    <t>Andre Luiz De Lira Barros E Sa</t>
  </si>
  <si>
    <t>Maycon Gonçalves De Oliveira</t>
  </si>
  <si>
    <t>Meiriane Oliveira Alves</t>
  </si>
  <si>
    <t>Amanda Beatriz Carvalho De Souza</t>
  </si>
  <si>
    <t>Dionata De Lima</t>
  </si>
  <si>
    <t>Saulo Carneiro Da Silva</t>
  </si>
  <si>
    <t>Tamara Simões De Andrade</t>
  </si>
  <si>
    <t>Iara Louhany Sousa Araújo</t>
  </si>
  <si>
    <t>Tais De Luz Alves Moreira</t>
  </si>
  <si>
    <t>Jorge Luis Firmino Da Silva</t>
  </si>
  <si>
    <t>Luciano Flavio Assunção</t>
  </si>
  <si>
    <t>Rosivânia De Oliveira Santos</t>
  </si>
  <si>
    <t>Anna Maraike Marques Da Cruz</t>
  </si>
  <si>
    <t>Thayna Alencar Sobreira</t>
  </si>
  <si>
    <t>Joeldson Silva Teixeira</t>
  </si>
  <si>
    <t>Gilvan Canuto Amaral</t>
  </si>
  <si>
    <t>Elaine Cristina Queiroz Do Nascimento</t>
  </si>
  <si>
    <t>Thayná Dos Santos Almeida</t>
  </si>
  <si>
    <t>Rita Nanier Alves Fernandes</t>
  </si>
  <si>
    <t>Jucimara Da Silva Oliveira</t>
  </si>
  <si>
    <t>Pamella Souza Da Silva</t>
  </si>
  <si>
    <t>Grasiela Hermelino Santana</t>
  </si>
  <si>
    <t>Larissa Teles De Paiva</t>
  </si>
  <si>
    <t>Claudia Janaina Andrade Duarte</t>
  </si>
  <si>
    <t>Fabíola Santos Souza</t>
  </si>
  <si>
    <t>Poliana Da Silva Carvalho Santos</t>
  </si>
  <si>
    <t>Jéssica Cristina Pontes Ruthes</t>
  </si>
  <si>
    <t>Franciele Miranda Da Silva</t>
  </si>
  <si>
    <t>Ana Carolina Maria De Oliveira</t>
  </si>
  <si>
    <t>Caroline Kelly Da Silva Oliveira</t>
  </si>
  <si>
    <t>Helen Alana Mendes Da Silva</t>
  </si>
  <si>
    <t>Thays De Melo Lisboa</t>
  </si>
  <si>
    <t>Silvia Carla Borges</t>
  </si>
  <si>
    <t>Larisse Estefane Pinheiro Dos Santos</t>
  </si>
  <si>
    <t>Paula Santos De Mello</t>
  </si>
  <si>
    <t>Érica Benevides Da Silva</t>
  </si>
  <si>
    <t>Lucas Sérgio Pereira Da Silva</t>
  </si>
  <si>
    <t>Havanny Loynara Martins Alves De Mesquita</t>
  </si>
  <si>
    <t>Yanca Brandão Nascimento</t>
  </si>
  <si>
    <t>Amália Dos Santos Teixeira</t>
  </si>
  <si>
    <t>Patricia Aparecida De Godoy</t>
  </si>
  <si>
    <t>Stephane Maria Pereira Lima</t>
  </si>
  <si>
    <t>Jaqueline Dourado De Oliveira</t>
  </si>
  <si>
    <t>Bárbara Kamiline Santos Malta</t>
  </si>
  <si>
    <t>Samara Soares Barbosa</t>
  </si>
  <si>
    <t>Denis Carla De Oliveira Da Silva</t>
  </si>
  <si>
    <t>Maysa Francisca De Carvalho Ribeiro</t>
  </si>
  <si>
    <t>Regivânia Da Rocha Carvalho</t>
  </si>
  <si>
    <t>Anna Carolina De Senna Barçante</t>
  </si>
  <si>
    <t>Hellen Da Costa Soares</t>
  </si>
  <si>
    <t>David Silva De Oliveira</t>
  </si>
  <si>
    <t>Joseane Esmeralda De Souza</t>
  </si>
  <si>
    <t>Joao Paulo Lima Galvao</t>
  </si>
  <si>
    <t>Carlos André Dos Santos Souza</t>
  </si>
  <si>
    <t>Thiago Marcondes Amaral</t>
  </si>
  <si>
    <t>Ana Vitória Silva Araújo</t>
  </si>
  <si>
    <t>Douglas Damasceno Soares</t>
  </si>
  <si>
    <t>Willian Tamayose Rezende Proença</t>
  </si>
  <si>
    <t>Divino Antônio Sousa E Silva</t>
  </si>
  <si>
    <t>Mauricio Gomes</t>
  </si>
  <si>
    <t>Matheus Benevides Vieira</t>
  </si>
  <si>
    <t>Yasmin Nery Santana</t>
  </si>
  <si>
    <t>Muriele Ribeiro Da Silva Alves</t>
  </si>
  <si>
    <t>Joana Dara Carvalho Sousa</t>
  </si>
  <si>
    <t>Rosemeire Torres Da Silva Mantini</t>
  </si>
  <si>
    <t>Ana Vitória Santos Farias</t>
  </si>
  <si>
    <t>Henrique Oliveira Dos Santos</t>
  </si>
  <si>
    <t>Adriana Aparecida Rodrigues Viana</t>
  </si>
  <si>
    <t>Nathalia Miranda Sydney Reis</t>
  </si>
  <si>
    <t>Gabriella Ramalho Tameirao</t>
  </si>
  <si>
    <t>Emily Tamari Morais Da Silva</t>
  </si>
  <si>
    <t>Celinda Carolayne De Lima Albuquerque</t>
  </si>
  <si>
    <t>alínea "b"</t>
  </si>
  <si>
    <t>Cristiane De Lima Gomes</t>
  </si>
  <si>
    <t>alíena "b"</t>
  </si>
  <si>
    <t>Kayo Queiroz Marçal Santos</t>
  </si>
  <si>
    <t>Tatiana Santana Da Costa</t>
  </si>
  <si>
    <t>Daniela Silveira Dos Santos</t>
  </si>
  <si>
    <t>Giseldo Raimundo Elias</t>
  </si>
  <si>
    <t>Jeniffer Sterfany Alcântara Rodrigues</t>
  </si>
  <si>
    <t>Gilvonei Antonio De Azevedo</t>
  </si>
  <si>
    <t>Tamyris Santana Coelho</t>
  </si>
  <si>
    <t>Vitória Oliveira Moreira</t>
  </si>
  <si>
    <t>Gerson Breno Silva De Andrade</t>
  </si>
  <si>
    <t>Rhuan Victor Matos De Souza</t>
  </si>
  <si>
    <t>Eduarda Steffany Dos Santos Lopes</t>
  </si>
  <si>
    <t>Simao Saulo Soares</t>
  </si>
  <si>
    <t>Isac Patrick Aragão Dos Santos</t>
  </si>
  <si>
    <t>Êmilly Silva Do Nascimento</t>
  </si>
  <si>
    <t>Dalvan Bernardino De Sá</t>
  </si>
  <si>
    <t>Adriana Rocha Santos</t>
  </si>
  <si>
    <t>Andressa Moraes Chierici</t>
  </si>
  <si>
    <t>Vitória Clara De Araújo Paulo</t>
  </si>
  <si>
    <t>Paulo Tasso Santos Araujo Castro</t>
  </si>
  <si>
    <t>Claudenice Silva Do Nascimento</t>
  </si>
  <si>
    <t>Bruna Donete Bitencourt</t>
  </si>
  <si>
    <t>Rita De Cássia Da Costa Santos Mello</t>
  </si>
  <si>
    <t>Gisele Neri Celestino</t>
  </si>
  <si>
    <t>Erika Heloisa Neri Celestino</t>
  </si>
  <si>
    <t>Sandyele Oliveira Da Silva</t>
  </si>
  <si>
    <t>Aldineia Monteiro Do Nascimento</t>
  </si>
  <si>
    <t>Antonia Raylene Fernandes Paiva</t>
  </si>
  <si>
    <t>Morgana Campos Leão</t>
  </si>
  <si>
    <t>Keity Fabiana De Carvalho Santana</t>
  </si>
  <si>
    <t>Kamila Ramos Da Silva</t>
  </si>
  <si>
    <t>Antonia Mikaelle Araujo Melo</t>
  </si>
  <si>
    <t>Marcos Luan Pacheco Da Silva</t>
  </si>
  <si>
    <t>Jose Ricardo Felix Da Silva</t>
  </si>
  <si>
    <t>Dayane Raniere Da Silva Barros</t>
  </si>
  <si>
    <t>Michelle Dias Dornellas</t>
  </si>
  <si>
    <t>Rosangela De Almeida</t>
  </si>
  <si>
    <t>Bianca Stefany Braz Pinheiro</t>
  </si>
  <si>
    <t>Endrigo Roriz Sant Anna</t>
  </si>
  <si>
    <t>Geferson Santos Ribeiro Silva</t>
  </si>
  <si>
    <t>Carlos Henrique Santos De Oliveira</t>
  </si>
  <si>
    <t>Laila Carvalho Cavalcante</t>
  </si>
  <si>
    <t>Erlanderson Alves Dos Santos</t>
  </si>
  <si>
    <t>Daniela Costa Do Rosário</t>
  </si>
  <si>
    <t>Weslley Naoto Kokubo Miranda</t>
  </si>
  <si>
    <t>Návila Caroline De Sousa Fonseca</t>
  </si>
  <si>
    <t>Sandy Alice Silva Santos</t>
  </si>
  <si>
    <t>Naiquele Pinto Carneiro</t>
  </si>
  <si>
    <t>Jônatas Rodrigues Valério</t>
  </si>
  <si>
    <t>Ian Lucas Martins Souza</t>
  </si>
  <si>
    <t>Juliana Assis De Sousa</t>
  </si>
  <si>
    <t>Lívia Roberta Borges Do Carmo Lima</t>
  </si>
  <si>
    <t>Carlos Eduardo Santos Rodrigues</t>
  </si>
  <si>
    <t>Nathan Parnaiba Batista</t>
  </si>
  <si>
    <t>Thayse Lima Mascarenhas</t>
  </si>
  <si>
    <t>Mayra Adelina Oliveira Barbosa</t>
  </si>
  <si>
    <t>Lívia Carneiro Araújo</t>
  </si>
  <si>
    <t>Raíla Freitas Feitosa</t>
  </si>
  <si>
    <t>Michelle Canuto Da Silva Dos Santos</t>
  </si>
  <si>
    <t>Marcos Vinicius De Lima Silva</t>
  </si>
  <si>
    <t>Alisson Costa De Souza</t>
  </si>
  <si>
    <t>Lyandra Maria Viana De Oliveira</t>
  </si>
  <si>
    <t>Jacyelle Lima Oliveira</t>
  </si>
  <si>
    <t>Clícia Silva Santos</t>
  </si>
  <si>
    <t>Grazielly Lima</t>
  </si>
  <si>
    <t>Maria Jucineide De França Silva</t>
  </si>
  <si>
    <t>Márcia Romênia Da Costa Alves</t>
  </si>
  <si>
    <t>Iana Vitória Fernandes Bonfim</t>
  </si>
  <si>
    <t>Vercilia Raissa Do Prado Teixeira</t>
  </si>
  <si>
    <t>Leticia Maria De Oliveira</t>
  </si>
  <si>
    <t>Geovana Leal Almeida</t>
  </si>
  <si>
    <t>Kamilla Bueno Borges</t>
  </si>
  <si>
    <t>Eliane Sousa Sales</t>
  </si>
  <si>
    <t>Evelyn Costa De Almeida Souza</t>
  </si>
  <si>
    <t>Lusiane Fialho Zanelli</t>
  </si>
  <si>
    <t>Raquel Queiroz Da Silva</t>
  </si>
  <si>
    <t>Antônia Daniele Magalhães De Sousa</t>
  </si>
  <si>
    <t>Francisco Pablo De Oliveira</t>
  </si>
  <si>
    <t>Jocimar De Jesus Carneiro</t>
  </si>
  <si>
    <t>Jussara De Araujo Fernandes</t>
  </si>
  <si>
    <t>Luana Aparecida Da Rocha</t>
  </si>
  <si>
    <t>Livia De Matos Teixeira</t>
  </si>
  <si>
    <t>Gillyane Medeiros</t>
  </si>
  <si>
    <t>Keyliane Santana Rodrigues</t>
  </si>
  <si>
    <t>Tayane Suyane Gomes Soares</t>
  </si>
  <si>
    <t>Andreina Adalgisa Oliveira Gomes</t>
  </si>
  <si>
    <t>Ezilene Almeida Barbosa</t>
  </si>
  <si>
    <t>Júlia Ana Luz Vieira</t>
  </si>
  <si>
    <t>Aline Bernardo Silva</t>
  </si>
  <si>
    <t>Sandhy Dos Santos Boaventura</t>
  </si>
  <si>
    <t>Larissa Maria Carvalho Martins</t>
  </si>
  <si>
    <t>Josielson Almeida Do Nascimento</t>
  </si>
  <si>
    <t>Antonia Marina De Jesus Oliveira</t>
  </si>
  <si>
    <t>Maria Beatriz Furtado Alves</t>
  </si>
  <si>
    <t>Yasmim Nascimento Santos</t>
  </si>
  <si>
    <t>Taina Da Costa Dos Santos</t>
  </si>
  <si>
    <t>Aparecida Vital Aniz Dos Santos</t>
  </si>
  <si>
    <t>Barbara Vitoria Dos Santos Silva</t>
  </si>
  <si>
    <t>Mônica De Pádua Carvalhaes</t>
  </si>
  <si>
    <t>Francielle Oliveira Da Silva</t>
  </si>
  <si>
    <t>Rosirene Guimarães Silveira</t>
  </si>
  <si>
    <t>Ingride Stefane Oliveira Rocha</t>
  </si>
  <si>
    <t>Hava Maria Neves Farias</t>
  </si>
  <si>
    <t>Samuel Silva Reis</t>
  </si>
  <si>
    <t>Emerson Brandão Ferreira</t>
  </si>
  <si>
    <t>Lyliana Correia Da Silva</t>
  </si>
  <si>
    <t>Brenda Micheli Da Silva Pereira Moreira</t>
  </si>
  <si>
    <t>Raissa Damasceno Dos Santos</t>
  </si>
  <si>
    <t>Camila Oliveira Silva</t>
  </si>
  <si>
    <t>Mariana Abbude Soares Santos</t>
  </si>
  <si>
    <t>Micarla Emanuelly Farias Da Silva</t>
  </si>
  <si>
    <t>Luana De Souza Ambrozini</t>
  </si>
  <si>
    <t>Rebeka Pereira Da Silva Gomes</t>
  </si>
  <si>
    <t>Bruno Ramos De Andrade</t>
  </si>
  <si>
    <t>Dâmares Dos Santos Silva</t>
  </si>
  <si>
    <t>Maria Stela Da Silva Carmo</t>
  </si>
  <si>
    <t>André Anderson Sousa Dias</t>
  </si>
  <si>
    <t>Michele Da Silva Jesus</t>
  </si>
  <si>
    <t>Beatriz Jesus Barreto</t>
  </si>
  <si>
    <t>Roseline Cardeal Dos Santos</t>
  </si>
  <si>
    <t>Carollaine Da Silva Conceição</t>
  </si>
  <si>
    <t>Bruno Alves Ribeiro</t>
  </si>
  <si>
    <t>Thaís Macêdo Maciel</t>
  </si>
  <si>
    <t>Milani Roberta Schultz De Carvalho</t>
  </si>
  <si>
    <t>Daniela Santos Machado</t>
  </si>
  <si>
    <t>Bianca Oliveira Alencar</t>
  </si>
  <si>
    <t>Kesia De Jesus Vilas Boas Silva</t>
  </si>
  <si>
    <t>Karen Keyla De Morais Oliveira</t>
  </si>
  <si>
    <t>Guilherme Pordeus Brandão Lucena</t>
  </si>
  <si>
    <t>Carlos Eduardo Sousa Da Silva</t>
  </si>
  <si>
    <t>David Aldino Gonçalves</t>
  </si>
  <si>
    <t>Davillyn Sales Feitosa</t>
  </si>
  <si>
    <t>Giovanna Pereira Soares</t>
  </si>
  <si>
    <t>José Juciélio Macedo Da Silva</t>
  </si>
  <si>
    <t>Eliude De Freitas Santos</t>
  </si>
  <si>
    <t>Thairy Pamela Da Silva Paixão</t>
  </si>
  <si>
    <t>Felipe Santos Guimarães</t>
  </si>
  <si>
    <t>Wallerson Landim Da Silva</t>
  </si>
  <si>
    <t>Heloisa Cruz E Costa</t>
  </si>
  <si>
    <t>Mateus Gonçalves Alves</t>
  </si>
  <si>
    <t>Rosangela Marcia Magalhais De Toledo</t>
  </si>
  <si>
    <t>Agda Mayara Temoteo E Silva</t>
  </si>
  <si>
    <t>Rosangela Dos Reis Santos</t>
  </si>
  <si>
    <t>Lorena Gomes Chagas</t>
  </si>
  <si>
    <t>Gislene Alencar Menezes</t>
  </si>
  <si>
    <t>Simone Fernandes Da Silva</t>
  </si>
  <si>
    <t>Erico Serafim De Lima</t>
  </si>
  <si>
    <t>Izadora Maria Salomão Vieira</t>
  </si>
  <si>
    <t>Livia Martins Do Nascimento</t>
  </si>
  <si>
    <t>Rianne Lorena Visale Lacerda</t>
  </si>
  <si>
    <t>Priscila Pinheiro Da Costa</t>
  </si>
  <si>
    <t>Karen Stephanny Teles Brazão</t>
  </si>
  <si>
    <t>Juliane Torres Ribeiro</t>
  </si>
  <si>
    <t>Francisca Vitória Alves De Sousa</t>
  </si>
  <si>
    <t>Daniela Galvão Alves Schuetzler</t>
  </si>
  <si>
    <t>Luana Carolina Machado Dos Santos</t>
  </si>
  <si>
    <t>Gleyse Macedo Sousa</t>
  </si>
  <si>
    <t>Ana Paula Miranda Silva</t>
  </si>
  <si>
    <t>Eduardo Vinicius Bessa Da Costa</t>
  </si>
  <si>
    <t>Matheus De Sousa Santos</t>
  </si>
  <si>
    <t>Mônica Barros E Silva Gonçalves</t>
  </si>
  <si>
    <t>Gyslane Fontes Dias</t>
  </si>
  <si>
    <t>Fernando Oliveira De Jesus</t>
  </si>
  <si>
    <t>Joelma Reis Da Silva</t>
  </si>
  <si>
    <t>Thauanne Ribeiro De Souza</t>
  </si>
  <si>
    <t>Fernanda Maria Gomes</t>
  </si>
  <si>
    <t>Victor Carlota Teles</t>
  </si>
  <si>
    <t>Diane Louise Pimenta Barbosa</t>
  </si>
  <si>
    <t>Wilson Manuel Gomes</t>
  </si>
  <si>
    <t>Juciele Aparecida De Medeiros Alves</t>
  </si>
  <si>
    <t>Erika Barbosa Melquiades</t>
  </si>
  <si>
    <t>Meri Elen Toledo De Paulo</t>
  </si>
  <si>
    <t>Elizabeth Cristina Da Rocha Nunes</t>
  </si>
  <si>
    <t>Miquéias Conceição Da Cruz</t>
  </si>
  <si>
    <t>Artur Silva Vieira</t>
  </si>
  <si>
    <t>Sheyton Caze Da Silva</t>
  </si>
  <si>
    <t>Gerson Nunes Madeira</t>
  </si>
  <si>
    <t>Rávylla Nayara Da Silva</t>
  </si>
  <si>
    <t>Carlos Cunha Santos</t>
  </si>
  <si>
    <t>Alessandra Evangelista Da Silva Santos</t>
  </si>
  <si>
    <t>Isabelle Amorim Freitas Dos Santos</t>
  </si>
  <si>
    <t>Keila Barbosa Silva</t>
  </si>
  <si>
    <t>Grace Evelyn Vital Novaes</t>
  </si>
  <si>
    <t>Míssia Araújo Fratari</t>
  </si>
  <si>
    <t>Bruna De Souza De Oliveira</t>
  </si>
  <si>
    <t>Francisco Wendell Vituriano Mota Marques</t>
  </si>
  <si>
    <t>Vitória Amanda Dos Santos Pereira</t>
  </si>
  <si>
    <t>José Handerson Ferreira Apolinário</t>
  </si>
  <si>
    <t>Matheus Vinicius Alves De Sousa</t>
  </si>
  <si>
    <t>Maria Eduarda Roque Souza Castro</t>
  </si>
  <si>
    <t>Kamila Moreira Nunes</t>
  </si>
  <si>
    <t>David Salustiano Paiva</t>
  </si>
  <si>
    <t>Thaís Pereira De Sousa</t>
  </si>
  <si>
    <t>Suzane Damaceno Purificação</t>
  </si>
  <si>
    <t>Karen Campos Oliveira</t>
  </si>
  <si>
    <t>Cassiano Henrique Melo De Souza</t>
  </si>
  <si>
    <t>Ana Beatriz Carvalho Da Silva</t>
  </si>
  <si>
    <t>Roandson Danilo Jesus Dos Santos</t>
  </si>
  <si>
    <t>Isabel De Brito Rosa</t>
  </si>
  <si>
    <t>Laís Dos Santos Moura</t>
  </si>
  <si>
    <t>Anderson De Oliveira Santos</t>
  </si>
  <si>
    <t>Franciele Brito Da Silva</t>
  </si>
  <si>
    <t>Camila Alves Do Carmo</t>
  </si>
  <si>
    <t>Camila De Lima Araujo</t>
  </si>
  <si>
    <t>Manuela Batista Do Nascimento</t>
  </si>
  <si>
    <t>Ana Kelly Silva Maia</t>
  </si>
  <si>
    <t>Natalie De Jesus Barreto</t>
  </si>
  <si>
    <t>Mateus Antônio da Silva</t>
  </si>
  <si>
    <t>Cleone Alves Muniz</t>
  </si>
  <si>
    <t>Maxcileide Silva Leão Dos Santos</t>
  </si>
  <si>
    <t>Janinny Cearelly Oliveira Souza</t>
  </si>
  <si>
    <t>Bianca Carolina Bonho</t>
  </si>
  <si>
    <t>Monica Kallaran Medeiro Da Silva</t>
  </si>
  <si>
    <t>Jessica Aparecida Dos Santos</t>
  </si>
  <si>
    <t>Eduarda Teodoro Santana</t>
  </si>
  <si>
    <t>Daniel De Souza Gomes</t>
  </si>
  <si>
    <t>Larissa De Jesus Bispo</t>
  </si>
  <si>
    <t>Luciana Gomes Batista Rosemberg</t>
  </si>
  <si>
    <t>Rosane De Castro Barbosa</t>
  </si>
  <si>
    <t>Adel Felipe Santos De Almeida</t>
  </si>
  <si>
    <t>Priscylla Fernanda Vascurado De Brito</t>
  </si>
  <si>
    <t>Samantha Geanny Ferreira Soares</t>
  </si>
  <si>
    <t>Islane Das Virgens Carvalho</t>
  </si>
  <si>
    <t>Isabela Lima Da Silva</t>
  </si>
  <si>
    <t>Lorhane Dos Santos Vale Lopes</t>
  </si>
  <si>
    <t>Camila Correia De Alencar</t>
  </si>
  <si>
    <t>Luciene Vieira Triani</t>
  </si>
  <si>
    <t>Tassia Mykelis Gabriel Tobias</t>
  </si>
  <si>
    <t>Carlos Henrique De Souza Silva</t>
  </si>
  <si>
    <t>Tania Maria Silva</t>
  </si>
  <si>
    <t>Larissa Luna Cunha</t>
  </si>
  <si>
    <t>Andreilton Brito De Moura</t>
  </si>
  <si>
    <t>Rhayssa Aparecida Rodrigues Santos</t>
  </si>
  <si>
    <t>Glaucilene Eulalia Dos Santos</t>
  </si>
  <si>
    <t>Cleonice Teixeira Silva</t>
  </si>
  <si>
    <t>Fernanda Vieira Da Silva</t>
  </si>
  <si>
    <t>Jorge Augusto Evaristo Da Luz</t>
  </si>
  <si>
    <t>Ana Débora Santos Luz</t>
  </si>
  <si>
    <t>Rodolfo Barbosa Rodrigues</t>
  </si>
  <si>
    <t>Jessica Thais Viana Bergamo</t>
  </si>
  <si>
    <t>Jilvane Da Silva Cardoso</t>
  </si>
  <si>
    <t>Flavia Faustino Dos Santos</t>
  </si>
  <si>
    <t>Marcos Pereira</t>
  </si>
  <si>
    <t>Rafaela Letícia Anselmo De Arruda</t>
  </si>
  <si>
    <t>Carlos Henrique Fé Brandão</t>
  </si>
  <si>
    <t>Mariana Mendes Soares</t>
  </si>
  <si>
    <t>Selma Guimarães Oliveira</t>
  </si>
  <si>
    <t>Davy Fernandes Vidal</t>
  </si>
  <si>
    <t>Andrea De Mello Vieira Siqueira</t>
  </si>
  <si>
    <t>Sandro Lúcio Da Silva Paulino</t>
  </si>
  <si>
    <t>Thaiane Larissa Nascimento Santana</t>
  </si>
  <si>
    <t>Maristane Souza Oliveira</t>
  </si>
  <si>
    <t>Wendel Alves Santos</t>
  </si>
  <si>
    <t>José Francisco Neves Pereira Da Silva</t>
  </si>
  <si>
    <t>Daniele Rodrigues Dos Santos</t>
  </si>
  <si>
    <t>Graciele Araujo Dos Santos</t>
  </si>
  <si>
    <t>Francisco Auzenor De Souza Neto</t>
  </si>
  <si>
    <t>Lilia Fernandes De Souza</t>
  </si>
  <si>
    <t>Ana Carolina Da Silva Procopio Costa</t>
  </si>
  <si>
    <t>Ivone Macedo De Araujo</t>
  </si>
  <si>
    <t>Sthefany Setuval De Sousa</t>
  </si>
  <si>
    <t>Sulamitha Silva Da Costa Almeida</t>
  </si>
  <si>
    <t>Dayana Menezes De Almeida</t>
  </si>
  <si>
    <t>Wesley Rodrigo Da Silva Monção</t>
  </si>
  <si>
    <t>Fernanda Santana De Jesus</t>
  </si>
  <si>
    <t>Erica Natalia Do Nascimento Lima</t>
  </si>
  <si>
    <t>Francisca Fernanda Alves De Oliveira</t>
  </si>
  <si>
    <t>Rayoane Cavalcante Oliveira</t>
  </si>
  <si>
    <t>Samia Samara Silva Ferreira</t>
  </si>
  <si>
    <t>Vanessa De Sousa Brito</t>
  </si>
  <si>
    <t>Patrik Bryan Anselmo</t>
  </si>
  <si>
    <t>Maria Victoria Dos Santos Pereira</t>
  </si>
  <si>
    <t>Nara Raquel Nunes De Souza</t>
  </si>
  <si>
    <t>Cristóvão Bartolomeu De Oliveira</t>
  </si>
  <si>
    <t>Tamirys Gomes Dos Santos</t>
  </si>
  <si>
    <t>Stephanie Silva Farias De Sá</t>
  </si>
  <si>
    <t>Mariana Montenegro Farias</t>
  </si>
  <si>
    <t>Ana Karoline Sobreira Rosa</t>
  </si>
  <si>
    <t>Wemersom Sávio De Freitas</t>
  </si>
  <si>
    <t>Andréia De Sá Castro Lima</t>
  </si>
  <si>
    <t>Manuela Almeida Dos Santos</t>
  </si>
  <si>
    <t>Luciana De Alcantara Dias</t>
  </si>
  <si>
    <t>Laize Silva Moraes</t>
  </si>
  <si>
    <t>Vanessa Da Cruz Rufino</t>
  </si>
  <si>
    <t>Joao Paulo Da Silva Fernandes</t>
  </si>
  <si>
    <t>Simone Baptista Andrade</t>
  </si>
  <si>
    <t>Simone Feijo Seyssel</t>
  </si>
  <si>
    <t>Tarcísio Feitosa Silva</t>
  </si>
  <si>
    <t>Inaê Santos De Andrade</t>
  </si>
  <si>
    <t>Vanúbia Carla Constantino Pontes Da Silva</t>
  </si>
  <si>
    <t>Francisca Tainara Cardoso Chaves</t>
  </si>
  <si>
    <t>Glêbia Vieira Souza</t>
  </si>
  <si>
    <t>Emanoelle Sousa Resende Rodrigues</t>
  </si>
  <si>
    <t>Victória Raynele Da Silva Alexandre</t>
  </si>
  <si>
    <t>Ana Clara Oliveira Silva</t>
  </si>
  <si>
    <t>Reinali Santos Lima</t>
  </si>
  <si>
    <t>Maria Izabele Gomes Da Silva</t>
  </si>
  <si>
    <t>Antônio Guilherme Freitas Vieira</t>
  </si>
  <si>
    <t>Mirian Ferreira Mendes Belnomo</t>
  </si>
  <si>
    <t>Eduarda Pereira Rodrigues</t>
  </si>
  <si>
    <t>Jacilene Liandro De Almeida Dos Santos</t>
  </si>
  <si>
    <t>Gisely De Souza Gomes</t>
  </si>
  <si>
    <t>Stephanny Santos Silva</t>
  </si>
  <si>
    <t>Marcia Teixeira De Paulo</t>
  </si>
  <si>
    <t>Regiane Teixeira Dos Santos</t>
  </si>
  <si>
    <t>Camille Bais De Sa</t>
  </si>
  <si>
    <t>Georgina De Oliveira Silva Florencio</t>
  </si>
  <si>
    <t>Ryan Marcos Vieira Santos</t>
  </si>
  <si>
    <t>Érica De Jesus Santos</t>
  </si>
  <si>
    <t>Bábiton Brandão Trindade Ribeiro</t>
  </si>
  <si>
    <t>Carlos Eduardo Da Silva Junior</t>
  </si>
  <si>
    <t>Vitória Souza Soares</t>
  </si>
  <si>
    <t>Jardel Enildo Da Silva</t>
  </si>
  <si>
    <t>Leticia Da Costa Gomes</t>
  </si>
  <si>
    <t>Itamara Brito Luz</t>
  </si>
  <si>
    <t>Mayara Cacia Nogueira</t>
  </si>
  <si>
    <t>Maria Luana Ferreira Lima</t>
  </si>
  <si>
    <t>Elievaldo Dos Santos Figueiredo</t>
  </si>
  <si>
    <t>Ana Karolina Carvalho Trindade</t>
  </si>
  <si>
    <t>Karine Souza Catarino Dos Santos</t>
  </si>
  <si>
    <t>Andreia Ferreira De Souza</t>
  </si>
  <si>
    <t>Eduardo Santos Lopes</t>
  </si>
  <si>
    <t>Maria Luísa Santana Silva</t>
  </si>
  <si>
    <t>Carlos Henrique De Lara</t>
  </si>
  <si>
    <t>Francisca Letícia Tavares Da Silva</t>
  </si>
  <si>
    <t>Rosiane Emiliane Bezerra</t>
  </si>
  <si>
    <t>Thaylane Macedo Dos Santos Mendes</t>
  </si>
  <si>
    <t>Samila Sousa E Silva</t>
  </si>
  <si>
    <t>Robson Freitas Lopes</t>
  </si>
  <si>
    <t>Moisés Ferreira Moura</t>
  </si>
  <si>
    <t>Veruska Claudine Souza Lacerda</t>
  </si>
  <si>
    <t>Maria Fernanda Andrade Garcia</t>
  </si>
  <si>
    <t>Luma Araújo Nascimento</t>
  </si>
  <si>
    <t>João Lucas Vilalba Dos Santos</t>
  </si>
  <si>
    <t>Sebastião Kelvi Dantas</t>
  </si>
  <si>
    <t>Samuel Ramalho Borges</t>
  </si>
  <si>
    <t>Thátila Vieira Da Silva</t>
  </si>
  <si>
    <t>Vinicius De Souza Silva</t>
  </si>
  <si>
    <t>Camila Cristiane Moreira De Almeida</t>
  </si>
  <si>
    <t>Marcelo Pereira</t>
  </si>
  <si>
    <t>Mariana Souza Da Mata Dos Santos</t>
  </si>
  <si>
    <t>Danielle Balsante Peres Dos Santos</t>
  </si>
  <si>
    <t>Rogerio Da Silva</t>
  </si>
  <si>
    <t>Sara Cristina De Oliveira</t>
  </si>
  <si>
    <t>Simone Assis Nogueira</t>
  </si>
  <si>
    <t>Ana Luiza Araujo De Oliveira</t>
  </si>
  <si>
    <t>Silvia De Paula Arantes Gilz</t>
  </si>
  <si>
    <t>Gisely Bispo Da Silva</t>
  </si>
  <si>
    <t>Erick Lemos De Loiola</t>
  </si>
  <si>
    <t>Giovane Tiago De Araujo Lima</t>
  </si>
  <si>
    <t>Diêgo Rocha Amaral</t>
  </si>
  <si>
    <t>Erika Dias Batista Dos Santos</t>
  </si>
  <si>
    <t>Samuel Santana De Almeida</t>
  </si>
  <si>
    <t>Debora Dourado De Moraes</t>
  </si>
  <si>
    <t>Mayckon Alexandre Do Nascimento</t>
  </si>
  <si>
    <t>Erika Dayana De Oliveira Silva</t>
  </si>
  <si>
    <t>Jennyfer Carvalho Cotrim</t>
  </si>
  <si>
    <t>José Ruleonson Galdino Rocha Dias</t>
  </si>
  <si>
    <t>Jonatha Torelly Marques Saraiva</t>
  </si>
  <si>
    <t>Lívia Paula Santana Costa</t>
  </si>
  <si>
    <t>Rodrigo Manoel Da Silva</t>
  </si>
  <si>
    <t>Alessandra Ferreira De Andrade Almeida</t>
  </si>
  <si>
    <t>Suely Mizael</t>
  </si>
  <si>
    <t>Verônica Gomes Da Silva</t>
  </si>
  <si>
    <t>Ludmila Gomes Pereira De Paiva</t>
  </si>
  <si>
    <t>Hingrety Barbosa Araújo</t>
  </si>
  <si>
    <t>Kennedy Geremias Santos</t>
  </si>
  <si>
    <t>Fernando Weiber</t>
  </si>
  <si>
    <t>Everson Lucas Da Rocha Silva</t>
  </si>
  <si>
    <t>Alyce Taynar Carvalho Santos Lira</t>
  </si>
  <si>
    <t>Israel Lima Da Silva</t>
  </si>
  <si>
    <t>Kênia Fernandes Dos Reis</t>
  </si>
  <si>
    <t>Victoria Helena Alves Da Silva</t>
  </si>
  <si>
    <t>Juliana Batista De Amorim</t>
  </si>
  <si>
    <t>Brenda Isabele Dos Santos</t>
  </si>
  <si>
    <t>Carla Queiroz da Silva Galvão</t>
  </si>
  <si>
    <t>Rosani Bezerra Da Silva</t>
  </si>
  <si>
    <t>Janiele Ayane Dias Barbosa</t>
  </si>
  <si>
    <t>Nadja Costa Da Silva</t>
  </si>
  <si>
    <t>Danielle Lima De Amil</t>
  </si>
  <si>
    <t>Júlia Fernanda Da Silva Lino</t>
  </si>
  <si>
    <t>Marcela Fernanda Barros De Souza Nascimento</t>
  </si>
  <si>
    <t>Antonio Igor Tomaz Da Silva</t>
  </si>
  <si>
    <t>Mary Jhoyce Rodrigues Ramos</t>
  </si>
  <si>
    <t>Pâmela Carla De Souza</t>
  </si>
  <si>
    <t>Luciano Da Silva Santos</t>
  </si>
  <si>
    <t>Jadson Marins Machado</t>
  </si>
  <si>
    <t>Kárita Vitória Madureira Dos Santos</t>
  </si>
  <si>
    <t>Djalma Divino Dos Anjos</t>
  </si>
  <si>
    <t>Joseane Silva Cruz</t>
  </si>
  <si>
    <t>Juliano Marcos Tavares Gonçalves</t>
  </si>
  <si>
    <t>Maria Lylian Tavares Oliveira</t>
  </si>
  <si>
    <t>Antonio Veloso Ferreira Filho</t>
  </si>
  <si>
    <t>Francisca Samia Oliveira Rodrigues</t>
  </si>
  <si>
    <t>Anna Julia Vieira Santos</t>
  </si>
  <si>
    <t>Rayanna Da Silva Alves</t>
  </si>
  <si>
    <t>Isadora Gonçalves De Oliveira</t>
  </si>
  <si>
    <t>Victoria Macedo Fernandes</t>
  </si>
  <si>
    <t>Francisco Evilardo Maciel</t>
  </si>
  <si>
    <t>Edson Santos De Abreu</t>
  </si>
  <si>
    <t>Samanta Bezerra Saldanha</t>
  </si>
  <si>
    <t>Juciana Dos Santos Rodrigues</t>
  </si>
  <si>
    <t>Bruna Ramos Batista</t>
  </si>
  <si>
    <t>Ana Paula Ferreira Vidal</t>
  </si>
  <si>
    <t>Marinalva Souza Santos</t>
  </si>
  <si>
    <t>Fabio Pereira Da Rocha</t>
  </si>
  <si>
    <t>Douglas Iuli Dos Santos</t>
  </si>
  <si>
    <t>Juliana Géssica De Paula Santos</t>
  </si>
  <si>
    <t>Amanda Gabriela Ramos Caetano</t>
  </si>
  <si>
    <t>Jose Jonatan Ferreira Silva</t>
  </si>
  <si>
    <t>Najila Ferreira Viana</t>
  </si>
  <si>
    <t>Daniel Phellip Ferreira De Albuquerque</t>
  </si>
  <si>
    <t>Natan Jose Da Silva</t>
  </si>
  <si>
    <t>Gustavo Caires Silva</t>
  </si>
  <si>
    <t>Vivian Souza Dos Anjos</t>
  </si>
  <si>
    <t>Andreia Fernandes Porto</t>
  </si>
  <si>
    <t>Anaclécia Mascarenhas Da Silva Oliveira</t>
  </si>
  <si>
    <t>Cristiana Lopes Amaral</t>
  </si>
  <si>
    <t>Sue Ellen Montezano Da Silva</t>
  </si>
  <si>
    <t>Erik Gustavo Alves Da Silva</t>
  </si>
  <si>
    <t>André Lucas Da Silva Oliveira</t>
  </si>
  <si>
    <t>Willianayra Fabiana De Lucena Oliveira</t>
  </si>
  <si>
    <t>Marcone Silva Duarte</t>
  </si>
  <si>
    <t>Tiago Rebouças Alves</t>
  </si>
  <si>
    <t>Marilia Fernanda Gurgel De Gois</t>
  </si>
  <si>
    <t>Bruna Barbosa Santos</t>
  </si>
  <si>
    <t>Larissa Silva Brito</t>
  </si>
  <si>
    <t>Martha Luiza Barbosa De Azevedo</t>
  </si>
  <si>
    <t>Jessica Da Silva Nonato</t>
  </si>
  <si>
    <t>Erika Karina Lima Da Silva</t>
  </si>
  <si>
    <t>Karina Aguiar Da Silva</t>
  </si>
  <si>
    <t>Lucas Santos Vasconcelos</t>
  </si>
  <si>
    <t>Izabelly Emanuelly Pereira Garcia</t>
  </si>
  <si>
    <t>Mayla Maria Soares Jorge</t>
  </si>
  <si>
    <t>Patrícia De Oliveira Camelo</t>
  </si>
  <si>
    <t>Paula Thais De Araujo</t>
  </si>
  <si>
    <t>Marcos Antônio Oliveira De Carvalho Filho</t>
  </si>
  <si>
    <t>Mariana Pereira Barbosa De Lima</t>
  </si>
  <si>
    <t>Bruna Emannuele Gonçalves Vianna</t>
  </si>
  <si>
    <t>Daniela Aparecida Gabriel</t>
  </si>
  <si>
    <t>Lara De Jesus Melo Da Silva</t>
  </si>
  <si>
    <t>Robson Magalhães Carneiro</t>
  </si>
  <si>
    <t>Rebeca Pereira Marques De Queiroz</t>
  </si>
  <si>
    <t>Marcus Vinícius Moreira Menegazzo</t>
  </si>
  <si>
    <t>Chalana Valeska Ferreira De Melo</t>
  </si>
  <si>
    <t>Jheymesson Lins Silva Dos Santos Ramalho</t>
  </si>
  <si>
    <t>Eduardo Da Conceição Paixão Nicolau</t>
  </si>
  <si>
    <t>Ana Paula Scanferla Barroso</t>
  </si>
  <si>
    <t>Guilherme Batista Da Silva</t>
  </si>
  <si>
    <t>Vanessa Medina Oliveira</t>
  </si>
  <si>
    <t>Claudevani Marcelino De Melo</t>
  </si>
  <si>
    <t>Natalia Simoes De Souza</t>
  </si>
  <si>
    <t>Bruno Silvestre De Paula Botelho</t>
  </si>
  <si>
    <t>Milaine Santos Silva</t>
  </si>
  <si>
    <t>Estefane Da Silva Mota</t>
  </si>
  <si>
    <t>Davi Batista De Araujo</t>
  </si>
  <si>
    <t>Gean Rodrigo Dias Souza</t>
  </si>
  <si>
    <t>Willian Lino De Paula</t>
  </si>
  <si>
    <t>Ladijane Da Silva Barbosa</t>
  </si>
  <si>
    <t>Kleydijane Suellen Monteiro</t>
  </si>
  <si>
    <t>Severino Simão Da Silva</t>
  </si>
  <si>
    <t>Mikael Edson Vasconcelos Amorim</t>
  </si>
  <si>
    <t>Giselda Luzia Da Silva</t>
  </si>
  <si>
    <t>Ysmirna Rangel Da Silva Santos</t>
  </si>
  <si>
    <t>Gabriela Schvaidak Andrade</t>
  </si>
  <si>
    <t>Daiane De Oliveira</t>
  </si>
  <si>
    <t>Natalia Simonetti De Carvalho Tiburcio</t>
  </si>
  <si>
    <t>José Ellder Araújo De Almeida</t>
  </si>
  <si>
    <t>Paola Ribeiro Da Silva</t>
  </si>
  <si>
    <t>Ana Paula Santos Freire</t>
  </si>
  <si>
    <t>Amanda Aparecida De Oliveira</t>
  </si>
  <si>
    <t>Lorrane De Oliveira Souza</t>
  </si>
  <si>
    <t>Tarcilia Teixeira Cruz</t>
  </si>
  <si>
    <t>Vanice Ribeiro Santos</t>
  </si>
  <si>
    <t>Jefferson Kalléu Antonio De Oliveira</t>
  </si>
  <si>
    <t>Maria Cícera Palhares Da Silva</t>
  </si>
  <si>
    <t>Marcelo Bellas De Segadas Viana</t>
  </si>
  <si>
    <t>Stanislau Alencar Cavalcanti Bione</t>
  </si>
  <si>
    <t>Débora Cristina De Araújo De Souza</t>
  </si>
  <si>
    <t>Juliana Pereira Silva</t>
  </si>
  <si>
    <t>Luciani Bosse Ribeiro</t>
  </si>
  <si>
    <t>Ester De Lima Vieira Mota</t>
  </si>
  <si>
    <t>Joise Tavares De Oliveira</t>
  </si>
  <si>
    <t>Ellen Cristiny David Da Silva</t>
  </si>
  <si>
    <t>Maria Rodrigues Da Silva</t>
  </si>
  <si>
    <t>John Lennon Da Silva Domingues</t>
  </si>
  <si>
    <t>Mariana Mota Dias Dos Santos</t>
  </si>
  <si>
    <t>Valdirene Godoi Da Silva</t>
  </si>
  <si>
    <t>Ana Maria Pessanha Da Silva Bonfim</t>
  </si>
  <si>
    <t>Caroline Alves De Souza</t>
  </si>
  <si>
    <t>Luana Carolina Dos Santos Melo</t>
  </si>
  <si>
    <t>Edevaldo De Lima Athayde</t>
  </si>
  <si>
    <t>Vanusa De Souza Damascena</t>
  </si>
  <si>
    <t>Jeferson Junior Camargo Ferreira</t>
  </si>
  <si>
    <t>Edja Figueredo Ferreira Da Silva</t>
  </si>
  <si>
    <t>Miralva Costa Santiago</t>
  </si>
  <si>
    <t>Erlândia Sousa Santos</t>
  </si>
  <si>
    <t>Nadja Beatriz Soares De Menezes Vidal</t>
  </si>
  <si>
    <t>Sirlete Paulo De Lima</t>
  </si>
  <si>
    <t>Tatiane Regiane Costa Lourenço</t>
  </si>
  <si>
    <t>Anna Cláudia De Souza Gomides</t>
  </si>
  <si>
    <t>Antonio Auricelio Da Silva Souza</t>
  </si>
  <si>
    <t>Sandra Cutrim Mafeu Guimaraes</t>
  </si>
  <si>
    <t>Miralva Souza Andrade</t>
  </si>
  <si>
    <t>Claudineia Ribeiro Batista</t>
  </si>
  <si>
    <t>Edilson Tavares Da Silva</t>
  </si>
  <si>
    <t>Joseane Da Silva</t>
  </si>
  <si>
    <t>Francine De Paula Borba Araujo</t>
  </si>
  <si>
    <t>Edionara Aparecida Trindade Dos Santos</t>
  </si>
  <si>
    <t>Marcio Schmidt Do Nascimento</t>
  </si>
  <si>
    <t>Mírian Deyse Costa E Silva</t>
  </si>
  <si>
    <t>Lídia Regina Figueiredo De Oliveira</t>
  </si>
  <si>
    <t>Patricia Bianca Pereira Silva</t>
  </si>
  <si>
    <t>Danielle Nascimento Costa Da Silva</t>
  </si>
  <si>
    <t>Alessandro Dos Santos</t>
  </si>
  <si>
    <t>Bruna Monique Batista Neves</t>
  </si>
  <si>
    <t>Amanda Jenifer Da Silva</t>
  </si>
  <si>
    <t>Danielle Feliciano Da Silva</t>
  </si>
  <si>
    <t>Rafaelly Isabel Cristina Correia Da Silva</t>
  </si>
  <si>
    <t>Patressa Braga De Abreu</t>
  </si>
  <si>
    <t>Maria Iza De Freitas</t>
  </si>
  <si>
    <t>Maria Ianca Lopes Batista</t>
  </si>
  <si>
    <t>Mateus Borges Da Silva</t>
  </si>
  <si>
    <t>Adelly Santos Souza</t>
  </si>
  <si>
    <t>Albert Alessandro Cabral</t>
  </si>
  <si>
    <t>Geovana Cavalcante Silva</t>
  </si>
  <si>
    <t>Acsa Peres Borges</t>
  </si>
  <si>
    <t>Verônica Alves Francisco</t>
  </si>
  <si>
    <t>Eula Daiane Alves De Castro Wantowsky</t>
  </si>
  <si>
    <t>Emílio Fialho Costa</t>
  </si>
  <si>
    <t>Iara Aguiar Gomes</t>
  </si>
  <si>
    <t>Paulo Ricardo Meira Da Silva</t>
  </si>
  <si>
    <t>Rafael De Lima</t>
  </si>
  <si>
    <t>Isabela Carolina Martins Da Silva</t>
  </si>
  <si>
    <t>Danielle De Mattos Rabaça Lopes</t>
  </si>
  <si>
    <t>Danyelle Cristine Portes</t>
  </si>
  <si>
    <t>Lucas Caique Dos Santos Melo</t>
  </si>
  <si>
    <t>Lorena Nunes De Carvalho</t>
  </si>
  <si>
    <t>Jhenefer Pereira Neves</t>
  </si>
  <si>
    <t>Bruno Silva Lopes</t>
  </si>
  <si>
    <t>Ellen Nunes Rodrigues Soares</t>
  </si>
  <si>
    <t>Laura Gomes De Oliveira Lima</t>
  </si>
  <si>
    <t>Flaviana Constantino</t>
  </si>
  <si>
    <t>Priscila Aparecida Da Costa Rodrigues Soares</t>
  </si>
  <si>
    <t>Suelen Vianna Bahiense</t>
  </si>
  <si>
    <t>Elizangela Anchieta De Mendonça</t>
  </si>
  <si>
    <t>Alexandro Carlos Do Nascimento</t>
  </si>
  <si>
    <t>Edilene Bezerra Da Cunha</t>
  </si>
  <si>
    <t>Emily Leal Dos Santos</t>
  </si>
  <si>
    <t>Diego Augusto Fontes</t>
  </si>
  <si>
    <t>Leandro Guerra Da Silva</t>
  </si>
  <si>
    <t>Tatiane Jesus De Oliveira</t>
  </si>
  <si>
    <t>Magdiel Silva</t>
  </si>
  <si>
    <t>Rian Breno Santos Souza</t>
  </si>
  <si>
    <t>Karoline Teodora Da Silva</t>
  </si>
  <si>
    <t>Bruna Darlen Lima Quaresma Dias</t>
  </si>
  <si>
    <t>Gabriela Muniz Bandeira</t>
  </si>
  <si>
    <t>Rayane Oliveira Lucas</t>
  </si>
  <si>
    <t>Andressa Da Luz Martins</t>
  </si>
  <si>
    <t>Janaína Claudia Melo De Lira</t>
  </si>
  <si>
    <t>Jessica Janaina Ferreira Bernardino</t>
  </si>
  <si>
    <t>Ana Alice Santos Oliveira</t>
  </si>
  <si>
    <t>Lidiane Maria De Freitas</t>
  </si>
  <si>
    <t>Eli Sandra Felipe De Araujo</t>
  </si>
  <si>
    <t>Maikeli Ribeiro</t>
  </si>
  <si>
    <t>Pamela Shelda De Oliveira Felipe</t>
  </si>
  <si>
    <t>Renata Virgínia De Andrade Soares Aragão Serafim</t>
  </si>
  <si>
    <t>Nataliana Maria Do Carmo</t>
  </si>
  <si>
    <t>Paulo Antonio Augusto</t>
  </si>
  <si>
    <t>Maria Eduarda Da Silva Aleixo</t>
  </si>
  <si>
    <t>Marlone França De Souza</t>
  </si>
  <si>
    <t>Cleide Oliveira Dos Santos</t>
  </si>
  <si>
    <t>Carlos Eduardo Teixeira Da Silva</t>
  </si>
  <si>
    <t>Marco Aurélio Xavier Camilo</t>
  </si>
  <si>
    <t>Suziely Silva Ferreira</t>
  </si>
  <si>
    <t>Mitson Rafael Monteiro Sales De Assis</t>
  </si>
  <si>
    <t>João Bosco De Moraes Correia Lima</t>
  </si>
  <si>
    <t>Marilda Pereira De Souza Lombardi</t>
  </si>
  <si>
    <t>Tereza Cristina De Barros Silva</t>
  </si>
  <si>
    <t>Lisete Da Silva Afonso Pinto</t>
  </si>
  <si>
    <t>Gláucia Auxiliadora Crivellari</t>
  </si>
  <si>
    <t>Erica Viviane De Oliveira Ribeiro</t>
  </si>
  <si>
    <t>Damilly Garcia De Oliveira</t>
  </si>
  <si>
    <t>Tamiris Dos Santos Alves</t>
  </si>
  <si>
    <t>Samira Santos Rocha</t>
  </si>
  <si>
    <t>José Augusto Da Silva</t>
  </si>
  <si>
    <t>Thiago Wellington De Souza Farias</t>
  </si>
  <si>
    <t>Gabriel Germano Vieira</t>
  </si>
  <si>
    <t>Matheus Tiago Souza Fonseca</t>
  </si>
  <si>
    <t>Eduarda Dayane Amorim Monteiro</t>
  </si>
  <si>
    <t>Wellington Pereira De Souza</t>
  </si>
  <si>
    <t>Maria Da Conceição Gomes Dos Santos</t>
  </si>
  <si>
    <t>Kelly Sodré Silva</t>
  </si>
  <si>
    <t>Sérgio Ricardo Góes</t>
  </si>
  <si>
    <t>Nataly Souza Bomfim</t>
  </si>
  <si>
    <t>Thiago Dias Alves Da Silva</t>
  </si>
  <si>
    <t>Alessandra De Oliveira Nunes</t>
  </si>
  <si>
    <t>Ludimilla Gonçalves Santos</t>
  </si>
  <si>
    <t>Roberta Francisco Paula Silva</t>
  </si>
  <si>
    <t>Vanessa Arla Lira Da Silva</t>
  </si>
  <si>
    <t>Andressa Silva Belo</t>
  </si>
  <si>
    <t>Mychel Balbino Da Silva Daniel</t>
  </si>
  <si>
    <t>Karina Ignácio Da Silva</t>
  </si>
  <si>
    <t>Erica Dayane Batista Da Silva</t>
  </si>
  <si>
    <t>Valéria Soares Pinto</t>
  </si>
  <si>
    <t>Edson Rocha Moreira</t>
  </si>
  <si>
    <t>Jose Valdo Tenório Da Silva</t>
  </si>
  <si>
    <t>Mariana Pedroso De Souza</t>
  </si>
  <si>
    <t>Maicon Antunes Dos Santos</t>
  </si>
  <si>
    <t>Erica Batista Pereira</t>
  </si>
  <si>
    <t>Ayla Carla Alves Galdino</t>
  </si>
  <si>
    <t>Ianny Julia Ribeiro De Lima</t>
  </si>
  <si>
    <t>Guilherme Ferreira</t>
  </si>
  <si>
    <t>Roberta Ramos Silva</t>
  </si>
  <si>
    <t>Adriana Aparecida Soares</t>
  </si>
  <si>
    <t>Stefhani Farlley Leite Farias Brasil</t>
  </si>
  <si>
    <t>Jaine De Souza Trindade</t>
  </si>
  <si>
    <t>Aline Varela De Amorim</t>
  </si>
  <si>
    <t>Alessandra Cristine Pinheiro Guimarães</t>
  </si>
  <si>
    <t>Daniela Cristina Santos Martins</t>
  </si>
  <si>
    <t>Jonas Rubens Pereira Callou Sampaio</t>
  </si>
  <si>
    <t>Daniel Dos Santos Alves</t>
  </si>
  <si>
    <t>Deyvson Teixeira Benicio</t>
  </si>
  <si>
    <t>Leandra Arruda Da Silva</t>
  </si>
  <si>
    <t>Ana Paula Luiz</t>
  </si>
  <si>
    <t>Jessica Bezerra Do Nascimento</t>
  </si>
  <si>
    <t>Marina De Souza Canela</t>
  </si>
  <si>
    <t>Taiane Rodrigues Ferreira</t>
  </si>
  <si>
    <t>Graziele Medeiros Rocha Medina</t>
  </si>
  <si>
    <t>Nicacia Clementino De Araujo</t>
  </si>
  <si>
    <t>Giovani Nepomuceno</t>
  </si>
  <si>
    <t>Edgar Luiz Trida Galvão</t>
  </si>
  <si>
    <t>Robson Henrique Alves Leite Patriota</t>
  </si>
  <si>
    <t>Matheus Augusto Da Costa Santos</t>
  </si>
  <si>
    <t>Oscar Vinícius Souza Rocha</t>
  </si>
  <si>
    <t>Matheus Conrado Sathler De Oliveira</t>
  </si>
  <si>
    <t>Pâmela Soares Costa</t>
  </si>
  <si>
    <t>Joyce Ellen De Lima Silva</t>
  </si>
  <si>
    <t>Aline Soraia Da Conceição</t>
  </si>
  <si>
    <t>Maria Miriam Cavalcanti Camelo</t>
  </si>
  <si>
    <t>Sílvia De Oliveira Rocha</t>
  </si>
  <si>
    <t>Ana Valéria Cabral E Silva</t>
  </si>
  <si>
    <t>Ane Caroline Pires Costa</t>
  </si>
  <si>
    <t>Guilherme Lourenço Alves</t>
  </si>
  <si>
    <t>Alex Silva De Andrade</t>
  </si>
  <si>
    <t>Douglas De Moraes Silva</t>
  </si>
  <si>
    <t>Jaciany Lucena Alves</t>
  </si>
  <si>
    <t>Jessica Marreiro Gomes</t>
  </si>
  <si>
    <t>Mary Soares Da Silva</t>
  </si>
  <si>
    <t>Guilherme Bezerra Da Rocha</t>
  </si>
  <si>
    <t>Sabrina Bosquetti</t>
  </si>
  <si>
    <t>Emerson Breno De Freitas Bezerra</t>
  </si>
  <si>
    <t>Kissila Gomes Dos Santos</t>
  </si>
  <si>
    <t>Priscila De Castro Rasga</t>
  </si>
  <si>
    <t>Mayza Williana Ferreira Da Silva</t>
  </si>
  <si>
    <t>Débora Thaís Da Silva Ribeiro</t>
  </si>
  <si>
    <t>Regina Perpetua Do Nascimento</t>
  </si>
  <si>
    <t>Nathália Orlandi Kritikós</t>
  </si>
  <si>
    <t>Jefferson Douglas Valença Barbosa</t>
  </si>
  <si>
    <t>Jessica Caroline Barbosa Da Silva</t>
  </si>
  <si>
    <t>Grazielly Ribeiro Meireles</t>
  </si>
  <si>
    <t>Monique Vieira De Araújo</t>
  </si>
  <si>
    <t>Amanda Capucho Correa</t>
  </si>
  <si>
    <t>José Matheus Da Silva Almeida</t>
  </si>
  <si>
    <t>Edileide Raiane Da Silva</t>
  </si>
  <si>
    <t>Jéssica Munithelly De Freitas Borges</t>
  </si>
  <si>
    <t>Gessica Vanessa Da Silva Albuquerque</t>
  </si>
  <si>
    <t>Paula Kaély Lopes Dos Santos</t>
  </si>
  <si>
    <t>Mayara Nogueira Da Silva</t>
  </si>
  <si>
    <t>Mikaele Couto Santana</t>
  </si>
  <si>
    <t>Maria Luisa Sousa Robert Santiago</t>
  </si>
  <si>
    <t>Rayanne Stephanie Rodrigues Marques</t>
  </si>
  <si>
    <t>Ricardo Jose Da Felicidade Junior</t>
  </si>
  <si>
    <t>Fernando Cunha Sanzovo</t>
  </si>
  <si>
    <t>Joao Victor Batista Da Silva</t>
  </si>
  <si>
    <t>Beatriz Falcão Dantas</t>
  </si>
  <si>
    <t>Márcia Braga De Mesquita Dos Santos</t>
  </si>
  <si>
    <t>Eliene Caldeira Teixeira</t>
  </si>
  <si>
    <t>Izali De Souza</t>
  </si>
  <si>
    <t>Millena Valentin Da Rosa</t>
  </si>
  <si>
    <t>Jorgina De Cassia Chagas De Andrade</t>
  </si>
  <si>
    <t>Angelica Neves Martins</t>
  </si>
  <si>
    <t>Anderson Laurentino Da Silva</t>
  </si>
  <si>
    <t>Danielle De Cassia Barreto</t>
  </si>
  <si>
    <t>Daniela Pereira Da Silva</t>
  </si>
  <si>
    <t>Janine Adeníbal Bacelar Silva</t>
  </si>
  <si>
    <t>Juliana Ferreira De Albuquerque</t>
  </si>
  <si>
    <t>Cláudio Sobreira Barbosa De Luna</t>
  </si>
  <si>
    <t>Jackson Allan De Mello Guimaraes</t>
  </si>
  <si>
    <t>Samanta Vieira Alves</t>
  </si>
  <si>
    <t>Raíssa Souto Santos Silva</t>
  </si>
  <si>
    <t>Danubia Myrineide Gomes De Paula</t>
  </si>
  <si>
    <t>Altierry Barbiero De Jesus Oliveira</t>
  </si>
  <si>
    <t>José Douglas Aryan Da Silva Carvalho</t>
  </si>
  <si>
    <t>Walessa Maria Lima Moraes</t>
  </si>
  <si>
    <t>Judivania Gouveia Dos Santos Silva</t>
  </si>
  <si>
    <t>Vanessa De Souza E Silva</t>
  </si>
  <si>
    <t>Arielly Carvalho Menezes</t>
  </si>
  <si>
    <t>Wesley Silva Vieira</t>
  </si>
  <si>
    <t>Priscila Soares Vieira</t>
  </si>
  <si>
    <t>Calebe Marcos Gonçalves</t>
  </si>
  <si>
    <t>Maria Jose Prudencio Do Nascimento</t>
  </si>
  <si>
    <t>Janaína Lima De Jesus</t>
  </si>
  <si>
    <t>Amanda Gorniak Ribeiro Palermo</t>
  </si>
  <si>
    <t>Wyllyane Emiliano Sousa</t>
  </si>
  <si>
    <t>Silvani Cabral</t>
  </si>
  <si>
    <t>Maria Isabel Mendes De Araújo</t>
  </si>
  <si>
    <t>Adriana Fernandes Albino</t>
  </si>
  <si>
    <t>Ramon De Campos Santos</t>
  </si>
  <si>
    <t>Thalita Ketlly Oliveira Silva</t>
  </si>
  <si>
    <t>Thais Luis Ibiapina</t>
  </si>
  <si>
    <t>David Patrick Alves Torres</t>
  </si>
  <si>
    <t>Mirla Monteiro De Paula</t>
  </si>
  <si>
    <t>João Paulo Da Silva Batista</t>
  </si>
  <si>
    <t>Flávia Dos Santos</t>
  </si>
  <si>
    <t>Priscila Naiara Alves Campos Nascimento</t>
  </si>
  <si>
    <t>Rafael Cosme Ferreira Dos Santos</t>
  </si>
  <si>
    <t>Alberto Galdino Da Silva</t>
  </si>
  <si>
    <t>Pricylla Giovarnielli Almeida</t>
  </si>
  <si>
    <t>Eliene Maria Gondim</t>
  </si>
  <si>
    <t>Jeanderson Silva Do Nascimento</t>
  </si>
  <si>
    <t>Joao Vito Soares De Sousa</t>
  </si>
  <si>
    <t>Henrique Hirosse Cobre Silva</t>
  </si>
  <si>
    <t>Thays Avelino Alves Pereira</t>
  </si>
  <si>
    <t>Tatioly Cristina Alves Cruz</t>
  </si>
  <si>
    <t>Luan Welerson Freitas</t>
  </si>
  <si>
    <t>José Italo Ferreira Da Cruz</t>
  </si>
  <si>
    <t>André Luiz Figueiredo Vilas Bôas</t>
  </si>
  <si>
    <t>Ducilene Nunes De Souza</t>
  </si>
  <si>
    <t>Amanda Silva Dalla Valle</t>
  </si>
  <si>
    <t>Daiane Freitas Gonçalves De Jesus</t>
  </si>
  <si>
    <t>Miriane Santos Alves</t>
  </si>
  <si>
    <t>Thamires De Paula Silva</t>
  </si>
  <si>
    <t>Michelle Oliveira Vargas</t>
  </si>
  <si>
    <t>Valdinez Souza Custodio</t>
  </si>
  <si>
    <t>Thaynara Karolina Gianvecchio De Jesus</t>
  </si>
  <si>
    <t>Gustavo De Sousa Duarte</t>
  </si>
  <si>
    <t>Bruna Oliveira Pessoa</t>
  </si>
  <si>
    <t>Thalita Milena Camargo</t>
  </si>
  <si>
    <t>Giselia Vicente Da Silva</t>
  </si>
  <si>
    <t>Tamires Fernanda Cavalcanti De Sá</t>
  </si>
  <si>
    <t>Fabio Marques Leite</t>
  </si>
  <si>
    <t>Larissa Pacífico Vieira</t>
  </si>
  <si>
    <t>Cleidson Gomes Pereira</t>
  </si>
  <si>
    <t>Thayná Mayara Alves Damasceno</t>
  </si>
  <si>
    <t>Giulia Inácio De Oliveira</t>
  </si>
  <si>
    <t>Gisele Josefa Da Silva</t>
  </si>
  <si>
    <t>Alcileia Martins Batista</t>
  </si>
  <si>
    <t>Francyelle Guimarães Jacob</t>
  </si>
  <si>
    <t>Marcella Gomes Dos Santos</t>
  </si>
  <si>
    <t>Vinicius Andrade Barros</t>
  </si>
  <si>
    <t>Maria Raniele Da Silva Bezerra</t>
  </si>
  <si>
    <t>Walerrandro Marcato</t>
  </si>
  <si>
    <t>Larissa Cristina Cardoso</t>
  </si>
  <si>
    <t>Gabriela Mayer Dos Santos</t>
  </si>
  <si>
    <t>Josefa Yonara Pereira Silva</t>
  </si>
  <si>
    <t>Daniel Jose Da Silva</t>
  </si>
  <si>
    <t>Ana Clara Almeida Dos Santos</t>
  </si>
  <si>
    <t>Larissa Carolina Gomes Da Silva</t>
  </si>
  <si>
    <t>Alcileide Soares Dos Reis</t>
  </si>
  <si>
    <t>Raiany Kelly De Souza Cruz</t>
  </si>
  <si>
    <t>Elizabete Regina Dos Santos Cipriano</t>
  </si>
  <si>
    <t>Flavia Auzeni Da Silva Sá</t>
  </si>
  <si>
    <t>Felipe Lourenço Leandro Da Silva</t>
  </si>
  <si>
    <t>Jaqueline Alberta Da Silva Ferreira</t>
  </si>
  <si>
    <t>Anamayra Geremia Martins De Quadros</t>
  </si>
  <si>
    <t>Luana Santos Brito</t>
  </si>
  <si>
    <t>Waleska Batista Da Silva</t>
  </si>
  <si>
    <t>Gabriela De Albuquerque Silva</t>
  </si>
  <si>
    <t>Wesley Matheus Santana Ribeiro</t>
  </si>
  <si>
    <t>Carina Silva De Carvalho Oliveira Paiva</t>
  </si>
  <si>
    <t>Jonathan Pereira Da Silva</t>
  </si>
  <si>
    <t>Miriam De Oliveira Barbosa</t>
  </si>
  <si>
    <t>Jonathan Iogo Lima Gonçalves</t>
  </si>
  <si>
    <t>Beatriz Regina Bernardo Simplicio</t>
  </si>
  <si>
    <t>Marcílio Orlando Silva De Morais</t>
  </si>
  <si>
    <t>Ana Carla Hoffman De Oliveira</t>
  </si>
  <si>
    <t>Andressa Santana Costa</t>
  </si>
  <si>
    <t>Meire Flávia Alencar Marques</t>
  </si>
  <si>
    <t>Gustavo Da Silva Nóbrega</t>
  </si>
  <si>
    <t>Geicy Da Silva Nóbrega</t>
  </si>
  <si>
    <t>Letícia Viana Hora</t>
  </si>
  <si>
    <t>Manoel Antonio Da Silva</t>
  </si>
  <si>
    <t>Moisés Da Silva Arcanjo</t>
  </si>
  <si>
    <t>Leandro Figueira Reis</t>
  </si>
  <si>
    <t>Maykson Arthur Silva Passos</t>
  </si>
  <si>
    <t>Nicolly Maria Pimentel Da Silva</t>
  </si>
  <si>
    <t>Rafael Barboza Santos</t>
  </si>
  <si>
    <t>Debora Ferreira Monteiro Da Silva</t>
  </si>
  <si>
    <t>Vinísio Abrantes Gonçalves</t>
  </si>
  <si>
    <t>Renato Santana Alves</t>
  </si>
  <si>
    <t>Geovane Carlos Melo</t>
  </si>
  <si>
    <t>Maxwell Gonzaga Nunes</t>
  </si>
  <si>
    <t>Thaysa Gabryela Januario Dos Anjos</t>
  </si>
  <si>
    <t>Alexandre Velloso Dos Santos</t>
  </si>
  <si>
    <t>Lygia Cavalcanti Nogueira Leite</t>
  </si>
  <si>
    <t>Michele Guerreiro Furtado</t>
  </si>
  <si>
    <t>Carolina Moraes</t>
  </si>
  <si>
    <t>Mariana Christina De Souza Silva</t>
  </si>
  <si>
    <t>Elisângella Maria Da Silva Santos Santana</t>
  </si>
  <si>
    <t>Sandy Almeida Alencar</t>
  </si>
  <si>
    <t>Mídya Santos De Albuquerque</t>
  </si>
  <si>
    <t>Mileny Roque Da Silva</t>
  </si>
  <si>
    <t>Marta Sueli Dos Santos Almeida</t>
  </si>
  <si>
    <t>Rosane Araujo De Freitas</t>
  </si>
  <si>
    <t>Rayra Gylberta Andrade Ribeiro</t>
  </si>
  <si>
    <t>Givan Inácio Cavalcante Filho</t>
  </si>
  <si>
    <t>Beatriz Ellen Rosendo Silva</t>
  </si>
  <si>
    <t>Roniery Filipe Nascimento Cunha</t>
  </si>
  <si>
    <t>Paulo Fernando De Oliveira</t>
  </si>
  <si>
    <t>Yasmin Cristina Dias Da Silva</t>
  </si>
  <si>
    <t>Rafaela Silva Maia</t>
  </si>
  <si>
    <t>Indira Luiza Dos Santos Costa</t>
  </si>
  <si>
    <t>Maceliana Serafim Pereira</t>
  </si>
  <si>
    <t>Jaqueline Pereira Dalposso</t>
  </si>
  <si>
    <t>Wynne Mara Lima Do Nascimento</t>
  </si>
  <si>
    <t>Akyla Thais Da Silva Gonzaga</t>
  </si>
  <si>
    <t>Maria Erika De Farias Araújo</t>
  </si>
  <si>
    <t>Rafael Duarte Cabral</t>
  </si>
  <si>
    <t>Marciele Melo Santiago</t>
  </si>
  <si>
    <t>Amanda De Oliveira Lopes</t>
  </si>
  <si>
    <t>Suzana De Souza</t>
  </si>
  <si>
    <t>Juliana Gomes De Melo</t>
  </si>
  <si>
    <t>Aline Virginia Do Nascimento Pantaleão Câmara</t>
  </si>
  <si>
    <t>Ailton Leite Vieira</t>
  </si>
  <si>
    <t>Kamilla Dematte Pereira</t>
  </si>
  <si>
    <t>Raphaela Pereira Soares Teixeira</t>
  </si>
  <si>
    <t>Heverton Henrique Marques Nogueira</t>
  </si>
  <si>
    <t>Lucas Emmanuell Da Silveira Gonçalves</t>
  </si>
  <si>
    <t>Gilzielly Xavier Da Silva</t>
  </si>
  <si>
    <t>Grazielle Dias Alves</t>
  </si>
  <si>
    <t>João Paulo Santos Bruno Gomes</t>
  </si>
  <si>
    <t>Henrique Rezende Fidelis</t>
  </si>
  <si>
    <t>Marianna Rodrigues Moreira</t>
  </si>
  <si>
    <t>José Rafael Soares Alves</t>
  </si>
  <si>
    <t>Fabiana Alves Bernardino</t>
  </si>
  <si>
    <t>Kelly Paiva E Silva</t>
  </si>
  <si>
    <t>Carina Leite De Lima</t>
  </si>
  <si>
    <t>José Rafael Carlos De Sá</t>
  </si>
  <si>
    <t>Sâmara Deyvila Lopes Herculano</t>
  </si>
  <si>
    <t>Priscila Santos Rodrigues Araújo</t>
  </si>
  <si>
    <t>Juliana Moreira Pocera</t>
  </si>
  <si>
    <t>Mariane Sampaio Gomes</t>
  </si>
  <si>
    <t>Jose Italo Felix Da Silva</t>
  </si>
  <si>
    <t>Flaudízio Días De Oliveira Andrade</t>
  </si>
  <si>
    <t>Carlos André Lima Silva</t>
  </si>
  <si>
    <t>Fabiúla De Lima Caldas</t>
  </si>
  <si>
    <t>Vanessa Géssica Silva De Lima</t>
  </si>
  <si>
    <t>Giocondo De Andrade Lacerda</t>
  </si>
  <si>
    <t>Rediciara Salete Branca Mantovani</t>
  </si>
  <si>
    <t>John Wellinton Mendes</t>
  </si>
  <si>
    <t>Karolayne De Souza Novaes</t>
  </si>
  <si>
    <t>Henrique Machado Bianchi</t>
  </si>
  <si>
    <t>Karla Correia De Oliveira</t>
  </si>
  <si>
    <t>Guilherme Junqueira Barbosa</t>
  </si>
  <si>
    <t>Luciana Mayara Silva Lopes</t>
  </si>
  <si>
    <t>Rayne Ferreira De Souza</t>
  </si>
  <si>
    <t>Bianca De Jesus Santos</t>
  </si>
  <si>
    <t>Claudia Cristina Santana De Souza</t>
  </si>
  <si>
    <t xml:space="preserve">alínea “b”;  alínea “c”; </t>
  </si>
  <si>
    <t>Barbara Regina Lima Da Silva</t>
  </si>
  <si>
    <t>Ezequiel Marcelino De Santana</t>
  </si>
  <si>
    <t>Anderson Calazães Coutinho</t>
  </si>
  <si>
    <t>Ana Luisa Alves Bezerra</t>
  </si>
  <si>
    <t>Marianne Joyce Costa Moura</t>
  </si>
  <si>
    <t>Aline Mara Da Silva De Souza</t>
  </si>
  <si>
    <t>Alencar Netto Francelino De Souza</t>
  </si>
  <si>
    <t>Joana Inês Pereira Da Costa</t>
  </si>
  <si>
    <t>Fernando Moraes Silva</t>
  </si>
  <si>
    <t>Regina Celia Balico Ortega</t>
  </si>
  <si>
    <t>Vitoria De Andrade</t>
  </si>
  <si>
    <t>Jefferson Lucas Souza Silva</t>
  </si>
  <si>
    <t>Damaris Pedrosa Gomes</t>
  </si>
  <si>
    <t>Denilson De Lima Rosa</t>
  </si>
  <si>
    <t>Eduardo Do Nascimento Medeiros</t>
  </si>
  <si>
    <t>Nayane Pereira Silva</t>
  </si>
  <si>
    <t>Thayna Karine Teixeira</t>
  </si>
  <si>
    <t>Maria Josilma De Oliveira</t>
  </si>
  <si>
    <t>Ana Carolina Santos Silva</t>
  </si>
  <si>
    <t>Bruno Rafael Medeiros Fernandes</t>
  </si>
  <si>
    <t>Kalyny Nayara Da Costa Silva</t>
  </si>
  <si>
    <t>Marília Gabriely Dias De Barros</t>
  </si>
  <si>
    <t>Dawid De Lima</t>
  </si>
  <si>
    <t>Patricia Regina Pires Da Silva Demetrio</t>
  </si>
  <si>
    <t>Alessandra Dos Santos Rocha</t>
  </si>
  <si>
    <t>Nubia Soares De Souza Maia</t>
  </si>
  <si>
    <t>Bruna Lara Da Silva</t>
  </si>
  <si>
    <t>Thatyanne Waleska Ramos</t>
  </si>
  <si>
    <t>Paula Raíssa Monteiro Assunção</t>
  </si>
  <si>
    <t>Laryssa Gonçalves Benevides</t>
  </si>
  <si>
    <t>Thais Lopes Campanha</t>
  </si>
  <si>
    <t>Éverton Da Silva Lima</t>
  </si>
  <si>
    <t>Ester Souza Lacerda</t>
  </si>
  <si>
    <t>Maria Rayane Gomes De Oliveira</t>
  </si>
  <si>
    <t>Ezequiel Cunha Da Silva</t>
  </si>
  <si>
    <t>Lucas Rafael De Oliveira</t>
  </si>
  <si>
    <t>Rodrigo Agra Barbalho</t>
  </si>
  <si>
    <t>Camila Waleska Oliveira Da Silva</t>
  </si>
  <si>
    <t>Maria Geane Do Nascimento Frazão</t>
  </si>
  <si>
    <t>Vanessa Cristina De Souza Prates</t>
  </si>
  <si>
    <t>Beatriz Larissa Barbosa Figueiredo</t>
  </si>
  <si>
    <t>Larissa Grazielly De Souza Caldas</t>
  </si>
  <si>
    <t>Jose Aparecido De Jesus</t>
  </si>
  <si>
    <t>Victor Gabriel Dos Santos Chagas</t>
  </si>
  <si>
    <t>Anatieli Dos Santos Girão</t>
  </si>
  <si>
    <t>Fabiene Ventura Santiago</t>
  </si>
  <si>
    <t>Maria Goréti De Souza</t>
  </si>
  <si>
    <t>Ayrllan Rodrigues Cândido</t>
  </si>
  <si>
    <t>Creysla Milena Lino E Silva</t>
  </si>
  <si>
    <t>Icaro Gabriel Ramos Caetano</t>
  </si>
  <si>
    <t>Eliedna Alves Matias</t>
  </si>
  <si>
    <t>Jullyara Adlla Marinho De Oliveira</t>
  </si>
  <si>
    <t>Daniela Cristina Silva</t>
  </si>
  <si>
    <t>Ilanna Rangel Beraldini Ferreira</t>
  </si>
  <si>
    <t>Samara Milena Monteiro Lima</t>
  </si>
  <si>
    <t>Anna Carolina Machado Costa</t>
  </si>
  <si>
    <t>Wedja Mayara Rodrigues De Oliveira</t>
  </si>
  <si>
    <t>Natanael Peres Graton</t>
  </si>
  <si>
    <t>Poliana Lira De Mendonca</t>
  </si>
  <si>
    <t>Amanda Lourenço De Faria</t>
  </si>
  <si>
    <t>Mayara Karen Silva</t>
  </si>
  <si>
    <t>Paulo Henrique Gomes Rodrigues</t>
  </si>
  <si>
    <t>Carlos Antônio Dos Santos</t>
  </si>
  <si>
    <t>Mayana Alves Pereira Machado</t>
  </si>
  <si>
    <t>Puebla Janacer Do Carmo Fernandes</t>
  </si>
  <si>
    <t>Yuri Da Silva Mendonça</t>
  </si>
  <si>
    <t>Vanessa Santos Brito</t>
  </si>
  <si>
    <t>Izabela Cristina Ramos Xavier</t>
  </si>
  <si>
    <t>Francisca Judilene Leite Linhares</t>
  </si>
  <si>
    <t>Ana Carolina De França</t>
  </si>
  <si>
    <t>Naraiane Kulik De Oliveira</t>
  </si>
  <si>
    <t>Paula Moreira Souza</t>
  </si>
  <si>
    <t>André Trindade Jardim</t>
  </si>
  <si>
    <t>Ericles Da Silva</t>
  </si>
  <si>
    <t>Maria Carolina Moura De Brito</t>
  </si>
  <si>
    <t>Luiz Eduardo Arruda Marinho</t>
  </si>
  <si>
    <t>Maria Valdislane Silva Lima</t>
  </si>
  <si>
    <t>Robert Gabriel Belilo De Faria</t>
  </si>
  <si>
    <t>Gustavo Henrique Félix Parente</t>
  </si>
  <si>
    <t>Jéssica Maria Nascimento De Melo</t>
  </si>
  <si>
    <t>Thales Morais Nascimento</t>
  </si>
  <si>
    <t>Bruna De Oliveira Rodrigues</t>
  </si>
  <si>
    <t>Alyne Fernanda Brito Cirino</t>
  </si>
  <si>
    <t>Maria Saionara Da Silva</t>
  </si>
  <si>
    <t>Francineia Aparecida Alipio</t>
  </si>
  <si>
    <t>Taylor Toledo Euclides</t>
  </si>
  <si>
    <t>Adriele De Souza Santos De Paula</t>
  </si>
  <si>
    <t>Mariane Cristina Zavolski</t>
  </si>
  <si>
    <t>Mirian Maria Silva De Carvalho</t>
  </si>
  <si>
    <t>Manoel Vitor Leite</t>
  </si>
  <si>
    <t>Adriana Da Luz Da Rosa</t>
  </si>
  <si>
    <t>Flavia Da Silva Cardoso</t>
  </si>
  <si>
    <t>Renato Jose Da Rocha</t>
  </si>
  <si>
    <t>Joyce Lane Perboire Dalmazio</t>
  </si>
  <si>
    <t>Halan Machado Dos Santos</t>
  </si>
  <si>
    <t>Yasmin Joelina Da Silva</t>
  </si>
  <si>
    <t>Max Wilian Januario Felipe</t>
  </si>
  <si>
    <t>Maria Aparecida Da Silva Santos</t>
  </si>
  <si>
    <t>Denise Alecsandra Andrade Fernandez</t>
  </si>
  <si>
    <t>Sarah Ribeiro Dos Santos</t>
  </si>
  <si>
    <t>Juliana Sales Alexandrino De Alencar</t>
  </si>
  <si>
    <t>Marilia Aparecida De Faria</t>
  </si>
  <si>
    <t>Luana Capelli Duarte</t>
  </si>
  <si>
    <t>Luciara Helena Da Rosa</t>
  </si>
  <si>
    <t>Rayane Lacerda De Jesus</t>
  </si>
  <si>
    <t>Yara Morgana Rocha Alves Da Silva</t>
  </si>
  <si>
    <t>Adriana Moreno Silverio</t>
  </si>
  <si>
    <t>Amanda Cristina Gomes De Menezes Sá</t>
  </si>
  <si>
    <t>Thaynara De Azevedo Luciano</t>
  </si>
  <si>
    <t>Maylane Nunes Do Nascimento Flora</t>
  </si>
  <si>
    <t>Tamiris De Souza</t>
  </si>
  <si>
    <t>Jéssica Alane Araujo Da Silva</t>
  </si>
  <si>
    <t>Celione Cristina Da Silva</t>
  </si>
  <si>
    <t>Ana Célia Barros Da Silveira</t>
  </si>
  <si>
    <t>Jucilene Do Carmo Pereira</t>
  </si>
  <si>
    <t>Caio Roberto Rodrigues</t>
  </si>
  <si>
    <t>Murilo Augusto Elias</t>
  </si>
  <si>
    <t>Isabelly Patrìcia De Souza Arruda</t>
  </si>
  <si>
    <t>Stephanie Jasianni Ferreira Barbosa</t>
  </si>
  <si>
    <t>Andressa De Castro Sahdo</t>
  </si>
  <si>
    <t>Thales Teixeira Da Silva</t>
  </si>
  <si>
    <t>Carolynne Maciel De Souza</t>
  </si>
  <si>
    <t>Diuly Jaqueline Martins Portas</t>
  </si>
  <si>
    <t>Regina Célia Lucas Almeida</t>
  </si>
  <si>
    <t>Ingrid Calixto Da Rocha</t>
  </si>
  <si>
    <t>Aparecida Hosiane De Sousa Da Silva</t>
  </si>
  <si>
    <t>Davi Luiz Da Silva</t>
  </si>
  <si>
    <t>Claudia Alberta Da Silva Ferreira</t>
  </si>
  <si>
    <t>Jorge Thomaz Furtado Mendes Neto</t>
  </si>
  <si>
    <t>Paulo Eduardo Ferreira Do Nascimento Silva</t>
  </si>
  <si>
    <t>Nataly Ribeiro Medeiros</t>
  </si>
  <si>
    <t>Ana Paula Gonçalves Rodrigues</t>
  </si>
  <si>
    <t>Erica Marinho Fernandes Da Silva</t>
  </si>
  <si>
    <t>Jaelma Dos Santos Silva</t>
  </si>
  <si>
    <t>Carlos Alberto Pereira</t>
  </si>
  <si>
    <t>Tatiane Misael Da Silva</t>
  </si>
  <si>
    <t>Gabriel Lucas De Souza</t>
  </si>
  <si>
    <t>Hevilyn Bianca Fischer</t>
  </si>
  <si>
    <t>Aniris Priscila Rabelo Correa</t>
  </si>
  <si>
    <t>Carlos Alberto De Peder</t>
  </si>
  <si>
    <t>Tatyanne Wanderpetrocovitz Nascimento Rodrigues</t>
  </si>
  <si>
    <t>Gislainy Raiele Da Cruz Fernandes</t>
  </si>
  <si>
    <t>Marilene Santos De Andrade Ribeiro</t>
  </si>
  <si>
    <t>Elizabeth Barbosa Lins</t>
  </si>
  <si>
    <t>Romerson Antunes Soares Filho</t>
  </si>
  <si>
    <t>Renata Marina Phelipe Rodrigues Sacramento</t>
  </si>
  <si>
    <t>João Paulo Dos Santos</t>
  </si>
  <si>
    <t>David Michael Lopes Alves</t>
  </si>
  <si>
    <t>Stefhanie Beatriz Nunes De Albuquerque</t>
  </si>
  <si>
    <t>Priscila Da Silva Lima</t>
  </si>
  <si>
    <t>Lais Maria Silva Dos Santos</t>
  </si>
  <si>
    <t>Aline Tertuliano Da Silva</t>
  </si>
  <si>
    <t>Tuanny Ferreira Primo</t>
  </si>
  <si>
    <t>Washington Alves Santiago</t>
  </si>
  <si>
    <t>Samanta De Lima Bruno</t>
  </si>
  <si>
    <t>Wilian Alves Batista</t>
  </si>
  <si>
    <t>Sabrina Lucena Ramos</t>
  </si>
  <si>
    <t>Vanuza Andre De Araujo Da Silva</t>
  </si>
  <si>
    <t>Michelle Da Silva Carvalho</t>
  </si>
  <si>
    <t>Natália Leandro Da Silva</t>
  </si>
  <si>
    <t>Jdhullia Lawanda Ferreira Oliveira</t>
  </si>
  <si>
    <t>Antonio Sergio Novais Rodrigues</t>
  </si>
  <si>
    <t>Erica Santiago Da Silva</t>
  </si>
  <si>
    <t>Poliana Vanderlei De Araújo</t>
  </si>
  <si>
    <t>Gesmaelly Naara Oliveira Silva</t>
  </si>
  <si>
    <t>Mauri Antunes Caldeira Neto</t>
  </si>
  <si>
    <t>Francisco Pimenta De Araujo</t>
  </si>
  <si>
    <t>Patricia Mendes Da Rocha</t>
  </si>
  <si>
    <t>Maria Da Conceição Ferreira Dos Santos</t>
  </si>
  <si>
    <t>Emanuelly Salles De Amorim</t>
  </si>
  <si>
    <t>Messias Afonso Da Silva Junior</t>
  </si>
  <si>
    <t>Rafaela Lais Nascimento Dos Santos</t>
  </si>
  <si>
    <t>Elivania Barbosa De Andrade</t>
  </si>
  <si>
    <t>Marina Marchiote De Assis</t>
  </si>
  <si>
    <t>Kyonara De Mesquita Souza</t>
  </si>
  <si>
    <t>Rosane Amaral De Jesus</t>
  </si>
  <si>
    <t>Tuane Caroline Macedo Da Silva</t>
  </si>
  <si>
    <t>Wellington Luiz De Oliveira</t>
  </si>
  <si>
    <t>Abigail Cardoso</t>
  </si>
  <si>
    <t>Suellen Patente Silva</t>
  </si>
  <si>
    <t>Aline Lopes De Andrade</t>
  </si>
  <si>
    <t xml:space="preserve"> alínea “c”; </t>
  </si>
  <si>
    <t>Revison Ribeiro Leite Filho</t>
  </si>
  <si>
    <t>Camila De Jesus Reborço</t>
  </si>
  <si>
    <t>Janaina Brasilio Santos</t>
  </si>
  <si>
    <t>Erasmo Ferreira Vidal Rangel</t>
  </si>
  <si>
    <t>Felipe Bandeira De Almeida Lins</t>
  </si>
  <si>
    <t>Juliane De Oliveira Figueiredo</t>
  </si>
  <si>
    <t>João Vitor Frohlich Pereira</t>
  </si>
  <si>
    <t>John Lenon Martinho Chaves</t>
  </si>
  <si>
    <t>Gabriel Alan Dos Santos</t>
  </si>
  <si>
    <t>Edinaldo Augusto Silva Santos</t>
  </si>
  <si>
    <t>Franciele Oliveira De Queiroz</t>
  </si>
  <si>
    <t>Sâmela Rayane Ferreira Da Silva</t>
  </si>
  <si>
    <t>Willames Souza De Farias</t>
  </si>
  <si>
    <t>Allícia De Souza Apolinario</t>
  </si>
  <si>
    <t>André Rodrigues Dos Santos</t>
  </si>
  <si>
    <t>Lahis Samara De Souza Santos</t>
  </si>
  <si>
    <t>Selma Francisco Vieira</t>
  </si>
  <si>
    <t>Rhanna Souza Lima</t>
  </si>
  <si>
    <t>Flavia Figueiredo Goncalves</t>
  </si>
  <si>
    <t>Sara Rebeca Pereira Dos Santos</t>
  </si>
  <si>
    <t>Rosane Alves De Souza</t>
  </si>
  <si>
    <t>Lais Maria De Jesus</t>
  </si>
  <si>
    <t>Maria Emanuela Lavor Farias</t>
  </si>
  <si>
    <t>Geiselena Teixeira De Oliveira</t>
  </si>
  <si>
    <t>Ana Carolina De Brito E Silva</t>
  </si>
  <si>
    <t>Crislayne Rayane Cabral De Oliveira Melo</t>
  </si>
  <si>
    <t>Ana Maria Dos Santos</t>
  </si>
  <si>
    <t>Manuella Cássia Peixoto Villa Nova</t>
  </si>
  <si>
    <t>alínea "c"</t>
  </si>
  <si>
    <t>Adriana Cheila Salvador Da Silva</t>
  </si>
  <si>
    <t>Natália Bueno Rodrigues</t>
  </si>
  <si>
    <t>Maria Natália Soares Silva</t>
  </si>
  <si>
    <t>Maria Eduarda Cardozo Dos Santos</t>
  </si>
  <si>
    <t>Jailson De Sousa Meira</t>
  </si>
  <si>
    <t>Rafaela Balbino Rosa</t>
  </si>
  <si>
    <t>Girlane Nunes Da Silva</t>
  </si>
  <si>
    <t>Oseas Rafael Barbosa Da Silva</t>
  </si>
  <si>
    <t>Jeanny Santos Lima</t>
  </si>
  <si>
    <t>Brunogomes Dos Santos</t>
  </si>
  <si>
    <t>Vitoria Elizabeth De Oliveira</t>
  </si>
  <si>
    <t>Crislane Soares De Matos</t>
  </si>
  <si>
    <t>Samara Sthefany Do Monte Silva</t>
  </si>
  <si>
    <t>Alex Gonçalves Dos Santos</t>
  </si>
  <si>
    <t>Lorrane Almeida Dos Santos</t>
  </si>
  <si>
    <t>Marcus Vinicius Fonseca Vieira</t>
  </si>
  <si>
    <t>Edila Jamile Ferreira Silva</t>
  </si>
  <si>
    <t>Max Robson Dias</t>
  </si>
  <si>
    <t>Camila Delonzek</t>
  </si>
  <si>
    <t>Narcia Eustachia Ferreira</t>
  </si>
  <si>
    <t>Christian Araújo Gomes</t>
  </si>
  <si>
    <t>Joice Tanara Souza Siqueira Andrade</t>
  </si>
  <si>
    <t>Maria Cristina Dos Santos</t>
  </si>
  <si>
    <t>Francilane Carvalho Conceição</t>
  </si>
  <si>
    <t>José Lucas Galdino Leite</t>
  </si>
  <si>
    <t>alínea “b”; alínea "c"</t>
  </si>
  <si>
    <t>Gustavo De Souza Ferreira</t>
  </si>
  <si>
    <t>Camila Aires De Oliveira Vieira E Silva</t>
  </si>
  <si>
    <t>Renata Coelho</t>
  </si>
  <si>
    <t>Jamily Alves Freire</t>
  </si>
  <si>
    <t>Juscilaine Carvalho Teixeira</t>
  </si>
  <si>
    <t>Gabriella Cristine Costa De Oliveira Cunha</t>
  </si>
  <si>
    <t>Jessica Patricia Justino Lopes</t>
  </si>
  <si>
    <t>Ruth De Oliveira Arquino</t>
  </si>
  <si>
    <t>Mariana Vieira Fortunato</t>
  </si>
  <si>
    <t>Danielle Dos Santos Souza</t>
  </si>
  <si>
    <t>Rafaella Santos Cardoso</t>
  </si>
  <si>
    <t>Thalia Luara Morais Ferreira</t>
  </si>
  <si>
    <t>Júlia Patrícia Sérvulo Da Costa</t>
  </si>
  <si>
    <t>Gustavo Santana De Souza</t>
  </si>
  <si>
    <t>Mayra Veiga De Souza</t>
  </si>
  <si>
    <t>Katia Gonçalves De Lima</t>
  </si>
  <si>
    <t>Yasmim Maria Manoel De Moraes Espindula</t>
  </si>
  <si>
    <t>Erika Mara Silva De Souza Pichara</t>
  </si>
  <si>
    <t>Eliellton Silva Florentino</t>
  </si>
  <si>
    <t>Thalia Da Nóbrega Bezerra</t>
  </si>
  <si>
    <t>Reinaldo Junio Silva Beijamim</t>
  </si>
  <si>
    <t>Ana Caroline Silva Mariano</t>
  </si>
  <si>
    <t>Ester De Oliveira E Silva</t>
  </si>
  <si>
    <t>Nicolas Henrique Costa Freitas</t>
  </si>
  <si>
    <t>Rubsley Barbosa Alves</t>
  </si>
  <si>
    <t>Monique Mendes Santiago Da Silva</t>
  </si>
  <si>
    <t>José Félix Do Vale Neto</t>
  </si>
  <si>
    <t>Weslei Fábio Vieira</t>
  </si>
  <si>
    <t>Victor Lucas Afonseca Andre</t>
  </si>
  <si>
    <t>Ermando Sinésio Da Silva Junior</t>
  </si>
  <si>
    <t>Iago Blendon Neto Thomaz</t>
  </si>
  <si>
    <t>Renan Jose Da Silva</t>
  </si>
  <si>
    <t>Rafaela Martins Da Silva</t>
  </si>
  <si>
    <t>Matheus Cruz Barros De Lima</t>
  </si>
  <si>
    <t>Edna Maria Da Silva</t>
  </si>
  <si>
    <t>Gislaine Dantas Cerqueira</t>
  </si>
  <si>
    <t>Laís Vieira De Ataide</t>
  </si>
  <si>
    <t>Laianny Gomes De Lima Nogueira</t>
  </si>
  <si>
    <t>Samira Rodrigues Dos Reis</t>
  </si>
  <si>
    <t>Danton Ferreira Siqueira</t>
  </si>
  <si>
    <t>Isa Pereira Diniz Da Silva</t>
  </si>
  <si>
    <t>Karla Luana Maia Leal</t>
  </si>
  <si>
    <t>Joyce Roseane Carvalho Dias</t>
  </si>
  <si>
    <t>Denyse Ferreira Da Silva</t>
  </si>
  <si>
    <t>Layara Sthefani Viana Silva</t>
  </si>
  <si>
    <t>Joice Elaine Kovalhuk Netto</t>
  </si>
  <si>
    <t>Marina Ferreira Borges</t>
  </si>
  <si>
    <t>Jumara Batista Rodrigues</t>
  </si>
  <si>
    <t>Katia Martins Cordeiro Honorato</t>
  </si>
  <si>
    <t>Ysis Gomes De Souza</t>
  </si>
  <si>
    <t>Ellen Tassiane De Brito Borges</t>
  </si>
  <si>
    <t>Bruna Dutra De Freitas E Silva</t>
  </si>
  <si>
    <t>Tania Maria Do Nascimento Silva</t>
  </si>
  <si>
    <t>Suelen Cesar De Mello</t>
  </si>
  <si>
    <t>Pedro Alves Dutra</t>
  </si>
  <si>
    <t>Andressa Gabriella Fonseca Andrade Macêdo</t>
  </si>
  <si>
    <t>Raphael Carvalho Ferreira</t>
  </si>
  <si>
    <t>Rhaysa Luisa Dias Ramos</t>
  </si>
  <si>
    <t>Tamires Dias Vieira</t>
  </si>
  <si>
    <t>Emely Vieira Feitosa</t>
  </si>
  <si>
    <t>Cynthia Kaline Santana Silva</t>
  </si>
  <si>
    <t>Nathanael Lacerda Pereira</t>
  </si>
  <si>
    <t>Luna De Oliveira Barbosa</t>
  </si>
  <si>
    <t>Natalia Gabriele Silva Araujo</t>
  </si>
  <si>
    <t>Carolaine Félix De Brito</t>
  </si>
  <si>
    <t>Natália Borges Melgaço</t>
  </si>
  <si>
    <t>Auxiliadora Socorro Dos Santos</t>
  </si>
  <si>
    <t>Daiane Nunes Da Silva</t>
  </si>
  <si>
    <t>Rodrigo Batista Guidoni</t>
  </si>
  <si>
    <t>Aline Medeiros Sanches</t>
  </si>
  <si>
    <t>Paloma Cristina De Freitas</t>
  </si>
  <si>
    <t>Ana Luiza Dos Reis Silva</t>
  </si>
  <si>
    <t>Patricia Souza Da Costa</t>
  </si>
  <si>
    <t>Diego Jaime Soares Pereira</t>
  </si>
  <si>
    <t>Ana Kézia Rodrigues Ribeiro</t>
  </si>
  <si>
    <t>Isabella Ferreira Tavares Soriano</t>
  </si>
  <si>
    <t>Max Allan Lima Oliveira Do Nascimento</t>
  </si>
  <si>
    <t>Ingrid Darlly Gomes Da Silva</t>
  </si>
  <si>
    <t>Rafaela Silva Almeida Martins</t>
  </si>
  <si>
    <t>Walter Cassio Coelho Mathenhann</t>
  </si>
  <si>
    <t>Renata Rodrigues Maia</t>
  </si>
  <si>
    <t>Glicia Aparecida Solano De Souza</t>
  </si>
  <si>
    <t>Ana Flávia Dos Santos</t>
  </si>
  <si>
    <t>Mariana Cristina Tissianel De Freitas</t>
  </si>
  <si>
    <t>Rúbia Michelle De Oliveira</t>
  </si>
  <si>
    <t>Eliandra Lurdes Dos Prazeres</t>
  </si>
  <si>
    <t>Rayssa De Fátima Gomides</t>
  </si>
  <si>
    <t>Maria Aparecida Costa Bezerra</t>
  </si>
  <si>
    <t>alínea “b”;  alínea "c"</t>
  </si>
  <si>
    <t>Pablo Marcio Henrique</t>
  </si>
  <si>
    <t>Paloma Tamyres Fernandes Lopes</t>
  </si>
  <si>
    <t>Marcia Mendes</t>
  </si>
  <si>
    <t>Michael Dos Santos Cordeiro</t>
  </si>
  <si>
    <t>Ranielle Alves Dos Santos</t>
  </si>
  <si>
    <t>Valquíria Cunha De Sousa</t>
  </si>
  <si>
    <t>Bruna Neves Figueiredo</t>
  </si>
  <si>
    <t>Andressa Rafaelly Maia Dias</t>
  </si>
  <si>
    <t>Rayane Silva Dos Santos</t>
  </si>
  <si>
    <t>Felipe De Medeiros Araújo</t>
  </si>
  <si>
    <t>Lorena Mota Mendes</t>
  </si>
  <si>
    <t>Maria Cristina De Oliveira</t>
  </si>
  <si>
    <t>Jéssica Supriano De Freitas</t>
  </si>
  <si>
    <t>Sthefany Assunção Nascimento</t>
  </si>
  <si>
    <t>Juliane Ponciano Trajano</t>
  </si>
  <si>
    <t>Igor Miranda Da Silva</t>
  </si>
  <si>
    <t>Deivid Silva Carvalho</t>
  </si>
  <si>
    <t>Monik Samara Borges Alves</t>
  </si>
  <si>
    <t>Carolani Araujo Santos</t>
  </si>
  <si>
    <t>Jaiane Thais Miranda Pacheco</t>
  </si>
  <si>
    <t>Elias Ferreira Rodrigues</t>
  </si>
  <si>
    <t>Ivanise da Silva</t>
  </si>
  <si>
    <t>Michelle Santos Do Nascimento</t>
  </si>
  <si>
    <t>Isabella De Freitas Ribeiro</t>
  </si>
  <si>
    <t>Jaine Arestides Da Silva</t>
  </si>
  <si>
    <t>Tiago Luiz Gomes Alves Da Mata</t>
  </si>
  <si>
    <t>Renata Layane Seabra Lourenço</t>
  </si>
  <si>
    <t>Josivânia Rodrigues Da Silva</t>
  </si>
  <si>
    <t>Patrick Almeida Menezes</t>
  </si>
  <si>
    <t>Audeclecia Da Silva</t>
  </si>
  <si>
    <t>Jilcelane Da Silva Nascimento</t>
  </si>
  <si>
    <t>Paulo Ricardo Alves Salgado Rodrigues</t>
  </si>
  <si>
    <t>Thalia Ianik Dos Santos</t>
  </si>
  <si>
    <t>Jenifer Tainá Ianik Dos Santos</t>
  </si>
  <si>
    <t>Najara Regina Queiroz De Almeida</t>
  </si>
  <si>
    <t>Evelin Caroline Pereira Dos Santos</t>
  </si>
  <si>
    <t>Jamille Isabel Alves Pile E Silva</t>
  </si>
  <si>
    <t>Hellen Filgueiras Dos Santos</t>
  </si>
  <si>
    <t>Isislany Martins Melo</t>
  </si>
  <si>
    <t>Geovane Ribeiro Peçanha</t>
  </si>
  <si>
    <t>Lindinez Henrique Da Silva</t>
  </si>
  <si>
    <t>Marco Antonio Da Conceição</t>
  </si>
  <si>
    <t>Sabrina Pereira De Oliveira Silva</t>
  </si>
  <si>
    <t>Fabricio Barreto Gonzalez</t>
  </si>
  <si>
    <t>Kalline Kelly Ferreira Agostinho</t>
  </si>
  <si>
    <t>Joao Felipe Gomes Dos Santos Pereira</t>
  </si>
  <si>
    <t>Tatiane Cordeiro Pereira</t>
  </si>
  <si>
    <t>Carlos Cavalcante Ferreira</t>
  </si>
  <si>
    <t>Tiago Gomes Da Silva</t>
  </si>
  <si>
    <t>Amanda Ramos Dos Santos</t>
  </si>
  <si>
    <t>Rinele Monteiro Nascimento Alves</t>
  </si>
  <si>
    <t>Flávia Lethycia Barboza De Lima</t>
  </si>
  <si>
    <t>Lucimara Pereira Ramos</t>
  </si>
  <si>
    <t>Drielen Galvão Da Silva Machado</t>
  </si>
  <si>
    <t>Lorena Cassiano De Souza</t>
  </si>
  <si>
    <t>Ewerton José Brandão De Lima</t>
  </si>
  <si>
    <t>Edair Rodrigues Gonçalves</t>
  </si>
  <si>
    <t>Zaira Hellida Nunes De Souza</t>
  </si>
  <si>
    <t>Priscila Caren De Goes Bezerra</t>
  </si>
  <si>
    <t>Victor Hugo De Assis Moura</t>
  </si>
  <si>
    <t>Camila Assis Sacramento</t>
  </si>
  <si>
    <t>Naiane Abreu Silveira</t>
  </si>
  <si>
    <t>Lucas Ferreira Alves</t>
  </si>
  <si>
    <t>Elizeu Bezerra Da Silva Santos</t>
  </si>
  <si>
    <t>Devany Miranda Vieira Assunção</t>
  </si>
  <si>
    <t>Waleska Conceição Oliveira Santos</t>
  </si>
  <si>
    <t>Renata De Oliveira Coutinho De Souza</t>
  </si>
  <si>
    <t>Bruna Satiro Costa</t>
  </si>
  <si>
    <t>Lucas Eduardo Da Silva Soares</t>
  </si>
  <si>
    <t>Maria Elizabete Da Silva</t>
  </si>
  <si>
    <t>João Paulo Gomes Lima Cordeiro</t>
  </si>
  <si>
    <t>Maria Eduarda Da Silva Lima</t>
  </si>
  <si>
    <t>Stephani Lopes</t>
  </si>
  <si>
    <t>Rafael Macedo De Oliveira</t>
  </si>
  <si>
    <t>Maria Gabriela Moreira Da Silva</t>
  </si>
  <si>
    <t>Kaonna Chagas Dos Santos</t>
  </si>
  <si>
    <t>Carlos Antonio Da Silva</t>
  </si>
  <si>
    <t>Roberta Da Costa Machado</t>
  </si>
  <si>
    <t>Pedro Borges Mundim</t>
  </si>
  <si>
    <t>Elisa Andrea Brum Ferreira</t>
  </si>
  <si>
    <t>Suellen Teles Da Silva Carvalho</t>
  </si>
  <si>
    <t>Gustavo Ferreira Coelho</t>
  </si>
  <si>
    <t>Rayane Souza Venancio</t>
  </si>
  <si>
    <t>Michelle Maria Caetano</t>
  </si>
  <si>
    <t>Wallace Luiz Rodrigues De Oliveira</t>
  </si>
  <si>
    <t>Eneas Gonçalves Junior</t>
  </si>
  <si>
    <t>Aline Andrade De Souza</t>
  </si>
  <si>
    <t>Julia Caroline Dos Santos</t>
  </si>
  <si>
    <t>Alice Gabriele De Souza Cirilo</t>
  </si>
  <si>
    <t>Fabrício Antunes Da Costa</t>
  </si>
  <si>
    <t>Leonardo Venâncio Luz</t>
  </si>
  <si>
    <t>Thaís Correa Reis De Toledo Piza</t>
  </si>
  <si>
    <t>Bruno Vitor Rodrigues De Sá</t>
  </si>
  <si>
    <t>Gabrielly Virgínia Calazans Cruz</t>
  </si>
  <si>
    <t>Roger William Pavelski Da Silva</t>
  </si>
  <si>
    <t>Carlos Henrique De Alcantara</t>
  </si>
  <si>
    <t>alínea “b”;  alínea “e”</t>
  </si>
  <si>
    <t>Evelyn Teixeira Moreira</t>
  </si>
  <si>
    <t>Maria Gabriela Oliveira Damasio</t>
  </si>
  <si>
    <t>Lauane Thaís Moreira Gomes</t>
  </si>
  <si>
    <t>Mylena Moreira Alves</t>
  </si>
  <si>
    <t>Antonio Henrique Fortaleza Silva</t>
  </si>
  <si>
    <t>Andrezza Arianne Silva Araujo</t>
  </si>
  <si>
    <t>Alane Clécia Da Silva Alves</t>
  </si>
  <si>
    <t>Victoria Viana Garcia</t>
  </si>
  <si>
    <t>Mayane Gonçalves Da Silva De Paiva</t>
  </si>
  <si>
    <t>José Antônio Dos Santos Junior</t>
  </si>
  <si>
    <t>Marcelo De Matos Machado</t>
  </si>
  <si>
    <t>Amanda De Melo</t>
  </si>
  <si>
    <t>Lívia Maria Santos Ferreira</t>
  </si>
  <si>
    <t>Fabio Vinicius Vilela Neris</t>
  </si>
  <si>
    <t>Talita Souza De Moraes</t>
  </si>
  <si>
    <t>Priscilla Pinheiro Oliveira</t>
  </si>
  <si>
    <t>Luana Dos Santos Rocha</t>
  </si>
  <si>
    <t>Caroline Basilio Martins</t>
  </si>
  <si>
    <t>Juliana Silvestre Da Silva</t>
  </si>
  <si>
    <t>Irene Pereira Da Costa</t>
  </si>
  <si>
    <t>Isadora Pêsso Loures Costa</t>
  </si>
  <si>
    <t>Stefani Bonifácio Ribeiro</t>
  </si>
  <si>
    <t>Renata Ojopi De Melo Dias</t>
  </si>
  <si>
    <t>Cecília Bezerra Freitas</t>
  </si>
  <si>
    <t>Alan Da Silva Donato</t>
  </si>
  <si>
    <t>Alanny Islania Macena Vieira</t>
  </si>
  <si>
    <t>Maria Geisiane Da Silva</t>
  </si>
  <si>
    <t>Maria Eduarda De Santana</t>
  </si>
  <si>
    <t>Jackson Da Silva Santos</t>
  </si>
  <si>
    <t>Matheus Filipe De Jesus Tenório</t>
  </si>
  <si>
    <t>Mariane Gonçalves Santos</t>
  </si>
  <si>
    <t>Renata Freitas Arantes</t>
  </si>
  <si>
    <t>Paola Mayara Pereira Das Gracas</t>
  </si>
  <si>
    <t>Renata Da Silva Nogueira</t>
  </si>
  <si>
    <t>Isadora Mota Oliveira</t>
  </si>
  <si>
    <t>Fabrício Dos Santos Oliveira</t>
  </si>
  <si>
    <t>Andreza Carina Honorato Xavier</t>
  </si>
  <si>
    <t>Maria Eduarda Silva Sá</t>
  </si>
  <si>
    <t>Viviana Carolina Da Silva</t>
  </si>
  <si>
    <t>Thayná Evellyn Lima Dos Santos</t>
  </si>
  <si>
    <t>Yasmin Dos Santos Araújo</t>
  </si>
  <si>
    <t>Dandara De Souza Silva</t>
  </si>
  <si>
    <t>Gildzar Martins Sabino</t>
  </si>
  <si>
    <t>Maria Paula Lopes De Castro</t>
  </si>
  <si>
    <t>Lucas Dos Santos Lima</t>
  </si>
  <si>
    <t>Daniele Barbosa Da Paixão</t>
  </si>
  <si>
    <t>Letícia Cristina Silveira Dias</t>
  </si>
  <si>
    <t>Leonardo Sena Da Silva</t>
  </si>
  <si>
    <t>Nathalya Da Silva Campos</t>
  </si>
  <si>
    <t>Luis Carlos Sanches Dos Reis Junior</t>
  </si>
  <si>
    <t>Caio Dias Baptista</t>
  </si>
  <si>
    <t>Nalckson Vinicius Diniz Silva</t>
  </si>
  <si>
    <t>Maria Eduarda Santos De Oliveira</t>
  </si>
  <si>
    <t>Thaysa Lopes Breves Dos Santos</t>
  </si>
  <si>
    <t>Caterine Cavalcante De Azevedo</t>
  </si>
  <si>
    <t>Glender Roger Dos Santos Martins</t>
  </si>
  <si>
    <t>Dara Da Costa Figueiredo</t>
  </si>
  <si>
    <t>Aleister Henrique Spolador Cross</t>
  </si>
  <si>
    <t>Karine Oliveira Dos Santos</t>
  </si>
  <si>
    <t>Micheline Teixeira Da Silva</t>
  </si>
  <si>
    <t>Ester Andrade De Carvalho Leite</t>
  </si>
  <si>
    <t>Mateus Gonçalves Souto</t>
  </si>
  <si>
    <t>Ana Lígia Soares Dantas</t>
  </si>
  <si>
    <t>Adriano Ferreira Franco</t>
  </si>
  <si>
    <t>Fabiane Cristina De Almeida</t>
  </si>
  <si>
    <t>Maria Fernanda Costa Souza</t>
  </si>
  <si>
    <t>Arielle Dos Anjos Batista</t>
  </si>
  <si>
    <t>Jennifer Thais De Oliveira Silva</t>
  </si>
  <si>
    <t>Alessandra Rangel Dos Santos Renzetti</t>
  </si>
  <si>
    <t>Thiago Carlos Pinheiro</t>
  </si>
  <si>
    <t>Júlia Rodrigues Gomes</t>
  </si>
  <si>
    <t>Roberta Karoliny Alves Santos</t>
  </si>
  <si>
    <t>Izabela Cristina Fraga</t>
  </si>
  <si>
    <t>Juliany Bezerra Dos Santos</t>
  </si>
  <si>
    <t>Thiérry Willian De Moura Coelho</t>
  </si>
  <si>
    <t>Barbara Rodrigues Dias Santos</t>
  </si>
  <si>
    <t>Dayse Rayane Pereira Da Silva Amaral</t>
  </si>
  <si>
    <t>Wictoria Maria Rodrigues</t>
  </si>
  <si>
    <t>Lanay Ingrid De Souza</t>
  </si>
  <si>
    <t>Adriana De Oliveira</t>
  </si>
  <si>
    <t>Mirelly Barbosa De Santana Silva</t>
  </si>
  <si>
    <t>Gabriela De Assis Rodrigues</t>
  </si>
  <si>
    <t>Bruna Luana Da Silva Albuquerque Dionízio</t>
  </si>
  <si>
    <t>Mariana Nunes Da Silva</t>
  </si>
  <si>
    <t>Tenile Janga Dos Santos</t>
  </si>
  <si>
    <t>Cristiana Soares De Azevedo</t>
  </si>
  <si>
    <t>Geise Maria Da Silva</t>
  </si>
  <si>
    <t>Celina Patrícia Dos Santos Lima</t>
  </si>
  <si>
    <t>Larissa Canil Pedro</t>
  </si>
  <si>
    <t>Cherla Waléria Pom Rabelo</t>
  </si>
  <si>
    <t>Kelly Cristina De Oliveira</t>
  </si>
  <si>
    <t>Carla Costa Silva Santos</t>
  </si>
  <si>
    <t>Ana Paula Sousa Rodrigues</t>
  </si>
  <si>
    <t>Ana Clarice Candido Dos Santos</t>
  </si>
  <si>
    <t>Josiely Sacht Damascena</t>
  </si>
  <si>
    <t>Odete Barbosa</t>
  </si>
  <si>
    <t>Angelica Caetano Da Silva</t>
  </si>
  <si>
    <t>Marcos De Araujo Amaral</t>
  </si>
  <si>
    <t>Paula Eduarda Da Silva Alves Bezerra</t>
  </si>
  <si>
    <t>Nathielly Da Costa Glória</t>
  </si>
  <si>
    <t>Gabriel Pereira De Araujo Filho</t>
  </si>
  <si>
    <t>Matteus Almeida De Sousa</t>
  </si>
  <si>
    <t>Maria Aparecida Martiniano De Lima</t>
  </si>
  <si>
    <t>Geordana Meneghin Branco</t>
  </si>
  <si>
    <t>Jade Isabele Silva</t>
  </si>
  <si>
    <t>Evalda Martielly Deodato Tavares De Andrade</t>
  </si>
  <si>
    <t>Natália Medina De Souza Pinto</t>
  </si>
  <si>
    <t>Ana Carolina De Paula</t>
  </si>
  <si>
    <t>Brenda Leoncio Damasceno Melo</t>
  </si>
  <si>
    <t>Joice Maria De Oliveira</t>
  </si>
  <si>
    <t>Abner Soutéro Ignacio</t>
  </si>
  <si>
    <t>Jussyara Mariani Cardoso</t>
  </si>
  <si>
    <t>Emylle Dayane Leandro De Albuquerque Lima Batista</t>
  </si>
  <si>
    <t>Janielson Neres Ferreira</t>
  </si>
  <si>
    <t>Dianise Maria Xavier Lira Pereira</t>
  </si>
  <si>
    <t>Lívia De Castro Martins</t>
  </si>
  <si>
    <t>Paula Cristina Romão Da Silva</t>
  </si>
  <si>
    <t>Eliane Carlos Delgado</t>
  </si>
  <si>
    <t>Amanda Galdino Dos Santos</t>
  </si>
  <si>
    <t>Gabriel De Castro Souza</t>
  </si>
  <si>
    <t>Mateus Pereira Dos Santos</t>
  </si>
  <si>
    <t>Marina Pereira Rocha</t>
  </si>
  <si>
    <t>Acsa Stephanie Lima Varela Silva Diniz</t>
  </si>
  <si>
    <t>Natally De Menezes Maurício</t>
  </si>
  <si>
    <t>Isabella Dias Ferreira</t>
  </si>
  <si>
    <t>Letícia Silva Da Costa</t>
  </si>
  <si>
    <t>Ludimila Nascimento Nunes Da Cruz</t>
  </si>
  <si>
    <t>Christopher Alexsander Luna Cavalcante Galvao</t>
  </si>
  <si>
    <t>Tamires Caroline E Silva</t>
  </si>
  <si>
    <t>Raiany Sunderhus Fontana Ximenes</t>
  </si>
  <si>
    <t>Camylla Sayuri Pereira Balbino</t>
  </si>
  <si>
    <t>Geissiele Carolina Alves De Paula</t>
  </si>
  <si>
    <t>Mirelle Evelyn Cavalcanti Da Silva</t>
  </si>
  <si>
    <t>Gabriel De Freitas Silva</t>
  </si>
  <si>
    <t>Fabiany Cristina Cardoso Penatte</t>
  </si>
  <si>
    <t>Francisco Natan Pereira De França</t>
  </si>
  <si>
    <t>Milayne Dos Santos Pereira</t>
  </si>
  <si>
    <t>Thalya Lacerda Leite</t>
  </si>
  <si>
    <t>Luciane Teixeira Pereira</t>
  </si>
  <si>
    <t>Glaucia Vitoria Horacio</t>
  </si>
  <si>
    <t>Yanne Freitas Batista</t>
  </si>
  <si>
    <t>Andrezza Correa De Oliveira</t>
  </si>
  <si>
    <t>Caroline Valero Ferreira</t>
  </si>
  <si>
    <t>Gabriel Barros Pereira</t>
  </si>
  <si>
    <t>Iasmym Silva Carvalho</t>
  </si>
  <si>
    <t>Otoniel Da Silva Ferreira</t>
  </si>
  <si>
    <t>Julianne Felipe Barbosa Cavalcanti</t>
  </si>
  <si>
    <t>Clarissa Maria Da Fonseca Pereira</t>
  </si>
  <si>
    <t>Pamella Dias Da Fonseca Ferreira</t>
  </si>
  <si>
    <t>Bethânia Silva Lucio</t>
  </si>
  <si>
    <t>Vanessa Costa Da Silva</t>
  </si>
  <si>
    <t>Lara Lorrane Pereira Da Silva</t>
  </si>
  <si>
    <t>Maria Gabriela Tenorio Da Silva</t>
  </si>
  <si>
    <t>Victória De Lima Ribeiro</t>
  </si>
  <si>
    <t>Sabrina Soares De Paula</t>
  </si>
  <si>
    <t>Maria Ivany Dos Santos Silva</t>
  </si>
  <si>
    <t>Ana Paula Lozano</t>
  </si>
  <si>
    <t>Renata Martins Coelho</t>
  </si>
  <si>
    <t>Daiane Dos Santos</t>
  </si>
  <si>
    <t>Alisson Jose Da Silva</t>
  </si>
  <si>
    <t>Aylla Monteiro De Oliveira</t>
  </si>
  <si>
    <t>Suzana Carolini Queiroz Fernandes</t>
  </si>
  <si>
    <t>Isabelly Suenem Feltz</t>
  </si>
  <si>
    <t>Felipe Rodrigues De Barros</t>
  </si>
  <si>
    <t>Jéssica Carolina Martins</t>
  </si>
  <si>
    <t>Thaynara Coelho Dos Santos</t>
  </si>
  <si>
    <t>José David Soares</t>
  </si>
  <si>
    <t>Andrelize Da Cruz Luz</t>
  </si>
  <si>
    <t>Danielle Pinheiro Fernandes</t>
  </si>
  <si>
    <t>Gabriel Santana Avelar</t>
  </si>
  <si>
    <t>Laryssa Paula Bezerra De Sousa</t>
  </si>
  <si>
    <t>Juliana Ferreira Marques Da Cruz</t>
  </si>
  <si>
    <t>Fernanda Mayara Barbosa De Melo</t>
  </si>
  <si>
    <t>Nayara Pâmela Pio Catarino Zacarias</t>
  </si>
  <si>
    <t>Patrícia Brito De Menezes</t>
  </si>
  <si>
    <t>Anatércio Euflauzino Da Silva Júnior</t>
  </si>
  <si>
    <t>Fernanda De Lima Cordeiro</t>
  </si>
  <si>
    <t>Matheus De Araujo Mota</t>
  </si>
  <si>
    <t>Roberto Fernandes De Melo Junior</t>
  </si>
  <si>
    <t>Lienay Alves Sousa</t>
  </si>
  <si>
    <t>Fernanda Linhares Diniz Justino</t>
  </si>
  <si>
    <t>Carolina Ferreira Machado De Oliveira</t>
  </si>
  <si>
    <t>Alexandre Araujo Fontes</t>
  </si>
  <si>
    <t>Claudia Rafaela Ferreira Dos Santos</t>
  </si>
  <si>
    <t>Cézar Augusto De Alencar Pereira</t>
  </si>
  <si>
    <t>Andrêina Vitória Marques De Farias</t>
  </si>
  <si>
    <t>Thiago Nicolau Da Silva</t>
  </si>
  <si>
    <t>Wemilly Shallana Farias De Lima</t>
  </si>
  <si>
    <t>Lucas Aryel Guedes Da Silva</t>
  </si>
  <si>
    <t>Roberval Ferreira Filho</t>
  </si>
  <si>
    <t>Breno Ferreira De Souza</t>
  </si>
  <si>
    <t>Natália Cabral Alves Dos Santos</t>
  </si>
  <si>
    <t>Iolanda Martinele Dos Santos</t>
  </si>
  <si>
    <t>Aline Campos Cicchelli</t>
  </si>
  <si>
    <t>Girlice Claisa Dos Santos Pereira</t>
  </si>
  <si>
    <t>Alysson Oliveira Lages</t>
  </si>
  <si>
    <t>Diego Vieira Dos Santos</t>
  </si>
  <si>
    <t>Sávio Ruan Nunes De Araújo</t>
  </si>
  <si>
    <t>Sandra Regina Ferraz</t>
  </si>
  <si>
    <t>Beatriz De Oliveira Fernandes</t>
  </si>
  <si>
    <t>Isaias Lima De Campos</t>
  </si>
  <si>
    <t>Aline Damiana Morais</t>
  </si>
  <si>
    <t>Rosiane Caires Rocha Barros</t>
  </si>
  <si>
    <t>Aline Gabriela Rodrigues Do Vale</t>
  </si>
  <si>
    <t>Cicilia Mirella Wictor Silva</t>
  </si>
  <si>
    <t>Camila Mesquita Alves Da Silva</t>
  </si>
  <si>
    <t>Matheus Henrique Maia Dias</t>
  </si>
  <si>
    <t>Raquel Cristine Pacheco De Oliveira</t>
  </si>
  <si>
    <t>Polianne Teixeira Alves</t>
  </si>
  <si>
    <t>Andressa Carlos De Lima</t>
  </si>
  <si>
    <t>Maira Aparecida Pires De Faria</t>
  </si>
  <si>
    <t>Tardiê Galdino De Souza</t>
  </si>
  <si>
    <t>Luiz Gustavo Simões Andrade</t>
  </si>
  <si>
    <t>Ana Laura De Sousa Prado</t>
  </si>
  <si>
    <t>João Vitor Ferreira Da Silva</t>
  </si>
  <si>
    <t>Maria Eduarda Emmanoela De Souza</t>
  </si>
  <si>
    <t>Alessandra Barbosa Macedo</t>
  </si>
  <si>
    <t>Vinícius Deoclécio De Oliveira</t>
  </si>
  <si>
    <t>Maria Eduarda Maia Sousa</t>
  </si>
  <si>
    <t>Aylla Ramos Ferreira</t>
  </si>
  <si>
    <t>Emanuely Cardoso Da Silva</t>
  </si>
  <si>
    <t>Diego Lemos França</t>
  </si>
  <si>
    <t>Clarilis Emidia Da Silva Santos</t>
  </si>
  <si>
    <t>Matheus Henrique De Almeida Costa</t>
  </si>
  <si>
    <t>João Vitor De Souza Santiago</t>
  </si>
  <si>
    <t>Rafael Xavier Esteves</t>
  </si>
  <si>
    <t>Maysa Pecly Azevedo</t>
  </si>
  <si>
    <t>Maria Laudici De Oliveira Dias</t>
  </si>
  <si>
    <t>Wesley Henrique Mendes Da Cunha</t>
  </si>
  <si>
    <t>Victor César Martins De Oliveira</t>
  </si>
  <si>
    <t>Maria Fernanda Rodrigues De Almeida</t>
  </si>
  <si>
    <t>Letícia Maria Aparecida Passos</t>
  </si>
  <si>
    <t>Carina Marciano Dos Santos</t>
  </si>
  <si>
    <t>Amabily Estheffany Fruttos Almiron</t>
  </si>
  <si>
    <t>Divina D' arc Evangelista Silva</t>
  </si>
  <si>
    <t>Ailton Ramos Tavares Junior</t>
  </si>
  <si>
    <t>Maria Daciane Lopes Araujo</t>
  </si>
  <si>
    <t>Isadora Cristina Silva Carvalho</t>
  </si>
  <si>
    <t>Bárbara Yanca Rezende Ferreira</t>
  </si>
  <si>
    <t>Bruna Karoline Silva Brito</t>
  </si>
  <si>
    <t>Diego Ferreira</t>
  </si>
  <si>
    <t>Eluany Caiana Da Silva</t>
  </si>
  <si>
    <t>Letícia Gabriela Araújo Da Silva</t>
  </si>
  <si>
    <t>Deborah Viviane Rodrigues</t>
  </si>
  <si>
    <t>Wiliane Aparecida De Freitas</t>
  </si>
  <si>
    <t>Pedro Henrique Rodrigues Pereira</t>
  </si>
  <si>
    <t>João Luigue Lopes Torres</t>
  </si>
  <si>
    <t>Magda Estefanne Gonçalves Marques</t>
  </si>
  <si>
    <t>Ingrid Paloma Da Costa Porto</t>
  </si>
  <si>
    <t>Elaine Dos Santos Gonçalves</t>
  </si>
  <si>
    <t>Douglas Gomes De Carvalho</t>
  </si>
  <si>
    <t>Luiz Augusto Custodio De Oliveira</t>
  </si>
  <si>
    <t>Marina Gomes De Oliveira</t>
  </si>
  <si>
    <t>Andreza Pereira Da Silva</t>
  </si>
  <si>
    <t>Edivania Michele Marian</t>
  </si>
  <si>
    <t>Gabriela De Araujo Mattos</t>
  </si>
  <si>
    <t>Vanessa Dos Santos Cunha</t>
  </si>
  <si>
    <t>Robson Aparecido Costa</t>
  </si>
  <si>
    <t>Thamiuchy Figueira Dias</t>
  </si>
  <si>
    <t>Gabriel Araújo Pires De Sousa</t>
  </si>
  <si>
    <t>Lara Gabriela Castro</t>
  </si>
  <si>
    <t>Bianka Dias Marques Carvalho</t>
  </si>
  <si>
    <t>Maria Do Carmo Da Silva Oliveira</t>
  </si>
  <si>
    <t>Gabriela Aparecida Braga Rosa</t>
  </si>
  <si>
    <t>Natalia Luiza De Almeida</t>
  </si>
  <si>
    <t>Lidya Ferreira Andrade De Carvalho</t>
  </si>
  <si>
    <t>Bruna Dos Santos Medeiros</t>
  </si>
  <si>
    <t>Karine Oliveira Gomes</t>
  </si>
  <si>
    <t>Vitória Pereira De Souza</t>
  </si>
  <si>
    <t>Maria Luana Gonçalves Rodrigues</t>
  </si>
  <si>
    <t>Josenilda Rafaela Silva Sarmento</t>
  </si>
  <si>
    <t>Diane Lopes Marques</t>
  </si>
  <si>
    <t>Josiane Ribeiro Fernandes</t>
  </si>
  <si>
    <t>Juliana Da Silva Ferreira</t>
  </si>
  <si>
    <t>Marcelle Severiano Julião</t>
  </si>
  <si>
    <t>Francielle Dos Santos Virtuoso</t>
  </si>
  <si>
    <t>Antonio Rodolpho Souza Silva</t>
  </si>
  <si>
    <t>Rosangela Rodrigues Prates</t>
  </si>
  <si>
    <t>Izabela Amaral Farias</t>
  </si>
  <si>
    <t>Mirley Jeanne Vieira</t>
  </si>
  <si>
    <t>Josué Dias De Carvalho</t>
  </si>
  <si>
    <t>Ângelo Souza De Oliveira</t>
  </si>
  <si>
    <t>Marcio Marques Da Silva</t>
  </si>
  <si>
    <t>Suelen Gomes E Silva</t>
  </si>
  <si>
    <t>Rebeca Tafiny Amaral Santos</t>
  </si>
  <si>
    <t>Elisa Lais Coelho Pimentel</t>
  </si>
  <si>
    <t>Carlos Alberto Beraldo Junior</t>
  </si>
  <si>
    <t>Angélica Monteiro Posino</t>
  </si>
  <si>
    <t>Patricia De Aguiar De Moura</t>
  </si>
  <si>
    <t>Corina Stefany Palma Rocha</t>
  </si>
  <si>
    <t>Géssika Maria Souza Da Costa</t>
  </si>
  <si>
    <t>Camila Rodrigues Brandão</t>
  </si>
  <si>
    <t>Jonas Mikael Fernandes De Mesquita</t>
  </si>
  <si>
    <t>Ingrid Nattacha Barbosa De Almeida</t>
  </si>
  <si>
    <t>Paulo Sergio Ricardo</t>
  </si>
  <si>
    <t>José Marcelo Melo Do Amaral Pires</t>
  </si>
  <si>
    <t>Andressa Pereira Souza</t>
  </si>
  <si>
    <t>Ane Kely Ferreira De Souza</t>
  </si>
  <si>
    <t>Ingrid Lucas De Paula Ferreira</t>
  </si>
  <si>
    <t>Luara Costa Gabriel</t>
  </si>
  <si>
    <t>Gilmar Ribeiro Marques</t>
  </si>
  <si>
    <t>Iaritsia Gonçalves Silva</t>
  </si>
  <si>
    <t>Gilvânia Gonçalves De Aguiar</t>
  </si>
  <si>
    <t>Mateus Santos Diniz</t>
  </si>
  <si>
    <t>Caroline Damacena Ferreira</t>
  </si>
  <si>
    <t>Maclawsther Januario Marçal</t>
  </si>
  <si>
    <t>Isadora Cristina De Araujo Moreira</t>
  </si>
  <si>
    <t>Tatiana Fernanda De Castro</t>
  </si>
  <si>
    <t>Ana Clara Gonçalves De Souza</t>
  </si>
  <si>
    <t>José Pinheiro Barbosa Neto</t>
  </si>
  <si>
    <t>Evelim Sabrina Mota Da Silva</t>
  </si>
  <si>
    <t>Ana Carolina Domingos Da Silva</t>
  </si>
  <si>
    <t>Silvio Costa</t>
  </si>
  <si>
    <t>Elizabete Evangelista Trindade</t>
  </si>
  <si>
    <t>Millena Pereira Silva</t>
  </si>
  <si>
    <t>Karen Eduarda Sampaio Clementino Callou</t>
  </si>
  <si>
    <t>Joao Gabriel Ferreira</t>
  </si>
  <si>
    <t>Melckson Erickson De Lima Andrade</t>
  </si>
  <si>
    <t>Luana Genciano Pereira</t>
  </si>
  <si>
    <t>Vanessa De Jesus Coelho</t>
  </si>
  <si>
    <t>Flávia Mayla De Souza Diniz</t>
  </si>
  <si>
    <t>Israel Ivo Dos Reis</t>
  </si>
  <si>
    <t>Matheus Otto Rocha Koenig</t>
  </si>
  <si>
    <t>Nayara Fernanda Maciel Lins</t>
  </si>
  <si>
    <t>Julia Gabriela Marques Ribeiro</t>
  </si>
  <si>
    <t>Maria Roberta Da Silva Santos</t>
  </si>
  <si>
    <t>Daniele Furtado</t>
  </si>
  <si>
    <t>Jairo Leyser Rodrigues Martins</t>
  </si>
  <si>
    <t>Roberta Mendes Da Silva</t>
  </si>
  <si>
    <t>Ludmila Talita De Oliveira</t>
  </si>
  <si>
    <t>Manoel Victor Trigueiro Fernandes</t>
  </si>
  <si>
    <t>Jose Mauri Silva Lima</t>
  </si>
  <si>
    <t>Poliane Corrêa Santos</t>
  </si>
  <si>
    <t>Juliana Da Silva Costa</t>
  </si>
  <si>
    <t>Kayc Silva De Oliveira</t>
  </si>
  <si>
    <t>Josefa Daniele Balbino Dos Santos</t>
  </si>
  <si>
    <t>Letícia Fagundes Macena</t>
  </si>
  <si>
    <t>Ana Flávia Viana Soares</t>
  </si>
  <si>
    <t>Lilian Rodrigues Sette</t>
  </si>
  <si>
    <t>João Luís Costa Alves</t>
  </si>
  <si>
    <t>Lidia Heloisa De Souza</t>
  </si>
  <si>
    <t>Marcella De Souza Rayol Barros De Carvalho</t>
  </si>
  <si>
    <t>Flaviane Correa Do Carmo</t>
  </si>
  <si>
    <t>Kamila Aparecida Mothe Caio Lopes</t>
  </si>
  <si>
    <t>Mariana Sabará Maciel</t>
  </si>
  <si>
    <t>Fernando Athaide Da Silva</t>
  </si>
  <si>
    <t>Patrick Gabriel Brandão</t>
  </si>
  <si>
    <t>Karine De Oliveira Félix</t>
  </si>
  <si>
    <t>Paulo Henrique Rejano</t>
  </si>
  <si>
    <t>Maria Djailma Dos Santos</t>
  </si>
  <si>
    <t>Jhonata Da Silva Emidio</t>
  </si>
  <si>
    <t>Elaine Kelly De Medeiros Machado</t>
  </si>
  <si>
    <t>Sara Adriene Costa Prado</t>
  </si>
  <si>
    <t>Érica Teixeira De Assis Carvalho</t>
  </si>
  <si>
    <t>Lyvian Gonçalves De Oliveira</t>
  </si>
  <si>
    <t>Ana Clara Baracho Machado</t>
  </si>
  <si>
    <t>Jeferson Napoleão Oliveira Santos</t>
  </si>
  <si>
    <t>Jessica Franciely Ravaiano</t>
  </si>
  <si>
    <t>Bianca Caetano Ticom</t>
  </si>
  <si>
    <t>Iany Rodrigues Temer</t>
  </si>
  <si>
    <t>Marco Wilkner Vieira Cangussu</t>
  </si>
  <si>
    <t>Mariane Da Silva Barros</t>
  </si>
  <si>
    <t>Lorrany Santiago Silva</t>
  </si>
  <si>
    <t>Sthephane França Abade</t>
  </si>
  <si>
    <t>Isadora Borges Amaral Souza</t>
  </si>
  <si>
    <t>Wesley Reis Ribeiro</t>
  </si>
  <si>
    <t>Isabel Antonia Schiessl</t>
  </si>
  <si>
    <t>Weverson Santana Silva</t>
  </si>
  <si>
    <t>Douglas Silva Pereira</t>
  </si>
  <si>
    <t>Luana Fernandes Cardoso</t>
  </si>
  <si>
    <t>Anna Luiza Azevedo Do Carmo</t>
  </si>
  <si>
    <t>Bruno De Almeida Pereira</t>
  </si>
  <si>
    <t>Blenda Perfeito Ferreira Carneiro</t>
  </si>
  <si>
    <t>Gustavo Araujo De Santana</t>
  </si>
  <si>
    <t>Rayane De Jesus Viana</t>
  </si>
  <si>
    <t>Izabela Marques Dos Santos</t>
  </si>
  <si>
    <t>Amanda Pacheco Sales</t>
  </si>
  <si>
    <t>Gabriella De Freitas Oliveira</t>
  </si>
  <si>
    <t>Welington Hertel Silva</t>
  </si>
  <si>
    <t>Tatiana Ferreira Torres</t>
  </si>
  <si>
    <t>Isabella Gomes Fonseca</t>
  </si>
  <si>
    <t>Jennifer E Silva Gottgtroy De Miranda</t>
  </si>
  <si>
    <t>Tayná Vieira Dias</t>
  </si>
  <si>
    <t>Jonas Lopes Do Prado</t>
  </si>
  <si>
    <t>Gabriel Dias Vieira Raimundo</t>
  </si>
  <si>
    <t>Beatriz Freitas Costa</t>
  </si>
  <si>
    <t>Marcela Possenti Krueger</t>
  </si>
  <si>
    <t>Monique Da Silva Souza Degli Esposti</t>
  </si>
  <si>
    <t>Nathália Caroline De Lima</t>
  </si>
  <si>
    <t>Ryan Ferreira Campos</t>
  </si>
  <si>
    <t>Gabriela Cristina Da Silva Lima</t>
  </si>
  <si>
    <t>Bartira Ferreira Da Silva</t>
  </si>
  <si>
    <t>Mariana Barbosa Da Silva</t>
  </si>
  <si>
    <t>Flávia Laurentina Da Silva</t>
  </si>
  <si>
    <t>Ranielle Pereira Da Silva</t>
  </si>
  <si>
    <t>Marcos Henrique Gomes De Arruda</t>
  </si>
  <si>
    <t>Isabella De Souza Luiz</t>
  </si>
  <si>
    <t>Nataly Gomes Da Silva</t>
  </si>
  <si>
    <t>Lucas Victor De Souza</t>
  </si>
  <si>
    <t>Geovania Heleno Da Silva</t>
  </si>
  <si>
    <t>Karolayne Silva Ferreira</t>
  </si>
  <si>
    <t>Wanessa Ferreira De Lima</t>
  </si>
  <si>
    <t>Maria Alice Delfim Gomes De Souza</t>
  </si>
  <si>
    <t>Gabriel José Ribeiro</t>
  </si>
  <si>
    <t>Yasmim Oliveira De Sousa</t>
  </si>
  <si>
    <t>Annie Raphaela Alexandre Amarante</t>
  </si>
  <si>
    <t>João Victor Benigno De Moura</t>
  </si>
  <si>
    <t>Tâmela Da Silva Santos</t>
  </si>
  <si>
    <t>Lorrayne Aparecida Tomé Azarias</t>
  </si>
  <si>
    <t>Andressa Carla Diniz Dos Santos</t>
  </si>
  <si>
    <t>Davi Henrique Melo Reino De Almeida</t>
  </si>
  <si>
    <t>Lorena Bernardo Cisquini</t>
  </si>
  <si>
    <t>Cristiane Antonia Da Costa</t>
  </si>
  <si>
    <t>alínea “c”; alínea "h"</t>
  </si>
  <si>
    <t>Rafaela Marques Coragem</t>
  </si>
  <si>
    <t>Joyce Terra Maia</t>
  </si>
  <si>
    <t>Elionay Nascimento Sa</t>
  </si>
  <si>
    <t>Lucas Manoel Da Silva Couto</t>
  </si>
  <si>
    <t>Daiane Aparecida Da Silva</t>
  </si>
  <si>
    <t>Nayanne Araújo De Albuquerque</t>
  </si>
  <si>
    <t>Luciana De La Cruz</t>
  </si>
  <si>
    <t>Roziani Pereira Santos Freire</t>
  </si>
  <si>
    <t>Marcela Oliveira Maculan</t>
  </si>
  <si>
    <t>Erica Tainá Dias Galindo</t>
  </si>
  <si>
    <t>Daiane Felix Nogueira</t>
  </si>
  <si>
    <t>Bruna Neto Dos Santos</t>
  </si>
  <si>
    <t>Fernanda Rodrigues De Sousa</t>
  </si>
  <si>
    <t>Elis Regina Ramos Souza</t>
  </si>
  <si>
    <t>Marcia Lucinete De Oliveira</t>
  </si>
  <si>
    <t>Nicolly Lins De Oliveira</t>
  </si>
  <si>
    <t>Lislane Raíra De Macedo Lemos</t>
  </si>
  <si>
    <t>Luise Furtado Felix De Lima</t>
  </si>
  <si>
    <t>Valéria De Jesus Andrade</t>
  </si>
  <si>
    <t>Júlia Augusto Monteiro</t>
  </si>
  <si>
    <t>Núbia Luíza Campos Silva</t>
  </si>
  <si>
    <t>Nayara Gonçalves De Souza</t>
  </si>
  <si>
    <t>Lorena Ferreira Cunha</t>
  </si>
  <si>
    <t>Jéssica Silva Rogerio</t>
  </si>
  <si>
    <t>Letícia Carolina Espíndola Da Costa</t>
  </si>
  <si>
    <t>Samuel Costa Ferreira</t>
  </si>
  <si>
    <t>Ronilson Gomes Da Silva</t>
  </si>
  <si>
    <t>João Víctor Abreu Gonçalves</t>
  </si>
  <si>
    <t>Antonio Alves De Oliveira Neto</t>
  </si>
  <si>
    <t>Mônica Especiani</t>
  </si>
  <si>
    <t>Fabricio Pereira Braga Junior</t>
  </si>
  <si>
    <t>Felipe Junio Rodrigues Florindo</t>
  </si>
  <si>
    <t>Luciene Aparecida Ribeiro</t>
  </si>
  <si>
    <t>Ruana Karina Da Silva</t>
  </si>
  <si>
    <t>Giovanna Brito Lopes Meireles</t>
  </si>
  <si>
    <t>Pâmella Suellen De Souza Lima</t>
  </si>
  <si>
    <t>Jaciara Késia Da Silva Santos</t>
  </si>
  <si>
    <t>Ana Maria Almeida Conceição</t>
  </si>
  <si>
    <t>Thiago Everton Silva</t>
  </si>
  <si>
    <t>Salomao Coutinho De Araujo</t>
  </si>
  <si>
    <t>Lucas Alves Ferreira</t>
  </si>
  <si>
    <t>Rafaela Bastos Caetano Facioli</t>
  </si>
  <si>
    <t>André Luiz Silva Nogueira Torres</t>
  </si>
  <si>
    <t>Danielle Filomena Braz Do Nascimento</t>
  </si>
  <si>
    <t>Maria Clara Dias Teixeira</t>
  </si>
  <si>
    <t>Camilla Da Silveira Santos Pinto</t>
  </si>
  <si>
    <t>Maria Eduarda Costa Barros</t>
  </si>
  <si>
    <t>Viviane Aparecida Motta</t>
  </si>
  <si>
    <t>Pamela Michelle Da Cruz Oliveira</t>
  </si>
  <si>
    <t>Élida Vaz Dos Santos</t>
  </si>
  <si>
    <t>Fernanda De Souza Marinho</t>
  </si>
  <si>
    <t>Edson Thiago De Araújo Silva</t>
  </si>
  <si>
    <t>Iago Ferreira De Souza</t>
  </si>
  <si>
    <t>Letícia Dias Pereira Leonel</t>
  </si>
  <si>
    <t>Rafaella Tamires Mariano</t>
  </si>
  <si>
    <t>Sandra Rodrigues</t>
  </si>
  <si>
    <t>Ana Flávia Rodrigues Dias</t>
  </si>
  <si>
    <t>Silvia Cristina Xavier</t>
  </si>
  <si>
    <t>Joice Alves Figueiredo</t>
  </si>
  <si>
    <t>Brenda Dos Santos Silva</t>
  </si>
  <si>
    <t>Alex Dantas De Sousa</t>
  </si>
  <si>
    <t>Bianca Caroline Rodrigues Da Silva</t>
  </si>
  <si>
    <t>Marcelo Da Silva Lopes</t>
  </si>
  <si>
    <t>Felipe Costa Barreto</t>
  </si>
  <si>
    <t>Messias De Souza Barbosa</t>
  </si>
  <si>
    <t>Jade Dos Anjos Almeida</t>
  </si>
  <si>
    <t>Kessia Kelly Martins Queiroz</t>
  </si>
  <si>
    <t>Isabela Gonçalves Almeida</t>
  </si>
  <si>
    <t>Maria Eduarda Costa Santos</t>
  </si>
  <si>
    <t>Maria Eduarda Alves Da Silva Andrade Bacelar</t>
  </si>
  <si>
    <t>Rafael Marcelo Gonçalves De Brito</t>
  </si>
  <si>
    <t>Cathyane Gomes Wanderley</t>
  </si>
  <si>
    <t>Isabela Cristina Nogueira Dos Anjos</t>
  </si>
  <si>
    <t>Rhaycia Max De Paula Siqueira</t>
  </si>
  <si>
    <t>Alexia Barcelos Ferreira</t>
  </si>
  <si>
    <t>Laysa Maria Andreazzi</t>
  </si>
  <si>
    <t>Thais Theodoro Fonseca</t>
  </si>
  <si>
    <t>Andressa Marins Patricio</t>
  </si>
  <si>
    <t>Cleber Augusto Da Silva</t>
  </si>
  <si>
    <t>Ana Carolina Aparecida Costa</t>
  </si>
  <si>
    <t>Mariana Da Silva Amaral</t>
  </si>
  <si>
    <t>Jaqueline Santos De Oliveira</t>
  </si>
  <si>
    <t>Jésyca Bruna Da Silva Torezani</t>
  </si>
  <si>
    <t>Luiza De Cassia Silva Mota</t>
  </si>
  <si>
    <t>Gracielle Martins Soares</t>
  </si>
  <si>
    <t>Thaisa Keller Ferreira Vieira Cruz</t>
  </si>
  <si>
    <t>Esron Sousa De Oliveira</t>
  </si>
  <si>
    <t>Victoria Dardielly Moura Da Silva</t>
  </si>
  <si>
    <t>Sandy Simone Moraes Aoun</t>
  </si>
  <si>
    <t>Graziela Da Costa Pacheco</t>
  </si>
  <si>
    <t>Andreza Eliane Duarte</t>
  </si>
  <si>
    <t>Maria Beatriz Rodrigues Mendes</t>
  </si>
  <si>
    <t>Messias Soares Santos</t>
  </si>
  <si>
    <t>Diego Freitas Moreira De Castro</t>
  </si>
  <si>
    <t>Michelle Flor Pereira</t>
  </si>
  <si>
    <t>Welliton Flôr Pereira</t>
  </si>
  <si>
    <t>Milena Moreira Lima</t>
  </si>
  <si>
    <t>Anielly Lourainy Tolentino Moura</t>
  </si>
  <si>
    <t>Mariana Tuler Fonseca</t>
  </si>
  <si>
    <t>Milena Aparecida Gonçalves</t>
  </si>
  <si>
    <t>Marcos Tulio Santos Silva</t>
  </si>
  <si>
    <t>Andreza Silva De Matos</t>
  </si>
  <si>
    <t>Larissa Hosanda De Barros Dos Santos</t>
  </si>
  <si>
    <t>Shara Emanuele Vicente De Freitas Da Silva</t>
  </si>
  <si>
    <t>Mariane De Almeida Silva</t>
  </si>
  <si>
    <t>Tiago Pereira Ribeiro</t>
  </si>
  <si>
    <t>Rayane Gomes Da Cunha</t>
  </si>
  <si>
    <t>Camila Abigail Pinto</t>
  </si>
  <si>
    <t>Camila Silva De Lima</t>
  </si>
  <si>
    <t>Valéria Gomes Amorim</t>
  </si>
  <si>
    <t>Wallace Da Silva Braga</t>
  </si>
  <si>
    <t>Isadora Gomes Farias Oliveira</t>
  </si>
  <si>
    <t>Fernando Henrique De Carvalho Marques</t>
  </si>
  <si>
    <t>Cintia Aparecida Alves</t>
  </si>
  <si>
    <t>Mariele Jesus Freitas</t>
  </si>
  <si>
    <t>Luana Duarte Lima</t>
  </si>
  <si>
    <t>Vitória Karoliny Brasil</t>
  </si>
  <si>
    <t>Moabe De Oliveira Matos</t>
  </si>
  <si>
    <t>Amanda Cristina De Souza Santos</t>
  </si>
  <si>
    <t>Caroline Melo De Oliveira</t>
  </si>
  <si>
    <t>Ana Clara Alves Cruz</t>
  </si>
  <si>
    <t>Leonardo Teixeira Sabino De Souza</t>
  </si>
  <si>
    <t>Karoline Da Silva Coelho</t>
  </si>
  <si>
    <t>Jussara Rodrigues Ferreira</t>
  </si>
  <si>
    <t>Maria Eduarda Arruda De Santana</t>
  </si>
  <si>
    <t>Fernanda Ferreira Machado</t>
  </si>
  <si>
    <t>Claudia Bendinskas</t>
  </si>
  <si>
    <t>Inaê Cláudia De Andrade</t>
  </si>
  <si>
    <t>Taynara Jeniffer Batista</t>
  </si>
  <si>
    <t>Suanny Lacerda De Souza</t>
  </si>
  <si>
    <t>Caroline Dias Lima</t>
  </si>
  <si>
    <t>Willian Da Silva De Oliveira</t>
  </si>
  <si>
    <t>Helem Dias Rodrigues</t>
  </si>
  <si>
    <t>Brenda Silva Santos</t>
  </si>
  <si>
    <t>Isabela Kampke De Carvalho</t>
  </si>
  <si>
    <t>Nathalia De Oliveira Caruzo Félix Magalhães</t>
  </si>
  <si>
    <t>Daniel Vianna Peres Júnior</t>
  </si>
  <si>
    <t>Maria Amelia De Melo E Silva</t>
  </si>
  <si>
    <t>Wagner Lima De Oliveira</t>
  </si>
  <si>
    <t>Gabriella Cristina De Jesus Maximiano</t>
  </si>
  <si>
    <t>Gilmar Felipe Meireles Vital</t>
  </si>
  <si>
    <t>Ericlis Francisco De Alvarenga</t>
  </si>
  <si>
    <t>Karinne Candido Protasio</t>
  </si>
  <si>
    <t>Regiane Ricardo Da Silva</t>
  </si>
  <si>
    <t>Nathalin Isabelle Dos Santos</t>
  </si>
  <si>
    <t>Brenda Juliana Alarcon Pinheiro</t>
  </si>
  <si>
    <t>Patricia De Souza Brasil</t>
  </si>
  <si>
    <t>Lediane Geraldina Da Cruz Moreira</t>
  </si>
  <si>
    <t>Alan Neves Madeira</t>
  </si>
  <si>
    <t>Sandra Da Silva Prado</t>
  </si>
  <si>
    <t>Maisa Fialho</t>
  </si>
  <si>
    <t>Ana Luiza Miranda Goveia</t>
  </si>
  <si>
    <t>Rosa Aparecida Dos Santos</t>
  </si>
  <si>
    <t>Robson Silva Da Costa</t>
  </si>
  <si>
    <t>Bruhna Dos Santos Lima</t>
  </si>
  <si>
    <t>Lays Pinto Silveira</t>
  </si>
  <si>
    <t>Wilkislaine Da Conceição Dos Santos Silva</t>
  </si>
  <si>
    <t>Natan Amurim Ribeiro</t>
  </si>
  <si>
    <t>Abigail Lacerda Alves</t>
  </si>
  <si>
    <t>Carla Luiza De Jesus</t>
  </si>
  <si>
    <t>Rogeria Da Silva Rocha</t>
  </si>
  <si>
    <t>Taiane Caroline Gusmão Gomes</t>
  </si>
  <si>
    <t>Joyce Mistura Zanon</t>
  </si>
  <si>
    <t>Juliane Cristine Cruz Martins</t>
  </si>
  <si>
    <t>Thiago Estrela De Farias</t>
  </si>
  <si>
    <t>Juliana Irene Marcelino</t>
  </si>
  <si>
    <t>Larissa Coitinho Pralon</t>
  </si>
  <si>
    <t>Jessica De Oliveira Santos</t>
  </si>
  <si>
    <t>Renata Tavares Dos Santos</t>
  </si>
  <si>
    <t>Thais Cristina De Freitas Lucio</t>
  </si>
  <si>
    <t>Lorraine Cristine Lopes</t>
  </si>
  <si>
    <t>Fernanda Aparecida Barbosa</t>
  </si>
  <si>
    <t>Luiz Gustavo Panazio De Oliveira</t>
  </si>
  <si>
    <t>Leonardo Richart Ferreira</t>
  </si>
  <si>
    <t>Lorayane Ramos De Assis</t>
  </si>
  <si>
    <t>Ester Gonçalves Pereira</t>
  </si>
  <si>
    <t>Isabelle Caroline Silva</t>
  </si>
  <si>
    <t>Kamylla Pereira Teles</t>
  </si>
  <si>
    <t>Paulo Henrique Almeida Ribeiro</t>
  </si>
  <si>
    <t>Nathalia Oroski Do Nascimento</t>
  </si>
  <si>
    <t>Julio Cesar Da Silva</t>
  </si>
  <si>
    <t>Monica Feuchard</t>
  </si>
  <si>
    <t>Vitoria Ester Rosentino Penha</t>
  </si>
  <si>
    <t>Natália Dias Reis</t>
  </si>
  <si>
    <t>Mayara Caroliny Santos Jardim</t>
  </si>
  <si>
    <t>Eldaize Ribeiro Da Silva</t>
  </si>
  <si>
    <t>Raphaely Adriane Ferreira Coelho</t>
  </si>
  <si>
    <t>Amanda Souza Silva</t>
  </si>
  <si>
    <t>Aleir Batista Germano</t>
  </si>
  <si>
    <t>Lady Cecília Gonçalves Dias Paim</t>
  </si>
  <si>
    <t>Ana Caroline Paiva Ferreira</t>
  </si>
  <si>
    <t>Gabriela Ketlen Ferreira De Oliveira</t>
  </si>
  <si>
    <t>Anielio Amadeus Da Silva</t>
  </si>
  <si>
    <t>Nayane Esteves Oliveira</t>
  </si>
  <si>
    <t>Miqueias Alves Da Silva</t>
  </si>
  <si>
    <t>Nicolle Luiza Braga</t>
  </si>
  <si>
    <t>Igor Honorato De Jesus</t>
  </si>
  <si>
    <t>William Fernando Sousa Ferreira</t>
  </si>
  <si>
    <t>Eliezer da Costa Moreira</t>
  </si>
  <si>
    <t>Lucinaldo Moraes Teixeira</t>
  </si>
  <si>
    <t>Bianca De Oliveira Cipriano</t>
  </si>
  <si>
    <t>Gabrieli Cabidelle Da Silva</t>
  </si>
  <si>
    <t>Victoria Aparecida Silva Alves</t>
  </si>
  <si>
    <t>Ingred De Oliveira Peres</t>
  </si>
  <si>
    <t>Messias Lima Miron</t>
  </si>
  <si>
    <t>Djulia Bianca Costa Duque</t>
  </si>
  <si>
    <t>Vanderson Lira Belo</t>
  </si>
  <si>
    <t>Ana Beatriz Jaques Garcia Mussa Cury</t>
  </si>
  <si>
    <t>Amanda Ferreira Franco Siqueira</t>
  </si>
  <si>
    <t>Lucas De Sousa Silva</t>
  </si>
  <si>
    <t>Clarisse Almeida De Oliveira</t>
  </si>
  <si>
    <t>Luiza Raquel Elias Lopes</t>
  </si>
  <si>
    <t>Perla Suzana De Oliveira Matos</t>
  </si>
  <si>
    <t>Matheus Barbosa Dos Anjos</t>
  </si>
  <si>
    <t>Vivian De Mello Moreira</t>
  </si>
  <si>
    <t>Suellen Dos Santos Ferreira</t>
  </si>
  <si>
    <t>Juliana Da Conceição Marcilio Da Silva</t>
  </si>
  <si>
    <t>Ana Virgínia Bogéa De Sousa Teixeira</t>
  </si>
  <si>
    <t>Rayane Dias Da Silva</t>
  </si>
  <si>
    <t>Alex Do Nascimento Machado</t>
  </si>
  <si>
    <t>Izabela Luiza Pimenta Da Silva</t>
  </si>
  <si>
    <t>Luciano Gonçalves Moreira</t>
  </si>
  <si>
    <t>Daniel Henrique Marçal</t>
  </si>
  <si>
    <t>Millena Silva De Jesus Santos</t>
  </si>
  <si>
    <t>Marcelo Augusto Batista</t>
  </si>
  <si>
    <t>Diego Correia Cordeiro Oliveira</t>
  </si>
  <si>
    <t>Patricia Pinheiro Figueiredo</t>
  </si>
  <si>
    <t>Gustavo Lyrio Araujo</t>
  </si>
  <si>
    <t>Aline Inácia Serino</t>
  </si>
  <si>
    <t>Elisangela Barbosa Bernardes De Souza</t>
  </si>
  <si>
    <t>Marcelo Bento Dos Santos</t>
  </si>
  <si>
    <t>Guilherme Henrique Souza Dos Santos</t>
  </si>
  <si>
    <t>Rosangela De Souza Camparoto</t>
  </si>
  <si>
    <t>Letícia Cristina Rodrigues Pena</t>
  </si>
  <si>
    <t>Amanda De Souza Dias</t>
  </si>
  <si>
    <t>Larissa Carolina Souza Santos</t>
  </si>
  <si>
    <t>Ana Paula Alves Padua</t>
  </si>
  <si>
    <t>Humisa Rodrigues Dos Anjos</t>
  </si>
  <si>
    <t>Thailany Camelo De Souza</t>
  </si>
  <si>
    <t>Letícia Marinho Dos Santos</t>
  </si>
  <si>
    <t>Maria Jose Sena Alves</t>
  </si>
  <si>
    <t>Claudia Maria Ribeiro</t>
  </si>
  <si>
    <t>Maiara Duarte Da Costa</t>
  </si>
  <si>
    <t>Bruna Vieira Machado da Trindade de Freitas</t>
  </si>
  <si>
    <t>Amilton Ferreira De Souza Filho</t>
  </si>
  <si>
    <t>Adriana Aparecida Da Silva Lopes</t>
  </si>
  <si>
    <t>Raiane Venancio Rodrigues</t>
  </si>
  <si>
    <t>Paola Vieira Da Silva Ferreira</t>
  </si>
  <si>
    <t>Daniel Peçanha Lopes</t>
  </si>
  <si>
    <t>Silas Batista Da Silva</t>
  </si>
  <si>
    <t>Mariluce Maria Da Silva Dias</t>
  </si>
  <si>
    <t>Maria Heloisa Miranda De Souza</t>
  </si>
  <si>
    <t>Marconcelos Carlos Da Silva Derrico</t>
  </si>
  <si>
    <t>Gabriella Pinheiro Dos Santos</t>
  </si>
  <si>
    <t>Thaislane Cristina Fernandes</t>
  </si>
  <si>
    <t>Alisson Fernandes Pereira</t>
  </si>
  <si>
    <t>Lucas Ribeiro Da Silva</t>
  </si>
  <si>
    <t>Paloma Marques Da Silva</t>
  </si>
  <si>
    <t>Paulo Sérgio Cavalcante Ferreira</t>
  </si>
  <si>
    <t>Dulciana Querobim Faria</t>
  </si>
  <si>
    <t>Brennda Da Silva Diniz</t>
  </si>
  <si>
    <t>Isadora Ferreira Caris</t>
  </si>
  <si>
    <t>Carolina Lopes Da Silva</t>
  </si>
  <si>
    <t>Antônio José Dos Santos</t>
  </si>
  <si>
    <t>Talita Moreira Silva</t>
  </si>
  <si>
    <t>Thiago Fagundes</t>
  </si>
  <si>
    <t>Linda Alessandra Ribeiro Cruz Dos Santos</t>
  </si>
  <si>
    <t>Suelen Pereira De Queiroz</t>
  </si>
  <si>
    <t>Amanda Giulia Antunes Martins</t>
  </si>
  <si>
    <t>Beatriz Musquine De Brito Rocha</t>
  </si>
  <si>
    <t>Lavínia Dos Santos Ferreira</t>
  </si>
  <si>
    <t>Sara Maria Vieira Da Silva</t>
  </si>
  <si>
    <t>Matheus Oliveira Macruz</t>
  </si>
  <si>
    <t>Tácilla Emanuelle Vieira Costa</t>
  </si>
  <si>
    <t>Anne Lisie De Moura Bandeira</t>
  </si>
  <si>
    <t>Michele Alves De Oliveira</t>
  </si>
  <si>
    <t>Dirlene Lazarino Silva</t>
  </si>
  <si>
    <t>Vinícius Aparecido Lucas</t>
  </si>
  <si>
    <t>Marcela Cristina Pedro Vieira</t>
  </si>
  <si>
    <t>Fernanda Monteiro De Oliveira</t>
  </si>
  <si>
    <t>Fabiana Aparecida Soares Gomes</t>
  </si>
  <si>
    <t>Karen Filgueira Rosa De Siqueira</t>
  </si>
  <si>
    <t>Núbia Silva Fernandes</t>
  </si>
  <si>
    <t>Kerollainy Zamprogno Souza</t>
  </si>
  <si>
    <t>Ana Carolina Manhães Ribeiro</t>
  </si>
  <si>
    <t>Karla Luiza Bernardes Da Cunha</t>
  </si>
  <si>
    <t>Úrsula Veras Da Silva</t>
  </si>
  <si>
    <t>Anderson Cesario Dos Santos</t>
  </si>
  <si>
    <t>Larissa Vieira De Assis</t>
  </si>
  <si>
    <t>Gabriela De Araujo Pio</t>
  </si>
  <si>
    <t>Miely Silva Fernandes</t>
  </si>
  <si>
    <t>Paolla Oliveira Sodre Arao</t>
  </si>
  <si>
    <t>Raquel Oliveira Aguiar Satolo</t>
  </si>
  <si>
    <t>Samuel Dias Fialho</t>
  </si>
  <si>
    <t>Ana Flávia Garcia De Souza</t>
  </si>
  <si>
    <t>Letícia De Carvalho</t>
  </si>
  <si>
    <t>João Evangelista Lopes Cabral</t>
  </si>
  <si>
    <t>Thainá Azevedo Dos Santos</t>
  </si>
  <si>
    <t>Monique De Souza Araujo</t>
  </si>
  <si>
    <t>Camille De Aguiar Silva</t>
  </si>
  <si>
    <t>Iury Lima Tavares</t>
  </si>
  <si>
    <t>Maíra Silva De Almeida</t>
  </si>
  <si>
    <t>Jenifer Dos Santos Saldanha</t>
  </si>
  <si>
    <t>Ana Livia Do Nascimento Torquato</t>
  </si>
  <si>
    <t>Walquiria da Silva Braga Laurindo</t>
  </si>
  <si>
    <t>Luana Schifler Bindaco</t>
  </si>
  <si>
    <t>Ervelim Natália Barbosa Brito</t>
  </si>
  <si>
    <t>Gabriel Trindade Muniz</t>
  </si>
  <si>
    <t>Daniel Victor Caetano Valadão</t>
  </si>
  <si>
    <t>Pilatos Gusmão Leal</t>
  </si>
  <si>
    <t>Nicássia Gomes Pereira</t>
  </si>
  <si>
    <t>Bianka Siqueira Pimenta</t>
  </si>
  <si>
    <t>Marcela Carramanhos Alcantara</t>
  </si>
  <si>
    <t>Pamella Maria Alves Almeida</t>
  </si>
  <si>
    <t>Kelly De Araujo Souza</t>
  </si>
  <si>
    <t>Juliele Scheffer Da Costa</t>
  </si>
  <si>
    <t>Dayane Silva De Carvalho</t>
  </si>
  <si>
    <t>Dully Ohana Dos Santos Lincoln</t>
  </si>
  <si>
    <t>Marcus Vinicius Marinho Pereira Dos Santos</t>
  </si>
  <si>
    <t>Jheser Keny Lopes Santana</t>
  </si>
  <si>
    <t>Maximila Da Silva Pereira</t>
  </si>
  <si>
    <t>Nathália Beatriz Firmino Mendonça Dos Santos</t>
  </si>
  <si>
    <t>Daiane Do Nascimento Neto</t>
  </si>
  <si>
    <t>Ana Carolina Lopes Pierro</t>
  </si>
  <si>
    <t>Isabela De Cassia Evangelista Do Carmo</t>
  </si>
  <si>
    <t>Eduarda Silva Rossi</t>
  </si>
  <si>
    <t>Raquel De Mendonça Ferreira</t>
  </si>
  <si>
    <t>Wallace De Souza Pontes</t>
  </si>
  <si>
    <t>Shara Cristine Gomes Soares</t>
  </si>
  <si>
    <t>Daniely Neves Da Costa</t>
  </si>
  <si>
    <t>Evellyn Frez De Araujo</t>
  </si>
  <si>
    <t>Iara Alves De Sousa</t>
  </si>
  <si>
    <t>Naira Gabriele Ferreira Dos Santos</t>
  </si>
  <si>
    <t>Richard Henrique Brandão</t>
  </si>
  <si>
    <t>Jhaimy Raniele Venancio Gomes</t>
  </si>
  <si>
    <t>Larissa Neves Monteiro</t>
  </si>
  <si>
    <t>Kátia Angélica Do Carmo Ribeiro Gonçalves</t>
  </si>
  <si>
    <t>Jhonatan Benicio Dos Santos</t>
  </si>
  <si>
    <t>Elida Pinheiro De Sousa</t>
  </si>
  <si>
    <t>Luandra Gomes Dos Santos</t>
  </si>
  <si>
    <t>Valdirene Borges</t>
  </si>
  <si>
    <t>Eduarda Da Silva Dantas</t>
  </si>
  <si>
    <t>Brenda Cartaxo Loretti</t>
  </si>
  <si>
    <t>Hinara Martyelle Nogueira Silva Mendes</t>
  </si>
  <si>
    <t>Isabella Ribeiro Pacheco</t>
  </si>
  <si>
    <t>Tayson De Souza Garcia</t>
  </si>
  <si>
    <t>Laércio Andrade De Souza Neto</t>
  </si>
  <si>
    <t>Vitória Soares Queiroz</t>
  </si>
  <si>
    <t>Ketlyn Campolina Gomes</t>
  </si>
  <si>
    <t>Juliana Araujo Brum</t>
  </si>
  <si>
    <t>Micaela De Paula Tavora</t>
  </si>
  <si>
    <t>Laleska Domingas Norberto</t>
  </si>
  <si>
    <t>Thamires Pereira De Jesus</t>
  </si>
  <si>
    <t>Lidian Cristina Da Rosa</t>
  </si>
  <si>
    <t>Nisa De Mello</t>
  </si>
  <si>
    <t>Anna Julia Ferreira Viana</t>
  </si>
  <si>
    <t>Patrick Alves Da Silva Mateus</t>
  </si>
  <si>
    <t>Paula Emanuela Ramos Da Silva</t>
  </si>
  <si>
    <t>Roseli De Moraes Silva</t>
  </si>
  <si>
    <t>Gisele Campos Martins</t>
  </si>
  <si>
    <t>Kamila Cristina Silva Cristovam</t>
  </si>
  <si>
    <t>Natiele Pedro Da Silva</t>
  </si>
  <si>
    <t>Diana Aparecida Fiuza Pedreira</t>
  </si>
  <si>
    <t>Sylben De Oliveira Folly Camera</t>
  </si>
  <si>
    <t>Leticia Da Silva Braga</t>
  </si>
  <si>
    <t>Carlos Vinicius Afonso Pinto</t>
  </si>
  <si>
    <t>Sarah Lorrane Capuchinho Pereira</t>
  </si>
  <si>
    <t>Lucas Bianchini De Oliveira Maciel</t>
  </si>
  <si>
    <t>Jéssica Gonçalves Doria</t>
  </si>
  <si>
    <t>Mario Altoé Machado</t>
  </si>
  <si>
    <t>Dillian Castro Souza</t>
  </si>
  <si>
    <t>Larissa Camuzzi Paraizo</t>
  </si>
  <si>
    <t>Mara Lúcia De Souza</t>
  </si>
  <si>
    <t>Thamires Fátima De Paula Silva</t>
  </si>
  <si>
    <t>Thayná Bandeira De Paula</t>
  </si>
  <si>
    <t>Laís Pinheiro Lourenço Fonseca</t>
  </si>
  <si>
    <t>Gustavo Bento Da Silva</t>
  </si>
  <si>
    <t>Breno De Azevedo Moreira</t>
  </si>
  <si>
    <t>Fábio José Alves Nunes</t>
  </si>
  <si>
    <t>Rozenaldo Assunção Portella De Souza</t>
  </si>
  <si>
    <t>Luana Nicolau De Carvalho</t>
  </si>
  <si>
    <t>Jonathan Costa Ferreira</t>
  </si>
  <si>
    <t>Raynara De Castro Tinti Monteiro</t>
  </si>
  <si>
    <t>Ana Kágila Da Silva Medeiros Moraes</t>
  </si>
  <si>
    <t>Thaiane Nascimento De Souza</t>
  </si>
  <si>
    <t>Nathan Henrique Amaro</t>
  </si>
  <si>
    <t>Isabelle Ramos Do Nascimento</t>
  </si>
  <si>
    <t>Beatriz Silva De Carvalho</t>
  </si>
  <si>
    <t>Mauri De Araujo Sousa Junior</t>
  </si>
  <si>
    <t>Erik Gustavo Santos Aguiar</t>
  </si>
  <si>
    <t>Marcos Vinnicius Batista Dos Santos</t>
  </si>
  <si>
    <t>Eduardo Silva Ignacio</t>
  </si>
  <si>
    <t>Rebeka Calazans De Faria</t>
  </si>
  <si>
    <t>Thainá Teixeira Coelho</t>
  </si>
  <si>
    <t>Jade Pereira</t>
  </si>
  <si>
    <t>Terezinha Ermínia De Oliveira</t>
  </si>
  <si>
    <t>André Filipe Da Silva Gonçalves</t>
  </si>
  <si>
    <t>Rafaella Noboa Soares</t>
  </si>
  <si>
    <t>Luana Pascoal Lopes Mageste</t>
  </si>
  <si>
    <t>Milena De Carvalho Fontainha</t>
  </si>
  <si>
    <t>Isabela Moreira França</t>
  </si>
  <si>
    <t>Kátia Úrsula Davel Camporez</t>
  </si>
  <si>
    <t>Thais De Oliveira Campos</t>
  </si>
  <si>
    <t>Maria Carolina Do Nascimento Emanuelli</t>
  </si>
  <si>
    <t>Thayane Tavares Monteiro</t>
  </si>
  <si>
    <t>Amanda Martins Domas</t>
  </si>
  <si>
    <t>Thalyta Lima Manhães</t>
  </si>
  <si>
    <t>Maria Eduarda Cypriano Do Nascimento</t>
  </si>
  <si>
    <t>Oliver Carvalho Damasceno</t>
  </si>
  <si>
    <t>Gabriel Galdino Da Silva</t>
  </si>
  <si>
    <t>Cristiane Rabello Luvezuti</t>
  </si>
  <si>
    <t>Lucas Dos Santos Silva</t>
  </si>
  <si>
    <t>João Vitor Carvalho Ribeiro</t>
  </si>
  <si>
    <t>Larah Karla Almeida Pereira</t>
  </si>
  <si>
    <t>Vitória Verônica Pereira Souza Alves</t>
  </si>
  <si>
    <t>Rhaysa Chelles Vasconcellos De Souza</t>
  </si>
  <si>
    <t>Mayara Horta Barcellos</t>
  </si>
  <si>
    <t>Gliceria Cristina Clementino Da Silva</t>
  </si>
  <si>
    <t>Hiago De Souza Moutinho</t>
  </si>
  <si>
    <t>Jose Maria Ribeiro Maciel</t>
  </si>
  <si>
    <t>Khateryn Firmino De Oliveira</t>
  </si>
  <si>
    <t>Louise Anne Rodrigues</t>
  </si>
  <si>
    <t>Luana Aquino Da Silva</t>
  </si>
  <si>
    <t>Jonathan Da Silva Oliveira</t>
  </si>
  <si>
    <t>Thayná Ferreira Ribeiro</t>
  </si>
  <si>
    <t>Cristina Acioli Rocha</t>
  </si>
  <si>
    <t>Katrini Ribeiro Tiago</t>
  </si>
  <si>
    <t>Leidyellen Santos</t>
  </si>
  <si>
    <t>Evelyn Martins Domingos Dos Santos</t>
  </si>
  <si>
    <t>Vânia Paulino Alecrim</t>
  </si>
  <si>
    <t>Maria Antônia Rodrigues</t>
  </si>
  <si>
    <t>Lucas Souza Rodrigues Florenzano</t>
  </si>
  <si>
    <t>Maria Eduarda Franca Brito</t>
  </si>
  <si>
    <t>Yasmim Faggian Oliveira</t>
  </si>
  <si>
    <t>Gilberto Antonio Dias</t>
  </si>
  <si>
    <t>Cláudio Endriw Vilar Da Conceição</t>
  </si>
  <si>
    <t>Artur Vicente Da Silva Filho</t>
  </si>
  <si>
    <t>Monique Moreno Da Silva</t>
  </si>
  <si>
    <t>Sarah Nunes Rocha De Paula</t>
  </si>
  <si>
    <t>Héron Lisboa Pinto</t>
  </si>
  <si>
    <t>Dayane De Jesus Lopes</t>
  </si>
  <si>
    <t>Darlene Eleuterio Gomes</t>
  </si>
  <si>
    <t>Patricia Adriana Carvalho Alves</t>
  </si>
  <si>
    <t>Milena Da Silva Costa</t>
  </si>
  <si>
    <t>Bruna Caetano Fernandes</t>
  </si>
  <si>
    <t>Rodrigo Leal Almeida</t>
  </si>
  <si>
    <t>Bruno Da Costa Furtado</t>
  </si>
  <si>
    <t>Rayssa Ildebrando Pena França</t>
  </si>
  <si>
    <t>Aryana Oliveira Domingues</t>
  </si>
  <si>
    <t>Lohanna De Melo Gomes</t>
  </si>
  <si>
    <t>Monique Paulo</t>
  </si>
  <si>
    <t>Hebert Peres Soares</t>
  </si>
  <si>
    <t>Claudia Dos Santos Rocha</t>
  </si>
  <si>
    <t>Kátia Pereira De Araújo Sousa</t>
  </si>
  <si>
    <t>Valdeci Pires Lopes</t>
  </si>
  <si>
    <t>Fátima Andréa Kisil Mendes</t>
  </si>
  <si>
    <t>Thais Justino Da Silva</t>
  </si>
  <si>
    <t>Ana Júlia De Barros Planez Marques</t>
  </si>
  <si>
    <t>Gabriella Santos De Oliveira</t>
  </si>
  <si>
    <t>Laila Fábia Vieira Santos</t>
  </si>
  <si>
    <t>Gabrielle Vilela Alves</t>
  </si>
  <si>
    <t>Catarina Lopes Moreira Da Silva</t>
  </si>
  <si>
    <t>Nalbert Ferreira Soares Da Silva</t>
  </si>
  <si>
    <t>Leandro Da Conceição Gotardo</t>
  </si>
  <si>
    <t>Rosileide Souza da Silva</t>
  </si>
  <si>
    <t>Gabriel Malta Apicela</t>
  </si>
  <si>
    <t>Camila Dos Santos Xavier</t>
  </si>
  <si>
    <t>Mateus De Amorim Justiniano</t>
  </si>
  <si>
    <t>Ana Lúcia Brandão Do Nascimento Curioso</t>
  </si>
  <si>
    <t>Wallef Marques Dos Santos</t>
  </si>
  <si>
    <t>Marcelo Alves De Souza Filho</t>
  </si>
  <si>
    <t>Rhanna Ferreira Oliveira</t>
  </si>
  <si>
    <t>Thamires Helena Fernandes Santos</t>
  </si>
  <si>
    <t>Allan Wallace Da Silva</t>
  </si>
  <si>
    <t>Mariana Ferreira Rodrigues</t>
  </si>
  <si>
    <t>Ravyne Rosa De Siqueira</t>
  </si>
  <si>
    <t>Gabriela Lowenthal De Araujo</t>
  </si>
  <si>
    <t>Sarah Lima Moreira</t>
  </si>
  <si>
    <t>Ercilia Maria Dos Santos Correa</t>
  </si>
  <si>
    <t>Patricia Feu Da Rocha</t>
  </si>
  <si>
    <t>Luiz Albert Da Rocha Sebestyen Filho</t>
  </si>
  <si>
    <t>Renata Gonçalves Dos Santos</t>
  </si>
  <si>
    <t>Raissa Da Cruz Lodonio</t>
  </si>
  <si>
    <t>Gisele Aparecida Martins Moreira</t>
  </si>
  <si>
    <t>Isabela Jacinto Faria</t>
  </si>
  <si>
    <t>Caroline Borges Da Silva Oliveira Nolasco</t>
  </si>
  <si>
    <t>Andreia Regina Bansi</t>
  </si>
  <si>
    <t>Renee Lopes De Carvalho</t>
  </si>
  <si>
    <t>Guilherme Christovão Linhares</t>
  </si>
  <si>
    <t>Beatriz Cabral Ribeiro Neves</t>
  </si>
  <si>
    <t>Leidinara Távora Santanna</t>
  </si>
  <si>
    <t>Thaís Neves De Carvalho</t>
  </si>
  <si>
    <t>José Lucas Teles Bolsonello</t>
  </si>
  <si>
    <t>Deise Mendes</t>
  </si>
  <si>
    <t>Kamila Lemos Rodrigues</t>
  </si>
  <si>
    <t>Gabriella Ortega Da Silva</t>
  </si>
  <si>
    <t>Yago Galdino Fernandes</t>
  </si>
  <si>
    <t>Tays Nunes Lyra</t>
  </si>
  <si>
    <t>Helena Da Silva Mendes</t>
  </si>
  <si>
    <t>Emellyn Thome De Oliveira</t>
  </si>
  <si>
    <t>Ana Paula Ciriaco Quintella</t>
  </si>
  <si>
    <t>Ana Beatriz Simões Do Sacramento</t>
  </si>
  <si>
    <t>Renan Magalhães De Carvalho</t>
  </si>
  <si>
    <t>Franciely Querino Pontes Jardim</t>
  </si>
  <si>
    <t>Pietra Maria De Mello Silva</t>
  </si>
  <si>
    <t>Katia Ribeiro Da Silva</t>
  </si>
  <si>
    <t>Mariana Mara Apolinario Dos Santos</t>
  </si>
  <si>
    <t>Rosa Maria Rodrigues</t>
  </si>
  <si>
    <t>Thiago Francisco Ribeiro</t>
  </si>
  <si>
    <t>Maiara De Freitas Gonçalves</t>
  </si>
  <si>
    <t>Luiz Fernando Alfrediano</t>
  </si>
  <si>
    <t>Bianca Paes Silva</t>
  </si>
  <si>
    <t>Gisele Gomes Dias Siqueira</t>
  </si>
  <si>
    <t>Adrielly Barreto De Paula</t>
  </si>
  <si>
    <t>Sabrina Oliveira Do Nascimento</t>
  </si>
  <si>
    <t>Debora De Almeida Machado</t>
  </si>
  <si>
    <t>Raiane Da Silva Simer</t>
  </si>
  <si>
    <t>Aleandra Ribeiro Nascimento</t>
  </si>
  <si>
    <t>Chakyra De Andrade Dos Santos</t>
  </si>
  <si>
    <t>Francielle Da Silva Alencar</t>
  </si>
  <si>
    <t>Lucilene Da Silva Santos</t>
  </si>
  <si>
    <t>Hingria Dias De Moura Gonçalves</t>
  </si>
  <si>
    <t>Josiane Maria Do Nascimento Lira</t>
  </si>
  <si>
    <t>Júlia Almeida Da Silva</t>
  </si>
  <si>
    <t>Emily Gaspar De Araujo</t>
  </si>
  <si>
    <t>Flávia Saleme Araújo</t>
  </si>
  <si>
    <t>Ana Caroline Simões Pinto</t>
  </si>
  <si>
    <t>Patricia Iamonti</t>
  </si>
  <si>
    <t>Lorena Barreto E Silva</t>
  </si>
  <si>
    <t>Marina Souza Silva</t>
  </si>
  <si>
    <t>João Carlos Leal Gonçalves</t>
  </si>
  <si>
    <t>Carlos Alberto De Oliveira Leal</t>
  </si>
  <si>
    <t>Renato Maciel Catarino Filho</t>
  </si>
  <si>
    <t>Criselen Tertulino Da Silva</t>
  </si>
  <si>
    <t>Mateus Henrique Da Silva Quintino</t>
  </si>
  <si>
    <t>Emerson Guilherme Santana Coutinho</t>
  </si>
  <si>
    <t>Jerusa Gonçalves Da Silva</t>
  </si>
  <si>
    <t>Yuri Saviolo De Souza Amaral</t>
  </si>
  <si>
    <t>Larissa De Fátima Marinho Gomes</t>
  </si>
  <si>
    <t>Carlos Cardoso Pizetta</t>
  </si>
  <si>
    <t>José Simplício Da Mota</t>
  </si>
  <si>
    <t>Mayara Souza Sales</t>
  </si>
  <si>
    <t>Ana Carolina De Almeida Oliveira</t>
  </si>
  <si>
    <t>Valéria Silva Dos Reis</t>
  </si>
  <si>
    <t>Mayra Victoria Amorim</t>
  </si>
  <si>
    <t>Arthur Laurentino Santos De Oliveira</t>
  </si>
  <si>
    <t>Caroline De Siqueira Braga</t>
  </si>
  <si>
    <t>Janaína Coelho Coimbra</t>
  </si>
  <si>
    <t>Gabriel Pires Da Costa Dos Santos</t>
  </si>
  <si>
    <t>Jose Roberto Correia De Souza</t>
  </si>
  <si>
    <t>Caroene Ferreira Da Silva</t>
  </si>
  <si>
    <t>Brenno Peixoto Campos Silva</t>
  </si>
  <si>
    <t>Lucinda Dos Santos Magalhaes</t>
  </si>
  <si>
    <t>Helen Sa Abreu</t>
  </si>
  <si>
    <t>Roseli Pereira Andre</t>
  </si>
  <si>
    <t>Kelly De Souza Albani</t>
  </si>
  <si>
    <t>Elaine Dos Santos Florentino</t>
  </si>
  <si>
    <t>Larissa Guimarães Rocha</t>
  </si>
  <si>
    <t>Lavínia Gomes Soares</t>
  </si>
  <si>
    <t>Lucas Nunes Da Silva De Lima</t>
  </si>
  <si>
    <t>Maria Júlia Simão Vila Nova</t>
  </si>
  <si>
    <t>Vivian Sandriza Gonçalves</t>
  </si>
  <si>
    <t>Sergio Augusto Israel Dos Santos</t>
  </si>
  <si>
    <t>José Orlando Lopes Da Silva Filho</t>
  </si>
  <si>
    <t>José Fernando Leite Dos Santos</t>
  </si>
  <si>
    <t>Jéssica Fontoura Gomes</t>
  </si>
  <si>
    <t>Isadora De Azevedo Calixto Parada</t>
  </si>
  <si>
    <t>Milena Gisbert Da Silva</t>
  </si>
  <si>
    <t>Ariana Débora De Oliveira Leite</t>
  </si>
  <si>
    <t>Giovanna Macedo Barbosa</t>
  </si>
  <si>
    <t>Andreia Guerra Ribeiro</t>
  </si>
  <si>
    <t>Luana Da Silva Nicolau</t>
  </si>
  <si>
    <t>Fernando Antonio Souza</t>
  </si>
  <si>
    <t>Brenda Da Costa Passos Ramos Dias</t>
  </si>
  <si>
    <t>Helio Da Silva Bispo</t>
  </si>
  <si>
    <t>Bruna Fernanda Ferreira Rocha</t>
  </si>
  <si>
    <t>Alice Brenda Camillo Nascimento Da Silva</t>
  </si>
  <si>
    <t>Lediuma De Freitas Alves</t>
  </si>
  <si>
    <t>Sarah De Oliveira Bello</t>
  </si>
  <si>
    <t>Simone Santos Silva</t>
  </si>
  <si>
    <t>Ricardo Magalhães Cavalcante</t>
  </si>
  <si>
    <t>Jaine Romualdo Da Silva</t>
  </si>
  <si>
    <t>Ezequiel Santos Pessoa</t>
  </si>
  <si>
    <t>Kelly Cristina Ferreira Silva</t>
  </si>
  <si>
    <t>Dayane Ferreira Da Costa</t>
  </si>
  <si>
    <t>Yuri Pontes De Souza</t>
  </si>
  <si>
    <t>Adriana Fernandes Dos Santos</t>
  </si>
  <si>
    <t>Ilma Evangelista Da Silva</t>
  </si>
  <si>
    <t>Amanda Marcarini Bernabé</t>
  </si>
  <si>
    <t>Matheus Daniel Pereira Grola</t>
  </si>
  <si>
    <t>Murilo De Souza</t>
  </si>
  <si>
    <t>Maria de Fatima Tavares de Lira</t>
  </si>
  <si>
    <t>André De Jesus Ribeiro</t>
  </si>
  <si>
    <t>Amon Lucas Reis Rodrigues De Lima</t>
  </si>
  <si>
    <t>Julia Lopes Santos</t>
  </si>
  <si>
    <t>Adriana Conceição Da Silva</t>
  </si>
  <si>
    <t>Daniel Soares Xavier</t>
  </si>
  <si>
    <t>Ester Pereira De Sá Freire</t>
  </si>
  <si>
    <t>Maria Eduarda Dos Santos Couto Vicente</t>
  </si>
  <si>
    <t>Laila Da Costa Coutinho</t>
  </si>
  <si>
    <t>Luciene Oliveira Gonçalves Dos Santos</t>
  </si>
  <si>
    <t>Dirce Feitosa Santello</t>
  </si>
  <si>
    <t>Karoline Kelly De Oliveira</t>
  </si>
  <si>
    <t>Angela Barbosa Ferreira</t>
  </si>
  <si>
    <t>Edvan Jose Dos Santos</t>
  </si>
  <si>
    <t>Luane Castro Da Silva</t>
  </si>
  <si>
    <t>Letícia Alves Rocha</t>
  </si>
  <si>
    <t>Magda Sales De Souza</t>
  </si>
  <si>
    <t>Silvana De Santana</t>
  </si>
  <si>
    <t>Elizabeth Calixto Dos Santos De Lima</t>
  </si>
  <si>
    <t>Eliane Soares Ferreira</t>
  </si>
  <si>
    <t>Gabrielle Alves Braga</t>
  </si>
  <si>
    <t>Elaine Cristina Anunciato</t>
  </si>
  <si>
    <t>Cristiane Alessandra Pedro</t>
  </si>
  <si>
    <t>Hosana Calazans Silva</t>
  </si>
  <si>
    <t>Sonia Maria De Melo</t>
  </si>
  <si>
    <t>Marilene Machado Souza Martins</t>
  </si>
  <si>
    <t>Clélia Lázara De Sousa Corra</t>
  </si>
  <si>
    <t>Priscila Fabiana Da Cruz</t>
  </si>
  <si>
    <t>Márcia Adriana De Azevedo</t>
  </si>
  <si>
    <t>Rosalina Da Gama Serrão</t>
  </si>
  <si>
    <t>Mabia Andreatta Ferreira</t>
  </si>
  <si>
    <t>Cilene Ferreira Rubem</t>
  </si>
  <si>
    <t>Oswaldo Vismar</t>
  </si>
  <si>
    <t>Solange Eliene Praxedes Monteiro</t>
  </si>
  <si>
    <t>João Carlos Pires Da Silva</t>
  </si>
  <si>
    <t>Luciana Gonzaga Da Hora</t>
  </si>
  <si>
    <t>Elivaldo José Macedo</t>
  </si>
  <si>
    <t>Isaldo José Santos De Souza</t>
  </si>
  <si>
    <t>Maria Etelvina Rodrigues</t>
  </si>
  <si>
    <t>Valdir Gonçalves Sobral</t>
  </si>
  <si>
    <t>Fabiana Angelica De Oliveira Pinto</t>
  </si>
  <si>
    <t>Iracema Felix Nascimento</t>
  </si>
  <si>
    <t>Carlos Joel Novaes Silva</t>
  </si>
  <si>
    <t>José Henrique Soares Da Silva</t>
  </si>
  <si>
    <t>Luciano José Vicente</t>
  </si>
  <si>
    <t>José Reinildo De Oliveira Costa</t>
  </si>
  <si>
    <t>Adriana Bastos Machado</t>
  </si>
  <si>
    <t>Cleyton Eduardo Da Silva</t>
  </si>
  <si>
    <t>Adonay Simar Evangelista</t>
  </si>
  <si>
    <t>Ozivan Da Silva Pereira Dos Santos</t>
  </si>
  <si>
    <t>Moisés Wiliam Ramalho Dos Santos</t>
  </si>
  <si>
    <t>Adriana Maria Do Carmo</t>
  </si>
  <si>
    <t>Elisabete Serafim Rosa Lima</t>
  </si>
  <si>
    <t>Tatiane Fernandes Da Cruz</t>
  </si>
  <si>
    <t>Uilaneide Maria Da Silva</t>
  </si>
  <si>
    <t>Paula Silva Fernandes</t>
  </si>
  <si>
    <t>Rosimeire Machado Dos Santos</t>
  </si>
  <si>
    <t>Erika Thais De Andrade Bezerra</t>
  </si>
  <si>
    <t>Claudemir Antoneli De Santana</t>
  </si>
  <si>
    <t>Vivian Graziele Da Silva Medeiros</t>
  </si>
  <si>
    <t>João Paulo Morgado De Baggis</t>
  </si>
  <si>
    <t>Tiana Maria Da Conceicao</t>
  </si>
  <si>
    <t>Franciane De Sousa Pereira</t>
  </si>
  <si>
    <t>Jacilene Soares De Souza</t>
  </si>
  <si>
    <t>Francine Moreira Cassimiro</t>
  </si>
  <si>
    <t>Alex Galdino De Oliveira</t>
  </si>
  <si>
    <t>Fabio Francisco Venâncio</t>
  </si>
  <si>
    <t>Fabiana Ferreira</t>
  </si>
  <si>
    <t>Moisés Gonçalves De Oliveira</t>
  </si>
  <si>
    <t>Lourdes Teresinha Rischtter Dos Santos</t>
  </si>
  <si>
    <t>Kelly Christine Dos Santos</t>
  </si>
  <si>
    <t>Vanessa Lima Liberato</t>
  </si>
  <si>
    <t>Eliane Maria Da Silva</t>
  </si>
  <si>
    <t>Mariele Nunes De Oliveira</t>
  </si>
  <si>
    <t>Erica Munhoz Santana</t>
  </si>
  <si>
    <t>José Carlos De Holanda Magalhães</t>
  </si>
  <si>
    <t>Maria De Fatima Natila Kercia Silva Ferreira</t>
  </si>
  <si>
    <t>Luanda Rodrigues Dos Santos</t>
  </si>
  <si>
    <t>Paulo Rogerio Bezerra Da Silva</t>
  </si>
  <si>
    <t>Adriana Branco De Araujo</t>
  </si>
  <si>
    <t>Luciana Oliveira da Silva</t>
  </si>
  <si>
    <t>Vivian Leandra De Oliveira Souza</t>
  </si>
  <si>
    <t>Sarah Oliveira Da Silva</t>
  </si>
  <si>
    <t>Samuel Dos Santos Figueiredo</t>
  </si>
  <si>
    <t>Muller Renan Rodrigues Dos Santos</t>
  </si>
  <si>
    <t>Joyce Eufrasio Da Silva</t>
  </si>
  <si>
    <t>Risonaldo Pereira Dos Santos</t>
  </si>
  <si>
    <t>Antonio Pereira Da Conceição</t>
  </si>
  <si>
    <t>Elisa Miranda Cardoso</t>
  </si>
  <si>
    <t>Lucimara Marciano Marinho</t>
  </si>
  <si>
    <t>Gilnei Rafael Dos Santos</t>
  </si>
  <si>
    <t>Higia Galvao Lhamas</t>
  </si>
  <si>
    <t>Débora Morrone Vicente De Albuquerque</t>
  </si>
  <si>
    <t>Geliane Geronimo De Araujo</t>
  </si>
  <si>
    <t>Willian Dos Santos Silva</t>
  </si>
  <si>
    <t>Heverton Oliveira Da Silva</t>
  </si>
  <si>
    <t>Maria De Fatima Ribeiro Dos Santos</t>
  </si>
  <si>
    <t>Jéssica Oliveira Da Silva E Silva</t>
  </si>
  <si>
    <t>Paulo Wellington Dos Santos Pereira</t>
  </si>
  <si>
    <t>Deise Do Nascimento Rodrigues Da Silva</t>
  </si>
  <si>
    <t>Mariane Caroline De Lima</t>
  </si>
  <si>
    <t>Pâmela Letícia Rola</t>
  </si>
  <si>
    <t>Gabriel Moreira</t>
  </si>
  <si>
    <t>Amanda Da Silva Santos</t>
  </si>
  <si>
    <t>Luiz Carlos Kroeff Carvalho</t>
  </si>
  <si>
    <t>Tania Raimunda Anunciaçao Teixeira</t>
  </si>
  <si>
    <t>Marcelo Galdino Dos Santos</t>
  </si>
  <si>
    <t>Enildo Antonio Da Silva</t>
  </si>
  <si>
    <t>Valdomiro Soares Filho</t>
  </si>
  <si>
    <t>Joao Gomes De Figueiredo</t>
  </si>
  <si>
    <t>Maria Lindete Silva De Holanda</t>
  </si>
  <si>
    <t>Antonio João Silva Figueiredo</t>
  </si>
  <si>
    <t>Elizete Oliveira Alves Da Silva</t>
  </si>
  <si>
    <t>Tatiana De Cassia Mendes</t>
  </si>
  <si>
    <t>Dinea D Oliveira Capucho</t>
  </si>
  <si>
    <t>Mauricio Dos Santos Silva</t>
  </si>
  <si>
    <t>Maria Do Perpetuo Socorro Silva</t>
  </si>
  <si>
    <t>Daniel Gomes</t>
  </si>
  <si>
    <t>Risonilde Maria Dos Anjos</t>
  </si>
  <si>
    <t>Lucimeia Pereira De Souza</t>
  </si>
  <si>
    <t>Priscila Mota De Carvalho</t>
  </si>
  <si>
    <t>Mario Artur Cardinalli</t>
  </si>
  <si>
    <t>Marcos Paulo Da Silva</t>
  </si>
  <si>
    <t>Regis Wellington Lemos</t>
  </si>
  <si>
    <t>Elisângela Keila De Souza</t>
  </si>
  <si>
    <t>Alessandra Gomes De Araujo Siqueira</t>
  </si>
  <si>
    <t>Cláudia Alexandra Rodrigues Lima Cardoso</t>
  </si>
  <si>
    <t>Siley Barbosa Dos Santos</t>
  </si>
  <si>
    <t>Dejanira Santana De Andrade</t>
  </si>
  <si>
    <t>Cleide Silva Barbosa</t>
  </si>
  <si>
    <t>Edna Amorim Matsuoka</t>
  </si>
  <si>
    <t>Aidê Evaristo De Lima</t>
  </si>
  <si>
    <t>Virginia Dos Santos Lima</t>
  </si>
  <si>
    <t>Maria Helena Adão Monteiro</t>
  </si>
  <si>
    <t>Antônio De Jesus Pinto</t>
  </si>
  <si>
    <t>Idna Lopes Barbosa Da Cunha</t>
  </si>
  <si>
    <t>Cristiane Rosalia Zacarias Correa Barbosa</t>
  </si>
  <si>
    <t>Alexandre Hércules De Melo</t>
  </si>
  <si>
    <t>Nivaldo Fernandes Bandeira</t>
  </si>
  <si>
    <t>Daniela Aparecida Ronquezi</t>
  </si>
  <si>
    <t>Ana Paula Alves De Oliveira</t>
  </si>
  <si>
    <t>Alexsandro Gomes De Araujo</t>
  </si>
  <si>
    <t>Adriana Aparecida Da Silva</t>
  </si>
  <si>
    <t>Izabel Pereira Da Silva</t>
  </si>
  <si>
    <t>Eurlayne Lucyene Maria Miguel</t>
  </si>
  <si>
    <t>Rosângela Coeli Dos Santos</t>
  </si>
  <si>
    <t>Welma De Oliveira Moreira</t>
  </si>
  <si>
    <t>Alexandre Queiros Saturno</t>
  </si>
  <si>
    <t>Maciel Costa Bispo</t>
  </si>
  <si>
    <t>Andre Augusto Zeferino</t>
  </si>
  <si>
    <t>Rosamira Ribeiro Nascimento</t>
  </si>
  <si>
    <t>José Ricardo Dos Santos</t>
  </si>
  <si>
    <t>Adriano Meirelles Da Silva</t>
  </si>
  <si>
    <t>Jose Valter Da Silva Junior</t>
  </si>
  <si>
    <t>Aya Cristina Sakuma</t>
  </si>
  <si>
    <t>Alzineide Maria Da Silva</t>
  </si>
  <si>
    <t>Simone Aparecida Cariel Cunha</t>
  </si>
  <si>
    <t>Silvandira Alencar Nascimento</t>
  </si>
  <si>
    <t>Itasia Gleide Mendes De Araujo Freitas</t>
  </si>
  <si>
    <t>Andreia Ribeiro De Souza</t>
  </si>
  <si>
    <t>Elaine Cristina Haberman Gomes</t>
  </si>
  <si>
    <t>Graciele Gonçalves De Menezes</t>
  </si>
  <si>
    <t>Juliana Aparecida Menegon De Sousa</t>
  </si>
  <si>
    <t>Edward Latorre Miravete</t>
  </si>
  <si>
    <t>Alessandro Da Silva Arrojo</t>
  </si>
  <si>
    <t>Maria Cleunice Gomes</t>
  </si>
  <si>
    <t>Telma Monteiro</t>
  </si>
  <si>
    <t>Renata Alvares De Miranda</t>
  </si>
  <si>
    <t>Artur Henrique De Meneses</t>
  </si>
  <si>
    <t>Andréia Cristina Acaqui Serafim</t>
  </si>
  <si>
    <t>Alcione Santos De Lima</t>
  </si>
  <si>
    <t>Izabel Cristina De Paula</t>
  </si>
  <si>
    <t>Carmelicia De Andrade Castro</t>
  </si>
  <si>
    <t>Rosana Caetano Da Silva Nascimento</t>
  </si>
  <si>
    <t>João José De Lima</t>
  </si>
  <si>
    <t>Antonia Lucia Da Silva</t>
  </si>
  <si>
    <t>Tatiane Ponciano De Souza</t>
  </si>
  <si>
    <t>Carla Ribeiro Da Costa Cajuela</t>
  </si>
  <si>
    <t>Gislaine Cristina Pereira</t>
  </si>
  <si>
    <t>Celio Freitas De Sousa</t>
  </si>
  <si>
    <t>Wilson Alves De Souza</t>
  </si>
  <si>
    <t>José Mauro De Sousa Silva</t>
  </si>
  <si>
    <t>Iraci Aparecida Gordado De Lima</t>
  </si>
  <si>
    <t>Marilene De Jesus Silva</t>
  </si>
  <si>
    <t>Rosiane Aristides Marques</t>
  </si>
  <si>
    <t>Eduardo Barbosa Dos Santos</t>
  </si>
  <si>
    <t>Douglas Ion Macieira</t>
  </si>
  <si>
    <t>Adna Kelly Damião Da Silva</t>
  </si>
  <si>
    <t>Daniela Poloni</t>
  </si>
  <si>
    <t>Norma Lúcia Alves Dos Santos</t>
  </si>
  <si>
    <t>Valdenice Maria Do Nascimento</t>
  </si>
  <si>
    <t>Sérgio Roberto Florindo Junior</t>
  </si>
  <si>
    <t>Francisco Valdeni Vasconcelos Nascimento</t>
  </si>
  <si>
    <t>Marcos Paulo Martins</t>
  </si>
  <si>
    <t>Cristina Maria Feliciano</t>
  </si>
  <si>
    <t>Izabel Cristina Aguiar</t>
  </si>
  <si>
    <t>Leila Sabrina Estevam Da Silva</t>
  </si>
  <si>
    <t>Andresa Aparecida Dos Santos</t>
  </si>
  <si>
    <t>Drusila Ribeiro Borges</t>
  </si>
  <si>
    <t>Vanessa De Jesus Santos</t>
  </si>
  <si>
    <t>Leide Almeida Dos Santos</t>
  </si>
  <si>
    <t>Silvia Maria Da Hora Dos Santos</t>
  </si>
  <si>
    <t>Rildo Gabriel Dos Santos</t>
  </si>
  <si>
    <t>Nubia Nascimento</t>
  </si>
  <si>
    <t>Abadio De Jesus Ferreira</t>
  </si>
  <si>
    <t>Vaneide Barbosa Vieira</t>
  </si>
  <si>
    <t>Ligia Santos Brito De Sousa</t>
  </si>
  <si>
    <t>Jose Luis Vieira Fantinati</t>
  </si>
  <si>
    <t>Ivanilda Pereira De Araujo</t>
  </si>
  <si>
    <t>David Narcizo Da Silva</t>
  </si>
  <si>
    <t>Joana Batista Conceição Lima</t>
  </si>
  <si>
    <t>Pablo Dos Santos Santana</t>
  </si>
  <si>
    <t>Alessandra Barroso</t>
  </si>
  <si>
    <t>Débora Aparecida Lopes Mazulquim</t>
  </si>
  <si>
    <t>Pepita Carla Auxiliadora Dos Santos</t>
  </si>
  <si>
    <t>Creusa Aparecida Campos</t>
  </si>
  <si>
    <t>Sueli De Araújo Marcolino Da Silva</t>
  </si>
  <si>
    <t>Glaucia Cristina Pirondi</t>
  </si>
  <si>
    <t>Ana Maria Da Silva</t>
  </si>
  <si>
    <t>Anabel Ferreira Da Silva</t>
  </si>
  <si>
    <t>Sandra Machado Silveira</t>
  </si>
  <si>
    <t>Fabiana De Vita Rodrigues Da Costa</t>
  </si>
  <si>
    <t>Fabio Janoario Do Nascimento</t>
  </si>
  <si>
    <t>Cintia De Andrade Oldag</t>
  </si>
  <si>
    <t>Lidiane Terezinha Oliveira Pisano</t>
  </si>
  <si>
    <t>Francilan Da Silva Mauricio</t>
  </si>
  <si>
    <t>Ivaneide Trindade Ribeiro</t>
  </si>
  <si>
    <t>Mariza Roberta Da Silva Martins</t>
  </si>
  <si>
    <t>Paulo Eduardo Fernandes Ramos</t>
  </si>
  <si>
    <t>Roberta Aparecida De Oliveira</t>
  </si>
  <si>
    <t>Ivanira Damasceno Silva</t>
  </si>
  <si>
    <t>Etel Gomes Soeiro Graça</t>
  </si>
  <si>
    <t>Tarcisio Gama Machado</t>
  </si>
  <si>
    <t>Sirlei Barbosa Pessoa</t>
  </si>
  <si>
    <t>Denise De Souza Silva</t>
  </si>
  <si>
    <t>Alberto Jose Amorim Botelho</t>
  </si>
  <si>
    <t>Michele Fernanda Da Cruz</t>
  </si>
  <si>
    <t>Eliane Regina De Oliveira</t>
  </si>
  <si>
    <t>Edna Valois De Souza</t>
  </si>
  <si>
    <t>Alex Feitosa De Lima</t>
  </si>
  <si>
    <t>Juliana Fernandes</t>
  </si>
  <si>
    <t>Daniele Martins Pereira</t>
  </si>
  <si>
    <t>Janaína Alves de Melo</t>
  </si>
  <si>
    <t>Arineli Sampaio Dos Santos</t>
  </si>
  <si>
    <t>Selmo Bezerra Da Silva</t>
  </si>
  <si>
    <t>Cinara Leoncio Leite</t>
  </si>
  <si>
    <t>Inacio Cristiano Sales</t>
  </si>
  <si>
    <t>Kleya Rodrigues Medeiros</t>
  </si>
  <si>
    <t>Lucidalva Ferreira Batista</t>
  </si>
  <si>
    <t>Suzana Silveira Gomes</t>
  </si>
  <si>
    <t>Marivaldo De Lelis Santos De Jesus</t>
  </si>
  <si>
    <t>Katia Da Silva Guimaraes</t>
  </si>
  <si>
    <t>Eva Novais Freitas</t>
  </si>
  <si>
    <t>Elson Da Silva Gonzaga</t>
  </si>
  <si>
    <t>Michele Cristina Justiniano</t>
  </si>
  <si>
    <t>Claudia Helena Barbosa Silva</t>
  </si>
  <si>
    <t>Rita De Cassia Francisca De Brito</t>
  </si>
  <si>
    <t>Rosi Meire De Oliveira Fernandes Correa</t>
  </si>
  <si>
    <t>Pedro Paulo Matoso Do Nascimento</t>
  </si>
  <si>
    <t>Lilian Ariadne Pavesi</t>
  </si>
  <si>
    <t>Maria Damiana Azevedo Dos Santos</t>
  </si>
  <si>
    <t>Tatiana Soares De Almeida</t>
  </si>
  <si>
    <t>Richard De Sousa Araujo</t>
  </si>
  <si>
    <t>Sandra Regina Lima Fernandes</t>
  </si>
  <si>
    <t>Patricia Silva De Melo</t>
  </si>
  <si>
    <t>Carla Cristina Gomes Damaso</t>
  </si>
  <si>
    <t>Gabriela Gentil Belutti</t>
  </si>
  <si>
    <t>Edna Bandeira De Melo Sousa</t>
  </si>
  <si>
    <t>Fabio Aparecido Da Paixão Francisco</t>
  </si>
  <si>
    <t>Tatiana Dos Santos Silva Martins</t>
  </si>
  <si>
    <t>Macileide Pereira Mendonça</t>
  </si>
  <si>
    <t>Agata Eleonora Caffarello</t>
  </si>
  <si>
    <t>Maria Eugenia Das Silva Soares</t>
  </si>
  <si>
    <t>Fernanda Ulbrich</t>
  </si>
  <si>
    <t>Rosemar Viana</t>
  </si>
  <si>
    <t>Márcia Tenório Da Silva</t>
  </si>
  <si>
    <t>Claudia Teresa De Oliveira Crepaldi</t>
  </si>
  <si>
    <t>Vanessa Oliveira Cardoso Silva</t>
  </si>
  <si>
    <t>Rosangela Garcia Da Silveira</t>
  </si>
  <si>
    <t>Andréia Brandão Munhoz</t>
  </si>
  <si>
    <t>Vania Daniel</t>
  </si>
  <si>
    <t>Maria Carolina De Jesus Bortolotto</t>
  </si>
  <si>
    <t>Fabio Da Silva Costa</t>
  </si>
  <si>
    <t>Simone De França Cesar</t>
  </si>
  <si>
    <t>Haroldo Faustino Coelho</t>
  </si>
  <si>
    <t>Jamira Cristina Costa</t>
  </si>
  <si>
    <t>Alexandre Rodrigo Da Silva E Silva</t>
  </si>
  <si>
    <t>Samira Paula Delfino</t>
  </si>
  <si>
    <t>Lucilene Ramos Pereira</t>
  </si>
  <si>
    <t>Sirlan De Jesus Pedro</t>
  </si>
  <si>
    <t>Cristiane Constancio Gomes Iglesias Chamadoira Masaque</t>
  </si>
  <si>
    <t>Deise Veloso Dos Santos</t>
  </si>
  <si>
    <t>Francisco Quirino De Sousa</t>
  </si>
  <si>
    <t>Tatiane Andrade Baptista</t>
  </si>
  <si>
    <t>Camila De Campos</t>
  </si>
  <si>
    <t>Barbara Canabrava Gomes</t>
  </si>
  <si>
    <t>Luciana Regina Alves De Almeida</t>
  </si>
  <si>
    <t>Wellington Lima De Souza</t>
  </si>
  <si>
    <t>Isabel Josefa Conceição Silva Santana</t>
  </si>
  <si>
    <t>Ana Paula De Ornellas Ivonica</t>
  </si>
  <si>
    <t>Viviane Aparecida Ferreira Ribeiro Dos Santos</t>
  </si>
  <si>
    <t>Karen Cristina Netto</t>
  </si>
  <si>
    <t>Renato Augusto De Faria</t>
  </si>
  <si>
    <t>Fernanda Aparecida Dos Santos</t>
  </si>
  <si>
    <t>Renato Fonseca Nakama</t>
  </si>
  <si>
    <t>Maria Do Socorro Marreiro Saraiva</t>
  </si>
  <si>
    <t>Antenojenes Daniel Oliveira</t>
  </si>
  <si>
    <t>Giselle Braga Lima</t>
  </si>
  <si>
    <t>Katianne Baena Dos Santos</t>
  </si>
  <si>
    <t>Silvana Da Motta Anastácio André</t>
  </si>
  <si>
    <t>Raquel Mota De Souza</t>
  </si>
  <si>
    <t>Angelica Cristina De Oliveira</t>
  </si>
  <si>
    <t>Angela Arruda Leite</t>
  </si>
  <si>
    <t>Marcela Alves Rodrigues Dos Anjos</t>
  </si>
  <si>
    <t>Gislaine Soares Salvador Martim</t>
  </si>
  <si>
    <t>Priscila Cristina De Lana Atanasio Baptista Ribeiro</t>
  </si>
  <si>
    <t>Marcos De Araujo Neiva</t>
  </si>
  <si>
    <t>Verônica Garcia Romualdo</t>
  </si>
  <si>
    <t>Patricia Mariano Dos Reis</t>
  </si>
  <si>
    <t>Virginia Vieira Da Silva</t>
  </si>
  <si>
    <t>Marilza Dos Santos Leal</t>
  </si>
  <si>
    <t>Fábio Rodrigo De Campos</t>
  </si>
  <si>
    <t>Julio Silva Miranda</t>
  </si>
  <si>
    <t>Amanda Emanuela Lopes</t>
  </si>
  <si>
    <t>Kelly Cristina Pereira Kobrem</t>
  </si>
  <si>
    <t>Shirlei Aparecida Dos Santos Barbassa</t>
  </si>
  <si>
    <t>Adilmar Ferreira Barros</t>
  </si>
  <si>
    <t>Odair De Mello Azedo</t>
  </si>
  <si>
    <t>Giselle Da Rocha Soares Teixeira</t>
  </si>
  <si>
    <t>Leilaine Cristina Ferreira De Campos</t>
  </si>
  <si>
    <t>Liliane Aparecida De Albuquerque</t>
  </si>
  <si>
    <t>Marlio Jose Lima Silva</t>
  </si>
  <si>
    <t>Isabel Acioli Rodrigues</t>
  </si>
  <si>
    <t>Geovanildo Nascimento De Araujo</t>
  </si>
  <si>
    <t>Eronilda Matos Lins</t>
  </si>
  <si>
    <t>Nilma Pereira Silva</t>
  </si>
  <si>
    <t>Juan Carlos Farias</t>
  </si>
  <si>
    <t>Tatiana Barcello De Lima Santana</t>
  </si>
  <si>
    <t>Patricia Ladeia De Carvalho</t>
  </si>
  <si>
    <t>Valdirene Martins De Souza</t>
  </si>
  <si>
    <t>Bianca Sabino Franco</t>
  </si>
  <si>
    <t>Ricardo Bezerra De Oliveira</t>
  </si>
  <si>
    <t>Camila Silva Fim</t>
  </si>
  <si>
    <t>Mislene De Azevedo Gomes</t>
  </si>
  <si>
    <t>Amanda Aparecida Do Prado Cintra</t>
  </si>
  <si>
    <t>Washington Luis Santos Ramos</t>
  </si>
  <si>
    <t>Ana Beatriz De Holanda Mollo</t>
  </si>
  <si>
    <t>Ana Carolina De Oliveira Amaral</t>
  </si>
  <si>
    <t>Roberto Almeida Vieira</t>
  </si>
  <si>
    <t>Rafaéle Iversen</t>
  </si>
  <si>
    <t>Marília Rufino Cordeiro</t>
  </si>
  <si>
    <t>Mário Vinícios Pantoja De Sousa</t>
  </si>
  <si>
    <t>Marcio Carvalho Farias</t>
  </si>
  <si>
    <t>Elaine Cristina Souza De Oliveira Passos</t>
  </si>
  <si>
    <t>Andréia Lima Freitas</t>
  </si>
  <si>
    <t>Marinete Da Silva</t>
  </si>
  <si>
    <t>Daniela Paula Bento Gomes</t>
  </si>
  <si>
    <t>Cristiane Souza Brandão</t>
  </si>
  <si>
    <t>Carina Aparecida Lopes</t>
  </si>
  <si>
    <t>Luzinete Maria Soares De Paula</t>
  </si>
  <si>
    <t>Luzia Oliveira De Souza</t>
  </si>
  <si>
    <t>Louiziana Ethiene Lacerda Dos Santos De Carvalho</t>
  </si>
  <si>
    <t>Michel Angelo Domingues Jacinto</t>
  </si>
  <si>
    <t>Aguida Dos Santos</t>
  </si>
  <si>
    <t>Bruna Moreira Thomaz</t>
  </si>
  <si>
    <t>Adriana Oliveira Villela</t>
  </si>
  <si>
    <t>Andressa Patricia Da Silva Zamora Bravo</t>
  </si>
  <si>
    <t>Simone De Almeida Simon</t>
  </si>
  <si>
    <t>Thais Cristina Gomes Da Silva Araujo</t>
  </si>
  <si>
    <t>Laura Marina Tomaz Neves</t>
  </si>
  <si>
    <t>Ligiana Farias De Oliveira</t>
  </si>
  <si>
    <t>Monica Dourado Silva</t>
  </si>
  <si>
    <t>Rosa Maria Garcia Dos Santos Andrade</t>
  </si>
  <si>
    <t>Daniela Queiroz Dos Santos</t>
  </si>
  <si>
    <t>Sheila Aparecida Da Silva</t>
  </si>
  <si>
    <t>Judas Tadeu Correia De Lima</t>
  </si>
  <si>
    <t>Washington Santos Oliveira</t>
  </si>
  <si>
    <t>Fernanda Lanzara Lourenco Tiberio</t>
  </si>
  <si>
    <t>Maria Gabriela De Sousa Santos</t>
  </si>
  <si>
    <t>Eliane Alves de Jesus Lobo</t>
  </si>
  <si>
    <t>Lucilene Alves Pereira</t>
  </si>
  <si>
    <t>Elaine Cristina Blando Pereira</t>
  </si>
  <si>
    <t>Joselias Carvalho Da Silva</t>
  </si>
  <si>
    <t>Anderson De Siqueira Ferreira De Lima</t>
  </si>
  <si>
    <t>Eduardo Bueno De Souza Reis</t>
  </si>
  <si>
    <t>Camila Da Silva</t>
  </si>
  <si>
    <t>Daniel Sabino Teixeira</t>
  </si>
  <si>
    <t>Rodrigo Cesar De Andrade</t>
  </si>
  <si>
    <t>Inajara Da Silva Ribeiro Contin</t>
  </si>
  <si>
    <t>João Paulo Rodriguês De Souza</t>
  </si>
  <si>
    <t>Monise Da Silva</t>
  </si>
  <si>
    <t>Rafael Henrique Januario Santiago</t>
  </si>
  <si>
    <t>Mauricio Lara Taques</t>
  </si>
  <si>
    <t>Andreia Cristina Americo Azevedo</t>
  </si>
  <si>
    <t>Sara Leticia Barbosa</t>
  </si>
  <si>
    <t>Luciana Santos Da Silva</t>
  </si>
  <si>
    <t>Elaine Aparecida Dos Santos Alves</t>
  </si>
  <si>
    <t>Lena Vânia De Oliveira Nunes</t>
  </si>
  <si>
    <t>Hieda Da Silva Costa</t>
  </si>
  <si>
    <t>Eliezer Gomes Silva</t>
  </si>
  <si>
    <t>Priscila Raquel Retta Marques Fernandes</t>
  </si>
  <si>
    <t>Bruna Carolina De Moraes</t>
  </si>
  <si>
    <t>Claudia Miranda Da Silva</t>
  </si>
  <si>
    <t>Dayane Barbosa Da Silva</t>
  </si>
  <si>
    <t>Genilda Maria De Souza Rocha</t>
  </si>
  <si>
    <t>Renata Vieira Acácio</t>
  </si>
  <si>
    <t>Carla Vieira Graciano</t>
  </si>
  <si>
    <t>Iara Isis Dos Santos</t>
  </si>
  <si>
    <t>Maria Helena Pereira Abib</t>
  </si>
  <si>
    <t>Amanda Luzia De Souza E Silva</t>
  </si>
  <si>
    <t>Tania Rosane Aquino Da Silva</t>
  </si>
  <si>
    <t>Karina Nalon Stavale Celano</t>
  </si>
  <si>
    <t>Regiane Satilo</t>
  </si>
  <si>
    <t>Rosana Alves Santos</t>
  </si>
  <si>
    <t>Gisele Soares Fravolini</t>
  </si>
  <si>
    <t>Stefanno Maluf Bueno</t>
  </si>
  <si>
    <t>Natalia Da Silva Araújo</t>
  </si>
  <si>
    <t>Jeferson Araujo Da Silva</t>
  </si>
  <si>
    <t>Diego Allan Do Nascimento Oliveira</t>
  </si>
  <si>
    <t>Maira Fabrícia Pinto</t>
  </si>
  <si>
    <t>Katia Domingos Rocha</t>
  </si>
  <si>
    <t>Vania Leonardo Ferreira</t>
  </si>
  <si>
    <t>Regiane Dos Santos Delmondes</t>
  </si>
  <si>
    <t>Renato Alves Dos Reis</t>
  </si>
  <si>
    <t>Joelma De Arruda Costa</t>
  </si>
  <si>
    <t>Antonio Mauri Caceres</t>
  </si>
  <si>
    <t>Genesio Gomes De Lima</t>
  </si>
  <si>
    <t>Rebeca Andresa Peixoto</t>
  </si>
  <si>
    <t>Priscila Luciene De Souza</t>
  </si>
  <si>
    <t>Rosângela Pereira De Melo</t>
  </si>
  <si>
    <t>Gicélio Alves Correia De Oliveira</t>
  </si>
  <si>
    <t>Michele Aparecida Bortolaci</t>
  </si>
  <si>
    <t>Estelita Franco De Araujo Pinto</t>
  </si>
  <si>
    <t>Marcelo Azevedo De Oliveira</t>
  </si>
  <si>
    <t>Maria Das Graças Teixeira Lima</t>
  </si>
  <si>
    <t>Francislaine Coelho Rossini De França</t>
  </si>
  <si>
    <t>Juciaria Neves Teixeira</t>
  </si>
  <si>
    <t>Francinice Neves Pereira</t>
  </si>
  <si>
    <t>Danielle De Oliveira</t>
  </si>
  <si>
    <t>Ângela Muniz De Souza</t>
  </si>
  <si>
    <t>Isdrael Bueno De Oliveira Filho</t>
  </si>
  <si>
    <t>Edson Oliveira Dos Santos</t>
  </si>
  <si>
    <t>Évellin Daianne Ferreira</t>
  </si>
  <si>
    <t>Michelle Gonçalves Da Silva</t>
  </si>
  <si>
    <t>Gisela Roberta Michalski Camargo</t>
  </si>
  <si>
    <t>Gisele Aparecida Da Silva Lima</t>
  </si>
  <si>
    <t>Emislaine Silva De Novais</t>
  </si>
  <si>
    <t>Ana Carolina Izolina Goveia</t>
  </si>
  <si>
    <t>Andréia Galdino Dos Santos</t>
  </si>
  <si>
    <t>Daiane Da Costa Jardim Araujo</t>
  </si>
  <si>
    <t>Irailde Oliveira Tavares</t>
  </si>
  <si>
    <t>Aldo De Jesus Nunes De Melo</t>
  </si>
  <si>
    <t>Natália Inácio Girão</t>
  </si>
  <si>
    <t>Eliane De Freitas Silqueira</t>
  </si>
  <si>
    <t>Alessandra Kelly Favaretto</t>
  </si>
  <si>
    <t>Andressa Kalausis Magalhães</t>
  </si>
  <si>
    <t>Juan Felipe Garcia Caparrós</t>
  </si>
  <si>
    <t>Tais Fernandes Xavier Souza</t>
  </si>
  <si>
    <t>João Paulo Candido</t>
  </si>
  <si>
    <t>Pamella De Lima Ferreira Silva</t>
  </si>
  <si>
    <t>Luciana Silva Araujo</t>
  </si>
  <si>
    <t>Thais Amancio Dos Reis</t>
  </si>
  <si>
    <t>Bruna Fernanda Da Silva Vieira</t>
  </si>
  <si>
    <t>Joao Diego Pereira</t>
  </si>
  <si>
    <t>Rosangela Do Nascimento Ferreira</t>
  </si>
  <si>
    <t>Jeniffer Cristina Perciliano</t>
  </si>
  <si>
    <t>Christian Adami Gomes Da Silva</t>
  </si>
  <si>
    <t>Julio César Tadeu Soares De Camargo</t>
  </si>
  <si>
    <t>Erica Adriana Souza</t>
  </si>
  <si>
    <t>Karina Aparecida Fiorini Costa</t>
  </si>
  <si>
    <t>Jaqueline Figueiredo Brandão Antunes</t>
  </si>
  <si>
    <t>Fabíola Dos Santos Garcia</t>
  </si>
  <si>
    <t>Ana Helena Costa De Souza</t>
  </si>
  <si>
    <t>Jucelia Princival</t>
  </si>
  <si>
    <t>Thais Mara Santos Souza</t>
  </si>
  <si>
    <t>Solange Alves Ferreira</t>
  </si>
  <si>
    <t>Lucimaria Do Nascimento</t>
  </si>
  <si>
    <t>Ian Pedro Rodrigues Dos Santos</t>
  </si>
  <si>
    <t>Tiara Raika Silva De Araujo</t>
  </si>
  <si>
    <t>Silvana Angelica Ferreira Mendes</t>
  </si>
  <si>
    <t>Marcio Michael Nogueira Lopes</t>
  </si>
  <si>
    <t>Regilene Cristina Fialho</t>
  </si>
  <si>
    <t>Juliana Pereira Gomes Da Silva</t>
  </si>
  <si>
    <t>Thaiane Cristine Dos Santos Batista</t>
  </si>
  <si>
    <t>Ronivaldo Lopes Soares</t>
  </si>
  <si>
    <t>Carla Angélica Da Silva</t>
  </si>
  <si>
    <t>Elenir Borges De Lara Pinto</t>
  </si>
  <si>
    <t>Maiara Pires</t>
  </si>
  <si>
    <t>Marcelo Guerreiro De Matos</t>
  </si>
  <si>
    <t>Soraia Cordeiro Vidal</t>
  </si>
  <si>
    <t>Elliane Ferraz Brito</t>
  </si>
  <si>
    <t>Patrícia Emanoela Gouveia Modesto De Albuquerque</t>
  </si>
  <si>
    <t>Giulyano Gonçalves Silva De Azevedo</t>
  </si>
  <si>
    <t>Ariana Fernanda Tito De Freitas</t>
  </si>
  <si>
    <t>Telma Ramos Sousa Da Silveira</t>
  </si>
  <si>
    <t>Adriano Jose Palmeira Da Silva</t>
  </si>
  <si>
    <t>Eudauto Zanella Júnior</t>
  </si>
  <si>
    <t>Elaine Candida Sant Ana</t>
  </si>
  <si>
    <t>Larissa Aparecida Lima Santos</t>
  </si>
  <si>
    <t>Orlete Fatima Miranda Ramos</t>
  </si>
  <si>
    <t>Breila Carla Manzali Borges</t>
  </si>
  <si>
    <t>Francisco Lucelio Bizerra</t>
  </si>
  <si>
    <t>Gabriela Dos Santos Rodrigues</t>
  </si>
  <si>
    <t>Valcileide De Oliveira</t>
  </si>
  <si>
    <t>Luciano Dias De Lima</t>
  </si>
  <si>
    <t>Samia Maia Oliveira Guimarães</t>
  </si>
  <si>
    <t>Maria Valciclê Bezerra Viana</t>
  </si>
  <si>
    <t>Janaina Nepomuceno Dos Santos</t>
  </si>
  <si>
    <t>Leandra Cristina Santana Ferreira</t>
  </si>
  <si>
    <t>Jonathan Gonçalves Ferreira</t>
  </si>
  <si>
    <t>José Gonçalves De Carvalho</t>
  </si>
  <si>
    <t>Jeovane Ferreira Gomes</t>
  </si>
  <si>
    <t>Ágata Cristhy Vieira Rocha</t>
  </si>
  <si>
    <t>Francilene Alves Ribeiro</t>
  </si>
  <si>
    <t>Jhullyd Sallyssa Faria</t>
  </si>
  <si>
    <t>Karen Cristina Filha De Souza</t>
  </si>
  <si>
    <t>Pitter Mattheo Hassen Bluar Pasqual Oliveira</t>
  </si>
  <si>
    <t>Amanda Aline Da Silva</t>
  </si>
  <si>
    <t>Elina Nogueira Derrico Da Silva</t>
  </si>
  <si>
    <t>Joyce De Andrade Russano</t>
  </si>
  <si>
    <t>Aline Danielle Walverde Clemente</t>
  </si>
  <si>
    <t>Dirce Maria Oliveira Machado Da Costa Mendes</t>
  </si>
  <si>
    <t>Roberta Fausto De Sousa</t>
  </si>
  <si>
    <t>Jonas Carlos Leal Santos</t>
  </si>
  <si>
    <t>Renata Duarte Dos Santos</t>
  </si>
  <si>
    <t>Luana Roberta Seghetto Pinto</t>
  </si>
  <si>
    <t>Beatriz Rocha Coelho Silva</t>
  </si>
  <si>
    <t>Potira Jana Alves Leite</t>
  </si>
  <si>
    <t>Nathalia Correa Antunes</t>
  </si>
  <si>
    <t>Mylena Andrade Da Silva</t>
  </si>
  <si>
    <t>Alice Da Silva Neves</t>
  </si>
  <si>
    <t>Edileia Dos Santos Da Conceição</t>
  </si>
  <si>
    <t>Jonas Nathan Schena</t>
  </si>
  <si>
    <t>Fernanda Da Silva Nunes</t>
  </si>
  <si>
    <t>Eric Filipe Balieiro Da Silva</t>
  </si>
  <si>
    <t>Mariana Nicastro Silva</t>
  </si>
  <si>
    <t>Isabela Cristina Rodrigues</t>
  </si>
  <si>
    <t>Alex De Oliveira Souza</t>
  </si>
  <si>
    <t>Renata Beloni Teixeira Tavares</t>
  </si>
  <si>
    <t>Juliana Zanzere Marques</t>
  </si>
  <si>
    <t>Aline Jacome Fagundes Vieira</t>
  </si>
  <si>
    <t>Patricia Serpa Silva</t>
  </si>
  <si>
    <t>Jessica Dias De Souza</t>
  </si>
  <si>
    <t>Roosevelt Correia Sarmento Junior</t>
  </si>
  <si>
    <t>Lúcia Regina De Souza Lima</t>
  </si>
  <si>
    <t>Zildomar Ribeiro De Oliveira</t>
  </si>
  <si>
    <t>Alberto Carvalho Dos Santos</t>
  </si>
  <si>
    <t>Thalita Nunes Santos</t>
  </si>
  <si>
    <t>Karla Gomes Pedretti</t>
  </si>
  <si>
    <t>Luana De Paula Lemes</t>
  </si>
  <si>
    <t>Pablo Giovanni Oliveira Souza</t>
  </si>
  <si>
    <t>Sabrina Alves De Miranda</t>
  </si>
  <si>
    <t>Luciana Freitas Ventura</t>
  </si>
  <si>
    <t>Heric Johan Batista De Oliveira Carvalho</t>
  </si>
  <si>
    <t>Cristiane Siqueira De Toledo Garcia</t>
  </si>
  <si>
    <t>Valéria Caixeta</t>
  </si>
  <si>
    <t>Lara Maria Nascimento Oliveira</t>
  </si>
  <si>
    <t>Carlos Rodrigues</t>
  </si>
  <si>
    <t>Luiz Da Costa Neto</t>
  </si>
  <si>
    <t>Emerson Dos Santos Henrique</t>
  </si>
  <si>
    <t>Leticia Dias Andrade</t>
  </si>
  <si>
    <t>Maithe Ferreira Paiva Querino</t>
  </si>
  <si>
    <t>Kelly Fernanda Teixeira Noli</t>
  </si>
  <si>
    <t>Camila Farias</t>
  </si>
  <si>
    <t>Aline Alves Joaquim</t>
  </si>
  <si>
    <t>Luiz Gonzaga Mello</t>
  </si>
  <si>
    <t>Isabella Cássia Ferreira De Lima</t>
  </si>
  <si>
    <t>Jaqueline Pereira De Oliveira</t>
  </si>
  <si>
    <t>Karina Camargo Da Silva</t>
  </si>
  <si>
    <t>Renato De Moura Silva</t>
  </si>
  <si>
    <t>Eraldo Galvão Dos Santos</t>
  </si>
  <si>
    <t>Suzane Souza Ferreira</t>
  </si>
  <si>
    <t>Marcela Dionisio</t>
  </si>
  <si>
    <t>Claudia Luiza De Souza Santos</t>
  </si>
  <si>
    <t>Dirce Emanuely Ribeiro Silva</t>
  </si>
  <si>
    <t>Mirian Andrade Silva De Araujo</t>
  </si>
  <si>
    <t>Daiane Monique De Oliveira Marinho</t>
  </si>
  <si>
    <t>Chrystina Ingrid Pereira</t>
  </si>
  <si>
    <t>Débora Aparecida Dos Santos</t>
  </si>
  <si>
    <t>Thais Cassia Da Silva</t>
  </si>
  <si>
    <t>Jean Dos Santos Silva</t>
  </si>
  <si>
    <t>Marlene Gomes Ferreira</t>
  </si>
  <si>
    <t>Maria Jose Santos De Sousa</t>
  </si>
  <si>
    <t>Izabella De Farias Lopes</t>
  </si>
  <si>
    <t>Daniel Da Silva Ferreira</t>
  </si>
  <si>
    <t>Ricardo Santos Lima</t>
  </si>
  <si>
    <t>Thais Lamay Da Silva</t>
  </si>
  <si>
    <t>Gabriela Moura Maciel</t>
  </si>
  <si>
    <t>Jéssica De Oliveira Macedo Pontes</t>
  </si>
  <si>
    <t>Bianca Helena Martins Souza Leal</t>
  </si>
  <si>
    <t>Samantha Xavier Da Silva Souza</t>
  </si>
  <si>
    <t>Vânia Maria Pinto Rocha</t>
  </si>
  <si>
    <t>Heloise Regina Das Neves Silva</t>
  </si>
  <si>
    <t>Bruna Andrade Gomes De Sousa</t>
  </si>
  <si>
    <t>Thaís Gomes Bocaletto</t>
  </si>
  <si>
    <t>Cristina Xavier Santos</t>
  </si>
  <si>
    <t>Amanda Martins De Oliveira Paiva</t>
  </si>
  <si>
    <t>Alexandre Zorante Dos Santos</t>
  </si>
  <si>
    <t>Juliete Da Silva Lima</t>
  </si>
  <si>
    <t>Aline Cristina Machado Da Silva</t>
  </si>
  <si>
    <t>Helen Rosa Dos Santos</t>
  </si>
  <si>
    <t>Danieli Zagui de Linhares</t>
  </si>
  <si>
    <t>Talita Dias Lima</t>
  </si>
  <si>
    <t>Pamella Almeida Soares</t>
  </si>
  <si>
    <t>Ana Carolina Garcia</t>
  </si>
  <si>
    <t>Paulo Sergio Pessoa De Jesus</t>
  </si>
  <si>
    <t>Maria Do Perpetuo Socorro Amorim</t>
  </si>
  <si>
    <t>Regiane De Paula Câmara Masson</t>
  </si>
  <si>
    <t>Daiana Sales Da Silva</t>
  </si>
  <si>
    <t>Antonio Ramos Meireles</t>
  </si>
  <si>
    <t>Bruna Laisa Dos Santos Antônio</t>
  </si>
  <si>
    <t>Mateus Shimoda Bamonde</t>
  </si>
  <si>
    <t>Gabriel Adeildo Dos Santos</t>
  </si>
  <si>
    <t>Nabel Araújo De Oliveira</t>
  </si>
  <si>
    <t>Pamella Cristina Conceição Sapiencia</t>
  </si>
  <si>
    <t>Mônica Ribeiro Oliveira Campos</t>
  </si>
  <si>
    <t>Agnes Alves Da Silveira</t>
  </si>
  <si>
    <t>Karen Acioli Rocha</t>
  </si>
  <si>
    <t>Marisa Almeida De Araujo</t>
  </si>
  <si>
    <t>Rafaela Pinheiro De Andrade</t>
  </si>
  <si>
    <t>Renata Cristiana Da Silva Barros</t>
  </si>
  <si>
    <t>Leonardo Henrique De Carvalho Rosa</t>
  </si>
  <si>
    <t>Matheus Soler Plaças Garbin</t>
  </si>
  <si>
    <t>Laressa Cristina Cassimiro Araújo Dos Santos</t>
  </si>
  <si>
    <t>Robenildo Moraes Do Espirito Santo</t>
  </si>
  <si>
    <t>Fiama Tortola Da Conceição</t>
  </si>
  <si>
    <t>Mirian Daniela Dos Santos Pinto</t>
  </si>
  <si>
    <t>Renata Cristina De Souza Santana De Freitas</t>
  </si>
  <si>
    <t>Juliana Garcia Fernandes</t>
  </si>
  <si>
    <t>Rômulo Garcia De Oliveira</t>
  </si>
  <si>
    <t>Silvia De Andrade Russano</t>
  </si>
  <si>
    <t>Ana Rute Rodrigues Barboza Dos Santos</t>
  </si>
  <si>
    <t>Caroline Moreira Carvalho</t>
  </si>
  <si>
    <t>Caroline Carrilho De Souza</t>
  </si>
  <si>
    <t>Gabriel Santos Ribeiro</t>
  </si>
  <si>
    <t>Gabriela Donato Da Costa</t>
  </si>
  <si>
    <t>Izabelli Rodrigues Ribeiro Rosa</t>
  </si>
  <si>
    <t>Mario Luis Alves Pedro</t>
  </si>
  <si>
    <t>Nathiele Santos Alexandre</t>
  </si>
  <si>
    <t>Ilana Pereira De Lima</t>
  </si>
  <si>
    <t>Max William De Andrade Gomes</t>
  </si>
  <si>
    <t>Mariana Tristão Povineli</t>
  </si>
  <si>
    <t>Simone Coelho Da Luz De Góes</t>
  </si>
  <si>
    <t>Nayara Mitie Miyabara</t>
  </si>
  <si>
    <t>Gisella Castro De Aragão</t>
  </si>
  <si>
    <t>Giovanni Rosenwald Cesar</t>
  </si>
  <si>
    <t>Dayane Cunha Da Silva</t>
  </si>
  <si>
    <t>Guilherme Guerra Lopes</t>
  </si>
  <si>
    <t>Ricardo Monteiro Leite</t>
  </si>
  <si>
    <t>Milton Neves Dos Santos</t>
  </si>
  <si>
    <t>Felipe José Fernandes Silva</t>
  </si>
  <si>
    <t>Giovanna Alves Tomé Da Silva</t>
  </si>
  <si>
    <t>Pamela Lopes De Oliveira</t>
  </si>
  <si>
    <t>Rodrigo De Souza Sant Anna</t>
  </si>
  <si>
    <t>Vanusa Branco Veloso Eto</t>
  </si>
  <si>
    <t>Talila Taiana Barbosa Araujo</t>
  </si>
  <si>
    <t>Vanessa Simões Matias</t>
  </si>
  <si>
    <t>Orquídea Paixao Miranda</t>
  </si>
  <si>
    <t>Darguim Julião Vilhalva</t>
  </si>
  <si>
    <t>Franciele Rodrigues De Oliveira</t>
  </si>
  <si>
    <t>Jamilla Vidal Batista</t>
  </si>
  <si>
    <t>Roberto Souza Grisostimo</t>
  </si>
  <si>
    <t>Jandecy Oliveira Da Silva</t>
  </si>
  <si>
    <t>Elienai Da Silva Manso Deluqui</t>
  </si>
  <si>
    <t>Jenifer Mayara Francisco</t>
  </si>
  <si>
    <t>Sonia Rocha Gonçalves Correia</t>
  </si>
  <si>
    <t>Karoline Gabrielle Santiago Valadão</t>
  </si>
  <si>
    <t>Talita De Souza Francisco</t>
  </si>
  <si>
    <t>Marcelo Dias Siqueira</t>
  </si>
  <si>
    <t>Carlos Clayton Sarmento Costa</t>
  </si>
  <si>
    <t>Arlene Mercedes Magalhães De Almeida</t>
  </si>
  <si>
    <t>Daniel Matias Santos De Sousa</t>
  </si>
  <si>
    <t>Erick Barbosa Thomaz</t>
  </si>
  <si>
    <t>Debora Pereira Vieira</t>
  </si>
  <si>
    <t>Caroline Braga Da Silva</t>
  </si>
  <si>
    <t>Gabriel Fagundes Avila</t>
  </si>
  <si>
    <t>Piedro Henrique Polli De Deus</t>
  </si>
  <si>
    <t>Leila Labely Macedo Almeida</t>
  </si>
  <si>
    <t>Mônica Damacena Moura Do Nascimento</t>
  </si>
  <si>
    <t>Ester Dos Santos Souza Pereira</t>
  </si>
  <si>
    <t>Ana Paula Rodrigues Da Silva</t>
  </si>
  <si>
    <t>Ana Célia Da Silva Machado</t>
  </si>
  <si>
    <t>Bruno Maestre Marciano De Sousa Soler</t>
  </si>
  <si>
    <t>Érika De Souza Silva</t>
  </si>
  <si>
    <t>Clayton Da Silva Nascimento</t>
  </si>
  <si>
    <t>Taline Leite Souza</t>
  </si>
  <si>
    <t>Guilherme Delgado Aparecido</t>
  </si>
  <si>
    <t>Suelen Rosa Ferreira</t>
  </si>
  <si>
    <t>Ana Carolina Da Silva Morgado</t>
  </si>
  <si>
    <t>Evelyn Rodrigues Da Trindade</t>
  </si>
  <si>
    <t>Arauí Da Conceição Geraldo</t>
  </si>
  <si>
    <t>Vilson Jose Neves Da Cruz</t>
  </si>
  <si>
    <t>Jennifer Francine Elizeu</t>
  </si>
  <si>
    <t>Josiane Damiana Da Silva Cunha</t>
  </si>
  <si>
    <t>Anne Caroline Da Silva Vaz</t>
  </si>
  <si>
    <t>Vagner Alves Da Silva</t>
  </si>
  <si>
    <t>Rafaela Monike Costa Silva</t>
  </si>
  <si>
    <t>Letícia Alves Brolezze</t>
  </si>
  <si>
    <t>Abimael Pereira Da Costa</t>
  </si>
  <si>
    <t>Ana Carolina Novaes Da Silva</t>
  </si>
  <si>
    <t>Leticia Da Fonseca Dos Santos</t>
  </si>
  <si>
    <t>Karina Aparecida Da Silva Santos</t>
  </si>
  <si>
    <t>Carlos Alberto Rosa Da Silva</t>
  </si>
  <si>
    <t>Monique Campos Pinheiro</t>
  </si>
  <si>
    <t>Priscila Vanessa Pereira Jeldes</t>
  </si>
  <si>
    <t>Keity Mariane Barra</t>
  </si>
  <si>
    <t>William Santana Souza</t>
  </si>
  <si>
    <t>Maria Das Graças Dos Passos</t>
  </si>
  <si>
    <t>Antônio Carlos Lourenço Da Silva</t>
  </si>
  <si>
    <t>Thais Burdino Castello Zaragoza</t>
  </si>
  <si>
    <t>Adilson Ferreira Freitas</t>
  </si>
  <si>
    <t>Maristela Da Silva Oliveira</t>
  </si>
  <si>
    <t>José Benedito Dias De Oliveira</t>
  </si>
  <si>
    <t>Thamiris Duarte Da Silva Santos</t>
  </si>
  <si>
    <t>Fiama Gonçalves Batista</t>
  </si>
  <si>
    <t>Mayara Marcon Tagima</t>
  </si>
  <si>
    <t>Leila Karolina Lopes De Andrade Akyama</t>
  </si>
  <si>
    <t>Debora Cristina Da Silva Ribeiro</t>
  </si>
  <si>
    <t>Marineia Silva Lima Souza</t>
  </si>
  <si>
    <t>Fabíola Souza Sanches</t>
  </si>
  <si>
    <t>Elvis Cristian Fernandes Dos Santos</t>
  </si>
  <si>
    <t>Luis Manoel Pereira Dos Santos</t>
  </si>
  <si>
    <t>Aline Marcela Da Silva Franco Tavares</t>
  </si>
  <si>
    <t>Taynara Brenda Martins Da Silva</t>
  </si>
  <si>
    <t>Adriana Soares Da Mata</t>
  </si>
  <si>
    <t>Rebeca Moreira Dos Santos</t>
  </si>
  <si>
    <t>Iuri Silva De Sousa</t>
  </si>
  <si>
    <t>Pabula Rayane Nascimento Bispo</t>
  </si>
  <si>
    <t>Maurílio Fernando Ribeiro Leite</t>
  </si>
  <si>
    <t>Carolina Fernandes De Lima</t>
  </si>
  <si>
    <t>Tayna Garcia Ferreira</t>
  </si>
  <si>
    <t>Rosicleide Araujo Neves</t>
  </si>
  <si>
    <t>Caroline Alves Maia</t>
  </si>
  <si>
    <t>Jhonatan Jesus Da Silva Monteiro</t>
  </si>
  <si>
    <t>Rosana Souza De Moraes</t>
  </si>
  <si>
    <t>Mariana Diniz Rodrigues</t>
  </si>
  <si>
    <t>Luis Antônio Possebon Mantovanelli Filho</t>
  </si>
  <si>
    <t>Maria Leonor Araujo Da Silva</t>
  </si>
  <si>
    <t>Tamires Ribeiro De Oliveira</t>
  </si>
  <si>
    <t>Elieze Lima Correia</t>
  </si>
  <si>
    <t>Julia Moreira Andrade Dos Reis</t>
  </si>
  <si>
    <t>Adriano Oliveira Borges</t>
  </si>
  <si>
    <t>Davi Lopes Souza</t>
  </si>
  <si>
    <t>Roseane Costa Santos</t>
  </si>
  <si>
    <t>Francine Flora De Souza</t>
  </si>
  <si>
    <t>Vivian De Biagi Palmeira</t>
  </si>
  <si>
    <t>Tatiane Dos Santos Rodrigues</t>
  </si>
  <si>
    <t>Samuel Muniz Rodrigues</t>
  </si>
  <si>
    <t>Camila Do Nascimento</t>
  </si>
  <si>
    <t>Mariana Moreira Tomaz De Jesus</t>
  </si>
  <si>
    <t>Lindomar Alves Nunes</t>
  </si>
  <si>
    <t>Rafael Maia Mendes De Camargo</t>
  </si>
  <si>
    <t>Gabriella Vieira Camisa Nova</t>
  </si>
  <si>
    <t>Angela Maria Teixeira Kfuri</t>
  </si>
  <si>
    <t>Claudia Castro Faria</t>
  </si>
  <si>
    <t>Sérgio Luís Castro Loureiro De Souza</t>
  </si>
  <si>
    <t>Suelen Vitória Oliveira Vicente</t>
  </si>
  <si>
    <t>Nildo José De Sousa E Silva</t>
  </si>
  <si>
    <t>Donato Ribeiro Paz Filho</t>
  </si>
  <si>
    <t>Daniel Silva Figueredo</t>
  </si>
  <si>
    <t>Vanuzia Helia Penha</t>
  </si>
  <si>
    <t>Ana Rosa Rodrigues</t>
  </si>
  <si>
    <t>Andressa Diogo Da Silva</t>
  </si>
  <si>
    <t>Celia Maria Do Santos</t>
  </si>
  <si>
    <t>Larissa Maravilha Teixeira</t>
  </si>
  <si>
    <t>Calina Maia Barreira</t>
  </si>
  <si>
    <t>Vitória Delfino Da Silva</t>
  </si>
  <si>
    <t>Altemir De Sousa Diniz</t>
  </si>
  <si>
    <t>Andressa De Castro</t>
  </si>
  <si>
    <t>Emerson Sales Tavares</t>
  </si>
  <si>
    <t>Michelle Ribeiro Coeti</t>
  </si>
  <si>
    <t>Maria De Fatima Batista Da Silva</t>
  </si>
  <si>
    <t>Bianca Felippelli Da Silva</t>
  </si>
  <si>
    <t>Iranilde Dos Santos Sarmento</t>
  </si>
  <si>
    <t>Otávio Jose Alves Da Rosa</t>
  </si>
  <si>
    <t>Elton Adriano Da Silva Costa</t>
  </si>
  <si>
    <t>Camila Rodrigues De Lima</t>
  </si>
  <si>
    <t>Alecsandro Paes Dos Santos</t>
  </si>
  <si>
    <t>Graziela Campos De Souza</t>
  </si>
  <si>
    <t>Ana Claudia Alves Vamilene Dos Reis</t>
  </si>
  <si>
    <t>Rafaela Caroline Da Silva</t>
  </si>
  <si>
    <t>Samara Cristina Guiotto Da Silva</t>
  </si>
  <si>
    <t>Bárbara Cristina Sant Ana</t>
  </si>
  <si>
    <t>Karoline Da Silva Almeida</t>
  </si>
  <si>
    <t>Caio Henrique Gandolfe Zanon</t>
  </si>
  <si>
    <t>Suellen Tobias De Paiva</t>
  </si>
  <si>
    <t>Daniela Cristina Dos Santos</t>
  </si>
  <si>
    <t>Osvaldo Colonisio Junior</t>
  </si>
  <si>
    <t>Bruna Da Silva Ramos De Albuquerque</t>
  </si>
  <si>
    <t>Cristiane Naziozeno Teixeira Falcão</t>
  </si>
  <si>
    <t>Lidiana Aparecida Voiola</t>
  </si>
  <si>
    <t>Antonio Camilo Da Silva</t>
  </si>
  <si>
    <t>Oscar Henrique De Andrade Neto</t>
  </si>
  <si>
    <t>Dayane Porcebon Silva Aranha</t>
  </si>
  <si>
    <t>Yeska Iorrany Ribeiro</t>
  </si>
  <si>
    <t>Ludimila Dos Santos Garcia</t>
  </si>
  <si>
    <t>Richard Correia Castioni Cruz</t>
  </si>
  <si>
    <t>Camila Silva De Matos</t>
  </si>
  <si>
    <t>Pedro Tiago França De Souza</t>
  </si>
  <si>
    <t>Marcos Antonio Pereira De Vasconcelos</t>
  </si>
  <si>
    <t>Maria José Da Silva</t>
  </si>
  <si>
    <t>Samira Dos Santos Saldanha</t>
  </si>
  <si>
    <t>Elizangela Cleto De Andrade Souza</t>
  </si>
  <si>
    <t>Edson Axé João Da Silva</t>
  </si>
  <si>
    <t>Larissa Ferreira De Jesus</t>
  </si>
  <si>
    <t>Raul Fernando De Lara Teixeira</t>
  </si>
  <si>
    <t>Francisca Maria Da Silva</t>
  </si>
  <si>
    <t>José Luiz Santos Da Silva</t>
  </si>
  <si>
    <t>Ana Caroline Rodrigues De Souza</t>
  </si>
  <si>
    <t>Thais Marlene Pereira Barbosa</t>
  </si>
  <si>
    <t>Luiza Kathlyn Oliveira Ferreira</t>
  </si>
  <si>
    <t>Celso Luiz Cesar</t>
  </si>
  <si>
    <t>Emili Oliveira Da Silva</t>
  </si>
  <si>
    <t>Jamile Marcia Brito Ribeiro</t>
  </si>
  <si>
    <t>Letícia Sabrina De Lima</t>
  </si>
  <si>
    <t>Ivan Barbosa De Sousa</t>
  </si>
  <si>
    <t>Giovana De Souza Ferreira</t>
  </si>
  <si>
    <t>Amanda Vieira Piccirillo</t>
  </si>
  <si>
    <t>Roselyr Barbosa Magalhães</t>
  </si>
  <si>
    <t>Sarah Lopes Lima Constantino</t>
  </si>
  <si>
    <t>Jose Leonisio Brandao</t>
  </si>
  <si>
    <t>Luiz Ferreira Lopes Junior</t>
  </si>
  <si>
    <t>Dina Aparecida Domingues Caetano</t>
  </si>
  <si>
    <t>Letícia Nunes Barbosa</t>
  </si>
  <si>
    <t>Edgar Galdino Dos Santos</t>
  </si>
  <si>
    <t>Carollyne Mota De Azevedo</t>
  </si>
  <si>
    <t>Álvaro Marcelo Maia Reis</t>
  </si>
  <si>
    <t>Santiago Corinto Silva</t>
  </si>
  <si>
    <t>Tayná Cristina Domingues De Almeida</t>
  </si>
  <si>
    <t>Fabiola Ferreira Mendes</t>
  </si>
  <si>
    <t>João Paulo Da Silva Dos Santos</t>
  </si>
  <si>
    <t>Beatriz Silva De Almeida</t>
  </si>
  <si>
    <t>Beatriz Teixeira Rodrigues</t>
  </si>
  <si>
    <t>Vinícius Santos De Holanda</t>
  </si>
  <si>
    <t>Beatriz Santos Kiodi</t>
  </si>
  <si>
    <t>Camilla Moreira Ferreira Rocha</t>
  </si>
  <si>
    <t>Pablo Vitor Cardoso Santos</t>
  </si>
  <si>
    <t>Guilherme Dos Santos Lima</t>
  </si>
  <si>
    <t>Carila Neves Santos</t>
  </si>
  <si>
    <t>Isabella Roberta Neves Nunes Rosa</t>
  </si>
  <si>
    <t>Adriana Nathalia Da Silva</t>
  </si>
  <si>
    <t>Maria Da Conceição Reis Martins</t>
  </si>
  <si>
    <t>Tatiane Larissa Silva Cordeiro</t>
  </si>
  <si>
    <t>Fernanda Carla Viana</t>
  </si>
  <si>
    <t>Simone Fonseca Da Silva</t>
  </si>
  <si>
    <t>Renata Figueiredo Dos Santos</t>
  </si>
  <si>
    <t>Daniela Almeida De Menezes</t>
  </si>
  <si>
    <t>Diego Henrique Dos Santos</t>
  </si>
  <si>
    <t>Rodrigo Oliveira Dos Santos</t>
  </si>
  <si>
    <t>Keila Cristina Bezerra Da Silva</t>
  </si>
  <si>
    <t>Isis Lucas Paixao</t>
  </si>
  <si>
    <t>Arthur Lopes Castilho</t>
  </si>
  <si>
    <t>Bruno Lopes Da Silva</t>
  </si>
  <si>
    <t>Bruna Cristina Moraes Assiaz Martins</t>
  </si>
  <si>
    <t>Leticia De Souza Fidelis</t>
  </si>
  <si>
    <t>Jeniffer Bedes Do Nascimento</t>
  </si>
  <si>
    <t>Sérgio Henrique Dos Santos Oliveira</t>
  </si>
  <si>
    <t>Christiane Borralho Paes De Barros</t>
  </si>
  <si>
    <t>Raimunda De Nazare Pereira Monteiro</t>
  </si>
  <si>
    <t>Vitória Mayara Silva Pereira</t>
  </si>
  <si>
    <t>Celso Roberto Vilela Macena</t>
  </si>
  <si>
    <t>Lígia Reis De Vilhena</t>
  </si>
  <si>
    <t>Isabelle Christiane De Moura Fogaça</t>
  </si>
  <si>
    <t>Amanda Hevilyn Gomes Costa</t>
  </si>
  <si>
    <t>Gabriela Araujo Santos</t>
  </si>
  <si>
    <t>Luana Avelino Do Nascimento</t>
  </si>
  <si>
    <t>Luis Paulo Neri Da Conceição</t>
  </si>
  <si>
    <t>Leonardo Lima De Oliveira</t>
  </si>
  <si>
    <t>Juliano Luis Santoro Afonso</t>
  </si>
  <si>
    <t>Amanda Kelly De Souza Santos</t>
  </si>
  <si>
    <t>Gabriel Matos Coelho Da Silva</t>
  </si>
  <si>
    <t xml:space="preserve">alínea "h"; </t>
  </si>
  <si>
    <t>Leticia Lima Santos</t>
  </si>
  <si>
    <t>Mariana Dos Santos De Almeida</t>
  </si>
  <si>
    <t>Gabrielli Quartieri Augusto</t>
  </si>
  <si>
    <t>Marcela Barrado Marçal</t>
  </si>
  <si>
    <t>Milena Amarante Freitas Da Silva</t>
  </si>
  <si>
    <t>Daphny Amanda Batista De Latre</t>
  </si>
  <si>
    <t>Camilla Marjorrayne Magri Vilela</t>
  </si>
  <si>
    <t>Letícia Da Silva Passos</t>
  </si>
  <si>
    <t>Vitória Tainá Rodrigues</t>
  </si>
  <si>
    <t>Suzi De Almeida</t>
  </si>
  <si>
    <t>Sueli Bueno Do Amaral</t>
  </si>
  <si>
    <t>Ana Júlia Marino Franco</t>
  </si>
  <si>
    <t>João Devanir Da Silveira Junior</t>
  </si>
  <si>
    <t>Edjair Paes De Albuquerque</t>
  </si>
  <si>
    <t>Rubia Oliveira Aranda</t>
  </si>
  <si>
    <t>Tatiane Siqueira Gomes</t>
  </si>
  <si>
    <t>Jacilene Ferreira De Aviz</t>
  </si>
  <si>
    <t>Cristiele Leandro De Moura</t>
  </si>
  <si>
    <t>Milena Gallo Marques</t>
  </si>
  <si>
    <t>Khárythas Yashmin Soares Bröckelmann</t>
  </si>
  <si>
    <t>Damares Maria Da Silva</t>
  </si>
  <si>
    <t>Aline Pereira Da Silva</t>
  </si>
  <si>
    <t>Jackson Teixeira De Freitas</t>
  </si>
  <si>
    <t>Maria Lucia Alves Goncalves</t>
  </si>
  <si>
    <t>Izadora Braz Dos Santos</t>
  </si>
  <si>
    <t>Gabriel Luz Santos</t>
  </si>
  <si>
    <t>Evelin De Paula Santos</t>
  </si>
  <si>
    <t>Janaina Aparecida Almeida Dos Santos</t>
  </si>
  <si>
    <t>Laila Cristine Nunes De Oliveira</t>
  </si>
  <si>
    <t>Mariana Marques Pereira Santos</t>
  </si>
  <si>
    <t>Janderlei Goncalves Vieira</t>
  </si>
  <si>
    <t>Karine Oliveira De Souza</t>
  </si>
  <si>
    <t>Graciete Gouveia De Freitas</t>
  </si>
  <si>
    <t>Daniel Victor De Faria</t>
  </si>
  <si>
    <t>Flávio Gomes Silva</t>
  </si>
  <si>
    <t>Thais Bernardino Soares</t>
  </si>
  <si>
    <t>Natércia Pinze Lourenço Seixalvo</t>
  </si>
  <si>
    <t>Amanda Antunes Pereira</t>
  </si>
  <si>
    <t>Gabriel De Sousa Gonçalves</t>
  </si>
  <si>
    <t>Wesley Pereira Dos Santos</t>
  </si>
  <si>
    <t>Rodrigo Souza Morais</t>
  </si>
  <si>
    <t>Andreina Martins Rosa Rossetto</t>
  </si>
  <si>
    <t>Dalgiza Calixto Machado</t>
  </si>
  <si>
    <t>Jorge Vinicius Ferreira Brandão</t>
  </si>
  <si>
    <t>Carolina Baptista</t>
  </si>
  <si>
    <t>Mariana De Lima</t>
  </si>
  <si>
    <t>Régis Rodrigues Bavoso</t>
  </si>
  <si>
    <t>Thiely Guimaraes Louback</t>
  </si>
  <si>
    <t>Monique Laurindo Marcelino</t>
  </si>
  <si>
    <t>Daniela De Camargo Leme</t>
  </si>
  <si>
    <t>Leticia Cristina De Carla Francisco</t>
  </si>
  <si>
    <t>Israel Martins Da Silva</t>
  </si>
  <si>
    <t>Gislaine De Fatima Da Silva</t>
  </si>
  <si>
    <t>Marcos Antonio Fernandes Andrade</t>
  </si>
  <si>
    <t>Aparecido Rodrigo Moura Mira</t>
  </si>
  <si>
    <t>Amanda Tayna Dias De Brito</t>
  </si>
  <si>
    <t>Vinícius Rezende De Castro Alves</t>
  </si>
  <si>
    <t>Ana Beatriz Doné Campos Santos</t>
  </si>
  <si>
    <t>Wesley Dias Silva Braga</t>
  </si>
  <si>
    <t>Viviany Silva De Oliveira</t>
  </si>
  <si>
    <t>Ingrid Monique Rodrigues Serrador</t>
  </si>
  <si>
    <t>Raquel Nascimento Teodoro</t>
  </si>
  <si>
    <t>André Luís Da Silva Lopes</t>
  </si>
  <si>
    <t>Luiz Claudio Ferreira Santos</t>
  </si>
  <si>
    <t>Morgana Patricia Valeze</t>
  </si>
  <si>
    <t>Rubens Borges Neves</t>
  </si>
  <si>
    <t>Larissa Lucas De Souza</t>
  </si>
  <si>
    <t>Isaac Dos Santos Ruvenal</t>
  </si>
  <si>
    <t>Saskia Diniz Capote</t>
  </si>
  <si>
    <t>Amanda Pereira Dos Santos</t>
  </si>
  <si>
    <t>Thais Do Espirito Santo</t>
  </si>
  <si>
    <t>Kimberly Gabrielly Silverio Ramos</t>
  </si>
  <si>
    <t>Bianca Maria Da Silva</t>
  </si>
  <si>
    <t>Ana Beatriz Santanna</t>
  </si>
  <si>
    <t>Diomar Pereira Dos Santos</t>
  </si>
  <si>
    <t>Maria Tânia Torres Gonçalves</t>
  </si>
  <si>
    <t>Pedro José Da Silva</t>
  </si>
  <si>
    <t>Taynara Stefhany Jose Cellarius</t>
  </si>
  <si>
    <t>Joao Gabriel De Oliveira Souza</t>
  </si>
  <si>
    <t>Maria Heloisa Francisca Rosa</t>
  </si>
  <si>
    <t>Kaline Sacani</t>
  </si>
  <si>
    <t>Ilzete Laurenco De Freitas</t>
  </si>
  <si>
    <t>Gustavo Henrique Oliveira Da Silva</t>
  </si>
  <si>
    <t>Paolla Cristina Feliciano Da Silva</t>
  </si>
  <si>
    <t>Silvana Pardim De Freitas</t>
  </si>
  <si>
    <t>Marcella Amorim Carvalho Da Silva</t>
  </si>
  <si>
    <t>Carin Stefany Pereira</t>
  </si>
  <si>
    <t>Kesia De Oliveira Cruz</t>
  </si>
  <si>
    <t>Kemillyn Lohana Soares Do Prado</t>
  </si>
  <si>
    <t>Liliane Castro Dos Santos</t>
  </si>
  <si>
    <t>Raimundo Nonato Pereira</t>
  </si>
  <si>
    <t>Guilherme Barbosa Dos Anjos</t>
  </si>
  <si>
    <t>Sarha Alfaro Miranda De Andrade</t>
  </si>
  <si>
    <t>Carlos Alberto Sousa Dos Santos</t>
  </si>
  <si>
    <t>Caio Francisco Lopes</t>
  </si>
  <si>
    <t>Beatriz Da Silva Dos Santos</t>
  </si>
  <si>
    <t>Larissa Tangerino Romero</t>
  </si>
  <si>
    <t>Dayana Peniche Pereira Da Silva</t>
  </si>
  <si>
    <t>Giani Tamira Da Silva Possignolo</t>
  </si>
  <si>
    <t>Silas Pereira Alves Ramos</t>
  </si>
  <si>
    <t>Guilherme Gaudencio Soares</t>
  </si>
  <si>
    <t>Karine Coelho Nogueira</t>
  </si>
  <si>
    <t>Rennan Oliveira Ferreira Folgado</t>
  </si>
  <si>
    <t>Rafaela Alves Maciel</t>
  </si>
  <si>
    <t>Stephanie De Lima Brasileiro</t>
  </si>
  <si>
    <t>Jacirene Do Nascimento Magalhaes</t>
  </si>
  <si>
    <t>Yasmin Pereira Lima Souza</t>
  </si>
  <si>
    <t>Stefany Caroline Fernandes Dos Santos</t>
  </si>
  <si>
    <t>Ana Beatriz De Moraes Amorim</t>
  </si>
  <si>
    <t>Vitória Mendes De Oliveira</t>
  </si>
  <si>
    <t>Tifanny Daniely Lima Dos Santos</t>
  </si>
  <si>
    <t>Thais Gabriele De Lima</t>
  </si>
  <si>
    <t>Raquel Julia Fernandes Neves</t>
  </si>
  <si>
    <t>Andréa Da Silva Bibiano</t>
  </si>
  <si>
    <t>Adriangela Aparecida Ferreira</t>
  </si>
  <si>
    <t>Maria Thays Assis Lopes</t>
  </si>
  <si>
    <t>Ivens Oliveira Juliani De Assis</t>
  </si>
  <si>
    <t>Flavirene Ferreira Dos Santos</t>
  </si>
  <si>
    <t>Salvio Judas Tadeu Martins Bordallo</t>
  </si>
  <si>
    <t>Tiffany Dos Santos Goes</t>
  </si>
  <si>
    <t>Liza Jane Alexander França Oliveira</t>
  </si>
  <si>
    <t>Neucinéia Freitas Teles</t>
  </si>
  <si>
    <t>Wellington Ribeiro De Sousa Santos</t>
  </si>
  <si>
    <t>Gabriel Gomes Lima Garcia</t>
  </si>
  <si>
    <t>Maycon Souza Brito</t>
  </si>
  <si>
    <t>Keane Reis Coutinho Da Costa</t>
  </si>
  <si>
    <t>Sarah Souza Vieira Da Silva</t>
  </si>
  <si>
    <t>Antonio Magalhaes</t>
  </si>
  <si>
    <t>Josefa Paula Da Fonseca Ferreira</t>
  </si>
  <si>
    <t>Rebeca Cristina De Oliveira</t>
  </si>
  <si>
    <t>Vitor Lindemann Chaves</t>
  </si>
  <si>
    <t>Andreza Correa Dos Santos</t>
  </si>
  <si>
    <t>Bruna Mayara Da Silva Alves</t>
  </si>
  <si>
    <t>Vanessa Costa Santos</t>
  </si>
  <si>
    <t>Midiani Sthphany Costa Leite Nascimento</t>
  </si>
  <si>
    <t>Ana Mirian Da Silva</t>
  </si>
  <si>
    <t>Kawane Cristina Silva De Lima</t>
  </si>
  <si>
    <t>Rebeca Ferreira Da Silva</t>
  </si>
  <si>
    <t>Daniela Gea Ribeiro</t>
  </si>
  <si>
    <t>Marco Antonio Eugenio Zaparoli</t>
  </si>
  <si>
    <t>Grazielly Soares Sá Do Nascimento</t>
  </si>
  <si>
    <t>Fabiana Tudela Fardim</t>
  </si>
  <si>
    <t>Rafaella Magalhães Costa</t>
  </si>
  <si>
    <t>Jane Da Silva Lopes</t>
  </si>
  <si>
    <t>Jhonnathan Gomes Alves</t>
  </si>
  <si>
    <t>Laura Fernanda Balbino</t>
  </si>
  <si>
    <t>Rebeca Cunha Silvestre Baptista</t>
  </si>
  <si>
    <t>Rosineide Duarte Da Silva</t>
  </si>
  <si>
    <t>Valéria De Araujo Santos</t>
  </si>
  <si>
    <t>Stephanie Freitas Dias</t>
  </si>
  <si>
    <t>Karolayne Virginia Batista De Souza</t>
  </si>
  <si>
    <t>Aline Camargo Da Silva</t>
  </si>
  <si>
    <t>Gustavo Da Silva Fernandes</t>
  </si>
  <si>
    <t>Elza Maria De Azevedo Lopes</t>
  </si>
  <si>
    <t>Josineide Pereira Oliveira Mendonça</t>
  </si>
  <si>
    <t>Giulia Clara Dos Santos Guerrero</t>
  </si>
  <si>
    <t>Fernando Ferreira Pessoa</t>
  </si>
  <si>
    <t>Gabrielly Taysa De Lara Freitas</t>
  </si>
  <si>
    <t>Lucinete Da Silva Costa</t>
  </si>
  <si>
    <t>Roberto Bonfim Dos Santos Bacelar</t>
  </si>
  <si>
    <t>Aristoteles Pereira De Sousa</t>
  </si>
  <si>
    <t>Marco Antonio Jesus Dos Santos</t>
  </si>
  <si>
    <t>Jeferson Silverio Ananias Simoes</t>
  </si>
  <si>
    <t>Alaide Mello Camara</t>
  </si>
  <si>
    <t>Ribervan Rodrigues Da Silva</t>
  </si>
  <si>
    <t>Isabella Barreiros Balog</t>
  </si>
  <si>
    <t>Pâmela Daiane Marangoni De Viveiros</t>
  </si>
  <si>
    <t>Erick Helio Welber Dos Santos</t>
  </si>
  <si>
    <t>Anne Souza Soares</t>
  </si>
  <si>
    <t>Dayane Felisbino Da Silva</t>
  </si>
  <si>
    <t>Licínio Theiclon Machado</t>
  </si>
  <si>
    <t>João Vitor De Paula Liberi</t>
  </si>
  <si>
    <t>Mizael Isaque Moraes Dos Santos</t>
  </si>
  <si>
    <t>Beatriz De Moura Silva</t>
  </si>
  <si>
    <t>Renata Soares Mendonça</t>
  </si>
  <si>
    <t>Nestonilton Conceição De Jesus</t>
  </si>
  <si>
    <t>Thayna Melo Da Silva</t>
  </si>
  <si>
    <t>Andreia De Souza Lima</t>
  </si>
  <si>
    <t>Karla Beatriz Dos Santos</t>
  </si>
  <si>
    <t>Lydia De Oliveira Andrade</t>
  </si>
  <si>
    <t>Jose Silva Carvalho</t>
  </si>
  <si>
    <t>Denise Martins Dos Santos</t>
  </si>
  <si>
    <t>Angelo Augusto Pereira Da Silva</t>
  </si>
  <si>
    <t>Francisco Tiburtino De Araújo Silva</t>
  </si>
  <si>
    <t>Brenda Oliveira Rocha Ribeiro</t>
  </si>
  <si>
    <t>Vivian Silva Bacelar</t>
  </si>
  <si>
    <t>Lilia Rene Pimentel Noronha</t>
  </si>
  <si>
    <t>Rejane Costa E Silva</t>
  </si>
  <si>
    <t>Maria Luiza Ferreira Apparicio</t>
  </si>
  <si>
    <t>Paulo Marcio Mendes Borges</t>
  </si>
  <si>
    <t>Iranildo Maciel Dos Santos</t>
  </si>
  <si>
    <t>Denilson Carlos Da Silva Mello</t>
  </si>
  <si>
    <t>Sancle Do Carmo Abreu</t>
  </si>
  <si>
    <t>Séfora Cristina Moraes Melo</t>
  </si>
  <si>
    <t>Luciana Cassote De Souza</t>
  </si>
  <si>
    <t>Mário Cézar De Albuquerque Paiva</t>
  </si>
  <si>
    <t>Patricia Magalhães Da Costa</t>
  </si>
  <si>
    <t>Ademara Maria De Oliveira</t>
  </si>
  <si>
    <t>Joilson José Da Silva</t>
  </si>
  <si>
    <t>Elissandra Rodrigues Gama</t>
  </si>
  <si>
    <t>Miriane Cavalcante De Moraes Silva</t>
  </si>
  <si>
    <t>Daniel Vieira Da Silva</t>
  </si>
  <si>
    <t>Roseane De Cassia Mauricio De Lima</t>
  </si>
  <si>
    <t>Elen Carla Lucena De Morais</t>
  </si>
  <si>
    <t>Erica Matias De Lima</t>
  </si>
  <si>
    <t>Safira Melo Nogueira Ferreira</t>
  </si>
  <si>
    <t>Vicente Lopez Gonzales</t>
  </si>
  <si>
    <t>Marilena Bispo Barros</t>
  </si>
  <si>
    <t>Dilman Damascena dos Santos Alves</t>
  </si>
  <si>
    <t>Estelamaris Caxambu</t>
  </si>
  <si>
    <t>Paulo Cesar Peixoto Gomes</t>
  </si>
  <si>
    <t>Marcia Da Silva</t>
  </si>
  <si>
    <t>Janislei Santos</t>
  </si>
  <si>
    <t>Jailma Florentino De Santana</t>
  </si>
  <si>
    <t>Jailson Do Rosario Nascimento</t>
  </si>
  <si>
    <t>Genivaldo Antonio Dos Santos Sousa</t>
  </si>
  <si>
    <t>Ronald Rodrigues Bezerra</t>
  </si>
  <si>
    <t>Maria Rosenilda Maciel De Campos Assis</t>
  </si>
  <si>
    <t>Cristiane Reis De Oliveira</t>
  </si>
  <si>
    <t>Moisés Lopes De Freitas</t>
  </si>
  <si>
    <t>Marcos Antonio Braz</t>
  </si>
  <si>
    <t>Angélica Da Silva Xavier</t>
  </si>
  <si>
    <t>Eugênio Oliveira Barbosa</t>
  </si>
  <si>
    <t>Aline Freire Da Silva</t>
  </si>
  <si>
    <t>Ianne Sabrina De Medeiros</t>
  </si>
  <si>
    <t>Joceval Da Silva Conceição</t>
  </si>
  <si>
    <t>Luis Cassimiro Filho</t>
  </si>
  <si>
    <t>Alexssandra Karyne Dos Santos Batista</t>
  </si>
  <si>
    <t>Silvânia Moreira De Souza</t>
  </si>
  <si>
    <t>Marcia Vasconcelos Gonzaga</t>
  </si>
  <si>
    <t>Rebeca Da Silva Lopes</t>
  </si>
  <si>
    <t>Rosangela Conceição Da Costa</t>
  </si>
  <si>
    <t>Solange Vidal De Moraes Neves</t>
  </si>
  <si>
    <t>Sandra Rosy Guimarães Vasconcellos</t>
  </si>
  <si>
    <t>Tainá Brandao Abdon</t>
  </si>
  <si>
    <t>Virgem De Fatima Santos Silva Fonseca</t>
  </si>
  <si>
    <t>Flávia Ferreira Pereira</t>
  </si>
  <si>
    <t>Janete Aparecida Diniz</t>
  </si>
  <si>
    <t>Josineide Teixeira</t>
  </si>
  <si>
    <t>Francisco Luiz Alves</t>
  </si>
  <si>
    <t>Herick David Sousa Da Conceição</t>
  </si>
  <si>
    <t>Suely Maria Gomes Da Silva</t>
  </si>
  <si>
    <t>Jose Do Carmo Ramos Filho</t>
  </si>
  <si>
    <t>Lourenço Silva Dos Santos</t>
  </si>
  <si>
    <t>Leomy Freitas Marques</t>
  </si>
  <si>
    <t>Rosineide Ribeiro Da Silva</t>
  </si>
  <si>
    <t>Gilmar Sena Dos Santos</t>
  </si>
  <si>
    <t>Adriana Santos Da Luz</t>
  </si>
  <si>
    <t>Cirlei Martins Pacheco</t>
  </si>
  <si>
    <t>Rita De Cássia De Goes Borges</t>
  </si>
  <si>
    <t>Rita De Cassia Vieira</t>
  </si>
  <si>
    <t>Fatima De Souza Oliveira</t>
  </si>
  <si>
    <t>Cintia Maria Ribeiro Bradley</t>
  </si>
  <si>
    <t>Josemar Santana Brasil</t>
  </si>
  <si>
    <t>Ismael Pereira Da Silva</t>
  </si>
  <si>
    <t>Renata De Oliveira Rodrigues Dos Santos</t>
  </si>
  <si>
    <t>Maura Raquel Serejo Silva</t>
  </si>
  <si>
    <t>Cristiane Dantas Almeida</t>
  </si>
  <si>
    <t>Maria Elizabet Venzke</t>
  </si>
  <si>
    <t>Maria Zenaide Santos</t>
  </si>
  <si>
    <t>Edimar Magave Dos Santos</t>
  </si>
  <si>
    <t>Cleidiomar Lopes De Santana</t>
  </si>
  <si>
    <t>Odinea De Nazare Aleixo Pinto</t>
  </si>
  <si>
    <t>Regina Hocoda Yanagiya</t>
  </si>
  <si>
    <t>Elizeu Carvalho Silva</t>
  </si>
  <si>
    <t>Valdira Pereira Dos Santos</t>
  </si>
  <si>
    <t>Sérgio Ricardo Cavalcanti Biones</t>
  </si>
  <si>
    <t>Eliana Deiró Brito</t>
  </si>
  <si>
    <t>Jose Pereira Lobo</t>
  </si>
  <si>
    <t>Fabricio Vasconcelos Rebelo</t>
  </si>
  <si>
    <t>Eliane Farias Araujo Dos Santos</t>
  </si>
  <si>
    <t xml:space="preserve">alínea “b”; 2.6.1., alínea “b”; </t>
  </si>
  <si>
    <t>Keila Rodrigues Ferreira</t>
  </si>
  <si>
    <t>Mablia Marques Da Silva</t>
  </si>
  <si>
    <t>Katia Tereza Nascimento da Costa</t>
  </si>
  <si>
    <t>Michelle Carvalho Tupinambá</t>
  </si>
  <si>
    <t>Sonitelane Eduardo Dos Santos</t>
  </si>
  <si>
    <t>Uanderson Ramos</t>
  </si>
  <si>
    <t>Marcondes Pinto De Matos</t>
  </si>
  <si>
    <t>Wilson Dos Santos De Souza</t>
  </si>
  <si>
    <t>Joelmo Freitas Novaes</t>
  </si>
  <si>
    <t>Cleovansostenes Abud Freire</t>
  </si>
  <si>
    <t>Maria José Teles De Oliveira</t>
  </si>
  <si>
    <t>Jorge Jose Gomes Da Silva</t>
  </si>
  <si>
    <t>Rodinery Nascimento Dos Santos</t>
  </si>
  <si>
    <t>Valter Luiz Martins Cruz</t>
  </si>
  <si>
    <t>Rosana Aparecida Lopes Da Silva</t>
  </si>
  <si>
    <t>Cristiane Alves De Almeida</t>
  </si>
  <si>
    <t>Sonia Maria De Oliveira</t>
  </si>
  <si>
    <t>Vanda Lúcia da Rocha Couto Lourêdo Teles</t>
  </si>
  <si>
    <t>Rosemary Ferreira Santos</t>
  </si>
  <si>
    <t>Jeovanne Dos Santos Rocha</t>
  </si>
  <si>
    <t>Degleiber Barbosa Ribeiro</t>
  </si>
  <si>
    <t>Jose Reis Souza Da Silva</t>
  </si>
  <si>
    <t>Ana Maria Sist De Oliveira Reck</t>
  </si>
  <si>
    <t>Francisco Nascimento Messias</t>
  </si>
  <si>
    <t>Roneide Francisco Mello</t>
  </si>
  <si>
    <t>Nádia Luciana Monteiro Dos Santos</t>
  </si>
  <si>
    <t>Ofélia Otaviano Da Silva</t>
  </si>
  <si>
    <t>Marcia Soares De Barros</t>
  </si>
  <si>
    <t>Lindomar Maria Costa E Silva</t>
  </si>
  <si>
    <t>Claudia Santos Santa Rita</t>
  </si>
  <si>
    <t>Adriana Cristine De Souza Pegado</t>
  </si>
  <si>
    <t>Francisco Narain Viana De Brito</t>
  </si>
  <si>
    <t>Maria Aldelina Santana De Pontes</t>
  </si>
  <si>
    <t>Luiz Felipe Trindade Da Silva</t>
  </si>
  <si>
    <t>Dallita Maria Rodrigues Moura</t>
  </si>
  <si>
    <t>Francisco Marques</t>
  </si>
  <si>
    <t>Antonio Francisco De Assis</t>
  </si>
  <si>
    <t>Jerffeson Reginaldo Pinho</t>
  </si>
  <si>
    <t>Viviane Campos Sobreira</t>
  </si>
  <si>
    <t>Luzia Jéssica Souza Cavalcante</t>
  </si>
  <si>
    <t>Marivaldo Felix Da Silva</t>
  </si>
  <si>
    <t>Maria Iracema Rodrigues Paiva Galvao</t>
  </si>
  <si>
    <t>Antonio Francisco Rodrigues De Azevedo</t>
  </si>
  <si>
    <t>Maria Luiza Rocha Brito</t>
  </si>
  <si>
    <t>Amanda Kely Chaves Câmara</t>
  </si>
  <si>
    <t>José Marcos Feitosa Rosas</t>
  </si>
  <si>
    <t>Priscila Eucilene Da Silva Mendes</t>
  </si>
  <si>
    <t>Bruna Araujo Lima</t>
  </si>
  <si>
    <t>Caroline De Sousa Feitosa</t>
  </si>
  <si>
    <t>Nathália Kelly Ribeiro Brito</t>
  </si>
  <si>
    <t>Ana Alice Melo Honorato</t>
  </si>
  <si>
    <t>Morgana De Almeida Uchôa</t>
  </si>
  <si>
    <t>Eduardo Thiago Pinheiro Gonçalves</t>
  </si>
  <si>
    <t>Diana Nunes Gonçalves</t>
  </si>
  <si>
    <t>Pedro Rian De Alencar Freire</t>
  </si>
  <si>
    <t>Julianna Matias Arrais</t>
  </si>
  <si>
    <t>Clara Echiley Patrício Félix</t>
  </si>
  <si>
    <t>Wilson Freitas Santana</t>
  </si>
  <si>
    <t>Jocasta De Lima Sousa</t>
  </si>
  <si>
    <t>Raphael Ydyahury Da Silva Pompeu</t>
  </si>
  <si>
    <t>Jessica Miranda Da Silva</t>
  </si>
  <si>
    <t>Viviam Santos Lima</t>
  </si>
  <si>
    <t>Jennifer Suelen Ferreira Lima</t>
  </si>
  <si>
    <t>Fernanda Lima E Silva</t>
  </si>
  <si>
    <t>Alice Brito Oliveira</t>
  </si>
  <si>
    <t>Amajla De Souza Pereira</t>
  </si>
  <si>
    <t>Amanda Layza Da Sé Pereira Silva</t>
  </si>
  <si>
    <t>Dalia Rayssa Braga Da Conceição</t>
  </si>
  <si>
    <t>Rosangela Lima Pinheiro</t>
  </si>
  <si>
    <t>Raul Alves Maurício</t>
  </si>
  <si>
    <t>Jocy Wallda Martins Nunes</t>
  </si>
  <si>
    <t>Aniely Gomes Pereira</t>
  </si>
  <si>
    <t>Wane Da Silva</t>
  </si>
  <si>
    <t>Jaqueline Martins Lopes</t>
  </si>
  <si>
    <t>Stephanie Alves Pereira</t>
  </si>
  <si>
    <t>Dalton Cunha Dos Santos</t>
  </si>
  <si>
    <t>Vitoria Regia Vieira Januário</t>
  </si>
  <si>
    <t>Andressa Barbosa Da Silva Sinésio</t>
  </si>
  <si>
    <t>Victória Régia Cordeiro De Araújo</t>
  </si>
  <si>
    <t>Liliane Sousa Da Silva</t>
  </si>
  <si>
    <t>Flávia Conceição De Moura</t>
  </si>
  <si>
    <t>Sérgio Leandro Da Silva Costa</t>
  </si>
  <si>
    <t>Davilla Jeovana Da Silva Sampaio</t>
  </si>
  <si>
    <t>Hedely Andressa De Almeida</t>
  </si>
  <si>
    <t>Rubem Louzeiro Galdez Filho</t>
  </si>
  <si>
    <t>Francisco Joabe De Sousa Almeida</t>
  </si>
  <si>
    <t>Adriana De Jesus Mota Dutra</t>
  </si>
  <si>
    <t>Lais Brito Sousa</t>
  </si>
  <si>
    <t>Jessica Araujo Da Silva</t>
  </si>
  <si>
    <t>Ana Lídia Barbosa Da Silva Rodrigues</t>
  </si>
  <si>
    <t>Rodrigo Da Silva Rodrigues</t>
  </si>
  <si>
    <t>Wendel Azevedo Conde</t>
  </si>
  <si>
    <t>Djayro Da Silva Gomes</t>
  </si>
  <si>
    <t>Thalya Fernanda Muniz Lira</t>
  </si>
  <si>
    <t>Luiza Beatriz Costa Araújo</t>
  </si>
  <si>
    <t>Lourdes Rayanny Rego Poncion</t>
  </si>
  <si>
    <t>Leandro Do Nascimento Cutrim</t>
  </si>
  <si>
    <t>Wanderson Silva Barros</t>
  </si>
  <si>
    <t>Raimundo Alef Da Silva</t>
  </si>
  <si>
    <t>Bárbara Alyne Pereira</t>
  </si>
  <si>
    <t>Pamella Rischer Santana Do Amaral</t>
  </si>
  <si>
    <t>Kledson Dos Santos Batista</t>
  </si>
  <si>
    <t>Diêgo Costa Araújo</t>
  </si>
  <si>
    <t>Valéria Laudicea Oliveira Da Silva</t>
  </si>
  <si>
    <t>Camila Ferreira Silva</t>
  </si>
  <si>
    <t>Débora Silva Moura</t>
  </si>
  <si>
    <t>Magna Melo De Alcantara</t>
  </si>
  <si>
    <t>Ananda Da Silva Freitas</t>
  </si>
  <si>
    <t>Anne Driele Coelho Carvalho</t>
  </si>
  <si>
    <t>Elioenai Ralison Da Silva Vale</t>
  </si>
  <si>
    <t>Rystany Jardeny Da Silva Araujo</t>
  </si>
  <si>
    <t>José Alexandre Pereira Alves</t>
  </si>
  <si>
    <t>Wéllyda Da Silva Viana</t>
  </si>
  <si>
    <t>Otilia Da Costa Machado</t>
  </si>
  <si>
    <t>Francisco Jackson Oliveira Lima Andrade</t>
  </si>
  <si>
    <t>Francisca Dara De Aguiar Albuquerque</t>
  </si>
  <si>
    <t>Janoene Silva Miranda</t>
  </si>
  <si>
    <t>Gabriela Sames Soares Silva</t>
  </si>
  <si>
    <t>Thiago Alves De Souza</t>
  </si>
  <si>
    <t>Eloisa Carneiro Veloso</t>
  </si>
  <si>
    <t>Kaline Mayara Dos Santos Pereira</t>
  </si>
  <si>
    <t>Vitor Campelo Delfino</t>
  </si>
  <si>
    <t>Larah Isabelly Serejo Silva</t>
  </si>
  <si>
    <t>Arnaldo Bruno Silva Gomes</t>
  </si>
  <si>
    <t>Beatriz Da Conceição Pereira</t>
  </si>
  <si>
    <t>Maria Alyne Dos Santos Silva</t>
  </si>
  <si>
    <t>Fernanda Silva Oliveira</t>
  </si>
  <si>
    <t>Giovanna De Abreu Sousa</t>
  </si>
  <si>
    <t>Luanná Lima De Sousa</t>
  </si>
  <si>
    <t>Jeferson Bruno Dos Santos Lima</t>
  </si>
  <si>
    <t>Caroline Da Silva</t>
  </si>
  <si>
    <t>Cristina Da Silva Pessoa</t>
  </si>
  <si>
    <t>Catharina Beatriz Gonçalves</t>
  </si>
  <si>
    <t>Joyce Holanda Costa Viana</t>
  </si>
  <si>
    <t>Eurana Alves De Oliveira</t>
  </si>
  <si>
    <t>Adenilcia Ferreira De Alencar</t>
  </si>
  <si>
    <t>Klara Rafaella Silva De Souza</t>
  </si>
  <si>
    <t>Glhicya Beatriz Santos Viana</t>
  </si>
  <si>
    <t>Alípio Silva Pavão</t>
  </si>
  <si>
    <t>Leandro Mateus Martins De Sousa</t>
  </si>
  <si>
    <t>Thalia Lima Nascimento</t>
  </si>
  <si>
    <t>Ramon Silva De Sousa</t>
  </si>
  <si>
    <t>Leonardo Passos Ribeiro</t>
  </si>
  <si>
    <t>Felipe Yander Gomes De Oliveira</t>
  </si>
  <si>
    <t>Pedro Henrique De Sousa Bezerra</t>
  </si>
  <si>
    <t>Wellisson Da Silva Ferreira</t>
  </si>
  <si>
    <t>Larissa Maranhão Santos</t>
  </si>
  <si>
    <t>Cliciel Alves Damasceno</t>
  </si>
  <si>
    <t>Taynara Souza Moreira</t>
  </si>
  <si>
    <t>Wellerson Carneiro Assuncao</t>
  </si>
  <si>
    <t>Marcos Da Silva Rabelo</t>
  </si>
  <si>
    <t>Samara De Sousa Carvalho</t>
  </si>
  <si>
    <t>Geovanna De Sousa Carvalho</t>
  </si>
  <si>
    <t>Martha Virna De Sousa</t>
  </si>
  <si>
    <t>Sara De Sousa Ferreira</t>
  </si>
  <si>
    <t>Ludmila Miranda De Santiago Vasconcelos</t>
  </si>
  <si>
    <t>Isaiane Moura Carvalho</t>
  </si>
  <si>
    <t>Miguel Ribeiro Nunes</t>
  </si>
  <si>
    <t>Gildean Santos Silva</t>
  </si>
  <si>
    <t>Rayane Feitosa Cardoso</t>
  </si>
  <si>
    <t>Mara Rodrigues De Oliveira Monteiro</t>
  </si>
  <si>
    <t>João Victor Pereira Cutrim</t>
  </si>
  <si>
    <t>Daniely Teixeira De Almeida</t>
  </si>
  <si>
    <t>Luma Lopes Reis</t>
  </si>
  <si>
    <t>Wagner Mendonça Gomes</t>
  </si>
  <si>
    <t>Caroline Morais Silva</t>
  </si>
  <si>
    <t>Guilherme Vinícius Alves Bezerra</t>
  </si>
  <si>
    <t>Vanessa Pereira Alves Da Silva</t>
  </si>
  <si>
    <t>Shirley Regina De Sousa Oliveira</t>
  </si>
  <si>
    <t>José Lucas Da Costa De Sousa</t>
  </si>
  <si>
    <t>Erika De Moraes Matos Lichterfeld</t>
  </si>
  <si>
    <t>Jaqueline De Jesus Amorim Vieira</t>
  </si>
  <si>
    <t>Lainny Silva Cutrim</t>
  </si>
  <si>
    <t>Marcos Jardel Alves Carvalho</t>
  </si>
  <si>
    <t>Elaine Maria Mota Araújo</t>
  </si>
  <si>
    <t>Carla Santos Sousa</t>
  </si>
  <si>
    <t>Jhulhya Sousa Rodrigues</t>
  </si>
  <si>
    <t>Débora Pimentel De Sousa</t>
  </si>
  <si>
    <t>Naiara Daiane Pereira Campos</t>
  </si>
  <si>
    <t>Adriana Anunciação Pinheiro</t>
  </si>
  <si>
    <t>Patricia Paiva Da Silva</t>
  </si>
  <si>
    <t>Barbara Vitoria Da Silva De Sousa</t>
  </si>
  <si>
    <t>Mateus Emanuel Pantaleão Lima Silva</t>
  </si>
  <si>
    <t>Barbara Alves Silva Dos Santos</t>
  </si>
  <si>
    <t>Rhuan Almeida Moreno</t>
  </si>
  <si>
    <t>Joana Costa De Oliveira</t>
  </si>
  <si>
    <t>Beatriz Carolinne Da Silva Soares</t>
  </si>
  <si>
    <t>Quenia Moreira De Paiva Souza</t>
  </si>
  <si>
    <t>Gisely Alves Da Silva E Silva</t>
  </si>
  <si>
    <t>Adriana Araújo De Souza</t>
  </si>
  <si>
    <t>Altair Coelho Garrido</t>
  </si>
  <si>
    <t>Raira Martins Siqueira</t>
  </si>
  <si>
    <t>Luciele Mota Pereira</t>
  </si>
  <si>
    <t>Greisielly Santos Azevedo</t>
  </si>
  <si>
    <t>Elaino Valerio Moreira</t>
  </si>
  <si>
    <t>Jomar Leal Oliveira</t>
  </si>
  <si>
    <t>Pedro Augusto Da Silva Costa</t>
  </si>
  <si>
    <t>Wallison De Souza Silva</t>
  </si>
  <si>
    <t>Suzana Lima De Sousa</t>
  </si>
  <si>
    <t>Wemerson Borges Moraes</t>
  </si>
  <si>
    <t>Mariana De Sousa Barboza</t>
  </si>
  <si>
    <t>Marina Araujo Rodrigues</t>
  </si>
  <si>
    <t>Francisco Rodrigues Da Silva Junior</t>
  </si>
  <si>
    <t>Letícia Pereira Oliveira</t>
  </si>
  <si>
    <t>Luis Gustavo Timbó Veras</t>
  </si>
  <si>
    <t>Ancelmo Dias Amorim</t>
  </si>
  <si>
    <t>Antonia Natalia Ribeiro Leite</t>
  </si>
  <si>
    <t>Antônia Marcia Santos Da Silva</t>
  </si>
  <si>
    <t>Hyara Ketley De Oliveira Sousa</t>
  </si>
  <si>
    <t>Marcos Andre De Sousa</t>
  </si>
  <si>
    <t>Eduarda Kallyne Dos Santos Nunes</t>
  </si>
  <si>
    <t>Paula Bianca Silva Sousa</t>
  </si>
  <si>
    <t>Alexsandra Freitas Frazão</t>
  </si>
  <si>
    <t>Maria Tainara Da Silva Vieira</t>
  </si>
  <si>
    <t>Marta Lorena Melo Da Silva</t>
  </si>
  <si>
    <t>Elane Da Cruz Alves</t>
  </si>
  <si>
    <t>Mirialva De Almeida Souza</t>
  </si>
  <si>
    <t>José De Anchieta Silva Rodrigues</t>
  </si>
  <si>
    <t>Leidiana De Sena Silva</t>
  </si>
  <si>
    <t>Flavio Thalis Maia De Sousa</t>
  </si>
  <si>
    <t>Hemilly Mayanni Rosario Dos Santos</t>
  </si>
  <si>
    <t>Sandra Mara Roque</t>
  </si>
  <si>
    <t>Ana Grazielle Rodrigues Costa</t>
  </si>
  <si>
    <t>Thauanne Mourão Mota</t>
  </si>
  <si>
    <t>Joyce Karoline Silva De Sousa</t>
  </si>
  <si>
    <t>Felipe Soares Da Silva</t>
  </si>
  <si>
    <t>Odilio Leite Braga</t>
  </si>
  <si>
    <t>Lidiana Ferreira Oliveira</t>
  </si>
  <si>
    <t>Angelita Bueno Da Silva</t>
  </si>
  <si>
    <t>Antonia Bruna Santos Noleto</t>
  </si>
  <si>
    <t>Francisco Artaniel Campos De Lima</t>
  </si>
  <si>
    <t>Jordânia Santiago Silva</t>
  </si>
  <si>
    <t>Geysa Kelli Arrais Silva</t>
  </si>
  <si>
    <t>Cássio Ângelo Rodrigues Dos Santos</t>
  </si>
  <si>
    <t>Maria Leticia Pereira Siqueira</t>
  </si>
  <si>
    <t>Jeremias Lima Santos</t>
  </si>
  <si>
    <t>Valdeir Soares Da Conceição</t>
  </si>
  <si>
    <t>Tamire Braga Duarte</t>
  </si>
  <si>
    <t>Maria Domingas Ferreira Ribeiro Da Silva Oliveira</t>
  </si>
  <si>
    <t>Emanuelle Salima Silva De Alencar Hissa</t>
  </si>
  <si>
    <t>Ivaldo De Sampaio Araujo</t>
  </si>
  <si>
    <t>Noel Alencar De Aguiar</t>
  </si>
  <si>
    <t>Janaina Costa Faria</t>
  </si>
  <si>
    <t>Syanne Dos Santos Reis</t>
  </si>
  <si>
    <t>Ellen Dayane Silva Matos</t>
  </si>
  <si>
    <t>Antonio Jonas Paula Gomes</t>
  </si>
  <si>
    <t>Alessandra Vital Pereira</t>
  </si>
  <si>
    <t>Lêticielly Maria Alencar Lima</t>
  </si>
  <si>
    <t>Letícia Pereira Da Silva</t>
  </si>
  <si>
    <t>Carmem Lúcia Pereira De Almeida Silva</t>
  </si>
  <si>
    <t>Mizael Carlos Amorim Da Silva</t>
  </si>
  <si>
    <t>Grasielly Rivera Vieira Ferreira</t>
  </si>
  <si>
    <t>Nilda Lima De Oliveira</t>
  </si>
  <si>
    <t>Eliana Pereira Xavier Santos</t>
  </si>
  <si>
    <t>Marta Andreia Dias Santos Brandao</t>
  </si>
  <si>
    <t>Rosangela Dantas Da Silva</t>
  </si>
  <si>
    <t>Adilma Pinheiro Dos Santos</t>
  </si>
  <si>
    <t>Fabiano Guimaraes Alves</t>
  </si>
  <si>
    <t>Alexandre Bisio Ciconet</t>
  </si>
  <si>
    <t>Rômulo Spinosa Ribeiro</t>
  </si>
  <si>
    <t>Roseilde Santiago Nascimento</t>
  </si>
  <si>
    <t>Lucicleide Pinheiro De Matos</t>
  </si>
  <si>
    <t>Marisa Machado Ferreira</t>
  </si>
  <si>
    <t>Anatalia Boa Morte Soares</t>
  </si>
  <si>
    <t>Francisca Dantas De Lima</t>
  </si>
  <si>
    <t>Francisca Rosinete Cardoso De Freitas</t>
  </si>
  <si>
    <t>Daiana Da Silva Jales</t>
  </si>
  <si>
    <t>Paula Patrícia Soares Carvalho</t>
  </si>
  <si>
    <t>Eva Ferreira Gomes Machado</t>
  </si>
  <si>
    <t>Darcivony Santana Ribeiro</t>
  </si>
  <si>
    <t>Mario Sergio Medeiros Rojas</t>
  </si>
  <si>
    <t>Wallace Da Silva Praia</t>
  </si>
  <si>
    <t>Ediceia De Almeida Ferreira</t>
  </si>
  <si>
    <t>Ivana Da Fonseca Santos</t>
  </si>
  <si>
    <t>Maria De Lourdes Jorge Viana Silveira</t>
  </si>
  <si>
    <t>Joelia Oliveira Santana</t>
  </si>
  <si>
    <t>Ana Graciela Da Conceição Martins Alencar</t>
  </si>
  <si>
    <t>Ocelia Aparecida De Lima</t>
  </si>
  <si>
    <t>José Raimundo Alfaia E Silva</t>
  </si>
  <si>
    <t>Shirlley Sampaio Da Gama</t>
  </si>
  <si>
    <t>Edimeire Santos Silva Barbosa</t>
  </si>
  <si>
    <t>Marcos Alves dos Santos Pinheiro</t>
  </si>
  <si>
    <t>Maria Beniza De Oliveira Neta</t>
  </si>
  <si>
    <t>Abraão Silva Sampaio</t>
  </si>
  <si>
    <t>Valdenira Marinho De Lima</t>
  </si>
  <si>
    <t>Rita De Cassia Da Silva Oliveira</t>
  </si>
  <si>
    <t>Alex Ferreira Guedes</t>
  </si>
  <si>
    <t>Joenilce Tavares Da Silva</t>
  </si>
  <si>
    <t>Ocimara Oliveira Remigio</t>
  </si>
  <si>
    <t>Sandra Barbosa Costa</t>
  </si>
  <si>
    <t>Marta Cristina Bezerra De Santana</t>
  </si>
  <si>
    <t>José Amaro Da Silva Júnior</t>
  </si>
  <si>
    <t>Antonia Maria Dos Santos</t>
  </si>
  <si>
    <t>Rodrigo De Figueiredo Gadelha</t>
  </si>
  <si>
    <t>Eunice Helena Guimarães Macedo</t>
  </si>
  <si>
    <t>Adauciete Araújo De Araújo</t>
  </si>
  <si>
    <t>Osvaldo Cruz Junior</t>
  </si>
  <si>
    <t>Nara Lívia Barbosa</t>
  </si>
  <si>
    <t>Edinete Ferreira Santos</t>
  </si>
  <si>
    <t>Marlene Pinheiro Lima</t>
  </si>
  <si>
    <t>Rejane Barbosa De Souza</t>
  </si>
  <si>
    <t>Keli Cristina Ramos</t>
  </si>
  <si>
    <t>Ronaldo Isaias Cabral Da Silva</t>
  </si>
  <si>
    <t>Marcondes Luís Da Silva</t>
  </si>
  <si>
    <t>Davi De Moraes Dias</t>
  </si>
  <si>
    <t>Dulce Aparecida Justino Dos Santos</t>
  </si>
  <si>
    <t>Terezinha De Jesus Miranda Nascimento</t>
  </si>
  <si>
    <t>Dalvanice Flora De Souza Silva</t>
  </si>
  <si>
    <t>Dalvina Panuce Marinho Alves</t>
  </si>
  <si>
    <t>Dario Alves Da Silva Junior</t>
  </si>
  <si>
    <t>Francicleia Santiago Galucio</t>
  </si>
  <si>
    <t>Helio Angelo Da Silva Junior</t>
  </si>
  <si>
    <t>Gilmar Pires</t>
  </si>
  <si>
    <t>Silvana Pereira De Paula</t>
  </si>
  <si>
    <t>Jaciel Estevão Dos Santos</t>
  </si>
  <si>
    <t>Sheila De Castro Munduril Veloso</t>
  </si>
  <si>
    <t>Jandira Batista Do Nascimento Pinto</t>
  </si>
  <si>
    <t>Maria Das Dores Soares Costa</t>
  </si>
  <si>
    <t>Elma Assunção</t>
  </si>
  <si>
    <t>Doralice Rodrigues Dos Santos</t>
  </si>
  <si>
    <t>Ercson Jonilson Souza Cardoso</t>
  </si>
  <si>
    <t>Maria Lourdiane Pessoa Florencio De Carvalho</t>
  </si>
  <si>
    <t>Edinaldo Carlos Oliveira Dos Santos</t>
  </si>
  <si>
    <t>Marcia Scalzer</t>
  </si>
  <si>
    <t>Célio Marcelino Da Cunha</t>
  </si>
  <si>
    <t>Alison De Oliveira E Silva</t>
  </si>
  <si>
    <t>Andréa Roldão Ferreira</t>
  </si>
  <si>
    <t>Gina Lorene Medeiros Dos Santos</t>
  </si>
  <si>
    <t>Renata Viana Do Nascimento Santos</t>
  </si>
  <si>
    <t>Luiza Carla Souza Pitta Lima</t>
  </si>
  <si>
    <t>Ebenezer Falcao De Oliveira</t>
  </si>
  <si>
    <t>Wanderson Juliano Oliveira Araujo</t>
  </si>
  <si>
    <t>Luiz Fernandes Bittencourt Junior</t>
  </si>
  <si>
    <t>Luiza dos Santos de Santana</t>
  </si>
  <si>
    <t>Sheila De Jesus Borges De Araujo</t>
  </si>
  <si>
    <t>Marcos Antonio Gonçalves De Quadros</t>
  </si>
  <si>
    <t>Moema Agnes De Oliveira Walsh</t>
  </si>
  <si>
    <t>Maria Elaide Silva Santos</t>
  </si>
  <si>
    <t>Michely Magalhaes De Almada</t>
  </si>
  <si>
    <t>Aline Syane Janaú Neves</t>
  </si>
  <si>
    <t>Maria Raquel Silva</t>
  </si>
  <si>
    <t>João Arnaldo Santos Viana</t>
  </si>
  <si>
    <t>Taina Uchoa França</t>
  </si>
  <si>
    <t>Luciene Gonçalves Da Silva</t>
  </si>
  <si>
    <t>Priscila Tonetto</t>
  </si>
  <si>
    <t>Alex Silva Micio Dos Santos</t>
  </si>
  <si>
    <t>Selma Santos Aleluia</t>
  </si>
  <si>
    <t>Cristiane Rosalina Gomes Da Silva</t>
  </si>
  <si>
    <t>Roberto Mendes Camargo</t>
  </si>
  <si>
    <t>Charle Lima Dos Anjos</t>
  </si>
  <si>
    <t>Itamar Francisco Da Silva</t>
  </si>
  <si>
    <t>Selmar Terra Lioti</t>
  </si>
  <si>
    <t>Fernanda Lúcia Jordão De Lima</t>
  </si>
  <si>
    <t>José Weiden Dutra De Barros</t>
  </si>
  <si>
    <t>Fábio Alessandro Azenha Stein</t>
  </si>
  <si>
    <t>Romildo Pereira De Melo</t>
  </si>
  <si>
    <t>Jonas Paulino Ferreira Dos Santos</t>
  </si>
  <si>
    <t>Elma Pires De Souza</t>
  </si>
  <si>
    <t>Leiza Terezinha Dalmolin Romitti</t>
  </si>
  <si>
    <t>Jorge Ladeia Viana</t>
  </si>
  <si>
    <t>Gilberto Paulo De Lima E Silva</t>
  </si>
  <si>
    <t>Alexandro Da Silva Nascimento</t>
  </si>
  <si>
    <t>Linda Cart Alves Da Silva Santos</t>
  </si>
  <si>
    <t>Maria Ivone De Meneses</t>
  </si>
  <si>
    <t>Karina De Lima Pereira</t>
  </si>
  <si>
    <t>Katia Cristina Gomes De Assunção</t>
  </si>
  <si>
    <t>Patricia Vilar Cruz</t>
  </si>
  <si>
    <t>Rosana Dos Santos</t>
  </si>
  <si>
    <t>Cristiane Jara De Souza</t>
  </si>
  <si>
    <t>Romero Procópio Leal</t>
  </si>
  <si>
    <t>Ivanilde Silva Do Nascimento</t>
  </si>
  <si>
    <t>Alex Parente Pinheiro</t>
  </si>
  <si>
    <t>Ana Paula Messerschmidt De Oliveira</t>
  </si>
  <si>
    <t>Ubiraci Da Silva</t>
  </si>
  <si>
    <t>Antonio Vieira Da Cruz</t>
  </si>
  <si>
    <t>Josileide Dos Santos Pereira</t>
  </si>
  <si>
    <t>Nalva Vidal Dos Santos</t>
  </si>
  <si>
    <t>Monica Silvana De Oliveira</t>
  </si>
  <si>
    <t>Caio Vinícius Mota Montelleone</t>
  </si>
  <si>
    <t>Wesley Costa Pereira</t>
  </si>
  <si>
    <t>Suéllen Souza Oliveira</t>
  </si>
  <si>
    <t>Thamara Cristina De Abreu Rodrigues</t>
  </si>
  <si>
    <t>Jady Martins Ribeiro</t>
  </si>
  <si>
    <t>Jocelio Franco Da Silva Paula</t>
  </si>
  <si>
    <t>Nathalia Steinheuser Siqueira</t>
  </si>
  <si>
    <t>Amanda Oliveira Lima</t>
  </si>
  <si>
    <t>Layna Daniela Alves Dos Santos</t>
  </si>
  <si>
    <t>Genaldo Ferreira Gomes</t>
  </si>
  <si>
    <t>Ingrid Graziela Rodrigues De Siqueira</t>
  </si>
  <si>
    <t>Messias Gama De Souza Neto</t>
  </si>
  <si>
    <t>Kamila Pereira Antunes</t>
  </si>
  <si>
    <t>Vera Lucia Dos Santos</t>
  </si>
  <si>
    <t>Alessandra Maria Fernandes Rocha Lima</t>
  </si>
  <si>
    <t>Mario Breno Soares Batista</t>
  </si>
  <si>
    <t>Hellen Cristina Leite Morais</t>
  </si>
  <si>
    <t>Daniele Rodrigues Mota</t>
  </si>
  <si>
    <t>Iure Costa Ferreira</t>
  </si>
  <si>
    <t>Thayna Teixeira De Assis</t>
  </si>
  <si>
    <t>Taynara Teixeira David</t>
  </si>
  <si>
    <t>Brenda Luiza Gusmão Maia Ataide</t>
  </si>
  <si>
    <t>Sthefane Da Silva Oliveira</t>
  </si>
  <si>
    <t>Carolina Arraes Mendes Vaz</t>
  </si>
  <si>
    <t>Maria Rita Batista Arantes</t>
  </si>
  <si>
    <t>Wessileany Ferreira Filho</t>
  </si>
  <si>
    <t>Paula Caroline Da Cruz Pereira</t>
  </si>
  <si>
    <t>Caio Felipe De Souza</t>
  </si>
  <si>
    <t>Thaisa De Oliveira Farias Mendonça</t>
  </si>
  <si>
    <t>Vanesa Santos De Castro</t>
  </si>
  <si>
    <t>Wellinna Gleicy Lobato Araújo</t>
  </si>
  <si>
    <t>Ingredy Lorrane Da Silva Araujo</t>
  </si>
  <si>
    <t>Matheus Fernandes De Medeiros</t>
  </si>
  <si>
    <t>Nasha Faknelly Carbonaro</t>
  </si>
  <si>
    <t>Daniela Alves De Souza Arruda</t>
  </si>
  <si>
    <t>Karla Fernanda Dos Santos</t>
  </si>
  <si>
    <t>Isabella Silva Braga</t>
  </si>
  <si>
    <t>Emilly De Oliveira Silva</t>
  </si>
  <si>
    <t>Tadeu Meira Macêdo</t>
  </si>
  <si>
    <t>Thalia Andressa Silva Dorasio</t>
  </si>
  <si>
    <t>Dayvison Das Neves Marinho</t>
  </si>
  <si>
    <t>Juliana Suellen Ribeiro Campos</t>
  </si>
  <si>
    <t>Helbert De Sousa</t>
  </si>
  <si>
    <t>Ana Ruth Costa Dos Santos</t>
  </si>
  <si>
    <t>Mikael Luna Ferreira Lasprilla</t>
  </si>
  <si>
    <t>Rander Roni Guerra De Sá</t>
  </si>
  <si>
    <t>Rafael Henrique Martins</t>
  </si>
  <si>
    <t>Ana Beatriz Morais Pereira Queiros</t>
  </si>
  <si>
    <t>Jessyca Tainara Alves Bernardo</t>
  </si>
  <si>
    <t>Bruna Rayane Da Silva Mendes</t>
  </si>
  <si>
    <t>Thaiza Da Silva Souza</t>
  </si>
  <si>
    <t>Natália Silva Braga</t>
  </si>
  <si>
    <t>Juliana Kilder Oliveira Lima</t>
  </si>
  <si>
    <t>Ingrid Lorrayne Eugenio Dos Santos</t>
  </si>
  <si>
    <t>Renata Rayanne Da Silva Santiago</t>
  </si>
  <si>
    <t>Rafael Henrique Da Silva</t>
  </si>
  <si>
    <t>Kananda Junqueira Garcia</t>
  </si>
  <si>
    <t>Sandra Floriano De Oliveira</t>
  </si>
  <si>
    <t>Luana Cristina Fontes Siqueira</t>
  </si>
  <si>
    <t>Leandro Vitorino Costa</t>
  </si>
  <si>
    <t>Daniellen Virginia Silva Gomes</t>
  </si>
  <si>
    <t>Ellen Caroline Marques Da Costa</t>
  </si>
  <si>
    <t>Dhiego Barbosa Oliveira</t>
  </si>
  <si>
    <t>Edgar Silva Candido</t>
  </si>
  <si>
    <t>Márcia Rejane Rodrigues Monte Branco</t>
  </si>
  <si>
    <t>Jessika Rayane De Menezes Da Silva</t>
  </si>
  <si>
    <t>Ramilly Karoline Alves De Paiva</t>
  </si>
  <si>
    <t>Lays Fernanda Pereira Dos Santos</t>
  </si>
  <si>
    <t>Júlio César Ferreira</t>
  </si>
  <si>
    <t>Marcia Da Silva Franco</t>
  </si>
  <si>
    <t>Rosa Angela Osco Santos</t>
  </si>
  <si>
    <t>Kamila Regina Da Silva Costa</t>
  </si>
  <si>
    <t>Heloisa Beatriz Nicacio Da Silva</t>
  </si>
  <si>
    <t>Thaís Rocha Pereira</t>
  </si>
  <si>
    <t>Ricardo Bartulus Beline</t>
  </si>
  <si>
    <t>Monica Custodio Dos Santos</t>
  </si>
  <si>
    <t>Francisca Diandra Duarte Da Silva</t>
  </si>
  <si>
    <t>Lorena Vaz Vieira</t>
  </si>
  <si>
    <t>Karolina Rosa Santos Gonçalves</t>
  </si>
  <si>
    <t>Bruno Gomes Dos Anjos</t>
  </si>
  <si>
    <t>Pedro Henrique Mendes Gomes</t>
  </si>
  <si>
    <t>Luís Carlos Almeida Silva</t>
  </si>
  <si>
    <t>Bruno Henrique Lopes Dos Santos</t>
  </si>
  <si>
    <t>Thayná Cabral De Oliveira</t>
  </si>
  <si>
    <t>Bruna Vieira Brito</t>
  </si>
  <si>
    <t>Raquel Pereira Abreu</t>
  </si>
  <si>
    <t>Larissa Crisostomo Da Silva</t>
  </si>
  <si>
    <t>Loslene Stéphane De Sousa Guimarães</t>
  </si>
  <si>
    <t>Ruama Domingos De Morais</t>
  </si>
  <si>
    <t>Wellika Do Nascimento Silva</t>
  </si>
  <si>
    <t>Dayane Eustáquio Da Cunha Pontes</t>
  </si>
  <si>
    <t>Marcelo Arruda De Jesus</t>
  </si>
  <si>
    <t>Amanda Francieli Teixeira Borges</t>
  </si>
  <si>
    <t>Jéssica De Oliveira Souza</t>
  </si>
  <si>
    <t>Felipe Dos Santos Barbosa</t>
  </si>
  <si>
    <t>Guilherme Da Silva Franca</t>
  </si>
  <si>
    <t>Júlia Alves Dos Santos</t>
  </si>
  <si>
    <t>Samuel Sousa Pereira</t>
  </si>
  <si>
    <t>Diego Rodrigo Silva Da Nóbrega</t>
  </si>
  <si>
    <t>Kleber Ribeiro Dos Santos</t>
  </si>
  <si>
    <t>Rayssa Dias Alves</t>
  </si>
  <si>
    <t>Débora Moreira De Ávila Francelino</t>
  </si>
  <si>
    <t>Hanna Pessoa Araújo Magalhães</t>
  </si>
  <si>
    <t>Aline Cristina De Souza</t>
  </si>
  <si>
    <t>Micaelly Ferreira Alves</t>
  </si>
  <si>
    <t>Felipe Stephan Braga Fonseca</t>
  </si>
  <si>
    <t>Carlos Oliveira Coelho Junior</t>
  </si>
  <si>
    <t>Ellen Vânia Gomes Barbosa</t>
  </si>
  <si>
    <t>Raquel Caiana Dos Santos</t>
  </si>
  <si>
    <t>Kelle De Paiva Moisés</t>
  </si>
  <si>
    <t>Robson De Lima Silva</t>
  </si>
  <si>
    <t>Pedro Vinícius Alves Castro</t>
  </si>
  <si>
    <t>Taynara Barbosa Do Nascimento</t>
  </si>
  <si>
    <t>Rayane Ferreira De Araújo Souto Cavalcante</t>
  </si>
  <si>
    <t>Daniela Ramos Reis</t>
  </si>
  <si>
    <t>Daniele De Sousa</t>
  </si>
  <si>
    <t>Raissa Souza Da Silva Orestes</t>
  </si>
  <si>
    <t>Maria Lúcia De Oliveira Ferreira</t>
  </si>
  <si>
    <t>Thalya Pires Coelho</t>
  </si>
  <si>
    <t>Carlos Vital Soares De Souza</t>
  </si>
  <si>
    <t>Karinna Raquel Sousa Braz</t>
  </si>
  <si>
    <t>Isadora Camargo Costa Da Silva</t>
  </si>
  <si>
    <t>Anna Victoria Shimizu Cerezini</t>
  </si>
  <si>
    <t>Jenyfer Ohana Silva Ribeiro</t>
  </si>
  <si>
    <t>Fabricia Leticia Borges De Lira</t>
  </si>
  <si>
    <t>Maria Cristina Ribeiro De Oliveira</t>
  </si>
  <si>
    <t>John Lancaster Da Silva Vasconcelos</t>
  </si>
  <si>
    <t>Lucas Iuri Da Silva Gomes</t>
  </si>
  <si>
    <t>Eulália Carolliny Rodriguês Tiburcio</t>
  </si>
  <si>
    <t>Isabel Silva Pimentel</t>
  </si>
  <si>
    <t>Beatriz Gonçalves Freitas</t>
  </si>
  <si>
    <t>Tácila Santiago Macedo</t>
  </si>
  <si>
    <t>Lia Beatriz Magalhaes Fonteneles De Figueiredo</t>
  </si>
  <si>
    <t>Eduarda Dos Santos Souza</t>
  </si>
  <si>
    <t>Evellyn Fernanda Dos Santos</t>
  </si>
  <si>
    <t>Gabriel Otávio De Ávila</t>
  </si>
  <si>
    <t>Rony Dos Santos Neves</t>
  </si>
  <si>
    <t>Guilherme Fernandes Da Silva</t>
  </si>
  <si>
    <t>Graziela Antunes Goncalves</t>
  </si>
  <si>
    <t>Angela De Fátima Cezario Maia</t>
  </si>
  <si>
    <t>Ivânia Lays De Lima Dutra</t>
  </si>
  <si>
    <t>Kecy Araujo Passos</t>
  </si>
  <si>
    <t>Letícia Batista Pereira Cristino</t>
  </si>
  <si>
    <t>Igor Renan Dias Pereira</t>
  </si>
  <si>
    <t>Izabela Letícia Costa Ferreira</t>
  </si>
  <si>
    <t>Maria Cristina De Melo</t>
  </si>
  <si>
    <t>Gabriel Naves De Araújo</t>
  </si>
  <si>
    <t>Danielle Pereira De Moraes</t>
  </si>
  <si>
    <t>Ingrid Kelly Barbosa Silveira</t>
  </si>
  <si>
    <t>Wallison Costa Araujo Dos Santos</t>
  </si>
  <si>
    <t>Giovanna Mendes Regino</t>
  </si>
  <si>
    <t>Marcela Pereira Dos Santos</t>
  </si>
  <si>
    <t>Maria Thayna Da Silva Gomes</t>
  </si>
  <si>
    <t>Nathalia Ferreira Ribeiro</t>
  </si>
  <si>
    <t>Karolyne Patricia Da Silva Soriano</t>
  </si>
  <si>
    <t>Ana Alice Benjamim Gomes Picanço</t>
  </si>
  <si>
    <t>Gabryelle Silva Miranda</t>
  </si>
  <si>
    <t>Matheus Messias Bastos Souza</t>
  </si>
  <si>
    <t>Patricia Fernandes Da Silva</t>
  </si>
  <si>
    <t>Mikaely Vitoria Teles Leite</t>
  </si>
  <si>
    <t>Sara Rayane Souza Sales</t>
  </si>
  <si>
    <t>André Arslan Pereira Lima Caetano</t>
  </si>
  <si>
    <t>Lairton Do Nascimento Lima</t>
  </si>
  <si>
    <t>Bianca Raquel De Lima Silva</t>
  </si>
  <si>
    <t>Dannyla Pereira Souza</t>
  </si>
  <si>
    <t>Maria Helena Macedo Truta De Queiroz</t>
  </si>
  <si>
    <t>Lindoflávia Miron Da Silva</t>
  </si>
  <si>
    <t>Alex Sandro Souza Santos</t>
  </si>
  <si>
    <t>Lorrainny Cabral Silva</t>
  </si>
  <si>
    <t>Carla Suellen Vieira Bezerra Da Silva</t>
  </si>
  <si>
    <t>Jéssica Mirelly Dantas De Melo</t>
  </si>
  <si>
    <t>Yanne Karolyne De Oliveira Souza</t>
  </si>
  <si>
    <t>Erica Gomes Dos Santos</t>
  </si>
  <si>
    <t>Eliana Dos Santos Cirqueira</t>
  </si>
  <si>
    <t>Beatriz Regis Barbosa</t>
  </si>
  <si>
    <t>Julia Da Mata Lemes Silva</t>
  </si>
  <si>
    <t>Emily Eduarda Pinheiro Brandão</t>
  </si>
  <si>
    <t>Eduarda Cândido De Morais Silva</t>
  </si>
  <si>
    <t>Ilda Josiele Morais Rodrigues</t>
  </si>
  <si>
    <t>Iramar Santos Pereira</t>
  </si>
  <si>
    <t>Divina Cléia Silva Santos</t>
  </si>
  <si>
    <t>Radson Rocha De Andrade</t>
  </si>
  <si>
    <t>Matheus Rodrigues De Souza</t>
  </si>
  <si>
    <t>Maria Cláudia Ferreira Gomes</t>
  </si>
  <si>
    <t>Paulo Henrique Ferreira Dos Santos</t>
  </si>
  <si>
    <t>Hellen Ferreira Rodrigues</t>
  </si>
  <si>
    <t>Mirelly Gonçalves Neto</t>
  </si>
  <si>
    <t>Vithoria Caroline Souza Dos Santos</t>
  </si>
  <si>
    <t>Vitória Caroline Cardoso Da Rocha</t>
  </si>
  <si>
    <t>Gabriel Ferreira Assunção</t>
  </si>
  <si>
    <t>Kelly Larissa Torquato De Araújo</t>
  </si>
  <si>
    <t>Gehovanna Sttéfany Parreira De Oliveira</t>
  </si>
  <si>
    <t>Bruna De Sousa Freres</t>
  </si>
  <si>
    <t>Silvia Lorrayne Moreira De Sousa</t>
  </si>
  <si>
    <t>Geovanna Lays Silva</t>
  </si>
  <si>
    <t>Geovanna Pereira De Castro Da Silva</t>
  </si>
  <si>
    <t>Luis Felipe Felix Dos Santos</t>
  </si>
  <si>
    <t>Gustavo Martins Rodrigues Alves</t>
  </si>
  <si>
    <t>Ana Karine De Albuquerque Alves</t>
  </si>
  <si>
    <t>Carlos Alberto Morais Filho</t>
  </si>
  <si>
    <t>Camille Vitória Gomes Monteiro</t>
  </si>
  <si>
    <t>Allany Lopes Da Silva</t>
  </si>
  <si>
    <t>Lohany De Lourdes Soares Monteiro</t>
  </si>
  <si>
    <t>Rike Mark Bezerra De Holanda Galindo</t>
  </si>
  <si>
    <t>Eulânia De Carvalho Mires</t>
  </si>
  <si>
    <t>Ana Vitória Nascimento Silva</t>
  </si>
  <si>
    <t>Maria Thamyris Gomes Pereira</t>
  </si>
  <si>
    <t>Fernanda Sales De Oliveira</t>
  </si>
  <si>
    <t>Rafael De Souza Roriz</t>
  </si>
  <si>
    <t>Gleyciane Do Socorro Brito De Sousa</t>
  </si>
  <si>
    <t>Anderson Rodolfo Lopes Da Silva</t>
  </si>
  <si>
    <t>João Pedro Tavares Pereira</t>
  </si>
  <si>
    <t>Elton Gonçalves Sousa</t>
  </si>
  <si>
    <t>Gustavo Ricardo De Oliveira</t>
  </si>
  <si>
    <t>Lorraine Paulista Sucena</t>
  </si>
  <si>
    <t>Emilly Dayane Carlos Paulino</t>
  </si>
  <si>
    <t>Karine Cristiane França Da Silva</t>
  </si>
  <si>
    <t>Maria Gardênia Dos Santos Nogueira</t>
  </si>
  <si>
    <t>Maria Joycilane Da Silva</t>
  </si>
  <si>
    <t>Brenda Lorrane Xavier De Araujo</t>
  </si>
  <si>
    <t>Alexandra Araújo Lindemberg</t>
  </si>
  <si>
    <t>Geovanna Almeida Basilio</t>
  </si>
  <si>
    <t>Lucas Claudino Da Silva</t>
  </si>
  <si>
    <t>Aline Barbosa Santos Costa</t>
  </si>
  <si>
    <t>Melissa Emanuelly Martins Da Silva</t>
  </si>
  <si>
    <t>Leticia Batista De Oliveira</t>
  </si>
  <si>
    <t>Jaqueline De Sousa Ferreira</t>
  </si>
  <si>
    <t>Raiane De Medeiros Gomes</t>
  </si>
  <si>
    <t>Natália Araújo De Vasconcelos Meira</t>
  </si>
  <si>
    <t>Evelyn Santana Gomes De Andrade</t>
  </si>
  <si>
    <t>Ricardo Henrique Rodrigues Gaudencio</t>
  </si>
  <si>
    <t>Ellen Cristina Pereira Da Silva</t>
  </si>
  <si>
    <t>Wanderley Ferreira Pinto</t>
  </si>
  <si>
    <t>Vannucia Lima Nunes</t>
  </si>
  <si>
    <t>Felipe Welton Ferreira</t>
  </si>
  <si>
    <t>Daiany Elias Da Silva</t>
  </si>
  <si>
    <t>Ianne Thairla De Matos Lima</t>
  </si>
  <si>
    <t>Daniel Jose Do Nascimento</t>
  </si>
  <si>
    <t>Luciana Novais Luz Gaidos</t>
  </si>
  <si>
    <t>Joana Milena Duarte Silva</t>
  </si>
  <si>
    <t>Maria Eduarda De Oliveira Cavalcante</t>
  </si>
  <si>
    <t>Jose Israel De Lima Neto</t>
  </si>
  <si>
    <t>Ozana Bezerra Da Silva</t>
  </si>
  <si>
    <t>Caroline Fialho Lima</t>
  </si>
  <si>
    <t>Vânia Cristina De Morais</t>
  </si>
  <si>
    <t>Maria Vitória Gonçalves Toledo</t>
  </si>
  <si>
    <t>William Jose Oliveira Da Silva</t>
  </si>
  <si>
    <t>Naara Vitória De Albuquerque Alves</t>
  </si>
  <si>
    <t>Rayze Beatriz Mangueira Valentim Dos Santos</t>
  </si>
  <si>
    <t>Sâmmara Eduarda Cardoso Cordeiro</t>
  </si>
  <si>
    <t>Alexandre Alcântara Ferreira</t>
  </si>
  <si>
    <t>Eduarda Vitória Messias Paiva</t>
  </si>
  <si>
    <t>Paula Yonara De Brito Mendes</t>
  </si>
  <si>
    <t>Débora Nayara Carneiro Da Silva</t>
  </si>
  <si>
    <t>Paula Monick De Oliveira Gomes</t>
  </si>
  <si>
    <t>Laryssa Daniele Alves Gomes</t>
  </si>
  <si>
    <t>Daniel Bernardo De Lima</t>
  </si>
  <si>
    <t>Marcos Henrique De Oliveira</t>
  </si>
  <si>
    <t>Yalle Tainá Cezias Zacarias</t>
  </si>
  <si>
    <t>Adriana Da Paixão</t>
  </si>
  <si>
    <t>João Felipe Dos Santos Silva</t>
  </si>
  <si>
    <t>Eliane Da Silva Coelho</t>
  </si>
  <si>
    <t>Vivian Da Silva Justino</t>
  </si>
  <si>
    <t>Caroline De Queiroz Braga</t>
  </si>
  <si>
    <t>Alexandre Rodrigues Da Silva</t>
  </si>
  <si>
    <t>Rosieli Vieira Dias</t>
  </si>
  <si>
    <t>Geiciele Ataide Peres de Lima</t>
  </si>
  <si>
    <t>Antonia Patricia Da Silva Brito</t>
  </si>
  <si>
    <t>Fabiana Azevedo Dourado</t>
  </si>
  <si>
    <t>Jefferson Wisley Farias Saldanha</t>
  </si>
  <si>
    <t>Denise Oliveira Rego</t>
  </si>
  <si>
    <t>Suzanira Silva Dos Santos</t>
  </si>
  <si>
    <t>Débora Cristina Conceição Da Silva</t>
  </si>
  <si>
    <t>Pedro Luis De Souza Cunha</t>
  </si>
  <si>
    <t>Marcelo Ricardo Balieiro Cardoso</t>
  </si>
  <si>
    <t>Claudio Luis Barbosa Nogueira</t>
  </si>
  <si>
    <t>Estefania Ferreira Lima</t>
  </si>
  <si>
    <t>Clarice Borges Da Silva Oliveira</t>
  </si>
  <si>
    <t>Cristiane Pereira Da Silva</t>
  </si>
  <si>
    <t>Celeste Carvalho Da Silva</t>
  </si>
  <si>
    <t>Patricia Silva Martins</t>
  </si>
  <si>
    <t>Raquel De Moura</t>
  </si>
  <si>
    <t>Samanta Kleemann</t>
  </si>
  <si>
    <t>Rogério Alves Monteiro</t>
  </si>
  <si>
    <t>Paulo Victor De Souza Costa</t>
  </si>
  <si>
    <t>Bruno Da Silva Santos</t>
  </si>
  <si>
    <t>Tatiane Da Costa Lima</t>
  </si>
  <si>
    <t>Cleydiane Barroncas Nascimento</t>
  </si>
  <si>
    <t>Suellem Moraes Lobato</t>
  </si>
  <si>
    <t>Edenildo Santana Souza</t>
  </si>
  <si>
    <t>Maria Margarida Leal Soares</t>
  </si>
  <si>
    <t>Murilo Bueno Da Silva</t>
  </si>
  <si>
    <t>Nadia Amorim De Siqueira</t>
  </si>
  <si>
    <t>Mauricio Dos Santos Teodoro</t>
  </si>
  <si>
    <t>Camila Patricia Palmeira Pereira</t>
  </si>
  <si>
    <t>Eliane Dos Santos Bastos</t>
  </si>
  <si>
    <t>Bruna Soares De Queiroz</t>
  </si>
  <si>
    <t>Gilzane Cordeiro Da Silva</t>
  </si>
  <si>
    <t>Leonardo Figueiredo Santiago</t>
  </si>
  <si>
    <t>Miguel Sebastiao Das Chagas</t>
  </si>
  <si>
    <t>Silvana Gonçalves Leão</t>
  </si>
  <si>
    <t>Andreia Lopes Ethur</t>
  </si>
  <si>
    <t>Gleiciane Silva Maia</t>
  </si>
  <si>
    <t>Givonete Gomes Dos Santos</t>
  </si>
  <si>
    <t>José Francisco Da Silva Neto</t>
  </si>
  <si>
    <t>Gibson Rocha De Araújo</t>
  </si>
  <si>
    <t>Rosiane Maria Silva Rodrigues</t>
  </si>
  <si>
    <t>Ailton Peixoto Damasceno</t>
  </si>
  <si>
    <t>Edna Fidelis Da Silva</t>
  </si>
  <si>
    <t>Jennifer Virginia Barbosa</t>
  </si>
  <si>
    <t>Ana Paula Da Silva Cunha</t>
  </si>
  <si>
    <t>Hernane Felipe Dos Santos</t>
  </si>
  <si>
    <t>Letícia Leite Lisbôa</t>
  </si>
  <si>
    <t>Darlene Fabiana Pereira Carvalho Caldeira</t>
  </si>
  <si>
    <t>Leonardo Santos Machado</t>
  </si>
  <si>
    <t>Aline Ferreira Dos Santos</t>
  </si>
  <si>
    <t>William Cassiano Da Matta</t>
  </si>
  <si>
    <t>Mônica Aparecida Freitas Nascimento</t>
  </si>
  <si>
    <t>Carlos Alberto De Mello</t>
  </si>
  <si>
    <t>Giovana Cavalcante Soares</t>
  </si>
  <si>
    <t>Clemilson Sousa De França</t>
  </si>
  <si>
    <t>Rodolfo Afonso Fialho Pantoja</t>
  </si>
  <si>
    <t>Edinamar Rosania De Lima De Paula</t>
  </si>
  <si>
    <t>Karla Lorraine Pereira Morais</t>
  </si>
  <si>
    <t>Ednaide Betania De Lima</t>
  </si>
  <si>
    <t>Ellen Cristina Andrade Costa</t>
  </si>
  <si>
    <t>Marcos Antônio De Melo</t>
  </si>
  <si>
    <t>Ludmilla Lima Rabach</t>
  </si>
  <si>
    <t>Rafaela Rodrigues Da Silva</t>
  </si>
  <si>
    <t>Greicyane Farias Neto</t>
  </si>
  <si>
    <t>Ellen Sayuri Mateus Matsukura</t>
  </si>
  <si>
    <t>Josmar Marques Da Costa</t>
  </si>
  <si>
    <t>Lisete Scheffer</t>
  </si>
  <si>
    <t>Jorgeany Lima Cardoso</t>
  </si>
  <si>
    <t>Gercyvane Carvalho De Aquino</t>
  </si>
  <si>
    <t>Glaucia Correa Ribeiro Araujo</t>
  </si>
  <si>
    <t>Lidyanne Serrão Ferreira</t>
  </si>
  <si>
    <t>Mirtes Eliane De Oliveira</t>
  </si>
  <si>
    <t>Simone Bergantini Ferreira</t>
  </si>
  <si>
    <t>Byanca De Sousa Furtado</t>
  </si>
  <si>
    <t>Francineide Feitosa Do Monte</t>
  </si>
  <si>
    <t>Lamartine Levandovski De Castro</t>
  </si>
  <si>
    <t>Maria Iraneide Rodrigues</t>
  </si>
  <si>
    <t>Vania Magalhaes De Jesus</t>
  </si>
  <si>
    <t>Izabel Pinheiro Da Silva</t>
  </si>
  <si>
    <t>Cristina de Abreu Pereira</t>
  </si>
  <si>
    <t>Jandson Oliveira Jamel</t>
  </si>
  <si>
    <t>Roberval Vitorino De Moura</t>
  </si>
  <si>
    <t>Luciano Borges Garcia</t>
  </si>
  <si>
    <t>Alessandro Santos Morales</t>
  </si>
  <si>
    <t>Lia Maria Lima Barros</t>
  </si>
  <si>
    <t>José Custódio De Souza Neto</t>
  </si>
  <si>
    <t>Geraldo Pierry Costa Brant</t>
  </si>
  <si>
    <t>Jasiel Maria Da Silva Nascimento</t>
  </si>
  <si>
    <t>Jucineia Da Silva Moreira</t>
  </si>
  <si>
    <t>Roberto Carlos Bezerra Cavalcanti</t>
  </si>
  <si>
    <t>Gloria Fernandes Couto</t>
  </si>
  <si>
    <t>Katia Aparecida Pereira</t>
  </si>
  <si>
    <t>Mônica Aparecida De Almeida Sousa</t>
  </si>
  <si>
    <t>Imaculada Conceição Freire Barbosa</t>
  </si>
  <si>
    <t>André Luís Santos Muniz</t>
  </si>
  <si>
    <t>Manuela Doria Pereira Andrade</t>
  </si>
  <si>
    <t>Marcos Rodrigues Pena Da Silva</t>
  </si>
  <si>
    <t>Uilian De Souza Pimenta</t>
  </si>
  <si>
    <t>Ana Lúcia Alves Da Silva</t>
  </si>
  <si>
    <t>Ivone Boaventura Dos Santos</t>
  </si>
  <si>
    <t>Ana Claudia Ferreira Reis</t>
  </si>
  <si>
    <t>Dianna Ribeiro Lopes</t>
  </si>
  <si>
    <t>Adson Augusto Gomes Dos Reis</t>
  </si>
  <si>
    <t>Ricardo Dos Santos De Jesus</t>
  </si>
  <si>
    <t>Ronison Viana De Almeida</t>
  </si>
  <si>
    <t>Oton George Da Conceição Pereira</t>
  </si>
  <si>
    <t>Patricia Teixeira De Araújo</t>
  </si>
  <si>
    <t>Maria Rita Dos Santos</t>
  </si>
  <si>
    <t>Rosangela Carvalho Assuncao</t>
  </si>
  <si>
    <t>Antonio Fernando Souza Muniz De Jesus</t>
  </si>
  <si>
    <t>Ana Paula De Jesus Rodrigues</t>
  </si>
  <si>
    <t>Edilza Dos Santos Souza</t>
  </si>
  <si>
    <t>Jane Vanuza Lasch</t>
  </si>
  <si>
    <t>Danilo Montalvão Pedrosa</t>
  </si>
  <si>
    <t>Geraldo Da Silva Araújo</t>
  </si>
  <si>
    <t>Milene Osseily Garces</t>
  </si>
  <si>
    <t>Maria Cicera Da Silva Pereira</t>
  </si>
  <si>
    <t>Rudineres Santos Brito</t>
  </si>
  <si>
    <t>Gildecí Ribeiro Dos Santos</t>
  </si>
  <si>
    <t>Diego Willian Deniur Moraes</t>
  </si>
  <si>
    <t>Jerlan França Machado</t>
  </si>
  <si>
    <t>Francenilton Sampaio Dos Santos</t>
  </si>
  <si>
    <t>Marcus Vinicius Cordeiro Do Nascimento</t>
  </si>
  <si>
    <t>Meire Rose Santana Botelho Dos Santos</t>
  </si>
  <si>
    <t>Antonio Luiz Silva Ribeiro</t>
  </si>
  <si>
    <t>Rosenildo Rocha Matos</t>
  </si>
  <si>
    <t>Joselita Lima Da Silva</t>
  </si>
  <si>
    <t>Emerson Vicente Dos Santos Nascimento</t>
  </si>
  <si>
    <t>Fernanda Daniele De Sousa Amorim</t>
  </si>
  <si>
    <t>Luciano De Oliveira Carvalho</t>
  </si>
  <si>
    <t>Luis Cesar Sell</t>
  </si>
  <si>
    <t>Fabio De Sousa Guedes</t>
  </si>
  <si>
    <t>Aline Lana Alcantara Gomes</t>
  </si>
  <si>
    <t>Josevalda Dos Santos Veloso</t>
  </si>
  <si>
    <t>Sandra Maria Almeida Melo</t>
  </si>
  <si>
    <t>Gilka Oliveira De Mendonça</t>
  </si>
  <si>
    <t>Andrea Bomfim Koch</t>
  </si>
  <si>
    <t>Esmeralda Rosa de Sousa</t>
  </si>
  <si>
    <t>Andreza Oliveira Figueira</t>
  </si>
  <si>
    <t>Gabriele Galvão Araújo</t>
  </si>
  <si>
    <t>Willian Pereira Santana</t>
  </si>
  <si>
    <t>Janaína Brites</t>
  </si>
  <si>
    <t>Leonide Martins Moreno</t>
  </si>
  <si>
    <t>Fabiola Amorim De Castro</t>
  </si>
  <si>
    <t>Claudio Cascardo</t>
  </si>
  <si>
    <t>Lívia Araujo Cardoso</t>
  </si>
  <si>
    <t>Ilda Aparecida De Amorim Franco</t>
  </si>
  <si>
    <t>Fabiana Lima Santos</t>
  </si>
  <si>
    <t>Flavia Monteiro Cavalcante</t>
  </si>
  <si>
    <t>Josinaldo Fernandes De Souza</t>
  </si>
  <si>
    <t>Darlete Campos De Oliveira</t>
  </si>
  <si>
    <t>José Raimundo Rocha Silva</t>
  </si>
  <si>
    <t>Mauricio Silva Estrela</t>
  </si>
  <si>
    <t>Marilucia Lopes Viana</t>
  </si>
  <si>
    <t>Angela Borges Argolo</t>
  </si>
  <si>
    <t>Enrica Ranno</t>
  </si>
  <si>
    <t>João Paulo Vieira De Sá Telles</t>
  </si>
  <si>
    <t>Jaciara Da Silva Cruz</t>
  </si>
  <si>
    <t>Jairse Gonçalves Soares</t>
  </si>
  <si>
    <t>Cleomenes Santos Silva</t>
  </si>
  <si>
    <t>Daniela Vasconcelos Dos Santos</t>
  </si>
  <si>
    <t>Inglith Lima De Almeida</t>
  </si>
  <si>
    <t>Lucimar Antunes De Souza Ribeiro César</t>
  </si>
  <si>
    <t>Lavínia De Fátima Tenório Da Silva</t>
  </si>
  <si>
    <t>Felicíssimo Cícero Rodrigues</t>
  </si>
  <si>
    <t>Verônica Ferreira Nadier</t>
  </si>
  <si>
    <t>Jafe Ferreira De Souza</t>
  </si>
  <si>
    <t>Rita Priscila Gonçalves Guedes Moura</t>
  </si>
  <si>
    <t>Claudia Santana De Jesus</t>
  </si>
  <si>
    <t>Regiane Nascimento Silva</t>
  </si>
  <si>
    <t>Nilva Romagnoli</t>
  </si>
  <si>
    <t>Darlene Cristina De Sousa Vieira</t>
  </si>
  <si>
    <t>Ana Cláudia Santana Da Silva Santos</t>
  </si>
  <si>
    <t>Jefferson Damasceno Dos Santos</t>
  </si>
  <si>
    <t>Edinelson Andrade Da Costa</t>
  </si>
  <si>
    <t>Anderson Antonio Da Serra Herane</t>
  </si>
  <si>
    <t>Berenice Dos Santos Souza</t>
  </si>
  <si>
    <t>Gilvania De Santana Alves</t>
  </si>
  <si>
    <t>Tamires De Araújo Lima</t>
  </si>
  <si>
    <t>Jose Augusto Souza Pereira</t>
  </si>
  <si>
    <t>Talita Magalhaes Nunes Dos Santos</t>
  </si>
  <si>
    <t>Anderson Chaves Araujo</t>
  </si>
  <si>
    <t>Renata Da Cunha Santos</t>
  </si>
  <si>
    <t>Eleazar De Lima De Campos</t>
  </si>
  <si>
    <t>Barbara Santos Da Anunciacao</t>
  </si>
  <si>
    <t>Silver Jacqueline Nascimento Caldas</t>
  </si>
  <si>
    <t>Cintia Camila Cardoso Almeida</t>
  </si>
  <si>
    <t>Magnolia Da Silva Bezerra</t>
  </si>
  <si>
    <t>Janea Lopes de Souza</t>
  </si>
  <si>
    <t>Vanessa Marques Batista Silva</t>
  </si>
  <si>
    <t>Roneson Fortes Dos Santos</t>
  </si>
  <si>
    <t>Ilcilane Bentes Ferreira</t>
  </si>
  <si>
    <t>Ivan Pinto Bomfim</t>
  </si>
  <si>
    <t>Lilia Cristiane Silva De Oliveira</t>
  </si>
  <si>
    <t>Luciano Rodrigues Dos Santos</t>
  </si>
  <si>
    <t>Elizangela Ferreira Bastos</t>
  </si>
  <si>
    <t>Riosney Fagundes Ferreira Da Silva</t>
  </si>
  <si>
    <t>Noemi Pereira Barreto</t>
  </si>
  <si>
    <t>Adalgiza Nunes Da Silva</t>
  </si>
  <si>
    <t>Eraldo Ferreira De Oliveira</t>
  </si>
  <si>
    <t>Ricardo Gonçalves De Almeida</t>
  </si>
  <si>
    <t>Valdemi Neves Reis</t>
  </si>
  <si>
    <t>Eliane De Fatima Maciel De Oliveira</t>
  </si>
  <si>
    <t>Gabrielle Victor Gregório</t>
  </si>
  <si>
    <t>Francisca Da Silva E Silva</t>
  </si>
  <si>
    <t>Alexsandra Ferreira Marcondes</t>
  </si>
  <si>
    <t>Lazaro De Almeida Ferreira</t>
  </si>
  <si>
    <t>Liciane Barbosa Parente</t>
  </si>
  <si>
    <t>Suelen Dos Santos Joaquim</t>
  </si>
  <si>
    <t>Samára Nascimento Soares Silva</t>
  </si>
  <si>
    <t>Deise Machado Da Rosa</t>
  </si>
  <si>
    <t>Marcela Melo Almeida</t>
  </si>
  <si>
    <t>Angélica Brito Santana Dos Santos</t>
  </si>
  <si>
    <t>Rafael Jorge Da Silva Rodrigues</t>
  </si>
  <si>
    <t>Mila Ramos Picanço</t>
  </si>
  <si>
    <t>Lourdes Moreira Dos Santos Souza</t>
  </si>
  <si>
    <t>João Carvalho Neto</t>
  </si>
  <si>
    <t>Claudio Dos Santos Soares</t>
  </si>
  <si>
    <t>Elmar Aparecido Dos Santos</t>
  </si>
  <si>
    <t>Jocyany Freitas Da Costa</t>
  </si>
  <si>
    <t>Cid Neusa De Santana Dos Santos</t>
  </si>
  <si>
    <t>Barbara Ita Matos Rigaud</t>
  </si>
  <si>
    <t>Sergio Luiz Oliveira Dos Santos Filho</t>
  </si>
  <si>
    <t>Miriam da Silva Mamede</t>
  </si>
  <si>
    <t>Marta Rodrigues De Araújo Bezerra</t>
  </si>
  <si>
    <t>Rita De Cassia Dos Santos</t>
  </si>
  <si>
    <t>Jheyme Cristina Gonzaga Teixeira</t>
  </si>
  <si>
    <t>Juliana Cristine Caetano</t>
  </si>
  <si>
    <t>Joseandro Soares Da Conceicao</t>
  </si>
  <si>
    <t>Rejane Olimpia De Vasconcelos Pereira</t>
  </si>
  <si>
    <t>Michele Alves Portugal</t>
  </si>
  <si>
    <t>Keila Thalma Silva Oliveira</t>
  </si>
  <si>
    <t>Viviane Bomfim Marinho</t>
  </si>
  <si>
    <t>Edmilson De Oliveira</t>
  </si>
  <si>
    <t>Carla Rita Rosa De Oliveira Barros</t>
  </si>
  <si>
    <t>Cristiane Silva Do Monte</t>
  </si>
  <si>
    <t>Lucas Macedo Miranda Diogenes</t>
  </si>
  <si>
    <t>Carlos Alexandre Fernandes De Souza</t>
  </si>
  <si>
    <t>Uilson Dos Santos</t>
  </si>
  <si>
    <t>Luiz Gleidson Xavier De Morais</t>
  </si>
  <si>
    <t>Isabela Rosendo Dos Santos</t>
  </si>
  <si>
    <t>Eliezer Alves De Meireles</t>
  </si>
  <si>
    <t>Livia Gabriela Mota Santos</t>
  </si>
  <si>
    <t>Kathiane Albuquerque Pereira</t>
  </si>
  <si>
    <t>Demetrius Selau De Lima</t>
  </si>
  <si>
    <t>Wagner Pereira De Oliveira</t>
  </si>
  <si>
    <t>Doris Marra Rodrigues</t>
  </si>
  <si>
    <t>Monaliza Rodrigues Da Cruz</t>
  </si>
  <si>
    <t>Rosa Neide Teixeira Dos Santos</t>
  </si>
  <si>
    <t>Marcia Cristina Alves Antonio</t>
  </si>
  <si>
    <t>Célia Coelho De Almeida</t>
  </si>
  <si>
    <t>Lucio Nascimento Da Silva</t>
  </si>
  <si>
    <t>Sandro José Dos Santos</t>
  </si>
  <si>
    <t>Ramilson Lima De Assis</t>
  </si>
  <si>
    <t>Meirilaine Lucas Teles Cardoso</t>
  </si>
  <si>
    <t>José Wendel Carneiro Barbosa</t>
  </si>
  <si>
    <t>André Luiz Falcão Ribeiro</t>
  </si>
  <si>
    <t>Maria De Jesus Da Silva Oliveira</t>
  </si>
  <si>
    <t>Célio Edio Alves De Alencar</t>
  </si>
  <si>
    <t>Áurea Antônia Lira Da Silva Coutinho</t>
  </si>
  <si>
    <t>Janaina Quadros Sales Da Costa</t>
  </si>
  <si>
    <t>Victoria Karollyne Costa De Sousa</t>
  </si>
  <si>
    <t>Nayla Lauriê Silva Morais</t>
  </si>
  <si>
    <t>Braulio Gonzales Garcia</t>
  </si>
  <si>
    <t>Fabiana De Jesus Pereira</t>
  </si>
  <si>
    <t>Gerlyanno De Sousa Chaves</t>
  </si>
  <si>
    <t>Cláudia Silva Andrade</t>
  </si>
  <si>
    <t>Ivaneide Pereira De Andrade</t>
  </si>
  <si>
    <t>Edlane De Jesus Souza Da Silva</t>
  </si>
  <si>
    <t>Douglas Valadão Da Rosa</t>
  </si>
  <si>
    <t>Sirio Marlo Evangelista</t>
  </si>
  <si>
    <t>Josue Costa Souza</t>
  </si>
  <si>
    <t>Flavia Rocha Da Silva</t>
  </si>
  <si>
    <t>Danielle Rocha Leão Ferraz Moreira</t>
  </si>
  <si>
    <t>Alice Dos Reis Souza</t>
  </si>
  <si>
    <t>Armando Pires Da Silva Filho</t>
  </si>
  <si>
    <t>Alana De Souza Bastos</t>
  </si>
  <si>
    <t>Rosane Brito Fonseca Moriguti</t>
  </si>
  <si>
    <t>Ana Cristina Costa E Silva</t>
  </si>
  <si>
    <t>Claudia Vilhena Moraes De Lima</t>
  </si>
  <si>
    <t>Licia Lima Da Rocha</t>
  </si>
  <si>
    <t>Juliana De Cassia Medeiros Lopes Reis De Oliveira</t>
  </si>
  <si>
    <t>Tâmara Araújo Gomes</t>
  </si>
  <si>
    <t>Adriele De Azevedo Neves</t>
  </si>
  <si>
    <t>Eliene Lisboa De Carvalho</t>
  </si>
  <si>
    <t>Ana Paula De Sousa Nunes</t>
  </si>
  <si>
    <t>Cristiane Maria De Jesus Silva</t>
  </si>
  <si>
    <t>Francisco Roberto De Sousa E Silva</t>
  </si>
  <si>
    <t>Jose Ulisses De Araujo Da Silva</t>
  </si>
  <si>
    <t>Elvis Lemes De Paula</t>
  </si>
  <si>
    <t>Mayana Gonçalves Souza</t>
  </si>
  <si>
    <t>Milena Dias De Oliveira</t>
  </si>
  <si>
    <t>Felipe Do Carmo Santana</t>
  </si>
  <si>
    <t>Cicero Bernardo Da Silva</t>
  </si>
  <si>
    <t>Simone Rodrigues Dos Santos</t>
  </si>
  <si>
    <t>Carlos Alexandre Barreiros De Castilho</t>
  </si>
  <si>
    <t>Adam De Pádua Da Cunha Gouveia</t>
  </si>
  <si>
    <t>Adriana Tomé Vieira</t>
  </si>
  <si>
    <t>Graziele Da Silva Bomfim</t>
  </si>
  <si>
    <t>Luiz Augusto Quezado Bezerra</t>
  </si>
  <si>
    <t>Naime Ali Fares Dias</t>
  </si>
  <si>
    <t>Eridan Fernandes De Souza</t>
  </si>
  <si>
    <t>Augusto Faustino Da Silva</t>
  </si>
  <si>
    <t>Cristiele Borges Da Silva</t>
  </si>
  <si>
    <t>Rosilene Pereira Da Silva</t>
  </si>
  <si>
    <t>Mariana Librelotto Muller</t>
  </si>
  <si>
    <t>Raquel Leonardo</t>
  </si>
  <si>
    <t>Josimar Martins Do Vale Junior</t>
  </si>
  <si>
    <t>Livio Pereira Rodrigues Trindade</t>
  </si>
  <si>
    <t>Roselane Da Silva Mopes</t>
  </si>
  <si>
    <t>Lediane Palheta De Lima</t>
  </si>
  <si>
    <t>Luciene De Freitas Pimenta</t>
  </si>
  <si>
    <t>Jaisson De Castro Dacio</t>
  </si>
  <si>
    <t>Alexandra Meneses</t>
  </si>
  <si>
    <t>Orlando Moreira Araújo Júnior</t>
  </si>
  <si>
    <t>Jéssica Borges De Jesus</t>
  </si>
  <si>
    <t>Talita Silva Santos De Jesus</t>
  </si>
  <si>
    <t>Maria Lucia Moura De Carvalho</t>
  </si>
  <si>
    <t>Rogério Santos De Oliveira</t>
  </si>
  <si>
    <t>Filipe Antonio Prazeres Matos</t>
  </si>
  <si>
    <t>Camila Rafael Dos Santos</t>
  </si>
  <si>
    <t>Ronaldo Martins Vieira</t>
  </si>
  <si>
    <t>Paulo Ricardo Dourado Da Silva</t>
  </si>
  <si>
    <t>Edinho Terra Dos Santos</t>
  </si>
  <si>
    <t>Suely Silva De Sousa</t>
  </si>
  <si>
    <t>Heliton Santos Melo</t>
  </si>
  <si>
    <t>Mariza Sousa Pires</t>
  </si>
  <si>
    <t>Aline Fonseca Matos</t>
  </si>
  <si>
    <t>Lais De Almeida Cruz Dos Santos</t>
  </si>
  <si>
    <t>Joseval Tosta Bispo Junior</t>
  </si>
  <si>
    <t>Raique Galeão Britto</t>
  </si>
  <si>
    <t>Romário Brito Dos Santos</t>
  </si>
  <si>
    <t>Maria Das Graças Vieira Dos Santos Silva</t>
  </si>
  <si>
    <t>Ana Carla Ferreira Oliveira</t>
  </si>
  <si>
    <t>Jéssica Dos Santos Menezes</t>
  </si>
  <si>
    <t>Ingrid Medina Pereira</t>
  </si>
  <si>
    <t>Marcos Antonio De Sá</t>
  </si>
  <si>
    <t>Caroline Oliveira Dos Santos</t>
  </si>
  <si>
    <t>Orlando Coelho Junior</t>
  </si>
  <si>
    <t>Breno Morais Dos Santos</t>
  </si>
  <si>
    <t>Liliane Barros Idalino</t>
  </si>
  <si>
    <t>Sônia Ferreira Lopes</t>
  </si>
  <si>
    <t>Andressa Martins Da Silva Carvalho</t>
  </si>
  <si>
    <t>Celenalva Dos Santos Da Anunciação</t>
  </si>
  <si>
    <t>Samuel Silva Alcântara</t>
  </si>
  <si>
    <t>Cleice Daiane Neves Conceição</t>
  </si>
  <si>
    <t>Meiriély Mendes De Souza Pereira Gama</t>
  </si>
  <si>
    <t>Ricaely De Souza Pinez</t>
  </si>
  <si>
    <t>Jenifer Oliveira Bispo Dos Santos</t>
  </si>
  <si>
    <t>Cleber Francisco Da Silva</t>
  </si>
  <si>
    <t>Raiane Silva De Jesus</t>
  </si>
  <si>
    <t>Ranna Katarine Da Silva Gonçalves</t>
  </si>
  <si>
    <t>Iasmim Agra Cavalcante</t>
  </si>
  <si>
    <t>Liliam Bispo Dos Santos</t>
  </si>
  <si>
    <t>Isabel Ramos Santos</t>
  </si>
  <si>
    <t>Vanessa Ferreira Santos</t>
  </si>
  <si>
    <t>Raylana Enaly Santos Nascimento</t>
  </si>
  <si>
    <t>Géssica Vieira Moreira</t>
  </si>
  <si>
    <t>Anny Caroline Alcântara De Menezes</t>
  </si>
  <si>
    <t>Cailan Costa Passos</t>
  </si>
  <si>
    <t>Antonio Celiomar De Souza Valadão</t>
  </si>
  <si>
    <t>Renata Sibele Oliveira De Siqueira</t>
  </si>
  <si>
    <t>Yure De Oliveira Silva</t>
  </si>
  <si>
    <t>Alice Santos Silva</t>
  </si>
  <si>
    <t>Jéssica De Araújo Silva</t>
  </si>
  <si>
    <t>Emilly Emanoelle Da Silva Santos Souza</t>
  </si>
  <si>
    <t>Jackson Dourado Alencar</t>
  </si>
  <si>
    <t>Joseli Ribeiro Dos Santos Lemos</t>
  </si>
  <si>
    <t>Angélica Luz Silva</t>
  </si>
  <si>
    <t>Micaele Alves Machado</t>
  </si>
  <si>
    <t>Crislane Conceição De Souza</t>
  </si>
  <si>
    <t>Flávia Brito Dos Santos</t>
  </si>
  <si>
    <t>Nathalya Nascimento Neto</t>
  </si>
  <si>
    <t>Marclebia Machado De Queiroz</t>
  </si>
  <si>
    <t>Julivan Araújo Souza Santos</t>
  </si>
  <si>
    <t>Rosimar Barbosa Sotero Martinz</t>
  </si>
  <si>
    <t>Jonas Oliveira Reis</t>
  </si>
  <si>
    <t>Juliana De Jesus Carvalho</t>
  </si>
  <si>
    <t>Martiniano Antonio Da Cruz</t>
  </si>
  <si>
    <t>Bruna Isis Da Paixão Santos</t>
  </si>
  <si>
    <t>Vitória Dos Santos Silva</t>
  </si>
  <si>
    <t>Yane Rodrigues De Paula</t>
  </si>
  <si>
    <t>Everton Costa De Paiva</t>
  </si>
  <si>
    <t>Sara Andrade Menezes</t>
  </si>
  <si>
    <t>Divina Eliangela Dos Reis De Souza Neto</t>
  </si>
  <si>
    <t>Karen Layane Santos De Souza</t>
  </si>
  <si>
    <t>Tayla Chaves Soares</t>
  </si>
  <si>
    <t>Mayara Martina Dos Santos Sá</t>
  </si>
  <si>
    <t>Nubia Lopes Dos Anjos</t>
  </si>
  <si>
    <t>Igor Fernando Santos Das Neves</t>
  </si>
  <si>
    <t>Luana Alves Dos Santos</t>
  </si>
  <si>
    <t>Ediuza Pinheiro De Souza</t>
  </si>
  <si>
    <t>Fernanda Raniery Silva Dos Santos</t>
  </si>
  <si>
    <t>Tony Ferreira Dos Santos Júnior</t>
  </si>
  <si>
    <t>Sarah Karoline Da Silva Barbosa</t>
  </si>
  <si>
    <t>Jean Hilaire Junior Paul</t>
  </si>
  <si>
    <t>Samira Alves Barboza</t>
  </si>
  <si>
    <t>Vanyelle Oliveira Silva Braga</t>
  </si>
  <si>
    <t>Ana Caroline Santos Longo</t>
  </si>
  <si>
    <t>Alexsandro Salvatore do Ramo Correia de Araújo</t>
  </si>
  <si>
    <t>Vinicius Dos Anjos Oliveira</t>
  </si>
  <si>
    <t>Rivaldo Lindolfo Da Silva</t>
  </si>
  <si>
    <t>Solange Da Silva Alves Cabral</t>
  </si>
  <si>
    <t>Gabriel Silva Oliveira</t>
  </si>
  <si>
    <t>Mônica Das Neves Silva</t>
  </si>
  <si>
    <t>Márcio Batista Medeiros</t>
  </si>
  <si>
    <t>Fábio Oliveira Moreno</t>
  </si>
  <si>
    <t>Dayse Souza E Silva</t>
  </si>
  <si>
    <t>Victórya Vieira Da Silva</t>
  </si>
  <si>
    <t>Tatiele Da Costa Almeida Souza</t>
  </si>
  <si>
    <t>Susane Pereira Antonio Constancio</t>
  </si>
  <si>
    <t>Rondes Andrade Diniz</t>
  </si>
  <si>
    <t>Marcia Silva Lage</t>
  </si>
  <si>
    <t>Luciano Guimarães De Freitas</t>
  </si>
  <si>
    <t>Victória Lobins Leão Machado</t>
  </si>
  <si>
    <t>Marcia Da Conceição Dos Santos</t>
  </si>
  <si>
    <t>Marcelo Cristiano Dos Santos</t>
  </si>
  <si>
    <t>Fernanda Pereira Da Silva Procopio</t>
  </si>
  <si>
    <t>Edemilson Souza</t>
  </si>
  <si>
    <t>Mario Da Conceição Augustin Neto</t>
  </si>
  <si>
    <t>Klycia Dos Remedios De Oliveira</t>
  </si>
  <si>
    <t>Everaldo Silva Souza</t>
  </si>
  <si>
    <t>Neuma Francisca Ferreira Barbosa</t>
  </si>
  <si>
    <t>Olga Derkacz</t>
  </si>
  <si>
    <t>Andréa Liliane Carvalho Queiroz</t>
  </si>
  <si>
    <t>Kátia Cristina Da Silva Ferreira Nascimento</t>
  </si>
  <si>
    <t>Daiane De Souza Curico</t>
  </si>
  <si>
    <t>Flávia Adriana De Almeida Lima Souza</t>
  </si>
  <si>
    <t>Elizandra Ferreira Da Silva</t>
  </si>
  <si>
    <t>Graciele Dos Santos Souza</t>
  </si>
  <si>
    <t>Raquel Dos Santos Canella</t>
  </si>
  <si>
    <t>Eridan De Sousa Morais</t>
  </si>
  <si>
    <t>Cacilda Maria De Santana</t>
  </si>
  <si>
    <t>Ruth Da Paz Camargo</t>
  </si>
  <si>
    <t>Tatiana De Souza Barbosa</t>
  </si>
  <si>
    <t>Lucimar Taveira Da Silva</t>
  </si>
  <si>
    <t>Elzir Ferreira Da Silva</t>
  </si>
  <si>
    <t>Flavio Araujo De Jesus</t>
  </si>
  <si>
    <t>Keila Melo Da Silva</t>
  </si>
  <si>
    <t>Luciano Hasper</t>
  </si>
  <si>
    <t>Franciele Ferreira Pinto</t>
  </si>
  <si>
    <t>Kleber Dos Reis Porfirio</t>
  </si>
  <si>
    <t>Juvercina Do Nascimento Fanzi</t>
  </si>
  <si>
    <t>Edicea Soares Silva</t>
  </si>
  <si>
    <t>Missilane Elias De Souza Lopes</t>
  </si>
  <si>
    <t>Joseliane Pereira Mascarenhas</t>
  </si>
  <si>
    <t>Ricardino Lacerda Neto</t>
  </si>
  <si>
    <t>Maria De Lourdes Ferreira De Oliveira Neta</t>
  </si>
  <si>
    <t>Herbert Maracaípe Mendes</t>
  </si>
  <si>
    <t>Sandra Rodrigues Vieira De Resende</t>
  </si>
  <si>
    <t>Joelda Gaia Lisboa</t>
  </si>
  <si>
    <t>Ivani De Melo Ernesto</t>
  </si>
  <si>
    <t>Marcia Barbosa De Oliveira</t>
  </si>
  <si>
    <t>Jose Aparecido Pereira Dos Santos</t>
  </si>
  <si>
    <t>Andreza De Lima Mesquita</t>
  </si>
  <si>
    <t>Edmilson Ribeiro</t>
  </si>
  <si>
    <t>Sandrez Barbosa Dos Santos</t>
  </si>
  <si>
    <t>Girlene Albuquerque Da Silva</t>
  </si>
  <si>
    <t>Lucia Helena Pereira</t>
  </si>
  <si>
    <t>Bianca Almeida Saunier De Alcântara</t>
  </si>
  <si>
    <t>Edilane Cerqueira Da Silva Lisboa</t>
  </si>
  <si>
    <t>Eduardo Jambeiro De Jesus</t>
  </si>
  <si>
    <t>Elisangela Gonçalves De Oliveira</t>
  </si>
  <si>
    <t>Laura Da Cunha Gomes Ribeiro</t>
  </si>
  <si>
    <t>Andrea Gonçalves De Freitas</t>
  </si>
  <si>
    <t>Emilia De Souza Brito</t>
  </si>
  <si>
    <t>Jeff Dos Santos Teixeira</t>
  </si>
  <si>
    <t>Lorraine Anastácia Britto Ribeiro</t>
  </si>
  <si>
    <t>Monica Glaciela Gonçalves De Oliveira</t>
  </si>
  <si>
    <t>Yandra Teixeira Silva</t>
  </si>
  <si>
    <t>Adriano Pontes Belém</t>
  </si>
  <si>
    <t>Aminis Santos Da Silva</t>
  </si>
  <si>
    <t>Marinete Paula Gabreira</t>
  </si>
  <si>
    <t>Clarice Paes Landim</t>
  </si>
  <si>
    <t>Glauce Maria Cordovil Muniz</t>
  </si>
  <si>
    <t>João Paulo Ferreira Da Silva</t>
  </si>
  <si>
    <t>Gutemberg Maia De Béssa</t>
  </si>
  <si>
    <t>Marco Antônio Dornelles</t>
  </si>
  <si>
    <t>Marcos Mota Gama</t>
  </si>
  <si>
    <t>Maria Cristina Santos Mata</t>
  </si>
  <si>
    <t>Antonio Reginaldo Mota Dos Santos</t>
  </si>
  <si>
    <t>Sebastião Pereira De Sales</t>
  </si>
  <si>
    <t>Maria Danielle Brasil De Almeida</t>
  </si>
  <si>
    <t>Ivoneide Costa Pereira Dos Santos</t>
  </si>
  <si>
    <t>Lucineide Dos Santos</t>
  </si>
  <si>
    <t>Alex Da Silva</t>
  </si>
  <si>
    <t>Suelen Rosa Granada</t>
  </si>
  <si>
    <t>Aildes Tereza Dos Santos</t>
  </si>
  <si>
    <t>Jorge Rubens Rodrigues Da Silva</t>
  </si>
  <si>
    <t>Maribel Sotero</t>
  </si>
  <si>
    <t>Marizete Torres Batista</t>
  </si>
  <si>
    <t>Carla Ingrid Apoliana Furtado Rocha</t>
  </si>
  <si>
    <t>Nubio Guimaraes Filho</t>
  </si>
  <si>
    <t>Noelia Fatel De Jesus</t>
  </si>
  <si>
    <t>Maria Da Conceição Pereira Bezerra</t>
  </si>
  <si>
    <t>Luis Jesus Dos Santos</t>
  </si>
  <si>
    <t>Luiz Carlos Dos Santos</t>
  </si>
  <si>
    <t>Reginaldo Santos De Oliveira</t>
  </si>
  <si>
    <t>Claudete Prates De Oliveira</t>
  </si>
  <si>
    <t>Claudio Fabricio Chaves Dos Santos</t>
  </si>
  <si>
    <t>Marcelo De Carvalho Bernardes</t>
  </si>
  <si>
    <t>Eliene José Rodrigues</t>
  </si>
  <si>
    <t>Deisiane Ferreira Da Silva</t>
  </si>
  <si>
    <t>Janaina De Souza Brito</t>
  </si>
  <si>
    <t>Klinge Jose Pinheiro Penna</t>
  </si>
  <si>
    <t>Regiane Correa Seabra</t>
  </si>
  <si>
    <t>Elton Brito Tenório</t>
  </si>
  <si>
    <t>Adriana Maria Lins</t>
  </si>
  <si>
    <t>Cristiane Moreira Da Silva Pinto</t>
  </si>
  <si>
    <t>Eridiane Sousa Dos Santos</t>
  </si>
  <si>
    <t>Zenaide Cristina Da Assunção</t>
  </si>
  <si>
    <t>Luciano Nóbrega De Carvalho</t>
  </si>
  <si>
    <t>Olga Botelho Da Mata</t>
  </si>
  <si>
    <t>Edilene Pereira Batista</t>
  </si>
  <si>
    <t>Eujácio Fernandes Borel</t>
  </si>
  <si>
    <t>Grecy Kelly Barreto Marques Dos Santos</t>
  </si>
  <si>
    <t>Lucineide Alves Da Silva</t>
  </si>
  <si>
    <t>Charles Davi Selpa</t>
  </si>
  <si>
    <t>Gerbeson Vieira De Souza</t>
  </si>
  <si>
    <t>Suelita Batista Fenner José</t>
  </si>
  <si>
    <t>Adriana Pereira Alves</t>
  </si>
  <si>
    <t>Daniele De Paula Santos</t>
  </si>
  <si>
    <t>Terezinha Jesuina Rodrigues De Souza</t>
  </si>
  <si>
    <t>Joyce Mary Ferreira Trillo</t>
  </si>
  <si>
    <t>Kathyuscia Viana De Oliveira</t>
  </si>
  <si>
    <t>Adriana Da Silva Ribeiro</t>
  </si>
  <si>
    <t>Girnalda Bernuth Torres Da Silva</t>
  </si>
  <si>
    <t>Ana Claudia Ferreira Souza</t>
  </si>
  <si>
    <t>Gilmara Alencar Boone</t>
  </si>
  <si>
    <t>Adriane Do Rocio Mlynarczurk</t>
  </si>
  <si>
    <t>Sérgio Luiz Raspante Calado</t>
  </si>
  <si>
    <t>Maria Das Neves Gomes Da Silva</t>
  </si>
  <si>
    <t>Erli Liber De Almeida</t>
  </si>
  <si>
    <t>Andreza Vieira De Matos</t>
  </si>
  <si>
    <t>Aldeck Miscou Lima Da Silva</t>
  </si>
  <si>
    <t>Marilene Dos Santos Mendes</t>
  </si>
  <si>
    <t>Irislane Leal Veloso Barros</t>
  </si>
  <si>
    <t>Claudia Botelho Francisco Dos Santos</t>
  </si>
  <si>
    <t>Jose Augusto Eloy Junior</t>
  </si>
  <si>
    <t>Angela Maria Rocha</t>
  </si>
  <si>
    <t>Solange Ferreira Antunes</t>
  </si>
  <si>
    <t>Lúcio Venicius Da Costa Braga</t>
  </si>
  <si>
    <t>Kennia Soares De Nazare</t>
  </si>
  <si>
    <t>Fabiola Gomes Spagnol</t>
  </si>
  <si>
    <t>Márcia Julice Alves Soares</t>
  </si>
  <si>
    <t>Quesia Barbosa De Paula</t>
  </si>
  <si>
    <t>Tiago Tavares Santos</t>
  </si>
  <si>
    <t>Victória Carolina Teixeira De Souza</t>
  </si>
  <si>
    <t>Denise De Sousa Araujo</t>
  </si>
  <si>
    <t>Maria Dos Remédios De Sousa</t>
  </si>
  <si>
    <t>Gizelle Gomes Carvalho</t>
  </si>
  <si>
    <t>Kelly Cristiane Blanco Guimaraes</t>
  </si>
  <si>
    <t>Vladimir Da Rosa Sampaio</t>
  </si>
  <si>
    <t>Caroline Da Silva Victor Cavalcante Nobrega</t>
  </si>
  <si>
    <t>Kete Pereira De Carvalho</t>
  </si>
  <si>
    <t>Lenuza Deane Bonadeo</t>
  </si>
  <si>
    <t>Elizabeth De Vasconcellos Da Fonseca</t>
  </si>
  <si>
    <t>Anna Sabina De Sousa Inácio</t>
  </si>
  <si>
    <t>Manoel Vasconcelos Neto</t>
  </si>
  <si>
    <t>Jonas Manciki Wai Wai</t>
  </si>
  <si>
    <t>Adriane Silva De Jesus</t>
  </si>
  <si>
    <t>Maria Do Carmo Do Rosário</t>
  </si>
  <si>
    <t>Allan Santos Coelho</t>
  </si>
  <si>
    <t>Fernanda Conceição Simões Dos Reis</t>
  </si>
  <si>
    <t>Wendma Goes Coelho</t>
  </si>
  <si>
    <t>Suellen Priscila Santos Sena</t>
  </si>
  <si>
    <t>Gilmara Da Silva De Almeida</t>
  </si>
  <si>
    <t>Ricardo De Jesus Batista Dos Santos</t>
  </si>
  <si>
    <t>Janaina Ribeiro Da Silva</t>
  </si>
  <si>
    <t>Marco Tulio Vilarinho Andrade</t>
  </si>
  <si>
    <t>Maria José De Azevedo Neta</t>
  </si>
  <si>
    <t>Jakson Sales De Oliveira</t>
  </si>
  <si>
    <t>Thomaz Edson Correa De Oliveira</t>
  </si>
  <si>
    <t>Joás Porfírio Da Costa</t>
  </si>
  <si>
    <t>Valéria Francisca Jesus</t>
  </si>
  <si>
    <t>Rejane Nunes Vieira</t>
  </si>
  <si>
    <t>Marco Polo Sousa Amorim Da Luz</t>
  </si>
  <si>
    <t>Francisca Amanda De Carvalho Pereira</t>
  </si>
  <si>
    <t>Maria Angelica Santos Pereira Fonseca</t>
  </si>
  <si>
    <t>Andrea Dos Santos Leal</t>
  </si>
  <si>
    <t>Averaldo Lopes De Souza</t>
  </si>
  <si>
    <t>Maicon Sousa De Alencar</t>
  </si>
  <si>
    <t>Klissman Da Silva Nunes</t>
  </si>
  <si>
    <t>Leandro Oliveira Da Costa</t>
  </si>
  <si>
    <t>Paulo Cesar Merigo</t>
  </si>
  <si>
    <t>Tatianne Pereira Lopes</t>
  </si>
  <si>
    <t>Teddy Gileno Cassiano Do Nascimento</t>
  </si>
  <si>
    <t>Andreia Da Silva Pereira</t>
  </si>
  <si>
    <t>Ana Paula Sattes Felkl</t>
  </si>
  <si>
    <t>Almerinda Celia De Souza Guida</t>
  </si>
  <si>
    <t>Kelly Sabrina Soares</t>
  </si>
  <si>
    <t>Edilaine Rodrigues Da Silva</t>
  </si>
  <si>
    <t>Silas Rodrigues Da Cruz</t>
  </si>
  <si>
    <t>Lorena Taynar Andrade De Brito</t>
  </si>
  <si>
    <t>Francisco Pereira Lopes</t>
  </si>
  <si>
    <t>Paula Maia Dos Santos</t>
  </si>
  <si>
    <t>Marcia Machado Da Silva</t>
  </si>
  <si>
    <t>Marcela Cristina Albuquerque Macambira Pantoja</t>
  </si>
  <si>
    <t>Ilza Ramos Da Silva</t>
  </si>
  <si>
    <t>Ana Myrian Gomes</t>
  </si>
  <si>
    <t>Jhenyffer Lavigner Farias Da Silva</t>
  </si>
  <si>
    <t>Adeíres Marques Lima</t>
  </si>
  <si>
    <t>Eluane Maria Soares De Oliveira Araujo</t>
  </si>
  <si>
    <t>Nara Cleir Da Silva Trindade</t>
  </si>
  <si>
    <t>Marileide Gomes Da Silva</t>
  </si>
  <si>
    <t>Cristina Baldoino De Sá</t>
  </si>
  <si>
    <t>Mayse Karoline Pereira Viana</t>
  </si>
  <si>
    <t>Liliane Dias Amorim</t>
  </si>
  <si>
    <t>Bóris Rissier De Camargo Govêa</t>
  </si>
  <si>
    <t>Luciane Avila Da Silva</t>
  </si>
  <si>
    <t>Janaína Mesquita Santos</t>
  </si>
  <si>
    <t>Pedro Henrique Pinto Da Silva</t>
  </si>
  <si>
    <t>Charllyanne Christian Silva Do Nascimento</t>
  </si>
  <si>
    <t>Rosilda Alves Dos Santos</t>
  </si>
  <si>
    <t>Maximiliano D Avila Lemes</t>
  </si>
  <si>
    <t>Ana Paula Ferreira Dos Santos</t>
  </si>
  <si>
    <t>Jane Cleia Ferreira Cavalcante</t>
  </si>
  <si>
    <t>Janaína Silva Barboza</t>
  </si>
  <si>
    <t>Kerla Jane De Oliveira Pereira</t>
  </si>
  <si>
    <t>Ricardo Luiz Ferreira Dos Santos</t>
  </si>
  <si>
    <t>Luzivania Souza Da Silva</t>
  </si>
  <si>
    <t>Renata Fernandes Brito</t>
  </si>
  <si>
    <t>Darcy Jane Silva Oliveira</t>
  </si>
  <si>
    <t>Suely Soares Da Silva</t>
  </si>
  <si>
    <t>Andréa Silva Magalhães</t>
  </si>
  <si>
    <t>Edma Priscila Batista De Araújo</t>
  </si>
  <si>
    <t>Greice Kely De Almeida Machado</t>
  </si>
  <si>
    <t>Rivaldo Passos Da Silva</t>
  </si>
  <si>
    <t>Igora Marcia Da Costa Ferreira</t>
  </si>
  <si>
    <t>Roseane Evangelista De Alencar</t>
  </si>
  <si>
    <t>Paulo Magalhães Da Silva</t>
  </si>
  <si>
    <t>Michelle Lima Silva Da Cunha</t>
  </si>
  <si>
    <t>Willames Alves Veras</t>
  </si>
  <si>
    <t>Marlen Luciana Lançoni</t>
  </si>
  <si>
    <t>Wellen De Oliveira Albano Pereira</t>
  </si>
  <si>
    <t>Francismar Alves De Arruda</t>
  </si>
  <si>
    <t>Simone Pereira Ferreira</t>
  </si>
  <si>
    <t>Neuzely De Souza</t>
  </si>
  <si>
    <t>Marcos De Jesus Santos</t>
  </si>
  <si>
    <t>Leila Almeida De Souza</t>
  </si>
  <si>
    <t>Grazielli Lucila Pereira</t>
  </si>
  <si>
    <t>Cristiano Souza De Oliveira</t>
  </si>
  <si>
    <t>Bruna Rodrigues Passos</t>
  </si>
  <si>
    <t>Elidinalva Dos Santos Oliveira</t>
  </si>
  <si>
    <t>Delaine Macedo Nepomuceno</t>
  </si>
  <si>
    <t>Soraya Correia Camelo</t>
  </si>
  <si>
    <t>Liliana Gonçalves De Moura</t>
  </si>
  <si>
    <t>Cristianni Oliveira Leal</t>
  </si>
  <si>
    <t>Alessandro Souza Soares</t>
  </si>
  <si>
    <t>Rosa Adriana Correia Dos Santos</t>
  </si>
  <si>
    <t>Rosiely Lopes De Lima</t>
  </si>
  <si>
    <t>Esmeralda Alves Martins</t>
  </si>
  <si>
    <t>Renata Maria Da Silva</t>
  </si>
  <si>
    <t>Vangela Rolim Do Espírito Santo</t>
  </si>
  <si>
    <t>Apoena Ribeiro Medeiros</t>
  </si>
  <si>
    <t>Lizandra Wanessa Da Silva Teixeira</t>
  </si>
  <si>
    <t>Andréa Lessa Da Silva</t>
  </si>
  <si>
    <t>Claiton Santos Machado</t>
  </si>
  <si>
    <t>Paula Tatiane Da Silva Reis</t>
  </si>
  <si>
    <t>Elaine Da Silva Ventena</t>
  </si>
  <si>
    <t>Alcilene De Oliveira Silva</t>
  </si>
  <si>
    <t>Fernanda Vieira Mesquita</t>
  </si>
  <si>
    <t>Starleth Ariane Santos De Oliveira</t>
  </si>
  <si>
    <t>Renato Evangelista Dos Santos</t>
  </si>
  <si>
    <t>Felipe Lima Da Costa</t>
  </si>
  <si>
    <t>Jaiene Nascimento Ne</t>
  </si>
  <si>
    <t>Vanessa Vidal Da Silveira Da Silva</t>
  </si>
  <si>
    <t>Tânia Maria Belusso</t>
  </si>
  <si>
    <t>Gleiciane Gomes Dos Santos Perez</t>
  </si>
  <si>
    <t>Adao Juliano De Moraes</t>
  </si>
  <si>
    <t>Adicelma Araujo Silva</t>
  </si>
  <si>
    <t>Kelly Do Carmo Almeida</t>
  </si>
  <si>
    <t>Rudney Richard Almeida De Oliveira</t>
  </si>
  <si>
    <t>Márcio Sérgio De Vasconcelos Nascimento</t>
  </si>
  <si>
    <t>Erika Das Neves Nascimento</t>
  </si>
  <si>
    <t>Iracilda Primon Do Nascimento</t>
  </si>
  <si>
    <t>Roque Giusti Junior</t>
  </si>
  <si>
    <t>Ana Paula Guimaraes Marques</t>
  </si>
  <si>
    <t>Paulo Henrique Rodrigues Nunes</t>
  </si>
  <si>
    <t>Luciana Helena Bernardo De Sousa</t>
  </si>
  <si>
    <t>Tamires Anne Favacho Camelo</t>
  </si>
  <si>
    <t>Viviany Rodrigues De Sousa</t>
  </si>
  <si>
    <t>Jacyanne Gama Da Conceição</t>
  </si>
  <si>
    <t>Mirleide Nancy De Souza Sampaio</t>
  </si>
  <si>
    <t>Erivaldo Loureiro Santos</t>
  </si>
  <si>
    <t>Margarida Rosa De Oliveira</t>
  </si>
  <si>
    <t>Ariani Lubacheski Baez</t>
  </si>
  <si>
    <t>Kaio Azevedo E Silva</t>
  </si>
  <si>
    <t>Francinete Silva Matias</t>
  </si>
  <si>
    <t>Francisléia Das Mercês Guimarães Freitas</t>
  </si>
  <si>
    <t>Jeferson Fernandes</t>
  </si>
  <si>
    <t>Jennifer Gomes Da Silva</t>
  </si>
  <si>
    <t>Cícera Telma Costa Cerqueira</t>
  </si>
  <si>
    <t>Elen Caroline Oliveira Haffermann</t>
  </si>
  <si>
    <t>Adriane Faustino Ribeiro</t>
  </si>
  <si>
    <t>Marcos Antonio Tavares Santarem</t>
  </si>
  <si>
    <t>Patricia Rodrigues Ferreira Da Conceição</t>
  </si>
  <si>
    <t>Raimunda Nonata Pereira Melo</t>
  </si>
  <si>
    <t>Clésia Regina Alves Sobrinho</t>
  </si>
  <si>
    <t>Regina Claudia Pereira Albacete</t>
  </si>
  <si>
    <t>Elen Vivian Cardoso Pacheco</t>
  </si>
  <si>
    <t>Iara Mônica Do Carmo Batista</t>
  </si>
  <si>
    <t>Francisco Welington Santiago Da Costa</t>
  </si>
  <si>
    <t>Ivone Teodoro Toledo</t>
  </si>
  <si>
    <t>Luciano Barbosa Dos Santos</t>
  </si>
  <si>
    <t>Marcello Da Costa Badinhani</t>
  </si>
  <si>
    <t>Djavan Costa Da Silva</t>
  </si>
  <si>
    <t>Maria Helena Do Nascimento Carvalho</t>
  </si>
  <si>
    <t>Andréa Nathalia Da Silva Lima</t>
  </si>
  <si>
    <t>Jamison Dos Santos Monteiro</t>
  </si>
  <si>
    <t>Andreia Huff Mendes</t>
  </si>
  <si>
    <t>Keliton Rafael Moraes Morales</t>
  </si>
  <si>
    <t>Jailson Antonio Ferreira Moraes</t>
  </si>
  <si>
    <t>Marcos Pinheiro Pereira</t>
  </si>
  <si>
    <t>Sandra Da Silva Dantas</t>
  </si>
  <si>
    <t>Valquiria Souza Soares Dos Santos</t>
  </si>
  <si>
    <t>Carlos Wanderlan Carneiro Ribeiro</t>
  </si>
  <si>
    <t>Janaina Alvares Araujo</t>
  </si>
  <si>
    <t>Belmiro Batista Dos Santos Filho</t>
  </si>
  <si>
    <t>Lorena Adriele Silva De Oliveira</t>
  </si>
  <si>
    <t>Tiago Ferreira Da Luz</t>
  </si>
  <si>
    <t>Ana Paula Pinheiro Da Rocha</t>
  </si>
  <si>
    <t>Anderson Ricardo Ferreira De Almeida</t>
  </si>
  <si>
    <t>Cristiane Soares Dos Santos Borges</t>
  </si>
  <si>
    <t>Francisca Das Chagas Nogueira Da Silva</t>
  </si>
  <si>
    <t>C) Declaração do imposto de renda do examinando</t>
  </si>
  <si>
    <t>https://dpmzos25m8ivg.cloudfront.net/Documentos/631/00011625511/6310001162551108092023112626.pdf</t>
  </si>
  <si>
    <t>https://dpmzos25m8ivg.cloudfront.net/Documentos/631/00011847255/6310001184725510092023142545.pdf</t>
  </si>
  <si>
    <t>https://dpmzos25m8ivg.cloudfront.net/Documentos/631/00023756136/6310002375613614092023142158.pdf</t>
  </si>
  <si>
    <t>https://dpmzos25m8ivg.cloudfront.net/Documentos/631/00027554163/6310002755416305092023161516.pdf</t>
  </si>
  <si>
    <t>https://dpmzos25m8ivg.cloudfront.net/Documentos/631/00031027261/6310003102726113092023105608.jpeg</t>
  </si>
  <si>
    <t>https://dpmzos25m8ivg.cloudfront.net/Documentos/631/00031716202/6310003171620211092023105952.pdf</t>
  </si>
  <si>
    <t>https://dpmzos25m8ivg.cloudfront.net/Documentos/631/00033369216/6310003336921611092023162805.pdf</t>
  </si>
  <si>
    <t>https://dpmzos25m8ivg.cloudfront.net/Documentos/631/00033668396/6310003366839610092023181034.pdf</t>
  </si>
  <si>
    <t>https://dpmzos25m8ivg.cloudfront.net/Documentos/631/00043888283/6310004388828306092023203052.jpeg</t>
  </si>
  <si>
    <t>https://dpmzos25m8ivg.cloudfront.net/Documentos/631/00046904000/6310004690400014092023165253.jpeg</t>
  </si>
  <si>
    <t>https://dpmzos25m8ivg.cloudfront.net/Documentos/631/00050268228/6310005026822811092023171744.pdf</t>
  </si>
  <si>
    <t>https://dpmzos25m8ivg.cloudfront.net/Documentos/631/00050516221/6310005051622111092023151445.jpeg</t>
  </si>
  <si>
    <t>https://dpmzos25m8ivg.cloudfront.net/Documentos/631/00053281101/6310005328110110092023164639.pdf</t>
  </si>
  <si>
    <t>https://dpmzos25m8ivg.cloudfront.net/Documentos/631/00057358150/6310005735815011092023145632.jpg</t>
  </si>
  <si>
    <t>https://dpmzos25m8ivg.cloudfront.net/Documentos/631/00057733180/6310005773318006092023005031.pdf</t>
  </si>
  <si>
    <t>https://dpmzos25m8ivg.cloudfront.net/Documentos/631/00060517310/6310006051731014092023095735.pdf</t>
  </si>
  <si>
    <t>https://dpmzos25m8ivg.cloudfront.net/Documentos/631/00062696130/6310006269613011092023132052.pdf</t>
  </si>
  <si>
    <t>https://dpmzos25m8ivg.cloudfront.net/Documentos/631/00065050665/6310006505066505092023201023.pdf</t>
  </si>
  <si>
    <t>https://dpmzos25m8ivg.cloudfront.net/Documentos/631/00069520119/6310006952011906092023141459.pdf</t>
  </si>
  <si>
    <t>https://dpmzos25m8ivg.cloudfront.net/Documentos/631/00071611150/6310007161115011092023165910.pdf</t>
  </si>
  <si>
    <t>https://dpmzos25m8ivg.cloudfront.net/Documentos/631/00074858246/6310007485824608092023191338.pdf</t>
  </si>
  <si>
    <t>https://dpmzos25m8ivg.cloudfront.net/Documentos/631/00078319277/6310007831927711092023142415.pdf</t>
  </si>
  <si>
    <t>https://dpmzos25m8ivg.cloudfront.net/Documentos/631/00078893569/6310007889356910092023094225.pdf</t>
  </si>
  <si>
    <t>https://dpmzos25m8ivg.cloudfront.net/Documentos/631/00084222220/6310008422222008092023232108.pdf</t>
  </si>
  <si>
    <t>https://dpmzos25m8ivg.cloudfront.net/Documentos/631/00085262226/6310008526222611092023092419.pdf</t>
  </si>
  <si>
    <t>https://dpmzos25m8ivg.cloudfront.net/Documentos/631/00087587270/6310008758727011092023133956.jpeg</t>
  </si>
  <si>
    <t>https://dpmzos25m8ivg.cloudfront.net/Documentos/631/00088333116/6310008833311611092023163204.jpg</t>
  </si>
  <si>
    <t>https://dpmzos25m8ivg.cloudfront.net/Documentos/631/00089541278/6310008954127805092023165038.pdf</t>
  </si>
  <si>
    <t>https://dpmzos25m8ivg.cloudfront.net/Documentos/631/00096630299/6310009663029911092023142254.jpeg</t>
  </si>
  <si>
    <t>https://dpmzos25m8ivg.cloudfront.net/Documentos/631/00103186310/6310010318631005092023184518.pdf</t>
  </si>
  <si>
    <t>https://dpmzos25m8ivg.cloudfront.net/Documentos/631/00106962370/6310010696237011092023095632.pdf</t>
  </si>
  <si>
    <t>https://dpmzos25m8ivg.cloudfront.net/Documentos/631/00106997246/6310010699724610092023110621.pdf</t>
  </si>
  <si>
    <t>https://dpmzos25m8ivg.cloudfront.net/Documentos/631/00109775627/6310010977562711092023160720.pdf</t>
  </si>
  <si>
    <t>https://dpmzos25m8ivg.cloudfront.net/Documentos/631/00111111196/6310011111119610092023171950.pdf</t>
  </si>
  <si>
    <t>https://dpmzos25m8ivg.cloudfront.net/Documentos/631/00112354700/6310011235470006092023211658.jpg</t>
  </si>
  <si>
    <t>https://dpmzos25m8ivg.cloudfront.net/Documentos/631/00114072205/6310011407220511092023093524.pdf</t>
  </si>
  <si>
    <t>https://dpmzos25m8ivg.cloudfront.net/Documentos/631/00118727214/6310011872721408092023124054.jpg</t>
  </si>
  <si>
    <t>https://dpmzos25m8ivg.cloudfront.net/Documentos/631/00123221218/6310012322121811092023115933.pdf</t>
  </si>
  <si>
    <t>https://dpmzos25m8ivg.cloudfront.net/Documentos/631/00129251283/6310012925128311092023140728.pdf</t>
  </si>
  <si>
    <t>https://dpmzos25m8ivg.cloudfront.net/Documentos/631/00130262242/6310013026224211092023151755.pdf</t>
  </si>
  <si>
    <t>https://dpmzos25m8ivg.cloudfront.net/Documentos/631/00131221000/6310013122100011092023135027.pdf</t>
  </si>
  <si>
    <t>https://dpmzos25m8ivg.cloudfront.net/Documentos/631/00138780269/6310013878026905092023192925.pdf</t>
  </si>
  <si>
    <t>https://dpmzos25m8ivg.cloudfront.net/Documentos/631/00139824510/6310013982451011092023103743.pdf</t>
  </si>
  <si>
    <t>https://dpmzos25m8ivg.cloudfront.net/Documentos/631/00139977007/6310013997700714092023110145.pdf</t>
  </si>
  <si>
    <t>https://dpmzos25m8ivg.cloudfront.net/Documentos/631/00148503624/6310014850362411092023122536.pdf</t>
  </si>
  <si>
    <t>https://dpmzos25m8ivg.cloudfront.net/Documentos/631/00148894399/6310014889439911092023143207.pdf</t>
  </si>
  <si>
    <t>https://dpmzos25m8ivg.cloudfront.net/Documentos/631/00149150300/6310014915030005092023151336.pdf</t>
  </si>
  <si>
    <t>https://dpmzos25m8ivg.cloudfront.net/Documentos/631/00154832154/6310015483215411092023154525.jpeg</t>
  </si>
  <si>
    <t>https://dpmzos25m8ivg.cloudfront.net/Documentos/631/00156002116/6310015600211605092023111430.jpg</t>
  </si>
  <si>
    <t>https://dpmzos25m8ivg.cloudfront.net/Documentos/631/00167972804/6310016797280413092023115539.jpg</t>
  </si>
  <si>
    <t>https://dpmzos25m8ivg.cloudfront.net/Documentos/631/00168458110/6310016845811010092023100421.pdf</t>
  </si>
  <si>
    <t>https://dpmzos25m8ivg.cloudfront.net/Documentos/631/00176543279/6310017654327911092023163931.pdf</t>
  </si>
  <si>
    <t>https://dpmzos25m8ivg.cloudfront.net/Documentos/631/00192616323/6310019261632308092023222455.pdf</t>
  </si>
  <si>
    <t>https://dpmzos25m8ivg.cloudfront.net/Documentos/631/00197749151/6310019774915113092023160336.jpg</t>
  </si>
  <si>
    <t>https://dpmzos25m8ivg.cloudfront.net/Documentos/631/00200313274/6310020031327411092023130134.pdf</t>
  </si>
  <si>
    <t>https://dpmzos25m8ivg.cloudfront.net/Documentos/631/00202671500/6310020267150008092023094643.pdf</t>
  </si>
  <si>
    <t>https://dpmzos25m8ivg.cloudfront.net/Documentos/631/00207782288/6310020778228809092023145102.pdf</t>
  </si>
  <si>
    <t>https://dpmzos25m8ivg.cloudfront.net/Documentos/631/00215735226/6310021573522611092023133143.pdf</t>
  </si>
  <si>
    <t>https://dpmzos25m8ivg.cloudfront.net/Documentos/631/00217516335/6310021751633511092023163208.pdf</t>
  </si>
  <si>
    <t>https://dpmzos25m8ivg.cloudfront.net/Documentos/631/00221154558/6310022115455813092023115054.jpg</t>
  </si>
  <si>
    <t>https://dpmzos25m8ivg.cloudfront.net/Documentos/631/00229310230/6310022931023014092023145717.pdf</t>
  </si>
  <si>
    <t>https://dpmzos25m8ivg.cloudfront.net/Documentos/631/00230044441/6310023004444106092023201557.jpg</t>
  </si>
  <si>
    <t>https://dpmzos25m8ivg.cloudfront.net/Documentos/631/00234024747/6310023402474705092023164204.pdf</t>
  </si>
  <si>
    <t>https://dpmzos25m8ivg.cloudfront.net/Documentos/631/00234410701/6310023441070114092023155531.pdf</t>
  </si>
  <si>
    <t>https://dpmzos25m8ivg.cloudfront.net/Documentos/631/00237373289/6310023737328908092023192453.pdf</t>
  </si>
  <si>
    <t>https://dpmzos25m8ivg.cloudfront.net/Documentos/631/00238124274/6310023812427412092023184226.jpeg</t>
  </si>
  <si>
    <t>https://dpmzos25m8ivg.cloudfront.net/Documentos/631/00241901529/6310024190152911092023095013.pdf</t>
  </si>
  <si>
    <t>https://dpmzos25m8ivg.cloudfront.net/Documentos/631/00244011290/6310024401129011092023094904.jpg</t>
  </si>
  <si>
    <t>https://dpmzos25m8ivg.cloudfront.net/Documentos/631/00256364133/6310025636413311092023151845.pdf</t>
  </si>
  <si>
    <t>https://dpmzos25m8ivg.cloudfront.net/Documentos/631/00256410267/6310025641026705092023111952.pdf</t>
  </si>
  <si>
    <t>https://dpmzos25m8ivg.cloudfront.net/Documentos/631/00256559228/6310025655922810092023222423.jpeg</t>
  </si>
  <si>
    <t>https://dpmzos25m8ivg.cloudfront.net/Documentos/631/00258921501/6310025892150105092023105419.pdf</t>
  </si>
  <si>
    <t>https://dpmzos25m8ivg.cloudfront.net/Documentos/631/00265889197/6310026588919713092023221453.jpg</t>
  </si>
  <si>
    <t>https://dpmzos25m8ivg.cloudfront.net/Documentos/631/00268605114/6310026860511408092023223916.pdf</t>
  </si>
  <si>
    <t>https://dpmzos25m8ivg.cloudfront.net/Documentos/631/00269314199/6310026931419906092023210037.pdf</t>
  </si>
  <si>
    <t>https://dpmzos25m8ivg.cloudfront.net/Documentos/631/00275272559/6310027527255909092023215949.pdf</t>
  </si>
  <si>
    <t>https://dpmzos25m8ivg.cloudfront.net/Documentos/631/00281888299/6310028188829909092023081200.pdf</t>
  </si>
  <si>
    <t>https://dpmzos25m8ivg.cloudfront.net/Documentos/631/00286911213/6310028691121311092023143157.jpeg</t>
  </si>
  <si>
    <t>https://dpmzos25m8ivg.cloudfront.net/Documentos/631/00287941256/6310028794125606092023084804.pdf</t>
  </si>
  <si>
    <t>https://dpmzos25m8ivg.cloudfront.net/Documentos/631/00290808197/6310029080819711092023001746.pdf</t>
  </si>
  <si>
    <t>https://dpmzos25m8ivg.cloudfront.net/Documentos/631/00302607366/6310030260736614092023153555.jpg</t>
  </si>
  <si>
    <t>https://dpmzos25m8ivg.cloudfront.net/Documentos/631/00303333189/6310030333318905092023181201.jpg</t>
  </si>
  <si>
    <t>https://dpmzos25m8ivg.cloudfront.net/Documentos/631/00309114276/6310030911427604092023200602.pdf</t>
  </si>
  <si>
    <t>https://dpmzos25m8ivg.cloudfront.net/Documentos/631/00316845566/6310031684556611092023145306.pdf</t>
  </si>
  <si>
    <t>https://dpmzos25m8ivg.cloudfront.net/Documentos/631/00318662043/6310031866204310092023232100.pdf</t>
  </si>
  <si>
    <t>https://dpmzos25m8ivg.cloudfront.net/Documentos/631/00321947223/6310032194722311092023155305.jpeg</t>
  </si>
  <si>
    <t>https://dpmzos25m8ivg.cloudfront.net/Documentos/631/00323532004/6310032353200411092023151026.pdf</t>
  </si>
  <si>
    <t>https://dpmzos25m8ivg.cloudfront.net/Documentos/631/00327533145/6310032753314510092023170613.pdf</t>
  </si>
  <si>
    <t>https://dpmzos25m8ivg.cloudfront.net/Documentos/631/00331723581/6310033172358105092023193530.pdf</t>
  </si>
  <si>
    <t>https://dpmzos25m8ivg.cloudfront.net/Documentos/631/00331818370/6310033181837009092023131510.pdf</t>
  </si>
  <si>
    <t>https://dpmzos25m8ivg.cloudfront.net/Documentos/631/00339799102/6310033979910211092023143906.jpg</t>
  </si>
  <si>
    <t>https://dpmzos25m8ivg.cloudfront.net/Documentos/631/00350259569/6310035025956909092023202029.pdf</t>
  </si>
  <si>
    <t>https://dpmzos25m8ivg.cloudfront.net/Documentos/631/00352601140/6310035260114011092023150419.pdf</t>
  </si>
  <si>
    <t>https://dpmzos25m8ivg.cloudfront.net/Documentos/631/00358875323/6310035887532307092023173234.pdf</t>
  </si>
  <si>
    <t>https://dpmzos25m8ivg.cloudfront.net/Documentos/631/00363262164/6310036326216414092023114451.pdf</t>
  </si>
  <si>
    <t>https://dpmzos25m8ivg.cloudfront.net/Documentos/631/00363575618/6310036357561805092023200146.pdf</t>
  </si>
  <si>
    <t>https://dpmzos25m8ivg.cloudfront.net/Documentos/631/00365209180/6310036520918005092023104642.pdf</t>
  </si>
  <si>
    <t>https://dpmzos25m8ivg.cloudfront.net/Documentos/631/00367914581/6310036791458109092023144801.pdf</t>
  </si>
  <si>
    <t>https://dpmzos25m8ivg.cloudfront.net/Documentos/631/00373908806/6310037390880605092023185837.pdf</t>
  </si>
  <si>
    <t>https://dpmzos25m8ivg.cloudfront.net/Documentos/631/00380838176/6310038083817609092023134632.jpg</t>
  </si>
  <si>
    <t>https://dpmzos25m8ivg.cloudfront.net/Documentos/631/00384617301/6310038461730111092023080356.pdf</t>
  </si>
  <si>
    <t>https://dpmzos25m8ivg.cloudfront.net/Documentos/631/00386769230/6310038676923011092023141046.jpg</t>
  </si>
  <si>
    <t>https://dpmzos25m8ivg.cloudfront.net/Documentos/631/00387151125/6310038715112506092023205237.pdf</t>
  </si>
  <si>
    <t>https://dpmzos25m8ivg.cloudfront.net/Documentos/631/00387337148/6310038733714811092023135923.jpeg</t>
  </si>
  <si>
    <t>https://dpmzos25m8ivg.cloudfront.net/Documentos/631/00399504338/6310039950433814092023024451.pdf</t>
  </si>
  <si>
    <t>https://dpmzos25m8ivg.cloudfront.net/Documentos/631/00406395926/6310040639592611092023164346.pdf</t>
  </si>
  <si>
    <t>https://dpmzos25m8ivg.cloudfront.net/Documentos/631/00408708204/6310040870820411092023155606.pdf</t>
  </si>
  <si>
    <t>https://dpmzos25m8ivg.cloudfront.net/Documentos/631/00409301221/6310040930122105092023133659.pdf</t>
  </si>
  <si>
    <t>https://dpmzos25m8ivg.cloudfront.net/Documentos/631/00409317144/6310040931714411092023162513.jpeg</t>
  </si>
  <si>
    <t>https://dpmzos25m8ivg.cloudfront.net/Documentos/631/00417339240/6310041733924005092023100146.jpg</t>
  </si>
  <si>
    <t>https://dpmzos25m8ivg.cloudfront.net/Documentos/631/00419231200/6310041923120010092023202608.pdf</t>
  </si>
  <si>
    <t>https://dpmzos25m8ivg.cloudfront.net/Documentos/631/00419883290/6310041988329011092023155940.pdf</t>
  </si>
  <si>
    <t>https://dpmzos25m8ivg.cloudfront.net/Documentos/631/00423216112/6310042321611214092023135350.jpeg</t>
  </si>
  <si>
    <t>https://dpmzos25m8ivg.cloudfront.net/Documentos/631/00426578228/6310042657822805092023171105.pdf</t>
  </si>
  <si>
    <t>https://dpmzos25m8ivg.cloudfront.net/Documentos/631/00430635273/6310043063527311092023105151.jpeg</t>
  </si>
  <si>
    <t>https://dpmzos25m8ivg.cloudfront.net/Documentos/631/00431582181/6310043158218111092023152556.pdf</t>
  </si>
  <si>
    <t>https://dpmzos25m8ivg.cloudfront.net/Documentos/631/00432406077/6310043240607705092023225718.jpeg</t>
  </si>
  <si>
    <t>https://dpmzos25m8ivg.cloudfront.net/Documentos/631/00432543228/6310043254322811092023153327.jpeg</t>
  </si>
  <si>
    <t>https://dpmzos25m8ivg.cloudfront.net/Documentos/631/00443030332/6310044303033205092023155201.pdf</t>
  </si>
  <si>
    <t>https://dpmzos25m8ivg.cloudfront.net/Documentos/631/00448247267/6310044824726705092023115025.pdf</t>
  </si>
  <si>
    <t>https://dpmzos25m8ivg.cloudfront.net/Documentos/631/00450354075/6310045035407511092023160049.jpg</t>
  </si>
  <si>
    <t>https://dpmzos25m8ivg.cloudfront.net/Documentos/631/00469911158/6310046991115811092023162031.pdf</t>
  </si>
  <si>
    <t>https://dpmzos25m8ivg.cloudfront.net/Documentos/631/00476267200/6310047626720009092023230250.jpg</t>
  </si>
  <si>
    <t>https://dpmzos25m8ivg.cloudfront.net/Documentos/631/00479044619/6310047904461905092023123820.jpg</t>
  </si>
  <si>
    <t>https://dpmzos25m8ivg.cloudfront.net/Documentos/631/00480195188/6310048019518811092023151547.pdf</t>
  </si>
  <si>
    <t>https://dpmzos25m8ivg.cloudfront.net/Documentos/631/00483811289/6310048381128907092023230256.jpg</t>
  </si>
  <si>
    <t>https://dpmzos25m8ivg.cloudfront.net/Documentos/631/00489661262/6310048966126209092023174818.pdf</t>
  </si>
  <si>
    <t>https://dpmzos25m8ivg.cloudfront.net/Documentos/631/00495707147/6310049570714705092023183734.pdf</t>
  </si>
  <si>
    <t>https://dpmzos25m8ivg.cloudfront.net/Documentos/631/00501227385/6310050122738510092023223320.pdf</t>
  </si>
  <si>
    <t>https://dpmzos25m8ivg.cloudfront.net/Documentos/631/00501586946/6310050158694611092023110801.pdf</t>
  </si>
  <si>
    <t>https://dpmzos25m8ivg.cloudfront.net/Documentos/631/00517834286/6310051783428611092023154302.pdf</t>
  </si>
  <si>
    <t>https://dpmzos25m8ivg.cloudfront.net/Documentos/631/00520700260/6310052070026011092023151146.jpg</t>
  </si>
  <si>
    <t>https://dpmzos25m8ivg.cloudfront.net/Documentos/631/00527596280/6310052759628010092023224534.pdf</t>
  </si>
  <si>
    <t>https://dpmzos25m8ivg.cloudfront.net/Documentos/631/00530675765/6310053067576506092023144300.pdf</t>
  </si>
  <si>
    <t>https://dpmzos25m8ivg.cloudfront.net/Documentos/631/00534597254/6310053459725410092023162505.jpg</t>
  </si>
  <si>
    <t>https://dpmzos25m8ivg.cloudfront.net/Documentos/631/00535769504/6310053576950405092023234233.jpeg</t>
  </si>
  <si>
    <t>https://dpmzos25m8ivg.cloudfront.net/Documentos/631/00537436103/6310053743610310092023152922.jpg</t>
  </si>
  <si>
    <t>https://dpmzos25m8ivg.cloudfront.net/Documentos/631/00543283305/6310054328330511092023152215.pdf</t>
  </si>
  <si>
    <t>https://dpmzos25m8ivg.cloudfront.net/Documentos/631/00543955184/6310054395518405092023104717.pdf</t>
  </si>
  <si>
    <t>https://dpmzos25m8ivg.cloudfront.net/Documentos/631/00549056211/6310054905621106092023195250.pdf</t>
  </si>
  <si>
    <t>https://dpmzos25m8ivg.cloudfront.net/Documentos/631/00572676000/6310057267600005092023104253.pdf</t>
  </si>
  <si>
    <t>https://dpmzos25m8ivg.cloudfront.net/Documentos/631/00576228508/6310057622850807092023085428.jpg</t>
  </si>
  <si>
    <t>https://dpmzos25m8ivg.cloudfront.net/Documentos/631/00581320158/6310058132015808092023134505.pdf</t>
  </si>
  <si>
    <t>https://dpmzos25m8ivg.cloudfront.net/Documentos/631/00586996273/6310058699627309092023195852.jpg</t>
  </si>
  <si>
    <t>https://dpmzos25m8ivg.cloudfront.net/Documentos/631/00595509290/6310059550929005092023213230.jpg</t>
  </si>
  <si>
    <t>https://dpmzos25m8ivg.cloudfront.net/Documentos/631/00597557764/6310059755776407092023105613.jpg</t>
  </si>
  <si>
    <t>https://dpmzos25m8ivg.cloudfront.net/Documentos/631/00600323595/6310060032359511092023152416.jpg</t>
  </si>
  <si>
    <t>https://dpmzos25m8ivg.cloudfront.net/Documentos/631/00606691286/6310060669128605092023141848.jpg</t>
  </si>
  <si>
    <t>https://dpmzos25m8ivg.cloudfront.net/Documentos/631/00611262258/6310061126225811092023094811.pdf</t>
  </si>
  <si>
    <t>https://dpmzos25m8ivg.cloudfront.net/Documentos/631/00613138589/6310061313858906092023182300.jpg</t>
  </si>
  <si>
    <t>https://dpmzos25m8ivg.cloudfront.net/Documentos/631/00615451128/6310061545112808092023172646.pdf</t>
  </si>
  <si>
    <t>https://dpmzos25m8ivg.cloudfront.net/Documentos/631/00615980031/6310061598003110092023232454.pdf</t>
  </si>
  <si>
    <t>https://dpmzos25m8ivg.cloudfront.net/Documentos/631/00618481079/6310061848107908092023172018.pdf</t>
  </si>
  <si>
    <t>https://dpmzos25m8ivg.cloudfront.net/Documentos/631/00618874550/6310061887455011092023150800.pdf</t>
  </si>
  <si>
    <t>https://dpmzos25m8ivg.cloudfront.net/Documentos/631/00623752883/6310062375288311092023111920.pdf</t>
  </si>
  <si>
    <t>https://dpmzos25m8ivg.cloudfront.net/Documentos/631/00634521110/6310063452111011092023170005.jpeg</t>
  </si>
  <si>
    <t>https://dpmzos25m8ivg.cloudfront.net/Documentos/631/00636362396/6310063636239606092023173445.pdf</t>
  </si>
  <si>
    <t>https://dpmzos25m8ivg.cloudfront.net/Documentos/631/00636743519/6310063674351911092023164740.pdf</t>
  </si>
  <si>
    <t>https://dpmzos25m8ivg.cloudfront.net/Documentos/631/00636793290/6310063679329006092023174156.pdf</t>
  </si>
  <si>
    <t>https://dpmzos25m8ivg.cloudfront.net/Documentos/631/00637275365/6310063727536511092023154657.pdf</t>
  </si>
  <si>
    <t>https://dpmzos25m8ivg.cloudfront.net/Documentos/631/00638516285/6310063851628505092023162628.pdf</t>
  </si>
  <si>
    <t>https://dpmzos25m8ivg.cloudfront.net/Documentos/631/00639016502/6310063901650210092023154834.pdf</t>
  </si>
  <si>
    <t>https://dpmzos25m8ivg.cloudfront.net/Documentos/631/00640826369/6310064082636905092023140321.pdf</t>
  </si>
  <si>
    <t>https://dpmzos25m8ivg.cloudfront.net/Documentos/631/00653234163/6310065323416309092023004832.pdf</t>
  </si>
  <si>
    <t>https://dpmzos25m8ivg.cloudfront.net/Documentos/631/00653528159/6310065352815905092023135101.pdf</t>
  </si>
  <si>
    <t>https://dpmzos25m8ivg.cloudfront.net/Documentos/631/00653779232/6310065377923208092023142035.pdf</t>
  </si>
  <si>
    <t>https://dpmzos25m8ivg.cloudfront.net/Documentos/631/00656155060/6310065615506009092023091802.jpg</t>
  </si>
  <si>
    <t>https://dpmzos25m8ivg.cloudfront.net/Documentos/631/00663463041/6310066346304114092023164026.pdf</t>
  </si>
  <si>
    <t>https://dpmzos25m8ivg.cloudfront.net/Documentos/631/00663860202/6310066386020213092023140805.jpeg</t>
  </si>
  <si>
    <t>https://dpmzos25m8ivg.cloudfront.net/Documentos/631/00663912539/6310066391253909092023115731.pdf</t>
  </si>
  <si>
    <t>https://dpmzos25m8ivg.cloudfront.net/Documentos/631/00667320180/6310066732018011092023155534.jpg</t>
  </si>
  <si>
    <t>https://dpmzos25m8ivg.cloudfront.net/Documentos/631/00669650390/6310066965039009092023233828.pdf</t>
  </si>
  <si>
    <t>https://dpmzos25m8ivg.cloudfront.net/Documentos/631/00670213101/6310067021310111092023144848.pdf</t>
  </si>
  <si>
    <t>https://dpmzos25m8ivg.cloudfront.net/Documentos/631/00673396622/6310067339662204092023182357.pdf</t>
  </si>
  <si>
    <t>https://dpmzos25m8ivg.cloudfront.net/Documentos/631/00676626173/6310067662617308092023170131.pdf</t>
  </si>
  <si>
    <t>https://dpmzos25m8ivg.cloudfront.net/Documentos/631/00680686703/6310068068670310092023140606.pdf</t>
  </si>
  <si>
    <t>https://dpmzos25m8ivg.cloudfront.net/Documentos/631/00689486030/6310068948603011092023092355.jpg</t>
  </si>
  <si>
    <t>https://dpmzos25m8ivg.cloudfront.net/Documentos/631/00689546114/6310068954611414092023144806.jpg</t>
  </si>
  <si>
    <t>https://dpmzos25m8ivg.cloudfront.net/Documentos/631/00691195110/6310069119511006092023174223.jpeg</t>
  </si>
  <si>
    <t>https://dpmzos25m8ivg.cloudfront.net/Documentos/631/00692645977/6310069264597705092023115130.pdf</t>
  </si>
  <si>
    <t>https://dpmzos25m8ivg.cloudfront.net/Documentos/631/00693457244/6310069345724408092023113926.jpg</t>
  </si>
  <si>
    <t>https://dpmzos25m8ivg.cloudfront.net/Documentos/631/00693562382/6310069356238208092023182035.pdf</t>
  </si>
  <si>
    <t>https://dpmzos25m8ivg.cloudfront.net/Documentos/631/00704182173/6310070418217309092023091123.pdf</t>
  </si>
  <si>
    <t>https://dpmzos25m8ivg.cloudfront.net/Documentos/631/00706097130/6310070609713010092023214433.pdf</t>
  </si>
  <si>
    <t>https://dpmzos25m8ivg.cloudfront.net/Documentos/631/00707017920/6310070701792010092023161647.pdf</t>
  </si>
  <si>
    <t>https://dpmzos25m8ivg.cloudfront.net/Documentos/631/00707386292/6310070738629211092023145813.pdf</t>
  </si>
  <si>
    <t>https://dpmzos25m8ivg.cloudfront.net/Documentos/631/00717615510/6310071761551005092023221807.pdf</t>
  </si>
  <si>
    <t>https://dpmzos25m8ivg.cloudfront.net/Documentos/631/00718264320/6310071826432011092023071533.jpg</t>
  </si>
  <si>
    <t>https://dpmzos25m8ivg.cloudfront.net/Documentos/631/00723854130/6310072385413011092023142327.jpg</t>
  </si>
  <si>
    <t>https://dpmzos25m8ivg.cloudfront.net/Documentos/631/00728124009/6310072812400911092023164818.pdf</t>
  </si>
  <si>
    <t>https://dpmzos25m8ivg.cloudfront.net/Documentos/631/00730037940/6310073003794006092023113629.pdf</t>
  </si>
  <si>
    <t>https://dpmzos25m8ivg.cloudfront.net/Documentos/631/00730379230/6310073037923011092023085904.pdf</t>
  </si>
  <si>
    <t>https://dpmzos25m8ivg.cloudfront.net/Documentos/631/00733572197/6310073357219705092023135839.pdf</t>
  </si>
  <si>
    <t>https://dpmzos25m8ivg.cloudfront.net/Documentos/631/00734899564/6310073489956411092023152141.pdf</t>
  </si>
  <si>
    <t>https://dpmzos25m8ivg.cloudfront.net/Documentos/631/00739201182/6310073920118210092023213911.pdf</t>
  </si>
  <si>
    <t>https://dpmzos25m8ivg.cloudfront.net/Documentos/631/00741315327/6310074131532711092023094938.jpg</t>
  </si>
  <si>
    <t>https://dpmzos25m8ivg.cloudfront.net/Documentos/631/00741522110/6310074152211014092023123509.pdf</t>
  </si>
  <si>
    <t>https://dpmzos25m8ivg.cloudfront.net/Documentos/631/00742620174/6310074262017411092023165312.jpeg</t>
  </si>
  <si>
    <t>https://dpmzos25m8ivg.cloudfront.net/Documentos/631/00743821360/6310074382136006092023103849.pdf</t>
  </si>
  <si>
    <t>https://dpmzos25m8ivg.cloudfront.net/Documentos/631/00746288018/6310074628801805092023170511.pdf</t>
  </si>
  <si>
    <t>https://dpmzos25m8ivg.cloudfront.net/Documentos/631/00747618119/6310074761811911092023150920.jpeg</t>
  </si>
  <si>
    <t>https://dpmzos25m8ivg.cloudfront.net/Documentos/631/00750489227/6310075048922705092023194436.pdf</t>
  </si>
  <si>
    <t>https://dpmzos25m8ivg.cloudfront.net/Documentos/631/00751062219/6310075106221914092023155053.pdf</t>
  </si>
  <si>
    <t>https://dpmzos25m8ivg.cloudfront.net/Documentos/631/00757590209/6310075759020906092023154300.pdf</t>
  </si>
  <si>
    <t>https://dpmzos25m8ivg.cloudfront.net/Documentos/631/00765337193/6310076533719307092023234721.pdf</t>
  </si>
  <si>
    <t>https://dpmzos25m8ivg.cloudfront.net/Documentos/631/00766064301/6310076606430114092023135824.pdf</t>
  </si>
  <si>
    <t>https://dpmzos25m8ivg.cloudfront.net/Documentos/631/00777178990/6310077717899007092023193532.pdf</t>
  </si>
  <si>
    <t>https://dpmzos25m8ivg.cloudfront.net/Documentos/631/00779182588/6310077918258811092023125115.pdf</t>
  </si>
  <si>
    <t>https://dpmzos25m8ivg.cloudfront.net/Documentos/631/00786103205/6310078610320505092023103458.pdf</t>
  </si>
  <si>
    <t>https://dpmzos25m8ivg.cloudfront.net/Documentos/631/00788710265/6310078871026507092023173846.pdf</t>
  </si>
  <si>
    <t>https://dpmzos25m8ivg.cloudfront.net/Documentos/631/00790326485/6310079032648506092023144012.pdf</t>
  </si>
  <si>
    <t>https://dpmzos25m8ivg.cloudfront.net/Documentos/631/00793618207/6310079361820705092023184200.pdf</t>
  </si>
  <si>
    <t>https://dpmzos25m8ivg.cloudfront.net/Documentos/631/00794136257/6310079413625710092023225435.jpg</t>
  </si>
  <si>
    <t>https://dpmzos25m8ivg.cloudfront.net/Documentos/631/00795150296/6310079515029610092023214413.jpeg</t>
  </si>
  <si>
    <t>https://dpmzos25m8ivg.cloudfront.net/Documentos/631/00800733444/6310080073344410092023223501.pdf</t>
  </si>
  <si>
    <t>https://dpmzos25m8ivg.cloudfront.net/Documentos/631/00804012954/6310080401295411092023123400.pdf</t>
  </si>
  <si>
    <t>https://dpmzos25m8ivg.cloudfront.net/Documentos/631/00805902767/6310080590276711092023152259.pdf</t>
  </si>
  <si>
    <t>https://dpmzos25m8ivg.cloudfront.net/Documentos/631/00806660783/6310080666078311092023142117.pdf</t>
  </si>
  <si>
    <t>https://dpmzos25m8ivg.cloudfront.net/Documentos/631/00807682292/6310080768229214092023122228.jpg</t>
  </si>
  <si>
    <t>https://dpmzos25m8ivg.cloudfront.net/Documentos/631/00811144194/6310081114419406092023142818.pdf</t>
  </si>
  <si>
    <t>https://dpmzos25m8ivg.cloudfront.net/Documentos/631/00812485203/6310081248520311092023131900.pdf</t>
  </si>
  <si>
    <t>https://dpmzos25m8ivg.cloudfront.net/Documentos/631/00815622252/6310081562225208092023161514.pdf</t>
  </si>
  <si>
    <t>https://dpmzos25m8ivg.cloudfront.net/Documentos/631/00817077200/6310081707720011092023084533.pdf</t>
  </si>
  <si>
    <t>https://dpmzos25m8ivg.cloudfront.net/Documentos/631/00817707239/6310081770723914092023131636.pdf</t>
  </si>
  <si>
    <t>https://dpmzos25m8ivg.cloudfront.net/Documentos/631/00817881506/6310081788150606092023103235.jpg</t>
  </si>
  <si>
    <t>https://dpmzos25m8ivg.cloudfront.net/Documentos/631/00818365030/6310081836503008092023175638.jpg</t>
  </si>
  <si>
    <t>https://dpmzos25m8ivg.cloudfront.net/Documentos/631/00821932233/6310082193223311092023155909.pdf</t>
  </si>
  <si>
    <t>https://dpmzos25m8ivg.cloudfront.net/Documentos/631/00822535360/6310082253536009092023154441.pdf</t>
  </si>
  <si>
    <t>https://dpmzos25m8ivg.cloudfront.net/Documentos/631/00823792200/6310082379220011092023095519.jpg</t>
  </si>
  <si>
    <t>https://dpmzos25m8ivg.cloudfront.net/Documentos/631/00829999108/6310082999910808092023222510.pdf</t>
  </si>
  <si>
    <t>https://dpmzos25m8ivg.cloudfront.net/Documentos/631/00832613460/6310083261346005092023123409.pdf</t>
  </si>
  <si>
    <t>https://dpmzos25m8ivg.cloudfront.net/Documentos/631/00834957469/6310083495746905092023154855.pdf</t>
  </si>
  <si>
    <t>https://dpmzos25m8ivg.cloudfront.net/Documentos/631/00834960095/6310083496009505092023102111.pdf</t>
  </si>
  <si>
    <t>https://dpmzos25m8ivg.cloudfront.net/Documentos/631/00835679250/6310083567925011092023005214.pdf</t>
  </si>
  <si>
    <t>https://dpmzos25m8ivg.cloudfront.net/Documentos/631/00835875431/6310083587543105092023142912.pdf</t>
  </si>
  <si>
    <t>https://dpmzos25m8ivg.cloudfront.net/Documentos/631/00836458109/6310083645810911092023133645.pdf</t>
  </si>
  <si>
    <t>https://dpmzos25m8ivg.cloudfront.net/Documentos/631/00839089945/6310083908994508092023201300.jpeg</t>
  </si>
  <si>
    <t>https://dpmzos25m8ivg.cloudfront.net/Documentos/631/00840752288/6310084075228808092023123839.pdf</t>
  </si>
  <si>
    <t>https://dpmzos25m8ivg.cloudfront.net/Documentos/631/00841645221/6310084164522108092023000526.jpeg</t>
  </si>
  <si>
    <t>https://dpmzos25m8ivg.cloudfront.net/Documentos/631/00843043598/6310084304359805092023091004.jpg</t>
  </si>
  <si>
    <t>https://dpmzos25m8ivg.cloudfront.net/Documentos/631/00844082198/6310084408219811092023135703.pdf</t>
  </si>
  <si>
    <t>https://dpmzos25m8ivg.cloudfront.net/Documentos/631/00844801909/6310084480190911092023112957.pdf</t>
  </si>
  <si>
    <t>https://dpmzos25m8ivg.cloudfront.net/Documentos/631/00854266364/6310085426636410092023121228.jpeg</t>
  </si>
  <si>
    <t>https://dpmzos25m8ivg.cloudfront.net/Documentos/631/00855020229/6310085502022908092023143925.pdf</t>
  </si>
  <si>
    <t>https://dpmzos25m8ivg.cloudfront.net/Documentos/631/00855281456/6310085528145611092023144540.pdf</t>
  </si>
  <si>
    <t>https://dpmzos25m8ivg.cloudfront.net/Documentos/631/00862079039/6310086207903911092023142501.pdf</t>
  </si>
  <si>
    <t>https://dpmzos25m8ivg.cloudfront.net/Documentos/631/00862455545/6310086245554508092023195704.pdf</t>
  </si>
  <si>
    <t>https://dpmzos25m8ivg.cloudfront.net/Documentos/631/00863839576/6310086383957612092023194314.jpg</t>
  </si>
  <si>
    <t>https://dpmzos25m8ivg.cloudfront.net/Documentos/631/00864589220/6310086458922011092023140708.jpg</t>
  </si>
  <si>
    <t>https://dpmzos25m8ivg.cloudfront.net/Documentos/631/00865216169/6310086521616908092023153742.pdf</t>
  </si>
  <si>
    <t>https://dpmzos25m8ivg.cloudfront.net/Documentos/631/00866658203/6310086665820305092023145635.pdf</t>
  </si>
  <si>
    <t>https://dpmzos25m8ivg.cloudfront.net/Documentos/631/00867964103/6310086796410306092023155308.pdf</t>
  </si>
  <si>
    <t>https://dpmzos25m8ivg.cloudfront.net/Documentos/631/00873512260/6310087351226011092023155817.jpeg</t>
  </si>
  <si>
    <t>https://dpmzos25m8ivg.cloudfront.net/Documentos/631/00874609550/6310087460955011092023165736.pdf</t>
  </si>
  <si>
    <t>https://dpmzos25m8ivg.cloudfront.net/Documentos/631/00876398743/6310087639874311092023153452.jpg</t>
  </si>
  <si>
    <t>https://dpmzos25m8ivg.cloudfront.net/Documentos/631/00876620438/6310087662043811092023151252.jpg</t>
  </si>
  <si>
    <t>https://dpmzos25m8ivg.cloudfront.net/Documentos/631/00887818102/6310088781810211092023154347.pdf</t>
  </si>
  <si>
    <t>https://dpmzos25m8ivg.cloudfront.net/Documentos/631/00888998538/6310088899853805092023085229.pdf</t>
  </si>
  <si>
    <t>https://dpmzos25m8ivg.cloudfront.net/Documentos/631/00897067223/6310089706722307092023191832.jpeg</t>
  </si>
  <si>
    <t>https://dpmzos25m8ivg.cloudfront.net/Documentos/631/00898604206/6310089860420611092023122657.pdf</t>
  </si>
  <si>
    <t>https://dpmzos25m8ivg.cloudfront.net/Documentos/631/00900127635/6310090012763506092023144337.jpg</t>
  </si>
  <si>
    <t>https://dpmzos25m8ivg.cloudfront.net/Documentos/631/00902076531/6310090207653111092023130147.pdf</t>
  </si>
  <si>
    <t>https://dpmzos25m8ivg.cloudfront.net/Documentos/631/00906570719/6310090657071905092023174142.pdf</t>
  </si>
  <si>
    <t>https://dpmzos25m8ivg.cloudfront.net/Documentos/631/00907123589/6310090712358913092023192326.pdf</t>
  </si>
  <si>
    <t>https://dpmzos25m8ivg.cloudfront.net/Documentos/631/00911565213/6310091156521314092023163930.pdf</t>
  </si>
  <si>
    <t>https://dpmzos25m8ivg.cloudfront.net/Documentos/631/00912295376/6310091229537611092023114253.pdf</t>
  </si>
  <si>
    <t>https://dpmzos25m8ivg.cloudfront.net/Documentos/631/00912994207/6310091299420706092023193929.pdf</t>
  </si>
  <si>
    <t>https://dpmzos25m8ivg.cloudfront.net/Documentos/631/00913000108/6310091300010811092023160722.jpg</t>
  </si>
  <si>
    <t>https://dpmzos25m8ivg.cloudfront.net/Documentos/631/00919848583/6310091984858311092023075421.pdf</t>
  </si>
  <si>
    <t>https://dpmzos25m8ivg.cloudfront.net/Documentos/631/00922834970/6310092283497010092023170454.jpg</t>
  </si>
  <si>
    <t>https://dpmzos25m8ivg.cloudfront.net/Documentos/631/00923700129/6310092370012911092023161555.pdf</t>
  </si>
  <si>
    <t>https://dpmzos25m8ivg.cloudfront.net/Documentos/631/00927853523/6310092785352306092023134249.pdf</t>
  </si>
  <si>
    <t>https://dpmzos25m8ivg.cloudfront.net/Documentos/631/00928167461/6310092816746111092023152358.pdf</t>
  </si>
  <si>
    <t>https://dpmzos25m8ivg.cloudfront.net/Documentos/631/00929474503/6310092947450311092023163703.pdf</t>
  </si>
  <si>
    <t>https://dpmzos25m8ivg.cloudfront.net/Documentos/631/00931924286/6310093192428607092023233729.pdf</t>
  </si>
  <si>
    <t>https://dpmzos25m8ivg.cloudfront.net/Documentos/631/00935355111/6310093535511108092023180209.jpg</t>
  </si>
  <si>
    <t>https://dpmzos25m8ivg.cloudfront.net/Documentos/631/00937359106/6310093735910607092023181816.pdf</t>
  </si>
  <si>
    <t>https://dpmzos25m8ivg.cloudfront.net/Documentos/631/00950193240/6310095019324009092023152702.jpg</t>
  </si>
  <si>
    <t>https://dpmzos25m8ivg.cloudfront.net/Documentos/631/00954469313/6310095446931314092023001436.jpg</t>
  </si>
  <si>
    <t>https://dpmzos25m8ivg.cloudfront.net/Documentos/631/00954576586/6310095457658607092023162702.pdf</t>
  </si>
  <si>
    <t>https://dpmzos25m8ivg.cloudfront.net/Documentos/631/00955517354/6310095551735411092023113130.jpeg</t>
  </si>
  <si>
    <t>https://dpmzos25m8ivg.cloudfront.net/Documentos/631/00958901228/6310095890122811092023145455.jpg</t>
  </si>
  <si>
    <t>https://dpmzos25m8ivg.cloudfront.net/Documentos/631/00960700137/6310096070013705092023161901.pdf</t>
  </si>
  <si>
    <t>https://dpmzos25m8ivg.cloudfront.net/Documentos/631/00963286226/6310096328622611092023161942.pdf</t>
  </si>
  <si>
    <t>https://dpmzos25m8ivg.cloudfront.net/Documentos/631/00968151914/6310096815191411092023102716.pdf</t>
  </si>
  <si>
    <t>https://dpmzos25m8ivg.cloudfront.net/Documentos/631/00968275567/6310096827556707092023221054.pdf</t>
  </si>
  <si>
    <t>https://dpmzos25m8ivg.cloudfront.net/Documentos/631/00969617593/6310096961759313092023220425.pdf</t>
  </si>
  <si>
    <t>https://dpmzos25m8ivg.cloudfront.net/Documentos/631/00971141460/6310097114146008092023164956.pdf</t>
  </si>
  <si>
    <t>https://dpmzos25m8ivg.cloudfront.net/Documentos/631/00980643201/6310098064320111092023144908.pdf</t>
  </si>
  <si>
    <t>https://dpmzos25m8ivg.cloudfront.net/Documentos/631/00981911013/6310098191101311092023163337.pdf</t>
  </si>
  <si>
    <t>https://dpmzos25m8ivg.cloudfront.net/Documentos/631/00986284297/6310098628429705092023143049.jpg</t>
  </si>
  <si>
    <t>https://dpmzos25m8ivg.cloudfront.net/Documentos/631/01000259196/6310100025919606092023091237.pdf</t>
  </si>
  <si>
    <t>https://dpmzos25m8ivg.cloudfront.net/Documentos/631/01001759966/6310100175996611092023142601.pdf</t>
  </si>
  <si>
    <t>https://dpmzos25m8ivg.cloudfront.net/Documentos/631/01002088780/6310100208878007092023233235.pdf</t>
  </si>
  <si>
    <t>https://dpmzos25m8ivg.cloudfront.net/Documentos/631/01011093502/6310101109350210092023231236.pdf</t>
  </si>
  <si>
    <t>https://dpmzos25m8ivg.cloudfront.net/Documentos/631/01012027686/6310101202768605092023144437.pdf</t>
  </si>
  <si>
    <t>https://dpmzos25m8ivg.cloudfront.net/Documentos/631/01013588576/6310101358857607092023193131.jpg</t>
  </si>
  <si>
    <t>https://dpmzos25m8ivg.cloudfront.net/Documentos/631/01014740592/6310101474059210092023224515.jpg</t>
  </si>
  <si>
    <t>https://dpmzos25m8ivg.cloudfront.net/Documentos/631/01020556102/6310102055610212092023235329.jpg</t>
  </si>
  <si>
    <t>https://dpmzos25m8ivg.cloudfront.net/Documentos/631/01026412501/6310102641250111092023122744.jpg</t>
  </si>
  <si>
    <t>https://dpmzos25m8ivg.cloudfront.net/Documentos/631/01039854680/6310103985468006092023193415.pdf</t>
  </si>
  <si>
    <t>https://dpmzos25m8ivg.cloudfront.net/Documentos/631/01042126240/6310104212624011092023102748.pdf</t>
  </si>
  <si>
    <t>https://dpmzos25m8ivg.cloudfront.net/Documentos/631/01047553422/6310104755342211092023163035.jpg</t>
  </si>
  <si>
    <t>https://dpmzos25m8ivg.cloudfront.net/Documentos/631/01049932609/6310104993260911092023142255.jpg</t>
  </si>
  <si>
    <t>https://dpmzos25m8ivg.cloudfront.net/Documentos/631/01051006171/6310105100617110092023212914.pdf</t>
  </si>
  <si>
    <t>https://dpmzos25m8ivg.cloudfront.net/Documentos/631/01061979407/6310106197940710092023165513.pdf</t>
  </si>
  <si>
    <t>https://dpmzos25m8ivg.cloudfront.net/Documentos/631/01064557295/6310106455729511092023145600.jpg</t>
  </si>
  <si>
    <t>https://dpmzos25m8ivg.cloudfront.net/Documentos/631/01065148739/6310106514873911092023113258.jpg</t>
  </si>
  <si>
    <t>https://dpmzos25m8ivg.cloudfront.net/Documentos/631/01065247478/6310106524747811092023164548.jpg</t>
  </si>
  <si>
    <t>https://dpmzos25m8ivg.cloudfront.net/Documentos/631/01066257132/6310106625713211092023103159.pdf</t>
  </si>
  <si>
    <t>https://dpmzos25m8ivg.cloudfront.net/Documentos/631/01066435170/6310106643517009092023093852.jpg</t>
  </si>
  <si>
    <t>https://dpmzos25m8ivg.cloudfront.net/Documentos/631/01070757250/6310107075725008092023125315.pdf</t>
  </si>
  <si>
    <t>https://dpmzos25m8ivg.cloudfront.net/Documentos/631/01073996107/6310107399610711092023125357.jpeg</t>
  </si>
  <si>
    <t>https://dpmzos25m8ivg.cloudfront.net/Documentos/631/01077584407/6310107758440713092023232227.pdf</t>
  </si>
  <si>
    <t>https://dpmzos25m8ivg.cloudfront.net/Documentos/631/01079898590/6310107989859011092023145021.jpg</t>
  </si>
  <si>
    <t>https://dpmzos25m8ivg.cloudfront.net/Documentos/631/01080157182/6310108015718207092023160926.jpg</t>
  </si>
  <si>
    <t>https://dpmzos25m8ivg.cloudfront.net/Documentos/631/01081266414/6310108126641410092023194924.pdf</t>
  </si>
  <si>
    <t>https://dpmzos25m8ivg.cloudfront.net/Documentos/631/01084441209/6310108444120911092023000324.pdf</t>
  </si>
  <si>
    <t>https://dpmzos25m8ivg.cloudfront.net/Documentos/631/01084536501/6310108453650105092023110054.pdf</t>
  </si>
  <si>
    <t>https://dpmzos25m8ivg.cloudfront.net/Documentos/631/01089384254/6310108938425411092023013418.pdf</t>
  </si>
  <si>
    <t>https://dpmzos25m8ivg.cloudfront.net/Documentos/631/01092751521/6310109275152111092023111702.pdf</t>
  </si>
  <si>
    <t>https://dpmzos25m8ivg.cloudfront.net/Documentos/631/01099597790/6310109959779010092023212321.pdf</t>
  </si>
  <si>
    <t>https://dpmzos25m8ivg.cloudfront.net/Documentos/631/01100995080/6310110099508011092023123116.pdf</t>
  </si>
  <si>
    <t>https://dpmzos25m8ivg.cloudfront.net/Documentos/631/01103356860/6310110335686005092023154115.pdf</t>
  </si>
  <si>
    <t>https://dpmzos25m8ivg.cloudfront.net/Documentos/631/01107376106/6310110737610606092023165139.pdf</t>
  </si>
  <si>
    <t>https://dpmzos25m8ivg.cloudfront.net/Documentos/631/01109692196/6310110969219611092023114322.jpg</t>
  </si>
  <si>
    <t>https://dpmzos25m8ivg.cloudfront.net/Documentos/631/01110553188/6310111055318811092023141817.pdf</t>
  </si>
  <si>
    <t>https://dpmzos25m8ivg.cloudfront.net/Documentos/631/01111687757/6310111168775705092023004752.jpg</t>
  </si>
  <si>
    <t>https://dpmzos25m8ivg.cloudfront.net/Documentos/631/01121386164/6310112138616410092023011825.jpg</t>
  </si>
  <si>
    <t>https://dpmzos25m8ivg.cloudfront.net/Documentos/631/01122124503/6310112212450311092023110541.jpeg</t>
  </si>
  <si>
    <t>https://dpmzos25m8ivg.cloudfront.net/Documentos/631/01125024313/6310112502431308092023173342.pdf</t>
  </si>
  <si>
    <t>https://dpmzos25m8ivg.cloudfront.net/Documentos/631/01131787277/6310113178727711092023125511.jpg</t>
  </si>
  <si>
    <t>https://dpmzos25m8ivg.cloudfront.net/Documentos/631/01133618073/6310113361807306092023095437.pdf</t>
  </si>
  <si>
    <t>https://dpmzos25m8ivg.cloudfront.net/Documentos/631/01135620202/6310113562020211092023145552.pdf</t>
  </si>
  <si>
    <t>https://dpmzos25m8ivg.cloudfront.net/Documentos/631/01142986454/6310114298645411092023105348.pdf</t>
  </si>
  <si>
    <t>https://dpmzos25m8ivg.cloudfront.net/Documentos/631/01144261120/6310114426112008092023161825.jpg</t>
  </si>
  <si>
    <t>https://dpmzos25m8ivg.cloudfront.net/Documentos/631/01144491479/6310114449147909092023141600.pdf</t>
  </si>
  <si>
    <t>https://dpmzos25m8ivg.cloudfront.net/Documentos/631/01161224807/6310116122480708092023124844.pdf</t>
  </si>
  <si>
    <t>https://dpmzos25m8ivg.cloudfront.net/Documentos/631/01164099590/6310116409959009092023162452.pdf</t>
  </si>
  <si>
    <t>https://dpmzos25m8ivg.cloudfront.net/Documentos/631/01164235109/6310116423510910092023145456.pdf</t>
  </si>
  <si>
    <t>https://dpmzos25m8ivg.cloudfront.net/Documentos/631/01170446019/6310117044601909092023192502.pdf</t>
  </si>
  <si>
    <t>https://dpmzos25m8ivg.cloudfront.net/Documentos/631/01172924350/6310117292435005092023203530.pdf</t>
  </si>
  <si>
    <t>https://dpmzos25m8ivg.cloudfront.net/Documentos/631/01175060364/6310117506036405092023165055.pdf</t>
  </si>
  <si>
    <t>https://dpmzos25m8ivg.cloudfront.net/Documentos/631/01177696142/6310117769614206092023151427.pdf</t>
  </si>
  <si>
    <t>https://dpmzos25m8ivg.cloudfront.net/Documentos/631/01180979702/6310118097970211092023152153.pdf</t>
  </si>
  <si>
    <t>https://dpmzos25m8ivg.cloudfront.net/Documentos/631/01193842484/6310119384248410092023163944.pdf</t>
  </si>
  <si>
    <t>https://dpmzos25m8ivg.cloudfront.net/Documentos/631/01198476630/6310119847663011092023114342.jpeg</t>
  </si>
  <si>
    <t>https://dpmzos25m8ivg.cloudfront.net/Documentos/631/01204565325/6310120456532512092023183411.pdf</t>
  </si>
  <si>
    <t>https://dpmzos25m8ivg.cloudfront.net/Documentos/631/01205828303/6310120582830306092023113321.pdf</t>
  </si>
  <si>
    <t>https://dpmzos25m8ivg.cloudfront.net/Documentos/631/01210528185/6310121052818513092023164811.jpg</t>
  </si>
  <si>
    <t>https://dpmzos25m8ivg.cloudfront.net/Documentos/631/01210942003/6310121094200311092023114133.jpg</t>
  </si>
  <si>
    <t>https://dpmzos25m8ivg.cloudfront.net/Documentos/631/01211853209/6310121185320905092023095208.pdf</t>
  </si>
  <si>
    <t>https://dpmzos25m8ivg.cloudfront.net/Documentos/631/01213054494/6310121305449411092023154632.jpeg</t>
  </si>
  <si>
    <t>https://dpmzos25m8ivg.cloudfront.net/Documentos/631/01214913156/6310121491315605092023101721.pdf</t>
  </si>
  <si>
    <t>https://dpmzos25m8ivg.cloudfront.net/Documentos/631/01215425139/6310121542513908092023150144.pdf</t>
  </si>
  <si>
    <t>https://dpmzos25m8ivg.cloudfront.net/Documentos/631/01216886741/6310121688674110092023213846.pdf</t>
  </si>
  <si>
    <t>https://dpmzos25m8ivg.cloudfront.net/Documentos/631/01222204479/6310122220447911092023155633.pdf</t>
  </si>
  <si>
    <t>https://dpmzos25m8ivg.cloudfront.net/Documentos/631/01222561239/6310122256123905092023163938.pdf</t>
  </si>
  <si>
    <t>https://dpmzos25m8ivg.cloudfront.net/Documentos/631/01231768754/6310123176875405092023185043.pdf</t>
  </si>
  <si>
    <t>https://dpmzos25m8ivg.cloudfront.net/Documentos/631/01232540005/6310123254000511092023103829.pdf</t>
  </si>
  <si>
    <t>https://dpmzos25m8ivg.cloudfront.net/Documentos/631/01234325373/6310123432537312092023183132.pdf</t>
  </si>
  <si>
    <t>https://dpmzos25m8ivg.cloudfront.net/Documentos/631/01235831604/6310123583160411092023145154.jpeg</t>
  </si>
  <si>
    <t>https://dpmzos25m8ivg.cloudfront.net/Documentos/631/01238857604/6310123885760406092023131119.pdf</t>
  </si>
  <si>
    <t>https://dpmzos25m8ivg.cloudfront.net/Documentos/631/01239138962/6310123913896211092023150611.jpg</t>
  </si>
  <si>
    <t>https://dpmzos25m8ivg.cloudfront.net/Documentos/631/01240516185/6310124051618511092023002512.pdf</t>
  </si>
  <si>
    <t>https://dpmzos25m8ivg.cloudfront.net/Documentos/631/01243474360/6310124347436007092023214105.pdf</t>
  </si>
  <si>
    <t>https://dpmzos25m8ivg.cloudfront.net/Documentos/631/01244251275/6310124425127511092023090627.pdf</t>
  </si>
  <si>
    <t>https://dpmzos25m8ivg.cloudfront.net/Documentos/631/01246073579/6310124607357905092023175302.pdf</t>
  </si>
  <si>
    <t>https://dpmzos25m8ivg.cloudfront.net/Documentos/631/01251027806/6310125102780611092023163423.pdf</t>
  </si>
  <si>
    <t>https://dpmzos25m8ivg.cloudfront.net/Documentos/631/01255904232/6310125590423211092023150748.pdf</t>
  </si>
  <si>
    <t>https://dpmzos25m8ivg.cloudfront.net/Documentos/631/01260788580/6310126078858011092023085828.pdf</t>
  </si>
  <si>
    <t>https://dpmzos25m8ivg.cloudfront.net/Documentos/631/01262192650/6310126219265011092023144325.pdf</t>
  </si>
  <si>
    <t>https://dpmzos25m8ivg.cloudfront.net/Documentos/631/01266068627/6310126606862707092023183737.pdf</t>
  </si>
  <si>
    <t>https://dpmzos25m8ivg.cloudfront.net/Documentos/631/01266321543/6310126632154308092023212320.pdf</t>
  </si>
  <si>
    <t>https://dpmzos25m8ivg.cloudfront.net/Documentos/631/01268108855/6310126810885511092023152132.jpg</t>
  </si>
  <si>
    <t>https://dpmzos25m8ivg.cloudfront.net/Documentos/631/01268966908/6310126896690811092023151855.pdf</t>
  </si>
  <si>
    <t>https://dpmzos25m8ivg.cloudfront.net/Documentos/631/01271697254/6310127169725406092023131221.jpg</t>
  </si>
  <si>
    <t>https://dpmzos25m8ivg.cloudfront.net/Documentos/631/01277175365/6310127717536505092023094717.jpeg</t>
  </si>
  <si>
    <t>https://dpmzos25m8ivg.cloudfront.net/Documentos/631/01277848378/6310127784837811092023141718.jpg</t>
  </si>
  <si>
    <t>https://dpmzos25m8ivg.cloudfront.net/Documentos/631/01279456523/6310127945652311092023164758.pdf</t>
  </si>
  <si>
    <t>https://dpmzos25m8ivg.cloudfront.net/Documentos/631/01289635307/6310128963530711092023143256.pdf</t>
  </si>
  <si>
    <t>https://dpmzos25m8ivg.cloudfront.net/Documentos/631/01294686496/6310129468649611092023142455.pdf</t>
  </si>
  <si>
    <t>https://dpmzos25m8ivg.cloudfront.net/Documentos/631/01298516552/6310129851655211092023122033.pdf</t>
  </si>
  <si>
    <t>https://dpmzos25m8ivg.cloudfront.net/Documentos/631/01299257216/6310129925721610092023191329.jpg</t>
  </si>
  <si>
    <t>https://dpmzos25m8ivg.cloudfront.net/Documentos/631/01299503608/6310129950360806092023184158.pdf</t>
  </si>
  <si>
    <t>https://dpmzos25m8ivg.cloudfront.net/Documentos/631/01301679240/6310130167924011092023162726.pdf</t>
  </si>
  <si>
    <t>https://dpmzos25m8ivg.cloudfront.net/Documentos/631/01302946242/6310130294624211092023105138.pdf</t>
  </si>
  <si>
    <t>https://dpmzos25m8ivg.cloudfront.net/Documentos/631/01304162230/6310130416223009092023230858.pdf</t>
  </si>
  <si>
    <t>https://dpmzos25m8ivg.cloudfront.net/Documentos/631/01306769698/6310130676969806092023121524.jpeg</t>
  </si>
  <si>
    <t>https://dpmzos25m8ivg.cloudfront.net/Documentos/631/01307139299/6310130713929910092023224224.pdf</t>
  </si>
  <si>
    <t>https://dpmzos25m8ivg.cloudfront.net/Documentos/631/01307561640/6310130756164011092023013221.jpg</t>
  </si>
  <si>
    <t>https://dpmzos25m8ivg.cloudfront.net/Documentos/631/01314510223/6310131451022311092023131241.jpg</t>
  </si>
  <si>
    <t>https://dpmzos25m8ivg.cloudfront.net/Documentos/631/01315468131/6310131546813111092023132709.pdf</t>
  </si>
  <si>
    <t>https://dpmzos25m8ivg.cloudfront.net/Documentos/631/01315469456/6310131546945611092023142949.jpg</t>
  </si>
  <si>
    <t>https://dpmzos25m8ivg.cloudfront.net/Documentos/631/01316458547/6310131645854708092023115000.pdf</t>
  </si>
  <si>
    <t>https://dpmzos25m8ivg.cloudfront.net/Documentos/631/01322143269/6310132214326908092023201207.pdf</t>
  </si>
  <si>
    <t>https://dpmzos25m8ivg.cloudfront.net/Documentos/631/01323323295/6310132332329513092023214655.pdf</t>
  </si>
  <si>
    <t>https://dpmzos25m8ivg.cloudfront.net/Documentos/631/01324806389/6310132480638906092023094703.pdf</t>
  </si>
  <si>
    <t>https://dpmzos25m8ivg.cloudfront.net/Documentos/631/01336148160/6310133614816011092023142550.jpg</t>
  </si>
  <si>
    <t>https://dpmzos25m8ivg.cloudfront.net/Documentos/631/01339525500/6310133952550005092023104323.pdf</t>
  </si>
  <si>
    <t>https://dpmzos25m8ivg.cloudfront.net/Documentos/631/01340907216/6310134090721611092023164955.pdf</t>
  </si>
  <si>
    <t>https://dpmzos25m8ivg.cloudfront.net/Documentos/631/01342643550/6310134264355011092023164054.pdf</t>
  </si>
  <si>
    <t>https://dpmzos25m8ivg.cloudfront.net/Documentos/631/01347818219/6310134781821911092023164326.jpeg</t>
  </si>
  <si>
    <t>https://dpmzos25m8ivg.cloudfront.net/Documentos/631/01350223204/6310135022320411092023012759.pdf</t>
  </si>
  <si>
    <t>https://dpmzos25m8ivg.cloudfront.net/Documentos/631/01353337170/6310135333717006092023112326.jpg</t>
  </si>
  <si>
    <t>https://dpmzos25m8ivg.cloudfront.net/Documentos/631/01357164467/6310135716446709092023213300.pdf</t>
  </si>
  <si>
    <t>https://dpmzos25m8ivg.cloudfront.net/Documentos/631/01357518102/6310135751810211092023154148.pdf</t>
  </si>
  <si>
    <t>https://dpmzos25m8ivg.cloudfront.net/Documentos/631/01357569440/6310135756944008092023180347.pdf</t>
  </si>
  <si>
    <t>https://dpmzos25m8ivg.cloudfront.net/Documentos/631/01363990373/6310136399037310092023235521.jpg</t>
  </si>
  <si>
    <t>https://dpmzos25m8ivg.cloudfront.net/Documentos/631/01364318105/6310136431810509092023184354.pdf</t>
  </si>
  <si>
    <t>https://dpmzos25m8ivg.cloudfront.net/Documentos/631/01365957152/6310136595715205092023152537.jpg</t>
  </si>
  <si>
    <t>https://dpmzos25m8ivg.cloudfront.net/Documentos/631/01371641145/6310137164114511092023151529.jpg</t>
  </si>
  <si>
    <t>https://dpmzos25m8ivg.cloudfront.net/Documentos/631/01372298282/6310137229828205092023155035.pdf</t>
  </si>
  <si>
    <t>https://dpmzos25m8ivg.cloudfront.net/Documentos/631/01373890355/6310137389035506092023094906.jpeg</t>
  </si>
  <si>
    <t>https://dpmzos25m8ivg.cloudfront.net/Documentos/631/01378906136/6310137890613611092023090727.pdf</t>
  </si>
  <si>
    <t>https://dpmzos25m8ivg.cloudfront.net/Documentos/631/01380194520/6310138019452008092023203844.pdf</t>
  </si>
  <si>
    <t>https://dpmzos25m8ivg.cloudfront.net/Documentos/631/01380381207/6310138038120714092023110304.pdf</t>
  </si>
  <si>
    <t>https://dpmzos25m8ivg.cloudfront.net/Documentos/631/01381045227/6310138104522705092023084647.jpg</t>
  </si>
  <si>
    <t>https://dpmzos25m8ivg.cloudfront.net/Documentos/631/01382873760/6310138287376008092023190847.pdf</t>
  </si>
  <si>
    <t>https://dpmzos25m8ivg.cloudfront.net/Documentos/631/01384131000/6310138413100005092023165431.pdf</t>
  </si>
  <si>
    <t>https://dpmzos25m8ivg.cloudfront.net/Documentos/631/01386214620/6310138621462005092023194032.pdf</t>
  </si>
  <si>
    <t>NÃO ENVIOU</t>
  </si>
  <si>
    <t>https://dpmzos25m8ivg.cloudfront.net/Documentos/631/01387832689/6310138783268911092023163259.jpg</t>
  </si>
  <si>
    <t>https://dpmzos25m8ivg.cloudfront.net/Documentos/631/01393986510/6310139398651006092023090527.pdf</t>
  </si>
  <si>
    <t>https://dpmzos25m8ivg.cloudfront.net/Documentos/631/01396394389/6310139639438905092023100216.pdf</t>
  </si>
  <si>
    <t>https://dpmzos25m8ivg.cloudfront.net/Documentos/631/01399804235/6310139980423514092023103515.pdf</t>
  </si>
  <si>
    <t>https://dpmzos25m8ivg.cloudfront.net/Documentos/631/01400140200/6310140014020014092023141722.pdf</t>
  </si>
  <si>
    <t>https://dpmzos25m8ivg.cloudfront.net/Documentos/631/01401587232/6310140158723211092023095006.pdf</t>
  </si>
  <si>
    <t>https://dpmzos25m8ivg.cloudfront.net/Documentos/631/01402024045/6310140202404511092023101536.pdf</t>
  </si>
  <si>
    <t>https://dpmzos25m8ivg.cloudfront.net/Documentos/631/01404435689/6310140443568907092023211958.jpeg</t>
  </si>
  <si>
    <t>https://dpmzos25m8ivg.cloudfront.net/Documentos/631/01409660214/6310140966021405092023104857.pdf</t>
  </si>
  <si>
    <t>https://dpmzos25m8ivg.cloudfront.net/Documentos/631/01419279173/6310141927917306092023101846.pdf</t>
  </si>
  <si>
    <t>https://dpmzos25m8ivg.cloudfront.net/Documentos/631/01421363445/6310142136344505092023105334.pdf</t>
  </si>
  <si>
    <t>https://dpmzos25m8ivg.cloudfront.net/Documentos/631/01423957229/6310142395722908092023144414.pdf</t>
  </si>
  <si>
    <t>https://dpmzos25m8ivg.cloudfront.net/Documentos/631/01424252490/6310142425249007092023072705.pdf</t>
  </si>
  <si>
    <t>https://dpmzos25m8ivg.cloudfront.net/Documentos/631/01429938242/6310142993824205092023213730.pdf</t>
  </si>
  <si>
    <t>https://dpmzos25m8ivg.cloudfront.net/Documentos/631/01432914677/6310143291467709092023101750.jpeg</t>
  </si>
  <si>
    <t>https://dpmzos25m8ivg.cloudfront.net/Documentos/631/01433557169/6310143355716905092023153630.pdf</t>
  </si>
  <si>
    <t>https://dpmzos25m8ivg.cloudfront.net/Documentos/631/01441915630/6310144191563011092023144505.jpg</t>
  </si>
  <si>
    <t>https://dpmzos25m8ivg.cloudfront.net/Documentos/631/01443845159/6310144384515910092023220956.pdf</t>
  </si>
  <si>
    <t>https://dpmzos25m8ivg.cloudfront.net/Documentos/631/01446411788/6310144641178811092023101256.pdf</t>
  </si>
  <si>
    <t>https://dpmzos25m8ivg.cloudfront.net/Documentos/631/01446866513/6310144686651309092023212240.jpg</t>
  </si>
  <si>
    <t>https://dpmzos25m8ivg.cloudfront.net/Documentos/631/01447950607/6310144795060706092023144854.pdf</t>
  </si>
  <si>
    <t>https://dpmzos25m8ivg.cloudfront.net/Documentos/631/01448847559/6310144884755913092023151012.pdf</t>
  </si>
  <si>
    <t>https://dpmzos25m8ivg.cloudfront.net/Documentos/631/01450642047/6310145064204709092023183428.pdf</t>
  </si>
  <si>
    <t>https://dpmzos25m8ivg.cloudfront.net/Documentos/631/01454589540/6310145458954013092023130003.pdf</t>
  </si>
  <si>
    <t>https://dpmzos25m8ivg.cloudfront.net/Documentos/631/01456142208/6310145614220811092023081805.jpeg</t>
  </si>
  <si>
    <t>https://dpmzos25m8ivg.cloudfront.net/Documentos/631/01458938123/6310145893812306092023122336.pdf</t>
  </si>
  <si>
    <t>https://dpmzos25m8ivg.cloudfront.net/Documentos/631/01465935290/6310146593529013092023132201.pdf</t>
  </si>
  <si>
    <t>https://dpmzos25m8ivg.cloudfront.net/Documentos/631/01470464080/6310147046408011092023133904.jpeg</t>
  </si>
  <si>
    <t>https://dpmzos25m8ivg.cloudfront.net/Documentos/631/01478107600/6310147810760010092023131031.pdf</t>
  </si>
  <si>
    <t>https://dpmzos25m8ivg.cloudfront.net/Documentos/631/01485673127/6310148567312708092023105951.jpg</t>
  </si>
  <si>
    <t>https://dpmzos25m8ivg.cloudfront.net/Documentos/631/01490279075/6310149027907511092023161917.pdf</t>
  </si>
  <si>
    <t>https://dpmzos25m8ivg.cloudfront.net/Documentos/631/01490296590/6310149029659005092023224245.pdf</t>
  </si>
  <si>
    <t>https://dpmzos25m8ivg.cloudfront.net/Documentos/631/01490801405/6310149080140505092023203851.pdf</t>
  </si>
  <si>
    <t>https://dpmzos25m8ivg.cloudfront.net/Documentos/631/01493617508/6310149361750805092023191836.jpg</t>
  </si>
  <si>
    <t>https://dpmzos25m8ivg.cloudfront.net/Documentos/631/01496181239/6310149618123911092023152509.pdf</t>
  </si>
  <si>
    <t>https://dpmzos25m8ivg.cloudfront.net/Documentos/631/01501497600/6310150149760009092023231355.jpeg</t>
  </si>
  <si>
    <t>https://dpmzos25m8ivg.cloudfront.net/Documentos/631/01501599003/6310150159900306092023115400.pdf</t>
  </si>
  <si>
    <t>https://dpmzos25m8ivg.cloudfront.net/Documentos/631/01503945197/6310150394519710092023091104.jpg</t>
  </si>
  <si>
    <t>https://dpmzos25m8ivg.cloudfront.net/Documentos/631/01507673159/6310150767315911092023154619.pdf</t>
  </si>
  <si>
    <t>https://dpmzos25m8ivg.cloudfront.net/Documentos/631/01512289302/6310151228930205092023114057.pdf</t>
  </si>
  <si>
    <t>https://dpmzos25m8ivg.cloudfront.net/Documentos/631/01515088952/6310151508895207092023135350.pdf</t>
  </si>
  <si>
    <t>https://dpmzos25m8ivg.cloudfront.net/Documentos/631/01519736797/6310151973679705092023171046.jpg</t>
  </si>
  <si>
    <t>https://dpmzos25m8ivg.cloudfront.net/Documentos/631/01539211614/6310153921161413092023224624.pdf</t>
  </si>
  <si>
    <t>https://dpmzos25m8ivg.cloudfront.net/Documentos/631/01542718295/6310154271829511092023132630.pdf</t>
  </si>
  <si>
    <t>https://dpmzos25m8ivg.cloudfront.net/Documentos/631/01544991029/6310154499102911092023151312.pdf</t>
  </si>
  <si>
    <t>https://dpmzos25m8ivg.cloudfront.net/Documentos/631/01546334378/6310154633437811092023153041.pdf</t>
  </si>
  <si>
    <t>https://dpmzos25m8ivg.cloudfront.net/Documentos/631/01551626241/6310155162624109092023214050.pdf</t>
  </si>
  <si>
    <t>https://dpmzos25m8ivg.cloudfront.net/Documentos/631/01552329240/6310155232924010092023002437.jpeg</t>
  </si>
  <si>
    <t>https://dpmzos25m8ivg.cloudfront.net/Documentos/631/01553002539/6310155300253908092023072224.jpg</t>
  </si>
  <si>
    <t>https://dpmzos25m8ivg.cloudfront.net/Documentos/631/01555811205/6310155581120505092023162329.pdf</t>
  </si>
  <si>
    <t>https://dpmzos25m8ivg.cloudfront.net/Documentos/631/01557569231/6310155756923108092023183355.pdf</t>
  </si>
  <si>
    <t>https://dpmzos25m8ivg.cloudfront.net/Documentos/631/01560704306/6310156070430607092023144751.pdf</t>
  </si>
  <si>
    <t>https://dpmzos25m8ivg.cloudfront.net/Documentos/631/01561407054/6310156140705407092023125255.pdf</t>
  </si>
  <si>
    <t>https://dpmzos25m8ivg.cloudfront.net/Documentos/631/01562518178/6310156251817806092023180609.pdf</t>
  </si>
  <si>
    <t>https://dpmzos25m8ivg.cloudfront.net/Documentos/631/01564799581/6310156479958111092023122955.jpg</t>
  </si>
  <si>
    <t>https://dpmzos25m8ivg.cloudfront.net/Documentos/631/01566053765/6310156605376505092023125123.jpg</t>
  </si>
  <si>
    <t>https://dpmzos25m8ivg.cloudfront.net/Documentos/631/01567450113/6310156745011311092023154425.pdf</t>
  </si>
  <si>
    <t>https://dpmzos25m8ivg.cloudfront.net/Documentos/631/01568927231/6310156892723110092023195905.pdf</t>
  </si>
  <si>
    <t>https://dpmzos25m8ivg.cloudfront.net/Documentos/631/01569029075/6310156902907511092023154905.pdf</t>
  </si>
  <si>
    <t>https://dpmzos25m8ivg.cloudfront.net/Documentos/631/01569832226/6310156983222611092023120723.pdf</t>
  </si>
  <si>
    <t>https://dpmzos25m8ivg.cloudfront.net/Documentos/631/01573777250/6310157377725011092023144303.pdf</t>
  </si>
  <si>
    <t>https://dpmzos25m8ivg.cloudfront.net/Documentos/631/01574346210/6310157434621011092023135452.pdf</t>
  </si>
  <si>
    <t>https://dpmzos25m8ivg.cloudfront.net/Documentos/631/01584555505/6310158455550511092023115127.jpeg</t>
  </si>
  <si>
    <t>https://dpmzos25m8ivg.cloudfront.net/Documentos/631/01585180637/6310158518063705092023213055.pdf</t>
  </si>
  <si>
    <t>https://dpmzos25m8ivg.cloudfront.net/Documentos/631/01588221105/6310158822110509092023120959.pdf</t>
  </si>
  <si>
    <t>https://dpmzos25m8ivg.cloudfront.net/Documentos/631/01588983463/6310158898346308092023003528.jpg</t>
  </si>
  <si>
    <t>https://dpmzos25m8ivg.cloudfront.net/Documentos/631/01590581717/6310159058171710092023105056.jpeg</t>
  </si>
  <si>
    <t>https://dpmzos25m8ivg.cloudfront.net/Documentos/631/01590887042/6310159088704208092023164812.pdf</t>
  </si>
  <si>
    <t>https://dpmzos25m8ivg.cloudfront.net/Documentos/631/01591325099/6310159132509911092023154824.pdf</t>
  </si>
  <si>
    <t>https://dpmzos25m8ivg.cloudfront.net/Documentos/631/01598448609/6310159844860904092023212448.jpeg</t>
  </si>
  <si>
    <t>https://dpmzos25m8ivg.cloudfront.net/Documentos/631/01600086543/6310160008654309092023134502.jpg</t>
  </si>
  <si>
    <t>https://dpmzos25m8ivg.cloudfront.net/Documentos/631/01600159605/6310160015960507092023143746.jpg</t>
  </si>
  <si>
    <t>https://dpmzos25m8ivg.cloudfront.net/Documentos/631/01602200688/6310160220068809092023133425.jpeg</t>
  </si>
  <si>
    <t>https://dpmzos25m8ivg.cloudfront.net/Documentos/631/01602953600/6310160295360011092023091130.pdf</t>
  </si>
  <si>
    <t>https://dpmzos25m8ivg.cloudfront.net/Documentos/631/01604824700/6310160482470009092023151155.pdf</t>
  </si>
  <si>
    <t>https://dpmzos25m8ivg.cloudfront.net/Documentos/631/01605000280/6310160500028008092023113006.pdf</t>
  </si>
  <si>
    <t>https://dpmzos25m8ivg.cloudfront.net/Documentos/631/01607852608/6310160785260813092023222345.pdf</t>
  </si>
  <si>
    <t>https://dpmzos25m8ivg.cloudfront.net/Documentos/631/01610933702/6310161093370207092023051432.pdf</t>
  </si>
  <si>
    <t>https://dpmzos25m8ivg.cloudfront.net/Documentos/631/01615671269/6310161567126911092023132141.pdf</t>
  </si>
  <si>
    <t>https://dpmzos25m8ivg.cloudfront.net/Documentos/631/01617009180/6310161700918011092023160852.jpg</t>
  </si>
  <si>
    <t>https://dpmzos25m8ivg.cloudfront.net/Documentos/631/01617433152/6310161743315211092023141945.pdf</t>
  </si>
  <si>
    <t>https://dpmzos25m8ivg.cloudfront.net/Documentos/631/01619252430/6310161925243014092023115206.jpg</t>
  </si>
  <si>
    <t>https://dpmzos25m8ivg.cloudfront.net/Documentos/631/01627847677/6310162784767713092023213551.pdf</t>
  </si>
  <si>
    <t>https://dpmzos25m8ivg.cloudfront.net/Documentos/631/01630220469/6310163022046911092023085315.pdf</t>
  </si>
  <si>
    <t>https://dpmzos25m8ivg.cloudfront.net/Documentos/631/01632435144/6310163243514411092023145934.pdf</t>
  </si>
  <si>
    <t>https://dpmzos25m8ivg.cloudfront.net/Documentos/631/01633070670/6310163307067010092023210223.pdf</t>
  </si>
  <si>
    <t>https://dpmzos25m8ivg.cloudfront.net/Documentos/631/01634026209/6310163402620910092023205021.pdf</t>
  </si>
  <si>
    <t>https://dpmzos25m8ivg.cloudfront.net/Documentos/631/01640790250/6310164079025011092023161525.jpg</t>
  </si>
  <si>
    <t>https://dpmzos25m8ivg.cloudfront.net/Documentos/631/01644120267/6310164412026706092023025357.pdf</t>
  </si>
  <si>
    <t>https://dpmzos25m8ivg.cloudfront.net/Documentos/631/01645006263/6310164500626314092023153944.pdf</t>
  </si>
  <si>
    <t>https://dpmzos25m8ivg.cloudfront.net/Documentos/631/01647519985/6310164751998511092023144429.pdf</t>
  </si>
  <si>
    <t>https://dpmzos25m8ivg.cloudfront.net/Documentos/631/01647734100/6310164773410011092023123144.pdf</t>
  </si>
  <si>
    <t>https://dpmzos25m8ivg.cloudfront.net/Documentos/631/01650235623/6310165023562310092023141015.pdf</t>
  </si>
  <si>
    <t>https://dpmzos25m8ivg.cloudfront.net/Documentos/631/01655320092/6310165532009214092023132930.pdf</t>
  </si>
  <si>
    <t>https://dpmzos25m8ivg.cloudfront.net/Documentos/631/01656092654/6310165609265408092023185219.pdf</t>
  </si>
  <si>
    <t>https://dpmzos25m8ivg.cloudfront.net/Documentos/631/01656858320/6310165685832008092023145414.pdf</t>
  </si>
  <si>
    <t>https://dpmzos25m8ivg.cloudfront.net/Documentos/631/01658591720/6310165859172011092023152318.jpg</t>
  </si>
  <si>
    <t>https://dpmzos25m8ivg.cloudfront.net/Documentos/631/01660669405/6310166066940511092023145956.pdf</t>
  </si>
  <si>
    <t>https://dpmzos25m8ivg.cloudfront.net/Documentos/631/01663300194/6310166330019411092023164052.pdf</t>
  </si>
  <si>
    <t>https://dpmzos25m8ivg.cloudfront.net/Documentos/631/01667518127/6310166751812711092023090103.jpg</t>
  </si>
  <si>
    <t>https://dpmzos25m8ivg.cloudfront.net/Documentos/631/01668572206/6310166857220611092023155735.pdf</t>
  </si>
  <si>
    <t>https://dpmzos25m8ivg.cloudfront.net/Documentos/631/01668980231/6310166898023111092023094526.pdf</t>
  </si>
  <si>
    <t>https://dpmzos25m8ivg.cloudfront.net/Documentos/631/01674076436/6310167407643611092023164035.jpeg</t>
  </si>
  <si>
    <t>https://dpmzos25m8ivg.cloudfront.net/Documentos/631/01674804563/6310167480456311092023112311.pdf</t>
  </si>
  <si>
    <t>https://dpmzos25m8ivg.cloudfront.net/Documentos/631/01675405131/6310167540513111092023135930.jpg</t>
  </si>
  <si>
    <t>https://dpmzos25m8ivg.cloudfront.net/Documentos/631/01675797463/6310167579746308092023184735.pdf</t>
  </si>
  <si>
    <t>https://dpmzos25m8ivg.cloudfront.net/Documentos/631/01680033840/6310168003384006092023204927.pdf</t>
  </si>
  <si>
    <t>https://dpmzos25m8ivg.cloudfront.net/Documentos/631/01681473437/6310168147343706092023121504.jpeg</t>
  </si>
  <si>
    <t>https://dpmzos25m8ivg.cloudfront.net/Documentos/631/01682331342/6310168233134211092023153155.pdf</t>
  </si>
  <si>
    <t>https://dpmzos25m8ivg.cloudfront.net/Documentos/631/01686516290/6310168651629011092023115310.pdf</t>
  </si>
  <si>
    <t>https://dpmzos25m8ivg.cloudfront.net/Documentos/631/01687237352/6310168723735209092023171613.pdf</t>
  </si>
  <si>
    <t>https://dpmzos25m8ivg.cloudfront.net/Documentos/631/01688509070/6310168850907010092023154555.jpeg</t>
  </si>
  <si>
    <t>https://dpmzos25m8ivg.cloudfront.net/Documentos/631/01690654139/6310169065413911092023164348.jpeg</t>
  </si>
  <si>
    <t>https://dpmzos25m8ivg.cloudfront.net/Documentos/631/01691654507/6310169165450711092023095324.pdf</t>
  </si>
  <si>
    <t>https://dpmzos25m8ivg.cloudfront.net/Documentos/631/01693095505/6310169309550511092023120753.jpeg</t>
  </si>
  <si>
    <t>https://dpmzos25m8ivg.cloudfront.net/Documentos/631/01694822435/6310169482243513092023202116.jpg</t>
  </si>
  <si>
    <t>https://dpmzos25m8ivg.cloudfront.net/Documentos/631/01698055579/6310169805557906092023074520.pdf</t>
  </si>
  <si>
    <t>https://dpmzos25m8ivg.cloudfront.net/Documentos/631/01702470075/6310170247007505092023175705.pdf</t>
  </si>
  <si>
    <t>https://dpmzos25m8ivg.cloudfront.net/Documentos/631/01709379413/6310170937941311092023154641.jpeg</t>
  </si>
  <si>
    <t>https://dpmzos25m8ivg.cloudfront.net/Documentos/631/01709715200/6310170971520011092023005817.jpg</t>
  </si>
  <si>
    <t>https://dpmzos25m8ivg.cloudfront.net/Documentos/631/01710012579/6310171001257908092023161610.pdf</t>
  </si>
  <si>
    <t>https://dpmzos25m8ivg.cloudfront.net/Documentos/631/01711018201/6310171101820111092023003202.pdf</t>
  </si>
  <si>
    <t>https://dpmzos25m8ivg.cloudfront.net/Documentos/631/01711119237/6310171111923711092023165424.jpeg</t>
  </si>
  <si>
    <t>https://dpmzos25m8ivg.cloudfront.net/Documentos/631/01718168110/6310171816811006092023150551.pdf</t>
  </si>
  <si>
    <t>https://dpmzos25m8ivg.cloudfront.net/Documentos/631/01720191689/6310172019168911092023162611.pdf</t>
  </si>
  <si>
    <t>https://dpmzos25m8ivg.cloudfront.net/Documentos/631/01722781556/6310172278155606092023200124.pdf</t>
  </si>
  <si>
    <t>https://dpmzos25m8ivg.cloudfront.net/Documentos/631/01723787299/6310172378729905092023120234.pdf</t>
  </si>
  <si>
    <t>https://dpmzos25m8ivg.cloudfront.net/Documentos/631/01724171208/6310172417120810092023230911.pdf</t>
  </si>
  <si>
    <t>https://dpmzos25m8ivg.cloudfront.net/Documentos/631/01724217640/6310172421764011092023150750.pdf</t>
  </si>
  <si>
    <t>https://dpmzos25m8ivg.cloudfront.net/Documentos/631/01725708248/6310172570824806092023160855.pdf</t>
  </si>
  <si>
    <t>https://dpmzos25m8ivg.cloudfront.net/Documentos/631/01731187041/6310173118704114092023084838.pdf</t>
  </si>
  <si>
    <t>https://dpmzos25m8ivg.cloudfront.net/Documentos/631/01731454503/6310173145450314092023165453.pdf</t>
  </si>
  <si>
    <t>https://dpmzos25m8ivg.cloudfront.net/Documentos/631/01732043337/6310173204333712092023194448.pdf</t>
  </si>
  <si>
    <t>https://dpmzos25m8ivg.cloudfront.net/Documentos/631/01733099174/6310173309917407092023194106.pdf</t>
  </si>
  <si>
    <t>https://dpmzos25m8ivg.cloudfront.net/Documentos/631/01733723170/6310173372317013092023213404.jpg</t>
  </si>
  <si>
    <t>https://dpmzos25m8ivg.cloudfront.net/Documentos/631/01734449110/6310173444911010092023151053.jpg</t>
  </si>
  <si>
    <t>https://dpmzos25m8ivg.cloudfront.net/Documentos/631/01737313251/6310173731325111092023165116.jpeg</t>
  </si>
  <si>
    <t>https://dpmzos25m8ivg.cloudfront.net/Documentos/631/01741890101/6310174189010107092023195633.pdf</t>
  </si>
  <si>
    <t>https://dpmzos25m8ivg.cloudfront.net/Documentos/631/01745606483/6310174560648311092023133050.pdf</t>
  </si>
  <si>
    <t>https://dpmzos25m8ivg.cloudfront.net/Documentos/631/01746282185/6310174628218511092023131534.pdf</t>
  </si>
  <si>
    <t>https://dpmzos25m8ivg.cloudfront.net/Documentos/631/01747828297/6310174782829714092023165813.jpg</t>
  </si>
  <si>
    <t>https://dpmzos25m8ivg.cloudfront.net/Documentos/631/01750301466/6310175030146613092023223714.pdf</t>
  </si>
  <si>
    <t>https://dpmzos25m8ivg.cloudfront.net/Documentos/631/01752564545/6310175256454506092023154801.jpg</t>
  </si>
  <si>
    <t>https://dpmzos25m8ivg.cloudfront.net/Documentos/631/01752658442/6310175265844208092023124806.pdf</t>
  </si>
  <si>
    <t>https://dpmzos25m8ivg.cloudfront.net/Documentos/631/01753957990/6310175395799011092023161737.pdf</t>
  </si>
  <si>
    <t>https://dpmzos25m8ivg.cloudfront.net/Documentos/631/01756955395/6310175695539510092023222352.jpg</t>
  </si>
  <si>
    <t>https://dpmzos25m8ivg.cloudfront.net/Documentos/631/01757251014/6310175725101405092023131037.pdf</t>
  </si>
  <si>
    <t>https://dpmzos25m8ivg.cloudfront.net/Documentos/631/01757411232/6310175741123213092023130531.pdf</t>
  </si>
  <si>
    <t>https://dpmzos25m8ivg.cloudfront.net/Documentos/631/01758318317/6310175831831711092023132429.pdf</t>
  </si>
  <si>
    <t>https://dpmzos25m8ivg.cloudfront.net/Documentos/631/01759146560/6310175914656005092023200405.pdf</t>
  </si>
  <si>
    <t>https://dpmzos25m8ivg.cloudfront.net/Documentos/631/01761179110/6310176117911011092023110459.pdf</t>
  </si>
  <si>
    <t>https://dpmzos25m8ivg.cloudfront.net/Documentos/631/01764986210/6310176498621008092023131026.pdf</t>
  </si>
  <si>
    <t>https://dpmzos25m8ivg.cloudfront.net/Documentos/631/01767067550/6310176706755008092023130054.jpg</t>
  </si>
  <si>
    <t>https://dpmzos25m8ivg.cloudfront.net/Documentos/631/01768884544/6310176888454410092023051753.pdf</t>
  </si>
  <si>
    <t>https://dpmzos25m8ivg.cloudfront.net/Documentos/631/01768954003/6310176895400310092023233012.jpg</t>
  </si>
  <si>
    <t>https://dpmzos25m8ivg.cloudfront.net/Documentos/631/01772636100/6310177263610010092023214550.pdf</t>
  </si>
  <si>
    <t>https://dpmzos25m8ivg.cloudfront.net/Documentos/631/01774440296/6310177444029606092023092620.pdf</t>
  </si>
  <si>
    <t>https://dpmzos25m8ivg.cloudfront.net/Documentos/631/01774733552/6310177473355211092023154711.pdf</t>
  </si>
  <si>
    <t>https://dpmzos25m8ivg.cloudfront.net/Documentos/631/01780059167/6310178005916711092023161307.jpg</t>
  </si>
  <si>
    <t>https://dpmzos25m8ivg.cloudfront.net/Documentos/631/01781341125/6310178134112514092023115918.pdf</t>
  </si>
  <si>
    <t>https://dpmzos25m8ivg.cloudfront.net/Documentos/631/01784193119/6310178419311911092023084857.pdf</t>
  </si>
  <si>
    <t>https://dpmzos25m8ivg.cloudfront.net/Documentos/631/01785071130/6310178507113005092023222335.jpg</t>
  </si>
  <si>
    <t>https://dpmzos25m8ivg.cloudfront.net/Documentos/631/01785074580/6310178507458005092023191802.pdf</t>
  </si>
  <si>
    <t>https://dpmzos25m8ivg.cloudfront.net/Documentos/631/01787593339/6310178759333909092023115557.pdf</t>
  </si>
  <si>
    <t>https://dpmzos25m8ivg.cloudfront.net/Documentos/631/01788527240/6310178852724013092023025617.pdf</t>
  </si>
  <si>
    <t>https://dpmzos25m8ivg.cloudfront.net/Documentos/631/01788749570/6310178874957008092023215819.pdf</t>
  </si>
  <si>
    <t>https://dpmzos25m8ivg.cloudfront.net/Documentos/631/01788799402/6310178879940207092023153956.pdf</t>
  </si>
  <si>
    <t>https://dpmzos25m8ivg.cloudfront.net/Documentos/631/01789801109/6310178980110911092023164910.jpeg</t>
  </si>
  <si>
    <t>https://dpmzos25m8ivg.cloudfront.net/Documentos/631/01798156288/6310179815628810092023103336.pdf</t>
  </si>
  <si>
    <t>https://dpmzos25m8ivg.cloudfront.net/Documentos/631/01798519003/6310179851900311092023132708.jpg</t>
  </si>
  <si>
    <t>https://dpmzos25m8ivg.cloudfront.net/Documentos/631/01798784505/6310179878450505092023113451.pdf</t>
  </si>
  <si>
    <t>https://dpmzos25m8ivg.cloudfront.net/Documentos/631/01800875096/6310180087509611092023155433.pdf</t>
  </si>
  <si>
    <t>https://dpmzos25m8ivg.cloudfront.net/Documentos/631/01803915005/6310180391500510092023214302.jpeg</t>
  </si>
  <si>
    <t>https://dpmzos25m8ivg.cloudfront.net/Documentos/631/01805269100/6310180526910005092023171542.pdf</t>
  </si>
  <si>
    <t>https://dpmzos25m8ivg.cloudfront.net/Documentos/631/01808808533/6310180880853307092023222543.jpg</t>
  </si>
  <si>
    <t>https://dpmzos25m8ivg.cloudfront.net/Documentos/631/01809449596/6310180944959611092023120231.jpg</t>
  </si>
  <si>
    <t>https://dpmzos25m8ivg.cloudfront.net/Documentos/631/01809653363/6310180965336306092023193706.jpg</t>
  </si>
  <si>
    <t>https://dpmzos25m8ivg.cloudfront.net/Documentos/631/01811507352/6310181150735207092023221932.pdf</t>
  </si>
  <si>
    <t>https://dpmzos25m8ivg.cloudfront.net/Documentos/631/01820900274/6310182090027411092023112342.pdf</t>
  </si>
  <si>
    <t>https://dpmzos25m8ivg.cloudfront.net/Documentos/631/01820932206/6310182093220606092023111636.pdf</t>
  </si>
  <si>
    <t>https://dpmzos25m8ivg.cloudfront.net/Documentos/631/01825211094/6310182521109411092023140705.pdf</t>
  </si>
  <si>
    <t>https://dpmzos25m8ivg.cloudfront.net/Documentos/631/01828016594/6310182801659411092023123352.pdf</t>
  </si>
  <si>
    <t>https://dpmzos25m8ivg.cloudfront.net/Documentos/631/01828672424/6310182867242411092023164752.pdf</t>
  </si>
  <si>
    <t>https://dpmzos25m8ivg.cloudfront.net/Documentos/631/01830073281/6310183007328111092023143849.pdf</t>
  </si>
  <si>
    <t>https://dpmzos25m8ivg.cloudfront.net/Documentos/631/01830359258/6310183035925813092023203124.jpeg</t>
  </si>
  <si>
    <t>https://dpmzos25m8ivg.cloudfront.net/Documentos/631/01832555690/6310183255569013092023224248.pdf</t>
  </si>
  <si>
    <t>https://dpmzos25m8ivg.cloudfront.net/Documentos/631/01834084385/6310183408438509092023210922.jpg</t>
  </si>
  <si>
    <t>https://dpmzos25m8ivg.cloudfront.net/Documentos/631/01837409200/6310183740920014092023114146.pdf</t>
  </si>
  <si>
    <t>https://dpmzos25m8ivg.cloudfront.net/Documentos/631/01838509046/6310183850904613092023115638.jpg</t>
  </si>
  <si>
    <t>https://dpmzos25m8ivg.cloudfront.net/Documentos/631/01839203331/6310183920333108092023080657.pdf</t>
  </si>
  <si>
    <t>https://dpmzos25m8ivg.cloudfront.net/Documentos/631/01843608626/6310184360862613092023222927.jpeg</t>
  </si>
  <si>
    <t>https://dpmzos25m8ivg.cloudfront.net/Documentos/631/01849647097/6310184964709711092023124008.pdf</t>
  </si>
  <si>
    <t>https://dpmzos25m8ivg.cloudfront.net/Documentos/631/01855536560/6310185553656011092023140612.jpg</t>
  </si>
  <si>
    <t>https://dpmzos25m8ivg.cloudfront.net/Documentos/631/01861567235/6310186156723505092023184204.jpeg</t>
  </si>
  <si>
    <t>https://dpmzos25m8ivg.cloudfront.net/Documentos/631/01865748439/6310186574843905092023090534.jpg</t>
  </si>
  <si>
    <t>https://dpmzos25m8ivg.cloudfront.net/Documentos/631/01866374206/6310186637420614092023174700.pdf</t>
  </si>
  <si>
    <t>https://dpmzos25m8ivg.cloudfront.net/Documentos/631/01870456742/6310187045674209092023184640.pdf</t>
  </si>
  <si>
    <t>https://dpmzos25m8ivg.cloudfront.net/Documentos/631/01874717540/6310187471754011092023144347.pdf</t>
  </si>
  <si>
    <t>https://dpmzos25m8ivg.cloudfront.net/Documentos/631/01875419225/6310187541922511092023142413.pdf</t>
  </si>
  <si>
    <t>https://dpmzos25m8ivg.cloudfront.net/Documentos/631/01875692665/6310187569266505092023095321.pdf</t>
  </si>
  <si>
    <t>https://dpmzos25m8ivg.cloudfront.net/Documentos/631/01879100223/6310187910022314092023142329.jpg</t>
  </si>
  <si>
    <t>https://dpmzos25m8ivg.cloudfront.net/Documentos/631/01881661148/6310188166114811092023101858.jpeg</t>
  </si>
  <si>
    <t>https://dpmzos25m8ivg.cloudfront.net/Documentos/631/01882792297/6310188279229707092023213738.pdf</t>
  </si>
  <si>
    <t>https://dpmzos25m8ivg.cloudfront.net/Documentos/631/01883369070/6310188336907010092023225930.jpg</t>
  </si>
  <si>
    <t>https://dpmzos25m8ivg.cloudfront.net/Documentos/631/01884753116/6310188475311606092023110620.pdf</t>
  </si>
  <si>
    <t>https://dpmzos25m8ivg.cloudfront.net/Documentos/631/01885143176/6310188514317606092023160330.pdf</t>
  </si>
  <si>
    <t>https://dpmzos25m8ivg.cloudfront.net/Documentos/631/01886998647/6310188699864706092023120220.pdf</t>
  </si>
  <si>
    <t>https://dpmzos25m8ivg.cloudfront.net/Documentos/631/01889089273/6310188908927310092023175626.pdf</t>
  </si>
  <si>
    <t>https://dpmzos25m8ivg.cloudfront.net/Documentos/631/01889467138/6310188946713806092023154030.pdf</t>
  </si>
  <si>
    <t>https://dpmzos25m8ivg.cloudfront.net/Documentos/631/01889801569/6310188980156910092023165413.pdf</t>
  </si>
  <si>
    <t>https://dpmzos25m8ivg.cloudfront.net/Documentos/631/01891601369/6310189160136914092023154130.jpg</t>
  </si>
  <si>
    <t>https://dpmzos25m8ivg.cloudfront.net/Documentos/631/01895077214/6310189507721413092023224739.pdf</t>
  </si>
  <si>
    <t>https://dpmzos25m8ivg.cloudfront.net/Documentos/631/01897881789/6310189788178906092023173147.pdf</t>
  </si>
  <si>
    <t>https://dpmzos25m8ivg.cloudfront.net/Documentos/631/01898827605/6310189882760508092023213256.pdf</t>
  </si>
  <si>
    <t>https://dpmzos25m8ivg.cloudfront.net/Documentos/631/01903259924/6310190325992413092023193059.pdf</t>
  </si>
  <si>
    <t>https://dpmzos25m8ivg.cloudfront.net/Documentos/631/01904503551/6310190450355111092023164706.jpg</t>
  </si>
  <si>
    <t>https://dpmzos25m8ivg.cloudfront.net/Documentos/631/01906136378/6310190613637808092023230936.pdf</t>
  </si>
  <si>
    <t>https://dpmzos25m8ivg.cloudfront.net/Documentos/631/01906815356/6310190681535611092023155634.jpeg</t>
  </si>
  <si>
    <t>https://dpmzos25m8ivg.cloudfront.net/Documentos/631/01908827190/6310190882719009092023164832.pdf</t>
  </si>
  <si>
    <t>https://dpmzos25m8ivg.cloudfront.net/Documentos/631/01909659169/6310190965916906092023014624.jpeg</t>
  </si>
  <si>
    <t>https://dpmzos25m8ivg.cloudfront.net/Documentos/631/01911725610/6310191172561011092023114850.pdf</t>
  </si>
  <si>
    <t>https://dpmzos25m8ivg.cloudfront.net/Documentos/631/01912459256/6310191245925611092023144750.pdf</t>
  </si>
  <si>
    <t>https://dpmzos25m8ivg.cloudfront.net/Documentos/631/01918112541/6310191811254111092023114247.jpg</t>
  </si>
  <si>
    <t>https://dpmzos25m8ivg.cloudfront.net/Documentos/631/01918344248/6310191834424805092023143205.pdf</t>
  </si>
  <si>
    <t>https://dpmzos25m8ivg.cloudfront.net/Documentos/631/01919001255/6310191900125505092023144645.pdf</t>
  </si>
  <si>
    <t>https://dpmzos25m8ivg.cloudfront.net/Documentos/631/01921776560/6310192177656011092023105734.jpg</t>
  </si>
  <si>
    <t>https://dpmzos25m8ivg.cloudfront.net/Documentos/631/01923330110/6310192333011011092023153733.pdf</t>
  </si>
  <si>
    <t>https://dpmzos25m8ivg.cloudfront.net/Documentos/631/01924669099/6310192466909914092023142819.jpg</t>
  </si>
  <si>
    <t>https://dpmzos25m8ivg.cloudfront.net/Documentos/631/01928293190/6310192829319013092023145045.jpeg</t>
  </si>
  <si>
    <t>https://dpmzos25m8ivg.cloudfront.net/Documentos/631/01931974055/6310193197405508092023163521.pdf</t>
  </si>
  <si>
    <t>https://dpmzos25m8ivg.cloudfront.net/Documentos/631/01934777501/6310193477750111092023144950.pdf</t>
  </si>
  <si>
    <t>https://dpmzos25m8ivg.cloudfront.net/Documentos/631/01936072122/6310193607212207092023135646.jpg</t>
  </si>
  <si>
    <t>https://dpmzos25m8ivg.cloudfront.net/Documentos/631/01936792052/6310193679205205092023134957.pdf</t>
  </si>
  <si>
    <t>https://dpmzos25m8ivg.cloudfront.net/Documentos/631/01937165698/6310193716569809092023160937.pdf</t>
  </si>
  <si>
    <t>https://dpmzos25m8ivg.cloudfront.net/Documentos/631/01937516822/6310193751682211092023132904.pdf</t>
  </si>
  <si>
    <t>https://dpmzos25m8ivg.cloudfront.net/Documentos/631/01945901195/6310194590119511092023131722.pdf</t>
  </si>
  <si>
    <t>https://dpmzos25m8ivg.cloudfront.net/Documentos/631/01949196763/6310194919676311092023153507.pdf</t>
  </si>
  <si>
    <t>https://dpmzos25m8ivg.cloudfront.net/Documentos/631/01950814718/6310195081471805092023204203.jpg</t>
  </si>
  <si>
    <t>https://dpmzos25m8ivg.cloudfront.net/Documentos/631/01951390202/6310195139020211092023153917.pdf</t>
  </si>
  <si>
    <t>https://dpmzos25m8ivg.cloudfront.net/Documentos/631/01951669223/6310195166922310092023133155.pdf</t>
  </si>
  <si>
    <t>https://dpmzos25m8ivg.cloudfront.net/Documentos/631/01956431195/6310195643119510092023180012.jpg</t>
  </si>
  <si>
    <t>https://dpmzos25m8ivg.cloudfront.net/Documentos/631/01958465593/6310195846559304092023202603.pdf</t>
  </si>
  <si>
    <t>https://dpmzos25m8ivg.cloudfront.net/Documentos/631/01958627240/6310195862724006092023122648.pdf</t>
  </si>
  <si>
    <t>https://dpmzos25m8ivg.cloudfront.net/Documentos/631/01958825204/6310195882520405092023205101.pdf</t>
  </si>
  <si>
    <t>https://dpmzos25m8ivg.cloudfront.net/Documentos/631/01959910108/6310195991010811092023163335.jpeg</t>
  </si>
  <si>
    <t>https://dpmzos25m8ivg.cloudfront.net/Documentos/631/01963812239/6310196381223911092023094542.pdf</t>
  </si>
  <si>
    <t>https://dpmzos25m8ivg.cloudfront.net/Documentos/631/01969697601/6310196969760111092023151054.pdf</t>
  </si>
  <si>
    <t>https://dpmzos25m8ivg.cloudfront.net/Documentos/631/01975433246/6310197543324611092023135740.jpg</t>
  </si>
  <si>
    <t>https://dpmzos25m8ivg.cloudfront.net/Documentos/631/01976446279/6310197644627905092023181301.jpeg</t>
  </si>
  <si>
    <t>https://dpmzos25m8ivg.cloudfront.net/Documentos/631/01978582285/6310197858228506092023110136.pdf</t>
  </si>
  <si>
    <t>https://dpmzos25m8ivg.cloudfront.net/Documentos/631/01980085030/6310198008503005092023134014.jpeg</t>
  </si>
  <si>
    <t>https://dpmzos25m8ivg.cloudfront.net/Documentos/631/01980695962/6310198069596206092023100917.pdf</t>
  </si>
  <si>
    <t>https://dpmzos25m8ivg.cloudfront.net/Documentos/631/01981813616/6310198181361610092023103825.pdf</t>
  </si>
  <si>
    <t>https://dpmzos25m8ivg.cloudfront.net/Documentos/631/01982164247/6310198216424711092023000745.jpg</t>
  </si>
  <si>
    <t>https://dpmzos25m8ivg.cloudfront.net/Documentos/631/01986782581/6310198678258105092023113417.pdf</t>
  </si>
  <si>
    <t>https://dpmzos25m8ivg.cloudfront.net/Documentos/631/01987273133/6310198727313308092023122520.pdf</t>
  </si>
  <si>
    <t>https://dpmzos25m8ivg.cloudfront.net/Documentos/631/01987359100/6310198735910010092023162811.pdf</t>
  </si>
  <si>
    <t>https://dpmzos25m8ivg.cloudfront.net/Documentos/631/01990088503/6310199008850305092023003930.pdf</t>
  </si>
  <si>
    <t>https://dpmzos25m8ivg.cloudfront.net/Documentos/631/01992780595/6310199278059511092023083404.pdf</t>
  </si>
  <si>
    <t>https://dpmzos25m8ivg.cloudfront.net/Documentos/631/01993409513/6310199340951313092023172656.pdf</t>
  </si>
  <si>
    <t>https://dpmzos25m8ivg.cloudfront.net/Documentos/631/01997675641/6310199767564110092023234230.pdf</t>
  </si>
  <si>
    <t>https://dpmzos25m8ivg.cloudfront.net/Documentos/631/01999056736/6310199905673605092023221505.pdf</t>
  </si>
  <si>
    <t>https://dpmzos25m8ivg.cloudfront.net/Documentos/631/02000518222/6310200051822211092023162701.jpg</t>
  </si>
  <si>
    <t>https://dpmzos25m8ivg.cloudfront.net/Documentos/631/02006185128/6310200618512807092023124144.jpg</t>
  </si>
  <si>
    <t>https://dpmzos25m8ivg.cloudfront.net/Documentos/631/02013357435/6310201335743511092023124121.jpg</t>
  </si>
  <si>
    <t>https://dpmzos25m8ivg.cloudfront.net/Documentos/631/02017314285/6310201731428511092023121745.pdf</t>
  </si>
  <si>
    <t>https://dpmzos25m8ivg.cloudfront.net/Documentos/631/02017340600/6310201734060010092023141347.pdf</t>
  </si>
  <si>
    <t>https://dpmzos25m8ivg.cloudfront.net/Documentos/631/02020110547/6310202011054707092023152632.pdf</t>
  </si>
  <si>
    <t>https://dpmzos25m8ivg.cloudfront.net/Documentos/631/02020276518/6310202027651814092023142318.pdf</t>
  </si>
  <si>
    <t>https://dpmzos25m8ivg.cloudfront.net/Documentos/631/02022197208/6310202219720811092023142246.pdf</t>
  </si>
  <si>
    <t>https://dpmzos25m8ivg.cloudfront.net/Documentos/631/02030067636/6310203006763610092023220520.jpeg</t>
  </si>
  <si>
    <t>https://dpmzos25m8ivg.cloudfront.net/Documentos/631/02031225189/6310203122518911092023081625.pdf</t>
  </si>
  <si>
    <t>https://dpmzos25m8ivg.cloudfront.net/Documentos/631/02031832077/6310203183207711092023142129.pdf</t>
  </si>
  <si>
    <t>https://dpmzos25m8ivg.cloudfront.net/Documentos/631/02031977202/6310203197720207092023144855.pdf</t>
  </si>
  <si>
    <t>https://dpmzos25m8ivg.cloudfront.net/Documentos/631/02032377225/6310203237722514092023154025.pdf</t>
  </si>
  <si>
    <t>https://dpmzos25m8ivg.cloudfront.net/Documentos/631/02036730698/6310203673069810092023102311.pdf</t>
  </si>
  <si>
    <t>https://dpmzos25m8ivg.cloudfront.net/Documentos/631/02041277343/6310204127734306092023081750.pdf</t>
  </si>
  <si>
    <t>https://dpmzos25m8ivg.cloudfront.net/Documentos/631/02044922380/6310204492238011092023164055.pdf</t>
  </si>
  <si>
    <t>https://dpmzos25m8ivg.cloudfront.net/Documentos/631/02046417720/6310204641772011092023032448.pdf</t>
  </si>
  <si>
    <t>https://dpmzos25m8ivg.cloudfront.net/Documentos/631/02048115462/6310204811546207092023172525.pdf</t>
  </si>
  <si>
    <t>https://dpmzos25m8ivg.cloudfront.net/Documentos/631/02055479237/6310205547923710092023121217.jpg</t>
  </si>
  <si>
    <t>https://dpmzos25m8ivg.cloudfront.net/Documentos/631/02055584103/6310205558410308092023150854.pdf</t>
  </si>
  <si>
    <t>https://dpmzos25m8ivg.cloudfront.net/Documentos/631/02056252317/6310205625231710092023214309.pdf</t>
  </si>
  <si>
    <t>https://dpmzos25m8ivg.cloudfront.net/Documentos/631/02056507323/6310205650732314092023141839.jpg</t>
  </si>
  <si>
    <t>https://dpmzos25m8ivg.cloudfront.net/Documentos/631/02058044380/6310205804438014092023074708.jpg</t>
  </si>
  <si>
    <t>https://dpmzos25m8ivg.cloudfront.net/Documentos/631/02058160614/6310205816061405092023003125.pdf</t>
  </si>
  <si>
    <t>https://dpmzos25m8ivg.cloudfront.net/Documentos/631/02060602629/6310206060262910092023190119.pdf</t>
  </si>
  <si>
    <t>https://dpmzos25m8ivg.cloudfront.net/Documentos/631/02067610236/6310206761023608092023122833.pdf</t>
  </si>
  <si>
    <t>https://dpmzos25m8ivg.cloudfront.net/Documentos/631/02069519147/6310206951914711092023142253.pdf</t>
  </si>
  <si>
    <t>https://dpmzos25m8ivg.cloudfront.net/Documentos/631/02070341178/6310207034117805092023123112.pdf</t>
  </si>
  <si>
    <t>https://dpmzos25m8ivg.cloudfront.net/Documentos/631/02071764692/6310207176469214092023141416.pdf</t>
  </si>
  <si>
    <t>https://dpmzos25m8ivg.cloudfront.net/Documentos/631/02074476671/6310207447667111092023134906.jpg</t>
  </si>
  <si>
    <t>https://dpmzos25m8ivg.cloudfront.net/Documentos/631/02079951505/6310207995150510092023000317.pdf</t>
  </si>
  <si>
    <t>https://dpmzos25m8ivg.cloudfront.net/Documentos/631/02080995227/6310208099522713092023162732.jpg</t>
  </si>
  <si>
    <t>https://dpmzos25m8ivg.cloudfront.net/Documentos/631/02083138341/6310208313834107092023231948.pdf</t>
  </si>
  <si>
    <t>https://dpmzos25m8ivg.cloudfront.net/Documentos/631/02083818130/6310208381813011092023134315.jpeg</t>
  </si>
  <si>
    <t>https://dpmzos25m8ivg.cloudfront.net/Documentos/631/02086955596/6310208695559610092023185612.pdf</t>
  </si>
  <si>
    <t>https://dpmzos25m8ivg.cloudfront.net/Documentos/631/02089940255/6310208994025514092023074025.jpg</t>
  </si>
  <si>
    <t>https://dpmzos25m8ivg.cloudfront.net/Documentos/631/02094857018/6310209485701805092023132654.pdf</t>
  </si>
  <si>
    <t>https://dpmzos25m8ivg.cloudfront.net/Documentos/631/02096788609/6310209678860906092023123152.jpg</t>
  </si>
  <si>
    <t>https://dpmzos25m8ivg.cloudfront.net/Documentos/631/02099687102/6310209968710208092023120904.jpeg</t>
  </si>
  <si>
    <t>https://dpmzos25m8ivg.cloudfront.net/Documentos/631/02100492276/6310210049227606092023195815.pdf</t>
  </si>
  <si>
    <t>https://dpmzos25m8ivg.cloudfront.net/Documentos/631/02102907147/6310210290714711092023143349.pdf</t>
  </si>
  <si>
    <t>https://dpmzos25m8ivg.cloudfront.net/Documentos/631/02102914518/6310210291451811092023034056.jpeg</t>
  </si>
  <si>
    <t>https://dpmzos25m8ivg.cloudfront.net/Documentos/631/02103102860/6310210310286010092023114729.pdf</t>
  </si>
  <si>
    <t>https://dpmzos25m8ivg.cloudfront.net/Documentos/631/02103989732/6310210398973211092023164116.pdf</t>
  </si>
  <si>
    <t>https://dpmzos25m8ivg.cloudfront.net/Documentos/631/02110289325/6310211028932507092023115852.pdf</t>
  </si>
  <si>
    <t>https://dpmzos25m8ivg.cloudfront.net/Documentos/631/02110479108/6310211047910813092023205135.jpg</t>
  </si>
  <si>
    <t>https://dpmzos25m8ivg.cloudfront.net/Documentos/631/02114203280/6310211420328008092023181201.pdf</t>
  </si>
  <si>
    <t>https://dpmzos25m8ivg.cloudfront.net/Documentos/631/02115138570/6310211513857005092023113732.jpg</t>
  </si>
  <si>
    <t>https://dpmzos25m8ivg.cloudfront.net/Documentos/631/02120504008/6310212050400809092023104442.jpg</t>
  </si>
  <si>
    <t>https://dpmzos25m8ivg.cloudfront.net/Documentos/631/02121829199/6310212182919908092023190325.jpg</t>
  </si>
  <si>
    <t>https://dpmzos25m8ivg.cloudfront.net/Documentos/631/02122036575/6310212203657505092023145431.pdf</t>
  </si>
  <si>
    <t>https://dpmzos25m8ivg.cloudfront.net/Documentos/631/02124434292/6310212443429211092023103959.pdf</t>
  </si>
  <si>
    <t>https://dpmzos25m8ivg.cloudfront.net/Documentos/631/02124779516/6310212477951611092023132737.jpg</t>
  </si>
  <si>
    <t>https://dpmzos25m8ivg.cloudfront.net/Documentos/631/02125077450/6310212507745011092023131217.jpg</t>
  </si>
  <si>
    <t>https://dpmzos25m8ivg.cloudfront.net/Documentos/631/02128627150/6310212862715007092023154820.jpeg</t>
  </si>
  <si>
    <t>https://dpmzos25m8ivg.cloudfront.net/Documentos/631/02130241603/6310213024160308092023112045.pdf</t>
  </si>
  <si>
    <t>https://dpmzos25m8ivg.cloudfront.net/Documentos/631/02133853847/6310213385384709092023152017.pdf</t>
  </si>
  <si>
    <t>https://dpmzos25m8ivg.cloudfront.net/Documentos/631/02134933224/6310213493322411092023152508.pdf</t>
  </si>
  <si>
    <t>https://dpmzos25m8ivg.cloudfront.net/Documentos/631/02136070509/6310213607050911092023164417.jpg</t>
  </si>
  <si>
    <t>https://dpmzos25m8ivg.cloudfront.net/Documentos/631/02138098427/6310213809842714092023155458.pdf</t>
  </si>
  <si>
    <t>https://dpmzos25m8ivg.cloudfront.net/Documentos/631/02138845508/6310213884550805092023195248.jpg</t>
  </si>
  <si>
    <t>https://dpmzos25m8ivg.cloudfront.net/Documentos/631/02143042213/6310214304221310092023223758.pdf</t>
  </si>
  <si>
    <t>https://dpmzos25m8ivg.cloudfront.net/Documentos/631/02143378718/6310214337871806092023181331.pdf</t>
  </si>
  <si>
    <t>https://dpmzos25m8ivg.cloudfront.net/Documentos/631/02145993614/6310214599361411092023104000.pdf</t>
  </si>
  <si>
    <t>https://dpmzos25m8ivg.cloudfront.net/Documentos/631/02146157151/6310214615715111092023161056.pdf</t>
  </si>
  <si>
    <t>https://dpmzos25m8ivg.cloudfront.net/Documentos/631/02149799111/6310214979911111092023123527.pdf</t>
  </si>
  <si>
    <t>https://dpmzos25m8ivg.cloudfront.net/Documentos/631/02150725533/6310215072553309092023182225.jpg</t>
  </si>
  <si>
    <t>https://dpmzos25m8ivg.cloudfront.net/Documentos/631/02154472397/6310215447239710092023165726.pdf</t>
  </si>
  <si>
    <t>https://dpmzos25m8ivg.cloudfront.net/Documentos/631/02155573103/6310215557310310092023220105.pdf</t>
  </si>
  <si>
    <t>https://dpmzos25m8ivg.cloudfront.net/Documentos/631/02157962506/6310215796250611092023154131.pdf</t>
  </si>
  <si>
    <t>https://dpmzos25m8ivg.cloudfront.net/Documentos/631/02161669699/6310216166969911092023164629.pdf</t>
  </si>
  <si>
    <t>https://dpmzos25m8ivg.cloudfront.net/Documentos/631/02165170109/6310216517010909092023235622.pdf</t>
  </si>
  <si>
    <t>https://dpmzos25m8ivg.cloudfront.net/Documentos/631/02166185339/6310216618533905092023090359.pdf</t>
  </si>
  <si>
    <t>https://dpmzos25m8ivg.cloudfront.net/Documentos/631/02167171242/6310216717124205092023091647.jpg</t>
  </si>
  <si>
    <t>https://dpmzos25m8ivg.cloudfront.net/Documentos/631/02171536314/6310217153631413092023200910.pdf</t>
  </si>
  <si>
    <t>https://dpmzos25m8ivg.cloudfront.net/Documentos/631/02172333174/6310217233317408092023195347.pdf</t>
  </si>
  <si>
    <t>https://dpmzos25m8ivg.cloudfront.net/Documentos/631/02172999113/6310217299911310092023195639.pdf</t>
  </si>
  <si>
    <t>https://dpmzos25m8ivg.cloudfront.net/Documentos/631/02173268112/6310217326811211092023161650.jpeg</t>
  </si>
  <si>
    <t>https://dpmzos25m8ivg.cloudfront.net/Documentos/631/02173855751/6310217385575108092023222734.pdf</t>
  </si>
  <si>
    <t>https://dpmzos25m8ivg.cloudfront.net/Documentos/631/02180763638/6310218076363810092023222020.pdf</t>
  </si>
  <si>
    <t>https://dpmzos25m8ivg.cloudfront.net/Documentos/631/02186979020/6310218697902011092023143726.pdf</t>
  </si>
  <si>
    <t>https://dpmzos25m8ivg.cloudfront.net/Documentos/631/02188667557/6310218866755711092023161154.pdf</t>
  </si>
  <si>
    <t>https://dpmzos25m8ivg.cloudfront.net/Documentos/631/02194581111/6310219458111111092023123930.pdf</t>
  </si>
  <si>
    <t>https://dpmzos25m8ivg.cloudfront.net/Documentos/631/02194797122/6310219479712211092023093626.pdf</t>
  </si>
  <si>
    <t>https://dpmzos25m8ivg.cloudfront.net/Documentos/631/02195843624/6310219584362405092023195307.pdf</t>
  </si>
  <si>
    <t>https://dpmzos25m8ivg.cloudfront.net/Documentos/631/02199958345/6310219995834511092023104145.jpeg</t>
  </si>
  <si>
    <t>https://dpmzos25m8ivg.cloudfront.net/Documentos/631/02201608059/6310220160805905092023084343.pdf</t>
  </si>
  <si>
    <t>https://dpmzos25m8ivg.cloudfront.net/Documentos/631/02201758379/6310220175837911092023140528.pdf</t>
  </si>
  <si>
    <t>https://dpmzos25m8ivg.cloudfront.net/Documentos/631/02209029252/6310220902925214092023013014.pdf</t>
  </si>
  <si>
    <t>https://dpmzos25m8ivg.cloudfront.net/Documentos/631/02213668302/6310221366830211092023154921.pdf</t>
  </si>
  <si>
    <t>https://dpmzos25m8ivg.cloudfront.net/Documentos/631/02214187251/6310221418725113092023180414.jpeg</t>
  </si>
  <si>
    <t>https://dpmzos25m8ivg.cloudfront.net/Documentos/631/02217488228/6310221748822811092023122529.pdf</t>
  </si>
  <si>
    <t>https://dpmzos25m8ivg.cloudfront.net/Documentos/631/02219002500/6310221900250014092023154049.pdf</t>
  </si>
  <si>
    <t>https://dpmzos25m8ivg.cloudfront.net/Documentos/631/02220771407/6310222077140706092023121032.jpeg</t>
  </si>
  <si>
    <t>https://dpmzos25m8ivg.cloudfront.net/Documentos/631/02228353205/6310222835320510092023225633.jpg</t>
  </si>
  <si>
    <t>https://dpmzos25m8ivg.cloudfront.net/Documentos/631/02230515519/6310223051551906092023204607.jpg</t>
  </si>
  <si>
    <t>https://dpmzos25m8ivg.cloudfront.net/Documentos/631/02236422237/6310223642223707092023131240.pdf</t>
  </si>
  <si>
    <t>https://dpmzos25m8ivg.cloudfront.net/Documentos/631/02236969198/6310223696919810092023214656.jpg</t>
  </si>
  <si>
    <t>https://dpmzos25m8ivg.cloudfront.net/Documentos/631/02241585114/6310224158511411092023153804.pdf</t>
  </si>
  <si>
    <t>https://dpmzos25m8ivg.cloudfront.net/Documentos/631/02241819123/6310224181912308092023010858.jpg</t>
  </si>
  <si>
    <t>https://dpmzos25m8ivg.cloudfront.net/Documentos/631/02247602622/6310224760262206092023093501.pdf</t>
  </si>
  <si>
    <t>https://dpmzos25m8ivg.cloudfront.net/Documentos/631/02259286127/6310225928612711092023145222.pdf</t>
  </si>
  <si>
    <t>https://dpmzos25m8ivg.cloudfront.net/Documentos/631/02264228288/6310226422828811092023094559.pdf</t>
  </si>
  <si>
    <t>https://dpmzos25m8ivg.cloudfront.net/Documentos/631/02264320176/6310226432017611092023131247.pdf</t>
  </si>
  <si>
    <t>https://dpmzos25m8ivg.cloudfront.net/Documentos/631/02265747254/6310226574725414092023141522.pdf</t>
  </si>
  <si>
    <t>https://dpmzos25m8ivg.cloudfront.net/Documentos/631/02267868628/6310226786862806092023101013.pdf</t>
  </si>
  <si>
    <t>https://dpmzos25m8ivg.cloudfront.net/Documentos/631/02268196127/6310226819612711092023132119.pdf</t>
  </si>
  <si>
    <t>https://dpmzos25m8ivg.cloudfront.net/Documentos/631/02268530124/6310226853012406092023134120.jpeg</t>
  </si>
  <si>
    <t>https://dpmzos25m8ivg.cloudfront.net/Documentos/631/02268936341/6310226893634105092023181940.pdf</t>
  </si>
  <si>
    <t>https://dpmzos25m8ivg.cloudfront.net/Documentos/631/02270492099/6310227049209907092023134353.pdf</t>
  </si>
  <si>
    <t>https://dpmzos25m8ivg.cloudfront.net/Documentos/631/02272025200/6310227202520013092023104849.pdf</t>
  </si>
  <si>
    <t>https://dpmzos25m8ivg.cloudfront.net/Documentos/631/02273122950/6310227312295014092023162408.pdf</t>
  </si>
  <si>
    <t>https://dpmzos25m8ivg.cloudfront.net/Documentos/631/02274168130/6310227416813012092023224846.jpg</t>
  </si>
  <si>
    <t>https://dpmzos25m8ivg.cloudfront.net/Documentos/631/02276306459/6310227630645911092023101356.pdf</t>
  </si>
  <si>
    <t>https://dpmzos25m8ivg.cloudfront.net/Documentos/631/02279899299/6310227989929905092023101201.pdf</t>
  </si>
  <si>
    <t>https://dpmzos25m8ivg.cloudfront.net/Documentos/631/02283039312/6310228303931211092023151529.jpeg</t>
  </si>
  <si>
    <t>https://dpmzos25m8ivg.cloudfront.net/Documentos/631/02284891136/6310228489113612092023183550.pdf</t>
  </si>
  <si>
    <t>https://dpmzos25m8ivg.cloudfront.net/Documentos/631/02289672440/6310228967244005092023105421.pdf</t>
  </si>
  <si>
    <t>https://dpmzos25m8ivg.cloudfront.net/Documentos/631/02290673102/6310229067310206092023065149.pdf</t>
  </si>
  <si>
    <t>https://dpmzos25m8ivg.cloudfront.net/Documentos/631/02291721992/6310229172199207092023193113.pdf</t>
  </si>
  <si>
    <t>https://dpmzos25m8ivg.cloudfront.net/Documentos/631/02295518580/6310229551858006092023210103.pdf</t>
  </si>
  <si>
    <t>https://dpmzos25m8ivg.cloudfront.net/Documentos/631/02301184293/6310230118429305092023103819.pdf</t>
  </si>
  <si>
    <t>https://dpmzos25m8ivg.cloudfront.net/Documentos/631/02301684261/6310230168426111092023133054.jpeg</t>
  </si>
  <si>
    <t>https://dpmzos25m8ivg.cloudfront.net/Documentos/631/02303193001/6310230319300111092023153334.pdf</t>
  </si>
  <si>
    <t>https://dpmzos25m8ivg.cloudfront.net/Documentos/631/02306221197/6310230622119711092023145922.pdf</t>
  </si>
  <si>
    <t>https://dpmzos25m8ivg.cloudfront.net/Documentos/631/02306431752/6310230643175214092023000611.pdf</t>
  </si>
  <si>
    <t>https://dpmzos25m8ivg.cloudfront.net/Documentos/631/02308907681/6310230890768111092023162649.pdf</t>
  </si>
  <si>
    <t>https://dpmzos25m8ivg.cloudfront.net/Documentos/631/02312053250/6310231205325009092023144937.pdf</t>
  </si>
  <si>
    <t>https://dpmzos25m8ivg.cloudfront.net/Documentos/631/02312101670/6310231210167008092023172702.jpg</t>
  </si>
  <si>
    <t>https://dpmzos25m8ivg.cloudfront.net/Documentos/631/02314120108/6310231412010807092023113019.jpg</t>
  </si>
  <si>
    <t>https://dpmzos25m8ivg.cloudfront.net/Documentos/631/02314839706/6310231483970611092023095205.jpeg</t>
  </si>
  <si>
    <t>https://dpmzos25m8ivg.cloudfront.net/Documentos/631/02320154221/6310232015422111092023161543.jpeg</t>
  </si>
  <si>
    <t>https://dpmzos25m8ivg.cloudfront.net/Documentos/631/02320689508/6310232068950811092023154728.jpg</t>
  </si>
  <si>
    <t>https://dpmzos25m8ivg.cloudfront.net/Documentos/631/02324100622/6310232410062209092023114609.jpeg</t>
  </si>
  <si>
    <t>https://dpmzos25m8ivg.cloudfront.net/Documentos/631/02326707575/6310232670757505092023211355.jpg</t>
  </si>
  <si>
    <t>https://dpmzos25m8ivg.cloudfront.net/Documentos/631/02332291164/6310233229116410092023195003.jpg</t>
  </si>
  <si>
    <t>https://dpmzos25m8ivg.cloudfront.net/Documentos/631/02335886045/6310233588604510092023214246.pdf</t>
  </si>
  <si>
    <t>https://dpmzos25m8ivg.cloudfront.net/Documentos/631/02337292240/6310233729224005092023225811.pdf</t>
  </si>
  <si>
    <t>https://dpmzos25m8ivg.cloudfront.net/Documentos/631/02338298225/6310233829822511092023145013.pdf</t>
  </si>
  <si>
    <t>https://dpmzos25m8ivg.cloudfront.net/Documentos/631/02339424917/6310233942491704092023225816.pdf</t>
  </si>
  <si>
    <t>https://dpmzos25m8ivg.cloudfront.net/Documentos/631/02341426506/6310234142650609092023114638.jpeg</t>
  </si>
  <si>
    <t>https://dpmzos25m8ivg.cloudfront.net/Documentos/631/02342007582/6310234200758205092023112558.pdf</t>
  </si>
  <si>
    <t>https://dpmzos25m8ivg.cloudfront.net/Documentos/631/02342070276/6310234207027611092023163824.pdf</t>
  </si>
  <si>
    <t>https://dpmzos25m8ivg.cloudfront.net/Documentos/631/02344509160/6310234450916013092023182518.pdf</t>
  </si>
  <si>
    <t>https://dpmzos25m8ivg.cloudfront.net/Documentos/631/02346205524/6310234620552407092023105140.pdf</t>
  </si>
  <si>
    <t>https://dpmzos25m8ivg.cloudfront.net/Documentos/631/02346452882/6310234645288208092023205656.pdf</t>
  </si>
  <si>
    <t>https://dpmzos25m8ivg.cloudfront.net/Documentos/631/02347042092/6310234704209214092023162724.pdf</t>
  </si>
  <si>
    <t>https://dpmzos25m8ivg.cloudfront.net/Documentos/631/02347978276/6310234797827611092023162151.pdf</t>
  </si>
  <si>
    <t>https://dpmzos25m8ivg.cloudfront.net/Documentos/631/02352305020/6310235230502004092023211735.pdf</t>
  </si>
  <si>
    <t>https://dpmzos25m8ivg.cloudfront.net/Documentos/631/02352884039/6310235288403914092023160017.jpg</t>
  </si>
  <si>
    <t>https://dpmzos25m8ivg.cloudfront.net/Documentos/631/02353564330/6310235356433009092023213632.pdf</t>
  </si>
  <si>
    <t>https://dpmzos25m8ivg.cloudfront.net/Documentos/631/02355358427/6310235535842707092023234826.jpeg</t>
  </si>
  <si>
    <t>https://dpmzos25m8ivg.cloudfront.net/Documentos/631/02357336790/6310235733679011092023141746.pdf</t>
  </si>
  <si>
    <t>https://dpmzos25m8ivg.cloudfront.net/Documentos/631/02358659150/6310235865915005092023111412.jpeg</t>
  </si>
  <si>
    <t>https://dpmzos25m8ivg.cloudfront.net/Documentos/631/02358800279/6310235880027911092023112236.pdf</t>
  </si>
  <si>
    <t>https://dpmzos25m8ivg.cloudfront.net/Documentos/631/02359708244/6310235970824409092023141129.jpg</t>
  </si>
  <si>
    <t>https://dpmzos25m8ivg.cloudfront.net/Documentos/631/02360316273/6310236031627311092023131402.pdf</t>
  </si>
  <si>
    <t>https://dpmzos25m8ivg.cloudfront.net/Documentos/631/02362518213/6310236251821311092023103053.pdf</t>
  </si>
  <si>
    <t>https://dpmzos25m8ivg.cloudfront.net/Documentos/631/02362943267/6310236294326706092023023824.pdf</t>
  </si>
  <si>
    <t>https://dpmzos25m8ivg.cloudfront.net/Documentos/631/02363235630/6310236323563010092023133549.pdf</t>
  </si>
  <si>
    <t>https://dpmzos25m8ivg.cloudfront.net/Documentos/631/02363394356/6310236339435610092023001843.pdf</t>
  </si>
  <si>
    <t>https://dpmzos25m8ivg.cloudfront.net/Documentos/631/02364193230/6310236419323012092023223144.jpg</t>
  </si>
  <si>
    <t>https://dpmzos25m8ivg.cloudfront.net/Documentos/631/02364323541/6310236432354105092023123110.pdf</t>
  </si>
  <si>
    <t>https://dpmzos25m8ivg.cloudfront.net/Documentos/631/02365194176/6310236519417611092023091111.pdf</t>
  </si>
  <si>
    <t>https://dpmzos25m8ivg.cloudfront.net/Documentos/631/02369765160/6310236976516011092023151930.jpeg</t>
  </si>
  <si>
    <t>https://dpmzos25m8ivg.cloudfront.net/Documentos/631/02369911166/6310236991116611092023162600.jpg</t>
  </si>
  <si>
    <t>https://dpmzos25m8ivg.cloudfront.net/Documentos/631/02370521562/6310237052156211092023160722.pdf</t>
  </si>
  <si>
    <t>https://dpmzos25m8ivg.cloudfront.net/Documentos/631/02371026336/6310237102633606092023114423.pdf</t>
  </si>
  <si>
    <t>https://dpmzos25m8ivg.cloudfront.net/Documentos/631/02371253316/6310237125331611092023105554.jpg</t>
  </si>
  <si>
    <t>https://dpmzos25m8ivg.cloudfront.net/Documentos/631/02373581906/6310237358190611092023154148.pdf</t>
  </si>
  <si>
    <t>https://dpmzos25m8ivg.cloudfront.net/Documentos/631/02374947106/6310237494710607092023163710.pdf</t>
  </si>
  <si>
    <t>https://dpmzos25m8ivg.cloudfront.net/Documentos/631/02375100220/6310237510022007092023141047.pdf</t>
  </si>
  <si>
    <t>https://dpmzos25m8ivg.cloudfront.net/Documentos/631/02375446100/6310237544610011092023152402.jpg</t>
  </si>
  <si>
    <t>https://dpmzos25m8ivg.cloudfront.net/Documentos/631/02376341124/6310237634112405092023223520.jpg</t>
  </si>
  <si>
    <t>https://dpmzos25m8ivg.cloudfront.net/Documentos/631/02389516424/6310238951642408092023140825.pdf</t>
  </si>
  <si>
    <t>https://dpmzos25m8ivg.cloudfront.net/Documentos/631/02390994199/6310239099419907092023123037.jpeg</t>
  </si>
  <si>
    <t>https://dpmzos25m8ivg.cloudfront.net/Documentos/631/02396176145/6310239617614511092023002541.pdf</t>
  </si>
  <si>
    <t>https://dpmzos25m8ivg.cloudfront.net/Documentos/631/02397754223/6310239775422311092023122539.pdf</t>
  </si>
  <si>
    <t>https://dpmzos25m8ivg.cloudfront.net/Documentos/631/02398158152/6310239815815205092023232522.pdf</t>
  </si>
  <si>
    <t>https://dpmzos25m8ivg.cloudfront.net/Documentos/631/02403987778/6310240398777805092023181807.pdf</t>
  </si>
  <si>
    <t>https://dpmzos25m8ivg.cloudfront.net/Documentos/631/02405918102/6310240591810211092023135254.pdf</t>
  </si>
  <si>
    <t>https://dpmzos25m8ivg.cloudfront.net/Documentos/631/02409806201/6310240980620111092023135350.jpg</t>
  </si>
  <si>
    <t>https://dpmzos25m8ivg.cloudfront.net/Documentos/631/02413851216/6310241385121611092023160225.pdf</t>
  </si>
  <si>
    <t>https://dpmzos25m8ivg.cloudfront.net/Documentos/631/02415314200/6310241531420011092023133632.pdf</t>
  </si>
  <si>
    <t>https://dpmzos25m8ivg.cloudfront.net/Documentos/631/02416067567/6310241606756705092023212950.pdf</t>
  </si>
  <si>
    <t>https://dpmzos25m8ivg.cloudfront.net/Documentos/631/02425245243/6310242524524310092023225028.pdf</t>
  </si>
  <si>
    <t>https://dpmzos25m8ivg.cloudfront.net/Documentos/631/02428014200/6310242801420011092023103531.pdf</t>
  </si>
  <si>
    <t>https://dpmzos25m8ivg.cloudfront.net/Documentos/631/02431600467/6310243160046706092023203337.pdf</t>
  </si>
  <si>
    <t>https://dpmzos25m8ivg.cloudfront.net/Documentos/631/02433241383/6310243324138309092023122324.pdf</t>
  </si>
  <si>
    <t>https://dpmzos25m8ivg.cloudfront.net/Documentos/631/02435112211/6310243511221108092023092946.pdf</t>
  </si>
  <si>
    <t>https://dpmzos25m8ivg.cloudfront.net/Documentos/631/02436284202/6310243628420209092023170015.pdf</t>
  </si>
  <si>
    <t>https://dpmzos25m8ivg.cloudfront.net/Documentos/631/02437676929/6310243767692911092023144414.pdf</t>
  </si>
  <si>
    <t>https://dpmzos25m8ivg.cloudfront.net/Documentos/631/02439314170/6310243931417007092023172747.pdf</t>
  </si>
  <si>
    <t>https://dpmzos25m8ivg.cloudfront.net/Documentos/631/02441475231/6310244147523110092023194849.pdf</t>
  </si>
  <si>
    <t>https://dpmzos25m8ivg.cloudfront.net/Documentos/631/02444567552/6310244456755211092023121219.pdf</t>
  </si>
  <si>
    <t>https://dpmzos25m8ivg.cloudfront.net/Documentos/631/02444728408/6310244472840808092023203942.jpeg</t>
  </si>
  <si>
    <t>https://dpmzos25m8ivg.cloudfront.net/Documentos/631/02445424305/6310244542430511092023125640.pdf</t>
  </si>
  <si>
    <t>https://dpmzos25m8ivg.cloudfront.net/Documentos/631/02446296254/6310244629625405092023122548.pdf</t>
  </si>
  <si>
    <t>https://dpmzos25m8ivg.cloudfront.net/Documentos/631/02446368506/6310244636850610092023225712.pdf</t>
  </si>
  <si>
    <t>https://dpmzos25m8ivg.cloudfront.net/Documentos/631/02448283346/6310244828334608092023145736.pdf</t>
  </si>
  <si>
    <t>https://dpmzos25m8ivg.cloudfront.net/Documentos/631/02451155280/6310245115528012092023195217.pdf</t>
  </si>
  <si>
    <t>https://dpmzos25m8ivg.cloudfront.net/Documentos/631/02452019127/6310245201912711092023154931.jpg</t>
  </si>
  <si>
    <t>https://dpmzos25m8ivg.cloudfront.net/Documentos/631/02457137276/6310245713727607092023140103.jpeg</t>
  </si>
  <si>
    <t>https://dpmzos25m8ivg.cloudfront.net/Documentos/631/02457904110/6310245790411011092023160843.pdf</t>
  </si>
  <si>
    <t>https://dpmzos25m8ivg.cloudfront.net/Documentos/631/02460685742/6310246068574206092023103419.jpg</t>
  </si>
  <si>
    <t>https://dpmzos25m8ivg.cloudfront.net/Documentos/631/02461548293/6310246154829310092023141638.jpg</t>
  </si>
  <si>
    <t>https://dpmzos25m8ivg.cloudfront.net/Documentos/631/02463653310/6310246365331011092023161026.jpg</t>
  </si>
  <si>
    <t>https://dpmzos25m8ivg.cloudfront.net/Documentos/631/02464274933/6310246427493310092023223740.pdf</t>
  </si>
  <si>
    <t>https://dpmzos25m8ivg.cloudfront.net/Documentos/631/02473169462/6310247316946207092023110159.pdf</t>
  </si>
  <si>
    <t>https://dpmzos25m8ivg.cloudfront.net/Documentos/631/02479467457/6310247946745706092023091419.pdf</t>
  </si>
  <si>
    <t>https://dpmzos25m8ivg.cloudfront.net/Documentos/631/02480971309/6310248097130908092023171548.pdf</t>
  </si>
  <si>
    <t>https://dpmzos25m8ivg.cloudfront.net/Documentos/631/02482039592/6310248203959211092023133204.pdf</t>
  </si>
  <si>
    <t>https://dpmzos25m8ivg.cloudfront.net/Documentos/631/02483274293/6310248327429311092023105132.jpg</t>
  </si>
  <si>
    <t>https://dpmzos25m8ivg.cloudfront.net/Documentos/631/02483893198/6310248389319810092023194346.pdf</t>
  </si>
  <si>
    <t>https://dpmzos25m8ivg.cloudfront.net/Documentos/631/02486444165/6310248644416510092023191029.pdf</t>
  </si>
  <si>
    <t>https://dpmzos25m8ivg.cloudfront.net/Documentos/631/02489596381/6310248959638111092023122838.pdf</t>
  </si>
  <si>
    <t>https://dpmzos25m8ivg.cloudfront.net/Documentos/631/02492353400/6310249235340010092023190607.jpeg</t>
  </si>
  <si>
    <t>https://dpmzos25m8ivg.cloudfront.net/Documentos/631/02496951116/6310249695111611092023122933.pdf</t>
  </si>
  <si>
    <t>https://dpmzos25m8ivg.cloudfront.net/Documentos/631/02498066144/6310249806614407092023230314.pdf</t>
  </si>
  <si>
    <t>https://dpmzos25m8ivg.cloudfront.net/Documentos/631/02500985555/6310250098555511092023162329.pdf</t>
  </si>
  <si>
    <t>https://dpmzos25m8ivg.cloudfront.net/Documentos/631/02503531300/6310250353130005092023180416.pdf</t>
  </si>
  <si>
    <t>https://dpmzos25m8ivg.cloudfront.net/Documentos/631/02503765203/6310250376520311092023173712.pdf</t>
  </si>
  <si>
    <t>https://dpmzos25m8ivg.cloudfront.net/Documentos/631/02506249400/6310250624940005092023085929.pdf</t>
  </si>
  <si>
    <t>https://dpmzos25m8ivg.cloudfront.net/Documentos/631/02506692185/6310250669218513092023112936.jpeg</t>
  </si>
  <si>
    <t>https://dpmzos25m8ivg.cloudfront.net/Documentos/631/02508017523/6310250801752311092023113537.pdf</t>
  </si>
  <si>
    <t>https://dpmzos25m8ivg.cloudfront.net/Documentos/631/02508943274/6310250894327411092023144850.pdf</t>
  </si>
  <si>
    <t>https://dpmzos25m8ivg.cloudfront.net/Documentos/631/02509759558/6310250975955808092023091430.jpeg</t>
  </si>
  <si>
    <t>https://dpmzos25m8ivg.cloudfront.net/Documentos/631/02510779184/6310251077918412092023211219.pdf</t>
  </si>
  <si>
    <t>https://dpmzos25m8ivg.cloudfront.net/Documentos/631/02513991095/6310251399109511092023133204.pdf</t>
  </si>
  <si>
    <t>https://dpmzos25m8ivg.cloudfront.net/Documentos/631/02515155243/6310251515524309092023003104.pdf</t>
  </si>
  <si>
    <t>https://dpmzos25m8ivg.cloudfront.net/Documentos/631/02518820124/6310251882012405092023124818.jpeg</t>
  </si>
  <si>
    <t>https://dpmzos25m8ivg.cloudfront.net/Documentos/631/02523559978/6310252355997805092023102631.pdf</t>
  </si>
  <si>
    <t>https://dpmzos25m8ivg.cloudfront.net/Documentos/631/02527291295/6310252729129510092023221315.jpeg</t>
  </si>
  <si>
    <t>https://dpmzos25m8ivg.cloudfront.net/Documentos/631/02530152519/6310253015251911092023122132.pdf</t>
  </si>
  <si>
    <t>https://dpmzos25m8ivg.cloudfront.net/Documentos/631/02530522383/6310253052238308092023084111.pdf</t>
  </si>
  <si>
    <t>https://dpmzos25m8ivg.cloudfront.net/Documentos/631/02531087567/6310253108756707092023100815.pdf</t>
  </si>
  <si>
    <t>https://dpmzos25m8ivg.cloudfront.net/Documentos/631/02535477416/6310253547741607092023135518.pdf</t>
  </si>
  <si>
    <t>https://dpmzos25m8ivg.cloudfront.net/Documentos/631/02536494209/6310253649420907092023123430.jpeg</t>
  </si>
  <si>
    <t>https://dpmzos25m8ivg.cloudfront.net/Documentos/631/02536508528/6310253650852811092023141202.pdf</t>
  </si>
  <si>
    <t>https://dpmzos25m8ivg.cloudfront.net/Documentos/631/02540749100/6310254074910005092023131502.jpeg</t>
  </si>
  <si>
    <t>https://dpmzos25m8ivg.cloudfront.net/Documentos/631/02541671520/6310254167152011092023124022.pdf</t>
  </si>
  <si>
    <t>https://dpmzos25m8ivg.cloudfront.net/Documentos/631/02541895801/6310254189580110092023230744.pdf</t>
  </si>
  <si>
    <t>https://dpmzos25m8ivg.cloudfront.net/Documentos/631/02545364258/6310254536425811092023132504.pdf</t>
  </si>
  <si>
    <t>https://dpmzos25m8ivg.cloudfront.net/Documentos/631/02545891541/6310254589154111092023154842.pdf</t>
  </si>
  <si>
    <t>https://dpmzos25m8ivg.cloudfront.net/Documentos/631/02546196146/6310254619614610092023132128.jpeg</t>
  </si>
  <si>
    <t>https://dpmzos25m8ivg.cloudfront.net/Documentos/631/02547121182/6310254712118211092023160112.pdf</t>
  </si>
  <si>
    <t>https://dpmzos25m8ivg.cloudfront.net/Documentos/631/02547421658/6310254742165811092023163718.pdf</t>
  </si>
  <si>
    <t>https://dpmzos25m8ivg.cloudfront.net/Documentos/631/02548005216/6310254800521613092023152746.jpeg</t>
  </si>
  <si>
    <t>https://dpmzos25m8ivg.cloudfront.net/Documentos/631/02550994523/6310255099452311092023160426.pdf</t>
  </si>
  <si>
    <t>https://dpmzos25m8ivg.cloudfront.net/Documentos/631/02553304560/6310255330456007092023130435.pdf</t>
  </si>
  <si>
    <t>https://dpmzos25m8ivg.cloudfront.net/Documentos/631/02557888273/6310255788827310092023223751.pdf</t>
  </si>
  <si>
    <t>https://dpmzos25m8ivg.cloudfront.net/Documentos/631/02558850598/6310255885059810092023112749.jpeg</t>
  </si>
  <si>
    <t>https://dpmzos25m8ivg.cloudfront.net/Documentos/631/02560413930/6310256041393010092023172913.pdf</t>
  </si>
  <si>
    <t>https://dpmzos25m8ivg.cloudfront.net/Documentos/631/02567767258/6310256776725811092023143720.pdf</t>
  </si>
  <si>
    <t>https://dpmzos25m8ivg.cloudfront.net/Documentos/631/02568679174/6310256867917411092023123752.pdf</t>
  </si>
  <si>
    <t>https://dpmzos25m8ivg.cloudfront.net/Documentos/631/02570338230/6310257033823011092023170203.pdf</t>
  </si>
  <si>
    <t>https://dpmzos25m8ivg.cloudfront.net/Documentos/631/02570902233/6310257090223310092023122758.pdf</t>
  </si>
  <si>
    <t>https://dpmzos25m8ivg.cloudfront.net/Documentos/631/02573861147/6310257386114711092023011400.pdf</t>
  </si>
  <si>
    <t>https://dpmzos25m8ivg.cloudfront.net/Documentos/631/02574949285/6310257494928505092023191408.pdf</t>
  </si>
  <si>
    <t>https://dpmzos25m8ivg.cloudfront.net/Documentos/631/02576209238/6310257620923808092023165102.pdf</t>
  </si>
  <si>
    <t>https://dpmzos25m8ivg.cloudfront.net/Documentos/631/02577963203/6310257796320305092023175314.jpeg</t>
  </si>
  <si>
    <t>https://dpmzos25m8ivg.cloudfront.net/Documentos/631/02577969082/6310257796908205092023194813.jpg</t>
  </si>
  <si>
    <t>https://dpmzos25m8ivg.cloudfront.net/Documentos/631/02582202525/6310258220252511092023153835.jpg</t>
  </si>
  <si>
    <t>https://dpmzos25m8ivg.cloudfront.net/Documentos/631/02583664271/6310258366427113092023160842.pdf</t>
  </si>
  <si>
    <t>https://dpmzos25m8ivg.cloudfront.net/Documentos/631/02584347598/6310258434759810092023182934.pdf</t>
  </si>
  <si>
    <t>https://dpmzos25m8ivg.cloudfront.net/Documentos/631/02585443507/6310258544350705092023235131.pdf</t>
  </si>
  <si>
    <t>https://dpmzos25m8ivg.cloudfront.net/Documentos/631/02600665323/6310260066532311092023144906.jpg</t>
  </si>
  <si>
    <t>https://dpmzos25m8ivg.cloudfront.net/Documentos/631/02601637242/6310260163724211092023115935.pdf</t>
  </si>
  <si>
    <t>https://dpmzos25m8ivg.cloudfront.net/Documentos/631/02608611621/6310260861162111092023092445.pdf</t>
  </si>
  <si>
    <t>https://dpmzos25m8ivg.cloudfront.net/Documentos/631/02609354339/6310260935433914092023154942.pdf</t>
  </si>
  <si>
    <t>https://dpmzos25m8ivg.cloudfront.net/Documentos/631/02609828225/6310260982822511092023155453.pdf</t>
  </si>
  <si>
    <t>https://dpmzos25m8ivg.cloudfront.net/Documentos/631/02612922938/6310261292293805092023170949.pdf</t>
  </si>
  <si>
    <t>https://dpmzos25m8ivg.cloudfront.net/Documentos/631/02613398779/6310261339877905092023221719.pdf</t>
  </si>
  <si>
    <t>https://dpmzos25m8ivg.cloudfront.net/Documentos/631/02615570170/6310261557017008092023200930.jpg</t>
  </si>
  <si>
    <t>https://dpmzos25m8ivg.cloudfront.net/Documentos/631/02617939260/6310261793926008092023013227.jpg</t>
  </si>
  <si>
    <t>https://dpmzos25m8ivg.cloudfront.net/Documentos/631/02619906326/6310261990632611092023164236.pdf</t>
  </si>
  <si>
    <t>https://dpmzos25m8ivg.cloudfront.net/Documentos/631/02620114250/6310262011425010092023095239.jpeg</t>
  </si>
  <si>
    <t>https://dpmzos25m8ivg.cloudfront.net/Documentos/631/02620319730/6310262031973009092023200715.pdf</t>
  </si>
  <si>
    <t>https://dpmzos25m8ivg.cloudfront.net/Documentos/631/02621997260/6310262199726011092023150100.pdf</t>
  </si>
  <si>
    <t>https://dpmzos25m8ivg.cloudfront.net/Documentos/631/02622200161/6310262220016105092023110508.jpg</t>
  </si>
  <si>
    <t>https://dpmzos25m8ivg.cloudfront.net/Documentos/631/02624377247/6310262437724706092023150501.pdf</t>
  </si>
  <si>
    <t>https://dpmzos25m8ivg.cloudfront.net/Documentos/631/02628412586/6310262841258605092023125732.pdf</t>
  </si>
  <si>
    <t>https://dpmzos25m8ivg.cloudfront.net/Documentos/631/02629007260/6310262900726005092023112056.pdf</t>
  </si>
  <si>
    <t>https://dpmzos25m8ivg.cloudfront.net/Documentos/631/02629745503/6310262974550311092023101622.jpg</t>
  </si>
  <si>
    <t>https://dpmzos25m8ivg.cloudfront.net/Documentos/631/02630385132/6310263038513211092023085834.pdf</t>
  </si>
  <si>
    <t>https://dpmzos25m8ivg.cloudfront.net/Documentos/631/02630589560/6310263058956010092023093621.jpg</t>
  </si>
  <si>
    <t>https://dpmzos25m8ivg.cloudfront.net/Documentos/631/02630875571/6310263087557111092023093719.jpg</t>
  </si>
  <si>
    <t>https://dpmzos25m8ivg.cloudfront.net/Documentos/631/02638928240/6310263892824010092023183900.pdf</t>
  </si>
  <si>
    <t>https://dpmzos25m8ivg.cloudfront.net/Documentos/631/02639125311/6310263912531109092023184835.pdf</t>
  </si>
  <si>
    <t>https://dpmzos25m8ivg.cloudfront.net/Documentos/631/02640866192/6310264086619207092023114302.jpeg</t>
  </si>
  <si>
    <t>https://dpmzos25m8ivg.cloudfront.net/Documentos/631/02646648502/6310264664850205092023193341.pdf</t>
  </si>
  <si>
    <t>https://dpmzos25m8ivg.cloudfront.net/Documentos/631/02647291101/6310264729110111092023090059.pdf</t>
  </si>
  <si>
    <t>https://dpmzos25m8ivg.cloudfront.net/Documentos/631/02648690956/6310264869095609092023235817.pdf</t>
  </si>
  <si>
    <t>https://dpmzos25m8ivg.cloudfront.net/Documentos/631/02652162730/6310265216273013092023084919.jpg</t>
  </si>
  <si>
    <t>https://dpmzos25m8ivg.cloudfront.net/Documentos/631/02657400299/6310265740029912092023192129.pdf</t>
  </si>
  <si>
    <t>https://dpmzos25m8ivg.cloudfront.net/Documentos/631/02659759219/6310265975921911092023162404.pdf</t>
  </si>
  <si>
    <t>https://dpmzos25m8ivg.cloudfront.net/Documentos/631/02660684138/6310266068413809092023195815.pdf</t>
  </si>
  <si>
    <t>https://dpmzos25m8ivg.cloudfront.net/Documentos/631/02663703575/6310266370357505092023152445.pdf</t>
  </si>
  <si>
    <t>https://dpmzos25m8ivg.cloudfront.net/Documentos/631/02665369486/6310266536948605092023223749.pdf</t>
  </si>
  <si>
    <t>https://dpmzos25m8ivg.cloudfront.net/Documentos/631/02667496906/6310266749690610092023143008.pdf</t>
  </si>
  <si>
    <t>https://dpmzos25m8ivg.cloudfront.net/Documentos/631/02668333300/6310266833330011092023165959.pdf</t>
  </si>
  <si>
    <t>https://dpmzos25m8ivg.cloudfront.net/Documentos/631/02669283152/6310266928315206092023220016.pdf</t>
  </si>
  <si>
    <t>https://dpmzos25m8ivg.cloudfront.net/Documentos/631/02670047700/6310267004770013092023191225.pdf</t>
  </si>
  <si>
    <t>https://dpmzos25m8ivg.cloudfront.net/Documentos/631/02670880940/6310267088094014092023095419.pdf</t>
  </si>
  <si>
    <t>https://dpmzos25m8ivg.cloudfront.net/Documentos/631/02672775206/6310267277520611092023101538.pdf</t>
  </si>
  <si>
    <t>https://dpmzos25m8ivg.cloudfront.net/Documentos/631/02676831704/6310267683170410092023192358.pdf</t>
  </si>
  <si>
    <t>https://dpmzos25m8ivg.cloudfront.net/Documentos/631/02680390466/6310268039046611092023153515.pdf</t>
  </si>
  <si>
    <t>https://dpmzos25m8ivg.cloudfront.net/Documentos/631/02681352312/6310268135231211092023162917.pdf</t>
  </si>
  <si>
    <t>https://dpmzos25m8ivg.cloudfront.net/Documentos/631/02685803327/6310268580332711092023141720.jpeg</t>
  </si>
  <si>
    <t>https://dpmzos25m8ivg.cloudfront.net/Documentos/631/02687600636/6310268760063611092023165857.pdf</t>
  </si>
  <si>
    <t>https://dpmzos25m8ivg.cloudfront.net/Documentos/631/02693403359/6310269340335911092023102714.pdf</t>
  </si>
  <si>
    <t>https://dpmzos25m8ivg.cloudfront.net/Documentos/631/02694539386/6310269453938614092023154150.pdf</t>
  </si>
  <si>
    <t>https://dpmzos25m8ivg.cloudfront.net/Documentos/631/02697499342/6310269749934208092023072736.jpg</t>
  </si>
  <si>
    <t>https://dpmzos25m8ivg.cloudfront.net/Documentos/631/02698132760/6310269813276009092023204436.pdf</t>
  </si>
  <si>
    <t>https://dpmzos25m8ivg.cloudfront.net/Documentos/631/02699772364/6310269977236411092023153404.pdf</t>
  </si>
  <si>
    <t>https://dpmzos25m8ivg.cloudfront.net/Documentos/631/02700400216/6310270040021611092023121618.pdf</t>
  </si>
  <si>
    <t>https://dpmzos25m8ivg.cloudfront.net/Documentos/631/02702200117/6310270220011711092023165842.pdf</t>
  </si>
  <si>
    <t>https://dpmzos25m8ivg.cloudfront.net/Documentos/631/02702582133/6310270258213311092023133858.jpeg</t>
  </si>
  <si>
    <t>https://dpmzos25m8ivg.cloudfront.net/Documentos/631/02703533136/6310270353313611092023140347.jpg</t>
  </si>
  <si>
    <t>https://dpmzos25m8ivg.cloudfront.net/Documentos/631/02703977360/6310270397736014092023145446.pdf</t>
  </si>
  <si>
    <t>https://dpmzos25m8ivg.cloudfront.net/Documentos/631/02705777423/6310270577742304092023234036.pdf</t>
  </si>
  <si>
    <t>https://dpmzos25m8ivg.cloudfront.net/Documentos/631/02706436301/6310270643630106092023102654.pdf</t>
  </si>
  <si>
    <t>https://dpmzos25m8ivg.cloudfront.net/Documentos/631/02707333450/6310270733345011092023165404.pdf</t>
  </si>
  <si>
    <t>https://dpmzos25m8ivg.cloudfront.net/Documentos/631/02708715194/6310270871519411092023124436.pdf</t>
  </si>
  <si>
    <t>https://dpmzos25m8ivg.cloudfront.net/Documentos/631/02711992373/6310271199237309092023114338.pdf</t>
  </si>
  <si>
    <t>https://dpmzos25m8ivg.cloudfront.net/Documentos/631/02713359201/6310271335920109092023091647.pdf</t>
  </si>
  <si>
    <t>https://dpmzos25m8ivg.cloudfront.net/Documentos/631/02714235360/6310271423536009092023232039.pdf</t>
  </si>
  <si>
    <t>https://dpmzos25m8ivg.cloudfront.net/Documentos/631/02715715196/6310271571519605092023133756.jpg</t>
  </si>
  <si>
    <t>https://dpmzos25m8ivg.cloudfront.net/Documentos/631/02718785179/6310271878517908092023084322.pdf</t>
  </si>
  <si>
    <t>https://dpmzos25m8ivg.cloudfront.net/Documentos/631/02719709360/6310271970936008092023150114.pdf</t>
  </si>
  <si>
    <t>https://dpmzos25m8ivg.cloudfront.net/Documentos/631/02725375606/6310272537560611092023092952.pdf</t>
  </si>
  <si>
    <t>https://dpmzos25m8ivg.cloudfront.net/Documentos/631/02728298114/6310272829811410092023190727.pdf</t>
  </si>
  <si>
    <t>https://dpmzos25m8ivg.cloudfront.net/Documentos/631/02730775978/6310273077597811092023133323.pdf</t>
  </si>
  <si>
    <t>https://dpmzos25m8ivg.cloudfront.net/Documentos/631/02732701254/6310273270125409092023182532.pdf</t>
  </si>
  <si>
    <t>https://dpmzos25m8ivg.cloudfront.net/Documentos/631/02734189631/6310273418963106092023184837.pdf</t>
  </si>
  <si>
    <t>https://dpmzos25m8ivg.cloudfront.net/Documentos/631/02736485351/6310273648535108092023152429.pdf</t>
  </si>
  <si>
    <t>https://dpmzos25m8ivg.cloudfront.net/Documentos/631/02736746252/6310273674625207092023105201.pdf</t>
  </si>
  <si>
    <t>https://dpmzos25m8ivg.cloudfront.net/Documentos/631/02737870127/6310273787012713092023114939.jpg</t>
  </si>
  <si>
    <t>https://dpmzos25m8ivg.cloudfront.net/Documentos/631/02740780400/6310274078040006092023202758.pdf</t>
  </si>
  <si>
    <t>https://dpmzos25m8ivg.cloudfront.net/Documentos/631/02742783164/6310274278316410092023131538.pdf</t>
  </si>
  <si>
    <t>https://dpmzos25m8ivg.cloudfront.net/Documentos/631/02746274183/6310274627418305092023173413.pdf</t>
  </si>
  <si>
    <t>https://dpmzos25m8ivg.cloudfront.net/Documentos/631/02747232557/6310274723255710092023112205.pdf</t>
  </si>
  <si>
    <t>https://dpmzos25m8ivg.cloudfront.net/Documentos/631/02747661164/6310274766116411092023150533.jpeg</t>
  </si>
  <si>
    <t>https://dpmzos25m8ivg.cloudfront.net/Documentos/631/02749473071/6310274947307109092023124656.pdf</t>
  </si>
  <si>
    <t>https://dpmzos25m8ivg.cloudfront.net/Documentos/631/02751873570/6310275187357010092023141828.jpg</t>
  </si>
  <si>
    <t>https://dpmzos25m8ivg.cloudfront.net/Documentos/631/02757144111/6310275714411108092023165313.pdf</t>
  </si>
  <si>
    <t>https://dpmzos25m8ivg.cloudfront.net/Documentos/631/02758916312/6310275891631209092023203725.jpg</t>
  </si>
  <si>
    <t>https://dpmzos25m8ivg.cloudfront.net/Documentos/631/02759508242/6310275950824206092023095612.pdf</t>
  </si>
  <si>
    <t>https://dpmzos25m8ivg.cloudfront.net/Documentos/631/02763378242/6310276337824211092023155348.pdf</t>
  </si>
  <si>
    <t>https://dpmzos25m8ivg.cloudfront.net/Documentos/631/02763571166/6310276357116611092023164554.pdf</t>
  </si>
  <si>
    <t>https://dpmzos25m8ivg.cloudfront.net/Documentos/631/02764262400/6310276426240009092023194031.pdf</t>
  </si>
  <si>
    <t>https://dpmzos25m8ivg.cloudfront.net/Documentos/631/02769881329/6310276988132910092023094912.pdf</t>
  </si>
  <si>
    <t>https://dpmzos25m8ivg.cloudfront.net/Documentos/631/02774794366/6310277479436611092023135601.pdf</t>
  </si>
  <si>
    <t>https://dpmzos25m8ivg.cloudfront.net/Documentos/631/02776469101/6310277646910105092023091946.jpeg</t>
  </si>
  <si>
    <t>https://dpmzos25m8ivg.cloudfront.net/Documentos/631/02777035490/6310277703549009092023102900.pdf</t>
  </si>
  <si>
    <t>https://dpmzos25m8ivg.cloudfront.net/Documentos/631/02778257098/6310277825709814092023160741.pdf</t>
  </si>
  <si>
    <t>https://dpmzos25m8ivg.cloudfront.net/Documentos/631/02780586206/6310278058620611092023103604.pdf</t>
  </si>
  <si>
    <t>https://dpmzos25m8ivg.cloudfront.net/Documentos/631/02782718126/6310278271812610092023181851.pdf</t>
  </si>
  <si>
    <t>https://dpmzos25m8ivg.cloudfront.net/Documentos/631/02786957605/6310278695760511092023093735.jpeg</t>
  </si>
  <si>
    <t>https://dpmzos25m8ivg.cloudfront.net/Documentos/631/02788397542/6310278839754209092023171310.jpg</t>
  </si>
  <si>
    <t>https://dpmzos25m8ivg.cloudfront.net/Documentos/631/02790112533/6310279011253309092023180706.pdf</t>
  </si>
  <si>
    <t>https://dpmzos25m8ivg.cloudfront.net/Documentos/631/02793205150/6310279320515005092023091353.pdf</t>
  </si>
  <si>
    <t>https://dpmzos25m8ivg.cloudfront.net/Documentos/631/02799322190/6310279932219011092023130929.jpeg</t>
  </si>
  <si>
    <t>https://dpmzos25m8ivg.cloudfront.net/Documentos/631/02803503255/6310280350325505092023200307.pdf</t>
  </si>
  <si>
    <t>https://dpmzos25m8ivg.cloudfront.net/Documentos/631/02805899563/6310280589956305092023163741.pdf</t>
  </si>
  <si>
    <t>https://dpmzos25m8ivg.cloudfront.net/Documentos/631/02808050208/6310280805020809092023164801.pdf</t>
  </si>
  <si>
    <t>https://dpmzos25m8ivg.cloudfront.net/Documentos/631/02809655243/6310280965524306092023122741.pdf</t>
  </si>
  <si>
    <t>https://dpmzos25m8ivg.cloudfront.net/Documentos/631/02812604000/6310281260400011092023011817.jpeg</t>
  </si>
  <si>
    <t>https://dpmzos25m8ivg.cloudfront.net/Documentos/631/02815860120/6310281586012011092023135452.pdf</t>
  </si>
  <si>
    <t>https://dpmzos25m8ivg.cloudfront.net/Documentos/631/02817517571/6310281751757111092023103607.jpeg</t>
  </si>
  <si>
    <t>https://dpmzos25m8ivg.cloudfront.net/Documentos/631/02818243041/6310281824304111092023161733.pdf</t>
  </si>
  <si>
    <t>https://dpmzos25m8ivg.cloudfront.net/Documentos/631/02820710409/6310282071040911092023115945.jpg</t>
  </si>
  <si>
    <t>https://dpmzos25m8ivg.cloudfront.net/Documentos/631/02824014075/6310282401407506092023132739.jpeg</t>
  </si>
  <si>
    <t>https://dpmzos25m8ivg.cloudfront.net/Documentos/631/02824578360/6310282457836010092023130759.jpg</t>
  </si>
  <si>
    <t>https://dpmzos25m8ivg.cloudfront.net/Documentos/631/02825922102/6310282592210211092023160849.jpeg</t>
  </si>
  <si>
    <t>https://dpmzos25m8ivg.cloudfront.net/Documentos/631/02828399257/6310282839925714092023145350.pdf</t>
  </si>
  <si>
    <t>https://dpmzos25m8ivg.cloudfront.net/Documentos/631/02829086333/6310282908633311092023143831.pdf</t>
  </si>
  <si>
    <t>https://dpmzos25m8ivg.cloudfront.net/Documentos/631/02833860102/6310283386010208092023143751.pdf</t>
  </si>
  <si>
    <t>https://dpmzos25m8ivg.cloudfront.net/Documentos/631/02834637245/6310283463724511092023154607.jpeg</t>
  </si>
  <si>
    <t>https://dpmzos25m8ivg.cloudfront.net/Documentos/631/02835728503/6310283572850311092023095210.pdf</t>
  </si>
  <si>
    <t>https://dpmzos25m8ivg.cloudfront.net/Documentos/631/02836352230/6310283635223013092023132903.pdf</t>
  </si>
  <si>
    <t>https://dpmzos25m8ivg.cloudfront.net/Documentos/631/02837057525/6310283705752511092023102201.pdf</t>
  </si>
  <si>
    <t>https://dpmzos25m8ivg.cloudfront.net/Documentos/631/02837461300/6310283746130007092023143839.pdf</t>
  </si>
  <si>
    <t>https://dpmzos25m8ivg.cloudfront.net/Documentos/631/02837917567/6310283791756709092023114947.pdf</t>
  </si>
  <si>
    <t>https://dpmzos25m8ivg.cloudfront.net/Documentos/631/02837937592/6310283793759206092023215530.jpeg</t>
  </si>
  <si>
    <t>https://dpmzos25m8ivg.cloudfront.net/Documentos/631/02837972150/6310283797215006092023223431.pdf</t>
  </si>
  <si>
    <t>https://dpmzos25m8ivg.cloudfront.net/Documentos/631/02838344633/6310283834463309092023143752.pdf</t>
  </si>
  <si>
    <t>https://dpmzos25m8ivg.cloudfront.net/Documentos/631/02839293323/6310283929332312092023223845.pdf</t>
  </si>
  <si>
    <t>https://dpmzos25m8ivg.cloudfront.net/Documentos/631/02840319250/6310284031925011092023163610.pdf</t>
  </si>
  <si>
    <t>https://dpmzos25m8ivg.cloudfront.net/Documentos/631/02840432730/6310284043273007092023143129.jpg</t>
  </si>
  <si>
    <t>https://dpmzos25m8ivg.cloudfront.net/Documentos/631/02846092508/6310284609250805092023133608.pdf</t>
  </si>
  <si>
    <t>https://dpmzos25m8ivg.cloudfront.net/Documentos/631/02861713259/6310286171325909092023104905.pdf</t>
  </si>
  <si>
    <t>https://dpmzos25m8ivg.cloudfront.net/Documentos/631/02862152170/6310286215217005092023171734.pdf</t>
  </si>
  <si>
    <t>https://dpmzos25m8ivg.cloudfront.net/Documentos/631/02862369314/6310286236931414092023154549.pdf</t>
  </si>
  <si>
    <t>https://dpmzos25m8ivg.cloudfront.net/Documentos/631/02862528307/6310286252830708092023155308.pdf</t>
  </si>
  <si>
    <t>https://dpmzos25m8ivg.cloudfront.net/Documentos/631/02869087004/6310286908700405092023141408.pdf</t>
  </si>
  <si>
    <t>https://dpmzos25m8ivg.cloudfront.net/Documentos/631/02870839189/6310287083918909092023160743.pdf</t>
  </si>
  <si>
    <t>https://dpmzos25m8ivg.cloudfront.net/Documentos/631/02872408274/6310287240827411092023155053.pdf</t>
  </si>
  <si>
    <t>https://dpmzos25m8ivg.cloudfront.net/Documentos/631/02873835206/6310287383520611092023162122.pdf</t>
  </si>
  <si>
    <t>https://dpmzos25m8ivg.cloudfront.net/Documentos/631/02874600539/6310287460053909092023092728.pdf</t>
  </si>
  <si>
    <t>https://dpmzos25m8ivg.cloudfront.net/Documentos/631/02875202260/6310287520226014092023152333.pdf</t>
  </si>
  <si>
    <t>https://dpmzos25m8ivg.cloudfront.net/Documentos/631/02876130700/6310287613070006092023110959.pdf</t>
  </si>
  <si>
    <t>https://dpmzos25m8ivg.cloudfront.net/Documentos/631/02876419378/6310287641937805092023103630.jpg</t>
  </si>
  <si>
    <t>https://dpmzos25m8ivg.cloudfront.net/Documentos/631/02878930304/6310287893030411092023142338.pdf</t>
  </si>
  <si>
    <t>https://dpmzos25m8ivg.cloudfront.net/Documentos/631/02883218552/6310288321855213092023100308.pdf</t>
  </si>
  <si>
    <t>https://dpmzos25m8ivg.cloudfront.net/Documentos/631/02884444777/6310288444477711092023024503.jpeg</t>
  </si>
  <si>
    <t>https://dpmzos25m8ivg.cloudfront.net/Documentos/631/02884638202/6310288463820211092023113910.pdf</t>
  </si>
  <si>
    <t>https://dpmzos25m8ivg.cloudfront.net/Documentos/631/02885221763/6310288522176304092023225013.pdf</t>
  </si>
  <si>
    <t>https://dpmzos25m8ivg.cloudfront.net/Documentos/631/02885368519/6310288536851907092023092650.jpeg</t>
  </si>
  <si>
    <t>https://dpmzos25m8ivg.cloudfront.net/Documentos/631/02887505513/6310288750551305092023154257.jpeg</t>
  </si>
  <si>
    <t>https://dpmzos25m8ivg.cloudfront.net/Documentos/631/02887889230/6310288788923008092023180524.pdf</t>
  </si>
  <si>
    <t>https://dpmzos25m8ivg.cloudfront.net/Documentos/631/02891567935/6310289156793509092023173006.pdf</t>
  </si>
  <si>
    <t>https://dpmzos25m8ivg.cloudfront.net/Documentos/631/02894800002/6310289480000206092023122513.pdf</t>
  </si>
  <si>
    <t>https://dpmzos25m8ivg.cloudfront.net/Documentos/631/02900134102/6310290013410211092023122336.jpg</t>
  </si>
  <si>
    <t>https://dpmzos25m8ivg.cloudfront.net/Documentos/631/02901483240/6310290148324014092023123421.pdf</t>
  </si>
  <si>
    <t>https://dpmzos25m8ivg.cloudfront.net/Documentos/631/02903376239/6310290337623911092023154413.pdf</t>
  </si>
  <si>
    <t>https://dpmzos25m8ivg.cloudfront.net/Documentos/631/02903513910/6310290351391006092023232844.pdf</t>
  </si>
  <si>
    <t>https://dpmzos25m8ivg.cloudfront.net/Documentos/631/02903897980/6310290389798005092023212600.pdf</t>
  </si>
  <si>
    <t>https://dpmzos25m8ivg.cloudfront.net/Documentos/631/02905079282/6310290507928211092023092715.pdf</t>
  </si>
  <si>
    <t>https://dpmzos25m8ivg.cloudfront.net/Documentos/631/02905148608/6310290514860812092023220351.pdf</t>
  </si>
  <si>
    <t>https://dpmzos25m8ivg.cloudfront.net/Documentos/631/02909913155/6310290991315505092023230055.jpeg</t>
  </si>
  <si>
    <t>https://dpmzos25m8ivg.cloudfront.net/Documentos/631/02910379507/6310291037950711092023123229.jpg</t>
  </si>
  <si>
    <t>https://dpmzos25m8ivg.cloudfront.net/Documentos/631/02912128242/6310291212824211092023162418.pdf</t>
  </si>
  <si>
    <t>https://dpmzos25m8ivg.cloudfront.net/Documentos/631/02914208189/6310291420818911092023145104.pdf</t>
  </si>
  <si>
    <t>https://dpmzos25m8ivg.cloudfront.net/Documentos/631/02915122326/6310291512232612092023195637.jpg</t>
  </si>
  <si>
    <t>https://dpmzos25m8ivg.cloudfront.net/Documentos/631/02918550671/6310291855067111092023164923.pdf</t>
  </si>
  <si>
    <t>https://dpmzos25m8ivg.cloudfront.net/Documentos/631/02920703145/6310292070314514092023161539.pdf</t>
  </si>
  <si>
    <t>https://dpmzos25m8ivg.cloudfront.net/Documentos/631/02921087294/6310292108729411092023160909.pdf</t>
  </si>
  <si>
    <t>https://dpmzos25m8ivg.cloudfront.net/Documentos/631/02921547120/6310292154712010092023205819.pdf</t>
  </si>
  <si>
    <t>https://dpmzos25m8ivg.cloudfront.net/Documentos/631/02925086462/6310292508646207092023115305.pdf</t>
  </si>
  <si>
    <t>https://dpmzos25m8ivg.cloudfront.net/Documentos/631/02925382193/6310292538219314092023151909.jpeg</t>
  </si>
  <si>
    <t>https://dpmzos25m8ivg.cloudfront.net/Documentos/631/02926572182/6310292657218211092023130143.jpg</t>
  </si>
  <si>
    <t>https://dpmzos25m8ivg.cloudfront.net/Documentos/631/02934452069/6310293445206911092023163221.pdf</t>
  </si>
  <si>
    <t>https://dpmzos25m8ivg.cloudfront.net/Documentos/631/02936093147/6310293609314711092023150724.pdf</t>
  </si>
  <si>
    <t>https://dpmzos25m8ivg.cloudfront.net/Documentos/631/02936901111/6310293690111111092023135357.pdf</t>
  </si>
  <si>
    <t>https://dpmzos25m8ivg.cloudfront.net/Documentos/631/02937116078/6310293711607810092023215611.pdf</t>
  </si>
  <si>
    <t>https://dpmzos25m8ivg.cloudfront.net/Documentos/631/02937374280/6310293737428009092023184651.pdf</t>
  </si>
  <si>
    <t>https://dpmzos25m8ivg.cloudfront.net/Documentos/631/02940049122/6310294004912210092023092356.jpg</t>
  </si>
  <si>
    <t>https://dpmzos25m8ivg.cloudfront.net/Documentos/631/02941585451/6310294158545111092023162427.pdf</t>
  </si>
  <si>
    <t>https://dpmzos25m8ivg.cloudfront.net/Documentos/631/02945248190/6310294524819006092023161518.pdf</t>
  </si>
  <si>
    <t>https://dpmzos25m8ivg.cloudfront.net/Documentos/631/02945557142/6310294555714210092023161940.jpg</t>
  </si>
  <si>
    <t>https://dpmzos25m8ivg.cloudfront.net/Documentos/631/02948956714/6310294895671405092023131516.pdf</t>
  </si>
  <si>
    <t>https://dpmzos25m8ivg.cloudfront.net/Documentos/631/02949068510/6310294906851010092023212025.jpeg</t>
  </si>
  <si>
    <t>https://dpmzos25m8ivg.cloudfront.net/Documentos/631/02950867936/6310295086793610092023174824.pdf</t>
  </si>
  <si>
    <t>https://dpmzos25m8ivg.cloudfront.net/Documentos/631/02951129050/6310295112905011092023164850.pdf</t>
  </si>
  <si>
    <t>https://dpmzos25m8ivg.cloudfront.net/Documentos/631/02951181213/6310295118121306092023191424.pdf</t>
  </si>
  <si>
    <t>https://dpmzos25m8ivg.cloudfront.net/Documentos/631/02953393307/6310295339330708092023160809.pdf</t>
  </si>
  <si>
    <t>https://dpmzos25m8ivg.cloudfront.net/Documentos/631/02957589532/6310295758953206092023165941.pdf</t>
  </si>
  <si>
    <t>https://dpmzos25m8ivg.cloudfront.net/Documentos/631/02960523105/6310296052310513092023174539.pdf</t>
  </si>
  <si>
    <t>https://dpmzos25m8ivg.cloudfront.net/Documentos/631/02960954190/6310296095419011092023160239.jpeg</t>
  </si>
  <si>
    <t>https://dpmzos25m8ivg.cloudfront.net/Documentos/631/02961759277/6310296175927711092023160448.jpg</t>
  </si>
  <si>
    <t>https://dpmzos25m8ivg.cloudfront.net/Documentos/631/02962296106/6310296229610606092023103205.jpeg</t>
  </si>
  <si>
    <t>https://dpmzos25m8ivg.cloudfront.net/Documentos/631/02964951586/6310296495158611092023122846.pdf</t>
  </si>
  <si>
    <t>https://dpmzos25m8ivg.cloudfront.net/Documentos/631/02969329905/6310296932990511092023145441.jpg</t>
  </si>
  <si>
    <t>https://dpmzos25m8ivg.cloudfront.net/Documentos/631/02969344297/6310296934429707092023130008.pdf</t>
  </si>
  <si>
    <t>https://dpmzos25m8ivg.cloudfront.net/Documentos/631/02973186595/6310297318659505092023171202.pdf</t>
  </si>
  <si>
    <t>https://dpmzos25m8ivg.cloudfront.net/Documentos/631/02976369526/6310297636952605092023115111.pdf</t>
  </si>
  <si>
    <t>https://dpmzos25m8ivg.cloudfront.net/Documentos/631/02978027126/6310297802712614092023165607.jpeg</t>
  </si>
  <si>
    <t>https://dpmzos25m8ivg.cloudfront.net/Documentos/631/02979248185/6310297924818505092023162253.jpg</t>
  </si>
  <si>
    <t>https://dpmzos25m8ivg.cloudfront.net/Documentos/631/02981350005/6310298135000511092023120117.jpeg</t>
  </si>
  <si>
    <t>https://dpmzos25m8ivg.cloudfront.net/Documentos/631/02986593798/6310298659379811092023170751.pdf</t>
  </si>
  <si>
    <t>https://dpmzos25m8ivg.cloudfront.net/Documentos/631/02988529345/6310298852934511092023124444.pdf</t>
  </si>
  <si>
    <t>https://dpmzos25m8ivg.cloudfront.net/Documentos/631/02989462201/6310298946220110092023214925.jpg</t>
  </si>
  <si>
    <t>https://dpmzos25m8ivg.cloudfront.net/Documentos/631/02990005161/6310299000516111092023104448.jpeg</t>
  </si>
  <si>
    <t>https://dpmzos25m8ivg.cloudfront.net/Documentos/631/02991450266/6310299145026614092023164520.jpg</t>
  </si>
  <si>
    <t>https://dpmzos25m8ivg.cloudfront.net/Documentos/631/02994013592/6310299401359211092023113510.pdf</t>
  </si>
  <si>
    <t>https://dpmzos25m8ivg.cloudfront.net/Documentos/631/02995623289/6310299562328911092023151444.pdf</t>
  </si>
  <si>
    <t>https://dpmzos25m8ivg.cloudfront.net/Documentos/631/02997110726/6310299711072611092023142354.pdf</t>
  </si>
  <si>
    <t>https://dpmzos25m8ivg.cloudfront.net/Documentos/631/02997553202/6310299755320211092023165829.pdf</t>
  </si>
  <si>
    <t>https://dpmzos25m8ivg.cloudfront.net/Documentos/631/03005409147/6310300540914707092023165204.pdf</t>
  </si>
  <si>
    <t>https://dpmzos25m8ivg.cloudfront.net/Documentos/631/03006633318/6310300663331805092023113840.pdf</t>
  </si>
  <si>
    <t>https://dpmzos25m8ivg.cloudfront.net/Documentos/631/03009011512/6310300901151207092023183846.pdf</t>
  </si>
  <si>
    <t>https://dpmzos25m8ivg.cloudfront.net/Documentos/631/03009218290/6310300921829010092023235213.pdf</t>
  </si>
  <si>
    <t>https://dpmzos25m8ivg.cloudfront.net/Documentos/631/03009930488/6310300993048809092023204757.jpg</t>
  </si>
  <si>
    <t>https://dpmzos25m8ivg.cloudfront.net/Documentos/631/03017883671/6310301788367111092023092107.pdf</t>
  </si>
  <si>
    <t>https://dpmzos25m8ivg.cloudfront.net/Documentos/631/03019162416/6310301916241609092023205632.pdf</t>
  </si>
  <si>
    <t>https://dpmzos25m8ivg.cloudfront.net/Documentos/631/03019746248/6310301974624809092023230521.pdf</t>
  </si>
  <si>
    <t>https://dpmzos25m8ivg.cloudfront.net/Documentos/631/03020718228/6310302071822811092023133609.pdf</t>
  </si>
  <si>
    <t>https://dpmzos25m8ivg.cloudfront.net/Documentos/631/03023143501/6310302314350111092023101208.pdf</t>
  </si>
  <si>
    <t>https://dpmzos25m8ivg.cloudfront.net/Documentos/631/03026869597/6310302686959711092023104454.jpg</t>
  </si>
  <si>
    <t>https://dpmzos25m8ivg.cloudfront.net/Documentos/631/03029869105/6310302986910511092023162714.pdf</t>
  </si>
  <si>
    <t>https://dpmzos25m8ivg.cloudfront.net/Documentos/631/03034126158/6310303412615814092023160851.pdf</t>
  </si>
  <si>
    <t>https://dpmzos25m8ivg.cloudfront.net/Documentos/631/03035043078/6310303504307811092023170023.pdf</t>
  </si>
  <si>
    <t>https://dpmzos25m8ivg.cloudfront.net/Documentos/631/03035601429/6310303560142911092023122739.pdf</t>
  </si>
  <si>
    <t>https://dpmzos25m8ivg.cloudfront.net/Documentos/631/03042366677/6310304236667711092023165413.pdf</t>
  </si>
  <si>
    <t>https://dpmzos25m8ivg.cloudfront.net/Documentos/631/03044073219/6310304407321906092023175321.pdf</t>
  </si>
  <si>
    <t>https://dpmzos25m8ivg.cloudfront.net/Documentos/631/03045273190/6310304527319011092023093936.jpg</t>
  </si>
  <si>
    <t>https://dpmzos25m8ivg.cloudfront.net/Documentos/631/03046198760/6310304619876008092023155557.pdf</t>
  </si>
  <si>
    <t>https://dpmzos25m8ivg.cloudfront.net/Documentos/631/03046992769/6310304699276905092023144749.pdf</t>
  </si>
  <si>
    <t>https://dpmzos25m8ivg.cloudfront.net/Documentos/631/03049054450/6310304905445011092023131142.pdf</t>
  </si>
  <si>
    <t>https://dpmzos25m8ivg.cloudfront.net/Documentos/631/03049915382/6310304991538206092023165918.pdf</t>
  </si>
  <si>
    <t>https://dpmzos25m8ivg.cloudfront.net/Documentos/631/03050223502/6310305022350205092023110536.jpg</t>
  </si>
  <si>
    <t>https://dpmzos25m8ivg.cloudfront.net/Documentos/631/03055803965/6310305580396506092023155853.pdf</t>
  </si>
  <si>
    <t>https://dpmzos25m8ivg.cloudfront.net/Documentos/631/03056607051/6310305660705111092023142402.pdf</t>
  </si>
  <si>
    <t>https://dpmzos25m8ivg.cloudfront.net/Documentos/631/03057061605/6310305706160511092023115818.jpg</t>
  </si>
  <si>
    <t>https://dpmzos25m8ivg.cloudfront.net/Documentos/631/03057519563/6310305751956306092023235518.pdf</t>
  </si>
  <si>
    <t>https://dpmzos25m8ivg.cloudfront.net/Documentos/631/03057962165/6310305796216509092023115535.pdf</t>
  </si>
  <si>
    <t>https://dpmzos25m8ivg.cloudfront.net/Documentos/631/03060091536/6310306009153606092023193208.pdf</t>
  </si>
  <si>
    <t>https://dpmzos25m8ivg.cloudfront.net/Documentos/631/03065282585/6310306528258511092023100101.pdf</t>
  </si>
  <si>
    <t>https://dpmzos25m8ivg.cloudfront.net/Documentos/631/03067161602/6310306716160207092023221011.pdf</t>
  </si>
  <si>
    <t>https://dpmzos25m8ivg.cloudfront.net/Documentos/631/03069123171/6310306912317111092023155042.jpeg</t>
  </si>
  <si>
    <t>https://dpmzos25m8ivg.cloudfront.net/Documentos/631/03069388477/6310306938847709092023115412.jpg</t>
  </si>
  <si>
    <t>https://dpmzos25m8ivg.cloudfront.net/Documentos/631/03069624030/6310306962403005092023134632.jpg</t>
  </si>
  <si>
    <t>https://dpmzos25m8ivg.cloudfront.net/Documentos/631/03072648581/6310307264858111092023153040.pdf</t>
  </si>
  <si>
    <t>https://dpmzos25m8ivg.cloudfront.net/Documentos/631/03072670676/6310307267067611092023100706.pdf</t>
  </si>
  <si>
    <t>https://dpmzos25m8ivg.cloudfront.net/Documentos/631/03079785592/6310307978559206092023180017.jpg</t>
  </si>
  <si>
    <t>https://dpmzos25m8ivg.cloudfront.net/Documentos/631/03081316570/6310308131657010092023210344.jpg</t>
  </si>
  <si>
    <t>https://dpmzos25m8ivg.cloudfront.net/Documentos/631/03083384050/6310308338405008092023090613.pdf</t>
  </si>
  <si>
    <t>https://dpmzos25m8ivg.cloudfront.net/Documentos/631/03083570511/6310308357051111092023130648.pdf</t>
  </si>
  <si>
    <t>https://dpmzos25m8ivg.cloudfront.net/Documentos/631/03087545147/6310308754514711092023140039.pdf</t>
  </si>
  <si>
    <t>https://dpmzos25m8ivg.cloudfront.net/Documentos/631/03088236130/6310308823613011092023003125.jpeg</t>
  </si>
  <si>
    <t>https://dpmzos25m8ivg.cloudfront.net/Documentos/631/03088637126/6310308863712611092023165259.jpeg</t>
  </si>
  <si>
    <t>https://dpmzos25m8ivg.cloudfront.net/Documentos/631/03090021765/6310309002176508092023141026.pdf</t>
  </si>
  <si>
    <t>https://dpmzos25m8ivg.cloudfront.net/Documentos/631/03093517230/6310309351723009092023112355.jpg</t>
  </si>
  <si>
    <t>https://dpmzos25m8ivg.cloudfront.net/Documentos/631/03096212597/6310309621259709092023161538.jpeg</t>
  </si>
  <si>
    <t>https://dpmzos25m8ivg.cloudfront.net/Documentos/631/03096789193/6310309678919311092023015747.pdf</t>
  </si>
  <si>
    <t>https://dpmzos25m8ivg.cloudfront.net/Documentos/631/03098476303/6310309847630311092023140546.pdf</t>
  </si>
  <si>
    <t>https://dpmzos25m8ivg.cloudfront.net/Documentos/631/03098838574/6310309883857405092023144922.pdf</t>
  </si>
  <si>
    <t>https://dpmzos25m8ivg.cloudfront.net/Documentos/631/03109118505/6310310911850507092023213546.pdf</t>
  </si>
  <si>
    <t>https://dpmzos25m8ivg.cloudfront.net/Documentos/631/03111472248/6310311147224806092023182550.jpg</t>
  </si>
  <si>
    <t>https://dpmzos25m8ivg.cloudfront.net/Documentos/631/03115413211/6310311541321111092023132228.pdf</t>
  </si>
  <si>
    <t>https://dpmzos25m8ivg.cloudfront.net/Documentos/631/03116365270/6310311636527013092023230548.pdf</t>
  </si>
  <si>
    <t>https://dpmzos25m8ivg.cloudfront.net/Documentos/631/03116528403/6310311652840311092023154058.jpg</t>
  </si>
  <si>
    <t>https://dpmzos25m8ivg.cloudfront.net/Documentos/631/03117420177/6310311742017708092023142756.pdf</t>
  </si>
  <si>
    <t>https://dpmzos25m8ivg.cloudfront.net/Documentos/631/03119038270/6310311903827006092023113241.pdf</t>
  </si>
  <si>
    <t>https://dpmzos25m8ivg.cloudfront.net/Documentos/631/03121531395/6310312153139511092023161944.pdf</t>
  </si>
  <si>
    <t>https://dpmzos25m8ivg.cloudfront.net/Documentos/631/03131016124/6310313101612410092023224122.pdf</t>
  </si>
  <si>
    <t>https://dpmzos25m8ivg.cloudfront.net/Documentos/631/03134686210/6310313468621006092023165620.pdf</t>
  </si>
  <si>
    <t>https://dpmzos25m8ivg.cloudfront.net/Documentos/631/03136611705/6310313661170509092023222708.jpg</t>
  </si>
  <si>
    <t>https://dpmzos25m8ivg.cloudfront.net/Documentos/631/03137630541/6310313763054105092023154212.jpeg</t>
  </si>
  <si>
    <t>https://dpmzos25m8ivg.cloudfront.net/Documentos/631/03140313322/6310314031332207092023115424.pdf</t>
  </si>
  <si>
    <t>https://dpmzos25m8ivg.cloudfront.net/Documentos/631/03143459573/6310314345957308092023213906.pdf</t>
  </si>
  <si>
    <t>https://dpmzos25m8ivg.cloudfront.net/Documentos/631/03144269140/6310314426914011092023094127.pdf</t>
  </si>
  <si>
    <t>https://dpmzos25m8ivg.cloudfront.net/Documentos/631/03154285202/6310315428520208092023192904.pdf</t>
  </si>
  <si>
    <t>https://dpmzos25m8ivg.cloudfront.net/Documentos/631/03155653906/6310315565390610092023234820.jpg</t>
  </si>
  <si>
    <t>https://dpmzos25m8ivg.cloudfront.net/Documentos/631/03157876279/6310315787627911092023161458.pdf</t>
  </si>
  <si>
    <t>https://dpmzos25m8ivg.cloudfront.net/Documentos/631/03158823527/6310315882352712092023193453.pdf</t>
  </si>
  <si>
    <t>https://dpmzos25m8ivg.cloudfront.net/Documentos/631/03159031551/6310315903155114092023163529.pdf</t>
  </si>
  <si>
    <t>https://dpmzos25m8ivg.cloudfront.net/Documentos/631/03160709124/6310316070912411092023165749.jpeg</t>
  </si>
  <si>
    <t>https://dpmzos25m8ivg.cloudfront.net/Documentos/631/03164135505/6310316413550511092023124759.jpeg</t>
  </si>
  <si>
    <t>https://dpmzos25m8ivg.cloudfront.net/Documentos/631/03167564156/6310316756415611092023160035.jpg</t>
  </si>
  <si>
    <t>https://dpmzos25m8ivg.cloudfront.net/Documentos/631/03168370240/6310316837024010092023200435.jpg</t>
  </si>
  <si>
    <t>https://dpmzos25m8ivg.cloudfront.net/Documentos/631/03169212206/6310316921220605092023201710.pdf</t>
  </si>
  <si>
    <t>https://dpmzos25m8ivg.cloudfront.net/Documentos/631/03169317130/6310316931713010092023185620.jpeg</t>
  </si>
  <si>
    <t>https://dpmzos25m8ivg.cloudfront.net/Documentos/631/03169747576/6310316974757605092023173951.jpg</t>
  </si>
  <si>
    <t>https://dpmzos25m8ivg.cloudfront.net/Documentos/631/03171534207/6310317153420711092023160305.pdf</t>
  </si>
  <si>
    <t>https://dpmzos25m8ivg.cloudfront.net/Documentos/631/03172344630/6310317234463011092023115204.pdf</t>
  </si>
  <si>
    <t>https://dpmzos25m8ivg.cloudfront.net/Documentos/631/03172604217/6310317260421708092023111031.pdf</t>
  </si>
  <si>
    <t>https://dpmzos25m8ivg.cloudfront.net/Documentos/631/03176368208/6310317636820810092023161857.jpg</t>
  </si>
  <si>
    <t>https://dpmzos25m8ivg.cloudfront.net/Documentos/631/03177906335/6310317790633509092023224756.pdf</t>
  </si>
  <si>
    <t>https://dpmzos25m8ivg.cloudfront.net/Documentos/631/03190246106/6310319024610611092023121752.pdf</t>
  </si>
  <si>
    <t>https://dpmzos25m8ivg.cloudfront.net/Documentos/631/03194810421/6310319481042106092023202105.jpg</t>
  </si>
  <si>
    <t>https://dpmzos25m8ivg.cloudfront.net/Documentos/631/03194964143/6310319496414306092023161740.pdf</t>
  </si>
  <si>
    <t>https://dpmzos25m8ivg.cloudfront.net/Documentos/631/03196134610/6310319613461006092023182031.jpg</t>
  </si>
  <si>
    <t>https://dpmzos25m8ivg.cloudfront.net/Documentos/631/03198667267/6310319866726711092023114005.jpeg</t>
  </si>
  <si>
    <t>https://dpmzos25m8ivg.cloudfront.net/Documentos/631/03198914531/6310319891453110092023195613.pdf</t>
  </si>
  <si>
    <t>https://dpmzos25m8ivg.cloudfront.net/Documentos/631/03199853340/6310319985334011092023124206.pdf</t>
  </si>
  <si>
    <t>https://dpmzos25m8ivg.cloudfront.net/Documentos/631/03201084573/6310320108457312092023193321.pdf</t>
  </si>
  <si>
    <t>https://dpmzos25m8ivg.cloudfront.net/Documentos/631/03201566306/6310320156630611092023144652.pdf</t>
  </si>
  <si>
    <t>https://dpmzos25m8ivg.cloudfront.net/Documentos/631/03203544237/6310320354423711092023161234.pdf</t>
  </si>
  <si>
    <t>https://dpmzos25m8ivg.cloudfront.net/Documentos/631/03205213548/6310320521354811092023124136.pdf</t>
  </si>
  <si>
    <t>https://dpmzos25m8ivg.cloudfront.net/Documentos/631/03208232101/6310320823210111092023134920.pdf</t>
  </si>
  <si>
    <t>https://dpmzos25m8ivg.cloudfront.net/Documentos/631/03208941501/6310320894150111092023121628.pdf</t>
  </si>
  <si>
    <t>https://dpmzos25m8ivg.cloudfront.net/Documentos/631/03210604231/6310321060423109092023184817.pdf</t>
  </si>
  <si>
    <t>https://dpmzos25m8ivg.cloudfront.net/Documentos/631/03210819270/6310321081927014092023161053.pdf</t>
  </si>
  <si>
    <t>https://dpmzos25m8ivg.cloudfront.net/Documentos/631/03212487240/6310321248724011092023161700.pdf</t>
  </si>
  <si>
    <t>https://dpmzos25m8ivg.cloudfront.net/Documentos/631/03212810203/6310321281020311092023163250.jpeg</t>
  </si>
  <si>
    <t>https://dpmzos25m8ivg.cloudfront.net/Documentos/631/03213681423/6310321368142310092023212238.pdf</t>
  </si>
  <si>
    <t>https://dpmzos25m8ivg.cloudfront.net/Documentos/631/03216372596/6310321637259611092023102814.pdf</t>
  </si>
  <si>
    <t>https://dpmzos25m8ivg.cloudfront.net/Documentos/631/03217726103/6310321772610314092023170337.pdf</t>
  </si>
  <si>
    <t>https://dpmzos25m8ivg.cloudfront.net/Documentos/631/03222521484/6310322252148411092023121014.pdf</t>
  </si>
  <si>
    <t>https://dpmzos25m8ivg.cloudfront.net/Documentos/631/03227302101/6310322730210111092023140339.pdf</t>
  </si>
  <si>
    <t>https://dpmzos25m8ivg.cloudfront.net/Documentos/631/03231867509/6310323186750908092023221921.pdf</t>
  </si>
  <si>
    <t>https://dpmzos25m8ivg.cloudfront.net/Documentos/631/03232356702/6310323235670206092023224209.pdf</t>
  </si>
  <si>
    <t>https://dpmzos25m8ivg.cloudfront.net/Documentos/631/03234423237/6310323442323705092023150829.pdf</t>
  </si>
  <si>
    <t>https://dpmzos25m8ivg.cloudfront.net/Documentos/631/03235470018/6310323547001806092023143241.jpg</t>
  </si>
  <si>
    <t>https://dpmzos25m8ivg.cloudfront.net/Documentos/631/03235520210/6310323552021007092023172102.pdf</t>
  </si>
  <si>
    <t>https://dpmzos25m8ivg.cloudfront.net/Documentos/631/03236866136/6310323686613611092023134541.pdf</t>
  </si>
  <si>
    <t>https://dpmzos25m8ivg.cloudfront.net/Documentos/631/03244536042/6310324453604213092023150013.jpg</t>
  </si>
  <si>
    <t>https://dpmzos25m8ivg.cloudfront.net/Documentos/631/03247483101/6310324748310111092023104339.pdf</t>
  </si>
  <si>
    <t>https://dpmzos25m8ivg.cloudfront.net/Documentos/631/03251673114/6310325167311411092023151230.jpg</t>
  </si>
  <si>
    <t>https://dpmzos25m8ivg.cloudfront.net/Documentos/631/03252232545/6310325223254505092023092158.pdf</t>
  </si>
  <si>
    <t>https://dpmzos25m8ivg.cloudfront.net/Documentos/631/03252697505/6310325269750511092023105313.jpg</t>
  </si>
  <si>
    <t>https://dpmzos25m8ivg.cloudfront.net/Documentos/631/03252731541/6310325273154111092023160055.jpeg</t>
  </si>
  <si>
    <t>https://dpmzos25m8ivg.cloudfront.net/Documentos/631/03254073479/6310325407347910092023224241.pdf</t>
  </si>
  <si>
    <t>https://dpmzos25m8ivg.cloudfront.net/Documentos/631/03255957478/6310325595747809092023223031.pdf</t>
  </si>
  <si>
    <t>https://dpmzos25m8ivg.cloudfront.net/Documentos/631/03259078894/6310325907889406092023182135.jpg</t>
  </si>
  <si>
    <t>https://dpmzos25m8ivg.cloudfront.net/Documentos/631/03260559248/6310326055924811092023131308.pdf</t>
  </si>
  <si>
    <t>https://dpmzos25m8ivg.cloudfront.net/Documentos/631/03261318414/6310326131841408092023144934.jpg</t>
  </si>
  <si>
    <t>https://dpmzos25m8ivg.cloudfront.net/Documentos/631/03264636158/6310326463615811092023001355.pdf</t>
  </si>
  <si>
    <t>https://dpmzos25m8ivg.cloudfront.net/Documentos/631/03264676109/6310326467610905092023161941.jpeg</t>
  </si>
  <si>
    <t>https://dpmzos25m8ivg.cloudfront.net/Documentos/631/03265886123/6310326588612310092023194819.pdf</t>
  </si>
  <si>
    <t>https://dpmzos25m8ivg.cloudfront.net/Documentos/631/03266416104/6310326641610411092023002451.pdf</t>
  </si>
  <si>
    <t>https://dpmzos25m8ivg.cloudfront.net/Documentos/631/03266457218/6310326645721810092023173646.pdf</t>
  </si>
  <si>
    <t>https://dpmzos25m8ivg.cloudfront.net/Documentos/631/03271466726/6310327146672604092023221338.jpg</t>
  </si>
  <si>
    <t>https://dpmzos25m8ivg.cloudfront.net/Documentos/631/03273402580/6310327340258009092023180926.pdf</t>
  </si>
  <si>
    <t>https://dpmzos25m8ivg.cloudfront.net/Documentos/631/03275668501/6310327566850107092023112517.pdf</t>
  </si>
  <si>
    <t>https://dpmzos25m8ivg.cloudfront.net/Documentos/631/03276684586/6310327668458610092023215333.jpeg</t>
  </si>
  <si>
    <t>https://dpmzos25m8ivg.cloudfront.net/Documentos/631/03279890098/6310327989009808092023190608.jpeg</t>
  </si>
  <si>
    <t>https://dpmzos25m8ivg.cloudfront.net/Documentos/631/03280978297/6310328097829711092023151012.jpeg</t>
  </si>
  <si>
    <t>https://dpmzos25m8ivg.cloudfront.net/Documentos/631/03281036163/6310328103616311092023125507.jpg</t>
  </si>
  <si>
    <t>https://dpmzos25m8ivg.cloudfront.net/Documentos/631/03286199575/6310328619957510092023183048.pdf</t>
  </si>
  <si>
    <t>https://dpmzos25m8ivg.cloudfront.net/Documentos/631/03288521040/6310328852104008092023095554.pdf</t>
  </si>
  <si>
    <t>https://dpmzos25m8ivg.cloudfront.net/Documentos/631/03290141101/6310329014110105092023084723.pdf</t>
  </si>
  <si>
    <t>https://dpmzos25m8ivg.cloudfront.net/Documentos/631/03290499332/6310329049933214092023152704.pdf</t>
  </si>
  <si>
    <t>https://dpmzos25m8ivg.cloudfront.net/Documentos/631/03291536177/6310329153617705092023093001.pdf</t>
  </si>
  <si>
    <t>https://dpmzos25m8ivg.cloudfront.net/Documentos/631/03293010636/6310329301063605092023205345.jpg</t>
  </si>
  <si>
    <t>https://dpmzos25m8ivg.cloudfront.net/Documentos/631/03293634176/6310329363417611092023122009.jpg</t>
  </si>
  <si>
    <t>https://dpmzos25m8ivg.cloudfront.net/Documentos/631/03295359350/6310329535935005092023103901.pdf</t>
  </si>
  <si>
    <t>https://dpmzos25m8ivg.cloudfront.net/Documentos/631/03296896147/6310329689614711092023163618.pdf</t>
  </si>
  <si>
    <t>https://dpmzos25m8ivg.cloudfront.net/Documentos/631/03297509686/6310329750968611092023143157.pdf</t>
  </si>
  <si>
    <t>https://dpmzos25m8ivg.cloudfront.net/Documentos/631/03299195204/6310329919520405092023134010.pdf</t>
  </si>
  <si>
    <t>https://dpmzos25m8ivg.cloudfront.net/Documentos/631/03299254073/6310329925407309092023180850.jpg</t>
  </si>
  <si>
    <t>https://dpmzos25m8ivg.cloudfront.net/Documentos/631/03299790510/6310329979051011092023154422.pdf</t>
  </si>
  <si>
    <t>https://dpmzos25m8ivg.cloudfront.net/Documentos/631/03301595189/6310330159518910092023230939.jpeg</t>
  </si>
  <si>
    <t>https://dpmzos25m8ivg.cloudfront.net/Documentos/631/03304904271/6310330490427111092023131034.pdf</t>
  </si>
  <si>
    <t>https://dpmzos25m8ivg.cloudfront.net/Documentos/631/03309130347/6310330913034708092023203030.pdf</t>
  </si>
  <si>
    <t>https://dpmzos25m8ivg.cloudfront.net/Documentos/631/03312406293/6310331240629311092023134028.pdf</t>
  </si>
  <si>
    <t>https://dpmzos25m8ivg.cloudfront.net/Documentos/631/03312757592/6310331275759207092023105946.pdf</t>
  </si>
  <si>
    <t>https://dpmzos25m8ivg.cloudfront.net/Documentos/631/03315400610/6310331540061005092023094925.pdf</t>
  </si>
  <si>
    <t>https://dpmzos25m8ivg.cloudfront.net/Documentos/631/03316822577/6310331682257705092023150318.pdf</t>
  </si>
  <si>
    <t>https://dpmzos25m8ivg.cloudfront.net/Documentos/631/03322658546/6310332265854606092023094302.pdf</t>
  </si>
  <si>
    <t>https://dpmzos25m8ivg.cloudfront.net/Documentos/631/03324238080/6310332423808011092023165652.pdf</t>
  </si>
  <si>
    <t>https://dpmzos25m8ivg.cloudfront.net/Documentos/631/03329095300/6310332909530008092023122640.pdf</t>
  </si>
  <si>
    <t>https://dpmzos25m8ivg.cloudfront.net/Documentos/631/03330172266/6310333017226607092023095748.jpeg</t>
  </si>
  <si>
    <t>https://dpmzos25m8ivg.cloudfront.net/Documentos/631/03331973130/6310333197313011092023164541.pdf</t>
  </si>
  <si>
    <t>https://dpmzos25m8ivg.cloudfront.net/Documentos/631/03332202502/6310333220250205092023100402.jpeg</t>
  </si>
  <si>
    <t>https://dpmzos25m8ivg.cloudfront.net/Documentos/631/03334343154/6310333434315409092023203739.jpg</t>
  </si>
  <si>
    <t>https://dpmzos25m8ivg.cloudfront.net/Documentos/631/03334992551/6310333499255111092023093650.pdf</t>
  </si>
  <si>
    <t>https://dpmzos25m8ivg.cloudfront.net/Documentos/631/03335040112/6310333504011214092023111420.pdf</t>
  </si>
  <si>
    <t>https://dpmzos25m8ivg.cloudfront.net/Documentos/631/03336150426/6310333615042607092023112528.jpg</t>
  </si>
  <si>
    <t>https://dpmzos25m8ivg.cloudfront.net/Documentos/631/03337134190/6310333713419007092023112006.pdf</t>
  </si>
  <si>
    <t>https://dpmzos25m8ivg.cloudfront.net/Documentos/631/03337761194/6310333776119414092023031244.pdf</t>
  </si>
  <si>
    <t>https://dpmzos25m8ivg.cloudfront.net/Documentos/631/03338556713/6310333855671308092023213749.pdf</t>
  </si>
  <si>
    <t>https://dpmzos25m8ivg.cloudfront.net/Documentos/631/03339493235/6310333949323511092023131025.pdf</t>
  </si>
  <si>
    <t>https://dpmzos25m8ivg.cloudfront.net/Documentos/631/03342655097/6310334265509705092023140517.pdf</t>
  </si>
  <si>
    <t>https://dpmzos25m8ivg.cloudfront.net/Documentos/631/03343360589/6310334336058906092023133703.pdf</t>
  </si>
  <si>
    <t>https://dpmzos25m8ivg.cloudfront.net/Documentos/631/03344011278/6310334401127811092023113406.pdf</t>
  </si>
  <si>
    <t>https://dpmzos25m8ivg.cloudfront.net/Documentos/631/03344378570/6310334437857011092023152957.jpg</t>
  </si>
  <si>
    <t>https://dpmzos25m8ivg.cloudfront.net/Documentos/631/03346911500/6310334691150008092023100653.pdf</t>
  </si>
  <si>
    <t>https://dpmzos25m8ivg.cloudfront.net/Documentos/631/03349612202/6310334961220211092023160748.pdf</t>
  </si>
  <si>
    <t>https://dpmzos25m8ivg.cloudfront.net/Documentos/631/03357612402/6310335761240206092023010337.jpg</t>
  </si>
  <si>
    <t>https://dpmzos25m8ivg.cloudfront.net/Documentos/631/03357978571/6310335797857105092023093338.jpg</t>
  </si>
  <si>
    <t>https://dpmzos25m8ivg.cloudfront.net/Documentos/631/03358428109/6310335842810914092023130259.jpeg</t>
  </si>
  <si>
    <t>https://dpmzos25m8ivg.cloudfront.net/Documentos/631/03364308250/6310336430825008092023093137.pdf</t>
  </si>
  <si>
    <t>https://dpmzos25m8ivg.cloudfront.net/Documentos/631/03367560545/6310336756054505092023122255.pdf</t>
  </si>
  <si>
    <t>https://dpmzos25m8ivg.cloudfront.net/Documentos/631/03371100260/6310337110026011092023154853.pdf</t>
  </si>
  <si>
    <t>https://dpmzos25m8ivg.cloudfront.net/Documentos/631/03372177185/6310337217718511092023153932.pdf</t>
  </si>
  <si>
    <t>https://dpmzos25m8ivg.cloudfront.net/Documentos/631/03373400481/6310337340048111092023011446.jpeg</t>
  </si>
  <si>
    <t>https://dpmzos25m8ivg.cloudfront.net/Documentos/631/03374185002/6310337418500211092023152816.jpeg</t>
  </si>
  <si>
    <t>https://dpmzos25m8ivg.cloudfront.net/Documentos/631/03374551556/6310337455155613092023143048.jpg</t>
  </si>
  <si>
    <t>https://dpmzos25m8ivg.cloudfront.net/Documentos/631/03381174908/6310338117490805092023094302.pdf</t>
  </si>
  <si>
    <t>https://dpmzos25m8ivg.cloudfront.net/Documentos/631/03381263684/6310338126368410092023212645.pdf</t>
  </si>
  <si>
    <t>https://dpmzos25m8ivg.cloudfront.net/Documentos/631/03383643158/6310338364315811092023161502.pdf</t>
  </si>
  <si>
    <t>https://dpmzos25m8ivg.cloudfront.net/Documentos/631/03385092329/6310338509232911092023115136.jpg</t>
  </si>
  <si>
    <t>https://dpmzos25m8ivg.cloudfront.net/Documentos/631/03385138175/6310338513817511092023165252.pdf</t>
  </si>
  <si>
    <t>https://dpmzos25m8ivg.cloudfront.net/Documentos/631/03385797292/6310338579729211092023112958.jpeg</t>
  </si>
  <si>
    <t>https://dpmzos25m8ivg.cloudfront.net/Documentos/631/03386141170/6310338614117011092023105747.pdf</t>
  </si>
  <si>
    <t>https://dpmzos25m8ivg.cloudfront.net/Documentos/631/03386416101/6310338641610114092023122832.pdf</t>
  </si>
  <si>
    <t>https://dpmzos25m8ivg.cloudfront.net/Documentos/631/03387566204/6310338756620409092023204404.pdf</t>
  </si>
  <si>
    <t>https://dpmzos25m8ivg.cloudfront.net/Documentos/631/03388157243/6310338815724307092023151923.pdf</t>
  </si>
  <si>
    <t>https://dpmzos25m8ivg.cloudfront.net/Documentos/631/03388181381/6310338818138111092023150740.pdf</t>
  </si>
  <si>
    <t>https://dpmzos25m8ivg.cloudfront.net/Documentos/631/03392207160/6310339220716005092023141634.pdf</t>
  </si>
  <si>
    <t>https://dpmzos25m8ivg.cloudfront.net/Documentos/631/03392903078/6310339290307812092023191218.jpg</t>
  </si>
  <si>
    <t>https://dpmzos25m8ivg.cloudfront.net/Documentos/631/03393709127/6310339370912711092023162007.pdf</t>
  </si>
  <si>
    <t>https://dpmzos25m8ivg.cloudfront.net/Documentos/631/03394652390/6310339465239013092023133213.pdf</t>
  </si>
  <si>
    <t>https://dpmzos25m8ivg.cloudfront.net/Documentos/631/03395114783/6310339511478311092023134651.pdf</t>
  </si>
  <si>
    <t>https://dpmzos25m8ivg.cloudfront.net/Documentos/631/03397200008/6310339720000811092023140015.jpeg</t>
  </si>
  <si>
    <t>https://dpmzos25m8ivg.cloudfront.net/Documentos/631/03398034101/6310339803410106092023220741.pdf</t>
  </si>
  <si>
    <t>https://dpmzos25m8ivg.cloudfront.net/Documentos/631/03401950100/6310340195010005092023165110.pdf</t>
  </si>
  <si>
    <t>https://dpmzos25m8ivg.cloudfront.net/Documentos/631/03402798263/6310340279826314092023165420.pdf</t>
  </si>
  <si>
    <t>https://dpmzos25m8ivg.cloudfront.net/Documentos/631/03403497003/6310340349700311092023125621.jpeg</t>
  </si>
  <si>
    <t>https://dpmzos25m8ivg.cloudfront.net/Documentos/631/03403620301/6310340362030108092023104349.pdf</t>
  </si>
  <si>
    <t>https://dpmzos25m8ivg.cloudfront.net/Documentos/631/03406139124/6310340613912406092023131257.pdf</t>
  </si>
  <si>
    <t>https://dpmzos25m8ivg.cloudfront.net/Documentos/631/03406619509/6310340661950910092023201147.pdf</t>
  </si>
  <si>
    <t>https://dpmzos25m8ivg.cloudfront.net/Documentos/631/03410656766/6310341065676605092023160442.pdf</t>
  </si>
  <si>
    <t>https://dpmzos25m8ivg.cloudfront.net/Documentos/631/03411413212/6310341141321211092023145253.pdf</t>
  </si>
  <si>
    <t>https://dpmzos25m8ivg.cloudfront.net/Documentos/631/03411852135/6310341185213508092023163906.pdf</t>
  </si>
  <si>
    <t>https://dpmzos25m8ivg.cloudfront.net/Documentos/631/03416691210/6310341669121011092023164337.pdf</t>
  </si>
  <si>
    <t>https://dpmzos25m8ivg.cloudfront.net/Documentos/631/03418864406/6310341886440611092023145252.pdf</t>
  </si>
  <si>
    <t>https://dpmzos25m8ivg.cloudfront.net/Documentos/631/03420603177/6310342060317711092023133454.pdf</t>
  </si>
  <si>
    <t>https://dpmzos25m8ivg.cloudfront.net/Documentos/631/03423946229/6310342394622906092023012552.pdf</t>
  </si>
  <si>
    <t>https://dpmzos25m8ivg.cloudfront.net/Documentos/631/03424149250/6310342414925011092023144816.pdf</t>
  </si>
  <si>
    <t>https://dpmzos25m8ivg.cloudfront.net/Documentos/631/03425288156/6310342528815611092023132239.pdf</t>
  </si>
  <si>
    <t>https://dpmzos25m8ivg.cloudfront.net/Documentos/631/03425821199/6310342582119911092023152808.pdf</t>
  </si>
  <si>
    <t>https://dpmzos25m8ivg.cloudfront.net/Documentos/631/03428022165/6310342802216511092023152033.pdf</t>
  </si>
  <si>
    <t>https://dpmzos25m8ivg.cloudfront.net/Documentos/631/03429436265/6310342943626506092023003731.pdf</t>
  </si>
  <si>
    <t>https://dpmzos25m8ivg.cloudfront.net/Documentos/631/03431149090/6310343114909011092023093002.pdf</t>
  </si>
  <si>
    <t>https://dpmzos25m8ivg.cloudfront.net/Documentos/631/03431647103/6310343164710305092023133627.pdf</t>
  </si>
  <si>
    <t>https://dpmzos25m8ivg.cloudfront.net/Documentos/631/03435686677/6310343568667708092023124205.jpeg</t>
  </si>
  <si>
    <t>https://dpmzos25m8ivg.cloudfront.net/Documentos/631/03436386901/6310343638690105092023133635.pdf</t>
  </si>
  <si>
    <t>https://dpmzos25m8ivg.cloudfront.net/Documentos/631/03436720224/6310343672022411092023164754.pdf</t>
  </si>
  <si>
    <t>https://dpmzos25m8ivg.cloudfront.net/Documentos/631/03436725102/6310343672510209092023012342.pdf</t>
  </si>
  <si>
    <t>https://dpmzos25m8ivg.cloudfront.net/Documentos/631/03438164159/6310343816415911092023115613.pdf</t>
  </si>
  <si>
    <t>https://dpmzos25m8ivg.cloudfront.net/Documentos/631/03438438119/6310343843811911092023114433.pdf</t>
  </si>
  <si>
    <t>https://dpmzos25m8ivg.cloudfront.net/Documentos/631/03442234263/6310344223426308092023210718.pdf</t>
  </si>
  <si>
    <t>https://dpmzos25m8ivg.cloudfront.net/Documentos/631/03444931484/6310344493148411092023130749.pdf</t>
  </si>
  <si>
    <t>https://dpmzos25m8ivg.cloudfront.net/Documentos/631/03445053081/6310344505308111092023103806.pdf</t>
  </si>
  <si>
    <t>https://dpmzos25m8ivg.cloudfront.net/Documentos/631/03445685630/6310344568563005092023222316.pdf</t>
  </si>
  <si>
    <t>https://dpmzos25m8ivg.cloudfront.net/Documentos/631/03446159010/6310344615901008092023144442.pdf</t>
  </si>
  <si>
    <t>https://dpmzos25m8ivg.cloudfront.net/Documentos/631/03446923373/6310344692337307092023145112.pdf</t>
  </si>
  <si>
    <t>https://dpmzos25m8ivg.cloudfront.net/Documentos/631/03447672137/6310344767213714092023131857.pdf</t>
  </si>
  <si>
    <t>https://dpmzos25m8ivg.cloudfront.net/Documentos/631/03448202118/6310344820211813092023104834.pdf</t>
  </si>
  <si>
    <t>https://dpmzos25m8ivg.cloudfront.net/Documentos/631/03450315390/6310345031539005092023101435.jpg</t>
  </si>
  <si>
    <t>https://dpmzos25m8ivg.cloudfront.net/Documentos/631/03451655519/6310345165551911092023082010.jpg</t>
  </si>
  <si>
    <t>https://dpmzos25m8ivg.cloudfront.net/Documentos/631/03456136005/6310345613600507092023161218.pdf</t>
  </si>
  <si>
    <t>https://dpmzos25m8ivg.cloudfront.net/Documentos/631/03456400128/6310345640012809092023112651.pdf</t>
  </si>
  <si>
    <t>https://dpmzos25m8ivg.cloudfront.net/Documentos/631/03458798560/6310345879856011092023161117.pdf</t>
  </si>
  <si>
    <t>https://dpmzos25m8ivg.cloudfront.net/Documentos/631/03459587563/6310345958756310092023131905.jpg</t>
  </si>
  <si>
    <t>https://dpmzos25m8ivg.cloudfront.net/Documentos/631/03460107561/6310346010756105092023114921.pdf</t>
  </si>
  <si>
    <t>https://dpmzos25m8ivg.cloudfront.net/Documentos/631/03466306140/6310346630614008092023161631.pdf</t>
  </si>
  <si>
    <t>https://dpmzos25m8ivg.cloudfront.net/Documentos/631/03469822514/6310346982251407092023215632.pdf</t>
  </si>
  <si>
    <t>https://dpmzos25m8ivg.cloudfront.net/Documentos/631/03470675570/6310347067557011092023154216.pdf</t>
  </si>
  <si>
    <t>https://dpmzos25m8ivg.cloudfront.net/Documentos/631/03472189037/6310347218903708092023102331.pdf</t>
  </si>
  <si>
    <t>https://dpmzos25m8ivg.cloudfront.net/Documentos/631/03473831573/6310347383157310092023195634.pdf</t>
  </si>
  <si>
    <t>https://dpmzos25m8ivg.cloudfront.net/Documentos/631/03475631121/6310347563112111092023165352.pdf</t>
  </si>
  <si>
    <t>https://dpmzos25m8ivg.cloudfront.net/Documentos/631/03481702388/6310348170238811092023112144.pdf</t>
  </si>
  <si>
    <t>https://dpmzos25m8ivg.cloudfront.net/Documentos/631/03482573174/6310348257317405092023162841.pdf</t>
  </si>
  <si>
    <t>https://dpmzos25m8ivg.cloudfront.net/Documentos/631/03486603329/6310348660332910092023230058.pdf</t>
  </si>
  <si>
    <t>https://dpmzos25m8ivg.cloudfront.net/Documentos/631/03487677571/6310348767757109092023231123.jpg</t>
  </si>
  <si>
    <t>https://dpmzos25m8ivg.cloudfront.net/Documentos/631/03488562883/6310348856288305092023170048.jpg</t>
  </si>
  <si>
    <t>https://dpmzos25m8ivg.cloudfront.net/Documentos/631/03490608780/6310349060878011092023001109.pdf</t>
  </si>
  <si>
    <t>https://dpmzos25m8ivg.cloudfront.net/Documentos/631/03495028200/6310349502820010092023214352.jpeg</t>
  </si>
  <si>
    <t>https://dpmzos25m8ivg.cloudfront.net/Documentos/631/03496594195/6310349659419511092023165249.pdf</t>
  </si>
  <si>
    <t>https://dpmzos25m8ivg.cloudfront.net/Documentos/631/03499020203/6310349902020305092023142040.pdf</t>
  </si>
  <si>
    <t>https://dpmzos25m8ivg.cloudfront.net/Documentos/631/03500000185/6310350000018511092023161959.jpeg</t>
  </si>
  <si>
    <t>https://dpmzos25m8ivg.cloudfront.net/Documentos/631/03506392999/6310350639299911092023154523.pdf</t>
  </si>
  <si>
    <t>https://dpmzos25m8ivg.cloudfront.net/Documentos/631/03507339536/6310350733953606092023161852.jpg</t>
  </si>
  <si>
    <t>https://dpmzos25m8ivg.cloudfront.net/Documentos/631/03507461684/6310350746168405092023095529.pdf</t>
  </si>
  <si>
    <t>https://dpmzos25m8ivg.cloudfront.net/Documentos/631/03511291208/6310351129120811092023144555.pdf</t>
  </si>
  <si>
    <t>https://dpmzos25m8ivg.cloudfront.net/Documentos/631/03512110207/6310351211020710092023215720.pdf</t>
  </si>
  <si>
    <t>https://dpmzos25m8ivg.cloudfront.net/Documentos/631/03512203051/6310351220305111092023142330.jpg</t>
  </si>
  <si>
    <t>https://dpmzos25m8ivg.cloudfront.net/Documentos/631/03519189496/6310351918949611092023133925.jpg</t>
  </si>
  <si>
    <t>https://dpmzos25m8ivg.cloudfront.net/Documentos/631/03521123103/6310352112310308092023135615.jpeg</t>
  </si>
  <si>
    <t>https://dpmzos25m8ivg.cloudfront.net/Documentos/631/03521458032/6310352145803211092023165929.jpeg</t>
  </si>
  <si>
    <t>https://dpmzos25m8ivg.cloudfront.net/Documentos/631/03521707350/6310352170735007092023204438.jpeg</t>
  </si>
  <si>
    <t>https://dpmzos25m8ivg.cloudfront.net/Documentos/631/03526074160/6310352607416011092023151349.pdf</t>
  </si>
  <si>
    <t>https://dpmzos25m8ivg.cloudfront.net/Documentos/631/03530467103/6310353046710309092023155709.pdf</t>
  </si>
  <si>
    <t>https://dpmzos25m8ivg.cloudfront.net/Documentos/631/03531179195/6310353117919511092023114759.pdf</t>
  </si>
  <si>
    <t>https://dpmzos25m8ivg.cloudfront.net/Documentos/631/03538023441/6310353802344110092023231422.jpg</t>
  </si>
  <si>
    <t>https://dpmzos25m8ivg.cloudfront.net/Documentos/631/03539929681/6310353992968105092023143523.pdf</t>
  </si>
  <si>
    <t>https://dpmzos25m8ivg.cloudfront.net/Documentos/631/03541918101/6310354191810111092023161755.pdf</t>
  </si>
  <si>
    <t>https://dpmzos25m8ivg.cloudfront.net/Documentos/631/03544191377/6310354419137705092023192614.pdf</t>
  </si>
  <si>
    <t>https://dpmzos25m8ivg.cloudfront.net/Documentos/631/03547600251/6310354760025111092023154847.pdf</t>
  </si>
  <si>
    <t>https://dpmzos25m8ivg.cloudfront.net/Documentos/631/03549998180/6310354999818008092023152442.pdf</t>
  </si>
  <si>
    <t>https://dpmzos25m8ivg.cloudfront.net/Documentos/631/03550058594/6310355005859404092023182438.pdf</t>
  </si>
  <si>
    <t>https://dpmzos25m8ivg.cloudfront.net/Documentos/631/03550755635/6310355075563511092023125011.jpg</t>
  </si>
  <si>
    <t>https://dpmzos25m8ivg.cloudfront.net/Documentos/631/03551597243/6310355159724311092023154346.pdf</t>
  </si>
  <si>
    <t>https://dpmzos25m8ivg.cloudfront.net/Documentos/631/03551929181/6310355192918111092023145654.pdf</t>
  </si>
  <si>
    <t>https://dpmzos25m8ivg.cloudfront.net/Documentos/631/03553685280/6310355368528011092023160018.pdf</t>
  </si>
  <si>
    <t>https://dpmzos25m8ivg.cloudfront.net/Documentos/631/03556244276/6310355624427611092023011231.jpeg</t>
  </si>
  <si>
    <t>https://dpmzos25m8ivg.cloudfront.net/Documentos/631/03557032701/6310355703270111092023103946.jpg</t>
  </si>
  <si>
    <t>https://dpmzos25m8ivg.cloudfront.net/Documentos/631/03558629213/6310355862921314092023133243.jpg</t>
  </si>
  <si>
    <t>https://dpmzos25m8ivg.cloudfront.net/Documentos/631/03560464358/6310356046435811092023122232.pdf</t>
  </si>
  <si>
    <t>https://dpmzos25m8ivg.cloudfront.net/Documentos/631/03560487218/6310356048721805092023235406.pdf</t>
  </si>
  <si>
    <t>https://dpmzos25m8ivg.cloudfront.net/Documentos/631/03560750601/6310356075060111092023171734.pdf</t>
  </si>
  <si>
    <t>https://dpmzos25m8ivg.cloudfront.net/Documentos/631/03566744107/6310356674410711092023105346.pdf</t>
  </si>
  <si>
    <t>https://dpmzos25m8ivg.cloudfront.net/Documentos/631/03566999601/6310356699960110092023235745.pdf</t>
  </si>
  <si>
    <t>https://dpmzos25m8ivg.cloudfront.net/Documentos/631/03568480190/6310356848019007092023193840.pdf</t>
  </si>
  <si>
    <t>https://dpmzos25m8ivg.cloudfront.net/Documentos/631/03570131580/6310357013158011092023160033.pdf</t>
  </si>
  <si>
    <t>https://dpmzos25m8ivg.cloudfront.net/Documentos/631/03570222624/6310357022262411092023093126.pdf</t>
  </si>
  <si>
    <t>https://dpmzos25m8ivg.cloudfront.net/Documentos/631/03574973250/6310357497325011092023161554.pdf</t>
  </si>
  <si>
    <t>https://dpmzos25m8ivg.cloudfront.net/Documentos/631/03576761306/6310357676130613092023154208.jpeg</t>
  </si>
  <si>
    <t>https://dpmzos25m8ivg.cloudfront.net/Documentos/631/03580739522/6310358073952206092023224320.pdf</t>
  </si>
  <si>
    <t>https://dpmzos25m8ivg.cloudfront.net/Documentos/631/03582424103/6310358242410307092023100537.jpg</t>
  </si>
  <si>
    <t>https://dpmzos25m8ivg.cloudfront.net/Documentos/631/03583985176/6310358398517611092023154613.pdf</t>
  </si>
  <si>
    <t>https://dpmzos25m8ivg.cloudfront.net/Documentos/631/03584303303/6310358430330311092023161142.pdf</t>
  </si>
  <si>
    <t>https://dpmzos25m8ivg.cloudfront.net/Documentos/631/03584848121/6310358484812111092023164904.pdf</t>
  </si>
  <si>
    <t>https://dpmzos25m8ivg.cloudfront.net/Documentos/631/03589718536/6310358971853606092023134722.jpg</t>
  </si>
  <si>
    <t>https://dpmzos25m8ivg.cloudfront.net/Documentos/631/03590030526/6310359003052611092023124456.pdf</t>
  </si>
  <si>
    <t>https://dpmzos25m8ivg.cloudfront.net/Documentos/631/03592362437/6310359236243708092023150952.pdf</t>
  </si>
  <si>
    <t>https://dpmzos25m8ivg.cloudfront.net/Documentos/631/03592810367/6310359281036711092023111205.pdf</t>
  </si>
  <si>
    <t>https://dpmzos25m8ivg.cloudfront.net/Documentos/631/03594744116/6310359474411611092023134714.pdf</t>
  </si>
  <si>
    <t>https://dpmzos25m8ivg.cloudfront.net/Documentos/631/03597200303/6310359720030311092023132124.pdf</t>
  </si>
  <si>
    <t>https://dpmzos25m8ivg.cloudfront.net/Documentos/631/03599170541/6310359917054108092023195702.pdf</t>
  </si>
  <si>
    <t>https://dpmzos25m8ivg.cloudfront.net/Documentos/631/03607417547/6310360741754705092023192136.jpeg</t>
  </si>
  <si>
    <t>https://dpmzos25m8ivg.cloudfront.net/Documentos/631/03608230254/6310360823025411092023163758.pdf</t>
  </si>
  <si>
    <t>https://dpmzos25m8ivg.cloudfront.net/Documentos/631/03608968393/6310360896839305092023235242.jpg</t>
  </si>
  <si>
    <t>https://dpmzos25m8ivg.cloudfront.net/Documentos/631/03609067535/6310360906753511092023132801.pdf</t>
  </si>
  <si>
    <t>https://dpmzos25m8ivg.cloudfront.net/Documentos/631/03609679301/6310360967930111092023134025.pdf</t>
  </si>
  <si>
    <t>https://dpmzos25m8ivg.cloudfront.net/Documentos/631/03610502240/6310361050224011092023165754.jpg</t>
  </si>
  <si>
    <t>https://dpmzos25m8ivg.cloudfront.net/Documentos/631/03612916122/6310361291612214092023020057.pdf</t>
  </si>
  <si>
    <t>https://dpmzos25m8ivg.cloudfront.net/Documentos/631/03613142309/6310361314230911092023163130.pdf</t>
  </si>
  <si>
    <t>https://dpmzos25m8ivg.cloudfront.net/Documentos/631/03614576345/6310361457634511092023140420.pdf</t>
  </si>
  <si>
    <t>https://dpmzos25m8ivg.cloudfront.net/Documentos/631/03614680169/6310361468016911092023160711.jpg</t>
  </si>
  <si>
    <t>https://dpmzos25m8ivg.cloudfront.net/Documentos/631/03616228484/6310361622848411092023145351.jpg</t>
  </si>
  <si>
    <t>https://dpmzos25m8ivg.cloudfront.net/Documentos/631/03616386985/6310361638698510092023232455.pdf</t>
  </si>
  <si>
    <t>https://dpmzos25m8ivg.cloudfront.net/Documentos/631/03617060226/6310361706022614092023101742.pdf</t>
  </si>
  <si>
    <t>https://dpmzos25m8ivg.cloudfront.net/Documentos/631/03618435428/6310361843542811092023143907.pdf</t>
  </si>
  <si>
    <t>https://dpmzos25m8ivg.cloudfront.net/Documentos/631/03619882142/6310361988214206092023150622.jpg</t>
  </si>
  <si>
    <t>https://dpmzos25m8ivg.cloudfront.net/Documentos/631/03623155403/6310362315540306092023143327.pdf</t>
  </si>
  <si>
    <t>https://dpmzos25m8ivg.cloudfront.net/Documentos/631/03624402200/6310362440220005092023111322.jpg</t>
  </si>
  <si>
    <t>https://dpmzos25m8ivg.cloudfront.net/Documentos/631/03631497245/6310363149724511092023135127.pdf</t>
  </si>
  <si>
    <t>https://dpmzos25m8ivg.cloudfront.net/Documentos/631/03633449507/6310363344950710092023115820.pdf</t>
  </si>
  <si>
    <t>https://dpmzos25m8ivg.cloudfront.net/Documentos/631/03638896200/6310363889620009092023200555.pdf</t>
  </si>
  <si>
    <t>https://dpmzos25m8ivg.cloudfront.net/Documentos/631/03640501101/6310364050110111092023081412.pdf</t>
  </si>
  <si>
    <t>https://dpmzos25m8ivg.cloudfront.net/Documentos/631/03641655374/6310364165537408092023230606.jpg</t>
  </si>
  <si>
    <t>https://dpmzos25m8ivg.cloudfront.net/Documentos/631/03644101086/6310364410108611092023152856.pdf</t>
  </si>
  <si>
    <t>https://dpmzos25m8ivg.cloudfront.net/Documentos/631/03646897309/6310364689730907092023182351.pdf</t>
  </si>
  <si>
    <t>https://dpmzos25m8ivg.cloudfront.net/Documentos/631/03647279005/6310364727900511092023151745.jpeg</t>
  </si>
  <si>
    <t>https://dpmzos25m8ivg.cloudfront.net/Documentos/631/03652427050/6310365242705014092023145644.jpg</t>
  </si>
  <si>
    <t>https://dpmzos25m8ivg.cloudfront.net/Documentos/631/03654724175/6310365472417511092023154226.pdf</t>
  </si>
  <si>
    <t>https://dpmzos25m8ivg.cloudfront.net/Documentos/631/03656069280/6310365606928011092023144459.pdf</t>
  </si>
  <si>
    <t>https://dpmzos25m8ivg.cloudfront.net/Documentos/631/03658977523/6310365897752305092023110446.pdf</t>
  </si>
  <si>
    <t>https://dpmzos25m8ivg.cloudfront.net/Documentos/631/03659209597/6310365920959709092023012711.pdf</t>
  </si>
  <si>
    <t>https://dpmzos25m8ivg.cloudfront.net/Documentos/631/03660912476/6310366091247611092023111203.pdf</t>
  </si>
  <si>
    <t>https://dpmzos25m8ivg.cloudfront.net/Documentos/631/03663794296/6310366379429611092023134912.pdf</t>
  </si>
  <si>
    <t>https://dpmzos25m8ivg.cloudfront.net/Documentos/631/03665559103/6310366555910306092023124202.pdf</t>
  </si>
  <si>
    <t>https://dpmzos25m8ivg.cloudfront.net/Documentos/631/03666960170/6310366696017011092023160353.pdf</t>
  </si>
  <si>
    <t>https://dpmzos25m8ivg.cloudfront.net/Documentos/631/03667627378/6310366762737809092023200750.jpg</t>
  </si>
  <si>
    <t>https://dpmzos25m8ivg.cloudfront.net/Documentos/631/03669507035/6310366950703511092023162927.jpeg</t>
  </si>
  <si>
    <t>https://dpmzos25m8ivg.cloudfront.net/Documentos/631/03674567610/6310367456761005092023203731.pdf</t>
  </si>
  <si>
    <t>https://dpmzos25m8ivg.cloudfront.net/Documentos/631/03674982196/6310367498219606092023124617.pdf</t>
  </si>
  <si>
    <t>https://dpmzos25m8ivg.cloudfront.net/Documentos/631/03676372000/6310367637200010092023224757.pdf</t>
  </si>
  <si>
    <t>https://dpmzos25m8ivg.cloudfront.net/Documentos/631/03679879377/6310367987937706092023144406.pdf</t>
  </si>
  <si>
    <t>https://dpmzos25m8ivg.cloudfront.net/Documentos/631/03680389558/6310368038955806092023115609.pdf</t>
  </si>
  <si>
    <t>https://dpmzos25m8ivg.cloudfront.net/Documentos/631/03681189838/6310368118983811092023140219.pdf</t>
  </si>
  <si>
    <t>https://dpmzos25m8ivg.cloudfront.net/Documentos/631/03682840346/6310368284034611092023145154.pdf</t>
  </si>
  <si>
    <t>https://dpmzos25m8ivg.cloudfront.net/Documentos/631/03684671550/6310368467155011092023101904.jpg</t>
  </si>
  <si>
    <t>https://dpmzos25m8ivg.cloudfront.net/Documentos/631/03685178296/6310368517829611092023161322.pdf</t>
  </si>
  <si>
    <t>https://dpmzos25m8ivg.cloudfront.net/Documentos/631/03685197835/6310368519783506092023085614.pdf</t>
  </si>
  <si>
    <t>https://dpmzos25m8ivg.cloudfront.net/Documentos/631/03688728238/6310368872823805092023094213.pdf</t>
  </si>
  <si>
    <t>https://dpmzos25m8ivg.cloudfront.net/Documentos/631/03690332303/6310369033230306092023172347.pdf</t>
  </si>
  <si>
    <t>https://dpmzos25m8ivg.cloudfront.net/Documentos/631/03691319165/6310369131916509092023161750.pdf</t>
  </si>
  <si>
    <t>https://dpmzos25m8ivg.cloudfront.net/Documentos/631/03691831265/6310369183126509092023213028.pdf</t>
  </si>
  <si>
    <t>https://dpmzos25m8ivg.cloudfront.net/Documentos/631/03693265550/6310369326555010092023172526.pdf</t>
  </si>
  <si>
    <t>https://dpmzos25m8ivg.cloudfront.net/Documentos/631/03694273352/6310369427335211092023161746.pdf</t>
  </si>
  <si>
    <t>https://dpmzos25m8ivg.cloudfront.net/Documentos/631/03704915483/6310370491548310092023213518.pdf</t>
  </si>
  <si>
    <t>https://dpmzos25m8ivg.cloudfront.net/Documentos/631/03706005506/6310370600550611092023080933.pdf</t>
  </si>
  <si>
    <t>https://dpmzos25m8ivg.cloudfront.net/Documentos/631/03706499312/6310370649931211092023152919.pdf</t>
  </si>
  <si>
    <t>https://dpmzos25m8ivg.cloudfront.net/Documentos/631/03707668142/6310370766814205092023214143.jpeg</t>
  </si>
  <si>
    <t>https://dpmzos25m8ivg.cloudfront.net/Documentos/631/03708003543/6310370800354310092023143929.pdf</t>
  </si>
  <si>
    <t>https://dpmzos25m8ivg.cloudfront.net/Documentos/631/03708712196/6310370871219605092023104317.pdf</t>
  </si>
  <si>
    <t>https://dpmzos25m8ivg.cloudfront.net/Documentos/631/03709436435/6310370943643505092023210824.pdf</t>
  </si>
  <si>
    <t>https://dpmzos25m8ivg.cloudfront.net/Documentos/631/03711073263/6310371107326311092023142945.pdf</t>
  </si>
  <si>
    <t>https://dpmzos25m8ivg.cloudfront.net/Documentos/631/03713558507/6310371355850711092023164621.pdf</t>
  </si>
  <si>
    <t>https://dpmzos25m8ivg.cloudfront.net/Documentos/631/03714965270/6310371496527010092023222701.pdf</t>
  </si>
  <si>
    <t>https://dpmzos25m8ivg.cloudfront.net/Documentos/631/03715286318/6310371528631811092023120918.jpg</t>
  </si>
  <si>
    <t>https://dpmzos25m8ivg.cloudfront.net/Documentos/631/03719495566/6310371949556605092023121933.jpg</t>
  </si>
  <si>
    <t>https://dpmzos25m8ivg.cloudfront.net/Documentos/631/03719779912/6310371977991205092023221542.jpg</t>
  </si>
  <si>
    <t>https://dpmzos25m8ivg.cloudfront.net/Documentos/631/03725696500/6310372569650011092023080256.pdf</t>
  </si>
  <si>
    <t>https://dpmzos25m8ivg.cloudfront.net/Documentos/631/03726078290/6310372607829011092023154757.pdf</t>
  </si>
  <si>
    <t>https://dpmzos25m8ivg.cloudfront.net/Documentos/631/03727255110/6310372725511005092023144917.jpeg</t>
  </si>
  <si>
    <t>https://dpmzos25m8ivg.cloudfront.net/Documentos/631/03731179571/6310373117957105092023121946.pdf</t>
  </si>
  <si>
    <t>https://dpmzos25m8ivg.cloudfront.net/Documentos/631/03736553552/6310373655355214092023150232.pdf</t>
  </si>
  <si>
    <t>https://dpmzos25m8ivg.cloudfront.net/Documentos/631/03738172319/6310373817231909092023161306.jpeg</t>
  </si>
  <si>
    <t>https://dpmzos25m8ivg.cloudfront.net/Documentos/631/03738511466/6310373851146614092023150209.pdf</t>
  </si>
  <si>
    <t>https://dpmzos25m8ivg.cloudfront.net/Documentos/631/03738537260/6310373853726006092023164817.pdf</t>
  </si>
  <si>
    <t>https://dpmzos25m8ivg.cloudfront.net/Documentos/631/03739656212/6310373965621213092023154725.jpg</t>
  </si>
  <si>
    <t>https://dpmzos25m8ivg.cloudfront.net/Documentos/631/03746612195/6310374661219509092023153256.pdf</t>
  </si>
  <si>
    <t>https://dpmzos25m8ivg.cloudfront.net/Documentos/631/03750253595/6310375025359509092023134107.pdf</t>
  </si>
  <si>
    <t>https://dpmzos25m8ivg.cloudfront.net/Documentos/631/03752120274/6310375212027411092023164128.pdf</t>
  </si>
  <si>
    <t>https://dpmzos25m8ivg.cloudfront.net/Documentos/631/03753474533/6310375347453308092023104349.pdf</t>
  </si>
  <si>
    <t>https://dpmzos25m8ivg.cloudfront.net/Documentos/631/03756368033/6310375636803305092023114541.jpeg</t>
  </si>
  <si>
    <t>https://dpmzos25m8ivg.cloudfront.net/Documentos/631/03759034292/6310375903429211092023105301.pdf</t>
  </si>
  <si>
    <t>https://dpmzos25m8ivg.cloudfront.net/Documentos/631/03761079524/6310376107952411092023082312.jpg</t>
  </si>
  <si>
    <t>https://dpmzos25m8ivg.cloudfront.net/Documentos/631/03762077525/6310376207752505092023134039.pdf</t>
  </si>
  <si>
    <t>https://dpmzos25m8ivg.cloudfront.net/Documentos/631/03762863342/6310376286334210092023133338.jpg</t>
  </si>
  <si>
    <t>https://dpmzos25m8ivg.cloudfront.net/Documentos/631/03764857013/6310376485701309092023203515.pdf</t>
  </si>
  <si>
    <t>https://dpmzos25m8ivg.cloudfront.net/Documentos/631/03765225347/6310376522534711092023154546.pdf</t>
  </si>
  <si>
    <t>https://dpmzos25m8ivg.cloudfront.net/Documentos/631/03768408388/6310376840838811092023163809.pdf</t>
  </si>
  <si>
    <t>https://dpmzos25m8ivg.cloudfront.net/Documentos/631/03768521273/6310376852127305092023134443.jpg</t>
  </si>
  <si>
    <t>https://dpmzos25m8ivg.cloudfront.net/Documentos/631/03771748828/6310377174882807092023150323.pdf</t>
  </si>
  <si>
    <t>https://dpmzos25m8ivg.cloudfront.net/Documentos/631/03772685188/6310377268518811092023162804.pdf</t>
  </si>
  <si>
    <t>https://dpmzos25m8ivg.cloudfront.net/Documentos/631/03773292317/6310377329231711092023121013.pdf</t>
  </si>
  <si>
    <t>https://dpmzos25m8ivg.cloudfront.net/Documentos/631/03775058036/6310377505803606092023104329.pdf</t>
  </si>
  <si>
    <t>https://dpmzos25m8ivg.cloudfront.net/Documentos/631/03776838841/6310377683884108092023161600.pdf</t>
  </si>
  <si>
    <t>https://dpmzos25m8ivg.cloudfront.net/Documentos/631/03777674419/6310377767441906092023161510.pdf</t>
  </si>
  <si>
    <t>https://dpmzos25m8ivg.cloudfront.net/Documentos/631/03780800756/6310378080075614092023001053.pdf</t>
  </si>
  <si>
    <t>https://dpmzos25m8ivg.cloudfront.net/Documentos/631/03783041350/6310378304135010092023201544.pdf</t>
  </si>
  <si>
    <t>https://dpmzos25m8ivg.cloudfront.net/Documentos/631/03783228344/6310378322834411092023143455.pdf</t>
  </si>
  <si>
    <t>https://dpmzos25m8ivg.cloudfront.net/Documentos/631/03783757339/6310378375733907092023210512.jpeg</t>
  </si>
  <si>
    <t>https://dpmzos25m8ivg.cloudfront.net/Documentos/631/03784348530/6310378434853006092023104516.pdf</t>
  </si>
  <si>
    <t>https://dpmzos25m8ivg.cloudfront.net/Documentos/631/03787937307/6310378793730711092023133828.jpg</t>
  </si>
  <si>
    <t>https://dpmzos25m8ivg.cloudfront.net/Documentos/631/03789159590/6310378915959011092023141926.jpg</t>
  </si>
  <si>
    <t>https://dpmzos25m8ivg.cloudfront.net/Documentos/631/03790212180/6310379021218006092023185655.pdf</t>
  </si>
  <si>
    <t>https://dpmzos25m8ivg.cloudfront.net/Documentos/631/03791167073/6310379116707310092023223820.pdf</t>
  </si>
  <si>
    <t>https://dpmzos25m8ivg.cloudfront.net/Documentos/631/03793127001/6310379312700108092023173257.pdf</t>
  </si>
  <si>
    <t>https://dpmzos25m8ivg.cloudfront.net/Documentos/631/03793752496/6310379375249609092023130520.pdf</t>
  </si>
  <si>
    <t>https://dpmzos25m8ivg.cloudfront.net/Documentos/631/03797064586/6310379706458609092023202420.pdf</t>
  </si>
  <si>
    <t>https://dpmzos25m8ivg.cloudfront.net/Documentos/631/03797419201/6310379741920106092023094201.pdf</t>
  </si>
  <si>
    <t>https://dpmzos25m8ivg.cloudfront.net/Documentos/631/03797636644/6310379763664405092023091647.jpg</t>
  </si>
  <si>
    <t>https://dpmzos25m8ivg.cloudfront.net/Documentos/631/03799332502/6310379933250211092023142529.pdf</t>
  </si>
  <si>
    <t>https://dpmzos25m8ivg.cloudfront.net/Documentos/631/03812893541/6310381289354105092023142019.jpeg</t>
  </si>
  <si>
    <t>https://dpmzos25m8ivg.cloudfront.net/Documentos/631/03813558967/6310381355896710092023165022.jpg</t>
  </si>
  <si>
    <t>https://dpmzos25m8ivg.cloudfront.net/Documentos/631/03814171152/6310381417115205092023192843.jpg</t>
  </si>
  <si>
    <t>https://dpmzos25m8ivg.cloudfront.net/Documentos/631/03815190150/6310381519015011092023161754.jpg</t>
  </si>
  <si>
    <t>https://dpmzos25m8ivg.cloudfront.net/Documentos/631/03815370213/6310381537021311092023164518.pdf</t>
  </si>
  <si>
    <t>https://dpmzos25m8ivg.cloudfront.net/Documentos/631/03815648190/6310381564819011092023034959.jpeg</t>
  </si>
  <si>
    <t>https://dpmzos25m8ivg.cloudfront.net/Documentos/631/03819071555/6310381907155513092023184938.jpeg</t>
  </si>
  <si>
    <t>https://dpmzos25m8ivg.cloudfront.net/Documentos/631/03820098518/6310382009851811092023092833.jpeg</t>
  </si>
  <si>
    <t>https://dpmzos25m8ivg.cloudfront.net/Documentos/631/03820894560/6310382089456005092023232651.jpeg</t>
  </si>
  <si>
    <t>https://dpmzos25m8ivg.cloudfront.net/Documentos/631/03822014184/6310382201418407092023124403.pdf</t>
  </si>
  <si>
    <t>https://dpmzos25m8ivg.cloudfront.net/Documentos/631/03822061344/6310382206134411092023151254.pdf</t>
  </si>
  <si>
    <t>https://dpmzos25m8ivg.cloudfront.net/Documentos/631/03822975559/6310382297555905092023203047.pdf</t>
  </si>
  <si>
    <t>https://dpmzos25m8ivg.cloudfront.net/Documentos/631/03823348256/6310382334825605092023171427.pdf</t>
  </si>
  <si>
    <t>https://dpmzos25m8ivg.cloudfront.net/Documentos/631/03823427555/6310382342755513092023191032.pdf</t>
  </si>
  <si>
    <t>https://dpmzos25m8ivg.cloudfront.net/Documentos/631/03823864181/6310382386418106092023190441.jpg</t>
  </si>
  <si>
    <t>https://dpmzos25m8ivg.cloudfront.net/Documentos/631/03827053358/6310382705335808092023111952.pdf</t>
  </si>
  <si>
    <t>https://dpmzos25m8ivg.cloudfront.net/Documentos/631/03828165109/6310382816510905092023153416.jpg</t>
  </si>
  <si>
    <t>https://dpmzos25m8ivg.cloudfront.net/Documentos/631/03832111158/6310383211115804092023222644.pdf</t>
  </si>
  <si>
    <t>https://dpmzos25m8ivg.cloudfront.net/Documentos/631/03832959041/6310383295904111092023092706.jpg</t>
  </si>
  <si>
    <t>https://dpmzos25m8ivg.cloudfront.net/Documentos/631/03834761192/6310383476119211092023141019.pdf</t>
  </si>
  <si>
    <t>https://dpmzos25m8ivg.cloudfront.net/Documentos/631/03836554208/6310383655420811092023160005.pdf</t>
  </si>
  <si>
    <t>https://dpmzos25m8ivg.cloudfront.net/Documentos/631/03837893200/6310383789320011092023141200.pdf</t>
  </si>
  <si>
    <t>https://dpmzos25m8ivg.cloudfront.net/Documentos/631/03840693551/6310384069355113092023152827.pdf</t>
  </si>
  <si>
    <t>https://dpmzos25m8ivg.cloudfront.net/Documentos/631/03842261322/6310384226132208092023095218.pdf</t>
  </si>
  <si>
    <t>https://dpmzos25m8ivg.cloudfront.net/Documentos/631/03842354509/6310384235450908092023144223.jpg</t>
  </si>
  <si>
    <t>https://dpmzos25m8ivg.cloudfront.net/Documentos/631/03844879129/6310384487912911092023155224.pdf</t>
  </si>
  <si>
    <t>https://dpmzos25m8ivg.cloudfront.net/Documentos/631/03846004170/6310384600417011092023114135.jpeg</t>
  </si>
  <si>
    <t>https://dpmzos25m8ivg.cloudfront.net/Documentos/631/03849601544/6310384960154411092023123425.pdf</t>
  </si>
  <si>
    <t>https://dpmzos25m8ivg.cloudfront.net/Documentos/631/03849963101/6310384996310111092023164623.pdf</t>
  </si>
  <si>
    <t>https://dpmzos25m8ivg.cloudfront.net/Documentos/631/03851053125/6310385105312511092023145806.jpg</t>
  </si>
  <si>
    <t>https://dpmzos25m8ivg.cloudfront.net/Documentos/631/03852882206/6310385288220607092023150017.pdf</t>
  </si>
  <si>
    <t>https://dpmzos25m8ivg.cloudfront.net/Documentos/631/03856190570/6310385619057009092023141833.jpg</t>
  </si>
  <si>
    <t>https://dpmzos25m8ivg.cloudfront.net/Documentos/631/03856675310/6310385667531012092023235018.pdf</t>
  </si>
  <si>
    <t>https://dpmzos25m8ivg.cloudfront.net/Documentos/631/03857227532/6310385722753211092023103419.jpg</t>
  </si>
  <si>
    <t>https://dpmzos25m8ivg.cloudfront.net/Documentos/631/03863553047/6310386355304711092023105459.pdf</t>
  </si>
  <si>
    <t>https://dpmzos25m8ivg.cloudfront.net/Documentos/631/03864652235/6310386465223511092023163135.pdf</t>
  </si>
  <si>
    <t>https://dpmzos25m8ivg.cloudfront.net/Documentos/631/03865314716/6310386531471613092023182238.pdf</t>
  </si>
  <si>
    <t>https://dpmzos25m8ivg.cloudfront.net/Documentos/631/03866983255/6310386698325505092023202009.jpg</t>
  </si>
  <si>
    <t>https://dpmzos25m8ivg.cloudfront.net/Documentos/631/03868580557/6310386858055710092023224812.pdf</t>
  </si>
  <si>
    <t>https://dpmzos25m8ivg.cloudfront.net/Documentos/631/03869746165/6310386974616511092023161638.pdf</t>
  </si>
  <si>
    <t>https://dpmzos25m8ivg.cloudfront.net/Documentos/631/03873921146/6310387392114605092023101716.pdf</t>
  </si>
  <si>
    <t>https://dpmzos25m8ivg.cloudfront.net/Documentos/631/03874380416/6310387438041606092023212412.pdf</t>
  </si>
  <si>
    <t>https://dpmzos25m8ivg.cloudfront.net/Documentos/631/03874580008/6310387458000811092023160247.jpeg</t>
  </si>
  <si>
    <t>https://dpmzos25m8ivg.cloudfront.net/Documentos/631/03875388100/6310387538810006092023191910.pdf</t>
  </si>
  <si>
    <t>https://dpmzos25m8ivg.cloudfront.net/Documentos/631/03883641146/6310388364114605092023164340.pdf</t>
  </si>
  <si>
    <t>https://dpmzos25m8ivg.cloudfront.net/Documentos/631/03884304518/6310388430451806092023143741.pdf</t>
  </si>
  <si>
    <t>https://dpmzos25m8ivg.cloudfront.net/Documentos/631/03885769360/6310388576936014092023004231.pdf</t>
  </si>
  <si>
    <t>https://dpmzos25m8ivg.cloudfront.net/Documentos/631/03889553508/6310388955350811092023004326.pdf</t>
  </si>
  <si>
    <t>https://dpmzos25m8ivg.cloudfront.net/Documentos/631/03889789374/6310388978937405092023155902.pdf</t>
  </si>
  <si>
    <t>https://dpmzos25m8ivg.cloudfront.net/Documentos/631/03891456107/6310389145610711092023170131.pdf</t>
  </si>
  <si>
    <t>https://dpmzos25m8ivg.cloudfront.net/Documentos/631/03892106509/6310389210650908092023101854.pdf</t>
  </si>
  <si>
    <t>https://dpmzos25m8ivg.cloudfront.net/Documentos/631/03892779163/6310389277916311092023152615.pdf</t>
  </si>
  <si>
    <t>https://dpmzos25m8ivg.cloudfront.net/Documentos/631/03895733105/6310389573310505092023095330.jpg</t>
  </si>
  <si>
    <t>https://dpmzos25m8ivg.cloudfront.net/Documentos/631/03899099044/6310389909904410092023225207.jpg</t>
  </si>
  <si>
    <t>https://dpmzos25m8ivg.cloudfront.net/Documentos/631/03901803513/6310390180351307092023144706.pdf</t>
  </si>
  <si>
    <t>https://dpmzos25m8ivg.cloudfront.net/Documentos/631/03902559128/6310390255912810092023235901.pdf</t>
  </si>
  <si>
    <t>https://dpmzos25m8ivg.cloudfront.net/Documentos/631/03906616002/6310390661600210092023163634.pdf</t>
  </si>
  <si>
    <t>https://dpmzos25m8ivg.cloudfront.net/Documentos/631/03908532167/6310390853216706092023101300.pdf</t>
  </si>
  <si>
    <t>https://dpmzos25m8ivg.cloudfront.net/Documentos/631/03909192505/6310390919250511092023092551.pdf</t>
  </si>
  <si>
    <t>https://dpmzos25m8ivg.cloudfront.net/Documentos/631/03909396259/6310390939625911092023115057.pdf</t>
  </si>
  <si>
    <t>https://dpmzos25m8ivg.cloudfront.net/Documentos/631/03912886440/6310391288644005092023184139.pdf</t>
  </si>
  <si>
    <t>https://dpmzos25m8ivg.cloudfront.net/Documentos/631/03914768150/6310391476815005092023134224.pdf</t>
  </si>
  <si>
    <t>https://dpmzos25m8ivg.cloudfront.net/Documentos/631/03915916226/6310391591622611092023103422.pdf</t>
  </si>
  <si>
    <t>https://dpmzos25m8ivg.cloudfront.net/Documentos/631/03916031163/6310391603116310092023175710.pdf</t>
  </si>
  <si>
    <t>https://dpmzos25m8ivg.cloudfront.net/Documentos/631/03916386298/6310391638629811092023154755.pdf</t>
  </si>
  <si>
    <t>https://dpmzos25m8ivg.cloudfront.net/Documentos/631/03917723174/6310391772317411092023145404.pdf</t>
  </si>
  <si>
    <t>https://dpmzos25m8ivg.cloudfront.net/Documentos/631/03918272354/6310391827235408092023205039.pdf</t>
  </si>
  <si>
    <t>https://dpmzos25m8ivg.cloudfront.net/Documentos/631/03922279163/6310392227916309092023175459.pdf</t>
  </si>
  <si>
    <t>https://dpmzos25m8ivg.cloudfront.net/Documentos/631/03923099479/6310392309947908092023111231.pdf</t>
  </si>
  <si>
    <t>https://dpmzos25m8ivg.cloudfront.net/Documentos/631/03923474156/6310392347415605092023200732.pdf</t>
  </si>
  <si>
    <t>https://dpmzos25m8ivg.cloudfront.net/Documentos/631/03924508100/6310392450810013092023180858.pdf</t>
  </si>
  <si>
    <t>https://dpmzos25m8ivg.cloudfront.net/Documentos/631/03925332359/6310392533235911092023164210.pdf</t>
  </si>
  <si>
    <t>https://dpmzos25m8ivg.cloudfront.net/Documentos/631/03927445460/6310392744546005092023203512.pdf</t>
  </si>
  <si>
    <t>https://dpmzos25m8ivg.cloudfront.net/Documentos/631/03927708143/6310392770814308092023194743.pdf</t>
  </si>
  <si>
    <t>https://dpmzos25m8ivg.cloudfront.net/Documentos/631/03928409107/6310392840910711092023100226.jpg</t>
  </si>
  <si>
    <t>https://dpmzos25m8ivg.cloudfront.net/Documentos/631/03929009552/6310392900955205092023110255.pdf</t>
  </si>
  <si>
    <t>https://dpmzos25m8ivg.cloudfront.net/Documentos/631/03929149567/6310392914956705092023222423.pdf</t>
  </si>
  <si>
    <t>https://dpmzos25m8ivg.cloudfront.net/Documentos/631/03934751156/6310393475115614092023124508.jpg</t>
  </si>
  <si>
    <t>https://dpmzos25m8ivg.cloudfront.net/Documentos/631/03937897135/6310393789713507092023130519.pdf</t>
  </si>
  <si>
    <t>https://dpmzos25m8ivg.cloudfront.net/Documentos/631/03938442425/6310393844242507092023193800.pdf</t>
  </si>
  <si>
    <t>https://dpmzos25m8ivg.cloudfront.net/Documentos/631/03939647527/6310393964752712092023183127.jpg</t>
  </si>
  <si>
    <t>https://dpmzos25m8ivg.cloudfront.net/Documentos/631/03940263060/6310394026306008092023092408.pdf</t>
  </si>
  <si>
    <t>https://dpmzos25m8ivg.cloudfront.net/Documentos/631/03940830160/6310394083016014092023120428.pdf</t>
  </si>
  <si>
    <t>https://dpmzos25m8ivg.cloudfront.net/Documentos/631/03943319407/6310394331940707092023184656.pdf</t>
  </si>
  <si>
    <t>https://dpmzos25m8ivg.cloudfront.net/Documentos/631/03944049209/6310394404920911092023170238.jpeg</t>
  </si>
  <si>
    <t>https://dpmzos25m8ivg.cloudfront.net/Documentos/631/03944382218/6310394438221811092023035841.pdf</t>
  </si>
  <si>
    <t>https://dpmzos25m8ivg.cloudfront.net/Documentos/631/03945663199/6310394566319905092023164053.pdf</t>
  </si>
  <si>
    <t>https://dpmzos25m8ivg.cloudfront.net/Documentos/631/03946735142/6310394673514207092023110725.jpeg</t>
  </si>
  <si>
    <t>https://dpmzos25m8ivg.cloudfront.net/Documentos/631/03947753179/6310394775317911092023124401.pdf</t>
  </si>
  <si>
    <t>https://dpmzos25m8ivg.cloudfront.net/Documentos/631/03948601607/6310394860160707092023214247.pdf</t>
  </si>
  <si>
    <t>https://dpmzos25m8ivg.cloudfront.net/Documentos/631/03950134107/6310395013410711092023165006.jpeg</t>
  </si>
  <si>
    <t>https://dpmzos25m8ivg.cloudfront.net/Documentos/631/03951508337/6310395150833711092023160050.pdf</t>
  </si>
  <si>
    <t>https://dpmzos25m8ivg.cloudfront.net/Documentos/631/03951850418/6310395185041811092023152947.pdf</t>
  </si>
  <si>
    <t>https://dpmzos25m8ivg.cloudfront.net/Documentos/631/03954530384/6310395453038414092023160425.pdf</t>
  </si>
  <si>
    <t>https://dpmzos25m8ivg.cloudfront.net/Documentos/631/03960260105/6310396026010511092023103022.pdf</t>
  </si>
  <si>
    <t>https://dpmzos25m8ivg.cloudfront.net/Documentos/631/03965930540/6310396593054011092023151223.pdf</t>
  </si>
  <si>
    <t>https://dpmzos25m8ivg.cloudfront.net/Documentos/631/03966548194/6310396654819413092023215840.jpg</t>
  </si>
  <si>
    <t>https://dpmzos25m8ivg.cloudfront.net/Documentos/631/03966800110/6310396680011011092023112833.jpg</t>
  </si>
  <si>
    <t>https://dpmzos25m8ivg.cloudfront.net/Documentos/631/03969026261/6310396902626111092023161934.pdf</t>
  </si>
  <si>
    <t>https://dpmzos25m8ivg.cloudfront.net/Documentos/631/03969092485/6310396909248505092023172353.pdf</t>
  </si>
  <si>
    <t>https://dpmzos25m8ivg.cloudfront.net/Documentos/631/03971030696/6310397103069607092023085450.pdf</t>
  </si>
  <si>
    <t>https://dpmzos25m8ivg.cloudfront.net/Documentos/631/03971100066/6310397110006606092023170808.jpeg</t>
  </si>
  <si>
    <t>https://dpmzos25m8ivg.cloudfront.net/Documentos/631/03972644027/6310397264402710092023211345.pdf</t>
  </si>
  <si>
    <t>https://dpmzos25m8ivg.cloudfront.net/Documentos/631/03972677383/6310397267738305092023202311.pdf</t>
  </si>
  <si>
    <t>https://dpmzos25m8ivg.cloudfront.net/Documentos/631/03974547169/6310397454716911092023110004.jpg</t>
  </si>
  <si>
    <t>https://dpmzos25m8ivg.cloudfront.net/Documentos/631/03975409657/6310397540965710092023224156.pdf</t>
  </si>
  <si>
    <t>https://dpmzos25m8ivg.cloudfront.net/Documentos/631/03976182559/6310397618255908092023213854.jpg</t>
  </si>
  <si>
    <t>https://dpmzos25m8ivg.cloudfront.net/Documentos/631/03976269166/6310397626916611092023133033.pdf</t>
  </si>
  <si>
    <t>https://dpmzos25m8ivg.cloudfront.net/Documentos/631/03976562203/6310397656220309092023004125.pdf</t>
  </si>
  <si>
    <t>https://dpmzos25m8ivg.cloudfront.net/Documentos/631/03980280365/6310398028036512092023222859.pdf</t>
  </si>
  <si>
    <t>https://dpmzos25m8ivg.cloudfront.net/Documentos/631/03982720184/6310398272018409092023235728.pdf</t>
  </si>
  <si>
    <t>https://dpmzos25m8ivg.cloudfront.net/Documentos/631/03982909112/6310398290911210092023133813.pdf</t>
  </si>
  <si>
    <t>https://dpmzos25m8ivg.cloudfront.net/Documentos/631/03983614108/6310398361410811092023165629.jpg</t>
  </si>
  <si>
    <t>https://dpmzos25m8ivg.cloudfront.net/Documentos/631/03984717628/6310398471762811092023164945.pdf</t>
  </si>
  <si>
    <t>https://dpmzos25m8ivg.cloudfront.net/Documentos/631/03984778171/6310398477817111092023112022.pdf</t>
  </si>
  <si>
    <t>https://dpmzos25m8ivg.cloudfront.net/Documentos/631/03987792108/6310398779210811092023083920.pdf</t>
  </si>
  <si>
    <t>https://dpmzos25m8ivg.cloudfront.net/Documentos/631/03992502392/6310399250239211092023093757.pdf</t>
  </si>
  <si>
    <t>https://dpmzos25m8ivg.cloudfront.net/Documentos/631/03992626369/6310399262636907092023141830.jpg</t>
  </si>
  <si>
    <t>https://dpmzos25m8ivg.cloudfront.net/Documentos/631/03998645128/6310399864512809092023162102.pdf</t>
  </si>
  <si>
    <t>https://dpmzos25m8ivg.cloudfront.net/Documentos/631/03999964278/6310399996427808092023211618.pdf</t>
  </si>
  <si>
    <t>https://dpmzos25m8ivg.cloudfront.net/Documentos/631/04001160579/6310400116057905092023173456.pdf</t>
  </si>
  <si>
    <t>https://dpmzos25m8ivg.cloudfront.net/Documentos/631/04003066200/6310400306620007092023120338.pdf</t>
  </si>
  <si>
    <t>https://dpmzos25m8ivg.cloudfront.net/Documentos/631/04003813111/6310400381311111092023143432.pdf</t>
  </si>
  <si>
    <t>https://dpmzos25m8ivg.cloudfront.net/Documentos/631/04004153484/6310400415348405092023105213.pdf</t>
  </si>
  <si>
    <t>https://dpmzos25m8ivg.cloudfront.net/Documentos/631/04004176344/6310400417634412092023174033.pdf</t>
  </si>
  <si>
    <t>https://dpmzos25m8ivg.cloudfront.net/Documentos/631/04004473551/6310400447355107092023192850.pdf</t>
  </si>
  <si>
    <t>https://dpmzos25m8ivg.cloudfront.net/Documentos/631/04004792223/6310400479222311092023164701.pdf</t>
  </si>
  <si>
    <t>https://dpmzos25m8ivg.cloudfront.net/Documentos/631/04012489925/6310401248992511092023105541.pdf</t>
  </si>
  <si>
    <t>https://dpmzos25m8ivg.cloudfront.net/Documentos/631/04014911535/6310401491153514092023133934.pdf</t>
  </si>
  <si>
    <t>https://dpmzos25m8ivg.cloudfront.net/Documentos/631/04018904495/6310401890449508092023130401.pdf</t>
  </si>
  <si>
    <t>https://dpmzos25m8ivg.cloudfront.net/Documentos/631/04018914296/6310401891429611092023111003.pdf</t>
  </si>
  <si>
    <t>https://dpmzos25m8ivg.cloudfront.net/Documentos/631/04021910212/6310402191021210092023161000.pdf</t>
  </si>
  <si>
    <t>https://dpmzos25m8ivg.cloudfront.net/Documentos/631/04024679228/6310402467922811092023155250.jpeg</t>
  </si>
  <si>
    <t>https://dpmzos25m8ivg.cloudfront.net/Documentos/631/04024681125/6310402468112511092023154027.jpeg</t>
  </si>
  <si>
    <t>https://dpmzos25m8ivg.cloudfront.net/Documentos/631/04025689235/6310402568923511092023115610.pdf</t>
  </si>
  <si>
    <t>https://dpmzos25m8ivg.cloudfront.net/Documentos/631/04026353532/6310402635353211092023015352.jpg</t>
  </si>
  <si>
    <t>https://dpmzos25m8ivg.cloudfront.net/Documentos/631/04026447510/6310402644751008092023210341.jpg</t>
  </si>
  <si>
    <t>https://dpmzos25m8ivg.cloudfront.net/Documentos/631/04028188571/6310402818857111092023161449.pdf</t>
  </si>
  <si>
    <t>https://dpmzos25m8ivg.cloudfront.net/Documentos/631/04028829119/6310402882911905092023125537.jpeg</t>
  </si>
  <si>
    <t>https://dpmzos25m8ivg.cloudfront.net/Documentos/631/04031197152/6310403119715211092023144827.pdf</t>
  </si>
  <si>
    <t>https://dpmzos25m8ivg.cloudfront.net/Documentos/631/04032307130/6310403230713008092023143756.pdf</t>
  </si>
  <si>
    <t>https://dpmzos25m8ivg.cloudfront.net/Documentos/631/04032530556/6310403253055611092023143913.pdf</t>
  </si>
  <si>
    <t>https://dpmzos25m8ivg.cloudfront.net/Documentos/631/04033354425/6310403335442505092023100224.jpg</t>
  </si>
  <si>
    <t>https://dpmzos25m8ivg.cloudfront.net/Documentos/631/04034505192/6310403450519210092023155629.jpg</t>
  </si>
  <si>
    <t>https://dpmzos25m8ivg.cloudfront.net/Documentos/631/04035603570/6310403560357014092023133416.pdf</t>
  </si>
  <si>
    <t>https://dpmzos25m8ivg.cloudfront.net/Documentos/631/04036216660/6310403621666005092023141144.pdf</t>
  </si>
  <si>
    <t>https://dpmzos25m8ivg.cloudfront.net/Documentos/631/04038183114/6310403818311408092023220814.pdf</t>
  </si>
  <si>
    <t>https://dpmzos25m8ivg.cloudfront.net/Documentos/631/04039372050/6310403937205011092023134831.pdf</t>
  </si>
  <si>
    <t>https://dpmzos25m8ivg.cloudfront.net/Documentos/631/04039443179/6310403944317911092023133321.pdf</t>
  </si>
  <si>
    <t>https://dpmzos25m8ivg.cloudfront.net/Documentos/631/04040398041/6310404039804110092023222248.pdf</t>
  </si>
  <si>
    <t>https://dpmzos25m8ivg.cloudfront.net/Documentos/631/04043047290/6310404304729008092023194330.pdf</t>
  </si>
  <si>
    <t>https://dpmzos25m8ivg.cloudfront.net/Documentos/631/04044635170/6310404463517011092023001049.pdf</t>
  </si>
  <si>
    <t>https://dpmzos25m8ivg.cloudfront.net/Documentos/631/04048341677/6310404834167708092023223922.jpg</t>
  </si>
  <si>
    <t>https://dpmzos25m8ivg.cloudfront.net/Documentos/631/04051697525/6310405169752511092023155015.jpeg</t>
  </si>
  <si>
    <t>https://dpmzos25m8ivg.cloudfront.net/Documentos/631/04053237270/6310405323727011092023120832.pdf</t>
  </si>
  <si>
    <t>https://dpmzos25m8ivg.cloudfront.net/Documentos/631/04055677588/6310405567758806092023100015.pdf</t>
  </si>
  <si>
    <t>https://dpmzos25m8ivg.cloudfront.net/Documentos/631/04057466525/6310405746652511092023111058.pdf</t>
  </si>
  <si>
    <t>https://dpmzos25m8ivg.cloudfront.net/Documentos/631/04058552654/6310405855265405092023134908.pdf</t>
  </si>
  <si>
    <t>https://dpmzos25m8ivg.cloudfront.net/Documentos/631/04061722697/6310406172269705092023173804.pdf</t>
  </si>
  <si>
    <t>https://dpmzos25m8ivg.cloudfront.net/Documentos/631/04063700011/6310406370001105092023093825.pdf</t>
  </si>
  <si>
    <t>https://dpmzos25m8ivg.cloudfront.net/Documentos/631/04066379117/6310406637911706092023161043.pdf</t>
  </si>
  <si>
    <t>https://dpmzos25m8ivg.cloudfront.net/Documentos/631/04071342129/6310407134212906092023152234.pdf</t>
  </si>
  <si>
    <t>https://dpmzos25m8ivg.cloudfront.net/Documentos/631/04071967226/6310407196722610092023173709.pdf</t>
  </si>
  <si>
    <t>https://dpmzos25m8ivg.cloudfront.net/Documentos/631/04072512354/6310407251235411092023105830.jpg</t>
  </si>
  <si>
    <t>https://dpmzos25m8ivg.cloudfront.net/Documentos/631/04075227197/6310407522719711092023000644.pdf</t>
  </si>
  <si>
    <t>https://dpmzos25m8ivg.cloudfront.net/Documentos/631/04075249913/6310407524991308092023223550.pdf</t>
  </si>
  <si>
    <t>https://dpmzos25m8ivg.cloudfront.net/Documentos/631/04076457137/6310407645713708092023173737.jpeg</t>
  </si>
  <si>
    <t>https://dpmzos25m8ivg.cloudfront.net/Documentos/631/04076878582/6310407687858211092023114450.pdf</t>
  </si>
  <si>
    <t>https://dpmzos25m8ivg.cloudfront.net/Documentos/631/04078424384/6310407842438408092023102836.pdf</t>
  </si>
  <si>
    <t>https://dpmzos25m8ivg.cloudfront.net/Documentos/631/04080811209/6310408081120911092023152359.pdf</t>
  </si>
  <si>
    <t>https://dpmzos25m8ivg.cloudfront.net/Documentos/631/04082161155/6310408216115511092023160619.pdf</t>
  </si>
  <si>
    <t>https://dpmzos25m8ivg.cloudfront.net/Documentos/631/04082437169/6310408243716911092023154651.jpg</t>
  </si>
  <si>
    <t>https://dpmzos25m8ivg.cloudfront.net/Documentos/631/04083713313/6310408371331306092023103444.pdf</t>
  </si>
  <si>
    <t>https://dpmzos25m8ivg.cloudfront.net/Documentos/631/04084715573/6310408471557311092023125241.jpg</t>
  </si>
  <si>
    <t>https://dpmzos25m8ivg.cloudfront.net/Documentos/631/04085522396/6310408552239610092023202518.pdf</t>
  </si>
  <si>
    <t>https://dpmzos25m8ivg.cloudfront.net/Documentos/631/04085586360/6310408558636012092023182335.jpeg</t>
  </si>
  <si>
    <t>https://dpmzos25m8ivg.cloudfront.net/Documentos/631/04089784905/6310408978490511092023142350.jpeg</t>
  </si>
  <si>
    <t>https://dpmzos25m8ivg.cloudfront.net/Documentos/631/04091615511/6310409161551111092023160348.pdf</t>
  </si>
  <si>
    <t>https://dpmzos25m8ivg.cloudfront.net/Documentos/631/04095226005/6310409522600510092023131015.pdf</t>
  </si>
  <si>
    <t>https://dpmzos25m8ivg.cloudfront.net/Documentos/631/04098003090/6310409800309014092023142125.pdf</t>
  </si>
  <si>
    <t>https://dpmzos25m8ivg.cloudfront.net/Documentos/631/04101904200/6310410190420014092023140138.pdf</t>
  </si>
  <si>
    <t>https://dpmzos25m8ivg.cloudfront.net/Documentos/631/04106045346/6310410604534606092023144030.pdf</t>
  </si>
  <si>
    <t>https://dpmzos25m8ivg.cloudfront.net/Documentos/631/04107374106/6310410737410611092023163336.jpg</t>
  </si>
  <si>
    <t>https://dpmzos25m8ivg.cloudfront.net/Documentos/631/04110165474/6310411016547409092023165842.pdf</t>
  </si>
  <si>
    <t>https://dpmzos25m8ivg.cloudfront.net/Documentos/631/04114127364/6310411412736414092023135240.pdf</t>
  </si>
  <si>
    <t>https://dpmzos25m8ivg.cloudfront.net/Documentos/631/04119217116/6310411921711611092023120123.pdf</t>
  </si>
  <si>
    <t>https://dpmzos25m8ivg.cloudfront.net/Documentos/631/04128160164/6310412816016411092023143847.jpg</t>
  </si>
  <si>
    <t>https://dpmzos25m8ivg.cloudfront.net/Documentos/631/04131042576/6310413104257611092023103309.pdf</t>
  </si>
  <si>
    <t>https://dpmzos25m8ivg.cloudfront.net/Documentos/631/04133240871/6310413324087111092023110959.pdf</t>
  </si>
  <si>
    <t>https://dpmzos25m8ivg.cloudfront.net/Documentos/631/04134421365/6310413442136511092023160803.pdf</t>
  </si>
  <si>
    <t>https://dpmzos25m8ivg.cloudfront.net/Documentos/631/04134682240/6310413468224005092023022255.pdf</t>
  </si>
  <si>
    <t>https://dpmzos25m8ivg.cloudfront.net/Documentos/631/04135603920/6310413560392011092023140955.jpg</t>
  </si>
  <si>
    <t>https://dpmzos25m8ivg.cloudfront.net/Documentos/631/04138760202/6310413876020211092023165903.pdf</t>
  </si>
  <si>
    <t>https://dpmzos25m8ivg.cloudfront.net/Documentos/631/04138971254/6310413897125411092023165835.pdf</t>
  </si>
  <si>
    <t>https://dpmzos25m8ivg.cloudfront.net/Documentos/631/04140131152/6310414013115209092023231141.jpg</t>
  </si>
  <si>
    <t>https://dpmzos25m8ivg.cloudfront.net/Documentos/631/04140655305/6310414065530508092023195519.pdf</t>
  </si>
  <si>
    <t>https://dpmzos25m8ivg.cloudfront.net/Documentos/631/04141321575/6310414132157514092023111459.pdf</t>
  </si>
  <si>
    <t>https://dpmzos25m8ivg.cloudfront.net/Documentos/631/04143592169/6310414359216905092023160746.pdf</t>
  </si>
  <si>
    <t>https://dpmzos25m8ivg.cloudfront.net/Documentos/631/04144803171/6310414480317109092023204535.jpg</t>
  </si>
  <si>
    <t>https://dpmzos25m8ivg.cloudfront.net/Documentos/631/04145029143/6310414502914305092023214223.pdf</t>
  </si>
  <si>
    <t>https://dpmzos25m8ivg.cloudfront.net/Documentos/631/04147853200/6310414785320011092023111244.pdf</t>
  </si>
  <si>
    <t>https://dpmzos25m8ivg.cloudfront.net/Documentos/631/04149445184/6310414944518405092023130437.pdf</t>
  </si>
  <si>
    <t>https://dpmzos25m8ivg.cloudfront.net/Documentos/631/04150084173/6310415008417311092023083156.jpg</t>
  </si>
  <si>
    <t>https://dpmzos25m8ivg.cloudfront.net/Documentos/631/04151502300/6310415150230011092023165003.jpeg</t>
  </si>
  <si>
    <t>https://dpmzos25m8ivg.cloudfront.net/Documentos/631/04152643161/6310415264316105092023121021.pdf</t>
  </si>
  <si>
    <t>https://dpmzos25m8ivg.cloudfront.net/Documentos/631/04155511290/6310415551129011092023112030.jpg</t>
  </si>
  <si>
    <t>https://dpmzos25m8ivg.cloudfront.net/Documentos/631/04157366760/6310415736676011092023161711.jpg</t>
  </si>
  <si>
    <t>https://dpmzos25m8ivg.cloudfront.net/Documentos/631/04160156460/6310416015646008092023131621.pdf</t>
  </si>
  <si>
    <t>https://dpmzos25m8ivg.cloudfront.net/Documentos/631/04160987974/6310416098797414092023163850.pdf</t>
  </si>
  <si>
    <t>https://dpmzos25m8ivg.cloudfront.net/Documentos/631/04161888007/6310416188800705092023172403.jpeg</t>
  </si>
  <si>
    <t>https://dpmzos25m8ivg.cloudfront.net/Documentos/631/04164007605/6310416400760508092023202030.jpeg</t>
  </si>
  <si>
    <t>https://dpmzos25m8ivg.cloudfront.net/Documentos/631/04165789186/6310416578918614092023001658.pdf</t>
  </si>
  <si>
    <t>https://dpmzos25m8ivg.cloudfront.net/Documentos/631/04168351122/6310416835112211092023164907.pdf</t>
  </si>
  <si>
    <t>https://dpmzos25m8ivg.cloudfront.net/Documentos/631/04169574206/6310416957420606092023202611.jpg</t>
  </si>
  <si>
    <t>https://dpmzos25m8ivg.cloudfront.net/Documentos/631/04176909161/6310417690916111092023123844.pdf</t>
  </si>
  <si>
    <t>https://dpmzos25m8ivg.cloudfront.net/Documentos/631/04178250132/6310417825013208092023115430.pdf</t>
  </si>
  <si>
    <t>https://dpmzos25m8ivg.cloudfront.net/Documentos/631/04179745747/6310417974574705092023213518.pdf</t>
  </si>
  <si>
    <t>https://dpmzos25m8ivg.cloudfront.net/Documentos/631/04179822083/6310417982208305092023122842.pdf</t>
  </si>
  <si>
    <t>https://dpmzos25m8ivg.cloudfront.net/Documentos/631/04180535530/6310418053553008092023150122.jpg</t>
  </si>
  <si>
    <t>https://dpmzos25m8ivg.cloudfront.net/Documentos/631/04180797496/6310418079749610092023214808.pdf</t>
  </si>
  <si>
    <t>https://dpmzos25m8ivg.cloudfront.net/Documentos/631/04182178319/6310418217831905092023155500.jpg</t>
  </si>
  <si>
    <t>https://dpmzos25m8ivg.cloudfront.net/Documentos/631/04182651510/6310418265151007092023141127.pdf</t>
  </si>
  <si>
    <t>https://dpmzos25m8ivg.cloudfront.net/Documentos/631/04183287065/6310418328706511092023152309.jpg</t>
  </si>
  <si>
    <t>https://dpmzos25m8ivg.cloudfront.net/Documentos/631/04186103127/6310418610312705092023101211.pdf</t>
  </si>
  <si>
    <t>https://dpmzos25m8ivg.cloudfront.net/Documentos/631/04186638233/6310418663823305092023212920.pdf</t>
  </si>
  <si>
    <t>https://dpmzos25m8ivg.cloudfront.net/Documentos/631/04186939519/6310418693951911092023105434.pdf</t>
  </si>
  <si>
    <t>https://dpmzos25m8ivg.cloudfront.net/Documentos/631/04187896147/6310418789614710092023123247.jpeg</t>
  </si>
  <si>
    <t>https://dpmzos25m8ivg.cloudfront.net/Documentos/631/04189334723/6310418933472309092023135015.jpg</t>
  </si>
  <si>
    <t>https://dpmzos25m8ivg.cloudfront.net/Documentos/631/04190875325/6310419087532506092023011344.pdf</t>
  </si>
  <si>
    <t>https://dpmzos25m8ivg.cloudfront.net/Documentos/631/04193494640/6310419349464011092023120353.pdf</t>
  </si>
  <si>
    <t>https://dpmzos25m8ivg.cloudfront.net/Documentos/631/04196418589/6310419641858911092023143352.pdf</t>
  </si>
  <si>
    <t>https://dpmzos25m8ivg.cloudfront.net/Documentos/631/04198442010/6310419844201011092023103909.pdf</t>
  </si>
  <si>
    <t>https://dpmzos25m8ivg.cloudfront.net/Documentos/631/04199984208/6310419998420811092023122131.jpeg</t>
  </si>
  <si>
    <t>https://dpmzos25m8ivg.cloudfront.net/Documentos/631/04200293544/6310420029354411092023130530.jpeg</t>
  </si>
  <si>
    <t>https://dpmzos25m8ivg.cloudfront.net/Documentos/631/04201342476/6310420134247607092023231820.jpeg</t>
  </si>
  <si>
    <t>https://dpmzos25m8ivg.cloudfront.net/Documentos/631/04201578240/6310420157824011092023124852.pdf</t>
  </si>
  <si>
    <t>https://dpmzos25m8ivg.cloudfront.net/Documentos/631/04202060350/6310420206035011092023143357.pdf</t>
  </si>
  <si>
    <t>https://dpmzos25m8ivg.cloudfront.net/Documentos/631/04202383443/6310420238344308092023085116.pdf</t>
  </si>
  <si>
    <t>https://dpmzos25m8ivg.cloudfront.net/Documentos/631/04203075599/6310420307559914092023152206.jpg</t>
  </si>
  <si>
    <t>https://dpmzos25m8ivg.cloudfront.net/Documentos/631/04205569157/6310420556915711092023100455.pdf</t>
  </si>
  <si>
    <t>https://dpmzos25m8ivg.cloudfront.net/Documentos/631/04209622397/6310420962239711092023071454.pdf</t>
  </si>
  <si>
    <t>https://dpmzos25m8ivg.cloudfront.net/Documentos/631/04210197351/6310421019735106092023143456.jpeg</t>
  </si>
  <si>
    <t>https://dpmzos25m8ivg.cloudfront.net/Documentos/631/04210412503/6310421041250311092023134727.pdf</t>
  </si>
  <si>
    <t>https://dpmzos25m8ivg.cloudfront.net/Documentos/631/04211822535/6310421182253511092023173757.jpeg</t>
  </si>
  <si>
    <t>https://dpmzos25m8ivg.cloudfront.net/Documentos/631/04216308171/6310421630817106092023101802.pdf</t>
  </si>
  <si>
    <t>https://dpmzos25m8ivg.cloudfront.net/Documentos/631/04216317162/6310421631716205092023152836.pdf</t>
  </si>
  <si>
    <t>https://dpmzos25m8ivg.cloudfront.net/Documentos/631/04216575536/6310421657553606092023171155.pdf</t>
  </si>
  <si>
    <t>https://dpmzos25m8ivg.cloudfront.net/Documentos/631/04218609527/6310421860952710092023105002.pdf</t>
  </si>
  <si>
    <t>https://dpmzos25m8ivg.cloudfront.net/Documentos/631/04220764143/6310422076414311092023144710.pdf</t>
  </si>
  <si>
    <t>https://dpmzos25m8ivg.cloudfront.net/Documentos/631/04223109308/6310422310930811092023112253.pdf</t>
  </si>
  <si>
    <t>https://dpmzos25m8ivg.cloudfront.net/Documentos/631/04229937199/6310422993719905092023162525.pdf</t>
  </si>
  <si>
    <t>https://dpmzos25m8ivg.cloudfront.net/Documentos/631/04239356407/6310423935640711092023155321.jpg</t>
  </si>
  <si>
    <t>https://dpmzos25m8ivg.cloudfront.net/Documentos/631/04239813077/6310423981307706092023204042.pdf</t>
  </si>
  <si>
    <t>https://dpmzos25m8ivg.cloudfront.net/Documentos/631/04241532381/6310424153238109092023113755.pdf</t>
  </si>
  <si>
    <t>https://dpmzos25m8ivg.cloudfront.net/Documentos/631/04244809481/6310424480948105092023213953.pdf</t>
  </si>
  <si>
    <t>https://dpmzos25m8ivg.cloudfront.net/Documentos/631/04247118269/6310424711826905092023103208.pdf</t>
  </si>
  <si>
    <t>https://dpmzos25m8ivg.cloudfront.net/Documentos/631/04253861636/6310425386163606092023095348.pdf</t>
  </si>
  <si>
    <t>https://dpmzos25m8ivg.cloudfront.net/Documentos/631/04254214146/6310425421414611092023160828.jpg</t>
  </si>
  <si>
    <t>https://dpmzos25m8ivg.cloudfront.net/Documentos/631/04254220545/6310425422054509092023112812.pdf</t>
  </si>
  <si>
    <t>https://dpmzos25m8ivg.cloudfront.net/Documentos/631/04256523278/6310425652327808092023203335.pdf</t>
  </si>
  <si>
    <t>https://dpmzos25m8ivg.cloudfront.net/Documentos/631/04256534474/6310425653447411092023140258.pdf</t>
  </si>
  <si>
    <t>https://dpmzos25m8ivg.cloudfront.net/Documentos/631/04257320370/6310425732037010092023233318.pdf</t>
  </si>
  <si>
    <t>https://dpmzos25m8ivg.cloudfront.net/Documentos/631/04258920428/6310425892042805092023220057.pdf</t>
  </si>
  <si>
    <t>https://dpmzos25m8ivg.cloudfront.net/Documentos/631/04260106120/6310426010612011092023151628.pdf</t>
  </si>
  <si>
    <t>https://dpmzos25m8ivg.cloudfront.net/Documentos/631/04260510762/6310426051076210092023172609.pdf</t>
  </si>
  <si>
    <t>https://dpmzos25m8ivg.cloudfront.net/Documentos/631/04264119278/6310426411927805092023114855.pdf</t>
  </si>
  <si>
    <t>https://dpmzos25m8ivg.cloudfront.net/Documentos/631/04265579647/6310426557964710092023071652.pdf</t>
  </si>
  <si>
    <t>https://dpmzos25m8ivg.cloudfront.net/Documentos/631/04268688463/6310426868846311092023155000.jpeg</t>
  </si>
  <si>
    <t>https://dpmzos25m8ivg.cloudfront.net/Documentos/631/04269483512/6310426948351211092023170836.pdf</t>
  </si>
  <si>
    <t>https://dpmzos25m8ivg.cloudfront.net/Documentos/631/04269798181/6310426979818105092023135747.pdf</t>
  </si>
  <si>
    <t>https://dpmzos25m8ivg.cloudfront.net/Documentos/631/04269908548/6310426990854811092023170031.pdf</t>
  </si>
  <si>
    <t>https://dpmzos25m8ivg.cloudfront.net/Documentos/631/04273618265/6310427361826510092023175749.pdf</t>
  </si>
  <si>
    <t>https://dpmzos25m8ivg.cloudfront.net/Documentos/631/04277896642/6310427789664210092023234931.jpg</t>
  </si>
  <si>
    <t>https://dpmzos25m8ivg.cloudfront.net/Documentos/631/04277918123/6310427791812305092023184819.jpg</t>
  </si>
  <si>
    <t>https://dpmzos25m8ivg.cloudfront.net/Documentos/631/04279258511/6310427925851105092023123507.pdf</t>
  </si>
  <si>
    <t>https://dpmzos25m8ivg.cloudfront.net/Documentos/631/04282579170/6310428257917010092023153928.pdf</t>
  </si>
  <si>
    <t>https://dpmzos25m8ivg.cloudfront.net/Documentos/631/04287315111/6310428731511111092023101850.pdf</t>
  </si>
  <si>
    <t>https://dpmzos25m8ivg.cloudfront.net/Documentos/631/04287500440/6310428750044011092023162342.pdf</t>
  </si>
  <si>
    <t>https://dpmzos25m8ivg.cloudfront.net/Documentos/631/04290742122/6310429074212211092023105955.pdf</t>
  </si>
  <si>
    <t>https://dpmzos25m8ivg.cloudfront.net/Documentos/631/04290914004/6310429091400411092023164859.jpeg</t>
  </si>
  <si>
    <t>https://dpmzos25m8ivg.cloudfront.net/Documentos/631/04292328102/6310429232810211092023163425.pdf</t>
  </si>
  <si>
    <t>https://dpmzos25m8ivg.cloudfront.net/Documentos/631/04293876529/6310429387652911092023161606.jpg</t>
  </si>
  <si>
    <t>https://dpmzos25m8ivg.cloudfront.net/Documentos/631/04294057580/6310429405758011092023091405.pdf</t>
  </si>
  <si>
    <t>https://dpmzos25m8ivg.cloudfront.net/Documentos/631/04294864133/6310429486413311092023114145.pdf</t>
  </si>
  <si>
    <t>https://dpmzos25m8ivg.cloudfront.net/Documentos/631/04295256480/6310429525648011092023105423.jpeg</t>
  </si>
  <si>
    <t>https://dpmzos25m8ivg.cloudfront.net/Documentos/631/04297395240/6310429739524010092023120031.jpeg</t>
  </si>
  <si>
    <t>https://dpmzos25m8ivg.cloudfront.net/Documentos/631/04301106502/6310430110650207092023190922.pdf</t>
  </si>
  <si>
    <t>https://dpmzos25m8ivg.cloudfront.net/Documentos/631/04301999370/6310430199937005092023090033.pdf</t>
  </si>
  <si>
    <t>https://dpmzos25m8ivg.cloudfront.net/Documentos/631/04303957798/6310430395779814092023155318.pdf</t>
  </si>
  <si>
    <t>https://dpmzos25m8ivg.cloudfront.net/Documentos/631/04306735311/6310430673531111092023130003.pdf</t>
  </si>
  <si>
    <t>https://dpmzos25m8ivg.cloudfront.net/Documentos/631/04307272161/6310430727216111092023163823.pdf</t>
  </si>
  <si>
    <t>https://dpmzos25m8ivg.cloudfront.net/Documentos/631/04308147638/6310430814763805092023181142.jpg</t>
  </si>
  <si>
    <t>https://dpmzos25m8ivg.cloudfront.net/Documentos/631/04308789150/6310430878915010092023220213.jpeg</t>
  </si>
  <si>
    <t>https://dpmzos25m8ivg.cloudfront.net/Documentos/631/04310339190/6310431033919007092023123211.pdf</t>
  </si>
  <si>
    <t>https://dpmzos25m8ivg.cloudfront.net/Documentos/631/04311863675/6310431186367513092023220919.pdf</t>
  </si>
  <si>
    <t>https://dpmzos25m8ivg.cloudfront.net/Documentos/631/04313078657/6310431307865714092023134514.pdf</t>
  </si>
  <si>
    <t>https://dpmzos25m8ivg.cloudfront.net/Documentos/631/04314242175/6310431424217506092023095302.pdf</t>
  </si>
  <si>
    <t>https://dpmzos25m8ivg.cloudfront.net/Documentos/631/04314773537/6310431477353711092023121355.pdf</t>
  </si>
  <si>
    <t>https://dpmzos25m8ivg.cloudfront.net/Documentos/631/04316182161/6310431618216111092023143421.jpg</t>
  </si>
  <si>
    <t>https://dpmzos25m8ivg.cloudfront.net/Documentos/631/04316510274/6310431651027409092023152602.jpg</t>
  </si>
  <si>
    <t>https://dpmzos25m8ivg.cloudfront.net/Documentos/631/04316645285/6310431664528505092023165645.pdf</t>
  </si>
  <si>
    <t>https://dpmzos25m8ivg.cloudfront.net/Documentos/631/04317135027/6310431713502714092023010128.pdf</t>
  </si>
  <si>
    <t>https://dpmzos25m8ivg.cloudfront.net/Documentos/631/04320314565/6310432031456511092023141306.pdf</t>
  </si>
  <si>
    <t>https://dpmzos25m8ivg.cloudfront.net/Documentos/631/04322076270/6310432207627005092023171540.jpeg</t>
  </si>
  <si>
    <t>https://dpmzos25m8ivg.cloudfront.net/Documentos/631/04324545430/6310432454543011092023151506.pdf</t>
  </si>
  <si>
    <t>https://dpmzos25m8ivg.cloudfront.net/Documentos/631/04324863059/6310432486305914092023152039.pdf</t>
  </si>
  <si>
    <t>https://dpmzos25m8ivg.cloudfront.net/Documentos/631/04325283188/6310432528318813092023143247.pdf</t>
  </si>
  <si>
    <t>https://dpmzos25m8ivg.cloudfront.net/Documentos/631/04327097462/6310432709746205092023222447.jpeg</t>
  </si>
  <si>
    <t>https://dpmzos25m8ivg.cloudfront.net/Documentos/631/04327673471/6310432767347111092023154427.jpg</t>
  </si>
  <si>
    <t>https://dpmzos25m8ivg.cloudfront.net/Documentos/631/04329983060/6310432998306005092023140402.pdf</t>
  </si>
  <si>
    <t>https://dpmzos25m8ivg.cloudfront.net/Documentos/631/04330173174/6310433017317411092023094400.jpg</t>
  </si>
  <si>
    <t>https://dpmzos25m8ivg.cloudfront.net/Documentos/631/04331911128/6310433191112806092023164155.pdf</t>
  </si>
  <si>
    <t>https://dpmzos25m8ivg.cloudfront.net/Documentos/631/04334111475/6310433411147512092023222903.pdf</t>
  </si>
  <si>
    <t>https://dpmzos25m8ivg.cloudfront.net/Documentos/631/04335001150/6310433500115007092023160102.pdf</t>
  </si>
  <si>
    <t>https://dpmzos25m8ivg.cloudfront.net/Documentos/631/04338998598/6310433899859811092023000954.pdf</t>
  </si>
  <si>
    <t>https://dpmzos25m8ivg.cloudfront.net/Documentos/631/04339786276/6310433978627606092023161258.pdf</t>
  </si>
  <si>
    <t>https://dpmzos25m8ivg.cloudfront.net/Documentos/631/04343130177/6310434313017707092023104816.pdf</t>
  </si>
  <si>
    <t>https://dpmzos25m8ivg.cloudfront.net/Documentos/631/04353059300/6310435305930009092023110114.pdf</t>
  </si>
  <si>
    <t>https://dpmzos25m8ivg.cloudfront.net/Documentos/631/04358020895/6310435802089507092023222745.jpg</t>
  </si>
  <si>
    <t>https://dpmzos25m8ivg.cloudfront.net/Documentos/631/04358889433/6310435888943311092023150917.jpg</t>
  </si>
  <si>
    <t>https://dpmzos25m8ivg.cloudfront.net/Documentos/631/04359409532/6310435940953211092023165349.pdf</t>
  </si>
  <si>
    <t>https://dpmzos25m8ivg.cloudfront.net/Documentos/631/04360679602/6310436067960209092023183709.pdf</t>
  </si>
  <si>
    <t>https://dpmzos25m8ivg.cloudfront.net/Documentos/631/04364048186/6310436404818612092023193655.pdf</t>
  </si>
  <si>
    <t>https://dpmzos25m8ivg.cloudfront.net/Documentos/631/04367884384/6310436788438411092023170158.jpg</t>
  </si>
  <si>
    <t>https://dpmzos25m8ivg.cloudfront.net/Documentos/631/04369185521/6310436918552106092023120743.pdf</t>
  </si>
  <si>
    <t>https://dpmzos25m8ivg.cloudfront.net/Documentos/631/04369728592/6310436972859206092023171228.pdf</t>
  </si>
  <si>
    <t>https://dpmzos25m8ivg.cloudfront.net/Documentos/631/04374957103/6310437495710305092023173221.jpeg</t>
  </si>
  <si>
    <t>https://dpmzos25m8ivg.cloudfront.net/Documentos/631/04375723319/6310437572331911092023094057.pdf</t>
  </si>
  <si>
    <t>https://dpmzos25m8ivg.cloudfront.net/Documentos/631/04377307274/6310437730727408092023170309.pdf</t>
  </si>
  <si>
    <t>https://dpmzos25m8ivg.cloudfront.net/Documentos/631/04379029603/6310437902960305092023194257.pdf</t>
  </si>
  <si>
    <t>https://dpmzos25m8ivg.cloudfront.net/Documentos/631/04381642538/6310438164253806092023140304.pdf</t>
  </si>
  <si>
    <t>https://dpmzos25m8ivg.cloudfront.net/Documentos/631/04382314062/6310438231406210092023163516.pdf</t>
  </si>
  <si>
    <t>https://dpmzos25m8ivg.cloudfront.net/Documentos/631/04386821651/6310438682165105092023185256.pdf</t>
  </si>
  <si>
    <t>https://dpmzos25m8ivg.cloudfront.net/Documentos/631/04389856138/6310438985613809092023202854.pdf</t>
  </si>
  <si>
    <t>https://dpmzos25m8ivg.cloudfront.net/Documentos/631/04390613340/6310439061334011092023095031.pdf</t>
  </si>
  <si>
    <t>https://dpmzos25m8ivg.cloudfront.net/Documentos/631/04391395975/6310439139597509092023142206.pdf</t>
  </si>
  <si>
    <t>https://dpmzos25m8ivg.cloudfront.net/Documentos/631/04394363110/6310439436311011092023153107.pdf</t>
  </si>
  <si>
    <t>https://dpmzos25m8ivg.cloudfront.net/Documentos/631/04397553360/6310439755336013092023101313.pdf</t>
  </si>
  <si>
    <t>https://dpmzos25m8ivg.cloudfront.net/Documentos/631/04400832570/6310440083257007092023221356.pdf</t>
  </si>
  <si>
    <t>https://dpmzos25m8ivg.cloudfront.net/Documentos/631/04403466303/6310440346630306092023122046.jpeg</t>
  </si>
  <si>
    <t>https://dpmzos25m8ivg.cloudfront.net/Documentos/631/04403747663/6310440374766311092023170704.jpg</t>
  </si>
  <si>
    <t>https://dpmzos25m8ivg.cloudfront.net/Documentos/631/04405169438/6310440516943811092023141251.pdf</t>
  </si>
  <si>
    <t>https://dpmzos25m8ivg.cloudfront.net/Documentos/631/04406151192/6310440615119211092023150843.pdf</t>
  </si>
  <si>
    <t>https://dpmzos25m8ivg.cloudfront.net/Documentos/631/04408140570/6310440814057011092023113632.jpg</t>
  </si>
  <si>
    <t>https://dpmzos25m8ivg.cloudfront.net/Documentos/631/04408196363/6310440819636310092023201632.pdf</t>
  </si>
  <si>
    <t>https://dpmzos25m8ivg.cloudfront.net/Documentos/631/04409488198/6310440948819814092023162737.pdf</t>
  </si>
  <si>
    <t>https://dpmzos25m8ivg.cloudfront.net/Documentos/631/04413981383/6310441398138311092023122917.jpg</t>
  </si>
  <si>
    <t>https://dpmzos25m8ivg.cloudfront.net/Documentos/631/04414678226/6310441467822610092023170526.pdf</t>
  </si>
  <si>
    <t>https://dpmzos25m8ivg.cloudfront.net/Documentos/631/04415343503/6310441534350310092023211126.pdf</t>
  </si>
  <si>
    <t>https://dpmzos25m8ivg.cloudfront.net/Documentos/631/04415592554/6310441559255405092023165343.pdf</t>
  </si>
  <si>
    <t>https://dpmzos25m8ivg.cloudfront.net/Documentos/631/04416282222/6310441628222214092023163052.pdf</t>
  </si>
  <si>
    <t>https://dpmzos25m8ivg.cloudfront.net/Documentos/631/04419198559/6310441919855911092023170034.jpg</t>
  </si>
  <si>
    <t>https://dpmzos25m8ivg.cloudfront.net/Documentos/631/04423109271/6310442310927111092023163902.pdf</t>
  </si>
  <si>
    <t>https://dpmzos25m8ivg.cloudfront.net/Documentos/631/04423404940/6310442340494011092023105113.pdf</t>
  </si>
  <si>
    <t>https://dpmzos25m8ivg.cloudfront.net/Documentos/631/04423499126/6310442349912614092023151411.pdf</t>
  </si>
  <si>
    <t>https://dpmzos25m8ivg.cloudfront.net/Documentos/631/04426233135/6310442623313514092023104559.pdf</t>
  </si>
  <si>
    <t>https://dpmzos25m8ivg.cloudfront.net/Documentos/631/04426846579/6310442684657911092023103034.jpeg</t>
  </si>
  <si>
    <t>https://dpmzos25m8ivg.cloudfront.net/Documentos/631/04427265383/6310442726538311092023164801.pdf</t>
  </si>
  <si>
    <t>https://dpmzos25m8ivg.cloudfront.net/Documentos/631/04431445323/6310443144532311092023033423.pdf</t>
  </si>
  <si>
    <t>https://dpmzos25m8ivg.cloudfront.net/Documentos/631/04431678182/6310443167818205092023153257.pdf</t>
  </si>
  <si>
    <t>https://dpmzos25m8ivg.cloudfront.net/Documentos/631/04438628180/6310443862818005092023183942.pdf</t>
  </si>
  <si>
    <t>https://dpmzos25m8ivg.cloudfront.net/Documentos/631/04440260373/6310444026037310092023231357.pdf</t>
  </si>
  <si>
    <t>https://dpmzos25m8ivg.cloudfront.net/Documentos/631/04443503145/6310444350314511092023154546.pdf</t>
  </si>
  <si>
    <t>https://dpmzos25m8ivg.cloudfront.net/Documentos/631/04444223588/6310444422358810092023122739.jpg</t>
  </si>
  <si>
    <t>https://dpmzos25m8ivg.cloudfront.net/Documentos/631/04445445185/6310444544518509092023142301.pdf</t>
  </si>
  <si>
    <t>https://dpmzos25m8ivg.cloudfront.net/Documentos/631/04446627317/6310444662731711092023151921.jpeg</t>
  </si>
  <si>
    <t>https://dpmzos25m8ivg.cloudfront.net/Documentos/631/04448801276/6310444880127613092023175858.pdf</t>
  </si>
  <si>
    <t>https://dpmzos25m8ivg.cloudfront.net/Documentos/631/04452910360/6310445291036011092023145852.jpg</t>
  </si>
  <si>
    <t>https://dpmzos25m8ivg.cloudfront.net/Documentos/631/04453971109/6310445397110911092023165223.pdf</t>
  </si>
  <si>
    <t>https://dpmzos25m8ivg.cloudfront.net/Documentos/631/04454012571/6310445401257106092023084607.pdf</t>
  </si>
  <si>
    <t>https://dpmzos25m8ivg.cloudfront.net/Documentos/631/04455417508/6310445541750805092023151420.pdf</t>
  </si>
  <si>
    <t>https://dpmzos25m8ivg.cloudfront.net/Documentos/631/04459097656/6310445909765608092023185640.pdf</t>
  </si>
  <si>
    <t>https://dpmzos25m8ivg.cloudfront.net/Documentos/631/04461179516/6310446117951606092023090356.jpeg</t>
  </si>
  <si>
    <t>https://dpmzos25m8ivg.cloudfront.net/Documentos/631/04465231199/6310446523119908092023112121.pdf</t>
  </si>
  <si>
    <t>https://dpmzos25m8ivg.cloudfront.net/Documentos/631/04466975400/6310446697540007092023061532.pdf</t>
  </si>
  <si>
    <t>https://dpmzos25m8ivg.cloudfront.net/Documentos/631/04467629386/6310446762938611092023121731.pdf</t>
  </si>
  <si>
    <t>https://dpmzos25m8ivg.cloudfront.net/Documentos/631/04468842512/6310446884251206092023131154.pdf</t>
  </si>
  <si>
    <t>https://dpmzos25m8ivg.cloudfront.net/Documentos/631/04474482000/6310447448200014092023165136.pdf</t>
  </si>
  <si>
    <t>https://dpmzos25m8ivg.cloudfront.net/Documentos/631/04478175314/6310447817531408092023193634.pdf</t>
  </si>
  <si>
    <t>https://dpmzos25m8ivg.cloudfront.net/Documentos/631/04482886300/6310448288630011092023140430.pdf</t>
  </si>
  <si>
    <t>https://dpmzos25m8ivg.cloudfront.net/Documentos/631/04483392859/6310448339285909092023124046.jpg</t>
  </si>
  <si>
    <t>https://dpmzos25m8ivg.cloudfront.net/Documentos/631/04483658395/6310448365839506092023203434.jpeg</t>
  </si>
  <si>
    <t>https://dpmzos25m8ivg.cloudfront.net/Documentos/631/04484009366/6310448400936611092023165839.jpeg</t>
  </si>
  <si>
    <t>https://dpmzos25m8ivg.cloudfront.net/Documentos/631/04484613409/6310448461340911092023141530.pdf</t>
  </si>
  <si>
    <t>https://dpmzos25m8ivg.cloudfront.net/Documentos/631/04486247531/6310448624753111092023165112.pdf</t>
  </si>
  <si>
    <t>https://dpmzos25m8ivg.cloudfront.net/Documentos/631/04486538501/6310448653850110092023155737.pdf</t>
  </si>
  <si>
    <t>https://dpmzos25m8ivg.cloudfront.net/Documentos/631/04491292507/6310449129250714092023124718.pdf</t>
  </si>
  <si>
    <t>https://dpmzos25m8ivg.cloudfront.net/Documentos/631/04496123177/6310449612317706092023122711.pdf</t>
  </si>
  <si>
    <t>https://dpmzos25m8ivg.cloudfront.net/Documentos/631/04496143526/6310449614352611092023105631.pdf</t>
  </si>
  <si>
    <t>https://dpmzos25m8ivg.cloudfront.net/Documentos/631/04496328143/6310449632814311092023153630.pdf</t>
  </si>
  <si>
    <t>https://dpmzos25m8ivg.cloudfront.net/Documentos/631/04497118118/6310449711811811092023160827.jpg</t>
  </si>
  <si>
    <t>https://dpmzos25m8ivg.cloudfront.net/Documentos/631/04502018562/6310450201856210092023211828.pdf</t>
  </si>
  <si>
    <t>https://dpmzos25m8ivg.cloudfront.net/Documentos/631/04502844250/6310450284425011092023135729.pdf</t>
  </si>
  <si>
    <t>https://dpmzos25m8ivg.cloudfront.net/Documentos/631/04504459507/6310450445950705092023152751.pdf</t>
  </si>
  <si>
    <t>https://dpmzos25m8ivg.cloudfront.net/Documentos/631/04512800247/6310451280024711092023164001.pdf</t>
  </si>
  <si>
    <t>https://dpmzos25m8ivg.cloudfront.net/Documentos/631/04518083636/6310451808363605092023050127.pdf</t>
  </si>
  <si>
    <t>https://dpmzos25m8ivg.cloudfront.net/Documentos/631/04520433525/6310452043352514092023153224.pdf</t>
  </si>
  <si>
    <t>https://dpmzos25m8ivg.cloudfront.net/Documentos/631/04522022212/6310452202221207092023150350.pdf</t>
  </si>
  <si>
    <t>https://dpmzos25m8ivg.cloudfront.net/Documentos/631/04523424306/6310452342430611092023145820.pdf</t>
  </si>
  <si>
    <t>https://dpmzos25m8ivg.cloudfront.net/Documentos/631/04524621504/6310452462150406092023173954.jpg</t>
  </si>
  <si>
    <t>https://dpmzos25m8ivg.cloudfront.net/Documentos/631/04525660457/6310452566045705092023112523.jpeg</t>
  </si>
  <si>
    <t>https://dpmzos25m8ivg.cloudfront.net/Documentos/631/04525858567/6310452585856713092023114551.jpeg</t>
  </si>
  <si>
    <t>https://dpmzos25m8ivg.cloudfront.net/Documentos/631/04527221523/6310452722152311092023162827.pdf</t>
  </si>
  <si>
    <t>https://dpmzos25m8ivg.cloudfront.net/Documentos/631/04527825623/6310452782562305092023181240.pdf</t>
  </si>
  <si>
    <t>https://dpmzos25m8ivg.cloudfront.net/Documentos/631/04529194523/6310452919452311092023155123.pdf</t>
  </si>
  <si>
    <t>https://dpmzos25m8ivg.cloudfront.net/Documentos/631/04530548546/6310453054854611092023101531.jpeg</t>
  </si>
  <si>
    <t>https://dpmzos25m8ivg.cloudfront.net/Documentos/631/04530567176/6310453056717613092023001405.pdf</t>
  </si>
  <si>
    <t>https://dpmzos25m8ivg.cloudfront.net/Documentos/631/04530855392/6310453085539211092023154242.pdf</t>
  </si>
  <si>
    <t>https://dpmzos25m8ivg.cloudfront.net/Documentos/631/04531163290/6310453116329014092023150033.pdf</t>
  </si>
  <si>
    <t>https://dpmzos25m8ivg.cloudfront.net/Documentos/631/04531502507/6310453150250711092023134057.pdf</t>
  </si>
  <si>
    <t>https://dpmzos25m8ivg.cloudfront.net/Documentos/631/04531673220/6310453167322010092023205605.pdf</t>
  </si>
  <si>
    <t>https://dpmzos25m8ivg.cloudfront.net/Documentos/631/04532048567/6310453204856711092023085242.pdf</t>
  </si>
  <si>
    <t>https://dpmzos25m8ivg.cloudfront.net/Documentos/631/04533192203/6310453319220310092023124542.pdf</t>
  </si>
  <si>
    <t>https://dpmzos25m8ivg.cloudfront.net/Documentos/631/04534744382/6310453474438211092023153655.jpg</t>
  </si>
  <si>
    <t>https://dpmzos25m8ivg.cloudfront.net/Documentos/631/04534755317/6310453475531711092023082212.pdf</t>
  </si>
  <si>
    <t>https://dpmzos25m8ivg.cloudfront.net/Documentos/631/04535884250/6310453588425010092023141300.pdf</t>
  </si>
  <si>
    <t>https://dpmzos25m8ivg.cloudfront.net/Documentos/631/04538209210/6310453820921009092023155613.jpeg</t>
  </si>
  <si>
    <t>https://dpmzos25m8ivg.cloudfront.net/Documentos/631/04540945580/6310454094558008092023145237.pdf</t>
  </si>
  <si>
    <t>https://dpmzos25m8ivg.cloudfront.net/Documentos/631/04541042355/6310454104235505092023100623.pdf</t>
  </si>
  <si>
    <t>https://dpmzos25m8ivg.cloudfront.net/Documentos/631/04542385175/6310454238517511092023121446.pdf</t>
  </si>
  <si>
    <t>https://dpmzos25m8ivg.cloudfront.net/Documentos/631/04542634140/6310454263414005092023220134.jpeg</t>
  </si>
  <si>
    <t>https://dpmzos25m8ivg.cloudfront.net/Documentos/631/04545487297/6310454548729708092023105634.pdf</t>
  </si>
  <si>
    <t>https://dpmzos25m8ivg.cloudfront.net/Documentos/631/04545683550/6310454568355006092023171124.pdf</t>
  </si>
  <si>
    <t>https://dpmzos25m8ivg.cloudfront.net/Documentos/631/04545712240/6310454571224008092023110714.pdf</t>
  </si>
  <si>
    <t>https://dpmzos25m8ivg.cloudfront.net/Documentos/631/04545987850/6310454598785011092023153122.jpg</t>
  </si>
  <si>
    <t>https://dpmzos25m8ivg.cloudfront.net/Documentos/631/04546525001/6310454652500114092023162101.jpeg</t>
  </si>
  <si>
    <t>https://dpmzos25m8ivg.cloudfront.net/Documentos/631/04549300388/6310454930038814092023165615.pdf</t>
  </si>
  <si>
    <t>https://dpmzos25m8ivg.cloudfront.net/Documentos/631/04551806790/6310455180679007092023145859.jpg</t>
  </si>
  <si>
    <t>https://dpmzos25m8ivg.cloudfront.net/Documentos/631/04553593696/6310455359369605092023161850.pdf</t>
  </si>
  <si>
    <t>https://dpmzos25m8ivg.cloudfront.net/Documentos/631/04555922174/6310455592217411092023105022.pdf</t>
  </si>
  <si>
    <t>https://dpmzos25m8ivg.cloudfront.net/Documentos/631/04566381641/6310456638164111092023095112.pdf</t>
  </si>
  <si>
    <t>https://dpmzos25m8ivg.cloudfront.net/Documentos/631/04570192394/6310457019239411092023162102.pdf</t>
  </si>
  <si>
    <t>https://dpmzos25m8ivg.cloudfront.net/Documentos/631/04572325529/6310457232552906092023101138.pdf</t>
  </si>
  <si>
    <t>https://dpmzos25m8ivg.cloudfront.net/Documentos/631/04579494229/6310457949422911092023153909.jpeg</t>
  </si>
  <si>
    <t>https://dpmzos25m8ivg.cloudfront.net/Documentos/631/04580434943/6310458043494306092023204004.pdf</t>
  </si>
  <si>
    <t>https://dpmzos25m8ivg.cloudfront.net/Documentos/631/04581383129/6310458138312914092023161205.pdf</t>
  </si>
  <si>
    <t>https://dpmzos25m8ivg.cloudfront.net/Documentos/631/04582593143/6310458259314305092023114239.jpeg</t>
  </si>
  <si>
    <t>https://dpmzos25m8ivg.cloudfront.net/Documentos/631/04592744578/6310459274457810092023001937.jpg</t>
  </si>
  <si>
    <t>https://dpmzos25m8ivg.cloudfront.net/Documentos/631/04593619106/6310459361910608092023132452.jpg</t>
  </si>
  <si>
    <t>https://dpmzos25m8ivg.cloudfront.net/Documentos/631/04594296980/6310459429698011092023162716.pdf</t>
  </si>
  <si>
    <t>https://dpmzos25m8ivg.cloudfront.net/Documentos/631/04597548319/6310459754831907092023191107.jpg</t>
  </si>
  <si>
    <t>https://dpmzos25m8ivg.cloudfront.net/Documentos/631/04599827100/6310459982710011092023104913.pdf</t>
  </si>
  <si>
    <t>https://dpmzos25m8ivg.cloudfront.net/Documentos/631/04604529590/6310460452959008092023185355.jpg</t>
  </si>
  <si>
    <t>https://dpmzos25m8ivg.cloudfront.net/Documentos/631/04606155566/6310460615556611092023150445.pdf</t>
  </si>
  <si>
    <t>https://dpmzos25m8ivg.cloudfront.net/Documentos/631/04610410575/6310461041057510092023210054.pdf</t>
  </si>
  <si>
    <t>https://dpmzos25m8ivg.cloudfront.net/Documentos/631/04611416127/6310461141612705092023184700.pdf</t>
  </si>
  <si>
    <t>https://dpmzos25m8ivg.cloudfront.net/Documentos/631/04612061101/6310461206110114092023161552.pdf</t>
  </si>
  <si>
    <t>https://dpmzos25m8ivg.cloudfront.net/Documentos/631/04612516478/6310461251647811092023141931.pdf</t>
  </si>
  <si>
    <t>https://dpmzos25m8ivg.cloudfront.net/Documentos/631/04614932177/6310461493217714092023082550.pdf</t>
  </si>
  <si>
    <t>https://dpmzos25m8ivg.cloudfront.net/Documentos/631/04615401345/6310461540134513092023231354.pdf</t>
  </si>
  <si>
    <t>https://dpmzos25m8ivg.cloudfront.net/Documentos/631/04615838360/6310461583836007092023213543.pdf</t>
  </si>
  <si>
    <t>https://dpmzos25m8ivg.cloudfront.net/Documentos/631/04616889139/6310461688913911092023135605.jpeg</t>
  </si>
  <si>
    <t>https://dpmzos25m8ivg.cloudfront.net/Documentos/631/04617920528/6310461792052811092023100044.pdf</t>
  </si>
  <si>
    <t>https://dpmzos25m8ivg.cloudfront.net/Documentos/631/04618624175/6310461862417505092023155641.pdf</t>
  </si>
  <si>
    <t>https://dpmzos25m8ivg.cloudfront.net/Documentos/631/04623816338/6310462381633811092023101617.jpg</t>
  </si>
  <si>
    <t>https://dpmzos25m8ivg.cloudfront.net/Documentos/631/04623850510/6310462385051011092023085024.pdf</t>
  </si>
  <si>
    <t>https://dpmzos25m8ivg.cloudfront.net/Documentos/631/04628532338/6310462853233807092023215657.pdf</t>
  </si>
  <si>
    <t>https://dpmzos25m8ivg.cloudfront.net/Documentos/631/04629568573/6310462956857307092023214428.pdf</t>
  </si>
  <si>
    <t>https://dpmzos25m8ivg.cloudfront.net/Documentos/631/04629970576/6310462997057607092023103353.jpg</t>
  </si>
  <si>
    <t>https://dpmzos25m8ivg.cloudfront.net/Documentos/631/04631586109/6310463158610911092023164244.pdf</t>
  </si>
  <si>
    <t>https://dpmzos25m8ivg.cloudfront.net/Documentos/631/04634194562/6310463419456211092023164933.pdf</t>
  </si>
  <si>
    <t>https://dpmzos25m8ivg.cloudfront.net/Documentos/631/04637901111/6310463790111110092023224403.pdf</t>
  </si>
  <si>
    <t>https://dpmzos25m8ivg.cloudfront.net/Documentos/631/04640734131/6310464073413105092023190247.pdf</t>
  </si>
  <si>
    <t>https://dpmzos25m8ivg.cloudfront.net/Documentos/631/04641255105/6310464125510511092023155440.pdf</t>
  </si>
  <si>
    <t>https://dpmzos25m8ivg.cloudfront.net/Documentos/631/04644899461/6310464489946111092023101209.jpg</t>
  </si>
  <si>
    <t>https://dpmzos25m8ivg.cloudfront.net/Documentos/631/04646492008/6310464649200811092023133715.pdf</t>
  </si>
  <si>
    <t>https://dpmzos25m8ivg.cloudfront.net/Documentos/631/04646881160/6310464688116011092023165053.jpeg</t>
  </si>
  <si>
    <t>https://dpmzos25m8ivg.cloudfront.net/Documentos/631/04646906503/6310464690650305092023215234.pdf</t>
  </si>
  <si>
    <t>https://dpmzos25m8ivg.cloudfront.net/Documentos/631/04647205240/6310464720524011092023105108.jpeg</t>
  </si>
  <si>
    <t>https://dpmzos25m8ivg.cloudfront.net/Documentos/631/04647315185/6310464731518505092023154151.jpeg</t>
  </si>
  <si>
    <t>https://dpmzos25m8ivg.cloudfront.net/Documentos/631/04647871142/6310464787114211092023164159.pdf</t>
  </si>
  <si>
    <t>https://dpmzos25m8ivg.cloudfront.net/Documentos/631/04649112494/6310464911249407092023132617.jpg</t>
  </si>
  <si>
    <t>https://dpmzos25m8ivg.cloudfront.net/Documentos/631/04650945119/6310465094511906092023155936.pdf</t>
  </si>
  <si>
    <t>https://dpmzos25m8ivg.cloudfront.net/Documentos/631/04652850409/6310465285040911092023102859.pdf</t>
  </si>
  <si>
    <t>https://dpmzos25m8ivg.cloudfront.net/Documentos/631/04654979182/6310465497918211092023154328.pdf</t>
  </si>
  <si>
    <t>https://dpmzos25m8ivg.cloudfront.net/Documentos/631/04657825666/6310465782566611092023162431.pdf</t>
  </si>
  <si>
    <t>https://dpmzos25m8ivg.cloudfront.net/Documentos/631/04657939599/6310465793959910092023204438.pdf</t>
  </si>
  <si>
    <t>https://dpmzos25m8ivg.cloudfront.net/Documentos/631/04658324156/6310465832415607092023094634.pdf</t>
  </si>
  <si>
    <t>https://dpmzos25m8ivg.cloudfront.net/Documentos/631/04659541118/6310465954111808092023114721.pdf</t>
  </si>
  <si>
    <t>https://dpmzos25m8ivg.cloudfront.net/Documentos/631/04661236394/6310466123639405092023143830.pdf</t>
  </si>
  <si>
    <t>https://dpmzos25m8ivg.cloudfront.net/Documentos/631/04664128355/6310466412835508092023184029.pdf</t>
  </si>
  <si>
    <t>https://dpmzos25m8ivg.cloudfront.net/Documentos/631/04665711780/6310466571178005092023150215.jpeg</t>
  </si>
  <si>
    <t>https://dpmzos25m8ivg.cloudfront.net/Documentos/631/04667256397/6310466725639711092023160222.pdf</t>
  </si>
  <si>
    <t>https://dpmzos25m8ivg.cloudfront.net/Documentos/631/04667647159/6310466764715911092023132723.pdf</t>
  </si>
  <si>
    <t>https://dpmzos25m8ivg.cloudfront.net/Documentos/631/04669435558/6310466943555811092023144605.pdf</t>
  </si>
  <si>
    <t>https://dpmzos25m8ivg.cloudfront.net/Documentos/631/04675111874/6310467511187408092023113317.pdf</t>
  </si>
  <si>
    <t>https://dpmzos25m8ivg.cloudfront.net/Documentos/631/04678551379/6310467855137905092023113245.pdf</t>
  </si>
  <si>
    <t>https://dpmzos25m8ivg.cloudfront.net/Documentos/631/04679817364/6310467981736410092023144243.pdf</t>
  </si>
  <si>
    <t>https://dpmzos25m8ivg.cloudfront.net/Documentos/631/04680009500/6310468000950011092023130836.pdf</t>
  </si>
  <si>
    <t>https://dpmzos25m8ivg.cloudfront.net/Documentos/631/04681813346/6310468181334614092023162328.pdf</t>
  </si>
  <si>
    <t>https://dpmzos25m8ivg.cloudfront.net/Documentos/631/04683850370/6310468385037006092023113207.jpeg</t>
  </si>
  <si>
    <t>https://dpmzos25m8ivg.cloudfront.net/Documentos/631/04684309207/6310468430920705092023111352.pdf</t>
  </si>
  <si>
    <t>https://dpmzos25m8ivg.cloudfront.net/Documentos/631/04687076548/6310468707654805092023175349.pdf</t>
  </si>
  <si>
    <t>https://dpmzos25m8ivg.cloudfront.net/Documentos/631/04690791341/6310469079134111092023141007.jpg</t>
  </si>
  <si>
    <t>https://dpmzos25m8ivg.cloudfront.net/Documentos/631/04691340548/6310469134054811092023164048.jpg</t>
  </si>
  <si>
    <t>https://dpmzos25m8ivg.cloudfront.net/Documentos/631/04693791113/6310469379111314092023084409.pdf</t>
  </si>
  <si>
    <t>https://dpmzos25m8ivg.cloudfront.net/Documentos/631/04696393500/6310469639350011092023133406.jpg</t>
  </si>
  <si>
    <t>https://dpmzos25m8ivg.cloudfront.net/Documentos/631/04697287363/6310469728736310092023032020.pdf</t>
  </si>
  <si>
    <t>https://dpmzos25m8ivg.cloudfront.net/Documentos/631/04698852110/6310469885211011092023113527.jpeg</t>
  </si>
  <si>
    <t>https://dpmzos25m8ivg.cloudfront.net/Documentos/631/04705903358/6310470590335810092023161122.pdf</t>
  </si>
  <si>
    <t>https://dpmzos25m8ivg.cloudfront.net/Documentos/631/04709744190/6310470974419006092023131501.jpeg</t>
  </si>
  <si>
    <t>https://dpmzos25m8ivg.cloudfront.net/Documentos/631/04709763143/6310470976314310092023123935.pdf</t>
  </si>
  <si>
    <t>https://dpmzos25m8ivg.cloudfront.net/Documentos/631/04710731306/6310471073130608092023145349.pdf</t>
  </si>
  <si>
    <t>https://dpmzos25m8ivg.cloudfront.net/Documentos/631/04710888205/6310471088820511092023155918.pdf</t>
  </si>
  <si>
    <t>https://dpmzos25m8ivg.cloudfront.net/Documentos/631/04711264116/6310471126411605092023163903.pdf</t>
  </si>
  <si>
    <t>https://dpmzos25m8ivg.cloudfront.net/Documentos/631/04712159537/6310471215953711092023171016.pdf</t>
  </si>
  <si>
    <t>https://dpmzos25m8ivg.cloudfront.net/Documentos/631/04712857307/6310471285730706092023130039.pdf</t>
  </si>
  <si>
    <t>https://dpmzos25m8ivg.cloudfront.net/Documentos/631/04714545167/6310471454516709092023031019.jpg</t>
  </si>
  <si>
    <t>https://dpmzos25m8ivg.cloudfront.net/Documentos/631/04718489130/6310471848913006092023124727.jpg</t>
  </si>
  <si>
    <t>https://dpmzos25m8ivg.cloudfront.net/Documentos/631/04718947103/6310471894710311092023101505.jpg</t>
  </si>
  <si>
    <t>https://dpmzos25m8ivg.cloudfront.net/Documentos/631/04727888173/6310472788817311092023142625.pdf</t>
  </si>
  <si>
    <t>https://dpmzos25m8ivg.cloudfront.net/Documentos/631/04730251164/6310473025116407092023145643.jpg</t>
  </si>
  <si>
    <t>https://dpmzos25m8ivg.cloudfront.net/Documentos/631/04730785541/6310473078554110092023232936.jpeg</t>
  </si>
  <si>
    <t>https://dpmzos25m8ivg.cloudfront.net/Documentos/631/04732495290/6310473249529011092023165619.pdf</t>
  </si>
  <si>
    <t>https://dpmzos25m8ivg.cloudfront.net/Documentos/631/04734559511/6310473455951107092023145152.pdf</t>
  </si>
  <si>
    <t>https://dpmzos25m8ivg.cloudfront.net/Documentos/631/04734712131/6310473471213105092023091822.pdf</t>
  </si>
  <si>
    <t>https://dpmzos25m8ivg.cloudfront.net/Documentos/631/04735426175/6310473542617511092023121139.pdf</t>
  </si>
  <si>
    <t>https://dpmzos25m8ivg.cloudfront.net/Documentos/631/04739704579/6310473970457911092023140826.pdf</t>
  </si>
  <si>
    <t>https://dpmzos25m8ivg.cloudfront.net/Documentos/631/04748233184/6310474823318413092023221840.pdf</t>
  </si>
  <si>
    <t>https://dpmzos25m8ivg.cloudfront.net/Documentos/631/04748950501/6310474895050106092023114706.pdf</t>
  </si>
  <si>
    <t>https://dpmzos25m8ivg.cloudfront.net/Documentos/631/04753702367/6310475370236711092023142416.pdf</t>
  </si>
  <si>
    <t>https://dpmzos25m8ivg.cloudfront.net/Documentos/631/04756486509/6310475648650910092023183514.jpg</t>
  </si>
  <si>
    <t>https://dpmzos25m8ivg.cloudfront.net/Documentos/631/04759797106/6310475979710614092023132303.pdf</t>
  </si>
  <si>
    <t>https://dpmzos25m8ivg.cloudfront.net/Documentos/631/04761435194/6310476143519411092023154419.pdf</t>
  </si>
  <si>
    <t>https://dpmzos25m8ivg.cloudfront.net/Documentos/631/04761584270/6310476158427011092023103457.jpg</t>
  </si>
  <si>
    <t>https://dpmzos25m8ivg.cloudfront.net/Documentos/631/04761597178/6310476159717811092023165405.pdf</t>
  </si>
  <si>
    <t>https://dpmzos25m8ivg.cloudfront.net/Documentos/631/04762600512/6310476260051205092023084257.pdf</t>
  </si>
  <si>
    <t>https://dpmzos25m8ivg.cloudfront.net/Documentos/631/04763965140/6310476396514009092023200104.pdf</t>
  </si>
  <si>
    <t>https://dpmzos25m8ivg.cloudfront.net/Documentos/631/04765115186/6310476511518611092023151030.jpg</t>
  </si>
  <si>
    <t>https://dpmzos25m8ivg.cloudfront.net/Documentos/631/04767329132/6310476732913211092023085233.jpg</t>
  </si>
  <si>
    <t>https://dpmzos25m8ivg.cloudfront.net/Documentos/631/04768853374/6310476885337405092023143814.jpg</t>
  </si>
  <si>
    <t>https://dpmzos25m8ivg.cloudfront.net/Documentos/631/04771055300/6310477105530010092023154701.pdf</t>
  </si>
  <si>
    <t>https://dpmzos25m8ivg.cloudfront.net/Documentos/631/04771937141/6310477193714111092023163254.pdf</t>
  </si>
  <si>
    <t>https://dpmzos25m8ivg.cloudfront.net/Documentos/631/04774156523/6310477415652311092023030720.jpg</t>
  </si>
  <si>
    <t>https://dpmzos25m8ivg.cloudfront.net/Documentos/631/04774453498/6310477445349808092023234721.pdf</t>
  </si>
  <si>
    <t>https://dpmzos25m8ivg.cloudfront.net/Documentos/631/04780403340/6310478040334011092023115334.pdf</t>
  </si>
  <si>
    <t>https://dpmzos25m8ivg.cloudfront.net/Documentos/631/04781231241/6310478123124109092023221246.pdf</t>
  </si>
  <si>
    <t>https://dpmzos25m8ivg.cloudfront.net/Documentos/631/04782841108/6310478284110805092023102740.pdf</t>
  </si>
  <si>
    <t>https://dpmzos25m8ivg.cloudfront.net/Documentos/631/04783667284/6310478366728409092023154149.pdf</t>
  </si>
  <si>
    <t>https://dpmzos25m8ivg.cloudfront.net/Documentos/631/04784228225/6310478422822510092023170103.pdf</t>
  </si>
  <si>
    <t>https://dpmzos25m8ivg.cloudfront.net/Documentos/631/04785006455/6310478500645510092023135319.pdf</t>
  </si>
  <si>
    <t>https://dpmzos25m8ivg.cloudfront.net/Documentos/631/04787355295/6310478735529512092023210229.pdf</t>
  </si>
  <si>
    <t>https://dpmzos25m8ivg.cloudfront.net/Documentos/631/04792773113/6310479277311314092023160110.pdf</t>
  </si>
  <si>
    <t>https://dpmzos25m8ivg.cloudfront.net/Documentos/631/04792854890/6310479285489008092023153130.pdf</t>
  </si>
  <si>
    <t>https://dpmzos25m8ivg.cloudfront.net/Documentos/631/04792897513/6310479289751311092023134106.pdf</t>
  </si>
  <si>
    <t>https://dpmzos25m8ivg.cloudfront.net/Documentos/631/04795573301/6310479557330105092023103337.pdf</t>
  </si>
  <si>
    <t>https://dpmzos25m8ivg.cloudfront.net/Documentos/631/04796613161/6310479661316111092023152917.jpeg</t>
  </si>
  <si>
    <t>https://dpmzos25m8ivg.cloudfront.net/Documentos/631/04799181122/6310479918112207092023111319.pdf</t>
  </si>
  <si>
    <t>https://dpmzos25m8ivg.cloudfront.net/Documentos/631/04801411509/6310480141150911092023160550.pdf</t>
  </si>
  <si>
    <t>https://dpmzos25m8ivg.cloudfront.net/Documentos/631/04802759207/6310480275920707092023172047.pdf</t>
  </si>
  <si>
    <t>https://dpmzos25m8ivg.cloudfront.net/Documentos/631/04805159642/6310480515964209092023165936.jpg</t>
  </si>
  <si>
    <t>https://dpmzos25m8ivg.cloudfront.net/Documentos/631/04805987200/6310480598720011092023164212.jpeg</t>
  </si>
  <si>
    <t>https://dpmzos25m8ivg.cloudfront.net/Documentos/631/04806231207/6310480623120705092023130521.pdf</t>
  </si>
  <si>
    <t>https://dpmzos25m8ivg.cloudfront.net/Documentos/631/04810064190/6310481006419011092023153848.jpeg</t>
  </si>
  <si>
    <t>https://dpmzos25m8ivg.cloudfront.net/Documentos/631/04811927273/6310481192727311092023162102.pdf</t>
  </si>
  <si>
    <t>https://dpmzos25m8ivg.cloudfront.net/Documentos/631/04813703232/6310481370323211092023161741.pdf</t>
  </si>
  <si>
    <t>https://dpmzos25m8ivg.cloudfront.net/Documentos/631/04816909133/6310481690913311092023104742.pdf</t>
  </si>
  <si>
    <t>https://dpmzos25m8ivg.cloudfront.net/Documentos/631/04821281350/6310482128135004092023183531.pdf</t>
  </si>
  <si>
    <t>https://dpmzos25m8ivg.cloudfront.net/Documentos/631/04821302373/6310482130237305092023160738.pdf</t>
  </si>
  <si>
    <t>https://dpmzos25m8ivg.cloudfront.net/Documentos/631/04822591590/6310482259159011092023154942.pdf</t>
  </si>
  <si>
    <t>https://dpmzos25m8ivg.cloudfront.net/Documentos/631/04824491100/6310482449110011092023134530.pdf</t>
  </si>
  <si>
    <t>https://dpmzos25m8ivg.cloudfront.net/Documentos/631/04829375302/6310482937530214092023152929.pdf</t>
  </si>
  <si>
    <t>https://dpmzos25m8ivg.cloudfront.net/Documentos/631/04830110457/6310483011045710092023132558.pdf</t>
  </si>
  <si>
    <t>https://dpmzos25m8ivg.cloudfront.net/Documentos/631/04831688150/6310483168815013092023145141.jpeg</t>
  </si>
  <si>
    <t>https://dpmzos25m8ivg.cloudfront.net/Documentos/631/04839719365/6310483971936505092023232906.pdf</t>
  </si>
  <si>
    <t>https://dpmzos25m8ivg.cloudfront.net/Documentos/631/04846274578/6310484627457810092023225452.pdf</t>
  </si>
  <si>
    <t>https://dpmzos25m8ivg.cloudfront.net/Documentos/631/04856460137/6310485646013710092023213440.pdf</t>
  </si>
  <si>
    <t>https://dpmzos25m8ivg.cloudfront.net/Documentos/631/04862469140/6310486246914012092023215200.pdf</t>
  </si>
  <si>
    <t>https://dpmzos25m8ivg.cloudfront.net/Documentos/631/04863057164/6310486305716411092023120759.pdf</t>
  </si>
  <si>
    <t>https://dpmzos25m8ivg.cloudfront.net/Documentos/631/04868164511/6310486816451110092023163132.pdf</t>
  </si>
  <si>
    <t>https://dpmzos25m8ivg.cloudfront.net/Documentos/631/04871994309/6310487199430906092023110152.pdf</t>
  </si>
  <si>
    <t>https://dpmzos25m8ivg.cloudfront.net/Documentos/631/04874246389/6310487424638908092023170345.jpeg</t>
  </si>
  <si>
    <t>https://dpmzos25m8ivg.cloudfront.net/Documentos/631/04875349211/6310487534921106092023214457.pdf</t>
  </si>
  <si>
    <t>https://dpmzos25m8ivg.cloudfront.net/Documentos/631/04875545150/6310487554515010092023101147.pdf</t>
  </si>
  <si>
    <t>https://dpmzos25m8ivg.cloudfront.net/Documentos/631/04877549480/6310487754948005092023094555.pdf</t>
  </si>
  <si>
    <t>https://dpmzos25m8ivg.cloudfront.net/Documentos/631/04880882593/6310488088259309092023142153.jpg</t>
  </si>
  <si>
    <t>https://dpmzos25m8ivg.cloudfront.net/Documentos/631/04881349511/6310488134951105092023195902.pdf</t>
  </si>
  <si>
    <t>https://dpmzos25m8ivg.cloudfront.net/Documentos/631/04883727122/6310488372712211092023164757.pdf</t>
  </si>
  <si>
    <t>https://dpmzos25m8ivg.cloudfront.net/Documentos/631/04885508231/6310488550823107092023200715.pdf</t>
  </si>
  <si>
    <t>https://dpmzos25m8ivg.cloudfront.net/Documentos/631/04885885370/6310488588537005092023122755.pdf</t>
  </si>
  <si>
    <t>https://dpmzos25m8ivg.cloudfront.net/Documentos/631/04888263221/6310488826322111092023141209.pdf</t>
  </si>
  <si>
    <t>https://dpmzos25m8ivg.cloudfront.net/Documentos/631/04889836497/6310488983649710092023133046.pdf</t>
  </si>
  <si>
    <t>https://dpmzos25m8ivg.cloudfront.net/Documentos/631/04900249122/6310490024912210092023224800.jpg</t>
  </si>
  <si>
    <t>https://dpmzos25m8ivg.cloudfront.net/Documentos/631/04904368460/6310490436846011092023124613.pdf</t>
  </si>
  <si>
    <t>https://dpmzos25m8ivg.cloudfront.net/Documentos/631/04904997247/6310490499724711092023151239.pdf</t>
  </si>
  <si>
    <t>https://dpmzos25m8ivg.cloudfront.net/Documentos/631/04907360177/6310490736017706092023204652.pdf</t>
  </si>
  <si>
    <t>https://dpmzos25m8ivg.cloudfront.net/Documentos/631/04909707379/6310490970737914092023152627.pdf</t>
  </si>
  <si>
    <t>https://dpmzos25m8ivg.cloudfront.net/Documentos/631/04913340107/6310491334010709092023102113.pdf</t>
  </si>
  <si>
    <t>https://dpmzos25m8ivg.cloudfront.net/Documentos/631/04914085526/6310491408552613092023213040.pdf</t>
  </si>
  <si>
    <t>https://dpmzos25m8ivg.cloudfront.net/Documentos/631/04918188150/6310491818815011092023135736.pdf</t>
  </si>
  <si>
    <t>https://dpmzos25m8ivg.cloudfront.net/Documentos/631/04919337116/6310491933711609092023175537.jpg</t>
  </si>
  <si>
    <t>https://dpmzos25m8ivg.cloudfront.net/Documentos/631/04930472121/6310493047212111092023161240.pdf</t>
  </si>
  <si>
    <t>https://dpmzos25m8ivg.cloudfront.net/Documentos/631/04934888551/6310493488855110092023223912.pdf</t>
  </si>
  <si>
    <t>https://dpmzos25m8ivg.cloudfront.net/Documentos/631/04935928573/6310493592857311092023151846.pdf</t>
  </si>
  <si>
    <t>https://dpmzos25m8ivg.cloudfront.net/Documentos/631/04941670337/6310494167033711092023150737.pdf</t>
  </si>
  <si>
    <t>https://dpmzos25m8ivg.cloudfront.net/Documentos/631/04943984185/6310494398418511092023152135.jpg</t>
  </si>
  <si>
    <t>https://dpmzos25m8ivg.cloudfront.net/Documentos/631/04945221510/6310494522151006092023220414.pdf</t>
  </si>
  <si>
    <t>https://dpmzos25m8ivg.cloudfront.net/Documentos/631/04949554573/6310494955457306092023113216.pdf</t>
  </si>
  <si>
    <t>https://dpmzos25m8ivg.cloudfront.net/Documentos/631/04953899199/6310495389919910092023221257.pdf</t>
  </si>
  <si>
    <t>https://dpmzos25m8ivg.cloudfront.net/Documentos/631/04955227406/6310495522740610092023115533.pdf</t>
  </si>
  <si>
    <t>https://dpmzos25m8ivg.cloudfront.net/Documentos/631/04958018107/6310495801810711092023143622.pdf</t>
  </si>
  <si>
    <t>https://dpmzos25m8ivg.cloudfront.net/Documentos/631/04960417110/6310496041711010092023161933.jpeg</t>
  </si>
  <si>
    <t>https://dpmzos25m8ivg.cloudfront.net/Documentos/631/04961167380/6310496116738011092023113502.jpg</t>
  </si>
  <si>
    <t>https://dpmzos25m8ivg.cloudfront.net/Documentos/631/04961273651/6310496127365114092023144948.pdf</t>
  </si>
  <si>
    <t>https://dpmzos25m8ivg.cloudfront.net/Documentos/631/04962193163/6310496219316310092023163246.jpg</t>
  </si>
  <si>
    <t>https://dpmzos25m8ivg.cloudfront.net/Documentos/631/04963508389/6310496350838911092023114110.pdf</t>
  </si>
  <si>
    <t>https://dpmzos25m8ivg.cloudfront.net/Documentos/631/04966081343/6310496608134310092023103958.jpg</t>
  </si>
  <si>
    <t>https://dpmzos25m8ivg.cloudfront.net/Documentos/631/04966184231/6310496618423106092023111407.pdf</t>
  </si>
  <si>
    <t>https://dpmzos25m8ivg.cloudfront.net/Documentos/631/04966729165/6310496672916511092023134619.pdf</t>
  </si>
  <si>
    <t>https://dpmzos25m8ivg.cloudfront.net/Documentos/631/04972586095/6310497258609505092023101310.pdf</t>
  </si>
  <si>
    <t>https://dpmzos25m8ivg.cloudfront.net/Documentos/631/04972850370/6310497285037011092023124955.pdf</t>
  </si>
  <si>
    <t>https://dpmzos25m8ivg.cloudfront.net/Documentos/631/04977717139/6310497771713905092023163121.pdf</t>
  </si>
  <si>
    <t>https://dpmzos25m8ivg.cloudfront.net/Documentos/631/04978564506/6310497856450611092023153359.jpg</t>
  </si>
  <si>
    <t>https://dpmzos25m8ivg.cloudfront.net/Documentos/631/04981449178/6310498144917810092023151455.pdf</t>
  </si>
  <si>
    <t>https://dpmzos25m8ivg.cloudfront.net/Documentos/631/04990219325/6310499021932506092023225311.pdf</t>
  </si>
  <si>
    <t>https://dpmzos25m8ivg.cloudfront.net/Documentos/631/04991726204/6310499172620410092023142526.pdf</t>
  </si>
  <si>
    <t>https://dpmzos25m8ivg.cloudfront.net/Documentos/631/04994621497/6310499462149713092023111601.pdf</t>
  </si>
  <si>
    <t>https://dpmzos25m8ivg.cloudfront.net/Documentos/631/05003450150/6310500345015011092023141453.jpeg</t>
  </si>
  <si>
    <t>https://dpmzos25m8ivg.cloudfront.net/Documentos/631/05006954400/6310500695440011092023094820.pdf</t>
  </si>
  <si>
    <t>https://dpmzos25m8ivg.cloudfront.net/Documentos/631/05008192620/6310500819262011092023153133.jpg</t>
  </si>
  <si>
    <t>https://dpmzos25m8ivg.cloudfront.net/Documentos/631/05008257340/6310500825734011092023153147.pdf</t>
  </si>
  <si>
    <t>https://dpmzos25m8ivg.cloudfront.net/Documentos/631/05011184463/6310501118446307092023125153.jpg</t>
  </si>
  <si>
    <t>https://dpmzos25m8ivg.cloudfront.net/Documentos/631/05012620160/6310501262016011092023161949.pdf</t>
  </si>
  <si>
    <t>https://dpmzos25m8ivg.cloudfront.net/Documentos/631/05017654330/6310501765433008092023184238.jpeg</t>
  </si>
  <si>
    <t>https://dpmzos25m8ivg.cloudfront.net/Documentos/631/05020879193/6310502087919306092023103922.pdf</t>
  </si>
  <si>
    <t>https://dpmzos25m8ivg.cloudfront.net/Documentos/631/05022317508/6310502231750811092023100953.jpg</t>
  </si>
  <si>
    <t>https://dpmzos25m8ivg.cloudfront.net/Documentos/631/05024212312/6310502421231211092023115121.jpeg</t>
  </si>
  <si>
    <t>https://dpmzos25m8ivg.cloudfront.net/Documentos/631/05024372433/6310502437243311092023130444.jpg</t>
  </si>
  <si>
    <t>https://dpmzos25m8ivg.cloudfront.net/Documentos/631/05024421159/6310502442115910092023235054.pdf</t>
  </si>
  <si>
    <t>https://dpmzos25m8ivg.cloudfront.net/Documentos/631/05032641308/6310503264130810092023184406.pdf</t>
  </si>
  <si>
    <t>https://dpmzos25m8ivg.cloudfront.net/Documentos/631/05032922145/6310503292214514092023104445.pdf</t>
  </si>
  <si>
    <t>https://dpmzos25m8ivg.cloudfront.net/Documentos/631/05033809113/6310503380911311092023144817.pdf</t>
  </si>
  <si>
    <t>https://dpmzos25m8ivg.cloudfront.net/Documentos/631/05037432162/6310503743216211092023155723.pdf</t>
  </si>
  <si>
    <t>https://dpmzos25m8ivg.cloudfront.net/Documentos/631/05049669103/6310504966910308092023164918.pdf</t>
  </si>
  <si>
    <t>https://dpmzos25m8ivg.cloudfront.net/Documentos/631/05049977185/6310504997718513092023211613.jpeg</t>
  </si>
  <si>
    <t>https://dpmzos25m8ivg.cloudfront.net/Documentos/631/05051621210/6310505162121011092023164428.pdf</t>
  </si>
  <si>
    <t>https://dpmzos25m8ivg.cloudfront.net/Documentos/631/05052555296/6310505255529611092023154517.pdf</t>
  </si>
  <si>
    <t>https://dpmzos25m8ivg.cloudfront.net/Documentos/631/05056387541/6310505638754114092023161230.jpg</t>
  </si>
  <si>
    <t>https://dpmzos25m8ivg.cloudfront.net/Documentos/631/05059043142/6310505904314206092023095403.pdf</t>
  </si>
  <si>
    <t>https://dpmzos25m8ivg.cloudfront.net/Documentos/631/05059132595/6310505913259511092023142823.jpg</t>
  </si>
  <si>
    <t>https://dpmzos25m8ivg.cloudfront.net/Documentos/631/05063989195/6310506398919511092023141035.pdf</t>
  </si>
  <si>
    <t>https://dpmzos25m8ivg.cloudfront.net/Documentos/631/05067228300/6310506722830011092023140345.jpg</t>
  </si>
  <si>
    <t>https://dpmzos25m8ivg.cloudfront.net/Documentos/631/05068958310/6310506895831009092023193410.jpeg</t>
  </si>
  <si>
    <t>https://dpmzos25m8ivg.cloudfront.net/Documentos/631/05071877503/6310507187750313092023004136.pdf</t>
  </si>
  <si>
    <t>https://dpmzos25m8ivg.cloudfront.net/Documentos/631/05072206505/6310507220650511092023150035.pdf</t>
  </si>
  <si>
    <t>https://dpmzos25m8ivg.cloudfront.net/Documentos/631/05072323218/6310507232321811092023135711.jpeg</t>
  </si>
  <si>
    <t>https://dpmzos25m8ivg.cloudfront.net/Documentos/631/05074588260/6310507458826009092023200955.pdf</t>
  </si>
  <si>
    <t>https://dpmzos25m8ivg.cloudfront.net/Documentos/631/05074646138/6310507464613811092023112421.pdf</t>
  </si>
  <si>
    <t>https://dpmzos25m8ivg.cloudfront.net/Documentos/631/05076774125/6310507677412511092023135321.pdf</t>
  </si>
  <si>
    <t>https://dpmzos25m8ivg.cloudfront.net/Documentos/631/05077652147/6310507765214711092023091457.pdf</t>
  </si>
  <si>
    <t>https://dpmzos25m8ivg.cloudfront.net/Documentos/631/05078535551/6310507853555110092023140909.pdf</t>
  </si>
  <si>
    <t>https://dpmzos25m8ivg.cloudfront.net/Documentos/631/05079510188/6310507951018807092023110607.pdf</t>
  </si>
  <si>
    <t>https://dpmzos25m8ivg.cloudfront.net/Documentos/631/05081634557/6310508163455709092023111205.jpg</t>
  </si>
  <si>
    <t>https://dpmzos25m8ivg.cloudfront.net/Documentos/631/05083760509/6310508376050911092023132007.pdf</t>
  </si>
  <si>
    <t>https://dpmzos25m8ivg.cloudfront.net/Documentos/631/05083797178/6310508379717805092023102946.pdf</t>
  </si>
  <si>
    <t>https://dpmzos25m8ivg.cloudfront.net/Documentos/631/05085660102/6310508566010214092023081536.pdf</t>
  </si>
  <si>
    <t>https://dpmzos25m8ivg.cloudfront.net/Documentos/631/05087803300/6310508780330010092023143540.jpg</t>
  </si>
  <si>
    <t>https://dpmzos25m8ivg.cloudfront.net/Documentos/631/05088459556/6310508845955608092023234457.jpg</t>
  </si>
  <si>
    <t>https://dpmzos25m8ivg.cloudfront.net/Documentos/631/05088719302/6310508871930209092023231413.pdf</t>
  </si>
  <si>
    <t>https://dpmzos25m8ivg.cloudfront.net/Documentos/631/05089723885/6310508972388510092023232732.pdf</t>
  </si>
  <si>
    <t>https://dpmzos25m8ivg.cloudfront.net/Documentos/631/05095221306/6310509522130614092023161552.pdf</t>
  </si>
  <si>
    <t>https://dpmzos25m8ivg.cloudfront.net/Documentos/631/05097663314/6310509766331405092023172040.jpg</t>
  </si>
  <si>
    <t>https://dpmzos25m8ivg.cloudfront.net/Documentos/631/05104639916/6310510463991609092023133323.pdf</t>
  </si>
  <si>
    <t>https://dpmzos25m8ivg.cloudfront.net/Documentos/631/05107005519/6310510700551910092023134238.pdf</t>
  </si>
  <si>
    <t>https://dpmzos25m8ivg.cloudfront.net/Documentos/631/05108694164/6310510869416410092023131644.jpg</t>
  </si>
  <si>
    <t>https://dpmzos25m8ivg.cloudfront.net/Documentos/631/05110323585/6310511032358511092023144615.pdf</t>
  </si>
  <si>
    <t>https://dpmzos25m8ivg.cloudfront.net/Documentos/631/05111222502/6310511122250205092023172953.pdf</t>
  </si>
  <si>
    <t>https://dpmzos25m8ivg.cloudfront.net/Documentos/631/05111702113/6310511170211305092023102714.pdf</t>
  </si>
  <si>
    <t>https://dpmzos25m8ivg.cloudfront.net/Documentos/631/05112046392/6310511204639211092023145253.pdf</t>
  </si>
  <si>
    <t>https://dpmzos25m8ivg.cloudfront.net/Documentos/631/05113689173/6310511368917309092023142052.jpeg</t>
  </si>
  <si>
    <t>https://dpmzos25m8ivg.cloudfront.net/Documentos/631/05114984543/6310511498454311092023162606.pdf</t>
  </si>
  <si>
    <t>https://dpmzos25m8ivg.cloudfront.net/Documentos/631/05115560470/6310511556047006092023092843.pdf</t>
  </si>
  <si>
    <t>https://dpmzos25m8ivg.cloudfront.net/Documentos/631/05118793696/6310511879369611092023154508.pdf</t>
  </si>
  <si>
    <t>https://dpmzos25m8ivg.cloudfront.net/Documentos/631/05121103522/6310512110352205092023192512.jpg</t>
  </si>
  <si>
    <t>https://dpmzos25m8ivg.cloudfront.net/Documentos/631/05121277512/6310512127751211092023165339.pdf</t>
  </si>
  <si>
    <t>https://dpmzos25m8ivg.cloudfront.net/Documentos/631/05121500360/6310512150036012092023194557.pdf</t>
  </si>
  <si>
    <t>https://dpmzos25m8ivg.cloudfront.net/Documentos/631/05122202559/6310512220255911092023144606.pdf</t>
  </si>
  <si>
    <t>https://dpmzos25m8ivg.cloudfront.net/Documentos/631/05123024301/6310512302430111092023154548.pdf</t>
  </si>
  <si>
    <t>https://dpmzos25m8ivg.cloudfront.net/Documentos/631/05123122141/6310512312214114092023002723.jpg</t>
  </si>
  <si>
    <t>https://dpmzos25m8ivg.cloudfront.net/Documentos/631/05126724150/6310512672415011092023123020.pdf</t>
  </si>
  <si>
    <t>https://dpmzos25m8ivg.cloudfront.net/Documentos/631/05128272303/6310512827230305092023090516.jpeg</t>
  </si>
  <si>
    <t>https://dpmzos25m8ivg.cloudfront.net/Documentos/631/05128453448/6310512845344811092023162728.jpg</t>
  </si>
  <si>
    <t>https://dpmzos25m8ivg.cloudfront.net/Documentos/631/05130974140/6310513097414005092023142333.jpeg</t>
  </si>
  <si>
    <t>https://dpmzos25m8ivg.cloudfront.net/Documentos/631/05132174361/6310513217436111092023144534.pdf</t>
  </si>
  <si>
    <t>https://dpmzos25m8ivg.cloudfront.net/Documentos/631/05133781547/6310513378154708092023072501.pdf</t>
  </si>
  <si>
    <t>https://dpmzos25m8ivg.cloudfront.net/Documentos/631/05133913478/6310513391347805092023202637.jpg</t>
  </si>
  <si>
    <t>https://dpmzos25m8ivg.cloudfront.net/Documentos/631/05140229145/6310514022914507092023193857.jpg</t>
  </si>
  <si>
    <t>https://dpmzos25m8ivg.cloudfront.net/Documentos/631/05141816486/6310514181648608092023003736.pdf</t>
  </si>
  <si>
    <t>https://dpmzos25m8ivg.cloudfront.net/Documentos/631/05144462260/6310514446226010092023225920.pdf</t>
  </si>
  <si>
    <t>https://dpmzos25m8ivg.cloudfront.net/Documentos/631/05144472575/6310514447257506092023093251.pdf</t>
  </si>
  <si>
    <t>https://dpmzos25m8ivg.cloudfront.net/Documentos/631/05146131570/6310514613157011092023132153.pdf</t>
  </si>
  <si>
    <t>https://dpmzos25m8ivg.cloudfront.net/Documentos/631/05146434123/6310514643412311092023144442.pdf</t>
  </si>
  <si>
    <t>https://dpmzos25m8ivg.cloudfront.net/Documentos/631/05147628533/6310514762853310092023223541.pdf</t>
  </si>
  <si>
    <t>https://dpmzos25m8ivg.cloudfront.net/Documentos/631/05147769510/6310514776951011092023161253.pdf</t>
  </si>
  <si>
    <t>https://dpmzos25m8ivg.cloudfront.net/Documentos/631/05148038195/6310514803819511092023151940.jpg</t>
  </si>
  <si>
    <t>https://dpmzos25m8ivg.cloudfront.net/Documentos/631/05149994707/6310514999470708092023110650.pdf</t>
  </si>
  <si>
    <t>https://dpmzos25m8ivg.cloudfront.net/Documentos/631/05150805190/6310515080519006092023160733.pdf</t>
  </si>
  <si>
    <t>https://dpmzos25m8ivg.cloudfront.net/Documentos/631/05155068932/6310515506893210092023190032.pdf</t>
  </si>
  <si>
    <t>https://dpmzos25m8ivg.cloudfront.net/Documentos/631/05157336284/6310515733628411092023145141.pdf</t>
  </si>
  <si>
    <t>https://dpmzos25m8ivg.cloudfront.net/Documentos/631/05157414188/6310515741418811092023151053.pdf</t>
  </si>
  <si>
    <t>https://dpmzos25m8ivg.cloudfront.net/Documentos/631/05158293406/6310515829340605092023140754.jpg</t>
  </si>
  <si>
    <t>https://dpmzos25m8ivg.cloudfront.net/Documentos/631/05158421501/6310515842150110092023221820.pdf</t>
  </si>
  <si>
    <t>https://dpmzos25m8ivg.cloudfront.net/Documentos/631/05159656421/6310515965642114092023150122.pdf</t>
  </si>
  <si>
    <t>https://dpmzos25m8ivg.cloudfront.net/Documentos/631/05159930507/6310515993050714092023144142.jpg</t>
  </si>
  <si>
    <t>https://dpmzos25m8ivg.cloudfront.net/Documentos/631/05161209569/6310516120956905092023203843.pdf</t>
  </si>
  <si>
    <t>https://dpmzos25m8ivg.cloudfront.net/Documentos/631/05162711306/6310516271130610092023112706.pdf</t>
  </si>
  <si>
    <t>https://dpmzos25m8ivg.cloudfront.net/Documentos/631/05163710451/6310516371045111092023160955.pdf</t>
  </si>
  <si>
    <t>https://dpmzos25m8ivg.cloudfront.net/Documentos/631/05166312333/6310516631233308092023132529.pdf</t>
  </si>
  <si>
    <t>https://dpmzos25m8ivg.cloudfront.net/Documentos/631/05166687302/6310516668730211092023132533.pdf</t>
  </si>
  <si>
    <t>https://dpmzos25m8ivg.cloudfront.net/Documentos/631/05168432492/6310516843249206092023154733.jpg</t>
  </si>
  <si>
    <t>https://dpmzos25m8ivg.cloudfront.net/Documentos/631/05168508308/6310516850830811092023161027.pdf</t>
  </si>
  <si>
    <t>https://dpmzos25m8ivg.cloudfront.net/Documentos/631/05170197527/6310517019752711092023163436.jpeg</t>
  </si>
  <si>
    <t>https://dpmzos25m8ivg.cloudfront.net/Documentos/631/05170773102/6310517077310207092023153412.pdf</t>
  </si>
  <si>
    <t>https://dpmzos25m8ivg.cloudfront.net/Documentos/631/05171590150/6310517159015006092023121958.pdf</t>
  </si>
  <si>
    <t>https://dpmzos25m8ivg.cloudfront.net/Documentos/631/05172102310/6310517210231009092023100223.jpg</t>
  </si>
  <si>
    <t>https://dpmzos25m8ivg.cloudfront.net/Documentos/631/05173093510/6310517309351009092023182859.jpg</t>
  </si>
  <si>
    <t>https://dpmzos25m8ivg.cloudfront.net/Documentos/631/05173244585/6310517324458510092023180453.pdf</t>
  </si>
  <si>
    <t>https://dpmzos25m8ivg.cloudfront.net/Documentos/631/05173460369/6310517346036911092023081840.jpg</t>
  </si>
  <si>
    <t>https://dpmzos25m8ivg.cloudfront.net/Documentos/631/05173767502/6310517376750212092023213232.jpg</t>
  </si>
  <si>
    <t>https://dpmzos25m8ivg.cloudfront.net/Documentos/631/05175256580/6310517525658004092023231405.pdf</t>
  </si>
  <si>
    <t>https://dpmzos25m8ivg.cloudfront.net/Documentos/631/05175930257/6310517593025714092023115710.pdf</t>
  </si>
  <si>
    <t>https://dpmzos25m8ivg.cloudfront.net/Documentos/631/05177341763/6310517734176311092023163200.pdf</t>
  </si>
  <si>
    <t>https://dpmzos25m8ivg.cloudfront.net/Documentos/631/05177433374/6310517743337408092023202141.pdf</t>
  </si>
  <si>
    <t>https://dpmzos25m8ivg.cloudfront.net/Documentos/631/05178514580/6310517851458011092023164548.pdf</t>
  </si>
  <si>
    <t>https://dpmzos25m8ivg.cloudfront.net/Documentos/631/05187332112/6310518733211208092023144519.pdf</t>
  </si>
  <si>
    <t>https://dpmzos25m8ivg.cloudfront.net/Documentos/631/05189218163/6310518921816311092023161408.pdf</t>
  </si>
  <si>
    <t>https://dpmzos25m8ivg.cloudfront.net/Documentos/631/05190537374/6310519053737411092023092338.pdf</t>
  </si>
  <si>
    <t>https://dpmzos25m8ivg.cloudfront.net/Documentos/631/05191304560/6310519130456012092023174448.jpeg</t>
  </si>
  <si>
    <t>https://dpmzos25m8ivg.cloudfront.net/Documentos/631/05191627229/6310519162722908092023221355.pdf</t>
  </si>
  <si>
    <t>https://dpmzos25m8ivg.cloudfront.net/Documentos/631/05193473407/6310519347340705092023155622.pdf</t>
  </si>
  <si>
    <t>https://dpmzos25m8ivg.cloudfront.net/Documentos/631/05195104700/6310519510470011092023164026.pdf</t>
  </si>
  <si>
    <t>https://dpmzos25m8ivg.cloudfront.net/Documentos/631/05195979588/6310519597958811092023120114.pdf</t>
  </si>
  <si>
    <t>https://dpmzos25m8ivg.cloudfront.net/Documentos/631/05196245138/6310519624513811092023141757.pdf</t>
  </si>
  <si>
    <t>https://dpmzos25m8ivg.cloudfront.net/Documentos/631/05199367366/6310519936736611092023122643.jpg</t>
  </si>
  <si>
    <t>https://dpmzos25m8ivg.cloudfront.net/Documentos/631/05200646316/6310520064631612092023213515.jpg</t>
  </si>
  <si>
    <t>https://dpmzos25m8ivg.cloudfront.net/Documentos/631/05203306176/6310520330617605092023161602.jpeg</t>
  </si>
  <si>
    <t>https://dpmzos25m8ivg.cloudfront.net/Documentos/631/05205630264/6310520563026411092023134107.pdf</t>
  </si>
  <si>
    <t>https://dpmzos25m8ivg.cloudfront.net/Documentos/631/05207418386/6310520741838611092023143635.jpg</t>
  </si>
  <si>
    <t>https://dpmzos25m8ivg.cloudfront.net/Documentos/631/05209003400/6310520900340004092023213357.jpg</t>
  </si>
  <si>
    <t>https://dpmzos25m8ivg.cloudfront.net/Documentos/631/05213136192/6310521313619205092023162358.pdf</t>
  </si>
  <si>
    <t>https://dpmzos25m8ivg.cloudfront.net/Documentos/631/05214247125/6310521424712511092023165525.jpg</t>
  </si>
  <si>
    <t>https://dpmzos25m8ivg.cloudfront.net/Documentos/631/05217879394/6310521787939411092023113705.pdf</t>
  </si>
  <si>
    <t>https://dpmzos25m8ivg.cloudfront.net/Documentos/631/05217976403/6310521797640311092023091301.pdf</t>
  </si>
  <si>
    <t>https://dpmzos25m8ivg.cloudfront.net/Documentos/631/05218759198/6310521875919811092023122846.pdf</t>
  </si>
  <si>
    <t>https://dpmzos25m8ivg.cloudfront.net/Documentos/631/05219032623/6310521903262311092023163321.pdf</t>
  </si>
  <si>
    <t>https://dpmzos25m8ivg.cloudfront.net/Documentos/631/05220738321/6310522073832107092023103405.jpg</t>
  </si>
  <si>
    <t>https://dpmzos25m8ivg.cloudfront.net/Documentos/631/05221001390/6310522100139010092023160810.jpg</t>
  </si>
  <si>
    <t>https://dpmzos25m8ivg.cloudfront.net/Documentos/631/05222256596/6310522225659614092023144101.pdf</t>
  </si>
  <si>
    <t>https://dpmzos25m8ivg.cloudfront.net/Documentos/631/05222942198/6310522294219814092023163259.pdf</t>
  </si>
  <si>
    <t>https://dpmzos25m8ivg.cloudfront.net/Documentos/631/05223190688/6310522319068811092023164457.pdf</t>
  </si>
  <si>
    <t>https://dpmzos25m8ivg.cloudfront.net/Documentos/631/05226739109/6310522673910911092023124300.jpg</t>
  </si>
  <si>
    <t>https://dpmzos25m8ivg.cloudfront.net/Documentos/631/05227891109/6310522789110907092023124232.jpg</t>
  </si>
  <si>
    <t>https://dpmzos25m8ivg.cloudfront.net/Documentos/631/05233227711/6310523322771111092023164037.pdf</t>
  </si>
  <si>
    <t>https://dpmzos25m8ivg.cloudfront.net/Documentos/631/05237881505/6310523788150505092023224439.jpg</t>
  </si>
  <si>
    <t>https://dpmzos25m8ivg.cloudfront.net/Documentos/631/05239034133/6310523903413314092023104611.pdf</t>
  </si>
  <si>
    <t>https://dpmzos25m8ivg.cloudfront.net/Documentos/631/05239235465/6310523923546508092023161329.pdf</t>
  </si>
  <si>
    <t>https://dpmzos25m8ivg.cloudfront.net/Documentos/631/05239749493/6310523974949314092023094032.jpeg</t>
  </si>
  <si>
    <t>https://dpmzos25m8ivg.cloudfront.net/Documentos/631/05239815380/6310523981538005092023092235.pdf</t>
  </si>
  <si>
    <t>https://dpmzos25m8ivg.cloudfront.net/Documentos/631/05243265764/6310524326576411092023160154.jpg</t>
  </si>
  <si>
    <t>https://dpmzos25m8ivg.cloudfront.net/Documentos/631/05244922556/6310524492255605092023191743.jpg</t>
  </si>
  <si>
    <t>https://dpmzos25m8ivg.cloudfront.net/Documentos/631/05245289180/6310524528918005092023140854.pdf</t>
  </si>
  <si>
    <t>https://dpmzos25m8ivg.cloudfront.net/Documentos/631/05245428130/6310524542813008092023211853.pdf</t>
  </si>
  <si>
    <t>https://dpmzos25m8ivg.cloudfront.net/Documentos/631/05245536102/6310524553610205092023231916.jpg</t>
  </si>
  <si>
    <t>https://dpmzos25m8ivg.cloudfront.net/Documentos/631/05246212173/6310524621217311092023165023.pdf</t>
  </si>
  <si>
    <t>https://dpmzos25m8ivg.cloudfront.net/Documentos/631/05247095561/6310524709556105092023122930.pdf</t>
  </si>
  <si>
    <t>https://dpmzos25m8ivg.cloudfront.net/Documentos/631/05249096875/6310524909687505092023185134.jpg</t>
  </si>
  <si>
    <t>https://dpmzos25m8ivg.cloudfront.net/Documentos/631/05249916180/6310524991618014092023163321.pdf</t>
  </si>
  <si>
    <t>https://dpmzos25m8ivg.cloudfront.net/Documentos/631/05249948626/6310524994862611092023154808.pdf</t>
  </si>
  <si>
    <t>https://dpmzos25m8ivg.cloudfront.net/Documentos/631/05250180698/6310525018069811092023133017.pdf</t>
  </si>
  <si>
    <t>https://dpmzos25m8ivg.cloudfront.net/Documentos/631/05251366574/6310525136657411092023165208.pdf</t>
  </si>
  <si>
    <t>https://dpmzos25m8ivg.cloudfront.net/Documentos/631/05251563566/6310525156356611092023103740.pdf</t>
  </si>
  <si>
    <t>https://dpmzos25m8ivg.cloudfront.net/Documentos/631/05252398127/6310525239812711092023134224.pdf</t>
  </si>
  <si>
    <t>https://dpmzos25m8ivg.cloudfront.net/Documentos/631/05252984603/6310525298460311092023080802.jpeg</t>
  </si>
  <si>
    <t>https://dpmzos25m8ivg.cloudfront.net/Documentos/631/05254174439/6310525417443905092023114654.pdf</t>
  </si>
  <si>
    <t>https://dpmzos25m8ivg.cloudfront.net/Documentos/631/05254942436/6310525494243606092023151212.jpg</t>
  </si>
  <si>
    <t>https://dpmzos25m8ivg.cloudfront.net/Documentos/631/05261348102/6310526134810211092023172838.pdf</t>
  </si>
  <si>
    <t>https://dpmzos25m8ivg.cloudfront.net/Documentos/631/05261722829/6310526172282907092023155659.pdf</t>
  </si>
  <si>
    <t>https://dpmzos25m8ivg.cloudfront.net/Documentos/631/05263648740/6310526364874011092023155510.pdf</t>
  </si>
  <si>
    <t>https://dpmzos25m8ivg.cloudfront.net/Documentos/631/05263799608/6310526379960811092023020336.jpg</t>
  </si>
  <si>
    <t>https://dpmzos25m8ivg.cloudfront.net/Documentos/631/05264652716/6310526465271605092023130358.pdf</t>
  </si>
  <si>
    <t>https://dpmzos25m8ivg.cloudfront.net/Documentos/631/05265286306/6310526528630611092023121530.pdf</t>
  </si>
  <si>
    <t>https://dpmzos25m8ivg.cloudfront.net/Documentos/631/05265542310/6310526554231010092023165548.pdf</t>
  </si>
  <si>
    <t>https://dpmzos25m8ivg.cloudfront.net/Documentos/631/05265996184/6310526599618413092023224258.pdf</t>
  </si>
  <si>
    <t>https://dpmzos25m8ivg.cloudfront.net/Documentos/631/05266780622/6310526678062211092023132424.pdf</t>
  </si>
  <si>
    <t>https://dpmzos25m8ivg.cloudfront.net/Documentos/631/05269948435/6310526994843510092023223439.pdf</t>
  </si>
  <si>
    <t>https://dpmzos25m8ivg.cloudfront.net/Documentos/631/05275894546/6310527589454605092023172756.pdf</t>
  </si>
  <si>
    <t>https://dpmzos25m8ivg.cloudfront.net/Documentos/631/05276596301/6310527659630111092023161956.pdf</t>
  </si>
  <si>
    <t>https://dpmzos25m8ivg.cloudfront.net/Documentos/631/05280412155/6310528041215514092023163740.pdf</t>
  </si>
  <si>
    <t>https://dpmzos25m8ivg.cloudfront.net/Documentos/631/05281161423/6310528116142311092023162233.pdf</t>
  </si>
  <si>
    <t>https://dpmzos25m8ivg.cloudfront.net/Documentos/631/05281625195/6310528162519511092023135516.jpg</t>
  </si>
  <si>
    <t>https://dpmzos25m8ivg.cloudfront.net/Documentos/631/05282329166/6310528232916611092023110759.pdf</t>
  </si>
  <si>
    <t>https://dpmzos25m8ivg.cloudfront.net/Documentos/631/05282671328/6310528267132812092023214532.pdf</t>
  </si>
  <si>
    <t>https://dpmzos25m8ivg.cloudfront.net/Documentos/631/05285337895/6310528533789511092023101435.jpg</t>
  </si>
  <si>
    <t>https://dpmzos25m8ivg.cloudfront.net/Documentos/631/05290106154/6310529010615414092023012539.pdf</t>
  </si>
  <si>
    <t>https://dpmzos25m8ivg.cloudfront.net/Documentos/631/05290425250/6310529042525008092023111006.pdf</t>
  </si>
  <si>
    <t>https://dpmzos25m8ivg.cloudfront.net/Documentos/631/05292504467/6310529250446713092023224840.pdf</t>
  </si>
  <si>
    <t>https://dpmzos25m8ivg.cloudfront.net/Documentos/631/05293128248/6310529312824808092023010952.pdf</t>
  </si>
  <si>
    <t>https://dpmzos25m8ivg.cloudfront.net/Documentos/631/05293535552/6310529353555205092023181155.pdf</t>
  </si>
  <si>
    <t>https://dpmzos25m8ivg.cloudfront.net/Documentos/631/05294209535/6310529420953510092023204240.pdf</t>
  </si>
  <si>
    <t>https://dpmzos25m8ivg.cloudfront.net/Documentos/631/05294546531/6310529454653111092023162853.jpeg</t>
  </si>
  <si>
    <t>https://dpmzos25m8ivg.cloudfront.net/Documentos/631/05295094154/6310529509415413092023095718.pdf</t>
  </si>
  <si>
    <t>https://dpmzos25m8ivg.cloudfront.net/Documentos/631/05295936104/6310529593610411092023121823.jpeg</t>
  </si>
  <si>
    <t>https://dpmzos25m8ivg.cloudfront.net/Documentos/631/05296079302/6310529607930211092023145315.pdf</t>
  </si>
  <si>
    <t>https://dpmzos25m8ivg.cloudfront.net/Documentos/631/05296401557/6310529640155706092023123247.pdf</t>
  </si>
  <si>
    <t>https://dpmzos25m8ivg.cloudfront.net/Documentos/631/05297304563/6310529730456311092023152907.jpg</t>
  </si>
  <si>
    <t>https://dpmzos25m8ivg.cloudfront.net/Documentos/631/05298886531/6310529888653111092023125523.pdf</t>
  </si>
  <si>
    <t>https://dpmzos25m8ivg.cloudfront.net/Documentos/631/05303481794/6310530348179411092023152526.pdf</t>
  </si>
  <si>
    <t>https://dpmzos25m8ivg.cloudfront.net/Documentos/631/05304298616/6310530429861610092023191838.jpg</t>
  </si>
  <si>
    <t>https://dpmzos25m8ivg.cloudfront.net/Documentos/631/05304536495/6310530453649506092023213001.pdf</t>
  </si>
  <si>
    <t>https://dpmzos25m8ivg.cloudfront.net/Documentos/631/05305630703/6310530563070311092023165647.pdf</t>
  </si>
  <si>
    <t>https://dpmzos25m8ivg.cloudfront.net/Documentos/631/05305808103/6310530580810305092023193421.pdf</t>
  </si>
  <si>
    <t>https://dpmzos25m8ivg.cloudfront.net/Documentos/631/05306918506/6310530691850611092023115406.pdf</t>
  </si>
  <si>
    <t>https://dpmzos25m8ivg.cloudfront.net/Documentos/631/05308258309/6310530825830909092023182921.pdf</t>
  </si>
  <si>
    <t>https://dpmzos25m8ivg.cloudfront.net/Documentos/631/05309622250/6310530962225009092023111859.pdf</t>
  </si>
  <si>
    <t>https://dpmzos25m8ivg.cloudfront.net/Documentos/631/05310855548/6310531085554805092023170832.pdf</t>
  </si>
  <si>
    <t>https://dpmzos25m8ivg.cloudfront.net/Documentos/631/05311172517/6310531117251706092023141019.pdf</t>
  </si>
  <si>
    <t>https://dpmzos25m8ivg.cloudfront.net/Documentos/631/05311699523/6310531169952311092023163634.pdf</t>
  </si>
  <si>
    <t>https://dpmzos25m8ivg.cloudfront.net/Documentos/631/05312692808/6310531269280811092023152432.jpeg</t>
  </si>
  <si>
    <t>https://dpmzos25m8ivg.cloudfront.net/Documentos/631/05319201354/6310531920135413092023203132.pdf</t>
  </si>
  <si>
    <t>https://dpmzos25m8ivg.cloudfront.net/Documentos/631/05320376936/6310532037693605092023130543.pdf</t>
  </si>
  <si>
    <t>https://dpmzos25m8ivg.cloudfront.net/Documentos/631/05321744610/6310532174461011092023154239.jpeg</t>
  </si>
  <si>
    <t>https://dpmzos25m8ivg.cloudfront.net/Documentos/631/05324507520/6310532450752005092023092512.pdf</t>
  </si>
  <si>
    <t>https://dpmzos25m8ivg.cloudfront.net/Documentos/631/05324636509/6310532463650911092023142745.jpeg</t>
  </si>
  <si>
    <t>https://dpmzos25m8ivg.cloudfront.net/Documentos/631/05328903536/6310532890353613092023010154.pdf</t>
  </si>
  <si>
    <t>https://dpmzos25m8ivg.cloudfront.net/Documentos/631/05332895305/6310533289530511092023113738.jpeg</t>
  </si>
  <si>
    <t>https://dpmzos25m8ivg.cloudfront.net/Documentos/631/05332986106/6310533298610605092023135614.pdf</t>
  </si>
  <si>
    <t>https://dpmzos25m8ivg.cloudfront.net/Documentos/631/05333444501/6310533344450111092023085953.pdf</t>
  </si>
  <si>
    <t>https://dpmzos25m8ivg.cloudfront.net/Documentos/631/05336854514/6310533685451409092023235149.pdf</t>
  </si>
  <si>
    <t>https://dpmzos25m8ivg.cloudfront.net/Documentos/631/05337365363/6310533736536314092023113050.pdf</t>
  </si>
  <si>
    <t>https://dpmzos25m8ivg.cloudfront.net/Documentos/631/05337634445/6310533763444511092023140424.pdf</t>
  </si>
  <si>
    <t>https://dpmzos25m8ivg.cloudfront.net/Documentos/631/05340210421/6310534021042108092023121939.pdf</t>
  </si>
  <si>
    <t>https://dpmzos25m8ivg.cloudfront.net/Documentos/631/05341141997/6310534114199711092023113740.jpeg</t>
  </si>
  <si>
    <t>https://dpmzos25m8ivg.cloudfront.net/Documentos/631/05349328786/6310534932878611092023134827.pdf</t>
  </si>
  <si>
    <t>https://dpmzos25m8ivg.cloudfront.net/Documentos/631/05349522329/6310534952232913092023160033.pdf</t>
  </si>
  <si>
    <t>https://dpmzos25m8ivg.cloudfront.net/Documentos/631/05350105167/6310535010516711092023123947.pdf</t>
  </si>
  <si>
    <t>https://dpmzos25m8ivg.cloudfront.net/Documentos/631/05350181424/6310535018142408092023181549.pdf</t>
  </si>
  <si>
    <t>https://dpmzos25m8ivg.cloudfront.net/Documentos/631/05350472313/6310535047231311092023122036.jpg</t>
  </si>
  <si>
    <t>https://dpmzos25m8ivg.cloudfront.net/Documentos/631/05352698386/6310535269838608092023134050.pdf</t>
  </si>
  <si>
    <t>https://dpmzos25m8ivg.cloudfront.net/Documentos/631/05354813301/6310535481330106092023174318.pdf</t>
  </si>
  <si>
    <t>https://dpmzos25m8ivg.cloudfront.net/Documentos/631/05355405401/6310535540540106092023113726.pdf</t>
  </si>
  <si>
    <t>https://dpmzos25m8ivg.cloudfront.net/Documentos/631/05356509146/6310535650914610092023194746.pdf</t>
  </si>
  <si>
    <t>https://dpmzos25m8ivg.cloudfront.net/Documentos/631/05358569111/6310535856911111092023151709.pdf</t>
  </si>
  <si>
    <t>https://dpmzos25m8ivg.cloudfront.net/Documentos/631/05361348120/6310536134812011092023141553.pdf</t>
  </si>
  <si>
    <t>https://dpmzos25m8ivg.cloudfront.net/Documentos/631/05363927144/6310536392714411092023101105.pdf</t>
  </si>
  <si>
    <t>https://dpmzos25m8ivg.cloudfront.net/Documentos/631/05365477502/6310536547750206092023171910.jpg</t>
  </si>
  <si>
    <t>https://dpmzos25m8ivg.cloudfront.net/Documentos/631/05369480974/6310536948097411092023170459.jpeg</t>
  </si>
  <si>
    <t>https://dpmzos25m8ivg.cloudfront.net/Documentos/631/05371677143/6310537167714306092023150703.pdf</t>
  </si>
  <si>
    <t>https://dpmzos25m8ivg.cloudfront.net/Documentos/631/05373773280/6310537377328011092023163124.jpg</t>
  </si>
  <si>
    <t>https://dpmzos25m8ivg.cloudfront.net/Documentos/631/05375544245/6310537554424511092023151135.pdf</t>
  </si>
  <si>
    <t>https://dpmzos25m8ivg.cloudfront.net/Documentos/631/05375724570/6310537572457011092023154506.pdf</t>
  </si>
  <si>
    <t>https://dpmzos25m8ivg.cloudfront.net/Documentos/631/05376782395/6310537678239511092023114450.pdf</t>
  </si>
  <si>
    <t>https://dpmzos25m8ivg.cloudfront.net/Documentos/631/05380002102/6310538000210211092023162924.pdf</t>
  </si>
  <si>
    <t>https://dpmzos25m8ivg.cloudfront.net/Documentos/631/05380514502/6310538051450206092023171310.pdf</t>
  </si>
  <si>
    <t>https://dpmzos25m8ivg.cloudfront.net/Documentos/631/05381448660/6310538144866011092023092548.pdf</t>
  </si>
  <si>
    <t>https://dpmzos25m8ivg.cloudfront.net/Documentos/631/05382329516/6310538232951605092023121816.pdf</t>
  </si>
  <si>
    <t>https://dpmzos25m8ivg.cloudfront.net/Documentos/631/05383326707/6310538332670711092023111200.jpg</t>
  </si>
  <si>
    <t>https://dpmzos25m8ivg.cloudfront.net/Documentos/631/05386956175/6310538695617511092023162354.jpeg</t>
  </si>
  <si>
    <t>https://dpmzos25m8ivg.cloudfront.net/Documentos/631/05388801128/6310538880112808092023111456.jpeg</t>
  </si>
  <si>
    <t>https://dpmzos25m8ivg.cloudfront.net/Documentos/631/05389898311/6310538989831111092023043822.jpg</t>
  </si>
  <si>
    <t>https://dpmzos25m8ivg.cloudfront.net/Documentos/631/05390662490/6310539066249011092023165930.jpg</t>
  </si>
  <si>
    <t>https://dpmzos25m8ivg.cloudfront.net/Documentos/631/05394076588/6310539407658805092023103411.pdf</t>
  </si>
  <si>
    <t>https://dpmzos25m8ivg.cloudfront.net/Documentos/631/05394800103/6310539480010307092023150915.pdf</t>
  </si>
  <si>
    <t>https://dpmzos25m8ivg.cloudfront.net/Documentos/631/05397725340/6310539772534005092023170140.pdf</t>
  </si>
  <si>
    <t>https://dpmzos25m8ivg.cloudfront.net/Documentos/631/05398850709/6310539885070914092023154640.jpeg</t>
  </si>
  <si>
    <t>https://dpmzos25m8ivg.cloudfront.net/Documentos/631/05401121946/6310540112194611092023165947.pdf</t>
  </si>
  <si>
    <t>https://dpmzos25m8ivg.cloudfront.net/Documentos/631/05401175361/6310540117536111092023142415.pdf</t>
  </si>
  <si>
    <t>https://dpmzos25m8ivg.cloudfront.net/Documentos/631/05401382316/6310540138231606092023094846.jpg</t>
  </si>
  <si>
    <t>https://dpmzos25m8ivg.cloudfront.net/Documentos/631/05404643250/6310540464325011092023151658.pdf</t>
  </si>
  <si>
    <t>https://dpmzos25m8ivg.cloudfront.net/Documentos/631/05405061760/6310540506176011092023145748.jpeg</t>
  </si>
  <si>
    <t>https://dpmzos25m8ivg.cloudfront.net/Documentos/631/05406575570/6310540657557007092023221909.jpg</t>
  </si>
  <si>
    <t>https://dpmzos25m8ivg.cloudfront.net/Documentos/631/05407831376/6310540783137605092023095123.jpg</t>
  </si>
  <si>
    <t>https://dpmzos25m8ivg.cloudfront.net/Documentos/631/05408127222/6310540812722211092023165727.pdf</t>
  </si>
  <si>
    <t>https://dpmzos25m8ivg.cloudfront.net/Documentos/631/05408362302/6310540836230208092023173741.pdf</t>
  </si>
  <si>
    <t>https://dpmzos25m8ivg.cloudfront.net/Documentos/631/05410013379/6310541001337910092023174301.jpg</t>
  </si>
  <si>
    <t>https://dpmzos25m8ivg.cloudfront.net/Documentos/631/05410210794/6310541021079413092023113445.jpg</t>
  </si>
  <si>
    <t>https://dpmzos25m8ivg.cloudfront.net/Documentos/631/05410555341/6310541055534107092023234755.jpeg</t>
  </si>
  <si>
    <t>https://dpmzos25m8ivg.cloudfront.net/Documentos/631/05413735529/6310541373552911092023150815.pdf</t>
  </si>
  <si>
    <t>https://dpmzos25m8ivg.cloudfront.net/Documentos/631/05414082162/6310541408216206092023162149.pdf</t>
  </si>
  <si>
    <t>https://dpmzos25m8ivg.cloudfront.net/Documentos/631/05414442398/6310541444239806092023154851.pdf</t>
  </si>
  <si>
    <t>https://dpmzos25m8ivg.cloudfront.net/Documentos/631/05415570179/6310541557017913092023175255.pdf</t>
  </si>
  <si>
    <t>https://dpmzos25m8ivg.cloudfront.net/Documentos/631/05419090376/6310541909037611092023125331.pdf</t>
  </si>
  <si>
    <t>https://dpmzos25m8ivg.cloudfront.net/Documentos/631/05421323110/6310542132311011092023142413.pdf</t>
  </si>
  <si>
    <t>https://dpmzos25m8ivg.cloudfront.net/Documentos/631/05425696124/6310542569612405092023092201.pdf</t>
  </si>
  <si>
    <t>https://dpmzos25m8ivg.cloudfront.net/Documentos/631/05430815594/6310543081559410092023194922.pdf</t>
  </si>
  <si>
    <t>https://dpmzos25m8ivg.cloudfront.net/Documentos/631/05431028820/6310543102882011092023165919.pdf</t>
  </si>
  <si>
    <t>https://dpmzos25m8ivg.cloudfront.net/Documentos/631/05436888445/6310543688844505092023122733.pdf</t>
  </si>
  <si>
    <t>https://dpmzos25m8ivg.cloudfront.net/Documentos/631/05439742190/6310543974219005092023161917.pdf</t>
  </si>
  <si>
    <t>https://dpmzos25m8ivg.cloudfront.net/Documentos/631/05439772502/6310543977250210092023024419.pdf</t>
  </si>
  <si>
    <t>https://dpmzos25m8ivg.cloudfront.net/Documentos/631/05440514325/6310544051432505092023173913.pdf</t>
  </si>
  <si>
    <t>https://dpmzos25m8ivg.cloudfront.net/Documentos/631/05440811109/6310544081110911092023094743.jpg</t>
  </si>
  <si>
    <t>https://dpmzos25m8ivg.cloudfront.net/Documentos/631/05441388560/6310544138856011092023143031.pdf</t>
  </si>
  <si>
    <t>https://dpmzos25m8ivg.cloudfront.net/Documentos/631/05441519762/6310544151976211092023152753.jpg</t>
  </si>
  <si>
    <t>https://dpmzos25m8ivg.cloudfront.net/Documentos/631/05447252121/6310544725212105092023205925.jpeg</t>
  </si>
  <si>
    <t>https://dpmzos25m8ivg.cloudfront.net/Documentos/631/05449761180/6310544976118014092023150254.pdf</t>
  </si>
  <si>
    <t>https://dpmzos25m8ivg.cloudfront.net/Documentos/631/05452006362/6310545200636211092023102915.pdf</t>
  </si>
  <si>
    <t>https://dpmzos25m8ivg.cloudfront.net/Documentos/631/05452407510/6310545240751011092023130930.jpeg</t>
  </si>
  <si>
    <t>https://dpmzos25m8ivg.cloudfront.net/Documentos/631/05453129301/6310545312930110092023221638.pdf</t>
  </si>
  <si>
    <t>https://dpmzos25m8ivg.cloudfront.net/Documentos/631/05454625841/6310545462584108092023205705.pdf</t>
  </si>
  <si>
    <t>https://dpmzos25m8ivg.cloudfront.net/Documentos/631/05459411130/6310545941113014092023140814.pdf</t>
  </si>
  <si>
    <t>https://dpmzos25m8ivg.cloudfront.net/Documentos/631/05459576210/6310545957621010092023113155.pdf</t>
  </si>
  <si>
    <t>https://dpmzos25m8ivg.cloudfront.net/Documentos/631/05460556562/6310546055656205092023104306.pdf</t>
  </si>
  <si>
    <t>https://dpmzos25m8ivg.cloudfront.net/Documentos/631/05466851612/6310546685161205092023134513.pdf</t>
  </si>
  <si>
    <t>https://dpmzos25m8ivg.cloudfront.net/Documentos/631/05466986208/6310546698620805092023114918.pdf</t>
  </si>
  <si>
    <t>https://dpmzos25m8ivg.cloudfront.net/Documentos/631/05468058170/6310546805817010092023235618.pdf</t>
  </si>
  <si>
    <t>https://dpmzos25m8ivg.cloudfront.net/Documentos/631/05469803171/6310546980317113092023173221.pdf</t>
  </si>
  <si>
    <t>https://dpmzos25m8ivg.cloudfront.net/Documentos/631/05470647137/6310547064713711092023101531.pdf</t>
  </si>
  <si>
    <t>https://dpmzos25m8ivg.cloudfront.net/Documentos/631/05471146131/6310547114613111092023154232.pdf</t>
  </si>
  <si>
    <t>https://dpmzos25m8ivg.cloudfront.net/Documentos/631/05473329632/6310547332963211092023154759.pdf</t>
  </si>
  <si>
    <t>https://dpmzos25m8ivg.cloudfront.net/Documentos/631/05473763162/6310547376316211092023135737.jpg</t>
  </si>
  <si>
    <t>https://dpmzos25m8ivg.cloudfront.net/Documentos/631/05474683936/6310547468393610092023005950.jpg</t>
  </si>
  <si>
    <t>https://dpmzos25m8ivg.cloudfront.net/Documentos/631/05476482601/6310547648260106092023091724.pdf</t>
  </si>
  <si>
    <t>https://dpmzos25m8ivg.cloudfront.net/Documentos/631/05477347511/6310547734751105092023101703.pdf</t>
  </si>
  <si>
    <t>https://dpmzos25m8ivg.cloudfront.net/Documentos/631/05478184675/6310547818467510092023215239.pdf</t>
  </si>
  <si>
    <t>https://dpmzos25m8ivg.cloudfront.net/Documentos/631/05488475338/6310548847533811092023162019.pdf</t>
  </si>
  <si>
    <t>https://dpmzos25m8ivg.cloudfront.net/Documentos/631/05489727101/6310548972710106092023083704.pdf</t>
  </si>
  <si>
    <t>https://dpmzos25m8ivg.cloudfront.net/Documentos/631/05490296569/6310549029656906092023144600.jpeg</t>
  </si>
  <si>
    <t>https://dpmzos25m8ivg.cloudfront.net/Documentos/631/05491131180/6310549113118005092023190904.pdf</t>
  </si>
  <si>
    <t>https://dpmzos25m8ivg.cloudfront.net/Documentos/631/05494793419/6310549479341911092023111145.pdf</t>
  </si>
  <si>
    <t>https://dpmzos25m8ivg.cloudfront.net/Documentos/631/05495038703/6310549503870305092023203306.pdf</t>
  </si>
  <si>
    <t>https://dpmzos25m8ivg.cloudfront.net/Documentos/631/05498045360/6310549804536006092023151817.jpg</t>
  </si>
  <si>
    <t>https://dpmzos25m8ivg.cloudfront.net/Documentos/631/05502464288/6310550246428806092023112012.pdf</t>
  </si>
  <si>
    <t>https://dpmzos25m8ivg.cloudfront.net/Documentos/631/05502466302/6310550246630211092023124120.jpeg</t>
  </si>
  <si>
    <t>https://dpmzos25m8ivg.cloudfront.net/Documentos/631/05509532564/6310550953256411092023103411.pdf</t>
  </si>
  <si>
    <t>https://dpmzos25m8ivg.cloudfront.net/Documentos/631/05514643131/6310551464313105092023155601.pdf</t>
  </si>
  <si>
    <t>https://dpmzos25m8ivg.cloudfront.net/Documentos/631/05514660656/6310551466065605092023142628.jpeg</t>
  </si>
  <si>
    <t>https://dpmzos25m8ivg.cloudfront.net/Documentos/631/05515544447/6310551554444707092023141034.pdf</t>
  </si>
  <si>
    <t>https://dpmzos25m8ivg.cloudfront.net/Documentos/631/05517148328/6310551714832810092023150338.pdf</t>
  </si>
  <si>
    <t>https://dpmzos25m8ivg.cloudfront.net/Documentos/631/05518885989/6310551888598913092023190658.pdf</t>
  </si>
  <si>
    <t>https://dpmzos25m8ivg.cloudfront.net/Documentos/631/05519803110/6310551980311011092023103427.pdf</t>
  </si>
  <si>
    <t>https://dpmzos25m8ivg.cloudfront.net/Documentos/631/05520595526/6310552059552611092023124514.pdf</t>
  </si>
  <si>
    <t>https://dpmzos25m8ivg.cloudfront.net/Documentos/631/05523707384/6310552370738411092023163238.pdf</t>
  </si>
  <si>
    <t>https://dpmzos25m8ivg.cloudfront.net/Documentos/631/05528552435/6310552855243507092023103602.pdf</t>
  </si>
  <si>
    <t>https://dpmzos25m8ivg.cloudfront.net/Documentos/631/05532847622/6310553284762214092023145610.pdf</t>
  </si>
  <si>
    <t>https://dpmzos25m8ivg.cloudfront.net/Documentos/631/05536223402/6310553622340211092023161003.pdf</t>
  </si>
  <si>
    <t>https://dpmzos25m8ivg.cloudfront.net/Documentos/631/05537684411/6310553768441110092023142904.pdf</t>
  </si>
  <si>
    <t>https://dpmzos25m8ivg.cloudfront.net/Documentos/631/05537702177/6310553770217713092023173157.pdf</t>
  </si>
  <si>
    <t>https://dpmzos25m8ivg.cloudfront.net/Documentos/631/05538194531/6310553819453111092023113128.pdf</t>
  </si>
  <si>
    <t>https://dpmzos25m8ivg.cloudfront.net/Documentos/631/05538736105/6310553873610506092023182918.jpeg</t>
  </si>
  <si>
    <t>https://dpmzos25m8ivg.cloudfront.net/Documentos/631/05539688317/6310553968831706092023110202.jpeg</t>
  </si>
  <si>
    <t>https://dpmzos25m8ivg.cloudfront.net/Documentos/631/05540390105/6310554039010505092023100007.pdf</t>
  </si>
  <si>
    <t>https://dpmzos25m8ivg.cloudfront.net/Documentos/631/05543792522/6310554379252210092023100526.pdf</t>
  </si>
  <si>
    <t>https://dpmzos25m8ivg.cloudfront.net/Documentos/631/05543876548/6310554387654811092023164128.pdf</t>
  </si>
  <si>
    <t>https://dpmzos25m8ivg.cloudfront.net/Documentos/631/05546664215/6310554666421508092023164200.pdf</t>
  </si>
  <si>
    <t>https://dpmzos25m8ivg.cloudfront.net/Documentos/631/05549381389/6310554938138911092023133815.pdf</t>
  </si>
  <si>
    <t>https://dpmzos25m8ivg.cloudfront.net/Documentos/631/05549589451/6310554958945111092023162451.pdf</t>
  </si>
  <si>
    <t>https://dpmzos25m8ivg.cloudfront.net/Documentos/631/05550275546/6310555027554610092023202754.pdf</t>
  </si>
  <si>
    <t>https://dpmzos25m8ivg.cloudfront.net/Documentos/631/05551024164/6310555102416405092023161604.pdf</t>
  </si>
  <si>
    <t>https://dpmzos25m8ivg.cloudfront.net/Documentos/631/05552561627/6310555256162711092023143458.pdf</t>
  </si>
  <si>
    <t>https://dpmzos25m8ivg.cloudfront.net/Documentos/631/05555919565/6310555591956511092023010255.pdf</t>
  </si>
  <si>
    <t>https://dpmzos25m8ivg.cloudfront.net/Documentos/631/05555936656/6310555593665613092023093559.pdf</t>
  </si>
  <si>
    <t>https://dpmzos25m8ivg.cloudfront.net/Documentos/631/05556166145/6310555616614505092023110500.pdf</t>
  </si>
  <si>
    <t>https://dpmzos25m8ivg.cloudfront.net/Documentos/631/05556718440/6310555671844008092023054439.jpeg</t>
  </si>
  <si>
    <t>https://dpmzos25m8ivg.cloudfront.net/Documentos/631/05556790124/6310555679012410092023235656.pdf</t>
  </si>
  <si>
    <t>https://dpmzos25m8ivg.cloudfront.net/Documentos/631/05557929355/6310555792935510092023154652.pdf</t>
  </si>
  <si>
    <t>https://dpmzos25m8ivg.cloudfront.net/Documentos/631/05559317306/6310555931730614092023144504.jpg</t>
  </si>
  <si>
    <t>https://dpmzos25m8ivg.cloudfront.net/Documentos/631/05560516104/6310556051610410092023201849.pdf</t>
  </si>
  <si>
    <t>https://dpmzos25m8ivg.cloudfront.net/Documentos/631/05561667521/6310556166752111092023101553.pdf</t>
  </si>
  <si>
    <t>https://dpmzos25m8ivg.cloudfront.net/Documentos/631/05561811401/6310556181140105092023231141.jpg</t>
  </si>
  <si>
    <t>https://dpmzos25m8ivg.cloudfront.net/Documentos/631/05563203522/6310556320352211092023153356.jpeg</t>
  </si>
  <si>
    <t>https://dpmzos25m8ivg.cloudfront.net/Documentos/631/05564610709/6310556461070911092023164749.pdf</t>
  </si>
  <si>
    <t>https://dpmzos25m8ivg.cloudfront.net/Documentos/631/05567690312/6310556769031211092023171328.pdf</t>
  </si>
  <si>
    <t>https://dpmzos25m8ivg.cloudfront.net/Documentos/631/05569174567/6310556917456711092023130030.pdf</t>
  </si>
  <si>
    <t>https://dpmzos25m8ivg.cloudfront.net/Documentos/631/05569783318/6310556978331811092023164719.pdf</t>
  </si>
  <si>
    <t>https://dpmzos25m8ivg.cloudfront.net/Documentos/631/05570129537/6310557012953709092023192647.jpg</t>
  </si>
  <si>
    <t>https://dpmzos25m8ivg.cloudfront.net/Documentos/631/05570253386/6310557025338611092023163949.pdf</t>
  </si>
  <si>
    <t>https://dpmzos25m8ivg.cloudfront.net/Documentos/631/05570540369/6310557054036906092023171932.pdf</t>
  </si>
  <si>
    <t>https://dpmzos25m8ivg.cloudfront.net/Documentos/631/05572393541/6310557239354106092023213441.pdf</t>
  </si>
  <si>
    <t>https://dpmzos25m8ivg.cloudfront.net/Documentos/631/05575161536/6310557516153611092023135903.jpg</t>
  </si>
  <si>
    <t>https://dpmzos25m8ivg.cloudfront.net/Documentos/631/05577647509/6310557764750911092023105708.pdf</t>
  </si>
  <si>
    <t>https://dpmzos25m8ivg.cloudfront.net/Documentos/631/05581905533/6310558190553313092023231414.pdf</t>
  </si>
  <si>
    <t>https://dpmzos25m8ivg.cloudfront.net/Documentos/631/05581960984/6310558196098411092023134648.pdf</t>
  </si>
  <si>
    <t>https://dpmzos25m8ivg.cloudfront.net/Documentos/631/05583755105/6310558375510506092023185227.pdf</t>
  </si>
  <si>
    <t>https://dpmzos25m8ivg.cloudfront.net/Documentos/631/05586306506/6310558630650611092023001007.pdf</t>
  </si>
  <si>
    <t>https://dpmzos25m8ivg.cloudfront.net/Documentos/631/05586958767/6310558695876711092023165904.pdf</t>
  </si>
  <si>
    <t>https://dpmzos25m8ivg.cloudfront.net/Documentos/631/05589513502/6310558951350210092023200722.pdf</t>
  </si>
  <si>
    <t>https://dpmzos25m8ivg.cloudfront.net/Documentos/631/05591303412/6310559130341205092023213422.jpg</t>
  </si>
  <si>
    <t>https://dpmzos25m8ivg.cloudfront.net/Documentos/631/05594433589/6310559443358911092023145014.jpeg</t>
  </si>
  <si>
    <t>https://dpmzos25m8ivg.cloudfront.net/Documentos/631/05594930965/6310559493096510092023131548.pdf</t>
  </si>
  <si>
    <t>https://dpmzos25m8ivg.cloudfront.net/Documentos/631/05597114336/6310559711433607092023230624.jpg</t>
  </si>
  <si>
    <t>https://dpmzos25m8ivg.cloudfront.net/Documentos/631/05597271199/6310559727119913092023154010.pdf</t>
  </si>
  <si>
    <t>https://dpmzos25m8ivg.cloudfront.net/Documentos/631/05598903466/6310559890346608092023152200.pdf</t>
  </si>
  <si>
    <t>https://dpmzos25m8ivg.cloudfront.net/Documentos/631/05599829170/6310559982917011092023003408.pdf</t>
  </si>
  <si>
    <t>https://dpmzos25m8ivg.cloudfront.net/Documentos/631/05600007582/6310560000758211092023154644.pdf</t>
  </si>
  <si>
    <t>https://dpmzos25m8ivg.cloudfront.net/Documentos/631/05600538197/6310560053819713092023140536.pdf</t>
  </si>
  <si>
    <t>https://dpmzos25m8ivg.cloudfront.net/Documentos/631/05601717575/6310560171757507092023194928.pdf</t>
  </si>
  <si>
    <t>https://dpmzos25m8ivg.cloudfront.net/Documentos/631/05602672583/6310560267258311092023003131.jpeg</t>
  </si>
  <si>
    <t>https://dpmzos25m8ivg.cloudfront.net/Documentos/631/05605374508/6310560537450810092023172708.pdf</t>
  </si>
  <si>
    <t>https://dpmzos25m8ivg.cloudfront.net/Documentos/631/05607677141/6310560767714111092023144326.pdf</t>
  </si>
  <si>
    <t>https://dpmzos25m8ivg.cloudfront.net/Documentos/631/05608170539/6310560817053908092023205307.pdf</t>
  </si>
  <si>
    <t>https://dpmzos25m8ivg.cloudfront.net/Documentos/631/05609444381/6310560944438111092023111443.jpg</t>
  </si>
  <si>
    <t>https://dpmzos25m8ivg.cloudfront.net/Documentos/631/05610774527/6310561077452705092023103216.pdf</t>
  </si>
  <si>
    <t>https://dpmzos25m8ivg.cloudfront.net/Documentos/631/05611614370/6310561161437005092023115928.jpg</t>
  </si>
  <si>
    <t>https://dpmzos25m8ivg.cloudfront.net/Documentos/631/05613250146/6310561325014611092023165053.pdf</t>
  </si>
  <si>
    <t>https://dpmzos25m8ivg.cloudfront.net/Documentos/631/05616605654/6310561660565405092023164928.jpg</t>
  </si>
  <si>
    <t>https://dpmzos25m8ivg.cloudfront.net/Documentos/631/05621394194/6310562139419411092023080145.pdf</t>
  </si>
  <si>
    <t>https://dpmzos25m8ivg.cloudfront.net/Documentos/631/05625511152/6310562551115210092023150040.pdf</t>
  </si>
  <si>
    <t>https://dpmzos25m8ivg.cloudfront.net/Documentos/631/05625671354/6310562567135414092023133503.pdf</t>
  </si>
  <si>
    <t>https://dpmzos25m8ivg.cloudfront.net/Documentos/631/05627995599/6310562799559911092023162033.pdf</t>
  </si>
  <si>
    <t>https://dpmzos25m8ivg.cloudfront.net/Documentos/631/05629223348/6310562922334811092023125556.jpg</t>
  </si>
  <si>
    <t>https://dpmzos25m8ivg.cloudfront.net/Documentos/631/05629749110/6310562974911011092023143343.pdf</t>
  </si>
  <si>
    <t>https://dpmzos25m8ivg.cloudfront.net/Documentos/631/05633996194/6310563399619411092023165123.pdf</t>
  </si>
  <si>
    <t>https://dpmzos25m8ivg.cloudfront.net/Documentos/631/05634585775/6310563458577506092023182219.pdf</t>
  </si>
  <si>
    <t>https://dpmzos25m8ivg.cloudfront.net/Documentos/631/05634965330/6310563496533010092023120358.pdf</t>
  </si>
  <si>
    <t>https://dpmzos25m8ivg.cloudfront.net/Documentos/631/05637594961/6310563759496111092023155946.pdf</t>
  </si>
  <si>
    <t>https://dpmzos25m8ivg.cloudfront.net/Documentos/631/05639556781/6310563955678108092023110736.pdf</t>
  </si>
  <si>
    <t>https://dpmzos25m8ivg.cloudfront.net/Documentos/631/05640235403/6310564023540308092023225017.pdf</t>
  </si>
  <si>
    <t>https://dpmzos25m8ivg.cloudfront.net/Documentos/631/05641023183/6310564102318310092023145721.jpeg</t>
  </si>
  <si>
    <t>https://dpmzos25m8ivg.cloudfront.net/Documentos/631/05643657503/6310564365750311092023165631.pdf</t>
  </si>
  <si>
    <t>https://dpmzos25m8ivg.cloudfront.net/Documentos/631/05644041107/6310564404110706092023082906.pdf</t>
  </si>
  <si>
    <t>https://dpmzos25m8ivg.cloudfront.net/Documentos/631/05644601684/6310564460168411092023164434.pdf</t>
  </si>
  <si>
    <t>https://dpmzos25m8ivg.cloudfront.net/Documentos/631/05645063546/6310564506354611092023125956.pdf</t>
  </si>
  <si>
    <t>https://dpmzos25m8ivg.cloudfront.net/Documentos/631/05646064562/6310564606456211092023124143.jpeg</t>
  </si>
  <si>
    <t>https://dpmzos25m8ivg.cloudfront.net/Documentos/631/05646261473/6310564626147307092023194814.jpeg</t>
  </si>
  <si>
    <t>https://dpmzos25m8ivg.cloudfront.net/Documentos/631/05649313571/6310564931357111092023162802.pdf</t>
  </si>
  <si>
    <t>https://dpmzos25m8ivg.cloudfront.net/Documentos/631/05650472300/6310565047230011092023162827.pdf</t>
  </si>
  <si>
    <t>https://dpmzos25m8ivg.cloudfront.net/Documentos/631/05651154728/6310565115472805092023212226.pdf</t>
  </si>
  <si>
    <t>https://dpmzos25m8ivg.cloudfront.net/Documentos/631/05652465182/6310565246518211092023162651.pdf</t>
  </si>
  <si>
    <t>https://dpmzos25m8ivg.cloudfront.net/Documentos/631/05658443695/6310565844369508092023155635.pdf</t>
  </si>
  <si>
    <t>https://dpmzos25m8ivg.cloudfront.net/Documentos/631/05659125425/6310565912542510092023165519.pdf</t>
  </si>
  <si>
    <t>https://dpmzos25m8ivg.cloudfront.net/Documentos/631/05659727310/6310565972731011092023002710.pdf</t>
  </si>
  <si>
    <t>https://dpmzos25m8ivg.cloudfront.net/Documentos/631/05661012110/6310566101211008092023194230.jpg</t>
  </si>
  <si>
    <t>https://dpmzos25m8ivg.cloudfront.net/Documentos/631/05661319193/6310566131919314092023081247.pdf</t>
  </si>
  <si>
    <t>https://dpmzos25m8ivg.cloudfront.net/Documentos/631/05662282544/6310566228254408092023215622.jpeg</t>
  </si>
  <si>
    <t>https://dpmzos25m8ivg.cloudfront.net/Documentos/631/05662410305/6310566241030506092023211721.pdf</t>
  </si>
  <si>
    <t>https://dpmzos25m8ivg.cloudfront.net/Documentos/631/05664490306/6310566449030610092023231659.pdf</t>
  </si>
  <si>
    <t>https://dpmzos25m8ivg.cloudfront.net/Documentos/631/05668694380/6310566869438011092023133354.pdf</t>
  </si>
  <si>
    <t>https://dpmzos25m8ivg.cloudfront.net/Documentos/631/05669143108/6310566914310808092023132457.pdf</t>
  </si>
  <si>
    <t>https://dpmzos25m8ivg.cloudfront.net/Documentos/631/05670914309/6310567091430906092023110347.pdf</t>
  </si>
  <si>
    <t>https://dpmzos25m8ivg.cloudfront.net/Documentos/631/05672220126/6310567222012611092023130331.pdf</t>
  </si>
  <si>
    <t>https://dpmzos25m8ivg.cloudfront.net/Documentos/631/05672566502/6310567256650205092023181013.pdf</t>
  </si>
  <si>
    <t>https://dpmzos25m8ivg.cloudfront.net/Documentos/631/05672652344/6310567265234414092023144544.pdf</t>
  </si>
  <si>
    <t>https://dpmzos25m8ivg.cloudfront.net/Documentos/631/05673114575/6310567311457511092023130217.jpg</t>
  </si>
  <si>
    <t>https://dpmzos25m8ivg.cloudfront.net/Documentos/631/05673310323/6310567331032313092023090758.pdf</t>
  </si>
  <si>
    <t>https://dpmzos25m8ivg.cloudfront.net/Documentos/631/05673419333/6310567341933311092023100122.pdf</t>
  </si>
  <si>
    <t>https://dpmzos25m8ivg.cloudfront.net/Documentos/631/05673635621/6310567363562105092023182624.pdf</t>
  </si>
  <si>
    <t>https://dpmzos25m8ivg.cloudfront.net/Documentos/631/05674332347/6310567433234705092023140909.pdf</t>
  </si>
  <si>
    <t>https://dpmzos25m8ivg.cloudfront.net/Documentos/631/05674385114/6310567438511411092023162900.pdf</t>
  </si>
  <si>
    <t>https://dpmzos25m8ivg.cloudfront.net/Documentos/631/05674812128/6310567481212814092023160301.jpeg</t>
  </si>
  <si>
    <t>https://dpmzos25m8ivg.cloudfront.net/Documentos/631/05675791310/6310567579131011092023131534.pdf</t>
  </si>
  <si>
    <t>https://dpmzos25m8ivg.cloudfront.net/Documentos/631/05676571160/6310567657116011092023142210.pdf</t>
  </si>
  <si>
    <t>https://dpmzos25m8ivg.cloudfront.net/Documentos/631/05676951583/6310567695158314092023163239.jpeg</t>
  </si>
  <si>
    <t>https://dpmzos25m8ivg.cloudfront.net/Documentos/631/05678601164/6310567860116405092023130914.jpg</t>
  </si>
  <si>
    <t>https://dpmzos25m8ivg.cloudfront.net/Documentos/631/05679597160/6310567959716009092023164142.pdf</t>
  </si>
  <si>
    <t>https://dpmzos25m8ivg.cloudfront.net/Documentos/631/05687606548/6310568760654805092023172852.pdf</t>
  </si>
  <si>
    <t>https://dpmzos25m8ivg.cloudfront.net/Documentos/631/05688780517/6310568878051711092023153100.jpg</t>
  </si>
  <si>
    <t>https://dpmzos25m8ivg.cloudfront.net/Documentos/631/05689874540/6310568987454005092023120219.pdf</t>
  </si>
  <si>
    <t>https://dpmzos25m8ivg.cloudfront.net/Documentos/631/05691764330/6310569176433011092023134656.pdf</t>
  </si>
  <si>
    <t>https://dpmzos25m8ivg.cloudfront.net/Documentos/631/05692264307/6310569226430705092023120558.pdf</t>
  </si>
  <si>
    <t>https://dpmzos25m8ivg.cloudfront.net/Documentos/631/05692831597/6310569283159710092023221157.pdf</t>
  </si>
  <si>
    <t>https://dpmzos25m8ivg.cloudfront.net/Documentos/631/05696781373/6310569678137311092023150507.pdf</t>
  </si>
  <si>
    <t>https://dpmzos25m8ivg.cloudfront.net/Documentos/631/05696977359/6310569697735911092023141618.pdf</t>
  </si>
  <si>
    <t>https://dpmzos25m8ivg.cloudfront.net/Documentos/631/05699954341/6310569995434114092023125059.pdf</t>
  </si>
  <si>
    <t>https://dpmzos25m8ivg.cloudfront.net/Documentos/631/05701865444/6310570186544409092023183428.jpg</t>
  </si>
  <si>
    <t>https://dpmzos25m8ivg.cloudfront.net/Documentos/631/05703668280/6310570366828011092023152333.pdf</t>
  </si>
  <si>
    <t>https://dpmzos25m8ivg.cloudfront.net/Documentos/631/05705164556/6310570516455611092023133638.jpeg</t>
  </si>
  <si>
    <t>https://dpmzos25m8ivg.cloudfront.net/Documentos/631/05707788166/6310570778816611092023161333.pdf</t>
  </si>
  <si>
    <t>https://dpmzos25m8ivg.cloudfront.net/Documentos/631/05708541130/6310570854113010092023153009.jpg</t>
  </si>
  <si>
    <t>https://dpmzos25m8ivg.cloudfront.net/Documentos/631/05711994450/6310571199445011092023163746.jpeg</t>
  </si>
  <si>
    <t>https://dpmzos25m8ivg.cloudfront.net/Documentos/631/05715136113/6310571513611306092023144314.pdf</t>
  </si>
  <si>
    <t>https://dpmzos25m8ivg.cloudfront.net/Documentos/631/05716749330/6310571674933011092023095522.pdf</t>
  </si>
  <si>
    <t>https://dpmzos25m8ivg.cloudfront.net/Documentos/631/05717346344/6310571734634411092023105406.pdf</t>
  </si>
  <si>
    <t>https://dpmzos25m8ivg.cloudfront.net/Documentos/631/05717407157/6310571740715710092023155203.jpg</t>
  </si>
  <si>
    <t>https://dpmzos25m8ivg.cloudfront.net/Documentos/631/05721829451/6310572182945114092023160018.pdf</t>
  </si>
  <si>
    <t>https://dpmzos25m8ivg.cloudfront.net/Documentos/631/05722257508/6310572225750814092023113115.pdf</t>
  </si>
  <si>
    <t>https://dpmzos25m8ivg.cloudfront.net/Documentos/631/05723828126/6310572382812614092023162327.jpeg</t>
  </si>
  <si>
    <t>https://dpmzos25m8ivg.cloudfront.net/Documentos/631/05724398575/6310572439857512092023203751.pdf</t>
  </si>
  <si>
    <t>https://dpmzos25m8ivg.cloudfront.net/Documentos/631/05725530132/6310572553013209092023143418.jpeg</t>
  </si>
  <si>
    <t>https://dpmzos25m8ivg.cloudfront.net/Documentos/631/05727929563/6310572792956310092023185836.pdf</t>
  </si>
  <si>
    <t>https://dpmzos25m8ivg.cloudfront.net/Documentos/631/05730695144/6310573069514405092023193238.pdf</t>
  </si>
  <si>
    <t>https://dpmzos25m8ivg.cloudfront.net/Documentos/631/05736332159/6310573633215914092023141211.pdf</t>
  </si>
  <si>
    <t>https://dpmzos25m8ivg.cloudfront.net/Documentos/631/05750817326/6310575081732608092023223005.jpg</t>
  </si>
  <si>
    <t>https://dpmzos25m8ivg.cloudfront.net/Documentos/631/05752822157/6310575282215711092023155151.pdf</t>
  </si>
  <si>
    <t>https://dpmzos25m8ivg.cloudfront.net/Documentos/631/05753588409/6310575358840905092023122229.pdf</t>
  </si>
  <si>
    <t>https://dpmzos25m8ivg.cloudfront.net/Documentos/631/05754312539/6310575431253906092023235626.pdf</t>
  </si>
  <si>
    <t>https://dpmzos25m8ivg.cloudfront.net/Documentos/631/05755692394/6310575569239411092023170552.pdf</t>
  </si>
  <si>
    <t>https://dpmzos25m8ivg.cloudfront.net/Documentos/631/05756001107/6310575600110711092023091811.pdf</t>
  </si>
  <si>
    <t>https://dpmzos25m8ivg.cloudfront.net/Documentos/631/05759112473/6310575911247311092023084515.pdf</t>
  </si>
  <si>
    <t>https://dpmzos25m8ivg.cloudfront.net/Documentos/631/05762072924/6310576207292411092023151303.pdf</t>
  </si>
  <si>
    <t>https://dpmzos25m8ivg.cloudfront.net/Documentos/631/05762208508/6310576220850814092023162336.pdf</t>
  </si>
  <si>
    <t>https://dpmzos25m8ivg.cloudfront.net/Documentos/631/05762666557/6310576266655714092023144105.pdf</t>
  </si>
  <si>
    <t>https://dpmzos25m8ivg.cloudfront.net/Documentos/631/05768753508/6310576875350811092023083319.pdf</t>
  </si>
  <si>
    <t>https://dpmzos25m8ivg.cloudfront.net/Documentos/631/05769842130/6310576984213010092023102027.jpg</t>
  </si>
  <si>
    <t>https://dpmzos25m8ivg.cloudfront.net/Documentos/631/05770544147/6310577054414711092023133659.pdf</t>
  </si>
  <si>
    <t>https://dpmzos25m8ivg.cloudfront.net/Documentos/631/05778432739/6310577843273908092023193043.pdf</t>
  </si>
  <si>
    <t>https://dpmzos25m8ivg.cloudfront.net/Documentos/631/05778946929/6310577894692908092023181018.pdf</t>
  </si>
  <si>
    <t>https://dpmzos25m8ivg.cloudfront.net/Documentos/631/05779142190/6310577914219011092023142251.pdf</t>
  </si>
  <si>
    <t>https://dpmzos25m8ivg.cloudfront.net/Documentos/631/05781355820/6310578135582006092023112900.pdf</t>
  </si>
  <si>
    <t>https://dpmzos25m8ivg.cloudfront.net/Documentos/631/05781724613/6310578172461305092023102732.pdf</t>
  </si>
  <si>
    <t>https://dpmzos25m8ivg.cloudfront.net/Documentos/631/05782153571/6310578215357108092023145556.jpg</t>
  </si>
  <si>
    <t>https://dpmzos25m8ivg.cloudfront.net/Documentos/631/05782222565/6310578222256511092023121556.pdf</t>
  </si>
  <si>
    <t>https://dpmzos25m8ivg.cloudfront.net/Documentos/631/05782608676/6310578260867609092023030223.pdf</t>
  </si>
  <si>
    <t>https://dpmzos25m8ivg.cloudfront.net/Documentos/631/05783533181/6310578353318105092023230959.jpeg</t>
  </si>
  <si>
    <t>https://dpmzos25m8ivg.cloudfront.net/Documentos/631/05784669109/6310578466910911092023102710.pdf</t>
  </si>
  <si>
    <t>https://dpmzos25m8ivg.cloudfront.net/Documentos/631/05786707393/6310578670739311092023153716.pdf</t>
  </si>
  <si>
    <t>https://dpmzos25m8ivg.cloudfront.net/Documentos/631/05787836812/6310578783681211092023144708.jpg</t>
  </si>
  <si>
    <t>https://dpmzos25m8ivg.cloudfront.net/Documentos/631/05789385532/6310578938553210092023224029.jpg</t>
  </si>
  <si>
    <t>https://dpmzos25m8ivg.cloudfront.net/Documentos/631/05793091939/6310579309193914092023144452.jpg</t>
  </si>
  <si>
    <t>https://dpmzos25m8ivg.cloudfront.net/Documentos/631/05794082569/6310579408256911092023163657.pdf</t>
  </si>
  <si>
    <t>https://dpmzos25m8ivg.cloudfront.net/Documentos/631/05795143901/6310579514390109092023024505.pdf</t>
  </si>
  <si>
    <t>https://dpmzos25m8ivg.cloudfront.net/Documentos/631/05795413399/6310579541339906092023202338.pdf</t>
  </si>
  <si>
    <t>https://dpmzos25m8ivg.cloudfront.net/Documentos/631/05795956686/6310579595668609092023134721.pdf</t>
  </si>
  <si>
    <t>https://dpmzos25m8ivg.cloudfront.net/Documentos/631/05796163396/6310579616339605092023173526.pdf</t>
  </si>
  <si>
    <t>https://dpmzos25m8ivg.cloudfront.net/Documentos/631/05798479501/6310579847950114092023032310.jpg</t>
  </si>
  <si>
    <t>https://dpmzos25m8ivg.cloudfront.net/Documentos/631/05799932560/6310579993256011092023154108.pdf</t>
  </si>
  <si>
    <t>https://dpmzos25m8ivg.cloudfront.net/Documentos/631/05800060509/6310580006050908092023003841.pdf</t>
  </si>
  <si>
    <t>https://dpmzos25m8ivg.cloudfront.net/Documentos/631/05800886504/6310580088650411092023142613.pdf</t>
  </si>
  <si>
    <t>https://dpmzos25m8ivg.cloudfront.net/Documentos/631/05801101764/6310580110176406092023135952.pdf</t>
  </si>
  <si>
    <t>https://dpmzos25m8ivg.cloudfront.net/Documentos/631/05801379371/6310580137937111092023142045.jpeg</t>
  </si>
  <si>
    <t>https://dpmzos25m8ivg.cloudfront.net/Documentos/631/05801391584/6310580139158411092023124235.jpeg</t>
  </si>
  <si>
    <t>https://dpmzos25m8ivg.cloudfront.net/Documentos/631/05802574100/6310580257410008092023203856.pdf</t>
  </si>
  <si>
    <t>https://dpmzos25m8ivg.cloudfront.net/Documentos/631/05803924490/6310580392449011092023125933.pdf</t>
  </si>
  <si>
    <t>https://dpmzos25m8ivg.cloudfront.net/Documentos/631/05805172178/6310580517217814092023163908.jpg</t>
  </si>
  <si>
    <t>https://dpmzos25m8ivg.cloudfront.net/Documentos/631/05805258560/6310580525856011092023122203.jpg</t>
  </si>
  <si>
    <t>https://dpmzos25m8ivg.cloudfront.net/Documentos/631/05806955575/6310580695557511092023142231.pdf</t>
  </si>
  <si>
    <t>https://dpmzos25m8ivg.cloudfront.net/Documentos/631/05807589157/6310580758915711092023083201.jpg</t>
  </si>
  <si>
    <t>https://dpmzos25m8ivg.cloudfront.net/Documentos/631/05807636686/6310580763668608092023200619.pdf</t>
  </si>
  <si>
    <t>https://dpmzos25m8ivg.cloudfront.net/Documentos/631/05809543588/6310580954358805092023183940.jpg</t>
  </si>
  <si>
    <t>https://dpmzos25m8ivg.cloudfront.net/Documentos/631/05811189109/6310581118910905092023171818.pdf</t>
  </si>
  <si>
    <t>https://dpmzos25m8ivg.cloudfront.net/Documentos/631/05813414223/6310581341422310092023184158.pdf</t>
  </si>
  <si>
    <t>https://dpmzos25m8ivg.cloudfront.net/Documentos/631/05818469409/6310581846940914092023145435.pdf</t>
  </si>
  <si>
    <t>https://dpmzos25m8ivg.cloudfront.net/Documentos/631/05819193431/6310581919343110092023221349.pdf</t>
  </si>
  <si>
    <t>https://dpmzos25m8ivg.cloudfront.net/Documentos/631/05823122136/6310582312213605092023154332.pdf</t>
  </si>
  <si>
    <t>https://dpmzos25m8ivg.cloudfront.net/Documentos/631/05823182627/6310582318262711092023152957.jpg</t>
  </si>
  <si>
    <t>https://dpmzos25m8ivg.cloudfront.net/Documentos/631/05823362102/6310582336210206092023111942.pdf</t>
  </si>
  <si>
    <t>https://dpmzos25m8ivg.cloudfront.net/Documentos/631/05823675496/6310582367549609092023212011.jpg</t>
  </si>
  <si>
    <t>https://dpmzos25m8ivg.cloudfront.net/Documentos/631/05825745955/6310582574595511092023150448.pdf</t>
  </si>
  <si>
    <t>https://dpmzos25m8ivg.cloudfront.net/Documentos/631/05826848383/6310582684838307092023193621.pdf</t>
  </si>
  <si>
    <t>https://dpmzos25m8ivg.cloudfront.net/Documentos/631/05826849193/6310582684919310092023174759.pdf</t>
  </si>
  <si>
    <t>https://dpmzos25m8ivg.cloudfront.net/Documentos/631/05828095501/6310582809550105092023222149.pdf</t>
  </si>
  <si>
    <t>https://dpmzos25m8ivg.cloudfront.net/Documentos/631/05832819748/6310583281974806092023211556.pdf</t>
  </si>
  <si>
    <t>https://dpmzos25m8ivg.cloudfront.net/Documentos/631/05834460437/6310583446043710092023194905.jpg</t>
  </si>
  <si>
    <t>https://dpmzos25m8ivg.cloudfront.net/Documentos/631/05834729401/6310583472940109092023153828.jpg</t>
  </si>
  <si>
    <t>https://dpmzos25m8ivg.cloudfront.net/Documentos/631/05836306508/6310583630650811092023155719.jpeg</t>
  </si>
  <si>
    <t>https://dpmzos25m8ivg.cloudfront.net/Documentos/631/05836713146/6310583671314611092023143923.pdf</t>
  </si>
  <si>
    <t>https://dpmzos25m8ivg.cloudfront.net/Documentos/631/05836725152/6310583672515214092023121954.pdf</t>
  </si>
  <si>
    <t>https://dpmzos25m8ivg.cloudfront.net/Documentos/631/05839303100/6310583930310011092023162311.pdf</t>
  </si>
  <si>
    <t>https://dpmzos25m8ivg.cloudfront.net/Documentos/631/05839867578/6310583986757806092023095906.pdf</t>
  </si>
  <si>
    <t>https://dpmzos25m8ivg.cloudfront.net/Documentos/631/05842925540/6310584292554012092023205042.jpeg</t>
  </si>
  <si>
    <t>https://dpmzos25m8ivg.cloudfront.net/Documentos/631/05847376294/6310584737629411092023105336.pdf</t>
  </si>
  <si>
    <t>https://dpmzos25m8ivg.cloudfront.net/Documentos/631/05850208763/6310585020876314092023163705.pdf</t>
  </si>
  <si>
    <t>https://dpmzos25m8ivg.cloudfront.net/Documentos/631/05856675789/6310585667578911092023125620.pdf</t>
  </si>
  <si>
    <t>https://dpmzos25m8ivg.cloudfront.net/Documentos/631/05857782562/6310585778256211092023143443.jpg</t>
  </si>
  <si>
    <t>https://dpmzos25m8ivg.cloudfront.net/Documentos/631/05858124380/6310585812438008092023163650.jpg</t>
  </si>
  <si>
    <t>https://dpmzos25m8ivg.cloudfront.net/Documentos/631/05858255566/6310585825556611092023091636.pdf</t>
  </si>
  <si>
    <t>https://dpmzos25m8ivg.cloudfront.net/Documentos/631/05859021518/6310585902151811092023143719.jpg</t>
  </si>
  <si>
    <t>https://dpmzos25m8ivg.cloudfront.net/Documentos/631/05859296533/6310585929653307092023071825.pdf</t>
  </si>
  <si>
    <t>https://dpmzos25m8ivg.cloudfront.net/Documentos/631/05860961162/6310586096116213092023125120.pdf</t>
  </si>
  <si>
    <t>https://dpmzos25m8ivg.cloudfront.net/Documentos/631/05863375558/6310586337555811092023135120.pdf</t>
  </si>
  <si>
    <t>https://dpmzos25m8ivg.cloudfront.net/Documentos/631/05865648373/6310586564837311092023130239.pdf</t>
  </si>
  <si>
    <t>https://dpmzos25m8ivg.cloudfront.net/Documentos/631/05866075520/6310586607552013092023214538.pdf</t>
  </si>
  <si>
    <t>https://dpmzos25m8ivg.cloudfront.net/Documentos/631/05870281490/6310587028149011092023110015.pdf</t>
  </si>
  <si>
    <t>https://dpmzos25m8ivg.cloudfront.net/Documentos/631/05871578527/6310587157852711092023165543.pdf</t>
  </si>
  <si>
    <t>https://dpmzos25m8ivg.cloudfront.net/Documentos/631/05874112103/6310587411210310092023224838.pdf</t>
  </si>
  <si>
    <t>https://dpmzos25m8ivg.cloudfront.net/Documentos/631/05875049359/6310587504935907092023182115.pdf</t>
  </si>
  <si>
    <t>https://dpmzos25m8ivg.cloudfront.net/Documentos/631/05876119105/6310587611910511092023143125.pdf</t>
  </si>
  <si>
    <t>https://dpmzos25m8ivg.cloudfront.net/Documentos/631/05878328437/6310587832843708092023124048.pdf</t>
  </si>
  <si>
    <t>https://dpmzos25m8ivg.cloudfront.net/Documentos/631/05879827305/6310587982730505092023100757.pdf</t>
  </si>
  <si>
    <t>https://dpmzos25m8ivg.cloudfront.net/Documentos/631/05880658112/6310588065811210092023204144.pdf</t>
  </si>
  <si>
    <t>https://dpmzos25m8ivg.cloudfront.net/Documentos/631/05882677327/6310588267732714092023144618.pdf</t>
  </si>
  <si>
    <t>https://dpmzos25m8ivg.cloudfront.net/Documentos/631/05883338593/6310588333859311092023154955.pdf</t>
  </si>
  <si>
    <t>https://dpmzos25m8ivg.cloudfront.net/Documentos/631/05884085222/6310588408522204092023222459.jpg</t>
  </si>
  <si>
    <t>https://dpmzos25m8ivg.cloudfront.net/Documentos/631/05885831386/6310588583138605092023204234.pdf</t>
  </si>
  <si>
    <t>https://dpmzos25m8ivg.cloudfront.net/Documentos/631/05886032525/6310588603252505092023211017.pdf</t>
  </si>
  <si>
    <t>https://dpmzos25m8ivg.cloudfront.net/Documentos/631/05891365502/6310589136550206092023220351.pdf</t>
  </si>
  <si>
    <t>https://dpmzos25m8ivg.cloudfront.net/Documentos/631/05895924328/6310589592432810092023192003.pdf</t>
  </si>
  <si>
    <t>https://dpmzos25m8ivg.cloudfront.net/Documentos/631/05896447183/6310589644718306092023102049.pdf</t>
  </si>
  <si>
    <t>https://dpmzos25m8ivg.cloudfront.net/Documentos/631/05901554906/6310590155490611092023125746.pdf</t>
  </si>
  <si>
    <t>https://dpmzos25m8ivg.cloudfront.net/Documentos/631/05902469333/6310590246933310092023140049.jpeg</t>
  </si>
  <si>
    <t>https://dpmzos25m8ivg.cloudfront.net/Documentos/631/05902855489/6310590285548907092023091123.pdf</t>
  </si>
  <si>
    <t>https://dpmzos25m8ivg.cloudfront.net/Documentos/631/05902868548/6310590286854806092023160741.pdf</t>
  </si>
  <si>
    <t>https://dpmzos25m8ivg.cloudfront.net/Documentos/631/05904194986/6310590419498605092023111825.pdf</t>
  </si>
  <si>
    <t>https://dpmzos25m8ivg.cloudfront.net/Documentos/631/05904762976/6310590476297611092023145138.pdf</t>
  </si>
  <si>
    <t>https://dpmzos25m8ivg.cloudfront.net/Documentos/631/05908596337/6310590859633711092023121825.pdf</t>
  </si>
  <si>
    <t>https://dpmzos25m8ivg.cloudfront.net/Documentos/631/05911456346/6310591145634608092023193355.jpg</t>
  </si>
  <si>
    <t>https://dpmzos25m8ivg.cloudfront.net/Documentos/631/05911727390/6310591172739010092023102249.pdf</t>
  </si>
  <si>
    <t>https://dpmzos25m8ivg.cloudfront.net/Documentos/631/05911751186/6310591175118612092023195542.pdf</t>
  </si>
  <si>
    <t>https://dpmzos25m8ivg.cloudfront.net/Documentos/631/05914352339/6310591435233911092023162325.pdf</t>
  </si>
  <si>
    <t>https://dpmzos25m8ivg.cloudfront.net/Documentos/631/05914714346/6310591471434611092023003045.pdf</t>
  </si>
  <si>
    <t>https://dpmzos25m8ivg.cloudfront.net/Documentos/631/05916960700/6310591696070011092023091338.pdf</t>
  </si>
  <si>
    <t>https://dpmzos25m8ivg.cloudfront.net/Documentos/631/05918656103/6310591865610305092023180303.jpg</t>
  </si>
  <si>
    <t>https://dpmzos25m8ivg.cloudfront.net/Documentos/631/05920169516/6310592016951604092023233855.jpeg</t>
  </si>
  <si>
    <t>https://dpmzos25m8ivg.cloudfront.net/Documentos/631/05921435627/6310592143562708092023154619.pdf</t>
  </si>
  <si>
    <t>https://dpmzos25m8ivg.cloudfront.net/Documentos/631/05925719123/6310592571912311092023135154.pdf</t>
  </si>
  <si>
    <t>https://dpmzos25m8ivg.cloudfront.net/Documentos/631/05926085578/6310592608557811092023163039.pdf</t>
  </si>
  <si>
    <t>https://dpmzos25m8ivg.cloudfront.net/Documentos/631/05926185106/6310592618510611092023141822.pdf</t>
  </si>
  <si>
    <t>https://dpmzos25m8ivg.cloudfront.net/Documentos/631/05927932495/6310592793249508092023221515.pdf</t>
  </si>
  <si>
    <t>https://dpmzos25m8ivg.cloudfront.net/Documentos/631/05928081570/6310592808157005092023101354.pdf</t>
  </si>
  <si>
    <t>https://dpmzos25m8ivg.cloudfront.net/Documentos/631/05929469164/6310592946916406092023000245.pdf</t>
  </si>
  <si>
    <t>https://dpmzos25m8ivg.cloudfront.net/Documentos/631/05931497420/6310593149742012092023232409.jpg</t>
  </si>
  <si>
    <t>https://dpmzos25m8ivg.cloudfront.net/Documentos/631/05931569944/6310593156994411092023100741.pdf</t>
  </si>
  <si>
    <t>https://dpmzos25m8ivg.cloudfront.net/Documentos/631/05932338164/6310593233816407092023105620.pdf</t>
  </si>
  <si>
    <t>https://dpmzos25m8ivg.cloudfront.net/Documentos/631/05933280356/6310593328035613092023092104.jpeg</t>
  </si>
  <si>
    <t>https://dpmzos25m8ivg.cloudfront.net/Documentos/631/05934421484/6310593442148411092023162555.pdf</t>
  </si>
  <si>
    <t>https://dpmzos25m8ivg.cloudfront.net/Documentos/631/05935218542/6310593521854206092023190205.pdf</t>
  </si>
  <si>
    <t>https://dpmzos25m8ivg.cloudfront.net/Documentos/631/05936467546/6310593646754611092023012012.pdf</t>
  </si>
  <si>
    <t>https://dpmzos25m8ivg.cloudfront.net/Documentos/631/05937857542/6310593785754211092023133326.pdf</t>
  </si>
  <si>
    <t>https://dpmzos25m8ivg.cloudfront.net/Documentos/631/05939441190/6310593944119008092023111751.pdf</t>
  </si>
  <si>
    <t>https://dpmzos25m8ivg.cloudfront.net/Documentos/631/05941874197/6310594187419707092023150453.pdf</t>
  </si>
  <si>
    <t>https://dpmzos25m8ivg.cloudfront.net/Documentos/631/05942507570/6310594250757010092023120449.pdf</t>
  </si>
  <si>
    <t>https://dpmzos25m8ivg.cloudfront.net/Documentos/631/05943309551/6310594330955108092023101542.pdf</t>
  </si>
  <si>
    <t>https://dpmzos25m8ivg.cloudfront.net/Documentos/631/05943387196/6310594338719608092023113153.pdf</t>
  </si>
  <si>
    <t>https://dpmzos25m8ivg.cloudfront.net/Documentos/631/05944329106/6310594432910613092023191157.pdf</t>
  </si>
  <si>
    <t>https://dpmzos25m8ivg.cloudfront.net/Documentos/631/05944377500/6310594437750011092023163857.pdf</t>
  </si>
  <si>
    <t>https://dpmzos25m8ivg.cloudfront.net/Documentos/631/05946470108/6310594647010810092023164338.jpeg</t>
  </si>
  <si>
    <t>https://dpmzos25m8ivg.cloudfront.net/Documentos/631/05946637339/6310594663733911092023143244.jpeg</t>
  </si>
  <si>
    <t>https://dpmzos25m8ivg.cloudfront.net/Documentos/631/05947075792/6310594707579213092023104213.pdf</t>
  </si>
  <si>
    <t>https://dpmzos25m8ivg.cloudfront.net/Documentos/631/05947713314/6310594771331410092023134712.pdf</t>
  </si>
  <si>
    <t>https://dpmzos25m8ivg.cloudfront.net/Documentos/631/05948089444/6310594808944409092023165312.jpg</t>
  </si>
  <si>
    <t>https://dpmzos25m8ivg.cloudfront.net/Documentos/631/05948250164/6310594825016411092023162844.jpg</t>
  </si>
  <si>
    <t>https://dpmzos25m8ivg.cloudfront.net/Documentos/631/05949466381/6310594946638109092023145121.pdf</t>
  </si>
  <si>
    <t>https://dpmzos25m8ivg.cloudfront.net/Documentos/631/05949768981/6310594976898105092023135410.pdf</t>
  </si>
  <si>
    <t>https://dpmzos25m8ivg.cloudfront.net/Documentos/631/05950219805/6310595021980513092023164535.pdf</t>
  </si>
  <si>
    <t>https://dpmzos25m8ivg.cloudfront.net/Documentos/631/05954619131/6310595461913114092023143720.pdf</t>
  </si>
  <si>
    <t>https://dpmzos25m8ivg.cloudfront.net/Documentos/631/05955010440/6310595501044011092023090806.pdf</t>
  </si>
  <si>
    <t>https://dpmzos25m8ivg.cloudfront.net/Documentos/631/05956050101/6310595605010111092023141741.pdf</t>
  </si>
  <si>
    <t>https://dpmzos25m8ivg.cloudfront.net/Documentos/631/05959159651/6310595915965114092023152232.pdf</t>
  </si>
  <si>
    <t>https://dpmzos25m8ivg.cloudfront.net/Documentos/631/05963765374/6310596376537407092023143653.pdf</t>
  </si>
  <si>
    <t>https://dpmzos25m8ivg.cloudfront.net/Documentos/631/05964220673/6310596422067311092023095504.pdf</t>
  </si>
  <si>
    <t>https://dpmzos25m8ivg.cloudfront.net/Documentos/631/05967609571/6310596760957111092023100435.pdf</t>
  </si>
  <si>
    <t>https://dpmzos25m8ivg.cloudfront.net/Documentos/631/05967670130/6310596767013008092023123258.pdf</t>
  </si>
  <si>
    <t>https://dpmzos25m8ivg.cloudfront.net/Documentos/631/05968753390/6310596875339009092023082950.jpg</t>
  </si>
  <si>
    <t>https://dpmzos25m8ivg.cloudfront.net/Documentos/631/05973356132/6310597335613210092023235415.pdf</t>
  </si>
  <si>
    <t>https://dpmzos25m8ivg.cloudfront.net/Documentos/631/05974884523/6310597488452309092023123753.pdf</t>
  </si>
  <si>
    <t>https://dpmzos25m8ivg.cloudfront.net/Documentos/631/05974952545/6310597495254508092023231249.pdf</t>
  </si>
  <si>
    <t>https://dpmzos25m8ivg.cloudfront.net/Documentos/631/05979098739/6310597909873909092023012543.pdf</t>
  </si>
  <si>
    <t>https://dpmzos25m8ivg.cloudfront.net/Documentos/631/05979828303/6310597982830310092023175611.pdf</t>
  </si>
  <si>
    <t>https://dpmzos25m8ivg.cloudfront.net/Documentos/631/05980988106/6310598098810606092023083324.pdf</t>
  </si>
  <si>
    <t>https://dpmzos25m8ivg.cloudfront.net/Documentos/631/05981156171/6310598115617111092023010525.pdf</t>
  </si>
  <si>
    <t>https://dpmzos25m8ivg.cloudfront.net/Documentos/631/05981535350/6310598153535011092023165245.jpg</t>
  </si>
  <si>
    <t>https://dpmzos25m8ivg.cloudfront.net/Documentos/631/05981653558/6310598165355811092023134923.jpg</t>
  </si>
  <si>
    <t>https://dpmzos25m8ivg.cloudfront.net/Documentos/631/05983208578/6310598320857806092023084939.jpg</t>
  </si>
  <si>
    <t>https://dpmzos25m8ivg.cloudfront.net/Documentos/631/05985494128/6310598549412811092023163633.jpeg</t>
  </si>
  <si>
    <t>https://dpmzos25m8ivg.cloudfront.net/Documentos/631/05985649504/6310598564950406092023113539.pdf</t>
  </si>
  <si>
    <t>https://dpmzos25m8ivg.cloudfront.net/Documentos/631/05988770614/6310598877061405092023092926.pdf</t>
  </si>
  <si>
    <t>https://dpmzos25m8ivg.cloudfront.net/Documentos/631/05990554567/6310599055456706092023204004.pdf</t>
  </si>
  <si>
    <t>https://dpmzos25m8ivg.cloudfront.net/Documentos/631/05992767541/6310599276754110092023215537.pdf</t>
  </si>
  <si>
    <t>https://dpmzos25m8ivg.cloudfront.net/Documentos/631/05993943157/6310599394315705092023102314.pdf</t>
  </si>
  <si>
    <t>https://dpmzos25m8ivg.cloudfront.net/Documentos/631/05994170488/6310599417048811092023130439.pdf</t>
  </si>
  <si>
    <t>https://dpmzos25m8ivg.cloudfront.net/Documentos/631/05994960535/6310599496053511092023103511.jpeg</t>
  </si>
  <si>
    <t>https://dpmzos25m8ivg.cloudfront.net/Documentos/631/06000405502/6310600040550211092023170602.pdf</t>
  </si>
  <si>
    <t>https://dpmzos25m8ivg.cloudfront.net/Documentos/631/06001671516/6310600167151609092023155355.pdf</t>
  </si>
  <si>
    <t>https://dpmzos25m8ivg.cloudfront.net/Documentos/631/06003755954/6310600375595411092023155804.pdf</t>
  </si>
  <si>
    <t>https://dpmzos25m8ivg.cloudfront.net/Documentos/631/06008558561/6310600855856105092023202715.pdf</t>
  </si>
  <si>
    <t>https://dpmzos25m8ivg.cloudfront.net/Documentos/631/06011981909/6310601198190911092023143549.pdf</t>
  </si>
  <si>
    <t>https://dpmzos25m8ivg.cloudfront.net/Documentos/631/06012490380/6310601249038011092023115831.jpeg</t>
  </si>
  <si>
    <t>https://dpmzos25m8ivg.cloudfront.net/Documentos/631/06013987424/6310601398742411092023101927.jpeg</t>
  </si>
  <si>
    <t>https://dpmzos25m8ivg.cloudfront.net/Documentos/631/06015587822/6310601558782209092023072918.pdf</t>
  </si>
  <si>
    <t>https://dpmzos25m8ivg.cloudfront.net/Documentos/631/06016325597/6310601632559711092023121845.jpeg</t>
  </si>
  <si>
    <t>https://dpmzos25m8ivg.cloudfront.net/Documentos/631/06016543900/6310601654390009092023204006.jpeg</t>
  </si>
  <si>
    <t>https://dpmzos25m8ivg.cloudfront.net/Documentos/631/06016573140/6310601657314011092023141352.pdf</t>
  </si>
  <si>
    <t>https://dpmzos25m8ivg.cloudfront.net/Documentos/631/06020853578/6310602085357804092023232645.jpg</t>
  </si>
  <si>
    <t>https://dpmzos25m8ivg.cloudfront.net/Documentos/631/06021287576/6310602128757609092023222618.jpg</t>
  </si>
  <si>
    <t>https://dpmzos25m8ivg.cloudfront.net/Documentos/631/06024158530/6310602415853011092023081915.pdf</t>
  </si>
  <si>
    <t>https://dpmzos25m8ivg.cloudfront.net/Documentos/631/06025387931/6310602538793105092023211923.pdf</t>
  </si>
  <si>
    <t>https://dpmzos25m8ivg.cloudfront.net/Documentos/631/06027186356/6310602718635611092023161100.pdf</t>
  </si>
  <si>
    <t>https://dpmzos25m8ivg.cloudfront.net/Documentos/631/06031301512/6310603130151205092023164440.pdf</t>
  </si>
  <si>
    <t>https://dpmzos25m8ivg.cloudfront.net/Documentos/631/06031867346/6310603186734611092023160835.pdf</t>
  </si>
  <si>
    <t>https://dpmzos25m8ivg.cloudfront.net/Documentos/631/06032490513/6310603249051311092023083445.pdf</t>
  </si>
  <si>
    <t>https://dpmzos25m8ivg.cloudfront.net/Documentos/631/06036578342/6310603657834211092023154631.pdf</t>
  </si>
  <si>
    <t>https://dpmzos25m8ivg.cloudfront.net/Documentos/631/06037697566/6310603769756604092023205850.pdf</t>
  </si>
  <si>
    <t>https://dpmzos25m8ivg.cloudfront.net/Documentos/631/06037969400/6310603796940005092023091327.pdf</t>
  </si>
  <si>
    <t>https://dpmzos25m8ivg.cloudfront.net/Documentos/631/06039593504/6310603959350411092023113101.jpeg</t>
  </si>
  <si>
    <t>https://dpmzos25m8ivg.cloudfront.net/Documentos/631/06039727560/6310603972756007092023180530.pdf</t>
  </si>
  <si>
    <t>https://dpmzos25m8ivg.cloudfront.net/Documentos/631/06040382163/6310604038216307092023171541.jpg</t>
  </si>
  <si>
    <t>https://dpmzos25m8ivg.cloudfront.net/Documentos/631/06040788461/6310604078846107092023182508.jpeg</t>
  </si>
  <si>
    <t>https://dpmzos25m8ivg.cloudfront.net/Documentos/631/06042266918/6310604226691811092023013454.pdf</t>
  </si>
  <si>
    <t>https://dpmzos25m8ivg.cloudfront.net/Documentos/631/06044660303/6310604466030308092023105313.jpg</t>
  </si>
  <si>
    <t>https://dpmzos25m8ivg.cloudfront.net/Documentos/631/06047286542/6310604728654211092023110740.jpg</t>
  </si>
  <si>
    <t>https://dpmzos25m8ivg.cloudfront.net/Documentos/631/06049355525/6310604935552508092023211412.jpg</t>
  </si>
  <si>
    <t>https://dpmzos25m8ivg.cloudfront.net/Documentos/631/06049667500/6310604966750009092023115742.pdf</t>
  </si>
  <si>
    <t>https://dpmzos25m8ivg.cloudfront.net/Documentos/631/06050632650/6310605063265008092023161223.pdf</t>
  </si>
  <si>
    <t>https://dpmzos25m8ivg.cloudfront.net/Documentos/631/06051683500/6310605168350007092023224918.pdf</t>
  </si>
  <si>
    <t>https://dpmzos25m8ivg.cloudfront.net/Documentos/631/06051849335/6310605184933511092023154603.pdf</t>
  </si>
  <si>
    <t>https://dpmzos25m8ivg.cloudfront.net/Documentos/631/06053131300/6310605313130009092023133805.pdf</t>
  </si>
  <si>
    <t>https://dpmzos25m8ivg.cloudfront.net/Documentos/631/06054082540/6310605408254011092023165957.pdf</t>
  </si>
  <si>
    <t>https://dpmzos25m8ivg.cloudfront.net/Documentos/631/06054646508/6310605464650806092023164848.pdf</t>
  </si>
  <si>
    <t>https://dpmzos25m8ivg.cloudfront.net/Documentos/631/06055103427/6310605510342711092023124315.jpg</t>
  </si>
  <si>
    <t>https://dpmzos25m8ivg.cloudfront.net/Documentos/631/06056122425/6310605612242511092023143721.pdf</t>
  </si>
  <si>
    <t>https://dpmzos25m8ivg.cloudfront.net/Documentos/631/06056813762/6310605681376211092023165830.jpeg</t>
  </si>
  <si>
    <t>https://dpmzos25m8ivg.cloudfront.net/Documentos/631/06059157416/6310605915741609092023202417.pdf</t>
  </si>
  <si>
    <t>https://dpmzos25m8ivg.cloudfront.net/Documentos/631/06061723431/6310606172343111092023132758.pdf</t>
  </si>
  <si>
    <t>https://dpmzos25m8ivg.cloudfront.net/Documentos/631/06062848343/6310606284834311092023122116.pdf</t>
  </si>
  <si>
    <t>https://dpmzos25m8ivg.cloudfront.net/Documentos/631/06064479388/6310606447938811092023160844.jpg</t>
  </si>
  <si>
    <t>https://dpmzos25m8ivg.cloudfront.net/Documentos/631/06064978970/6310606497897007092023203524.pdf</t>
  </si>
  <si>
    <t>https://dpmzos25m8ivg.cloudfront.net/Documentos/631/06066460196/6310606646019611092023145207.pdf</t>
  </si>
  <si>
    <t>https://dpmzos25m8ivg.cloudfront.net/Documentos/631/06068538125/6310606853812514092023124948.pdf</t>
  </si>
  <si>
    <t>https://dpmzos25m8ivg.cloudfront.net/Documentos/631/06069637313/6310606963731307092023180145.pdf</t>
  </si>
  <si>
    <t>https://dpmzos25m8ivg.cloudfront.net/Documentos/631/06078641174/6310607864117405092023084659.pdf</t>
  </si>
  <si>
    <t>https://dpmzos25m8ivg.cloudfront.net/Documentos/631/06078909754/6310607890975410092023231249.pdf</t>
  </si>
  <si>
    <t>https://dpmzos25m8ivg.cloudfront.net/Documentos/631/06079616602/6310607961660209092023150316.pdf</t>
  </si>
  <si>
    <t>https://dpmzos25m8ivg.cloudfront.net/Documentos/631/06080568128/6310608056812811092023134845.pdf</t>
  </si>
  <si>
    <t>https://dpmzos25m8ivg.cloudfront.net/Documentos/631/06084424538/6310608442453814092023154006.pdf</t>
  </si>
  <si>
    <t>https://dpmzos25m8ivg.cloudfront.net/Documentos/631/06089224391/6310608922439106092023182517.pdf</t>
  </si>
  <si>
    <t>https://dpmzos25m8ivg.cloudfront.net/Documentos/631/06089846120/6310608984612011092023094046.pdf</t>
  </si>
  <si>
    <t>https://dpmzos25m8ivg.cloudfront.net/Documentos/631/06093553507/6310609355350709092023232448.pdf</t>
  </si>
  <si>
    <t>https://dpmzos25m8ivg.cloudfront.net/Documentos/631/06094379330/6310609437933005092023154055.pdf</t>
  </si>
  <si>
    <t>https://dpmzos25m8ivg.cloudfront.net/Documentos/631/06095604419/6310609560441909092023021232.pdf</t>
  </si>
  <si>
    <t>https://dpmzos25m8ivg.cloudfront.net/Documentos/631/06097963300/6310609796330006092023083202.pdf</t>
  </si>
  <si>
    <t>https://dpmzos25m8ivg.cloudfront.net/Documentos/631/06101790398/6310610179039807092023153525.jpg</t>
  </si>
  <si>
    <t>https://dpmzos25m8ivg.cloudfront.net/Documentos/631/06103806305/6310610380630509092023143920.pdf</t>
  </si>
  <si>
    <t>https://dpmzos25m8ivg.cloudfront.net/Documentos/631/06103958318/6310610395831811092023165538.pdf</t>
  </si>
  <si>
    <t>https://dpmzos25m8ivg.cloudfront.net/Documentos/631/06104792375/6310610479237506092023151050.pdf</t>
  </si>
  <si>
    <t>https://dpmzos25m8ivg.cloudfront.net/Documentos/631/06105745150/6310610574515006092023161631.pdf</t>
  </si>
  <si>
    <t>https://dpmzos25m8ivg.cloudfront.net/Documentos/631/06108410337/6310610841033707092023180924.pdf</t>
  </si>
  <si>
    <t>https://dpmzos25m8ivg.cloudfront.net/Documentos/631/06109335584/6310610933558405092023152637.pdf</t>
  </si>
  <si>
    <t>https://dpmzos25m8ivg.cloudfront.net/Documentos/631/06110154393/6310611015439306092023194813.pdf</t>
  </si>
  <si>
    <t>https://dpmzos25m8ivg.cloudfront.net/Documentos/631/06114958560/6310611495856011092023125117.jpg</t>
  </si>
  <si>
    <t>https://dpmzos25m8ivg.cloudfront.net/Documentos/631/06116420346/6310611642034611092023104916.pdf</t>
  </si>
  <si>
    <t>https://dpmzos25m8ivg.cloudfront.net/Documentos/631/06119449361/6310611944936111092023161230.pdf</t>
  </si>
  <si>
    <t>https://dpmzos25m8ivg.cloudfront.net/Documentos/631/06120365966/6310612036596607092023162323.pdf</t>
  </si>
  <si>
    <t>https://dpmzos25m8ivg.cloudfront.net/Documentos/631/06120373128/6310612037312813092023203324.pdf</t>
  </si>
  <si>
    <t>https://dpmzos25m8ivg.cloudfront.net/Documentos/631/06124431599/6310612443159911092023161909.pdf</t>
  </si>
  <si>
    <t>https://dpmzos25m8ivg.cloudfront.net/Documentos/631/06128648398/6310612864839811092023111457.pdf</t>
  </si>
  <si>
    <t>https://dpmzos25m8ivg.cloudfront.net/Documentos/631/06128697178/6310612869717811092023133807.pdf</t>
  </si>
  <si>
    <t>https://dpmzos25m8ivg.cloudfront.net/Documentos/631/06131635757/6310613163575706092023155300.jpeg</t>
  </si>
  <si>
    <t>https://dpmzos25m8ivg.cloudfront.net/Documentos/631/06135100467/6310613510046711092023165947.jpeg</t>
  </si>
  <si>
    <t>https://dpmzos25m8ivg.cloudfront.net/Documentos/631/06139617901/6310613961790105092023135700.pdf</t>
  </si>
  <si>
    <t>https://dpmzos25m8ivg.cloudfront.net/Documentos/631/06141538320/6310614153832011092023133741.pdf</t>
  </si>
  <si>
    <t>https://dpmzos25m8ivg.cloudfront.net/Documentos/631/06143243190/6310614324319013092023174613.pdf</t>
  </si>
  <si>
    <t>https://dpmzos25m8ivg.cloudfront.net/Documentos/631/06143409340/6310614340934005092023145547.pdf</t>
  </si>
  <si>
    <t>https://dpmzos25m8ivg.cloudfront.net/Documentos/631/06144236198/6310614423619811092023083258.pdf</t>
  </si>
  <si>
    <t>https://dpmzos25m8ivg.cloudfront.net/Documentos/631/06145495154/6310614549515410092023121124.pdf</t>
  </si>
  <si>
    <t>https://dpmzos25m8ivg.cloudfront.net/Documentos/631/06146445428/6310614644542813092023115502.pdf</t>
  </si>
  <si>
    <t>https://dpmzos25m8ivg.cloudfront.net/Documentos/631/06146816345/6310614681634514092023160140.pdf</t>
  </si>
  <si>
    <t>https://dpmzos25m8ivg.cloudfront.net/Documentos/631/06147078542/6310614707854211092023143531.pdf</t>
  </si>
  <si>
    <t>https://dpmzos25m8ivg.cloudfront.net/Documentos/631/06147163736/6310614716373606092023141707.jpg</t>
  </si>
  <si>
    <t>https://dpmzos25m8ivg.cloudfront.net/Documentos/631/06147301128/6310614730112808092023112405.pdf</t>
  </si>
  <si>
    <t>https://dpmzos25m8ivg.cloudfront.net/Documentos/631/06148105586/6310614810558605092023193200.pdf</t>
  </si>
  <si>
    <t>https://dpmzos25m8ivg.cloudfront.net/Documentos/631/06152548969/6310615254896908092023094814.pdf</t>
  </si>
  <si>
    <t>https://dpmzos25m8ivg.cloudfront.net/Documentos/631/06154338473/6310615433847311092023103202.jpg</t>
  </si>
  <si>
    <t>https://dpmzos25m8ivg.cloudfront.net/Documentos/631/06155573506/6310615557350608092023183810.jpg</t>
  </si>
  <si>
    <t>https://dpmzos25m8ivg.cloudfront.net/Documentos/631/06157271310/6310615727131011092023142053.jpeg</t>
  </si>
  <si>
    <t>https://dpmzos25m8ivg.cloudfront.net/Documentos/631/06158213160/6310615821316005092023114008.pdf</t>
  </si>
  <si>
    <t>https://dpmzos25m8ivg.cloudfront.net/Documentos/631/06159090194/6310615909019411092023172621.pdf</t>
  </si>
  <si>
    <t>https://dpmzos25m8ivg.cloudfront.net/Documentos/631/06160339311/6310616033931111092023133216.pdf</t>
  </si>
  <si>
    <t>https://dpmzos25m8ivg.cloudfront.net/Documentos/631/06162603342/6310616260334210092023163432.pdf</t>
  </si>
  <si>
    <t>https://dpmzos25m8ivg.cloudfront.net/Documentos/631/06163147367/6310616314736705092023180635.pdf</t>
  </si>
  <si>
    <t>https://dpmzos25m8ivg.cloudfront.net/Documentos/631/06169011190/6310616901119008092023170026.jpg</t>
  </si>
  <si>
    <t>https://dpmzos25m8ivg.cloudfront.net/Documentos/631/06171369551/6310617136955111092023004736.pdf</t>
  </si>
  <si>
    <t>https://dpmzos25m8ivg.cloudfront.net/Documentos/631/06173510588/6310617351058804092023231249.pdf</t>
  </si>
  <si>
    <t>https://dpmzos25m8ivg.cloudfront.net/Documentos/631/06173753561/6310617375356105092023092011.jpeg</t>
  </si>
  <si>
    <t>https://dpmzos25m8ivg.cloudfront.net/Documentos/631/06174257100/6310617425710011092023105913.pdf</t>
  </si>
  <si>
    <t>https://dpmzos25m8ivg.cloudfront.net/Documentos/631/06175167902/6310617516790210092023135607.pdf</t>
  </si>
  <si>
    <t>https://dpmzos25m8ivg.cloudfront.net/Documentos/631/06175483316/6310617548331605092023190037.pdf</t>
  </si>
  <si>
    <t>https://dpmzos25m8ivg.cloudfront.net/Documentos/631/06176343356/6310617634335606092023172502.jpg</t>
  </si>
  <si>
    <t>https://dpmzos25m8ivg.cloudfront.net/Documentos/631/06177118526/6310617711852605092023105314.pdf</t>
  </si>
  <si>
    <t>https://dpmzos25m8ivg.cloudfront.net/Documentos/631/06179702543/6310617970254305092023234520.pdf</t>
  </si>
  <si>
    <t>https://dpmzos25m8ivg.cloudfront.net/Documentos/631/06181518185/6310618151818511092023164828.pdf</t>
  </si>
  <si>
    <t>https://dpmzos25m8ivg.cloudfront.net/Documentos/631/06181567399/6310618156739907092023143603.pdf</t>
  </si>
  <si>
    <t>https://dpmzos25m8ivg.cloudfront.net/Documentos/631/06181955488/6310618195548811092023103138.jpeg</t>
  </si>
  <si>
    <t>https://dpmzos25m8ivg.cloudfront.net/Documentos/631/06182073500/6310618207350005092023114020.pdf</t>
  </si>
  <si>
    <t>https://dpmzos25m8ivg.cloudfront.net/Documentos/631/06183008303/6310618300830311092023093950.pdf</t>
  </si>
  <si>
    <t>https://dpmzos25m8ivg.cloudfront.net/Documentos/631/06183079154/6310618307915405092023233952.jpg</t>
  </si>
  <si>
    <t>https://dpmzos25m8ivg.cloudfront.net/Documentos/631/06185033232/6310618503323209092023165708.pdf</t>
  </si>
  <si>
    <t>https://dpmzos25m8ivg.cloudfront.net/Documentos/631/06185548151/6310618554815111092023160444.pdf</t>
  </si>
  <si>
    <t>https://dpmzos25m8ivg.cloudfront.net/Documentos/631/06188475538/6310618847553810092023184943.jpeg</t>
  </si>
  <si>
    <t>https://dpmzos25m8ivg.cloudfront.net/Documentos/631/06189018173/6310618901817311092023141726.pdf</t>
  </si>
  <si>
    <t>https://dpmzos25m8ivg.cloudfront.net/Documentos/631/06189619339/6310618961933911092023160811.pdf</t>
  </si>
  <si>
    <t>https://dpmzos25m8ivg.cloudfront.net/Documentos/631/06191445130/6310619144513005092023145204.pdf</t>
  </si>
  <si>
    <t>https://dpmzos25m8ivg.cloudfront.net/Documentos/631/06191820593/6310619182059311092023120831.pdf</t>
  </si>
  <si>
    <t>https://dpmzos25m8ivg.cloudfront.net/Documentos/631/06192337101/6310619233710105092023155321.pdf</t>
  </si>
  <si>
    <t>https://dpmzos25m8ivg.cloudfront.net/Documentos/631/06192571643/6310619257164311092023155934.jpg</t>
  </si>
  <si>
    <t>https://dpmzos25m8ivg.cloudfront.net/Documentos/631/06201463380/6310620146338009092023195641.jpg</t>
  </si>
  <si>
    <t>https://dpmzos25m8ivg.cloudfront.net/Documentos/631/06202230304/6310620223030411092023164052.pdf</t>
  </si>
  <si>
    <t>https://dpmzos25m8ivg.cloudfront.net/Documentos/631/06202828439/6310620282843905092023112813.pdf</t>
  </si>
  <si>
    <t>https://dpmzos25m8ivg.cloudfront.net/Documentos/631/06204775553/6310620477555307092023232948.pdf</t>
  </si>
  <si>
    <t>https://dpmzos25m8ivg.cloudfront.net/Documentos/631/06204804596/6310620480459611092023001518.pdf</t>
  </si>
  <si>
    <t>https://dpmzos25m8ivg.cloudfront.net/Documentos/631/06210532365/6310621053236514092023121834.jpg</t>
  </si>
  <si>
    <t>https://dpmzos25m8ivg.cloudfront.net/Documentos/631/06214041447/6310621404144706092023153856.pdf</t>
  </si>
  <si>
    <t>https://dpmzos25m8ivg.cloudfront.net/Documentos/631/06216681176/6310621668117609092023095705.pdf</t>
  </si>
  <si>
    <t>https://dpmzos25m8ivg.cloudfront.net/Documentos/631/06219905741/6310621990574111092023164425.pdf</t>
  </si>
  <si>
    <t>https://dpmzos25m8ivg.cloudfront.net/Documentos/631/06220608305/6310622060830511092023113106.pdf</t>
  </si>
  <si>
    <t>https://dpmzos25m8ivg.cloudfront.net/Documentos/631/06220787390/6310622078739011092023154535.pdf</t>
  </si>
  <si>
    <t>https://dpmzos25m8ivg.cloudfront.net/Documentos/631/06220917510/6310622091751008092023115714.jpg</t>
  </si>
  <si>
    <t>https://dpmzos25m8ivg.cloudfront.net/Documentos/631/06222459617/6310622245961705092023191514.pdf</t>
  </si>
  <si>
    <t>https://dpmzos25m8ivg.cloudfront.net/Documentos/631/06228942930/6310622894293011092023143208.jpeg</t>
  </si>
  <si>
    <t>https://dpmzos25m8ivg.cloudfront.net/Documentos/631/06229688662/6310622968866210092023183009.pdf</t>
  </si>
  <si>
    <t>https://dpmzos25m8ivg.cloudfront.net/Documentos/631/06232082532/6310623208253211092023152532.jpg</t>
  </si>
  <si>
    <t>https://dpmzos25m8ivg.cloudfront.net/Documentos/631/06232177592/6310623217759209092023202411.pdf</t>
  </si>
  <si>
    <t>https://dpmzos25m8ivg.cloudfront.net/Documentos/631/06234072135/6310623407213511092023145133.pdf</t>
  </si>
  <si>
    <t>https://dpmzos25m8ivg.cloudfront.net/Documentos/631/06234790100/6310623479010009092023103355.pdf</t>
  </si>
  <si>
    <t>https://dpmzos25m8ivg.cloudfront.net/Documentos/631/06237173102/6310623717310209092023160935.jpg</t>
  </si>
  <si>
    <t>https://dpmzos25m8ivg.cloudfront.net/Documentos/631/06237727604/6310623772760411092023112139.pdf</t>
  </si>
  <si>
    <t>https://dpmzos25m8ivg.cloudfront.net/Documentos/631/06239294144/6310623929414411092023155005.pdf</t>
  </si>
  <si>
    <t>https://dpmzos25m8ivg.cloudfront.net/Documentos/631/06240045110/6310624004511011092023122842.pdf</t>
  </si>
  <si>
    <t>https://dpmzos25m8ivg.cloudfront.net/Documentos/631/06240384755/6310624038475511092023123316.pdf</t>
  </si>
  <si>
    <t>https://dpmzos25m8ivg.cloudfront.net/Documentos/631/06241491539/6310624149153906092023082509.pdf</t>
  </si>
  <si>
    <t>https://dpmzos25m8ivg.cloudfront.net/Documentos/631/06242296535/6310624229653505092023094027.jpeg</t>
  </si>
  <si>
    <t>https://dpmzos25m8ivg.cloudfront.net/Documentos/631/06242400103/6310624240010309092023182455.jpg</t>
  </si>
  <si>
    <t>https://dpmzos25m8ivg.cloudfront.net/Documentos/631/06242776316/6310624277631605092023152742.pdf</t>
  </si>
  <si>
    <t>https://dpmzos25m8ivg.cloudfront.net/Documentos/631/06243788539/6310624378853911092023155800.pdf</t>
  </si>
  <si>
    <t>https://dpmzos25m8ivg.cloudfront.net/Documentos/631/06244664345/6310624466434511092023085830.pdf</t>
  </si>
  <si>
    <t>https://dpmzos25m8ivg.cloudfront.net/Documentos/631/06245103363/6310624510336304092023230856.pdf</t>
  </si>
  <si>
    <t>https://dpmzos25m8ivg.cloudfront.net/Documentos/631/06245428580/6310624542858010092023200023.pdf</t>
  </si>
  <si>
    <t>https://dpmzos25m8ivg.cloudfront.net/Documentos/631/06249778543/6310624977854306092023151539.jpeg</t>
  </si>
  <si>
    <t>https://dpmzos25m8ivg.cloudfront.net/Documentos/631/06250267484/6310625026748406092023102300.pdf</t>
  </si>
  <si>
    <t>https://dpmzos25m8ivg.cloudfront.net/Documentos/631/06250545123/6310625054512308092023163230.jpg</t>
  </si>
  <si>
    <t>https://dpmzos25m8ivg.cloudfront.net/Documentos/631/06252995150/6310625299515014092023162854.pdf</t>
  </si>
  <si>
    <t>https://dpmzos25m8ivg.cloudfront.net/Documentos/631/06254013525/6310625401352511092023150944.jpg</t>
  </si>
  <si>
    <t>https://dpmzos25m8ivg.cloudfront.net/Documentos/631/06254757559/6310625475755905092023095702.pdf</t>
  </si>
  <si>
    <t>https://dpmzos25m8ivg.cloudfront.net/Documentos/631/06255700577/6310625570057706092023170418.pdf</t>
  </si>
  <si>
    <t>https://dpmzos25m8ivg.cloudfront.net/Documentos/631/06259122179/6310625912217911092023005113.pdf</t>
  </si>
  <si>
    <t>https://dpmzos25m8ivg.cloudfront.net/Documentos/631/06259729103/6310625972910305092023211636.pdf</t>
  </si>
  <si>
    <t>https://dpmzos25m8ivg.cloudfront.net/Documentos/631/06261025614/6310626102561408092023165612.pdf</t>
  </si>
  <si>
    <t>https://dpmzos25m8ivg.cloudfront.net/Documentos/631/06266111489/6310626611148911092023164438.pdf</t>
  </si>
  <si>
    <t>https://dpmzos25m8ivg.cloudfront.net/Documentos/631/06267853594/6310626785359411092023141656.jpeg</t>
  </si>
  <si>
    <t>https://dpmzos25m8ivg.cloudfront.net/Documentos/631/06274255184/6310627425518411092023134542.pdf</t>
  </si>
  <si>
    <t>https://dpmzos25m8ivg.cloudfront.net/Documentos/631/06275355506/6310627535550605092023162520.pdf</t>
  </si>
  <si>
    <t>https://dpmzos25m8ivg.cloudfront.net/Documentos/631/06277967533/6310627796753305092023115545.pdf</t>
  </si>
  <si>
    <t>https://dpmzos25m8ivg.cloudfront.net/Documentos/631/06279754456/6310627975445612092023230655.jpg</t>
  </si>
  <si>
    <t>https://dpmzos25m8ivg.cloudfront.net/Documentos/631/06281431413/6310628143141313092023104124.jpeg</t>
  </si>
  <si>
    <t>https://dpmzos25m8ivg.cloudfront.net/Documentos/631/06282013895/6310628201389510092023235149.jpeg</t>
  </si>
  <si>
    <t>https://dpmzos25m8ivg.cloudfront.net/Documentos/631/06287447575/6310628744757508092023212333.pdf</t>
  </si>
  <si>
    <t>https://dpmzos25m8ivg.cloudfront.net/Documentos/631/06287758902/6310628775890211092023003343.jpeg</t>
  </si>
  <si>
    <t>https://dpmzos25m8ivg.cloudfront.net/Documentos/631/06287993499/6310628799349910092023140034.pdf</t>
  </si>
  <si>
    <t>https://dpmzos25m8ivg.cloudfront.net/Documentos/631/06289107623/6310628910762309092023151850.jpg</t>
  </si>
  <si>
    <t>https://dpmzos25m8ivg.cloudfront.net/Documentos/631/06289716565/6310628971656511092023131811.jpeg</t>
  </si>
  <si>
    <t>https://dpmzos25m8ivg.cloudfront.net/Documentos/631/06289760548/6310628976054811092023111410.pdf</t>
  </si>
  <si>
    <t>https://dpmzos25m8ivg.cloudfront.net/Documentos/631/06291024306/6310629102430611092023090648.pdf</t>
  </si>
  <si>
    <t>https://dpmzos25m8ivg.cloudfront.net/Documentos/631/06292184552/6310629218455208092023202246.pdf</t>
  </si>
  <si>
    <t>https://dpmzos25m8ivg.cloudfront.net/Documentos/631/06292673324/6310629267332414092023101016.pdf</t>
  </si>
  <si>
    <t>https://dpmzos25m8ivg.cloudfront.net/Documentos/631/06294397960/6310629439796011092023083625.pdf</t>
  </si>
  <si>
    <t>https://dpmzos25m8ivg.cloudfront.net/Documentos/631/06294491398/6310629449139811092023165819.jpeg</t>
  </si>
  <si>
    <t>https://dpmzos25m8ivg.cloudfront.net/Documentos/631/06295278140/6310629527814006092023154642.pdf</t>
  </si>
  <si>
    <t>https://dpmzos25m8ivg.cloudfront.net/Documentos/631/06297211574/6310629721157405092023201004.pdf</t>
  </si>
  <si>
    <t>https://dpmzos25m8ivg.cloudfront.net/Documentos/631/06300249107/6310630024910711092023165236.pdf</t>
  </si>
  <si>
    <t>https://dpmzos25m8ivg.cloudfront.net/Documentos/631/06303982328/6310630398232811092023151402.jpg</t>
  </si>
  <si>
    <t>https://dpmzos25m8ivg.cloudfront.net/Documentos/631/06304035110/6310630403511011092023120640.pdf</t>
  </si>
  <si>
    <t>https://dpmzos25m8ivg.cloudfront.net/Documentos/631/06305346674/6310630534667410092023211423.pdf</t>
  </si>
  <si>
    <t>https://dpmzos25m8ivg.cloudfront.net/Documentos/631/06307431342/6310630743134211092023023133.jpg</t>
  </si>
  <si>
    <t>https://dpmzos25m8ivg.cloudfront.net/Documentos/631/06310609106/6310631060910611092023135850.pdf</t>
  </si>
  <si>
    <t>https://dpmzos25m8ivg.cloudfront.net/Documentos/631/06317191131/6310631719113111092023161330.pdf</t>
  </si>
  <si>
    <t>https://dpmzos25m8ivg.cloudfront.net/Documentos/631/06317615438/6310631761543809092023142418.jpg</t>
  </si>
  <si>
    <t>https://dpmzos25m8ivg.cloudfront.net/Documentos/631/06320516470/6310632051647009092023114326.pdf</t>
  </si>
  <si>
    <t>https://dpmzos25m8ivg.cloudfront.net/Documentos/631/06322205382/6310632220538214092023104127.pdf</t>
  </si>
  <si>
    <t>https://dpmzos25m8ivg.cloudfront.net/Documentos/631/06325049608/6310632504960806092023182824.pdf</t>
  </si>
  <si>
    <t>https://dpmzos25m8ivg.cloudfront.net/Documentos/631/06325767586/6310632576758611092023143810.jpeg</t>
  </si>
  <si>
    <t>https://dpmzos25m8ivg.cloudfront.net/Documentos/631/06325849396/6310632584939611092023150602.jpg</t>
  </si>
  <si>
    <t>https://dpmzos25m8ivg.cloudfront.net/Documentos/631/06326182131/6310632618213112092023170840.pdf</t>
  </si>
  <si>
    <t>https://dpmzos25m8ivg.cloudfront.net/Documentos/631/06328597339/6310632859733912092023185409.pdf</t>
  </si>
  <si>
    <t>https://dpmzos25m8ivg.cloudfront.net/Documentos/631/06330748101/6310633074810111092023104921.jpeg</t>
  </si>
  <si>
    <t>https://dpmzos25m8ivg.cloudfront.net/Documentos/631/06330793590/6310633079359010092023104228.pdf</t>
  </si>
  <si>
    <t>https://dpmzos25m8ivg.cloudfront.net/Documentos/631/06331313508/6310633131350811092023110452.pdf</t>
  </si>
  <si>
    <t>https://dpmzos25m8ivg.cloudfront.net/Documentos/631/06332273909/6310633227390911092023131846.pdf</t>
  </si>
  <si>
    <t>https://dpmzos25m8ivg.cloudfront.net/Documentos/631/06337500695/6310633750069511092023152529.jpg</t>
  </si>
  <si>
    <t>https://dpmzos25m8ivg.cloudfront.net/Documentos/631/06337778545/6310633777854511092023151123.jpg</t>
  </si>
  <si>
    <t>https://dpmzos25m8ivg.cloudfront.net/Documentos/631/06337793340/6310633779334011092023133121.jpg</t>
  </si>
  <si>
    <t>https://dpmzos25m8ivg.cloudfront.net/Documentos/631/06339264506/6310633926450611092023140659.pdf</t>
  </si>
  <si>
    <t>https://dpmzos25m8ivg.cloudfront.net/Documentos/631/06341350317/6310634135031707092023120934.pdf</t>
  </si>
  <si>
    <t>https://dpmzos25m8ivg.cloudfront.net/Documentos/631/06342152640/6310634215264005092023165354.pdf</t>
  </si>
  <si>
    <t>https://dpmzos25m8ivg.cloudfront.net/Documentos/631/06343141308/6310634314130806092023083528.jpeg</t>
  </si>
  <si>
    <t>https://dpmzos25m8ivg.cloudfront.net/Documentos/631/06353402163/6310635340216311092023163237.pdf</t>
  </si>
  <si>
    <t>https://dpmzos25m8ivg.cloudfront.net/Documentos/631/06354935190/6310635493519008092023203431.pdf</t>
  </si>
  <si>
    <t>https://dpmzos25m8ivg.cloudfront.net/Documentos/631/06357054356/6310635705435612092023210307.pdf</t>
  </si>
  <si>
    <t>https://dpmzos25m8ivg.cloudfront.net/Documentos/631/06358234382/6310635823438211092023140121.pdf</t>
  </si>
  <si>
    <t>https://dpmzos25m8ivg.cloudfront.net/Documentos/631/06359044382/6310635904438211092023143332.pdf</t>
  </si>
  <si>
    <t>https://dpmzos25m8ivg.cloudfront.net/Documentos/631/06360622521/6310636062252106092023111344.pdf</t>
  </si>
  <si>
    <t>https://dpmzos25m8ivg.cloudfront.net/Documentos/631/06361217558/6310636121755805092023122308.pdf</t>
  </si>
  <si>
    <t>https://dpmzos25m8ivg.cloudfront.net/Documentos/631/06362671996/6310636267199611092023154849.pdf</t>
  </si>
  <si>
    <t>https://dpmzos25m8ivg.cloudfront.net/Documentos/631/06362792513/6310636279251311092023155845.pdf</t>
  </si>
  <si>
    <t>https://dpmzos25m8ivg.cloudfront.net/Documentos/631/06362919874/6310636291987411092023122135.jpg</t>
  </si>
  <si>
    <t>https://dpmzos25m8ivg.cloudfront.net/Documentos/631/06364073654/6310636407365405092023141635.pdf</t>
  </si>
  <si>
    <t>https://dpmzos25m8ivg.cloudfront.net/Documentos/631/06364448569/6310636444856910092023145318.pdf</t>
  </si>
  <si>
    <t>https://dpmzos25m8ivg.cloudfront.net/Documentos/631/06364922147/6310636492214708092023170745.pdf</t>
  </si>
  <si>
    <t>https://dpmzos25m8ivg.cloudfront.net/Documentos/631/06367694536/6310636769453608092023171637.pdf</t>
  </si>
  <si>
    <t>https://dpmzos25m8ivg.cloudfront.net/Documentos/631/06367946527/6310636794652711092023125249.pdf</t>
  </si>
  <si>
    <t>https://dpmzos25m8ivg.cloudfront.net/Documentos/631/06367988360/6310636798836011092023133035.pdf</t>
  </si>
  <si>
    <t>https://dpmzos25m8ivg.cloudfront.net/Documentos/631/06369297445/6310636929744506092023133126.pdf</t>
  </si>
  <si>
    <t>https://dpmzos25m8ivg.cloudfront.net/Documentos/631/06374444426/6310637444442610092023211454.jpeg</t>
  </si>
  <si>
    <t>https://dpmzos25m8ivg.cloudfront.net/Documentos/631/06379510850/6310637951085005092023135257.pdf</t>
  </si>
  <si>
    <t>https://dpmzos25m8ivg.cloudfront.net/Documentos/631/06379665382/6310637966538211092023150012.jpg</t>
  </si>
  <si>
    <t>https://dpmzos25m8ivg.cloudfront.net/Documentos/631/06379813756/6310637981375610092023215956.pdf</t>
  </si>
  <si>
    <t>https://dpmzos25m8ivg.cloudfront.net/Documentos/631/06380685502/6310638068550208092023113148.pdf</t>
  </si>
  <si>
    <t>https://dpmzos25m8ivg.cloudfront.net/Documentos/631/06383870947/6310638387094711092023134902.pdf</t>
  </si>
  <si>
    <t>https://dpmzos25m8ivg.cloudfront.net/Documentos/631/06384538520/6310638453852009092023155632.pdf</t>
  </si>
  <si>
    <t>https://dpmzos25m8ivg.cloudfront.net/Documentos/631/06386006500/6310638600650010092023224649.pdf</t>
  </si>
  <si>
    <t>https://dpmzos25m8ivg.cloudfront.net/Documentos/631/06386235533/6310638623553306092023151313.pdf</t>
  </si>
  <si>
    <t>https://dpmzos25m8ivg.cloudfront.net/Documentos/631/06386626567/6310638662656711092023154446.jpeg</t>
  </si>
  <si>
    <t>https://dpmzos25m8ivg.cloudfront.net/Documentos/631/06387141761/6310638714176113092023231749.jpg</t>
  </si>
  <si>
    <t>https://dpmzos25m8ivg.cloudfront.net/Documentos/631/06388346600/6310638834660005092023171126.pdf</t>
  </si>
  <si>
    <t>https://dpmzos25m8ivg.cloudfront.net/Documentos/631/06390260954/6310639026095414092023144123.pdf</t>
  </si>
  <si>
    <t>https://dpmzos25m8ivg.cloudfront.net/Documentos/631/06394122386/6310639412238611092023150346.pdf</t>
  </si>
  <si>
    <t>https://dpmzos25m8ivg.cloudfront.net/Documentos/631/06396830108/6310639683010806092023094409.pdf</t>
  </si>
  <si>
    <t>https://dpmzos25m8ivg.cloudfront.net/Documentos/631/06402158666/6310640215866605092023101221.jpg</t>
  </si>
  <si>
    <t>https://dpmzos25m8ivg.cloudfront.net/Documentos/631/06402355496/6310640235549609092023011425.pdf</t>
  </si>
  <si>
    <t>https://dpmzos25m8ivg.cloudfront.net/Documentos/631/06402383511/6310640238351110092023213404.jpeg</t>
  </si>
  <si>
    <t>https://dpmzos25m8ivg.cloudfront.net/Documentos/631/06402979198/6310640297919807092023101120.jpeg</t>
  </si>
  <si>
    <t>https://dpmzos25m8ivg.cloudfront.net/Documentos/631/06407033560/6310640703356011092023161908.pdf</t>
  </si>
  <si>
    <t>https://dpmzos25m8ivg.cloudfront.net/Documentos/631/06409228139/6310640922813911092023100211.pdf</t>
  </si>
  <si>
    <t>https://dpmzos25m8ivg.cloudfront.net/Documentos/631/06409816588/6310640981658809092023224626.pdf</t>
  </si>
  <si>
    <t>https://dpmzos25m8ivg.cloudfront.net/Documentos/631/06410025483/6310641002548305092023132203.pdf</t>
  </si>
  <si>
    <t>https://dpmzos25m8ivg.cloudfront.net/Documentos/631/06411281505/6310641128150511092023135710.pdf</t>
  </si>
  <si>
    <t>https://dpmzos25m8ivg.cloudfront.net/Documentos/631/06413138530/6310641313853010092023193242.pdf</t>
  </si>
  <si>
    <t>https://dpmzos25m8ivg.cloudfront.net/Documentos/631/06416585596/6310641658559605092023181851.pdf</t>
  </si>
  <si>
    <t>https://dpmzos25m8ivg.cloudfront.net/Documentos/631/06420804965/6310642080496511092023103809.pdf</t>
  </si>
  <si>
    <t>https://dpmzos25m8ivg.cloudfront.net/Documentos/631/06421194494/6310642119449405092023205806.pdf</t>
  </si>
  <si>
    <t>https://dpmzos25m8ivg.cloudfront.net/Documentos/631/06421368581/6310642136858105092023193118.pdf</t>
  </si>
  <si>
    <t>https://dpmzos25m8ivg.cloudfront.net/Documentos/631/06421841600/6310642184160009092023112516.pdf</t>
  </si>
  <si>
    <t>https://dpmzos25m8ivg.cloudfront.net/Documentos/631/06422140347/6310642214034709092023151038.pdf</t>
  </si>
  <si>
    <t>https://dpmzos25m8ivg.cloudfront.net/Documentos/631/06423018596/6310642301859610092023171703.jpeg</t>
  </si>
  <si>
    <t>https://dpmzos25m8ivg.cloudfront.net/Documentos/631/06423294356/6310642329435610092023231358.pdf</t>
  </si>
  <si>
    <t>https://dpmzos25m8ivg.cloudfront.net/Documentos/631/06424148400/6310642414840014092023141615.pdf</t>
  </si>
  <si>
    <t>https://dpmzos25m8ivg.cloudfront.net/Documentos/631/06424919929/6310642491992911092023163013.jpg</t>
  </si>
  <si>
    <t>https://dpmzos25m8ivg.cloudfront.net/Documentos/631/06425468785/6310642546878514092023090835.jpg</t>
  </si>
  <si>
    <t>https://dpmzos25m8ivg.cloudfront.net/Documentos/631/06426678619/6310642667861914092023165701.jpg</t>
  </si>
  <si>
    <t>https://dpmzos25m8ivg.cloudfront.net/Documentos/631/06427036122/6310642703612205092023130432.pdf</t>
  </si>
  <si>
    <t>https://dpmzos25m8ivg.cloudfront.net/Documentos/631/06431850971/6310643185097111092023140158.jpeg</t>
  </si>
  <si>
    <t>https://dpmzos25m8ivg.cloudfront.net/Documentos/631/06437682540/6310643768254011092023141818.pdf</t>
  </si>
  <si>
    <t>https://dpmzos25m8ivg.cloudfront.net/Documentos/631/06440055135/6310644005513506092023165437.pdf</t>
  </si>
  <si>
    <t>https://dpmzos25m8ivg.cloudfront.net/Documentos/631/06441627590/6310644162759011092023165359.pdf</t>
  </si>
  <si>
    <t>https://dpmzos25m8ivg.cloudfront.net/Documentos/631/06444268109/6310644426810911092023152722.jpeg</t>
  </si>
  <si>
    <t>https://dpmzos25m8ivg.cloudfront.net/Documentos/631/06445052576/6310644505257611092023165640.pdf</t>
  </si>
  <si>
    <t>https://dpmzos25m8ivg.cloudfront.net/Documentos/631/06445474306/6310644547430610092023125145.pdf</t>
  </si>
  <si>
    <t>https://dpmzos25m8ivg.cloudfront.net/Documentos/631/06446300514/6310644630051407092023162646.pdf</t>
  </si>
  <si>
    <t>https://dpmzos25m8ivg.cloudfront.net/Documentos/631/06446610890/6310644661089011092023042734.jpg</t>
  </si>
  <si>
    <t>https://dpmzos25m8ivg.cloudfront.net/Documentos/631/06446758537/6310644675853711092023100521.jpeg</t>
  </si>
  <si>
    <t>https://dpmzos25m8ivg.cloudfront.net/Documentos/631/06447649375/6310644764937512092023235515.jpeg</t>
  </si>
  <si>
    <t>https://dpmzos25m8ivg.cloudfront.net/Documentos/631/06447820309/6310644782030910092023184809.jpg</t>
  </si>
  <si>
    <t>https://dpmzos25m8ivg.cloudfront.net/Documentos/631/06451990361/6310645199036113092023110409.pdf</t>
  </si>
  <si>
    <t>https://dpmzos25m8ivg.cloudfront.net/Documentos/631/06453829576/6310645382957610092023125258.pdf</t>
  </si>
  <si>
    <t>https://dpmzos25m8ivg.cloudfront.net/Documentos/631/06453982412/6310645398241205092023155047.jpg</t>
  </si>
  <si>
    <t>https://dpmzos25m8ivg.cloudfront.net/Documentos/631/06454139336/6310645413933607092023100859.pdf</t>
  </si>
  <si>
    <t>https://dpmzos25m8ivg.cloudfront.net/Documentos/631/06455062140/6310645506214011092023134741.pdf</t>
  </si>
  <si>
    <t>https://dpmzos25m8ivg.cloudfront.net/Documentos/631/06458507569/6310645850756911092023140815.jpeg</t>
  </si>
  <si>
    <t>https://dpmzos25m8ivg.cloudfront.net/Documentos/631/06462293543/6310646229354310092023140247.jpeg</t>
  </si>
  <si>
    <t>https://dpmzos25m8ivg.cloudfront.net/Documentos/631/06468536600/6310646853660014092023124616.pdf</t>
  </si>
  <si>
    <t>https://dpmzos25m8ivg.cloudfront.net/Documentos/631/06469333532/6310646933353211092023144422.pdf</t>
  </si>
  <si>
    <t>https://dpmzos25m8ivg.cloudfront.net/Documentos/631/06470397530/6310647039753011092023114526.pdf</t>
  </si>
  <si>
    <t>https://dpmzos25m8ivg.cloudfront.net/Documentos/631/06472135592/6310647213559211092023150106.pdf</t>
  </si>
  <si>
    <t>https://dpmzos25m8ivg.cloudfront.net/Documentos/631/06472599904/6310647259990411092023105918.jpg</t>
  </si>
  <si>
    <t>https://dpmzos25m8ivg.cloudfront.net/Documentos/631/06473010599/6310647301059914092023160447.pdf</t>
  </si>
  <si>
    <t>https://dpmzos25m8ivg.cloudfront.net/Documentos/631/06474445424/6310647444542407092023094232.jpg</t>
  </si>
  <si>
    <t>https://dpmzos25m8ivg.cloudfront.net/Documentos/631/06474768606/6310647476860605092023150831.jpg</t>
  </si>
  <si>
    <t>https://dpmzos25m8ivg.cloudfront.net/Documentos/631/06475430447/6310647543044705092023090855.pdf</t>
  </si>
  <si>
    <t>https://dpmzos25m8ivg.cloudfront.net/Documentos/631/06476460137/6310647646013711092023151626.pdf</t>
  </si>
  <si>
    <t>https://dpmzos25m8ivg.cloudfront.net/Documentos/631/06483413300/6310648341330011092023133359.jpeg</t>
  </si>
  <si>
    <t>https://dpmzos25m8ivg.cloudfront.net/Documentos/631/06484677409/6310648467740906092023202901.pdf</t>
  </si>
  <si>
    <t>https://dpmzos25m8ivg.cloudfront.net/Documentos/631/06484943494/6310648494349408092023130208.pdf</t>
  </si>
  <si>
    <t>https://dpmzos25m8ivg.cloudfront.net/Documentos/631/06485573593/6310648557359310092023182710.jpeg</t>
  </si>
  <si>
    <t>https://dpmzos25m8ivg.cloudfront.net/Documentos/631/06485779108/6310648577910811092023115711.pdf</t>
  </si>
  <si>
    <t>https://dpmzos25m8ivg.cloudfront.net/Documentos/631/06488373510/6310648837351008092023175425.pdf</t>
  </si>
  <si>
    <t>https://dpmzos25m8ivg.cloudfront.net/Documentos/631/06489447517/6310648944751707092023155852.pdf</t>
  </si>
  <si>
    <t>https://dpmzos25m8ivg.cloudfront.net/Documentos/631/06489752581/6310648975258106092023223312.pdf</t>
  </si>
  <si>
    <t>https://dpmzos25m8ivg.cloudfront.net/Documentos/631/06491738132/6310649173813211092023094110.pdf</t>
  </si>
  <si>
    <t>https://dpmzos25m8ivg.cloudfront.net/Documentos/631/06492962575/6310649296257507092023204312.jpg</t>
  </si>
  <si>
    <t>https://dpmzos25m8ivg.cloudfront.net/Documentos/631/06494239412/6310649423941205092023192238.jpg</t>
  </si>
  <si>
    <t>https://dpmzos25m8ivg.cloudfront.net/Documentos/631/06494256341/6310649425634111092023111315.jpg</t>
  </si>
  <si>
    <t>https://dpmzos25m8ivg.cloudfront.net/Documentos/631/06494336450/6310649433645008092023224540.pdf</t>
  </si>
  <si>
    <t>https://dpmzos25m8ivg.cloudfront.net/Documentos/631/06495765193/6310649576519311092023112045.pdf</t>
  </si>
  <si>
    <t>https://dpmzos25m8ivg.cloudfront.net/Documentos/631/06495855184/6310649585518411092023164658.pdf</t>
  </si>
  <si>
    <t>https://dpmzos25m8ivg.cloudfront.net/Documentos/631/06498959916/6310649895991608092023142832.pdf</t>
  </si>
  <si>
    <t>https://dpmzos25m8ivg.cloudfront.net/Documentos/631/06498994150/6310649899415011092023170559.pdf</t>
  </si>
  <si>
    <t>https://dpmzos25m8ivg.cloudfront.net/Documentos/631/06499263150/6310649926315005092023165215.pdf</t>
  </si>
  <si>
    <t>https://dpmzos25m8ivg.cloudfront.net/Documentos/631/06500371119/6310650037111911092023092830.pdf</t>
  </si>
  <si>
    <t>https://dpmzos25m8ivg.cloudfront.net/Documentos/631/06501695570/6310650169557011092023165045.pdf</t>
  </si>
  <si>
    <t>https://dpmzos25m8ivg.cloudfront.net/Documentos/631/06503635311/6310650363531112092023230345.pdf</t>
  </si>
  <si>
    <t>https://dpmzos25m8ivg.cloudfront.net/Documentos/631/06505493336/6310650549333614092023115310.pdf</t>
  </si>
  <si>
    <t>https://dpmzos25m8ivg.cloudfront.net/Documentos/631/06510785986/6310651078598608092023220956.pdf</t>
  </si>
  <si>
    <t>https://dpmzos25m8ivg.cloudfront.net/Documentos/631/06510980509/6310651098050911092023160351.pdf</t>
  </si>
  <si>
    <t>https://dpmzos25m8ivg.cloudfront.net/Documentos/631/06515351585/6310651535158508092023224601.jpeg</t>
  </si>
  <si>
    <t>https://dpmzos25m8ivg.cloudfront.net/Documentos/631/06516336997/6310651633699711092023135603.pdf</t>
  </si>
  <si>
    <t>https://dpmzos25m8ivg.cloudfront.net/Documentos/631/06516489556/6310651648955611092023152556.pdf</t>
  </si>
  <si>
    <t>https://dpmzos25m8ivg.cloudfront.net/Documentos/631/06517106693/6310651710669305092023111709.jpg</t>
  </si>
  <si>
    <t>https://dpmzos25m8ivg.cloudfront.net/Documentos/631/06521083341/6310652108334111092023145510.pdf</t>
  </si>
  <si>
    <t>https://dpmzos25m8ivg.cloudfront.net/Documentos/631/06522294338/6310652229433811092023165319.jpeg</t>
  </si>
  <si>
    <t>https://dpmzos25m8ivg.cloudfront.net/Documentos/631/06523103625/6310652310362505092023091622.pdf</t>
  </si>
  <si>
    <t>https://dpmzos25m8ivg.cloudfront.net/Documentos/631/06535121127/6310653512112710092023154550.pdf</t>
  </si>
  <si>
    <t>https://dpmzos25m8ivg.cloudfront.net/Documentos/631/06535177343/6310653517734309092023224341.pdf</t>
  </si>
  <si>
    <t>https://dpmzos25m8ivg.cloudfront.net/Documentos/631/06537231566/6310653723156608092023235423.pdf</t>
  </si>
  <si>
    <t>https://dpmzos25m8ivg.cloudfront.net/Documentos/631/06538187420/6310653818742006092023193326.jpg</t>
  </si>
  <si>
    <t>https://dpmzos25m8ivg.cloudfront.net/Documentos/631/06539604505/6310653960450511092023110923.pdf</t>
  </si>
  <si>
    <t>https://dpmzos25m8ivg.cloudfront.net/Documentos/631/06541724393/6310654172439310092023105553.pdf</t>
  </si>
  <si>
    <t>https://dpmzos25m8ivg.cloudfront.net/Documentos/631/06543722339/6310654372233910092023172244.pdf</t>
  </si>
  <si>
    <t>https://dpmzos25m8ivg.cloudfront.net/Documentos/631/06544076490/6310654407649007092023220335.pdf</t>
  </si>
  <si>
    <t>https://dpmzos25m8ivg.cloudfront.net/Documentos/631/06550802105/6310655080210506092023164917.pdf</t>
  </si>
  <si>
    <t>https://dpmzos25m8ivg.cloudfront.net/Documentos/631/06552075111/6310655207511111092023155347.pdf</t>
  </si>
  <si>
    <t>https://dpmzos25m8ivg.cloudfront.net/Documentos/631/06552740573/6310655274057310092023142511.pdf</t>
  </si>
  <si>
    <t>https://dpmzos25m8ivg.cloudfront.net/Documentos/631/06552904193/6310655290419309092023173120.pdf</t>
  </si>
  <si>
    <t>https://dpmzos25m8ivg.cloudfront.net/Documentos/631/06554098313/6310655409831311092023090341.pdf</t>
  </si>
  <si>
    <t>https://dpmzos25m8ivg.cloudfront.net/Documentos/631/06554896570/6310655489657011092023142150.pdf</t>
  </si>
  <si>
    <t>https://dpmzos25m8ivg.cloudfront.net/Documentos/631/06556487392/6310655648739209092023155309.jpeg</t>
  </si>
  <si>
    <t>https://dpmzos25m8ivg.cloudfront.net/Documentos/631/06556542164/6310655654216409092023185204.pdf</t>
  </si>
  <si>
    <t>https://dpmzos25m8ivg.cloudfront.net/Documentos/631/06556931578/6310655693157810092023204311.pdf</t>
  </si>
  <si>
    <t>https://dpmzos25m8ivg.cloudfront.net/Documentos/631/06558942330/6310655894233014092023133814.pdf</t>
  </si>
  <si>
    <t>https://dpmzos25m8ivg.cloudfront.net/Documentos/631/06559932400/6310655993240006092023001820.pdf</t>
  </si>
  <si>
    <t>https://dpmzos25m8ivg.cloudfront.net/Documentos/631/06560462366/6310656046236608092023191214.pdf</t>
  </si>
  <si>
    <t>https://dpmzos25m8ivg.cloudfront.net/Documentos/631/06561758340/6310656175834011092023160126.pdf</t>
  </si>
  <si>
    <t>https://dpmzos25m8ivg.cloudfront.net/Documentos/631/06565081328/6310656508132809092023170732.pdf</t>
  </si>
  <si>
    <t>https://dpmzos25m8ivg.cloudfront.net/Documentos/631/06566104500/6310656610450006092023132710.jpg</t>
  </si>
  <si>
    <t>https://dpmzos25m8ivg.cloudfront.net/Documentos/631/06574272505/6310657427250511092023145532.pdf</t>
  </si>
  <si>
    <t>https://dpmzos25m8ivg.cloudfront.net/Documentos/631/06578939431/6310657893943108092023192636.pdf</t>
  </si>
  <si>
    <t>https://dpmzos25m8ivg.cloudfront.net/Documentos/631/06585008480/6310658500848011092023095410.jpeg</t>
  </si>
  <si>
    <t>https://dpmzos25m8ivg.cloudfront.net/Documentos/631/06589321523/6310658932152311092023162051.jpeg</t>
  </si>
  <si>
    <t>https://dpmzos25m8ivg.cloudfront.net/Documentos/631/06592587300/6310659258730009092023110200.pdf</t>
  </si>
  <si>
    <t>https://dpmzos25m8ivg.cloudfront.net/Documentos/631/06592965517/6310659296551707092023203306.pdf</t>
  </si>
  <si>
    <t>https://dpmzos25m8ivg.cloudfront.net/Documentos/631/06593544540/6310659354454013092023154717.pdf</t>
  </si>
  <si>
    <t>https://dpmzos25m8ivg.cloudfront.net/Documentos/631/06594747517/6310659474751710092023090255.jpeg</t>
  </si>
  <si>
    <t>https://dpmzos25m8ivg.cloudfront.net/Documentos/631/06595623595/6310659562359508092023125015.pdf</t>
  </si>
  <si>
    <t>https://dpmzos25m8ivg.cloudfront.net/Documentos/631/06599219527/6310659921952707092023161403.pdf</t>
  </si>
  <si>
    <t>https://dpmzos25m8ivg.cloudfront.net/Documentos/631/06600857129/6310660085712911092023162004.pdf</t>
  </si>
  <si>
    <t>https://dpmzos25m8ivg.cloudfront.net/Documentos/631/06602155946/6310660215594611092023154216.pdf</t>
  </si>
  <si>
    <t>https://dpmzos25m8ivg.cloudfront.net/Documentos/631/06607908403/6310660790840310092023142002.pdf</t>
  </si>
  <si>
    <t>https://dpmzos25m8ivg.cloudfront.net/Documentos/631/06612062541/6310661206254108092023145242.pdf</t>
  </si>
  <si>
    <t>https://dpmzos25m8ivg.cloudfront.net/Documentos/631/06613393517/6310661339351711092023093311.pdf</t>
  </si>
  <si>
    <t>https://dpmzos25m8ivg.cloudfront.net/Documentos/631/06613798410/6310661379841005092023193942.jpg</t>
  </si>
  <si>
    <t>https://dpmzos25m8ivg.cloudfront.net/Documentos/631/06615458306/6310661545830611092023161855.jpeg</t>
  </si>
  <si>
    <t>https://dpmzos25m8ivg.cloudfront.net/Documentos/631/06615749548/6310661574954805092023222453.jpg</t>
  </si>
  <si>
    <t>https://dpmzos25m8ivg.cloudfront.net/Documentos/631/06618557593/6310661855759309092023220210.pdf</t>
  </si>
  <si>
    <t>https://dpmzos25m8ivg.cloudfront.net/Documentos/631/06619064345/6310661906434510092023142652.pdf</t>
  </si>
  <si>
    <t>https://dpmzos25m8ivg.cloudfront.net/Documentos/631/06619812589/6310661981258912092023171000.pdf</t>
  </si>
  <si>
    <t>https://dpmzos25m8ivg.cloudfront.net/Documentos/631/06621214570/6310662121457011092023155433.jpg</t>
  </si>
  <si>
    <t>https://dpmzos25m8ivg.cloudfront.net/Documentos/631/06621382529/6310662138252911092023162644.jpeg</t>
  </si>
  <si>
    <t>https://dpmzos25m8ivg.cloudfront.net/Documentos/631/06622473536/6310662247353611092023135635.pdf</t>
  </si>
  <si>
    <t>https://dpmzos25m8ivg.cloudfront.net/Documentos/631/06627300389/6310662730038905092023123533.jpeg</t>
  </si>
  <si>
    <t>https://dpmzos25m8ivg.cloudfront.net/Documentos/631/06628159396/6310662815939605092023120929.pdf</t>
  </si>
  <si>
    <t>https://dpmzos25m8ivg.cloudfront.net/Documentos/631/06633215576/6310663321557614092023091649.jpeg</t>
  </si>
  <si>
    <t>https://dpmzos25m8ivg.cloudfront.net/Documentos/631/06638343335/6310663834333511092023124039.pdf</t>
  </si>
  <si>
    <t>https://dpmzos25m8ivg.cloudfront.net/Documentos/631/06643163528/6310664316352811092023144541.jpeg</t>
  </si>
  <si>
    <t>https://dpmzos25m8ivg.cloudfront.net/Documentos/631/06645727313/6310664572731311092023161006.pdf</t>
  </si>
  <si>
    <t>https://dpmzos25m8ivg.cloudfront.net/Documentos/631/06649938424/6310664993842410092023230353.pdf</t>
  </si>
  <si>
    <t>https://dpmzos25m8ivg.cloudfront.net/Documentos/631/06650193518/6310665019351809092023101725.jpeg</t>
  </si>
  <si>
    <t>https://dpmzos25m8ivg.cloudfront.net/Documentos/631/06650346608/6310665034660805092023134947.jpeg</t>
  </si>
  <si>
    <t>https://dpmzos25m8ivg.cloudfront.net/Documentos/631/06652201542/6310665220154211092023135610.jpg</t>
  </si>
  <si>
    <t>https://dpmzos25m8ivg.cloudfront.net/Documentos/631/06654667816/6310665466781605092023162301.pdf</t>
  </si>
  <si>
    <t>https://dpmzos25m8ivg.cloudfront.net/Documentos/631/06656643388/6310665664338811092023103835.pdf</t>
  </si>
  <si>
    <t>https://dpmzos25m8ivg.cloudfront.net/Documentos/631/06659474374/6310665947437414092023135529.pdf</t>
  </si>
  <si>
    <t>https://dpmzos25m8ivg.cloudfront.net/Documentos/631/06660617507/6310666061750710092023124302.jpg</t>
  </si>
  <si>
    <t>https://dpmzos25m8ivg.cloudfront.net/Documentos/631/06666409477/6310666640947711092023141439.jpeg</t>
  </si>
  <si>
    <t>https://dpmzos25m8ivg.cloudfront.net/Documentos/631/06668303471/6310666830347105092023124611.pdf</t>
  </si>
  <si>
    <t>https://dpmzos25m8ivg.cloudfront.net/Documentos/631/06668400914/6310666840091405092023110116.pdf</t>
  </si>
  <si>
    <t>https://dpmzos25m8ivg.cloudfront.net/Documentos/631/06670936486/6310667093648607092023145712.pdf</t>
  </si>
  <si>
    <t>https://dpmzos25m8ivg.cloudfront.net/Documentos/631/06671491399/6310667149139906092023114738.pdf</t>
  </si>
  <si>
    <t>https://dpmzos25m8ivg.cloudfront.net/Documentos/631/06672327100/6310667232710010092023194725.jpg</t>
  </si>
  <si>
    <t>https://dpmzos25m8ivg.cloudfront.net/Documentos/631/06676387506/6310667638750608092023204402.jpeg</t>
  </si>
  <si>
    <t>https://dpmzos25m8ivg.cloudfront.net/Documentos/631/06676873435/6310667687343505092023182407.pdf</t>
  </si>
  <si>
    <t>https://dpmzos25m8ivg.cloudfront.net/Documentos/631/06677328619/6310667732861911092023140938.pdf</t>
  </si>
  <si>
    <t>https://dpmzos25m8ivg.cloudfront.net/Documentos/631/06679401119/6310667940111913092023132815.pdf</t>
  </si>
  <si>
    <t>https://dpmzos25m8ivg.cloudfront.net/Documentos/631/06680040108/6310668004010805092023194247.pdf</t>
  </si>
  <si>
    <t>https://dpmzos25m8ivg.cloudfront.net/Documentos/631/06684429484/6310668442948412092023234110.jpeg</t>
  </si>
  <si>
    <t>https://dpmzos25m8ivg.cloudfront.net/Documentos/631/06684662430/6310668466243013092023160311.pdf</t>
  </si>
  <si>
    <t>https://dpmzos25m8ivg.cloudfront.net/Documentos/631/06686963119/6310668696311911092023153130.pdf</t>
  </si>
  <si>
    <t>https://dpmzos25m8ivg.cloudfront.net/Documentos/631/06687207512/6310668720751211092023144609.pdf</t>
  </si>
  <si>
    <t>https://dpmzos25m8ivg.cloudfront.net/Documentos/631/06688917939/6310668891793908092023153721.pdf</t>
  </si>
  <si>
    <t>https://dpmzos25m8ivg.cloudfront.net/Documentos/631/06689189422/6310668918942211092023013523.pdf</t>
  </si>
  <si>
    <t>https://dpmzos25m8ivg.cloudfront.net/Documentos/631/06690310116/6310669031011611092023161048.pdf</t>
  </si>
  <si>
    <t>https://dpmzos25m8ivg.cloudfront.net/Documentos/631/06691868641/6310669186864113092023125439.jpeg</t>
  </si>
  <si>
    <t>https://dpmzos25m8ivg.cloudfront.net/Documentos/631/06693099580/6310669309958014092023155421.jpg</t>
  </si>
  <si>
    <t>https://dpmzos25m8ivg.cloudfront.net/Documentos/631/06695462160/6310669546216009092023193449.pdf</t>
  </si>
  <si>
    <t>https://dpmzos25m8ivg.cloudfront.net/Documentos/631/06695562466/6310669556246608092023083328.pdf</t>
  </si>
  <si>
    <t>https://dpmzos25m8ivg.cloudfront.net/Documentos/631/06699834460/6310669983446010092023172834.jpg</t>
  </si>
  <si>
    <t>https://dpmzos25m8ivg.cloudfront.net/Documentos/631/06700090164/6310670009016405092023132108.jpg</t>
  </si>
  <si>
    <t>https://dpmzos25m8ivg.cloudfront.net/Documentos/631/06702542402/6310670254240208092023231400.pdf</t>
  </si>
  <si>
    <t>https://dpmzos25m8ivg.cloudfront.net/Documentos/631/06702951329/6310670295132911092023154934.pdf</t>
  </si>
  <si>
    <t>https://dpmzos25m8ivg.cloudfront.net/Documentos/631/06706999423/6310670699942310092023094838.pdf</t>
  </si>
  <si>
    <t>https://dpmzos25m8ivg.cloudfront.net/Documentos/631/06707957635/6310670795763509092023134921.jpeg</t>
  </si>
  <si>
    <t>https://dpmzos25m8ivg.cloudfront.net/Documentos/631/06708395312/6310670839531211092023153537.pdf</t>
  </si>
  <si>
    <t>https://dpmzos25m8ivg.cloudfront.net/Documentos/631/06709420302/6310670942030214092023072521.jpg</t>
  </si>
  <si>
    <t>https://dpmzos25m8ivg.cloudfront.net/Documentos/631/06714004109/6310671400410908092023174720.pdf</t>
  </si>
  <si>
    <t>https://dpmzos25m8ivg.cloudfront.net/Documentos/631/06716305394/6310671630539413092023211210.pdf</t>
  </si>
  <si>
    <t>https://dpmzos25m8ivg.cloudfront.net/Documentos/631/06717621338/6310671762133805092023223935.pdf</t>
  </si>
  <si>
    <t>https://dpmzos25m8ivg.cloudfront.net/Documentos/631/06718006807/6310671800680707092023082702.jpg</t>
  </si>
  <si>
    <t>https://dpmzos25m8ivg.cloudfront.net/Documentos/631/06718666564/6310671866656405092023201708.pdf</t>
  </si>
  <si>
    <t>https://dpmzos25m8ivg.cloudfront.net/Documentos/631/06721317575/6310672131757511092023102550.jpeg</t>
  </si>
  <si>
    <t>https://dpmzos25m8ivg.cloudfront.net/Documentos/631/06726902174/6310672690217411092023124142.pdf</t>
  </si>
  <si>
    <t>https://dpmzos25m8ivg.cloudfront.net/Documentos/631/06728672141/6310672867214107092023153115.pdf</t>
  </si>
  <si>
    <t>https://dpmzos25m8ivg.cloudfront.net/Documentos/631/06732433547/6310673243354706092023120713.jpeg</t>
  </si>
  <si>
    <t>https://dpmzos25m8ivg.cloudfront.net/Documentos/631/06734078531/6310673407853109092023180417.pdf</t>
  </si>
  <si>
    <t>https://dpmzos25m8ivg.cloudfront.net/Documentos/631/06737912621/6310673791262110092023183137.pdf</t>
  </si>
  <si>
    <t>https://dpmzos25m8ivg.cloudfront.net/Documentos/631/06741358145/6310674135814506092023184251.pdf</t>
  </si>
  <si>
    <t>https://dpmzos25m8ivg.cloudfront.net/Documentos/631/06747123581/6310674712358114092023133428.pdf</t>
  </si>
  <si>
    <t>https://dpmzos25m8ivg.cloudfront.net/Documentos/631/06752317445/6310675231744508092023201134.jpg</t>
  </si>
  <si>
    <t>https://dpmzos25m8ivg.cloudfront.net/Documentos/631/06754547197/6310675454719708092023155145.pdf</t>
  </si>
  <si>
    <t>https://dpmzos25m8ivg.cloudfront.net/Documentos/631/06758016560/6310675801656011092023000126.pdf</t>
  </si>
  <si>
    <t>https://dpmzos25m8ivg.cloudfront.net/Documentos/631/06758121518/6310675812151811092023161501.pdf</t>
  </si>
  <si>
    <t>https://dpmzos25m8ivg.cloudfront.net/Documentos/631/06758129411/6310675812941108092023165138.pdf</t>
  </si>
  <si>
    <t>https://dpmzos25m8ivg.cloudfront.net/Documentos/631/06760563182/6310676056318210092023125726.jpg</t>
  </si>
  <si>
    <t>https://dpmzos25m8ivg.cloudfront.net/Documentos/631/06762370616/6310676237061611092023151038.pdf</t>
  </si>
  <si>
    <t>https://dpmzos25m8ivg.cloudfront.net/Documentos/631/06762933602/6310676293360211092023165159.jpeg</t>
  </si>
  <si>
    <t>https://dpmzos25m8ivg.cloudfront.net/Documentos/631/06773153174/6310677315317411092023150350.pdf</t>
  </si>
  <si>
    <t>https://dpmzos25m8ivg.cloudfront.net/Documentos/631/06777432388/6310677743238814092023154318.pdf</t>
  </si>
  <si>
    <t>https://dpmzos25m8ivg.cloudfront.net/Documentos/631/06778201940/6310677820194006092023214410.pdf</t>
  </si>
  <si>
    <t>https://dpmzos25m8ivg.cloudfront.net/Documentos/631/06780383414/6310678038341412092023222744.pdf</t>
  </si>
  <si>
    <t>https://dpmzos25m8ivg.cloudfront.net/Documentos/631/06780908584/6310678090858405092023194611.pdf</t>
  </si>
  <si>
    <t>https://dpmzos25m8ivg.cloudfront.net/Documentos/631/06781103954/6310678110395411092023140551.pdf</t>
  </si>
  <si>
    <t>https://dpmzos25m8ivg.cloudfront.net/Documentos/631/06782556448/6310678255644811092023153643.pdf</t>
  </si>
  <si>
    <t>https://dpmzos25m8ivg.cloudfront.net/Documentos/631/06783697550/6310678369755011092023141932.pdf</t>
  </si>
  <si>
    <t>https://dpmzos25m8ivg.cloudfront.net/Documentos/631/06784928326/6310678492832605092023215017.pdf</t>
  </si>
  <si>
    <t>https://dpmzos25m8ivg.cloudfront.net/Documentos/631/06788322694/6310678832269411092023145534.jpeg</t>
  </si>
  <si>
    <t>https://dpmzos25m8ivg.cloudfront.net/Documentos/631/06789599860/6310678959986011092023085348.pdf</t>
  </si>
  <si>
    <t>https://dpmzos25m8ivg.cloudfront.net/Documentos/631/06791932511/6310679193251111092023154151.pdf</t>
  </si>
  <si>
    <t>https://dpmzos25m8ivg.cloudfront.net/Documentos/631/06800620173/6310680062017305092023160442.pdf</t>
  </si>
  <si>
    <t>https://dpmzos25m8ivg.cloudfront.net/Documentos/631/06803050505/6310680305050511092023102631.jpeg</t>
  </si>
  <si>
    <t>https://dpmzos25m8ivg.cloudfront.net/Documentos/631/06804716507/6310680471650711092023161952.pdf</t>
  </si>
  <si>
    <t>https://dpmzos25m8ivg.cloudfront.net/Documentos/631/06804784340/6310680478434011092023164746.pdf</t>
  </si>
  <si>
    <t>https://dpmzos25m8ivg.cloudfront.net/Documentos/631/06805042305/6310680504230511092023155236.pdf</t>
  </si>
  <si>
    <t>https://dpmzos25m8ivg.cloudfront.net/Documentos/631/06807791593/6310680779159311092023014454.pdf</t>
  </si>
  <si>
    <t>https://dpmzos25m8ivg.cloudfront.net/Documentos/631/06810863516/6310681086351606092023130047.pdf</t>
  </si>
  <si>
    <t>https://dpmzos25m8ivg.cloudfront.net/Documentos/631/06811517301/6310681151730110092023075847.pdf</t>
  </si>
  <si>
    <t>https://dpmzos25m8ivg.cloudfront.net/Documentos/631/06812328626/6310681232862609092023151344.jpeg</t>
  </si>
  <si>
    <t>https://dpmzos25m8ivg.cloudfront.net/Documentos/631/06815534480/6310681553448006092023135310.pdf</t>
  </si>
  <si>
    <t>https://dpmzos25m8ivg.cloudfront.net/Documentos/631/06818350364/6310681835036411092023161715.pdf</t>
  </si>
  <si>
    <t>https://dpmzos25m8ivg.cloudfront.net/Documentos/631/06822275878/6310682227587806092023004717.pdf</t>
  </si>
  <si>
    <t>https://dpmzos25m8ivg.cloudfront.net/Documentos/631/06822650555/6310682265055511092023162837.pdf</t>
  </si>
  <si>
    <t>https://dpmzos25m8ivg.cloudfront.net/Documentos/631/06822771506/6310682277150614092023134411.pdf</t>
  </si>
  <si>
    <t>https://dpmzos25m8ivg.cloudfront.net/Documentos/631/06825259369/6310682525936911092023144552.pdf</t>
  </si>
  <si>
    <t>https://dpmzos25m8ivg.cloudfront.net/Documentos/631/06826267322/6310682626732206092023092040.pdf</t>
  </si>
  <si>
    <t>https://dpmzos25m8ivg.cloudfront.net/Documentos/631/06827686507/6310682768650706092023095404.pdf</t>
  </si>
  <si>
    <t>https://dpmzos25m8ivg.cloudfront.net/Documentos/631/06829230527/6310682923052713092023080403.jpg</t>
  </si>
  <si>
    <t>https://dpmzos25m8ivg.cloudfront.net/Documentos/631/06837633341/6310683763334107092023185500.jpeg</t>
  </si>
  <si>
    <t>https://dpmzos25m8ivg.cloudfront.net/Documentos/631/06838655446/6310683865544605092023140152.pdf</t>
  </si>
  <si>
    <t>https://dpmzos25m8ivg.cloudfront.net/Documentos/631/06839054306/6310683905430606092023205910.pdf</t>
  </si>
  <si>
    <t>https://dpmzos25m8ivg.cloudfront.net/Documentos/631/06845876533/6310684587653311092023164240.pdf</t>
  </si>
  <si>
    <t>https://dpmzos25m8ivg.cloudfront.net/Documentos/631/06847217596/6310684721759606092023172511.pdf</t>
  </si>
  <si>
    <t>https://dpmzos25m8ivg.cloudfront.net/Documentos/631/06852988333/6310685298833307092023092740.pdf</t>
  </si>
  <si>
    <t>https://dpmzos25m8ivg.cloudfront.net/Documentos/631/06853873564/6310685387356406092023215714.pdf</t>
  </si>
  <si>
    <t>https://dpmzos25m8ivg.cloudfront.net/Documentos/631/06854177510/6310685417751009092023205547.pdf</t>
  </si>
  <si>
    <t>https://dpmzos25m8ivg.cloudfront.net/Documentos/631/06855029965/6310685502996513092023123121.jpeg</t>
  </si>
  <si>
    <t>https://dpmzos25m8ivg.cloudfront.net/Documentos/631/06856509367/6310685650936714092023152148.pdf</t>
  </si>
  <si>
    <t>https://dpmzos25m8ivg.cloudfront.net/Documentos/631/06863015366/6310686301536611092023002036.pdf</t>
  </si>
  <si>
    <t>https://dpmzos25m8ivg.cloudfront.net/Documentos/631/06865576624/6310686557662405092023122533.pdf</t>
  </si>
  <si>
    <t>https://dpmzos25m8ivg.cloudfront.net/Documentos/631/06866391385/6310686639138505092023180940.pdf</t>
  </si>
  <si>
    <t>https://dpmzos25m8ivg.cloudfront.net/Documentos/631/06869487502/6310686948750213092023135029.pdf</t>
  </si>
  <si>
    <t>https://dpmzos25m8ivg.cloudfront.net/Documentos/631/06869899533/6310686989953306092023220638.pdf</t>
  </si>
  <si>
    <t>https://dpmzos25m8ivg.cloudfront.net/Documentos/631/06869921300/6310686992130011092023132752.pdf</t>
  </si>
  <si>
    <t>https://dpmzos25m8ivg.cloudfront.net/Documentos/631/06870753350/6310687075335010092023215829.pdf</t>
  </si>
  <si>
    <t>https://dpmzos25m8ivg.cloudfront.net/Documentos/631/06871042385/6310687104238511092023152911.pdf</t>
  </si>
  <si>
    <t>https://dpmzos25m8ivg.cloudfront.net/Documentos/631/06871187510/6310687118751005092023114607.jpeg</t>
  </si>
  <si>
    <t>https://dpmzos25m8ivg.cloudfront.net/Documentos/631/06872680520/6310687268052013092023211242.pdf</t>
  </si>
  <si>
    <t>https://dpmzos25m8ivg.cloudfront.net/Documentos/631/06872698578/6310687269857811092023134911.pdf</t>
  </si>
  <si>
    <t>https://dpmzos25m8ivg.cloudfront.net/Documentos/631/06873981508/6310687398150811092023153835.jpeg</t>
  </si>
  <si>
    <t>https://dpmzos25m8ivg.cloudfront.net/Documentos/631/06875006561/6310687500656111092023164125.pdf</t>
  </si>
  <si>
    <t>https://dpmzos25m8ivg.cloudfront.net/Documentos/631/06875231506/6310687523150611092023083601.pdf</t>
  </si>
  <si>
    <t>https://dpmzos25m8ivg.cloudfront.net/Documentos/631/06876804500/6310687680450011092023145816.pdf</t>
  </si>
  <si>
    <t>https://dpmzos25m8ivg.cloudfront.net/Documentos/631/06876955389/6310687695538906092023211018.pdf</t>
  </si>
  <si>
    <t>https://dpmzos25m8ivg.cloudfront.net/Documentos/631/06878419336/6310687841933610092023192549.jpeg</t>
  </si>
  <si>
    <t>https://dpmzos25m8ivg.cloudfront.net/Documentos/631/06879194109/6310687919410911092023154257.pdf</t>
  </si>
  <si>
    <t>https://dpmzos25m8ivg.cloudfront.net/Documentos/631/06881067143/6310688106714314092023142216.pdf</t>
  </si>
  <si>
    <t>https://dpmzos25m8ivg.cloudfront.net/Documentos/631/06881423543/6310688142354311092023133402.jpeg</t>
  </si>
  <si>
    <t>https://dpmzos25m8ivg.cloudfront.net/Documentos/631/06882680647/6310688268064708092023223306.pdf</t>
  </si>
  <si>
    <t>https://dpmzos25m8ivg.cloudfront.net/Documentos/631/06884127341/6310688412734111092023013330.jpeg</t>
  </si>
  <si>
    <t>https://dpmzos25m8ivg.cloudfront.net/Documentos/631/06885641278/6310688564127811092023150341.pdf</t>
  </si>
  <si>
    <t>https://dpmzos25m8ivg.cloudfront.net/Documentos/631/06889926501/6310688992650105092023235029.pdf</t>
  </si>
  <si>
    <t>https://dpmzos25m8ivg.cloudfront.net/Documentos/631/06891435919/6310689143591911092023160210.jpeg</t>
  </si>
  <si>
    <t>https://dpmzos25m8ivg.cloudfront.net/Documentos/631/06892242570/6310689224257011092023143541.jpg</t>
  </si>
  <si>
    <t>https://dpmzos25m8ivg.cloudfront.net/Documentos/631/06892757570/6310689275757010092023223339.pdf</t>
  </si>
  <si>
    <t>https://dpmzos25m8ivg.cloudfront.net/Documentos/631/06899328631/6310689932863111092023155355.pdf</t>
  </si>
  <si>
    <t>https://dpmzos25m8ivg.cloudfront.net/Documentos/631/06900509509/6310690050950906092023124002.pdf</t>
  </si>
  <si>
    <t>https://dpmzos25m8ivg.cloudfront.net/Documentos/631/06902749558/6310690274955811092023153519.pdf</t>
  </si>
  <si>
    <t>https://dpmzos25m8ivg.cloudfront.net/Documentos/631/06907556359/6310690755635907092023122841.jpeg</t>
  </si>
  <si>
    <t>https://dpmzos25m8ivg.cloudfront.net/Documentos/631/06908804569/6310690880456914092023171003.pdf</t>
  </si>
  <si>
    <t>https://dpmzos25m8ivg.cloudfront.net/Documentos/631/06908908429/6310690890842906092023000602.pdf</t>
  </si>
  <si>
    <t>https://dpmzos25m8ivg.cloudfront.net/Documentos/631/06911344301/6310691134430114092023145841.pdf</t>
  </si>
  <si>
    <t>https://dpmzos25m8ivg.cloudfront.net/Documentos/631/06911636345/6310691163634511092023122828.jpg</t>
  </si>
  <si>
    <t>https://dpmzos25m8ivg.cloudfront.net/Documentos/631/06915227903/6310691522790305092023100804.jpeg</t>
  </si>
  <si>
    <t>https://dpmzos25m8ivg.cloudfront.net/Documentos/631/06915689443/6310691568944311092023151910.pdf</t>
  </si>
  <si>
    <t>https://dpmzos25m8ivg.cloudfront.net/Documentos/631/06918224689/6310691822468910092023173413.pdf</t>
  </si>
  <si>
    <t>https://dpmzos25m8ivg.cloudfront.net/Documentos/631/06919096447/6310691909644711092023161008.pdf</t>
  </si>
  <si>
    <t>https://dpmzos25m8ivg.cloudfront.net/Documentos/631/06920290529/6310692029052911092023141710.pdf</t>
  </si>
  <si>
    <t>https://dpmzos25m8ivg.cloudfront.net/Documentos/631/06921824543/6310692182454307092023210427.pdf</t>
  </si>
  <si>
    <t>https://dpmzos25m8ivg.cloudfront.net/Documentos/631/06922567684/6310692256768405092023165905.jpg</t>
  </si>
  <si>
    <t>https://dpmzos25m8ivg.cloudfront.net/Documentos/631/06923365406/6310692336540611092023140351.pdf</t>
  </si>
  <si>
    <t>https://dpmzos25m8ivg.cloudfront.net/Documentos/631/06923883466/6310692388346611092023104739.pdf</t>
  </si>
  <si>
    <t>https://dpmzos25m8ivg.cloudfront.net/Documentos/631/06926015384/6310692601538411092023135656.pdf</t>
  </si>
  <si>
    <t>https://dpmzos25m8ivg.cloudfront.net/Documentos/631/06933685519/6310693368551911092023155651.pdf</t>
  </si>
  <si>
    <t>https://dpmzos25m8ivg.cloudfront.net/Documentos/631/06933970809/6310693397080913092023175911.pdf</t>
  </si>
  <si>
    <t>https://dpmzos25m8ivg.cloudfront.net/Documentos/631/06936006671/6310693600667109092023175558.pdf</t>
  </si>
  <si>
    <t>https://dpmzos25m8ivg.cloudfront.net/Documentos/631/06937574509/6310693757450909092023142036.jpg</t>
  </si>
  <si>
    <t>https://dpmzos25m8ivg.cloudfront.net/Documentos/631/06939246916/6310693924691606092023105147.jpg</t>
  </si>
  <si>
    <t>https://dpmzos25m8ivg.cloudfront.net/Documentos/631/06939835407/6310693983540711092023162144.pdf</t>
  </si>
  <si>
    <t>https://dpmzos25m8ivg.cloudfront.net/Documentos/631/06940701141/6310694070114111092023170402.pdf</t>
  </si>
  <si>
    <t>https://dpmzos25m8ivg.cloudfront.net/Documentos/631/06942141593/6310694214159307092023124044.pdf</t>
  </si>
  <si>
    <t>https://dpmzos25m8ivg.cloudfront.net/Documentos/631/06943153463/6310694315346305092023204729.pdf</t>
  </si>
  <si>
    <t>https://dpmzos25m8ivg.cloudfront.net/Documentos/631/06947044669/6310694704466911092023095355.pdf</t>
  </si>
  <si>
    <t>https://dpmzos25m8ivg.cloudfront.net/Documentos/631/06947063612/6310694706361205092023225247.pdf</t>
  </si>
  <si>
    <t>https://dpmzos25m8ivg.cloudfront.net/Documentos/631/06947273854/6310694727385406092023150305.pdf</t>
  </si>
  <si>
    <t>https://dpmzos25m8ivg.cloudfront.net/Documentos/631/06948229140/6310694822914011092023113155.jpg</t>
  </si>
  <si>
    <t>https://dpmzos25m8ivg.cloudfront.net/Documentos/631/06949346310/6310694934631011092023085529.pdf</t>
  </si>
  <si>
    <t>https://dpmzos25m8ivg.cloudfront.net/Documentos/631/06954469599/6310695446959911092023102814.pdf</t>
  </si>
  <si>
    <t>https://dpmzos25m8ivg.cloudfront.net/Documentos/631/06957997545/6310695799754511092023120930.pdf</t>
  </si>
  <si>
    <t>https://dpmzos25m8ivg.cloudfront.net/Documentos/631/06959498538/6310695949853807092023093414.pdf</t>
  </si>
  <si>
    <t>https://dpmzos25m8ivg.cloudfront.net/Documentos/631/06960738385/6310696073838508092023230236.pdf</t>
  </si>
  <si>
    <t>https://dpmzos25m8ivg.cloudfront.net/Documentos/631/06960923441/6310696092344107092023211521.pdf</t>
  </si>
  <si>
    <t>https://dpmzos25m8ivg.cloudfront.net/Documentos/631/06964526340/6310696452634010092023175423.pdf</t>
  </si>
  <si>
    <t>https://dpmzos25m8ivg.cloudfront.net/Documentos/631/06965389621/6310696538962106092023130734.pdf</t>
  </si>
  <si>
    <t>https://dpmzos25m8ivg.cloudfront.net/Documentos/631/06969326365/6310696932636512092023192441.pdf</t>
  </si>
  <si>
    <t>https://dpmzos25m8ivg.cloudfront.net/Documentos/631/06969957357/6310696995735712092023221910.pdf</t>
  </si>
  <si>
    <t>https://dpmzos25m8ivg.cloudfront.net/Documentos/631/06975187363/6310697518736310092023213914.pdf</t>
  </si>
  <si>
    <t>https://dpmzos25m8ivg.cloudfront.net/Documentos/631/06975354367/6310697535436711092023151453.jpg</t>
  </si>
  <si>
    <t>https://dpmzos25m8ivg.cloudfront.net/Documentos/631/06977392525/6310697739252511092023103402.pdf</t>
  </si>
  <si>
    <t>https://dpmzos25m8ivg.cloudfront.net/Documentos/631/06983738128/6310698373812806092023095827.pdf</t>
  </si>
  <si>
    <t>https://dpmzos25m8ivg.cloudfront.net/Documentos/631/06983962354/6310698396235409092023150927.pdf</t>
  </si>
  <si>
    <t>https://dpmzos25m8ivg.cloudfront.net/Documentos/631/06985129366/6310698512936611092023122656.pdf</t>
  </si>
  <si>
    <t>https://dpmzos25m8ivg.cloudfront.net/Documentos/631/06986762380/6310698676238011092023085809.pdf</t>
  </si>
  <si>
    <t>https://dpmzos25m8ivg.cloudfront.net/Documentos/631/06986961316/6310698696131611092023144616.pdf</t>
  </si>
  <si>
    <t>https://dpmzos25m8ivg.cloudfront.net/Documentos/631/06987473994/6310698747399413092023113155.pdf</t>
  </si>
  <si>
    <t>https://dpmzos25m8ivg.cloudfront.net/Documentos/631/06990140500/6310699014050005092023235229.pdf</t>
  </si>
  <si>
    <t>https://dpmzos25m8ivg.cloudfront.net/Documentos/631/06997919367/6310699791936711092023161442.jpeg</t>
  </si>
  <si>
    <t>https://dpmzos25m8ivg.cloudfront.net/Documentos/631/06997935486/6310699793548610092023235717.pdf</t>
  </si>
  <si>
    <t>https://dpmzos25m8ivg.cloudfront.net/Documentos/631/06999721165/6310699972116509092023165422.pdf</t>
  </si>
  <si>
    <t>https://dpmzos25m8ivg.cloudfront.net/Documentos/631/07000446390/6310700044639011092023120954.pdf</t>
  </si>
  <si>
    <t>https://dpmzos25m8ivg.cloudfront.net/Documentos/631/07001129100/6310700112910010092023170149.jpeg</t>
  </si>
  <si>
    <t>https://dpmzos25m8ivg.cloudfront.net/Documentos/631/07005146190/6310700514619011092023094927.pdf</t>
  </si>
  <si>
    <t>https://dpmzos25m8ivg.cloudfront.net/Documentos/631/07006472369/6310700647236911092023150131.pdf</t>
  </si>
  <si>
    <t>https://dpmzos25m8ivg.cloudfront.net/Documentos/631/07006546311/6310700654631111092023153801.jpeg</t>
  </si>
  <si>
    <t>https://dpmzos25m8ivg.cloudfront.net/Documentos/631/07011031596/6310701103159611092023145349.pdf</t>
  </si>
  <si>
    <t>https://dpmzos25m8ivg.cloudfront.net/Documentos/631/07013228532/6310701322853205092023223400.pdf</t>
  </si>
  <si>
    <t>https://dpmzos25m8ivg.cloudfront.net/Documentos/631/07017092350/6310701709235010092023120945.jpg</t>
  </si>
  <si>
    <t>https://dpmzos25m8ivg.cloudfront.net/Documentos/631/07019856403/6310701985640310092023152426.jpg</t>
  </si>
  <si>
    <t>https://dpmzos25m8ivg.cloudfront.net/Documentos/631/07021443552/6310702144355211092023093314.jpg</t>
  </si>
  <si>
    <t>https://dpmzos25m8ivg.cloudfront.net/Documentos/631/07025419583/6310702541958311092023161819.pdf</t>
  </si>
  <si>
    <t>https://dpmzos25m8ivg.cloudfront.net/Documentos/631/07027461854/6310702746185414092023000607.pdf</t>
  </si>
  <si>
    <t>https://dpmzos25m8ivg.cloudfront.net/Documentos/631/07027510308/6310702751030810092023193222.pdf</t>
  </si>
  <si>
    <t>https://dpmzos25m8ivg.cloudfront.net/Documentos/631/07029259505/6310702925950511092023131755.jpg</t>
  </si>
  <si>
    <t>https://dpmzos25m8ivg.cloudfront.net/Documentos/631/07029871316/6310702987131610092023195159.pdf</t>
  </si>
  <si>
    <t>https://dpmzos25m8ivg.cloudfront.net/Documentos/631/07031423309/6310703142330905092023112006.pdf</t>
  </si>
  <si>
    <t>https://dpmzos25m8ivg.cloudfront.net/Documentos/631/07031952557/6310703195255709092023172636.jpg</t>
  </si>
  <si>
    <t>https://dpmzos25m8ivg.cloudfront.net/Documentos/631/07032251382/6310703225138211092023095748.pdf</t>
  </si>
  <si>
    <t>https://dpmzos25m8ivg.cloudfront.net/Documentos/631/07032788351/6310703278835114092023084929.pdf</t>
  </si>
  <si>
    <t>https://dpmzos25m8ivg.cloudfront.net/Documentos/631/07035364439/6310703536443911092023171612.jpeg</t>
  </si>
  <si>
    <t>https://dpmzos25m8ivg.cloudfront.net/Documentos/631/07035922385/6310703592238511092023163033.pdf</t>
  </si>
  <si>
    <t>https://dpmzos25m8ivg.cloudfront.net/Documentos/631/07038601199/6310703860119905092023091629.pdf</t>
  </si>
  <si>
    <t>https://dpmzos25m8ivg.cloudfront.net/Documentos/631/07041321339/6310704132133911092023134355.jpg</t>
  </si>
  <si>
    <t>https://dpmzos25m8ivg.cloudfront.net/Documentos/631/07041774554/6310704177455409092023120129.pdf</t>
  </si>
  <si>
    <t>https://dpmzos25m8ivg.cloudfront.net/Documentos/631/07042357655/6310704235765514092023115523.jpeg</t>
  </si>
  <si>
    <t>https://dpmzos25m8ivg.cloudfront.net/Documentos/631/07043972507/6310704397250706092023155900.pdf</t>
  </si>
  <si>
    <t>https://dpmzos25m8ivg.cloudfront.net/Documentos/631/07049391344/6310704939134407092023193617.pdf</t>
  </si>
  <si>
    <t>https://dpmzos25m8ivg.cloudfront.net/Documentos/631/07049442194/6310704944219410092023191818.pdf</t>
  </si>
  <si>
    <t>https://dpmzos25m8ivg.cloudfront.net/Documentos/631/07050960330/6310705096033005092023143910.pdf</t>
  </si>
  <si>
    <t>https://dpmzos25m8ivg.cloudfront.net/Documentos/631/07053076628/6310705307662811092023165209.pdf</t>
  </si>
  <si>
    <t>https://dpmzos25m8ivg.cloudfront.net/Documentos/631/07054015452/6310705401545210092023092504.jpeg</t>
  </si>
  <si>
    <t>https://dpmzos25m8ivg.cloudfront.net/Documentos/631/07061035307/6310706103530711092023123553.pdf</t>
  </si>
  <si>
    <t>https://dpmzos25m8ivg.cloudfront.net/Documentos/631/07063007343/6310706300734305092023112152.pdf</t>
  </si>
  <si>
    <t>https://dpmzos25m8ivg.cloudfront.net/Documentos/631/07067527597/6310706752759711092023002515.pdf</t>
  </si>
  <si>
    <t>https://dpmzos25m8ivg.cloudfront.net/Documentos/631/07067575303/6310706757530311092023082922.pdf</t>
  </si>
  <si>
    <t>https://dpmzos25m8ivg.cloudfront.net/Documentos/631/07068479707/6310706847970711092023144729.pdf</t>
  </si>
  <si>
    <t>https://dpmzos25m8ivg.cloudfront.net/Documentos/631/07071067376/6310707106737611092023151022.pdf</t>
  </si>
  <si>
    <t>https://dpmzos25m8ivg.cloudfront.net/Documentos/631/07074927422/6310707492742211092023151439.jpeg</t>
  </si>
  <si>
    <t>https://dpmzos25m8ivg.cloudfront.net/Documentos/631/07079360986/6310707936098605092023164439.jpg</t>
  </si>
  <si>
    <t>https://dpmzos25m8ivg.cloudfront.net/Documentos/631/07085454407/6310708545440705092023204034.jpg</t>
  </si>
  <si>
    <t>https://dpmzos25m8ivg.cloudfront.net/Documentos/631/07085845198/6310708584519814092023150144.jpeg</t>
  </si>
  <si>
    <t>https://dpmzos25m8ivg.cloudfront.net/Documentos/631/07086701483/6310708670148305092023220449.jpg</t>
  </si>
  <si>
    <t>https://dpmzos25m8ivg.cloudfront.net/Documentos/631/07091525582/6310709152558214092023123533.pdf</t>
  </si>
  <si>
    <t>https://dpmzos25m8ivg.cloudfront.net/Documentos/631/07093277306/6310709327730614092023140956.jpg</t>
  </si>
  <si>
    <t>https://dpmzos25m8ivg.cloudfront.net/Documentos/631/07095267332/6310709526733211092023102644.pdf</t>
  </si>
  <si>
    <t>https://dpmzos25m8ivg.cloudfront.net/Documentos/631/07097361344/6310709736134411092023125407.pdf</t>
  </si>
  <si>
    <t>https://dpmzos25m8ivg.cloudfront.net/Documentos/631/07097444550/6310709744455013092023142313.pdf</t>
  </si>
  <si>
    <t>https://dpmzos25m8ivg.cloudfront.net/Documentos/631/07099184539/6310709918453911092023163240.pdf</t>
  </si>
  <si>
    <t>https://dpmzos25m8ivg.cloudfront.net/Documentos/631/07103750181/6310710375018111092023162519.pdf</t>
  </si>
  <si>
    <t>https://dpmzos25m8ivg.cloudfront.net/Documentos/631/07108200546/6310710820054608092023121520.pdf</t>
  </si>
  <si>
    <t>https://dpmzos25m8ivg.cloudfront.net/Documentos/631/07109211525/6310710921152509092023001404.pdf</t>
  </si>
  <si>
    <t>https://dpmzos25m8ivg.cloudfront.net/Documentos/631/07110549593/6310711054959306092023150351.jpg</t>
  </si>
  <si>
    <t>https://dpmzos25m8ivg.cloudfront.net/Documentos/631/07111308506/6310711130850607092023153000.pdf</t>
  </si>
  <si>
    <t>https://dpmzos25m8ivg.cloudfront.net/Documentos/631/07113165389/6310711316538914092023114244.pdf</t>
  </si>
  <si>
    <t>https://dpmzos25m8ivg.cloudfront.net/Documentos/631/07115909741/6310711590974111092023165933.pdf</t>
  </si>
  <si>
    <t>https://dpmzos25m8ivg.cloudfront.net/Documentos/631/07118215422/6310711821542210092023214436.pdf</t>
  </si>
  <si>
    <t>https://dpmzos25m8ivg.cloudfront.net/Documentos/631/07118321451/6310711832145110092023143556.pdf</t>
  </si>
  <si>
    <t>https://dpmzos25m8ivg.cloudfront.net/Documentos/631/07119212532/6310711921253211092023160229.jpg</t>
  </si>
  <si>
    <t>https://dpmzos25m8ivg.cloudfront.net/Documentos/631/07119538306/6310711953830611092023123501.pdf</t>
  </si>
  <si>
    <t>https://dpmzos25m8ivg.cloudfront.net/Documentos/631/07119570536/6310711957053610092023205320.pdf</t>
  </si>
  <si>
    <t>https://dpmzos25m8ivg.cloudfront.net/Documentos/631/07122033546/6310712203354606092023224620.jpeg</t>
  </si>
  <si>
    <t>https://dpmzos25m8ivg.cloudfront.net/Documentos/631/07122729338/6310712272933809092023224216.pdf</t>
  </si>
  <si>
    <t>https://dpmzos25m8ivg.cloudfront.net/Documentos/631/07122953130/6310712295313011092023133923.jpg</t>
  </si>
  <si>
    <t>https://dpmzos25m8ivg.cloudfront.net/Documentos/631/07124799376/6310712479937609092023183346.pdf</t>
  </si>
  <si>
    <t>https://dpmzos25m8ivg.cloudfront.net/Documentos/631/07124955688/6310712495568807092023162214.pdf</t>
  </si>
  <si>
    <t>https://dpmzos25m8ivg.cloudfront.net/Documentos/631/07126482590/6310712648259010092023180424.jpg</t>
  </si>
  <si>
    <t>https://dpmzos25m8ivg.cloudfront.net/Documentos/631/07127156573/6310712715657311092023162945.pdf</t>
  </si>
  <si>
    <t>https://dpmzos25m8ivg.cloudfront.net/Documentos/631/07127993114/6310712799311414092023142120.pdf</t>
  </si>
  <si>
    <t>https://dpmzos25m8ivg.cloudfront.net/Documentos/631/07128079424/6310712807942406092023204645.pdf</t>
  </si>
  <si>
    <t>https://dpmzos25m8ivg.cloudfront.net/Documentos/631/07130329360/6310713032936011092023143914.jpg</t>
  </si>
  <si>
    <t>https://dpmzos25m8ivg.cloudfront.net/Documentos/631/07133591375/6310713359137507092023211508.pdf</t>
  </si>
  <si>
    <t>https://dpmzos25m8ivg.cloudfront.net/Documentos/631/07138828160/6310713882816011092023143429.pdf</t>
  </si>
  <si>
    <t>https://dpmzos25m8ivg.cloudfront.net/Documentos/631/07140826510/6310714082651014092023154735.pdf</t>
  </si>
  <si>
    <t>https://dpmzos25m8ivg.cloudfront.net/Documentos/631/07140927464/6310714092746411092023163723.pdf</t>
  </si>
  <si>
    <t>https://dpmzos25m8ivg.cloudfront.net/Documentos/631/07143203319/6310714320331905092023103812.pdf</t>
  </si>
  <si>
    <t>https://dpmzos25m8ivg.cloudfront.net/Documentos/631/07144651510/6310714465151010092023215114.jpg</t>
  </si>
  <si>
    <t>https://dpmzos25m8ivg.cloudfront.net/Documentos/631/07145303361/6310714530336111092023153141.pdf</t>
  </si>
  <si>
    <t>https://dpmzos25m8ivg.cloudfront.net/Documentos/631/07146161684/6310714616168406092023110558.jpg</t>
  </si>
  <si>
    <t>https://dpmzos25m8ivg.cloudfront.net/Documentos/631/07146502341/6310714650234110092023205607.pdf</t>
  </si>
  <si>
    <t>https://dpmzos25m8ivg.cloudfront.net/Documentos/631/07147888308/6310714788830806092023185714.pdf</t>
  </si>
  <si>
    <t>https://dpmzos25m8ivg.cloudfront.net/Documentos/631/07151795432/6310715179543206092023001841.pdf</t>
  </si>
  <si>
    <t>https://dpmzos25m8ivg.cloudfront.net/Documentos/631/07154919116/6310715491911611092023134750.pdf</t>
  </si>
  <si>
    <t>https://dpmzos25m8ivg.cloudfront.net/Documentos/631/07155400335/6310715540033511092023162845.pdf</t>
  </si>
  <si>
    <t>https://dpmzos25m8ivg.cloudfront.net/Documentos/631/07157736314/6310715773631411092023164654.pdf</t>
  </si>
  <si>
    <t>https://dpmzos25m8ivg.cloudfront.net/Documentos/631/07157781379/6310715778137909092023143508.pdf</t>
  </si>
  <si>
    <t>https://dpmzos25m8ivg.cloudfront.net/Documentos/631/07160663357/6310716066335709092023181708.pdf</t>
  </si>
  <si>
    <t>https://dpmzos25m8ivg.cloudfront.net/Documentos/631/07160924339/6310716092433914092023141056.jpeg</t>
  </si>
  <si>
    <t>https://dpmzos25m8ivg.cloudfront.net/Documentos/631/07161127360/6310716112736010092023161447.jpeg</t>
  </si>
  <si>
    <t>https://dpmzos25m8ivg.cloudfront.net/Documentos/631/07162700640/6310716270064005092023111036.pdf</t>
  </si>
  <si>
    <t>https://dpmzos25m8ivg.cloudfront.net/Documentos/631/07163489420/6310716348942014092023124548.pdf</t>
  </si>
  <si>
    <t>https://dpmzos25m8ivg.cloudfront.net/Documentos/631/07163500173/6310716350017311092023152442.pdf</t>
  </si>
  <si>
    <t>https://dpmzos25m8ivg.cloudfront.net/Documentos/631/07165888381/6310716588838111092023155218.pdf</t>
  </si>
  <si>
    <t>https://dpmzos25m8ivg.cloudfront.net/Documentos/631/07167169501/6310716716950108092023225533.pdf</t>
  </si>
  <si>
    <t>https://dpmzos25m8ivg.cloudfront.net/Documentos/631/07167724505/6310716772450508092023100157.pdf</t>
  </si>
  <si>
    <t>https://dpmzos25m8ivg.cloudfront.net/Documentos/631/07167964654/6310716796465411092023095224.jpg</t>
  </si>
  <si>
    <t>https://dpmzos25m8ivg.cloudfront.net/Documentos/631/07171345556/6310717134555611092023162551.jpeg</t>
  </si>
  <si>
    <t>https://dpmzos25m8ivg.cloudfront.net/Documentos/631/07174083536/6310717408353611092023154937.pdf</t>
  </si>
  <si>
    <t>https://dpmzos25m8ivg.cloudfront.net/Documentos/631/07179870510/6310717987051006092023232252.jpg</t>
  </si>
  <si>
    <t>https://dpmzos25m8ivg.cloudfront.net/Documentos/631/07180197505/6310718019750507092023164043.pdf</t>
  </si>
  <si>
    <t>https://dpmzos25m8ivg.cloudfront.net/Documentos/631/07180647551/6310718064755108092023224917.pdf</t>
  </si>
  <si>
    <t>https://dpmzos25m8ivg.cloudfront.net/Documentos/631/07181812394/6310718181239406092023175036.pdf</t>
  </si>
  <si>
    <t>https://dpmzos25m8ivg.cloudfront.net/Documentos/631/07185660173/6310718566017311092023161324.pdf</t>
  </si>
  <si>
    <t>https://dpmzos25m8ivg.cloudfront.net/Documentos/631/07188797757/6310718879775705092023114612.pdf</t>
  </si>
  <si>
    <t>https://dpmzos25m8ivg.cloudfront.net/Documentos/631/07190141669/6310719014166911092023124159.pdf</t>
  </si>
  <si>
    <t>https://dpmzos25m8ivg.cloudfront.net/Documentos/631/07190803122/6310719080312205092023174218.pdf</t>
  </si>
  <si>
    <t>https://dpmzos25m8ivg.cloudfront.net/Documentos/631/07190829199/6310719082919911092023122347.pdf</t>
  </si>
  <si>
    <t>https://dpmzos25m8ivg.cloudfront.net/Documentos/631/07193163329/6310719316332914092023152154.pdf</t>
  </si>
  <si>
    <t>https://dpmzos25m8ivg.cloudfront.net/Documentos/631/07195491919/6310719549191908092023020113.pdf</t>
  </si>
  <si>
    <t>https://dpmzos25m8ivg.cloudfront.net/Documentos/631/07195523543/6310719552354311092023163425.jpg</t>
  </si>
  <si>
    <t>https://dpmzos25m8ivg.cloudfront.net/Documentos/631/07196411528/6310719641152811092023152929.pdf</t>
  </si>
  <si>
    <t>https://dpmzos25m8ivg.cloudfront.net/Documentos/631/07196860594/6310719686059404092023220110.pdf</t>
  </si>
  <si>
    <t>https://dpmzos25m8ivg.cloudfront.net/Documentos/631/07197601789/6310719760178911092023024952.jpg</t>
  </si>
  <si>
    <t>https://dpmzos25m8ivg.cloudfront.net/Documentos/631/07198514324/6310719851432413092023141226.pdf</t>
  </si>
  <si>
    <t>https://dpmzos25m8ivg.cloudfront.net/Documentos/631/07201821660/6310720182166011092023115859.pdf</t>
  </si>
  <si>
    <t>https://dpmzos25m8ivg.cloudfront.net/Documentos/631/07202526603/6310720252660308092023214853.pdf</t>
  </si>
  <si>
    <t>https://dpmzos25m8ivg.cloudfront.net/Documentos/631/07207010311/6310720701031114092023150130.jpg</t>
  </si>
  <si>
    <t>https://dpmzos25m8ivg.cloudfront.net/Documentos/631/07207155476/6310720715547609092023150719.pdf</t>
  </si>
  <si>
    <t>https://dpmzos25m8ivg.cloudfront.net/Documentos/631/07208348138/6310720834813808092023132731.pdf</t>
  </si>
  <si>
    <t>https://dpmzos25m8ivg.cloudfront.net/Documentos/631/07213608150/6310721360815011092023153518.pdf</t>
  </si>
  <si>
    <t>https://dpmzos25m8ivg.cloudfront.net/Documentos/631/07215514404/6310721551440409092023170223.pdf</t>
  </si>
  <si>
    <t>https://dpmzos25m8ivg.cloudfront.net/Documentos/631/07218589103/6310721858910314092023110615.pdf</t>
  </si>
  <si>
    <t>https://dpmzos25m8ivg.cloudfront.net/Documentos/631/07219796374/6310721979637413092023155045.pdf</t>
  </si>
  <si>
    <t>https://dpmzos25m8ivg.cloudfront.net/Documentos/631/07221459509/6310722145950911092023154544.pdf</t>
  </si>
  <si>
    <t>https://dpmzos25m8ivg.cloudfront.net/Documentos/631/07222005447/6310722200544711092023151649.pdf</t>
  </si>
  <si>
    <t>https://dpmzos25m8ivg.cloudfront.net/Documentos/631/07224631469/6310722463146906092023100531.pdf</t>
  </si>
  <si>
    <t>https://dpmzos25m8ivg.cloudfront.net/Documentos/631/07224747769/6310722474776905092023163816.pdf</t>
  </si>
  <si>
    <t>https://dpmzos25m8ivg.cloudfront.net/Documentos/631/07226994330/6310722699433011092023165531.jpeg</t>
  </si>
  <si>
    <t>https://dpmzos25m8ivg.cloudfront.net/Documentos/631/07231527302/6310723152730208092023173554.pdf</t>
  </si>
  <si>
    <t>https://dpmzos25m8ivg.cloudfront.net/Documentos/631/07234305190/6310723430519010092023213242.pdf</t>
  </si>
  <si>
    <t>https://dpmzos25m8ivg.cloudfront.net/Documentos/631/07234342559/6310723434255911092023140341.pdf</t>
  </si>
  <si>
    <t>https://dpmzos25m8ivg.cloudfront.net/Documentos/631/07235892323/6310723589232314092023152039.pdf</t>
  </si>
  <si>
    <t>https://dpmzos25m8ivg.cloudfront.net/Documentos/631/07238205548/6310723820554811092023135709.jpg</t>
  </si>
  <si>
    <t>https://dpmzos25m8ivg.cloudfront.net/Documentos/631/07238537540/6310723853754014092023130531.pdf</t>
  </si>
  <si>
    <t>https://dpmzos25m8ivg.cloudfront.net/Documentos/631/07239659780/6310723965978006092023000511.jpg</t>
  </si>
  <si>
    <t>https://dpmzos25m8ivg.cloudfront.net/Documentos/631/07239824497/6310723982449711092023142709.pdf</t>
  </si>
  <si>
    <t>https://dpmzos25m8ivg.cloudfront.net/Documentos/631/07239974111/6310723997411105092023230003.jpeg</t>
  </si>
  <si>
    <t>https://dpmzos25m8ivg.cloudfront.net/Documentos/631/07240129586/6310724012958607092023162921.pdf</t>
  </si>
  <si>
    <t>https://dpmzos25m8ivg.cloudfront.net/Documentos/631/07244261322/6310724426132211092023142502.pdf</t>
  </si>
  <si>
    <t>https://dpmzos25m8ivg.cloudfront.net/Documentos/631/07245707561/6310724570756113092023192810.pdf</t>
  </si>
  <si>
    <t>https://dpmzos25m8ivg.cloudfront.net/Documentos/631/07246379312/6310724637931210092023155219.jpg</t>
  </si>
  <si>
    <t>https://dpmzos25m8ivg.cloudfront.net/Documentos/631/07248308390/6310724830839013092023204057.pdf</t>
  </si>
  <si>
    <t>https://dpmzos25m8ivg.cloudfront.net/Documentos/631/07251332361/6310725133236107092023155627.pdf</t>
  </si>
  <si>
    <t>https://dpmzos25m8ivg.cloudfront.net/Documentos/631/07254066409/6310725406640911092023145106.jpg</t>
  </si>
  <si>
    <t>https://dpmzos25m8ivg.cloudfront.net/Documentos/631/07254578302/6310725457830213092023203135.pdf</t>
  </si>
  <si>
    <t>https://dpmzos25m8ivg.cloudfront.net/Documentos/631/07254777330/6310725477733006092023174202.pdf</t>
  </si>
  <si>
    <t>https://dpmzos25m8ivg.cloudfront.net/Documentos/631/07256529180/6310725652918011092023112651.jpg</t>
  </si>
  <si>
    <t>https://dpmzos25m8ivg.cloudfront.net/Documentos/631/07257324310/6310725732431007092023165054.jpeg</t>
  </si>
  <si>
    <t>https://dpmzos25m8ivg.cloudfront.net/Documentos/631/07257443670/6310725744367009092023183438.pdf</t>
  </si>
  <si>
    <t>https://dpmzos25m8ivg.cloudfront.net/Documentos/631/07257727350/6310725772735010092023130102.pdf</t>
  </si>
  <si>
    <t>https://dpmzos25m8ivg.cloudfront.net/Documentos/631/07261491365/6310726149136508092023230602.pdf</t>
  </si>
  <si>
    <t>https://dpmzos25m8ivg.cloudfront.net/Documentos/631/07262706608/6310726270660805092023105058.pdf</t>
  </si>
  <si>
    <t>https://dpmzos25m8ivg.cloudfront.net/Documentos/631/07268743700/6310726874370005092023174305.pdf</t>
  </si>
  <si>
    <t>https://dpmzos25m8ivg.cloudfront.net/Documentos/631/07269997179/6310726999717909092023184149.pdf</t>
  </si>
  <si>
    <t>https://dpmzos25m8ivg.cloudfront.net/Documentos/631/07271922563/6310727192256308092023092226.pdf</t>
  </si>
  <si>
    <t>https://dpmzos25m8ivg.cloudfront.net/Documentos/631/07273073555/6310727307355511092023163214.pdf</t>
  </si>
  <si>
    <t>https://dpmzos25m8ivg.cloudfront.net/Documentos/631/07274500775/6310727450077505092023150424.pdf</t>
  </si>
  <si>
    <t>https://dpmzos25m8ivg.cloudfront.net/Documentos/631/07275831155/6310727583115514092023155021.pdf</t>
  </si>
  <si>
    <t>https://dpmzos25m8ivg.cloudfront.net/Documentos/631/07276301567/6310727630156707092023143944.pdf</t>
  </si>
  <si>
    <t>https://dpmzos25m8ivg.cloudfront.net/Documentos/631/07276777138/6310727677713811092023111013.jpeg</t>
  </si>
  <si>
    <t>https://dpmzos25m8ivg.cloudfront.net/Documentos/631/07282194688/6310728219468811092023003643.pdf</t>
  </si>
  <si>
    <t>https://dpmzos25m8ivg.cloudfront.net/Documentos/631/07287155621/6310728715562105092023142034.pdf</t>
  </si>
  <si>
    <t>https://dpmzos25m8ivg.cloudfront.net/Documentos/631/07287985730/6310728798573011092023121543.pdf</t>
  </si>
  <si>
    <t>https://dpmzos25m8ivg.cloudfront.net/Documentos/631/07288918599/6310728891859911092023141955.jpeg</t>
  </si>
  <si>
    <t>https://dpmzos25m8ivg.cloudfront.net/Documentos/631/07291142954/6310729114295411092023165956.jpeg</t>
  </si>
  <si>
    <t>https://dpmzos25m8ivg.cloudfront.net/Documentos/631/07291802555/6310729180255508092023211953.pdf</t>
  </si>
  <si>
    <t>https://dpmzos25m8ivg.cloudfront.net/Documentos/631/07292873600/6310729287360005092023105109.pdf</t>
  </si>
  <si>
    <t>https://dpmzos25m8ivg.cloudfront.net/Documentos/631/07293005440/6310729300544011092023151604.pdf</t>
  </si>
  <si>
    <t>https://dpmzos25m8ivg.cloudfront.net/Documentos/631/07296089300/6310729608930008092023222356.jpg</t>
  </si>
  <si>
    <t>https://dpmzos25m8ivg.cloudfront.net/Documentos/631/07296250364/6310729625036411092023155241.pdf</t>
  </si>
  <si>
    <t>https://dpmzos25m8ivg.cloudfront.net/Documentos/631/07296544198/6310729654419805092023135157.pdf</t>
  </si>
  <si>
    <t>https://dpmzos25m8ivg.cloudfront.net/Documentos/631/07296823402/6310729682340211092023162842.pdf</t>
  </si>
  <si>
    <t>https://dpmzos25m8ivg.cloudfront.net/Documentos/631/07297217522/6310729721752205092023143554.pdf</t>
  </si>
  <si>
    <t>https://dpmzos25m8ivg.cloudfront.net/Documentos/631/07298252569/6310729825256911092023161831.pdf</t>
  </si>
  <si>
    <t>https://dpmzos25m8ivg.cloudfront.net/Documentos/631/07298434160/6310729843416011092023161559.pdf</t>
  </si>
  <si>
    <t>https://dpmzos25m8ivg.cloudfront.net/Documentos/631/07298750160/6310729875016008092023200136.jpg</t>
  </si>
  <si>
    <t>https://dpmzos25m8ivg.cloudfront.net/Documentos/631/07298884360/6310729888436011092023155345.pdf</t>
  </si>
  <si>
    <t>https://dpmzos25m8ivg.cloudfront.net/Documentos/631/07299777576/6310729977757609092023090053.pdf</t>
  </si>
  <si>
    <t>https://dpmzos25m8ivg.cloudfront.net/Documentos/631/07299997428/6310729999742811092023141343.pdf</t>
  </si>
  <si>
    <t>https://dpmzos25m8ivg.cloudfront.net/Documentos/631/07300726909/6310730072690911092023145402.pdf</t>
  </si>
  <si>
    <t>https://dpmzos25m8ivg.cloudfront.net/Documentos/631/07301501358/6310730150135811092023140345.pdf</t>
  </si>
  <si>
    <t>https://dpmzos25m8ivg.cloudfront.net/Documentos/631/07304518448/6310730451844811092023104513.jpg</t>
  </si>
  <si>
    <t>https://dpmzos25m8ivg.cloudfront.net/Documentos/631/07304926724/6310730492672411092023140714.pdf</t>
  </si>
  <si>
    <t>https://dpmzos25m8ivg.cloudfront.net/Documentos/631/07305272558/6310730527255811092023145650.pdf</t>
  </si>
  <si>
    <t>https://dpmzos25m8ivg.cloudfront.net/Documentos/631/07305568597/6310730556859709092023190255.pdf</t>
  </si>
  <si>
    <t>https://dpmzos25m8ivg.cloudfront.net/Documentos/631/07306511505/6310730651150509092023141243.pdf</t>
  </si>
  <si>
    <t>https://dpmzos25m8ivg.cloudfront.net/Documentos/631/07308626580/6310730862658011092023144924.jpg</t>
  </si>
  <si>
    <t>https://dpmzos25m8ivg.cloudfront.net/Documentos/631/07310551524/6310731055152407092023123641.pdf</t>
  </si>
  <si>
    <t>https://dpmzos25m8ivg.cloudfront.net/Documentos/631/07311069971/6310731106997110092023115231.pdf</t>
  </si>
  <si>
    <t>https://dpmzos25m8ivg.cloudfront.net/Documentos/631/07311631335/6310731163133511092023120243.pdf</t>
  </si>
  <si>
    <t>https://dpmzos25m8ivg.cloudfront.net/Documentos/631/07312665446/6310731266544611092023144801.pdf</t>
  </si>
  <si>
    <t>https://dpmzos25m8ivg.cloudfront.net/Documentos/631/07314041300/6310731404130011092023153302.pdf</t>
  </si>
  <si>
    <t>https://dpmzos25m8ivg.cloudfront.net/Documentos/631/07314413703/6310731441370307092023175051.pdf</t>
  </si>
  <si>
    <t>https://dpmzos25m8ivg.cloudfront.net/Documentos/631/07315504559/6310731550455906092023140250.pdf</t>
  </si>
  <si>
    <t>https://dpmzos25m8ivg.cloudfront.net/Documentos/631/07317287342/6310731728734208092023145152.pdf</t>
  </si>
  <si>
    <t>https://dpmzos25m8ivg.cloudfront.net/Documentos/631/07318070304/6310731807030411092023145827.jpg</t>
  </si>
  <si>
    <t>https://dpmzos25m8ivg.cloudfront.net/Documentos/631/07318123106/6310731812310611092023142927.pdf</t>
  </si>
  <si>
    <t>https://dpmzos25m8ivg.cloudfront.net/Documentos/631/07319151510/6310731915151009092023154359.pdf</t>
  </si>
  <si>
    <t>https://dpmzos25m8ivg.cloudfront.net/Documentos/631/07320653729/6310732065372911092023112912.pdf</t>
  </si>
  <si>
    <t>https://dpmzos25m8ivg.cloudfront.net/Documentos/631/07323686423/6310732368642311092023144757.jpg</t>
  </si>
  <si>
    <t>https://dpmzos25m8ivg.cloudfront.net/Documentos/631/07324228330/6310732422833011092023100952.pdf</t>
  </si>
  <si>
    <t>https://dpmzos25m8ivg.cloudfront.net/Documentos/631/07326615446/6310732661544611092023001120.pdf</t>
  </si>
  <si>
    <t>https://dpmzos25m8ivg.cloudfront.net/Documentos/631/07332172496/6310733217249606092023114948.jpg</t>
  </si>
  <si>
    <t>https://dpmzos25m8ivg.cloudfront.net/Documentos/631/07333515303/6310733351530311092023164825.jpeg</t>
  </si>
  <si>
    <t>https://dpmzos25m8ivg.cloudfront.net/Documentos/631/07335050316/6310733505031610092023125711.pdf</t>
  </si>
  <si>
    <t>https://dpmzos25m8ivg.cloudfront.net/Documentos/631/07336045529/6310733604552911092023142437.pdf</t>
  </si>
  <si>
    <t>https://dpmzos25m8ivg.cloudfront.net/Documentos/631/07339099301/6310733909930111092023154724.pdf</t>
  </si>
  <si>
    <t>https://dpmzos25m8ivg.cloudfront.net/Documentos/631/07340571485/6310734057148511092023121015.jpg</t>
  </si>
  <si>
    <t>https://dpmzos25m8ivg.cloudfront.net/Documentos/631/07344080133/6310734408013311092023153104.pdf</t>
  </si>
  <si>
    <t>https://dpmzos25m8ivg.cloudfront.net/Documentos/631/07345650979/6310734565097911092023114838.pdf</t>
  </si>
  <si>
    <t>https://dpmzos25m8ivg.cloudfront.net/Documentos/631/07349515154/6310734951515414092023155758.pdf</t>
  </si>
  <si>
    <t>https://dpmzos25m8ivg.cloudfront.net/Documentos/631/07352669990/6310735266999011092023161300.jpeg</t>
  </si>
  <si>
    <t>https://dpmzos25m8ivg.cloudfront.net/Documentos/631/07354760390/6310735476039010092023101812.pdf</t>
  </si>
  <si>
    <t>https://dpmzos25m8ivg.cloudfront.net/Documentos/631/07356195577/6310735619557711092023140525.pdf</t>
  </si>
  <si>
    <t>https://dpmzos25m8ivg.cloudfront.net/Documentos/631/07358686381/6310735868638107092023133410.pdf</t>
  </si>
  <si>
    <t>https://dpmzos25m8ivg.cloudfront.net/Documentos/631/07360776180/6310736077618009092023093758.pdf</t>
  </si>
  <si>
    <t>https://dpmzos25m8ivg.cloudfront.net/Documentos/631/07363589518/6310736358951814092023152220.pdf</t>
  </si>
  <si>
    <t>https://dpmzos25m8ivg.cloudfront.net/Documentos/631/07365010452/6310736501045211092023164322.pdf</t>
  </si>
  <si>
    <t>https://dpmzos25m8ivg.cloudfront.net/Documentos/631/07366550183/6310736655018305092023123423.pdf</t>
  </si>
  <si>
    <t>https://dpmzos25m8ivg.cloudfront.net/Documentos/631/07371244311/6310737124431107092023082242.pdf</t>
  </si>
  <si>
    <t>https://dpmzos25m8ivg.cloudfront.net/Documentos/631/07371939565/6310737193956513092023004446.pdf</t>
  </si>
  <si>
    <t>https://dpmzos25m8ivg.cloudfront.net/Documentos/631/07375552380/6310737555238011092023133026.pdf</t>
  </si>
  <si>
    <t>https://dpmzos25m8ivg.cloudfront.net/Documentos/631/07377228865/6310737722886510092023195512.pdf</t>
  </si>
  <si>
    <t>https://dpmzos25m8ivg.cloudfront.net/Documentos/631/07378510904/6310737851090407092023105812.pdf</t>
  </si>
  <si>
    <t>https://dpmzos25m8ivg.cloudfront.net/Documentos/631/07378919128/6310737891912810092023110045.pdf</t>
  </si>
  <si>
    <t>https://dpmzos25m8ivg.cloudfront.net/Documentos/631/07384979676/6310738497967607092023134826.pdf</t>
  </si>
  <si>
    <t>https://dpmzos25m8ivg.cloudfront.net/Documentos/631/07385570488/6310738557048811092023122940.jpg</t>
  </si>
  <si>
    <t>https://dpmzos25m8ivg.cloudfront.net/Documentos/631/07386550588/6310738655058811092023163628.jpeg</t>
  </si>
  <si>
    <t>https://dpmzos25m8ivg.cloudfront.net/Documentos/631/07389021870/6310738902187005092023125845.pdf</t>
  </si>
  <si>
    <t>https://dpmzos25m8ivg.cloudfront.net/Documentos/631/07389365536/6310738936553610092023225847.pdf</t>
  </si>
  <si>
    <t>https://dpmzos25m8ivg.cloudfront.net/Documentos/631/07392270338/6310739227033813092023105119.jpg</t>
  </si>
  <si>
    <t>https://dpmzos25m8ivg.cloudfront.net/Documentos/631/07392405365/6310739240536511092023162640.pdf</t>
  </si>
  <si>
    <t>https://dpmzos25m8ivg.cloudfront.net/Documentos/631/07393765357/6310739376535713092023161608.pdf</t>
  </si>
  <si>
    <t>https://dpmzos25m8ivg.cloudfront.net/Documentos/631/07395079906/6310739507990611092023123019.pdf</t>
  </si>
  <si>
    <t>https://dpmzos25m8ivg.cloudfront.net/Documentos/631/07395305345/6310739530534511092023142738.pdf</t>
  </si>
  <si>
    <t>https://dpmzos25m8ivg.cloudfront.net/Documentos/631/07396071380/6310739607138009092023214921.pdf</t>
  </si>
  <si>
    <t>https://dpmzos25m8ivg.cloudfront.net/Documentos/631/07397782183/6310739778218305092023211016.pdf</t>
  </si>
  <si>
    <t>https://dpmzos25m8ivg.cloudfront.net/Documentos/631/07398272359/6310739827235906092023170255.pdf</t>
  </si>
  <si>
    <t>https://dpmzos25m8ivg.cloudfront.net/Documentos/631/07399967385/6310739996738507092023080621.pdf</t>
  </si>
  <si>
    <t>https://dpmzos25m8ivg.cloudfront.net/Documentos/631/07400552759/6310740055275911092023145023.jpg</t>
  </si>
  <si>
    <t>https://dpmzos25m8ivg.cloudfront.net/Documentos/631/07401082470/6310740108247014092023125303.jpg</t>
  </si>
  <si>
    <t>https://dpmzos25m8ivg.cloudfront.net/Documentos/631/07401179555/6310740117955511092023164513.pdf</t>
  </si>
  <si>
    <t>https://dpmzos25m8ivg.cloudfront.net/Documentos/631/07402250300/6310740225030011092023164138.pdf</t>
  </si>
  <si>
    <t>https://dpmzos25m8ivg.cloudfront.net/Documentos/631/07403103300/6310740310330013092023085003.jpg</t>
  </si>
  <si>
    <t>https://dpmzos25m8ivg.cloudfront.net/Documentos/631/07403384393/6310740338439305092023201749.jpg</t>
  </si>
  <si>
    <t>https://dpmzos25m8ivg.cloudfront.net/Documentos/631/07406824408/6310740682440811092023155044.jpg</t>
  </si>
  <si>
    <t>https://dpmzos25m8ivg.cloudfront.net/Documentos/631/07408543562/6310740854356214092023001145.pdf</t>
  </si>
  <si>
    <t>https://dpmzos25m8ivg.cloudfront.net/Documentos/631/07408690190/6310740869019008092023181930.pdf</t>
  </si>
  <si>
    <t>https://dpmzos25m8ivg.cloudfront.net/Documentos/631/07413388588/6310741338858811092023165502.pdf</t>
  </si>
  <si>
    <t>https://dpmzos25m8ivg.cloudfront.net/Documentos/631/07413746174/6310741374617410092023180501.jpeg</t>
  </si>
  <si>
    <t>https://dpmzos25m8ivg.cloudfront.net/Documentos/631/07415476190/6310741547619008092023180522.jpeg</t>
  </si>
  <si>
    <t>https://dpmzos25m8ivg.cloudfront.net/Documentos/631/07416435374/6310741643537405092023122231.pdf</t>
  </si>
  <si>
    <t>https://dpmzos25m8ivg.cloudfront.net/Documentos/631/07416937710/6310741693771009092023185508.pdf</t>
  </si>
  <si>
    <t>https://dpmzos25m8ivg.cloudfront.net/Documentos/631/07424756389/6310742475638913092023185628.jpeg</t>
  </si>
  <si>
    <t>https://dpmzos25m8ivg.cloudfront.net/Documentos/631/07428538106/6310742853810612092023170854.pdf</t>
  </si>
  <si>
    <t>https://dpmzos25m8ivg.cloudfront.net/Documentos/631/07430823386/6310743082338611092023124300.jpeg</t>
  </si>
  <si>
    <t>https://dpmzos25m8ivg.cloudfront.net/Documentos/631/07432457174/6310743245717407092023165018.pdf</t>
  </si>
  <si>
    <t>https://dpmzos25m8ivg.cloudfront.net/Documentos/631/07434802529/6310743480252906092023160331.pdf</t>
  </si>
  <si>
    <t>https://dpmzos25m8ivg.cloudfront.net/Documentos/631/07435694150/6310743569415011092023110816.pdf</t>
  </si>
  <si>
    <t>https://dpmzos25m8ivg.cloudfront.net/Documentos/631/07435712400/6310743571240011092023151228.pdf</t>
  </si>
  <si>
    <t>https://dpmzos25m8ivg.cloudfront.net/Documentos/631/07435870307/6310743587030714092023124852.pdf</t>
  </si>
  <si>
    <t>https://dpmzos25m8ivg.cloudfront.net/Documentos/631/07436430548/6310743643054811092023154305.pdf</t>
  </si>
  <si>
    <t>https://dpmzos25m8ivg.cloudfront.net/Documentos/631/07437589354/6310743758935410092023221651.pdf</t>
  </si>
  <si>
    <t>https://dpmzos25m8ivg.cloudfront.net/Documentos/631/07438122395/6310743812239507092023223503.pdf</t>
  </si>
  <si>
    <t>https://dpmzos25m8ivg.cloudfront.net/Documentos/631/07438513408/6310743851340805092023190945.pdf</t>
  </si>
  <si>
    <t>https://dpmzos25m8ivg.cloudfront.net/Documentos/631/07441086329/6310744108632911092023011031.pdf</t>
  </si>
  <si>
    <t>https://dpmzos25m8ivg.cloudfront.net/Documentos/631/07444786186/6310744478618611092023132848.pdf</t>
  </si>
  <si>
    <t>https://dpmzos25m8ivg.cloudfront.net/Documentos/631/07445090339/6310744509033911092023162551.pdf</t>
  </si>
  <si>
    <t>https://dpmzos25m8ivg.cloudfront.net/Documentos/631/07445932399/6310744593239908092023164406.pdf</t>
  </si>
  <si>
    <t>https://dpmzos25m8ivg.cloudfront.net/Documentos/631/07446526343/6310744652634306092023085755.pdf</t>
  </si>
  <si>
    <t>https://dpmzos25m8ivg.cloudfront.net/Documentos/631/07446933305/6310744693330506092023163550.pdf</t>
  </si>
  <si>
    <t>https://dpmzos25m8ivg.cloudfront.net/Documentos/631/07447495140/6310744749514011092023122313.pdf</t>
  </si>
  <si>
    <t>https://dpmzos25m8ivg.cloudfront.net/Documentos/631/07450846560/6310745084656008092023234248.pdf</t>
  </si>
  <si>
    <t>https://dpmzos25m8ivg.cloudfront.net/Documentos/631/07455181337/6310745518133710092023223826.pdf</t>
  </si>
  <si>
    <t>https://dpmzos25m8ivg.cloudfront.net/Documentos/631/07455571470/6310745557147011092023134130.pdf</t>
  </si>
  <si>
    <t>https://dpmzos25m8ivg.cloudfront.net/Documentos/631/07457380108/6310745738010807092023103948.pdf</t>
  </si>
  <si>
    <t>https://dpmzos25m8ivg.cloudfront.net/Documentos/631/07461304909/6310746130490911092023025810.pdf</t>
  </si>
  <si>
    <t>https://dpmzos25m8ivg.cloudfront.net/Documentos/631/07461354914/6310746135491405092023160711.jpg</t>
  </si>
  <si>
    <t>https://dpmzos25m8ivg.cloudfront.net/Documentos/631/07461684540/6310746168454011092023162213.pdf</t>
  </si>
  <si>
    <t>https://dpmzos25m8ivg.cloudfront.net/Documentos/631/07461726307/6310746172630705092023124146.pdf</t>
  </si>
  <si>
    <t>https://dpmzos25m8ivg.cloudfront.net/Documentos/631/07463688526/6310746368852610092023122119.jpg</t>
  </si>
  <si>
    <t>https://dpmzos25m8ivg.cloudfront.net/Documentos/631/07464580370/6310746458037009092023155219.pdf</t>
  </si>
  <si>
    <t>https://dpmzos25m8ivg.cloudfront.net/Documentos/631/07464964357/6310746496435714092023135957.pdf</t>
  </si>
  <si>
    <t>https://dpmzos25m8ivg.cloudfront.net/Documentos/631/07466466311/6310746646631108092023211013.pdf</t>
  </si>
  <si>
    <t>https://dpmzos25m8ivg.cloudfront.net/Documentos/631/07466847382/6310746684738214092023162516.pdf</t>
  </si>
  <si>
    <t>https://dpmzos25m8ivg.cloudfront.net/Documentos/631/07467623992/6310746762399211092023160909.jpg</t>
  </si>
  <si>
    <t>https://dpmzos25m8ivg.cloudfront.net/Documentos/631/07469727175/6310746972717507092023144249.pdf</t>
  </si>
  <si>
    <t>https://dpmzos25m8ivg.cloudfront.net/Documentos/631/07470373373/6310747037337307092023225435.pdf</t>
  </si>
  <si>
    <t>https://dpmzos25m8ivg.cloudfront.net/Documentos/631/07471079550/6310747107955011092023155952.pdf</t>
  </si>
  <si>
    <t>https://dpmzos25m8ivg.cloudfront.net/Documentos/631/07472325554/6310747232555409092023214203.pdf</t>
  </si>
  <si>
    <t>https://dpmzos25m8ivg.cloudfront.net/Documentos/631/07473782312/6310747378231211092023102800.pdf</t>
  </si>
  <si>
    <t>https://dpmzos25m8ivg.cloudfront.net/Documentos/631/07477411157/6310747741115710092023102532.pdf</t>
  </si>
  <si>
    <t>https://dpmzos25m8ivg.cloudfront.net/Documentos/631/07478050166/6310747805016611092023165006.pdf</t>
  </si>
  <si>
    <t>https://dpmzos25m8ivg.cloudfront.net/Documentos/631/07478807437/6310747880743711092023161453.jpg</t>
  </si>
  <si>
    <t>https://dpmzos25m8ivg.cloudfront.net/Documentos/631/07479100302/6310747910030211092023120253.pdf</t>
  </si>
  <si>
    <t>https://dpmzos25m8ivg.cloudfront.net/Documentos/631/07479122977/6310747912297708092023193852.jpg</t>
  </si>
  <si>
    <t>https://dpmzos25m8ivg.cloudfront.net/Documentos/631/07480442564/6310748044256411092023135150.jpeg</t>
  </si>
  <si>
    <t>https://dpmzos25m8ivg.cloudfront.net/Documentos/631/07483083506/6310748308350611092023113621.pdf</t>
  </si>
  <si>
    <t>https://dpmzos25m8ivg.cloudfront.net/Documentos/631/07484270156/6310748427015606092023165303.pdf</t>
  </si>
  <si>
    <t>https://dpmzos25m8ivg.cloudfront.net/Documentos/631/07484893633/6310748489363311092023122527.jpeg</t>
  </si>
  <si>
    <t>https://dpmzos25m8ivg.cloudfront.net/Documentos/631/07491634370/6310749163437005092023101817.pdf</t>
  </si>
  <si>
    <t>https://dpmzos25m8ivg.cloudfront.net/Documentos/631/07491844693/6310749184469311092023164415.pdf</t>
  </si>
  <si>
    <t>https://dpmzos25m8ivg.cloudfront.net/Documentos/631/07494739599/6310749473959909092023153354.jpg</t>
  </si>
  <si>
    <t>https://dpmzos25m8ivg.cloudfront.net/Documentos/631/07495929316/6310749592931614092023111337.jpg</t>
  </si>
  <si>
    <t>https://dpmzos25m8ivg.cloudfront.net/Documentos/631/07499047555/6310749904755511092023095436.pdf</t>
  </si>
  <si>
    <t>https://dpmzos25m8ivg.cloudfront.net/Documentos/631/07499158462/6310749915846214092023141843.pdf</t>
  </si>
  <si>
    <t>https://dpmzos25m8ivg.cloudfront.net/Documentos/631/07500441363/6310750044136305092023195331.pdf</t>
  </si>
  <si>
    <t>https://dpmzos25m8ivg.cloudfront.net/Documentos/631/07507670813/6310750767081307092023090622.pdf</t>
  </si>
  <si>
    <t>https://dpmzos25m8ivg.cloudfront.net/Documentos/631/07508293975/6310750829397511092023150409.pdf</t>
  </si>
  <si>
    <t>https://dpmzos25m8ivg.cloudfront.net/Documentos/631/07509579139/6310750957913911092023165217.pdf</t>
  </si>
  <si>
    <t>https://dpmzos25m8ivg.cloudfront.net/Documentos/631/07509957346/6310750995734609092023170046.pdf</t>
  </si>
  <si>
    <t>https://dpmzos25m8ivg.cloudfront.net/Documentos/631/07513537526/6310751353752614092023164214.pdf</t>
  </si>
  <si>
    <t>https://dpmzos25m8ivg.cloudfront.net/Documentos/631/07514254439/6310751425443910092023164205.jpg</t>
  </si>
  <si>
    <t>https://dpmzos25m8ivg.cloudfront.net/Documentos/631/07517567411/6310751756741105092023124413.jpg</t>
  </si>
  <si>
    <t>https://dpmzos25m8ivg.cloudfront.net/Documentos/631/07519195198/6310751919519813092023160011.pdf</t>
  </si>
  <si>
    <t>https://dpmzos25m8ivg.cloudfront.net/Documentos/631/07519469158/6310751946915811092023153526.pdf</t>
  </si>
  <si>
    <t>https://dpmzos25m8ivg.cloudfront.net/Documentos/631/07519643441/6310751964344111092023134142.pdf</t>
  </si>
  <si>
    <t>https://dpmzos25m8ivg.cloudfront.net/Documentos/631/07523790542/6310752379054211092023162447.pdf</t>
  </si>
  <si>
    <t>https://dpmzos25m8ivg.cloudfront.net/Documentos/631/07524971389/6310752497138909092023185841.jpg</t>
  </si>
  <si>
    <t>https://dpmzos25m8ivg.cloudfront.net/Documentos/631/07527601140/6310752760114006092023160925.pdf</t>
  </si>
  <si>
    <t>https://dpmzos25m8ivg.cloudfront.net/Documentos/631/07528675989/6310752867598906092023154115.pdf</t>
  </si>
  <si>
    <t>https://dpmzos25m8ivg.cloudfront.net/Documentos/631/07531447436/6310753144743605092023165544.pdf</t>
  </si>
  <si>
    <t>https://dpmzos25m8ivg.cloudfront.net/Documentos/631/07532772632/6310753277263211092023133848.pdf</t>
  </si>
  <si>
    <t>https://dpmzos25m8ivg.cloudfront.net/Documentos/631/07539367393/6310753936739311092023170125.jpg</t>
  </si>
  <si>
    <t>https://dpmzos25m8ivg.cloudfront.net/Documentos/631/07540499656/6310754049965611092023121755.pdf</t>
  </si>
  <si>
    <t>https://dpmzos25m8ivg.cloudfront.net/Documentos/631/07546195403/6310754619540306092023193034.pdf</t>
  </si>
  <si>
    <t>https://dpmzos25m8ivg.cloudfront.net/Documentos/631/07551237607/6310755123760706092023094241.pdf</t>
  </si>
  <si>
    <t>https://dpmzos25m8ivg.cloudfront.net/Documentos/631/07557498470/6310755749847011092023103050.pdf</t>
  </si>
  <si>
    <t>https://dpmzos25m8ivg.cloudfront.net/Documentos/631/07561157444/6310756115744411092023131340.pdf</t>
  </si>
  <si>
    <t>https://dpmzos25m8ivg.cloudfront.net/Documentos/631/07566127306/6310756612730605092023160347.pdf</t>
  </si>
  <si>
    <t>https://dpmzos25m8ivg.cloudfront.net/Documentos/631/07571180546/6310757118054611092023093725.pdf</t>
  </si>
  <si>
    <t>https://dpmzos25m8ivg.cloudfront.net/Documentos/631/07572267360/6310757226736012092023202124.pdf</t>
  </si>
  <si>
    <t>https://dpmzos25m8ivg.cloudfront.net/Documentos/631/07573942486/6310757394248611092023120348.pdf</t>
  </si>
  <si>
    <t>https://dpmzos25m8ivg.cloudfront.net/Documentos/631/07580812517/6310758081251711092023164535.jpg</t>
  </si>
  <si>
    <t>https://dpmzos25m8ivg.cloudfront.net/Documentos/631/07582886542/6310758288654208092023004720.pdf</t>
  </si>
  <si>
    <t>https://dpmzos25m8ivg.cloudfront.net/Documentos/631/07584734944/6310758473494414092023140232.jpeg</t>
  </si>
  <si>
    <t>https://dpmzos25m8ivg.cloudfront.net/Documentos/631/07585468156/6310758546815608092023164455.pdf</t>
  </si>
  <si>
    <t>https://dpmzos25m8ivg.cloudfront.net/Documentos/631/07586711569/6310758671156911092023164130.pdf</t>
  </si>
  <si>
    <t>https://dpmzos25m8ivg.cloudfront.net/Documentos/631/07588625635/6310758862563511092023151653.pdf</t>
  </si>
  <si>
    <t>https://dpmzos25m8ivg.cloudfront.net/Documentos/631/07589657611/6310758965761111092023002328.pdf</t>
  </si>
  <si>
    <t>https://dpmzos25m8ivg.cloudfront.net/Documentos/631/07591499505/6310759149950510092023143142.pdf</t>
  </si>
  <si>
    <t>https://dpmzos25m8ivg.cloudfront.net/Documentos/631/07592492539/6310759249253911092023135954.pdf</t>
  </si>
  <si>
    <t>https://dpmzos25m8ivg.cloudfront.net/Documentos/631/07598420947/6310759842094705092023103505.pdf</t>
  </si>
  <si>
    <t>https://dpmzos25m8ivg.cloudfront.net/Documentos/631/07599867627/6310759986762714092023125637.pdf</t>
  </si>
  <si>
    <t>https://dpmzos25m8ivg.cloudfront.net/Documentos/631/07605321686/6310760532168610092023221910.pdf</t>
  </si>
  <si>
    <t>https://dpmzos25m8ivg.cloudfront.net/Documentos/631/07605603665/6310760560366505092023115443.pdf</t>
  </si>
  <si>
    <t>https://dpmzos25m8ivg.cloudfront.net/Documentos/631/07606604177/6310760660417711092023111331.pdf</t>
  </si>
  <si>
    <t>https://dpmzos25m8ivg.cloudfront.net/Documentos/631/07608702176/6310760870217608092023124956.pdf</t>
  </si>
  <si>
    <t>https://dpmzos25m8ivg.cloudfront.net/Documentos/631/07608852739/6310760885273905092023131902.jpg</t>
  </si>
  <si>
    <t>https://dpmzos25m8ivg.cloudfront.net/Documentos/631/07610245577/6310761024557711092023091106.pdf</t>
  </si>
  <si>
    <t>https://dpmzos25m8ivg.cloudfront.net/Documentos/631/07612458551/6310761245855108092023213020.pdf</t>
  </si>
  <si>
    <t>https://dpmzos25m8ivg.cloudfront.net/Documentos/631/07619886532/6310761988653214092023151647.pdf</t>
  </si>
  <si>
    <t>https://dpmzos25m8ivg.cloudfront.net/Documentos/631/07620424350/6310762042435011092023113530.jpg</t>
  </si>
  <si>
    <t>https://dpmzos25m8ivg.cloudfront.net/Documentos/631/07621251360/6310762125136005092023173136.pdf</t>
  </si>
  <si>
    <t>https://dpmzos25m8ivg.cloudfront.net/Documentos/631/07623871307/6310762387130711092023072018.pdf</t>
  </si>
  <si>
    <t>https://dpmzos25m8ivg.cloudfront.net/Documentos/631/07631060703/6310763106070308092023001505.pdf</t>
  </si>
  <si>
    <t>https://dpmzos25m8ivg.cloudfront.net/Documentos/631/07631687935/6310763168793511092023124119.pdf</t>
  </si>
  <si>
    <t>https://dpmzos25m8ivg.cloudfront.net/Documentos/631/07632212361/6310763221236107092023160109.pdf</t>
  </si>
  <si>
    <t>https://dpmzos25m8ivg.cloudfront.net/Documentos/631/07636386500/6310763638650006092023100215.pdf</t>
  </si>
  <si>
    <t>https://dpmzos25m8ivg.cloudfront.net/Documentos/631/07637312500/6310763731250011092023142921.pdf</t>
  </si>
  <si>
    <t>https://dpmzos25m8ivg.cloudfront.net/Documentos/631/07639543576/6310763954357605092023115435.pdf</t>
  </si>
  <si>
    <t>https://dpmzos25m8ivg.cloudfront.net/Documentos/631/07639734754/6310763973475411092023093509.jpg</t>
  </si>
  <si>
    <t>https://dpmzos25m8ivg.cloudfront.net/Documentos/631/07642445318/6310764244531808092023193958.pdf</t>
  </si>
  <si>
    <t>https://dpmzos25m8ivg.cloudfront.net/Documentos/631/07643445362/6310764344536208092023191429.pdf</t>
  </si>
  <si>
    <t>https://dpmzos25m8ivg.cloudfront.net/Documentos/631/07644923659/6310764492365911092023095034.pdf</t>
  </si>
  <si>
    <t>https://dpmzos25m8ivg.cloudfront.net/Documentos/631/07645784130/6310764578413009092023180704.pdf</t>
  </si>
  <si>
    <t>https://dpmzos25m8ivg.cloudfront.net/Documentos/631/07646419567/6310764641956711092023120651.pdf</t>
  </si>
  <si>
    <t>https://dpmzos25m8ivg.cloudfront.net/Documentos/631/07646779776/6310764677977610092023221637.pdf</t>
  </si>
  <si>
    <t>https://dpmzos25m8ivg.cloudfront.net/Documentos/631/07646814350/6310764681435006092023163007.pdf</t>
  </si>
  <si>
    <t>https://dpmzos25m8ivg.cloudfront.net/Documentos/631/07646959324/6310764695932411092023113545.pdf</t>
  </si>
  <si>
    <t>https://dpmzos25m8ivg.cloudfront.net/Documentos/631/07649379604/6310764937960411092023104746.jpeg</t>
  </si>
  <si>
    <t>https://dpmzos25m8ivg.cloudfront.net/Documentos/631/07651757386/6310765175738611092023162309.pdf</t>
  </si>
  <si>
    <t>https://dpmzos25m8ivg.cloudfront.net/Documentos/631/07657892307/6310765789230706092023154156.pdf</t>
  </si>
  <si>
    <t>https://dpmzos25m8ivg.cloudfront.net/Documentos/631/07660255940/6310766025594010092023165804.jpg</t>
  </si>
  <si>
    <t>https://dpmzos25m8ivg.cloudfront.net/Documentos/631/07661601141/6310766160114106092023135420.pdf</t>
  </si>
  <si>
    <t>https://dpmzos25m8ivg.cloudfront.net/Documentos/631/07663322843/6310766332284311092023101241.pdf</t>
  </si>
  <si>
    <t>https://dpmzos25m8ivg.cloudfront.net/Documentos/631/07666885504/6310766688550408092023192714.pdf</t>
  </si>
  <si>
    <t>https://dpmzos25m8ivg.cloudfront.net/Documentos/631/07667371520/6310766737152011092023150309.pdf</t>
  </si>
  <si>
    <t>https://dpmzos25m8ivg.cloudfront.net/Documentos/631/07677019501/6310767701950105092023100055.pdf</t>
  </si>
  <si>
    <t>https://dpmzos25m8ivg.cloudfront.net/Documentos/631/07678567324/6310767856732409092023132334.pdf</t>
  </si>
  <si>
    <t>https://dpmzos25m8ivg.cloudfront.net/Documentos/631/07686199630/6310768619963011092023165453.pdf</t>
  </si>
  <si>
    <t>https://dpmzos25m8ivg.cloudfront.net/Documentos/631/07687695585/6310768769558507092023211940.jpeg</t>
  </si>
  <si>
    <t>https://dpmzos25m8ivg.cloudfront.net/Documentos/631/07689767583/6310768976758311092023000740.pdf</t>
  </si>
  <si>
    <t>https://dpmzos25m8ivg.cloudfront.net/Documentos/631/07692605602/6310769260560210092023231624.jpeg</t>
  </si>
  <si>
    <t>https://dpmzos25m8ivg.cloudfront.net/Documentos/631/07693094610/6310769309461005092023144647.pdf</t>
  </si>
  <si>
    <t>https://dpmzos25m8ivg.cloudfront.net/Documentos/631/07700793697/6310770079369705092023142406.jpg</t>
  </si>
  <si>
    <t>https://dpmzos25m8ivg.cloudfront.net/Documentos/631/07704225944/6310770422594406092023134420.pdf</t>
  </si>
  <si>
    <t>https://dpmzos25m8ivg.cloudfront.net/Documentos/631/07707870450/6310770787045011092023000551.pdf</t>
  </si>
  <si>
    <t>https://dpmzos25m8ivg.cloudfront.net/Documentos/631/07708710464/6310770871046407092023132953.jpg</t>
  </si>
  <si>
    <t>https://dpmzos25m8ivg.cloudfront.net/Documentos/631/07711184573/6310771118457311092023114856.pdf</t>
  </si>
  <si>
    <t>https://dpmzos25m8ivg.cloudfront.net/Documentos/631/07715249351/6310771524935105092023211736.pdf</t>
  </si>
  <si>
    <t>https://dpmzos25m8ivg.cloudfront.net/Documentos/631/07717798522/6310771779852211092023120415.jpg</t>
  </si>
  <si>
    <t>https://dpmzos25m8ivg.cloudfront.net/Documentos/631/07718762467/6310771876246705092023143316.pdf</t>
  </si>
  <si>
    <t>https://dpmzos25m8ivg.cloudfront.net/Documentos/631/07719913558/6310771991355811092023164811.jpg</t>
  </si>
  <si>
    <t>https://dpmzos25m8ivg.cloudfront.net/Documentos/631/07720969960/6310772096996011092023144519.jpg</t>
  </si>
  <si>
    <t>https://dpmzos25m8ivg.cloudfront.net/Documentos/631/07721391563/6310772139156308092023183257.jpg</t>
  </si>
  <si>
    <t>https://dpmzos25m8ivg.cloudfront.net/Documentos/631/07721497558/6310772149755805092023224702.jpg</t>
  </si>
  <si>
    <t>https://dpmzos25m8ivg.cloudfront.net/Documentos/631/07726976390/6310772697639009092023161412.pdf</t>
  </si>
  <si>
    <t>https://dpmzos25m8ivg.cloudfront.net/Documentos/631/07730135558/6310773013555808092023185702.pdf</t>
  </si>
  <si>
    <t>https://dpmzos25m8ivg.cloudfront.net/Documentos/631/07730945550/6310773094555011092023150010.pdf</t>
  </si>
  <si>
    <t>https://dpmzos25m8ivg.cloudfront.net/Documentos/631/07731797805/6310773179780511092023113929.pdf</t>
  </si>
  <si>
    <t>https://dpmzos25m8ivg.cloudfront.net/Documentos/631/07734197566/6310773419756605092023190246.jpeg</t>
  </si>
  <si>
    <t>https://dpmzos25m8ivg.cloudfront.net/Documentos/631/07736644594/6310773664459411092023114614.jpg</t>
  </si>
  <si>
    <t>https://dpmzos25m8ivg.cloudfront.net/Documentos/631/07739852635/6310773985263506092023195425.jpg</t>
  </si>
  <si>
    <t>https://dpmzos25m8ivg.cloudfront.net/Documentos/631/07740003506/6310774000350614092023161638.pdf</t>
  </si>
  <si>
    <t>https://dpmzos25m8ivg.cloudfront.net/Documentos/631/07742540762/6310774254076211092023155327.pdf</t>
  </si>
  <si>
    <t>https://dpmzos25m8ivg.cloudfront.net/Documentos/631/07744180100/6310774418010006092023134009.pdf</t>
  </si>
  <si>
    <t>https://dpmzos25m8ivg.cloudfront.net/Documentos/631/07744729366/6310774472936614092023104823.pdf</t>
  </si>
  <si>
    <t>https://dpmzos25m8ivg.cloudfront.net/Documentos/631/07749841474/6310774984147411092023150455.jpg</t>
  </si>
  <si>
    <t>https://dpmzos25m8ivg.cloudfront.net/Documentos/631/07750302956/6310775030295610092023180053.pdf</t>
  </si>
  <si>
    <t>https://dpmzos25m8ivg.cloudfront.net/Documentos/631/07754872790/6310775487279009092023185606.pdf</t>
  </si>
  <si>
    <t>https://dpmzos25m8ivg.cloudfront.net/Documentos/631/07755768325/6310775576832507092023151537.pdf</t>
  </si>
  <si>
    <t>https://dpmzos25m8ivg.cloudfront.net/Documentos/631/07755818365/6310775581836507092023155135.pdf</t>
  </si>
  <si>
    <t>https://dpmzos25m8ivg.cloudfront.net/Documentos/631/07757612144/6310775761214411092023150158.pdf</t>
  </si>
  <si>
    <t>https://dpmzos25m8ivg.cloudfront.net/Documentos/631/07759229437/6310775922943705092023142956.pdf</t>
  </si>
  <si>
    <t>https://dpmzos25m8ivg.cloudfront.net/Documentos/631/07759627327/6310775962732709092023140835.jpeg</t>
  </si>
  <si>
    <t>https://dpmzos25m8ivg.cloudfront.net/Documentos/631/07760504357/6310776050435707092023123709.pdf</t>
  </si>
  <si>
    <t>https://dpmzos25m8ivg.cloudfront.net/Documentos/631/07762244506/6310776224450611092023144745.jpg</t>
  </si>
  <si>
    <t>https://dpmzos25m8ivg.cloudfront.net/Documentos/631/07762344470/6310776234447005092023185918.pdf</t>
  </si>
  <si>
    <t>https://dpmzos25m8ivg.cloudfront.net/Documentos/631/07762669345/6310776266934509092023134258.pdf</t>
  </si>
  <si>
    <t>https://dpmzos25m8ivg.cloudfront.net/Documentos/631/07763929561/6310776392956111092023153309.pdf</t>
  </si>
  <si>
    <t>https://dpmzos25m8ivg.cloudfront.net/Documentos/631/07766366428/6310776636642808092023141931.pdf</t>
  </si>
  <si>
    <t>https://dpmzos25m8ivg.cloudfront.net/Documentos/631/07766780356/6310776678035611092023152417.pdf</t>
  </si>
  <si>
    <t>https://dpmzos25m8ivg.cloudfront.net/Documentos/631/07767087751/6310776708775111092023091436.pdf</t>
  </si>
  <si>
    <t>https://dpmzos25m8ivg.cloudfront.net/Documentos/631/07768128745/6310776812874511092023144437.jpeg</t>
  </si>
  <si>
    <t>https://dpmzos25m8ivg.cloudfront.net/Documentos/631/07769215331/6310776921533111092023133801.pdf</t>
  </si>
  <si>
    <t>https://dpmzos25m8ivg.cloudfront.net/Documentos/631/07770451760/6310777045176013092023155330.jpeg</t>
  </si>
  <si>
    <t>https://dpmzos25m8ivg.cloudfront.net/Documentos/631/07772128541/6310777212854104092023173415.pdf</t>
  </si>
  <si>
    <t>https://dpmzos25m8ivg.cloudfront.net/Documentos/631/07773387770/6310777338777013092023161002.pdf</t>
  </si>
  <si>
    <t>https://dpmzos25m8ivg.cloudfront.net/Documentos/631/07776224596/6310777622459606092023144223.pdf</t>
  </si>
  <si>
    <t>https://dpmzos25m8ivg.cloudfront.net/Documentos/631/07777997408/6310777799740805092023151051.pdf</t>
  </si>
  <si>
    <t>https://dpmzos25m8ivg.cloudfront.net/Documentos/631/07780926583/6310778092658310092023200229.pdf</t>
  </si>
  <si>
    <t>https://dpmzos25m8ivg.cloudfront.net/Documentos/631/07780942945/6310778094294513092023150918.jpg</t>
  </si>
  <si>
    <t>https://dpmzos25m8ivg.cloudfront.net/Documentos/631/07785274339/6310778527433913092023221200.pdf</t>
  </si>
  <si>
    <t>https://dpmzos25m8ivg.cloudfront.net/Documentos/631/07786375147/6310778637514710092023235117.pdf</t>
  </si>
  <si>
    <t>https://dpmzos25m8ivg.cloudfront.net/Documentos/631/07787198559/6310778719855910092023110945.pdf</t>
  </si>
  <si>
    <t>https://dpmzos25m8ivg.cloudfront.net/Documentos/631/07788952389/6310778895238909092023144458.pdf</t>
  </si>
  <si>
    <t>https://dpmzos25m8ivg.cloudfront.net/Documentos/631/07790940503/6310779094050311092023165138.pdf</t>
  </si>
  <si>
    <t>https://dpmzos25m8ivg.cloudfront.net/Documentos/631/07799444371/6310779944437111092023151829.pdf</t>
  </si>
  <si>
    <t>https://dpmzos25m8ivg.cloudfront.net/Documentos/631/07800795152/6310780079515207092023162325.pdf</t>
  </si>
  <si>
    <t>https://dpmzos25m8ivg.cloudfront.net/Documentos/631/07801567579/6310780156757911092023165354.pdf</t>
  </si>
  <si>
    <t>https://dpmzos25m8ivg.cloudfront.net/Documentos/631/07813224302/6310781322430211092023134737.pdf</t>
  </si>
  <si>
    <t>https://dpmzos25m8ivg.cloudfront.net/Documentos/631/07813851560/6310781385156005092023201118.jpg</t>
  </si>
  <si>
    <t>https://dpmzos25m8ivg.cloudfront.net/Documentos/631/07814075327/6310781407532705092023212039.pdf</t>
  </si>
  <si>
    <t>https://dpmzos25m8ivg.cloudfront.net/Documentos/631/07817071535/6310781707153507092023224859.pdf</t>
  </si>
  <si>
    <t>https://dpmzos25m8ivg.cloudfront.net/Documentos/631/07817941106/6310781794110611092023124925.pdf</t>
  </si>
  <si>
    <t>https://dpmzos25m8ivg.cloudfront.net/Documentos/631/07818098780/6310781809878010092023231635.pdf</t>
  </si>
  <si>
    <t>https://dpmzos25m8ivg.cloudfront.net/Documentos/631/07820316330/6310782031633011092023154346.pdf</t>
  </si>
  <si>
    <t>https://dpmzos25m8ivg.cloudfront.net/Documentos/631/07821692441/6310782169244113092023162539.jpg</t>
  </si>
  <si>
    <t>https://dpmzos25m8ivg.cloudfront.net/Documentos/631/07823191300/6310782319130011092023134404.pdf</t>
  </si>
  <si>
    <t>https://dpmzos25m8ivg.cloudfront.net/Documentos/631/07825253345/6310782525334510092023193541.pdf</t>
  </si>
  <si>
    <t>https://dpmzos25m8ivg.cloudfront.net/Documentos/631/07828908571/6310782890857107092023160330.jpg</t>
  </si>
  <si>
    <t>https://dpmzos25m8ivg.cloudfront.net/Documentos/631/07830485305/6310783048530511092023103258.pdf</t>
  </si>
  <si>
    <t>https://dpmzos25m8ivg.cloudfront.net/Documentos/631/07831364471/6310783136447111092023002246.pdf</t>
  </si>
  <si>
    <t>https://dpmzos25m8ivg.cloudfront.net/Documentos/631/07831431411/6310783143141105092023212957.pdf</t>
  </si>
  <si>
    <t>https://dpmzos25m8ivg.cloudfront.net/Documentos/631/07832113502/6310783211350211092023163518.pdf</t>
  </si>
  <si>
    <t>https://dpmzos25m8ivg.cloudfront.net/Documentos/631/07832328967/6310783232896705092023175116.pdf</t>
  </si>
  <si>
    <t>https://dpmzos25m8ivg.cloudfront.net/Documentos/631/07832957310/6310783295731011092023131235.pdf</t>
  </si>
  <si>
    <t>https://dpmzos25m8ivg.cloudfront.net/Documentos/631/07833855529/6310783385552907092023204946.pdf</t>
  </si>
  <si>
    <t>https://dpmzos25m8ivg.cloudfront.net/Documentos/631/07837942159/6310783794215905092023164651.pdf</t>
  </si>
  <si>
    <t>https://dpmzos25m8ivg.cloudfront.net/Documentos/631/07840860362/6310784086036209092023011536.pdf</t>
  </si>
  <si>
    <t>https://dpmzos25m8ivg.cloudfront.net/Documentos/631/07843816747/6310784381674705092023221740.pdf</t>
  </si>
  <si>
    <t>https://dpmzos25m8ivg.cloudfront.net/Documentos/631/07844568607/6310784456860705092023145331.pdf</t>
  </si>
  <si>
    <t>https://dpmzos25m8ivg.cloudfront.net/Documentos/631/07844759461/6310784475946107092023163648.pdf</t>
  </si>
  <si>
    <t>https://dpmzos25m8ivg.cloudfront.net/Documentos/631/07846427377/6310784642737705092023160504.pdf</t>
  </si>
  <si>
    <t>https://dpmzos25m8ivg.cloudfront.net/Documentos/631/07847464357/6310784746435711092023153702.pdf</t>
  </si>
  <si>
    <t>https://dpmzos25m8ivg.cloudfront.net/Documentos/631/07849324501/6310784932450114092023144849.pdf</t>
  </si>
  <si>
    <t>https://dpmzos25m8ivg.cloudfront.net/Documentos/631/07849732537/6310784973253708092023182753.pdf</t>
  </si>
  <si>
    <t>https://dpmzos25m8ivg.cloudfront.net/Documentos/631/07851609909/6310785160990911092023142355.pdf</t>
  </si>
  <si>
    <t>https://dpmzos25m8ivg.cloudfront.net/Documentos/631/07853929390/6310785392939011092023164437.pdf</t>
  </si>
  <si>
    <t>https://dpmzos25m8ivg.cloudfront.net/Documentos/631/07858308475/6310785830847505092023201203.jpeg</t>
  </si>
  <si>
    <t>https://dpmzos25m8ivg.cloudfront.net/Documentos/631/07859423510/6310785942351009092023094233.jpg</t>
  </si>
  <si>
    <t>https://dpmzos25m8ivg.cloudfront.net/Documentos/631/07861014312/6310786101431211092023111804.pdf</t>
  </si>
  <si>
    <t>https://dpmzos25m8ivg.cloudfront.net/Documentos/631/07863331382/6310786333138210092023234559.jpg</t>
  </si>
  <si>
    <t>https://dpmzos25m8ivg.cloudfront.net/Documentos/631/07865645392/6310786564539213092023033215.pdf</t>
  </si>
  <si>
    <t>https://dpmzos25m8ivg.cloudfront.net/Documentos/631/07869300551/6310786930055107092023180429.jpg</t>
  </si>
  <si>
    <t>https://dpmzos25m8ivg.cloudfront.net/Documentos/631/07869345490/6310786934549009092023223222.jpeg</t>
  </si>
  <si>
    <t>https://dpmzos25m8ivg.cloudfront.net/Documentos/631/07870065560/6310787006556009092023182356.pdf</t>
  </si>
  <si>
    <t>https://dpmzos25m8ivg.cloudfront.net/Documentos/631/07870684384/6310787068438411092023152045.jpg</t>
  </si>
  <si>
    <t>https://dpmzos25m8ivg.cloudfront.net/Documentos/631/07871005367/6310787100536709092023023836.pdf</t>
  </si>
  <si>
    <t>https://dpmzos25m8ivg.cloudfront.net/Documentos/631/07871268376/6310787126837614092023150203.pdf</t>
  </si>
  <si>
    <t>https://dpmzos25m8ivg.cloudfront.net/Documentos/631/07872001314/6310787200131414092023055029.jpeg</t>
  </si>
  <si>
    <t>https://dpmzos25m8ivg.cloudfront.net/Documentos/631/07873096564/6310787309656411092023151157.pdf</t>
  </si>
  <si>
    <t>https://dpmzos25m8ivg.cloudfront.net/Documentos/631/07873415503/6310787341550311092023164654.pdf</t>
  </si>
  <si>
    <t>https://dpmzos25m8ivg.cloudfront.net/Documentos/631/07873619508/6310787361950814092023133733.pdf</t>
  </si>
  <si>
    <t>https://dpmzos25m8ivg.cloudfront.net/Documentos/631/07874184556/6310787418455611092023131831.pdf</t>
  </si>
  <si>
    <t>https://dpmzos25m8ivg.cloudfront.net/Documentos/631/07874506693/6310787450669311092023141326.pdf</t>
  </si>
  <si>
    <t>https://dpmzos25m8ivg.cloudfront.net/Documentos/631/07877952597/6310787795259709092023172148.jpg</t>
  </si>
  <si>
    <t>https://dpmzos25m8ivg.cloudfront.net/Documentos/631/07878246580/6310787824658011092023102508.jpeg</t>
  </si>
  <si>
    <t>https://dpmzos25m8ivg.cloudfront.net/Documentos/631/07880412581/6310788041258110092023204443.pdf</t>
  </si>
  <si>
    <t>https://dpmzos25m8ivg.cloudfront.net/Documentos/631/07881735376/6310788173537611092023094731.pdf</t>
  </si>
  <si>
    <t>https://dpmzos25m8ivg.cloudfront.net/Documentos/631/07883702513/6310788370251310092023131844.pdf</t>
  </si>
  <si>
    <t>https://dpmzos25m8ivg.cloudfront.net/Documentos/631/07884600560/6310788460056011092023113153.jpeg</t>
  </si>
  <si>
    <t>https://dpmzos25m8ivg.cloudfront.net/Documentos/631/07884781417/6310788478141706092023135845.pdf</t>
  </si>
  <si>
    <t>https://dpmzos25m8ivg.cloudfront.net/Documentos/631/07884783541/6310788478354111092023124635.pdf</t>
  </si>
  <si>
    <t>https://dpmzos25m8ivg.cloudfront.net/Documentos/631/07887424690/6310788742469008092023091503.pdf</t>
  </si>
  <si>
    <t>https://dpmzos25m8ivg.cloudfront.net/Documentos/631/07888742505/6310788874250505092023123401.pdf</t>
  </si>
  <si>
    <t>https://dpmzos25m8ivg.cloudfront.net/Documentos/631/07889961502/6310788996150213092023090644.pdf</t>
  </si>
  <si>
    <t>https://dpmzos25m8ivg.cloudfront.net/Documentos/631/07890909454/6310789090945405092023134009.pdf</t>
  </si>
  <si>
    <t>https://dpmzos25m8ivg.cloudfront.net/Documentos/631/07891200700/6310789120070010092023223345.jpg</t>
  </si>
  <si>
    <t>https://dpmzos25m8ivg.cloudfront.net/Documentos/631/07891896585/6310789189658505092023104118.pdf</t>
  </si>
  <si>
    <t>https://dpmzos25m8ivg.cloudfront.net/Documentos/631/07895128582/6310789512858211092023140354.pdf</t>
  </si>
  <si>
    <t>https://dpmzos25m8ivg.cloudfront.net/Documentos/631/07895276506/6310789527650609092023122802.jpg</t>
  </si>
  <si>
    <t>https://dpmzos25m8ivg.cloudfront.net/Documentos/631/07895290509/6310789529050907092023155248.pdf</t>
  </si>
  <si>
    <t>https://dpmzos25m8ivg.cloudfront.net/Documentos/631/07895401424/6310789540142405092023100210.pdf</t>
  </si>
  <si>
    <t>https://dpmzos25m8ivg.cloudfront.net/Documentos/631/07895854569/6310789585456905092023164432.pdf</t>
  </si>
  <si>
    <t>https://dpmzos25m8ivg.cloudfront.net/Documentos/631/07896120542/6310789612054211092023150852.pdf</t>
  </si>
  <si>
    <t>https://dpmzos25m8ivg.cloudfront.net/Documentos/631/07897382524/6310789738252411092023130119.jpeg</t>
  </si>
  <si>
    <t>https://dpmzos25m8ivg.cloudfront.net/Documentos/631/07899587590/6310789958759011092023163803.pdf</t>
  </si>
  <si>
    <t>https://dpmzos25m8ivg.cloudfront.net/Documentos/631/07899711517/6310789971151711092023161716.pdf</t>
  </si>
  <si>
    <t>https://dpmzos25m8ivg.cloudfront.net/Documentos/631/07902171557/6310790217155711092023161608.pdf</t>
  </si>
  <si>
    <t>https://dpmzos25m8ivg.cloudfront.net/Documentos/631/07902938629/6310790293862911092023131356.jpg</t>
  </si>
  <si>
    <t>https://dpmzos25m8ivg.cloudfront.net/Documentos/631/07905426505/6310790542650511092023102149.pdf</t>
  </si>
  <si>
    <t>https://dpmzos25m8ivg.cloudfront.net/Documentos/631/07906841522/6310790684152207092023161437.pdf</t>
  </si>
  <si>
    <t>https://dpmzos25m8ivg.cloudfront.net/Documentos/631/07907082560/6310790708256011092023113332.pdf</t>
  </si>
  <si>
    <t>https://dpmzos25m8ivg.cloudfront.net/Documentos/631/07909648308/6310790964830809092023194335.pdf</t>
  </si>
  <si>
    <t>https://dpmzos25m8ivg.cloudfront.net/Documentos/631/07910519435/6310791051943511092023161144.pdf</t>
  </si>
  <si>
    <t>https://dpmzos25m8ivg.cloudfront.net/Documentos/631/07910699310/6310791069931011092023135123.pdf</t>
  </si>
  <si>
    <t>https://dpmzos25m8ivg.cloudfront.net/Documentos/631/07910925344/6310791092534408092023203610.pdf</t>
  </si>
  <si>
    <t>https://dpmzos25m8ivg.cloudfront.net/Documentos/631/07911366390/6310791136639011092023132135.pdf</t>
  </si>
  <si>
    <t>https://dpmzos25m8ivg.cloudfront.net/Documentos/631/07914870323/6310791487032311092023152240.pdf</t>
  </si>
  <si>
    <t>https://dpmzos25m8ivg.cloudfront.net/Documentos/631/07926064424/6310792606442409092023121055.pdf</t>
  </si>
  <si>
    <t>https://dpmzos25m8ivg.cloudfront.net/Documentos/631/07927489640/6310792748964009092023190951.jpg</t>
  </si>
  <si>
    <t>https://dpmzos25m8ivg.cloudfront.net/Documentos/631/07931784367/6310793178436709092023132145.pdf</t>
  </si>
  <si>
    <t>https://dpmzos25m8ivg.cloudfront.net/Documentos/631/07935872554/6310793587255411092023160421.pdf</t>
  </si>
  <si>
    <t>https://dpmzos25m8ivg.cloudfront.net/Documentos/631/07938595659/6310793859565910092023211845.jpg</t>
  </si>
  <si>
    <t>https://dpmzos25m8ivg.cloudfront.net/Documentos/631/07939384732/6310793938473211092023170042.pdf</t>
  </si>
  <si>
    <t>https://dpmzos25m8ivg.cloudfront.net/Documentos/631/07942353958/6310794235395811092023123956.pdf</t>
  </si>
  <si>
    <t>https://dpmzos25m8ivg.cloudfront.net/Documentos/631/07952241338/6310795224133814092023150806.pdf</t>
  </si>
  <si>
    <t>https://dpmzos25m8ivg.cloudfront.net/Documentos/631/07959566658/6310795956665810092023183049.jpeg</t>
  </si>
  <si>
    <t>https://dpmzos25m8ivg.cloudfront.net/Documentos/631/07960329630/6310796032963011092023143322.jpg</t>
  </si>
  <si>
    <t>https://dpmzos25m8ivg.cloudfront.net/Documentos/631/07970164307/6310797016430708092023101836.pdf</t>
  </si>
  <si>
    <t>https://dpmzos25m8ivg.cloudfront.net/Documentos/631/07971827725/6310797182772510092023173112.jpg</t>
  </si>
  <si>
    <t>https://dpmzos25m8ivg.cloudfront.net/Documentos/631/07972470928/6310797247092811092023131510.jpg</t>
  </si>
  <si>
    <t>https://dpmzos25m8ivg.cloudfront.net/Documentos/631/07972886350/6310797288635009092023194134.pdf</t>
  </si>
  <si>
    <t>https://dpmzos25m8ivg.cloudfront.net/Documentos/631/07976923390/6310797692339011092023154618.pdf</t>
  </si>
  <si>
    <t>https://dpmzos25m8ivg.cloudfront.net/Documentos/631/07980261623/6310798026162305092023215509.jpeg</t>
  </si>
  <si>
    <t>https://dpmzos25m8ivg.cloudfront.net/Documentos/631/07982478786/6310798247878606092023182127.pdf</t>
  </si>
  <si>
    <t>https://dpmzos25m8ivg.cloudfront.net/Documentos/631/07985103155/6310798510315511092023165917.jpeg</t>
  </si>
  <si>
    <t>https://dpmzos25m8ivg.cloudfront.net/Documentos/631/07991311309/6310799131130911092023084932.pdf</t>
  </si>
  <si>
    <t>https://dpmzos25m8ivg.cloudfront.net/Documentos/631/07993239346/6310799323934611092023111814.pdf</t>
  </si>
  <si>
    <t>https://dpmzos25m8ivg.cloudfront.net/Documentos/631/07996731969/6310799673196905092023211040.pdf</t>
  </si>
  <si>
    <t>https://dpmzos25m8ivg.cloudfront.net/Documentos/631/07996914966/6310799691496608092023205732.jpg</t>
  </si>
  <si>
    <t>https://dpmzos25m8ivg.cloudfront.net/Documentos/631/07997945547/6310799794554710092023155803.pdf</t>
  </si>
  <si>
    <t>https://dpmzos25m8ivg.cloudfront.net/Documentos/631/08000128101/6310800012810113092023175447.pdf</t>
  </si>
  <si>
    <t>https://dpmzos25m8ivg.cloudfront.net/Documentos/631/08000171457/6310800017145711092023140600.pdf</t>
  </si>
  <si>
    <t>https://dpmzos25m8ivg.cloudfront.net/Documentos/631/08000520303/6310800052030311092023144631.pdf</t>
  </si>
  <si>
    <t>https://dpmzos25m8ivg.cloudfront.net/Documentos/631/08000865548/6310800086554811092023102848.pdf</t>
  </si>
  <si>
    <t>https://dpmzos25m8ivg.cloudfront.net/Documentos/631/08001199401/6310800119940105092023235029.jpg</t>
  </si>
  <si>
    <t>https://dpmzos25m8ivg.cloudfront.net/Documentos/631/08003170508/6310800317050811092023120859.pdf</t>
  </si>
  <si>
    <t>https://dpmzos25m8ivg.cloudfront.net/Documentos/631/08003822343/6310800382234305092023151630.pdf</t>
  </si>
  <si>
    <t>https://dpmzos25m8ivg.cloudfront.net/Documentos/631/08004995578/6310800499557806092023145412.pdf</t>
  </si>
  <si>
    <t>https://dpmzos25m8ivg.cloudfront.net/Documentos/631/08013461777/6310801346177706092023084913.pdf</t>
  </si>
  <si>
    <t>https://dpmzos25m8ivg.cloudfront.net/Documentos/631/08018639370/6310801863937008092023193030.pdf</t>
  </si>
  <si>
    <t>https://dpmzos25m8ivg.cloudfront.net/Documentos/631/08020203648/6310802020364805092023084451.pdf</t>
  </si>
  <si>
    <t>https://dpmzos25m8ivg.cloudfront.net/Documentos/631/08022088439/6310802208843908092023105921.jpg</t>
  </si>
  <si>
    <t>https://dpmzos25m8ivg.cloudfront.net/Documentos/631/08022421626/6310802242162611092023162210.jpeg</t>
  </si>
  <si>
    <t>https://dpmzos25m8ivg.cloudfront.net/Documentos/631/08026423658/6310802642365811092023142607.pdf</t>
  </si>
  <si>
    <t>https://dpmzos25m8ivg.cloudfront.net/Documentos/631/08026773985/6310802677398511092023165353.jpeg</t>
  </si>
  <si>
    <t>https://dpmzos25m8ivg.cloudfront.net/Documentos/631/08029957483/6310802995748306092023143110.jpg</t>
  </si>
  <si>
    <t>https://dpmzos25m8ivg.cloudfront.net/Documentos/631/08030290551/6310803029055113092023012215.pdf</t>
  </si>
  <si>
    <t>https://dpmzos25m8ivg.cloudfront.net/Documentos/631/08030739338/6310803073933807092023165302.pdf</t>
  </si>
  <si>
    <t>https://dpmzos25m8ivg.cloudfront.net/Documentos/631/08031929408/6310803192940806092023183155.jpeg</t>
  </si>
  <si>
    <t>https://dpmzos25m8ivg.cloudfront.net/Documentos/631/08032509755/6310803250975510092023171633.jpeg</t>
  </si>
  <si>
    <t>https://dpmzos25m8ivg.cloudfront.net/Documentos/631/08032740171/6310803274017106092023120232.pdf</t>
  </si>
  <si>
    <t>https://dpmzos25m8ivg.cloudfront.net/Documentos/631/08036732300/6310803673230008092023174951.pdf</t>
  </si>
  <si>
    <t>https://dpmzos25m8ivg.cloudfront.net/Documentos/631/08036735580/6310803673558009092023131245.pdf</t>
  </si>
  <si>
    <t>https://dpmzos25m8ivg.cloudfront.net/Documentos/631/08037128555/6310803712855505092023164830.jpeg</t>
  </si>
  <si>
    <t>https://dpmzos25m8ivg.cloudfront.net/Documentos/631/08037193616/6310803719361614092023145246.jpg</t>
  </si>
  <si>
    <t>https://dpmzos25m8ivg.cloudfront.net/Documentos/631/08038525507/6310803852550709092023010924.jpg</t>
  </si>
  <si>
    <t>https://dpmzos25m8ivg.cloudfront.net/Documentos/631/08042619626/6310804261962611092023140021.pdf</t>
  </si>
  <si>
    <t>https://dpmzos25m8ivg.cloudfront.net/Documentos/631/08043114986/6310804311498606092023121924.pdf</t>
  </si>
  <si>
    <t>https://dpmzos25m8ivg.cloudfront.net/Documentos/631/08045098325/6310804509832514092023145322.jpeg</t>
  </si>
  <si>
    <t>https://dpmzos25m8ivg.cloudfront.net/Documentos/631/08049784681/6310804978468108092023153510.pdf</t>
  </si>
  <si>
    <t>https://dpmzos25m8ivg.cloudfront.net/Documentos/631/08049828484/6310804982848405092023084736.pdf</t>
  </si>
  <si>
    <t>https://dpmzos25m8ivg.cloudfront.net/Documentos/631/08051088310/6310805108831006092023154736.pdf</t>
  </si>
  <si>
    <t>https://dpmzos25m8ivg.cloudfront.net/Documentos/631/08051555546/6310805155554611092023160344.pdf</t>
  </si>
  <si>
    <t>https://dpmzos25m8ivg.cloudfront.net/Documentos/631/08053584390/6310805358439008092023155330.pdf</t>
  </si>
  <si>
    <t>https://dpmzos25m8ivg.cloudfront.net/Documentos/631/08054735308/6310805473530808092023211045.pdf</t>
  </si>
  <si>
    <t>https://dpmzos25m8ivg.cloudfront.net/Documentos/631/08058106330/6310805810633010092023103856.pdf</t>
  </si>
  <si>
    <t>https://dpmzos25m8ivg.cloudfront.net/Documentos/631/08063809505/6310806380950511092023125247.pdf</t>
  </si>
  <si>
    <t>https://dpmzos25m8ivg.cloudfront.net/Documentos/631/08066646658/6310806664665811092023101459.pdf</t>
  </si>
  <si>
    <t>https://dpmzos25m8ivg.cloudfront.net/Documentos/631/08067335435/6310806733543505092023084818.pdf</t>
  </si>
  <si>
    <t>https://dpmzos25m8ivg.cloudfront.net/Documentos/631/08068428577/6310806842857708092023175057.pdf</t>
  </si>
  <si>
    <t>https://dpmzos25m8ivg.cloudfront.net/Documentos/631/08068834567/6310806883456711092023155252.pdf</t>
  </si>
  <si>
    <t>https://dpmzos25m8ivg.cloudfront.net/Documentos/631/08069962429/6310806996242911092023085826.pdf</t>
  </si>
  <si>
    <t>https://dpmzos25m8ivg.cloudfront.net/Documentos/631/08074226492/6310807422649211092023170300.jpeg</t>
  </si>
  <si>
    <t>https://dpmzos25m8ivg.cloudfront.net/Documentos/631/08075372506/6310807537250611092023162455.pdf</t>
  </si>
  <si>
    <t>https://dpmzos25m8ivg.cloudfront.net/Documentos/631/08077717918/6310807771791811092023150412.pdf</t>
  </si>
  <si>
    <t>https://dpmzos25m8ivg.cloudfront.net/Documentos/631/08081113100/6310808111310010092023225911.jpeg</t>
  </si>
  <si>
    <t>https://dpmzos25m8ivg.cloudfront.net/Documentos/631/08081614150/6310808161415014092023163956.pdf</t>
  </si>
  <si>
    <t>https://dpmzos25m8ivg.cloudfront.net/Documentos/631/08082186461/6310808218646110092023213236.pdf</t>
  </si>
  <si>
    <t>https://dpmzos25m8ivg.cloudfront.net/Documentos/631/08085251310/6310808525131005092023134538.pdf</t>
  </si>
  <si>
    <t>https://dpmzos25m8ivg.cloudfront.net/Documentos/631/08090292518/6310809029251811092023152326.pdf</t>
  </si>
  <si>
    <t>https://dpmzos25m8ivg.cloudfront.net/Documentos/631/08091349696/6310809134969606092023131139.jpg</t>
  </si>
  <si>
    <t>https://dpmzos25m8ivg.cloudfront.net/Documentos/631/08091836767/6310809183676714092023133014.pdf</t>
  </si>
  <si>
    <t>https://dpmzos25m8ivg.cloudfront.net/Documentos/631/08097427486/6310809742748611092023165101.pdf</t>
  </si>
  <si>
    <t>https://dpmzos25m8ivg.cloudfront.net/Documentos/631/08098470512/6310809847051214092023150841.pdf</t>
  </si>
  <si>
    <t>https://dpmzos25m8ivg.cloudfront.net/Documentos/631/08100347948/6310810034794810092023220244.jpeg</t>
  </si>
  <si>
    <t>https://dpmzos25m8ivg.cloudfront.net/Documentos/631/08109436978/6310810943697813092023161149.pdf</t>
  </si>
  <si>
    <t>https://dpmzos25m8ivg.cloudfront.net/Documentos/631/08112422931/6310811242293111092023101050.pdf</t>
  </si>
  <si>
    <t>https://dpmzos25m8ivg.cloudfront.net/Documentos/631/08117583542/6310811758354207092023193149.pdf</t>
  </si>
  <si>
    <t>https://dpmzos25m8ivg.cloudfront.net/Documentos/631/08123319312/6310812331931211092023125453.pdf</t>
  </si>
  <si>
    <t>https://dpmzos25m8ivg.cloudfront.net/Documentos/631/08126008512/6310812600851208092023183407.pdf</t>
  </si>
  <si>
    <t>https://dpmzos25m8ivg.cloudfront.net/Documentos/631/08128156616/6310812815661608092023175515.pdf</t>
  </si>
  <si>
    <t>https://dpmzos25m8ivg.cloudfront.net/Documentos/631/08131200710/6310813120071014092023164140.jpg</t>
  </si>
  <si>
    <t>https://dpmzos25m8ivg.cloudfront.net/Documentos/631/08131672565/6310813167256505092023223256.pdf</t>
  </si>
  <si>
    <t>https://dpmzos25m8ivg.cloudfront.net/Documentos/631/08132797981/6310813279798110092023221211.pdf</t>
  </si>
  <si>
    <t>https://dpmzos25m8ivg.cloudfront.net/Documentos/631/08140643378/6310814064337808092023164113.pdf</t>
  </si>
  <si>
    <t>https://dpmzos25m8ivg.cloudfront.net/Documentos/631/08142879565/6310814287956510092023104351.pdf</t>
  </si>
  <si>
    <t>https://dpmzos25m8ivg.cloudfront.net/Documentos/631/08148404500/6310814840450011092023132541.pdf</t>
  </si>
  <si>
    <t>https://dpmzos25m8ivg.cloudfront.net/Documentos/631/08151047585/6310815104758514092023120009.pdf</t>
  </si>
  <si>
    <t>https://dpmzos25m8ivg.cloudfront.net/Documentos/631/08151973307/6310815197330713092023150504.pdf</t>
  </si>
  <si>
    <t>https://dpmzos25m8ivg.cloudfront.net/Documentos/631/08155541762/6310815554176207092023153618.jpg</t>
  </si>
  <si>
    <t>https://dpmzos25m8ivg.cloudfront.net/Documentos/631/08155665658/6310815566565811092023124144.pdf</t>
  </si>
  <si>
    <t>https://dpmzos25m8ivg.cloudfront.net/Documentos/631/08157797713/6310815779771310092023225924.pdf</t>
  </si>
  <si>
    <t>https://dpmzos25m8ivg.cloudfront.net/Documentos/631/08158245803/6310815824580306092023113736.jpg</t>
  </si>
  <si>
    <t>https://dpmzos25m8ivg.cloudfront.net/Documentos/631/08163363347/6310816336334711092023133028.jpeg</t>
  </si>
  <si>
    <t>https://dpmzos25m8ivg.cloudfront.net/Documentos/631/08166089386/6310816608938610092023161510.pdf</t>
  </si>
  <si>
    <t>https://dpmzos25m8ivg.cloudfront.net/Documentos/631/08166852667/6310816685266706092023092333.pdf</t>
  </si>
  <si>
    <t>https://dpmzos25m8ivg.cloudfront.net/Documentos/631/08168328620/6310816832862005092023093124.jpg</t>
  </si>
  <si>
    <t>https://dpmzos25m8ivg.cloudfront.net/Documentos/631/08177529609/6310817752960905092023150353.pdf</t>
  </si>
  <si>
    <t>https://dpmzos25m8ivg.cloudfront.net/Documentos/631/08184122756/6310818412275611092023061258.jpg</t>
  </si>
  <si>
    <t>https://dpmzos25m8ivg.cloudfront.net/Documentos/631/08189686720/6310818968672005092023220030.jpg</t>
  </si>
  <si>
    <t>https://dpmzos25m8ivg.cloudfront.net/Documentos/631/08190168371/6310819016837106092023121541.pdf</t>
  </si>
  <si>
    <t>https://dpmzos25m8ivg.cloudfront.net/Documentos/631/08193670604/6310819367060406092023115304.pdf</t>
  </si>
  <si>
    <t>https://dpmzos25m8ivg.cloudfront.net/Documentos/631/08193977920/6310819397792005092023132533.jpg</t>
  </si>
  <si>
    <t>https://dpmzos25m8ivg.cloudfront.net/Documentos/631/08197587523/6310819758752305092023210828.jpeg</t>
  </si>
  <si>
    <t>https://dpmzos25m8ivg.cloudfront.net/Documentos/631/08208384542/6310820838454211092023080146.jpg</t>
  </si>
  <si>
    <t>https://dpmzos25m8ivg.cloudfront.net/Documentos/631/08210410709/6310821041070905092023191903.pdf</t>
  </si>
  <si>
    <t>https://dpmzos25m8ivg.cloudfront.net/Documentos/631/08214989400/6310821498940011092023151916.pdf</t>
  </si>
  <si>
    <t>https://dpmzos25m8ivg.cloudfront.net/Documentos/631/08220621354/6310822062135411092023130116.pdf</t>
  </si>
  <si>
    <t>https://dpmzos25m8ivg.cloudfront.net/Documentos/631/08226577594/6310822657759412092023211503.jpg</t>
  </si>
  <si>
    <t>https://dpmzos25m8ivg.cloudfront.net/Documentos/631/08228686528/6310822868652810092023194353.pdf</t>
  </si>
  <si>
    <t>https://dpmzos25m8ivg.cloudfront.net/Documentos/631/08232390395/6310823239039508092023130832.pdf</t>
  </si>
  <si>
    <t>https://dpmzos25m8ivg.cloudfront.net/Documentos/631/08238110777/6310823811077705092023231604.pdf</t>
  </si>
  <si>
    <t>https://dpmzos25m8ivg.cloudfront.net/Documentos/631/08238526361/6310823852636111092023162741.pdf</t>
  </si>
  <si>
    <t>https://dpmzos25m8ivg.cloudfront.net/Documentos/631/08242350531/6310824235053110092023161049.pdf</t>
  </si>
  <si>
    <t>https://dpmzos25m8ivg.cloudfront.net/Documentos/631/08242988617/6310824298861711092023152008.jpeg</t>
  </si>
  <si>
    <t>https://dpmzos25m8ivg.cloudfront.net/Documentos/631/08243733590/6310824373359010092023205012.pdf</t>
  </si>
  <si>
    <t>https://dpmzos25m8ivg.cloudfront.net/Documentos/631/08245585378/6310824558537811092023110930.pdf</t>
  </si>
  <si>
    <t>https://dpmzos25m8ivg.cloudfront.net/Documentos/631/08245840580/6310824584058012092023184330.jpg</t>
  </si>
  <si>
    <t>https://dpmzos25m8ivg.cloudfront.net/Documentos/631/08247611546/6310824761154611092023153108.jpeg</t>
  </si>
  <si>
    <t>https://dpmzos25m8ivg.cloudfront.net/Documentos/631/08252666370/6310825266637011092023151627.pdf</t>
  </si>
  <si>
    <t>https://dpmzos25m8ivg.cloudfront.net/Documentos/631/08253593503/6310825359350311092023154200.pdf</t>
  </si>
  <si>
    <t>https://dpmzos25m8ivg.cloudfront.net/Documentos/631/08257921505/6310825792150511092023123904.pdf</t>
  </si>
  <si>
    <t>https://dpmzos25m8ivg.cloudfront.net/Documentos/631/08264243410/6310826424341009092023123744.pdf</t>
  </si>
  <si>
    <t>https://dpmzos25m8ivg.cloudfront.net/Documentos/631/08265522347/6310826552234705092023091045.pdf</t>
  </si>
  <si>
    <t>https://dpmzos25m8ivg.cloudfront.net/Documentos/631/08266052301/6310826605230110092023212047.pdf</t>
  </si>
  <si>
    <t>https://dpmzos25m8ivg.cloudfront.net/Documentos/631/08269798584/6310826979858405092023110258.pdf</t>
  </si>
  <si>
    <t>https://dpmzos25m8ivg.cloudfront.net/Documentos/631/08270750573/6310827075057310092023155315.pdf</t>
  </si>
  <si>
    <t>https://dpmzos25m8ivg.cloudfront.net/Documentos/631/08272776529/6310827277652908092023134024.pdf</t>
  </si>
  <si>
    <t>https://dpmzos25m8ivg.cloudfront.net/Documentos/631/08273377440/6310827337744014092023110737.pdf</t>
  </si>
  <si>
    <t>https://dpmzos25m8ivg.cloudfront.net/Documentos/631/08275096340/6310827509634011092023100526.jpg</t>
  </si>
  <si>
    <t>https://dpmzos25m8ivg.cloudfront.net/Documentos/631/08277243308/6310827724330810092023123811.pdf</t>
  </si>
  <si>
    <t>https://dpmzos25m8ivg.cloudfront.net/Documentos/631/08278068330/6310827806833009092023230106.pdf</t>
  </si>
  <si>
    <t>https://dpmzos25m8ivg.cloudfront.net/Documentos/631/08279525386/6310827952538610092023233749.pdf</t>
  </si>
  <si>
    <t>https://dpmzos25m8ivg.cloudfront.net/Documentos/631/08282614661/6310828261466110092023112320.pdf</t>
  </si>
  <si>
    <t>https://dpmzos25m8ivg.cloudfront.net/Documentos/631/08284065371/6310828406537111092023142659.pdf</t>
  </si>
  <si>
    <t>https://dpmzos25m8ivg.cloudfront.net/Documentos/631/08292424490/6310829242449011092023151136.pdf</t>
  </si>
  <si>
    <t>https://dpmzos25m8ivg.cloudfront.net/Documentos/631/08293447648/6310829344764806092023112450.jpeg</t>
  </si>
  <si>
    <t>https://dpmzos25m8ivg.cloudfront.net/Documentos/631/08295222473/6310829522247309092023111814.pdf</t>
  </si>
  <si>
    <t>https://dpmzos25m8ivg.cloudfront.net/Documentos/631/08295961519/6310829596151911092023151636.jpg</t>
  </si>
  <si>
    <t>https://dpmzos25m8ivg.cloudfront.net/Documentos/631/08300789405/6310830078940513092023195532.pdf</t>
  </si>
  <si>
    <t>https://dpmzos25m8ivg.cloudfront.net/Documentos/631/08305681319/6310830568131910092023175649.jpeg</t>
  </si>
  <si>
    <t>https://dpmzos25m8ivg.cloudfront.net/Documentos/631/08308749410/6310830874941011092023144924.jpeg</t>
  </si>
  <si>
    <t>https://dpmzos25m8ivg.cloudfront.net/Documentos/631/08320340373/6310832034037310092023191720.pdf</t>
  </si>
  <si>
    <t>https://dpmzos25m8ivg.cloudfront.net/Documentos/631/08321200575/6310832120057505092023094142.pdf</t>
  </si>
  <si>
    <t>https://dpmzos25m8ivg.cloudfront.net/Documentos/631/08329344614/6310832934461408092023160454.pdf</t>
  </si>
  <si>
    <t>https://dpmzos25m8ivg.cloudfront.net/Documentos/631/08332506395/6310833250639507092023181851.pdf</t>
  </si>
  <si>
    <t>https://dpmzos25m8ivg.cloudfront.net/Documentos/631/08332793785/6310833279378507092023091312.pdf</t>
  </si>
  <si>
    <t>https://dpmzos25m8ivg.cloudfront.net/Documentos/631/08335537712/6310833553771211092023101420.pdf</t>
  </si>
  <si>
    <t>https://dpmzos25m8ivg.cloudfront.net/Documentos/631/08337190760/6310833719076008092023142213.pdf</t>
  </si>
  <si>
    <t>https://dpmzos25m8ivg.cloudfront.net/Documentos/631/08337244879/6310833724487911092023094536.jpg</t>
  </si>
  <si>
    <t>https://dpmzos25m8ivg.cloudfront.net/Documentos/631/08338443344/6310833844334408092023101437.pdf</t>
  </si>
  <si>
    <t>https://dpmzos25m8ivg.cloudfront.net/Documentos/631/08338860530/6310833886053012092023204034.pdf</t>
  </si>
  <si>
    <t>https://dpmzos25m8ivg.cloudfront.net/Documentos/631/08340942409/6310834094240906092023160918.jpg</t>
  </si>
  <si>
    <t>https://dpmzos25m8ivg.cloudfront.net/Documentos/631/08344651328/6310834465132808092023125440.pdf</t>
  </si>
  <si>
    <t>https://dpmzos25m8ivg.cloudfront.net/Documentos/631/08346229470/6310834622947008092023145031.pdf</t>
  </si>
  <si>
    <t>https://dpmzos25m8ivg.cloudfront.net/Documentos/631/08348594329/6310834859432914092023170011.jpeg</t>
  </si>
  <si>
    <t>https://dpmzos25m8ivg.cloudfront.net/Documentos/631/08350478497/6310835047849714092023090352.pdf</t>
  </si>
  <si>
    <t>https://dpmzos25m8ivg.cloudfront.net/Documentos/631/08351498114/6310835149811411092023152831.pdf</t>
  </si>
  <si>
    <t>https://dpmzos25m8ivg.cloudfront.net/Documentos/631/08360933561/6310836093356114092023135747.pdf</t>
  </si>
  <si>
    <t>https://dpmzos25m8ivg.cloudfront.net/Documentos/631/08372423474/6310837242347407092023190059.pdf</t>
  </si>
  <si>
    <t>https://dpmzos25m8ivg.cloudfront.net/Documentos/631/08372979316/6310837297931611092023143732.jpg</t>
  </si>
  <si>
    <t>https://dpmzos25m8ivg.cloudfront.net/Documentos/631/08375331805/6310837533180510092023222604.pdf</t>
  </si>
  <si>
    <t>https://dpmzos25m8ivg.cloudfront.net/Documentos/631/08379877683/6310837987768305092023111624.pdf</t>
  </si>
  <si>
    <t>https://dpmzos25m8ivg.cloudfront.net/Documentos/631/08381126177/6310838112617705092023135851.pdf</t>
  </si>
  <si>
    <t>https://dpmzos25m8ivg.cloudfront.net/Documentos/631/08382535631/6310838253563110092023231850.pdf</t>
  </si>
  <si>
    <t>https://dpmzos25m8ivg.cloudfront.net/Documentos/631/08390094533/6310839009453310092023124349.pdf</t>
  </si>
  <si>
    <t>https://dpmzos25m8ivg.cloudfront.net/Documentos/631/08390938618/6310839093861807092023222351.pdf</t>
  </si>
  <si>
    <t>https://dpmzos25m8ivg.cloudfront.net/Documentos/631/08393706793/6310839370679310092023152618.jpg</t>
  </si>
  <si>
    <t>https://dpmzos25m8ivg.cloudfront.net/Documentos/631/08398892757/6310839889275711092023124153.pdf</t>
  </si>
  <si>
    <t>https://dpmzos25m8ivg.cloudfront.net/Documentos/631/08399354716/6310839935471605092023193355.pdf</t>
  </si>
  <si>
    <t>https://dpmzos25m8ivg.cloudfront.net/Documentos/631/08401893623/6310840189362309092023134628.pdf</t>
  </si>
  <si>
    <t>https://dpmzos25m8ivg.cloudfront.net/Documentos/631/08408216546/6310840821654611092023124459.pdf</t>
  </si>
  <si>
    <t>https://dpmzos25m8ivg.cloudfront.net/Documentos/631/08408731580/6310840873158011092023162125.pdf</t>
  </si>
  <si>
    <t>https://dpmzos25m8ivg.cloudfront.net/Documentos/631/08412318773/6310841231877311092023161704.pdf</t>
  </si>
  <si>
    <t>https://dpmzos25m8ivg.cloudfront.net/Documentos/631/08414154557/6310841415455713092023161059.pdf</t>
  </si>
  <si>
    <t>https://dpmzos25m8ivg.cloudfront.net/Documentos/631/08419081175/6310841908117511092023154050.jpeg</t>
  </si>
  <si>
    <t>https://dpmzos25m8ivg.cloudfront.net/Documentos/631/08419625370/6310841962537005092023203159.pdf</t>
  </si>
  <si>
    <t>https://dpmzos25m8ivg.cloudfront.net/Documentos/631/08422107414/6310842210741414092023154903.jpeg</t>
  </si>
  <si>
    <t>https://dpmzos25m8ivg.cloudfront.net/Documentos/631/08433262475/6310843326247511092023090646.jpeg</t>
  </si>
  <si>
    <t>https://dpmzos25m8ivg.cloudfront.net/Documentos/631/08433515519/6310843351551911092023140757.pdf</t>
  </si>
  <si>
    <t>https://dpmzos25m8ivg.cloudfront.net/Documentos/631/08435649547/6310843564954713092023183230.pdf</t>
  </si>
  <si>
    <t>https://dpmzos25m8ivg.cloudfront.net/Documentos/631/08436062582/6310843606258205092023111139.pdf</t>
  </si>
  <si>
    <t>https://dpmzos25m8ivg.cloudfront.net/Documentos/631/08439182503/6310843918250314092023150411.pdf</t>
  </si>
  <si>
    <t>https://dpmzos25m8ivg.cloudfront.net/Documentos/631/08440052740/6310844005274011092023094244.pdf</t>
  </si>
  <si>
    <t>https://dpmzos25m8ivg.cloudfront.net/Documentos/631/08440088507/6310844008850711092023145647.pdf</t>
  </si>
  <si>
    <t>https://dpmzos25m8ivg.cloudfront.net/Documentos/631/08441150532/6310844115053208092023184610.pdf</t>
  </si>
  <si>
    <t>https://dpmzos25m8ivg.cloudfront.net/Documentos/631/08442232982/6310844223298209092023202710.pdf</t>
  </si>
  <si>
    <t>https://dpmzos25m8ivg.cloudfront.net/Documentos/631/08443302305/6310844330230511092023130450.pdf</t>
  </si>
  <si>
    <t>https://dpmzos25m8ivg.cloudfront.net/Documentos/631/08446445441/6310844644544111092023131731.jpeg</t>
  </si>
  <si>
    <t>https://dpmzos25m8ivg.cloudfront.net/Documentos/631/08448411374/6310844841137411092023151112.pdf</t>
  </si>
  <si>
    <t>https://dpmzos25m8ivg.cloudfront.net/Documentos/631/08448722370/6310844872237011092023164442.pdf</t>
  </si>
  <si>
    <t>https://dpmzos25m8ivg.cloudfront.net/Documentos/631/08453117861/6310845311786111092023125142.pdf</t>
  </si>
  <si>
    <t>https://dpmzos25m8ivg.cloudfront.net/Documentos/631/08454382712/6310845438271205092023204729.jpeg</t>
  </si>
  <si>
    <t>https://dpmzos25m8ivg.cloudfront.net/Documentos/631/08454830480/6310845483048007092023195504.pdf</t>
  </si>
  <si>
    <t>https://dpmzos25m8ivg.cloudfront.net/Documentos/631/08459830918/6310845983091811092023153259.pdf</t>
  </si>
  <si>
    <t>https://dpmzos25m8ivg.cloudfront.net/Documentos/631/08460781399/6310846078139907092023194317.pdf</t>
  </si>
  <si>
    <t>https://dpmzos25m8ivg.cloudfront.net/Documentos/631/08462000157/6310846200015708092023135307.pdf</t>
  </si>
  <si>
    <t>https://dpmzos25m8ivg.cloudfront.net/Documentos/631/08469684523/6310846968452310092023215754.pdf</t>
  </si>
  <si>
    <t>https://dpmzos25m8ivg.cloudfront.net/Documentos/631/08471107619/6310847110761906092023001938.jpg</t>
  </si>
  <si>
    <t>https://dpmzos25m8ivg.cloudfront.net/Documentos/631/08472553442/6310847255344211092023150509.pdf</t>
  </si>
  <si>
    <t>https://dpmzos25m8ivg.cloudfront.net/Documentos/631/08499058507/6310849905850711092023161912.pdf</t>
  </si>
  <si>
    <t>https://dpmzos25m8ivg.cloudfront.net/Documentos/631/08503163675/6310850316367511092023133230.pdf</t>
  </si>
  <si>
    <t>https://dpmzos25m8ivg.cloudfront.net/Documentos/631/08510143722/6310851014372205092023105338.pdf</t>
  </si>
  <si>
    <t>https://dpmzos25m8ivg.cloudfront.net/Documentos/631/08516660516/6310851666051606092023065320.pdf</t>
  </si>
  <si>
    <t>https://dpmzos25m8ivg.cloudfront.net/Documentos/631/08520625754/6310852062575411092023165908.jpg</t>
  </si>
  <si>
    <t>https://dpmzos25m8ivg.cloudfront.net/Documentos/631/08521895836/6310852189583613092023170937.pdf</t>
  </si>
  <si>
    <t>https://dpmzos25m8ivg.cloudfront.net/Documentos/631/08524443464/6310852444346408092023135400.pdf</t>
  </si>
  <si>
    <t>https://dpmzos25m8ivg.cloudfront.net/Documentos/631/08537112674/6310853711267411092023153829.pdf</t>
  </si>
  <si>
    <t>https://dpmzos25m8ivg.cloudfront.net/Documentos/631/08537900869/6310853790086910092023225041.pdf</t>
  </si>
  <si>
    <t>https://dpmzos25m8ivg.cloudfront.net/Documentos/631/08544636403/6310854463640311092023142157.jpeg</t>
  </si>
  <si>
    <t>https://dpmzos25m8ivg.cloudfront.net/Documentos/631/08546972419/6310854697241906092023122618.jpg</t>
  </si>
  <si>
    <t>https://dpmzos25m8ivg.cloudfront.net/Documentos/631/08548443413/6310854844341311092023100821.pdf</t>
  </si>
  <si>
    <t>https://dpmzos25m8ivg.cloudfront.net/Documentos/631/08563423517/6310856342351710092023150005.pdf</t>
  </si>
  <si>
    <t>https://dpmzos25m8ivg.cloudfront.net/Documentos/631/08563890646/6310856389064611092023075915.pdf</t>
  </si>
  <si>
    <t>https://dpmzos25m8ivg.cloudfront.net/Documentos/631/08565971554/6310856597155411092023160349.jpeg</t>
  </si>
  <si>
    <t>https://dpmzos25m8ivg.cloudfront.net/Documentos/631/08567717590/6310856771759005092023001216.pdf</t>
  </si>
  <si>
    <t>https://dpmzos25m8ivg.cloudfront.net/Documentos/631/08574622451/6310857462245107092023224337.pdf</t>
  </si>
  <si>
    <t>https://dpmzos25m8ivg.cloudfront.net/Documentos/631/08575091441/6310857509144111092023115004.pdf</t>
  </si>
  <si>
    <t>https://dpmzos25m8ivg.cloudfront.net/Documentos/631/08577687511/6310857768751109092023111519.pdf</t>
  </si>
  <si>
    <t>https://dpmzos25m8ivg.cloudfront.net/Documentos/631/08582574592/6310858257459211092023004057.pdf</t>
  </si>
  <si>
    <t>https://dpmzos25m8ivg.cloudfront.net/Documentos/631/08587696548/6310858769654811092023102857.pdf</t>
  </si>
  <si>
    <t>https://dpmzos25m8ivg.cloudfront.net/Documentos/631/08591943619/6310859194361911092023124446.jpeg</t>
  </si>
  <si>
    <t>https://dpmzos25m8ivg.cloudfront.net/Documentos/631/08592785499/6310859278549910092023202612.pdf</t>
  </si>
  <si>
    <t>https://dpmzos25m8ivg.cloudfront.net/Documentos/631/08600092701/6310860009270105092023134139.jpg</t>
  </si>
  <si>
    <t>https://dpmzos25m8ivg.cloudfront.net/Documentos/631/08613891667/6310861389166706092023073717.jpg</t>
  </si>
  <si>
    <t>https://dpmzos25m8ivg.cloudfront.net/Documentos/631/08620100556/6310862010055611092023163458.pdf</t>
  </si>
  <si>
    <t>https://dpmzos25m8ivg.cloudfront.net/Documentos/631/08622298639/6310862229863913092023115009.pdf</t>
  </si>
  <si>
    <t>https://dpmzos25m8ivg.cloudfront.net/Documentos/631/08625149596/6310862514959607092023181916.pdf</t>
  </si>
  <si>
    <t>https://dpmzos25m8ivg.cloudfront.net/Documentos/631/08627947902/6310862794790209092023131144.pdf</t>
  </si>
  <si>
    <t>https://dpmzos25m8ivg.cloudfront.net/Documentos/631/08633833948/6310863383394814092023133128.pdf</t>
  </si>
  <si>
    <t>https://dpmzos25m8ivg.cloudfront.net/Documentos/631/08634498409/6310863449840911092023143202.pdf</t>
  </si>
  <si>
    <t>https://dpmzos25m8ivg.cloudfront.net/Documentos/631/08635002423/6310863500242306092023205959.jpeg</t>
  </si>
  <si>
    <t>https://dpmzos25m8ivg.cloudfront.net/Documentos/631/08643006548/6310864300654807092023100518.pdf</t>
  </si>
  <si>
    <t>https://dpmzos25m8ivg.cloudfront.net/Documentos/631/08643260509/6310864326050911092023154618.jpeg</t>
  </si>
  <si>
    <t>https://dpmzos25m8ivg.cloudfront.net/Documentos/631/08644363514/6310864436351411092023155939.pdf</t>
  </si>
  <si>
    <t>https://dpmzos25m8ivg.cloudfront.net/Documentos/631/08645437350/6310864543735011092023120732.jpeg</t>
  </si>
  <si>
    <t>https://dpmzos25m8ivg.cloudfront.net/Documentos/631/08649680941/6310864968094110092023224917.pdf</t>
  </si>
  <si>
    <t>https://dpmzos25m8ivg.cloudfront.net/Documentos/631/08654843764/6310865484376406092023185143.pdf</t>
  </si>
  <si>
    <t>https://dpmzos25m8ivg.cloudfront.net/Documentos/631/08655399442/6310865539944208092023112738.jpg</t>
  </si>
  <si>
    <t>https://dpmzos25m8ivg.cloudfront.net/Documentos/631/08656309412/6310865630941211092023144927.pdf</t>
  </si>
  <si>
    <t>https://dpmzos25m8ivg.cloudfront.net/Documentos/631/08659571428/6310865957142806092023154716.pdf</t>
  </si>
  <si>
    <t>https://dpmzos25m8ivg.cloudfront.net/Documentos/631/08666333758/6310866633375811092023001717.pdf</t>
  </si>
  <si>
    <t>https://dpmzos25m8ivg.cloudfront.net/Documentos/631/08668103580/6310866810358011092023161624.pdf</t>
  </si>
  <si>
    <t>https://dpmzos25m8ivg.cloudfront.net/Documentos/631/08670270455/6310867027045509092023191605.pdf</t>
  </si>
  <si>
    <t>https://dpmzos25m8ivg.cloudfront.net/Documentos/631/08672919319/6310867291931910092023203201.jpg</t>
  </si>
  <si>
    <t>https://dpmzos25m8ivg.cloudfront.net/Documentos/631/08673081335/6310867308133511092023155055.jpg</t>
  </si>
  <si>
    <t>https://dpmzos25m8ivg.cloudfront.net/Documentos/631/08682545683/6310868254568311092023125402.pdf</t>
  </si>
  <si>
    <t>https://dpmzos25m8ivg.cloudfront.net/Documentos/631/08685279470/6310868527947010092023192539.jpg</t>
  </si>
  <si>
    <t>https://dpmzos25m8ivg.cloudfront.net/Documentos/631/08691171901/6310869117190111092023123024.pdf</t>
  </si>
  <si>
    <t>https://dpmzos25m8ivg.cloudfront.net/Documentos/631/08691362596/6310869136259608092023203135.pdf</t>
  </si>
  <si>
    <t>https://dpmzos25m8ivg.cloudfront.net/Documentos/631/08692281883/6310869228188306092023114058.jpg</t>
  </si>
  <si>
    <t>https://dpmzos25m8ivg.cloudfront.net/Documentos/631/08692738506/6310869273850611092023142122.pdf</t>
  </si>
  <si>
    <t>https://dpmzos25m8ivg.cloudfront.net/Documentos/631/08697172438/6310869717243807092023165225.pdf</t>
  </si>
  <si>
    <t>https://dpmzos25m8ivg.cloudfront.net/Documentos/631/08703529460/6310870352946006092023051641.pdf</t>
  </si>
  <si>
    <t>https://dpmzos25m8ivg.cloudfront.net/Documentos/631/08703724328/6310870372432807092023173134.pdf</t>
  </si>
  <si>
    <t>https://dpmzos25m8ivg.cloudfront.net/Documentos/631/08711464364/6310871146436408092023182711.pdf</t>
  </si>
  <si>
    <t>https://dpmzos25m8ivg.cloudfront.net/Documentos/631/08713428551/6310871342855114092023162326.pdf</t>
  </si>
  <si>
    <t>https://dpmzos25m8ivg.cloudfront.net/Documentos/631/08713486403/6310871348640310092023110452.pdf</t>
  </si>
  <si>
    <t>https://dpmzos25m8ivg.cloudfront.net/Documentos/631/08713595539/6310871359553909092023124314.jpg</t>
  </si>
  <si>
    <t>https://dpmzos25m8ivg.cloudfront.net/Documentos/631/08716938526/6310871693852608092023095502.pdf</t>
  </si>
  <si>
    <t>https://dpmzos25m8ivg.cloudfront.net/Documentos/631/08717506867/6310871750686705092023101940.pdf</t>
  </si>
  <si>
    <t>https://dpmzos25m8ivg.cloudfront.net/Documentos/631/08718021719/6310871802171907092023093742.pdf</t>
  </si>
  <si>
    <t>https://dpmzos25m8ivg.cloudfront.net/Documentos/631/08720329300/6310872032930011092023134518.pdf</t>
  </si>
  <si>
    <t>https://dpmzos25m8ivg.cloudfront.net/Documentos/631/08727088537/6310872708853711092023154153.pdf</t>
  </si>
  <si>
    <t>https://dpmzos25m8ivg.cloudfront.net/Documentos/631/08733086540/6310873308654010092023134601.pdf</t>
  </si>
  <si>
    <t>https://dpmzos25m8ivg.cloudfront.net/Documentos/631/08733537909/6310873353790911092023130105.pdf</t>
  </si>
  <si>
    <t>https://dpmzos25m8ivg.cloudfront.net/Documentos/631/08736988863/6310873698886310092023165401.jpg</t>
  </si>
  <si>
    <t>https://dpmzos25m8ivg.cloudfront.net/Documentos/631/08737764705/6310873776470505092023112732.pdf</t>
  </si>
  <si>
    <t>https://dpmzos25m8ivg.cloudfront.net/Documentos/631/08738478900/6310873847890010092023220448.pdf</t>
  </si>
  <si>
    <t>https://dpmzos25m8ivg.cloudfront.net/Documentos/631/08746074422/6310874607442211092023102344.pdf</t>
  </si>
  <si>
    <t>https://dpmzos25m8ivg.cloudfront.net/Documentos/631/08753897404/6310875389740412092023224105.jpg</t>
  </si>
  <si>
    <t>https://dpmzos25m8ivg.cloudfront.net/Documentos/631/08755356400/6310875535640011092023164831.jpg</t>
  </si>
  <si>
    <t>https://dpmzos25m8ivg.cloudfront.net/Documentos/631/08755915582/6310875591558207092023131702.pdf</t>
  </si>
  <si>
    <t>https://dpmzos25m8ivg.cloudfront.net/Documentos/631/08756925409/6310875692540911092023105825.jpg</t>
  </si>
  <si>
    <t>https://dpmzos25m8ivg.cloudfront.net/Documentos/631/08766135559/6310876613555911092023144807.pdf</t>
  </si>
  <si>
    <t>https://dpmzos25m8ivg.cloudfront.net/Documentos/631/08768278578/6310876827857811092023123327.jpeg</t>
  </si>
  <si>
    <t>https://dpmzos25m8ivg.cloudfront.net/Documentos/631/08771139397/6310877113939708092023023607.pdf</t>
  </si>
  <si>
    <t>https://dpmzos25m8ivg.cloudfront.net/Documentos/631/08773701769/6310877370176905092023144216.pdf</t>
  </si>
  <si>
    <t>https://dpmzos25m8ivg.cloudfront.net/Documentos/631/08779463614/6310877946361411092023151331.jpg</t>
  </si>
  <si>
    <t>https://dpmzos25m8ivg.cloudfront.net/Documentos/631/08786544616/6310878654461611092023071518.jpg</t>
  </si>
  <si>
    <t>https://dpmzos25m8ivg.cloudfront.net/Documentos/631/08789923758/6310878992375808092023154229.pdf</t>
  </si>
  <si>
    <t>https://dpmzos25m8ivg.cloudfront.net/Documentos/631/08790286618/6310879028661807092023135224.pdf</t>
  </si>
  <si>
    <t>https://dpmzos25m8ivg.cloudfront.net/Documentos/631/08791862400/6310879186240005092023214801.pdf</t>
  </si>
  <si>
    <t>https://dpmzos25m8ivg.cloudfront.net/Documentos/631/08792257500/6310879225750011092023123639.pdf</t>
  </si>
  <si>
    <t>https://dpmzos25m8ivg.cloudfront.net/Documentos/631/08795230505/6310879523050509092023121756.pdf</t>
  </si>
  <si>
    <t>https://dpmzos25m8ivg.cloudfront.net/Documentos/631/08796110570/6310879611057006092023113303.pdf</t>
  </si>
  <si>
    <t>https://dpmzos25m8ivg.cloudfront.net/Documentos/631/08801567405/6310880156740506092023103758.pdf</t>
  </si>
  <si>
    <t>https://dpmzos25m8ivg.cloudfront.net/Documentos/631/08802164509/6310880216450912092023205510.pdf</t>
  </si>
  <si>
    <t>https://dpmzos25m8ivg.cloudfront.net/Documentos/631/08802967555/6310880296755511092023141247.pdf</t>
  </si>
  <si>
    <t>https://dpmzos25m8ivg.cloudfront.net/Documentos/631/08805072761/6310880507276111092023164230.pdf</t>
  </si>
  <si>
    <t>https://dpmzos25m8ivg.cloudfront.net/Documentos/631/08806222619/6310880622261911092023095854.jpeg</t>
  </si>
  <si>
    <t>https://dpmzos25m8ivg.cloudfront.net/Documentos/631/08808974499/6310880897449914092023160528.jpeg</t>
  </si>
  <si>
    <t>https://dpmzos25m8ivg.cloudfront.net/Documentos/631/08812715435/6310881271543508092023095854.pdf</t>
  </si>
  <si>
    <t>https://dpmzos25m8ivg.cloudfront.net/Documentos/631/08817951439/6310881795143910092023103829.pdf</t>
  </si>
  <si>
    <t>https://dpmzos25m8ivg.cloudfront.net/Documentos/631/08827002600/6310882700260009092023114257.pdf</t>
  </si>
  <si>
    <t>https://dpmzos25m8ivg.cloudfront.net/Documentos/631/08839701630/6310883970163012092023171746.pdf</t>
  </si>
  <si>
    <t>https://dpmzos25m8ivg.cloudfront.net/Documentos/631/08843968432/6310884396843207092023184350.pdf</t>
  </si>
  <si>
    <t>https://dpmzos25m8ivg.cloudfront.net/Documentos/631/08845132625/6310884513262510092023231930.pdf</t>
  </si>
  <si>
    <t>https://dpmzos25m8ivg.cloudfront.net/Documentos/631/08847833590/6310884783359013092023213949.pdf</t>
  </si>
  <si>
    <t>https://dpmzos25m8ivg.cloudfront.net/Documentos/631/08849996535/6310884999653510092023234944.pdf</t>
  </si>
  <si>
    <t>https://dpmzos25m8ivg.cloudfront.net/Documentos/631/08858281608/6310885828160811092023152952.jpeg</t>
  </si>
  <si>
    <t>https://dpmzos25m8ivg.cloudfront.net/Documentos/631/08861760937/6310886176093705092023114030.jpeg</t>
  </si>
  <si>
    <t>https://dpmzos25m8ivg.cloudfront.net/Documentos/631/08863285519/6310886328551907092023182458.pdf</t>
  </si>
  <si>
    <t>https://dpmzos25m8ivg.cloudfront.net/Documentos/631/08875290709/6310887529070905092023110647.pdf</t>
  </si>
  <si>
    <t>https://dpmzos25m8ivg.cloudfront.net/Documentos/631/08878649961/6310887864996111092023122739.jpg</t>
  </si>
  <si>
    <t>https://dpmzos25m8ivg.cloudfront.net/Documentos/631/08878718955/6310887871895513092023114153.pdf</t>
  </si>
  <si>
    <t>https://dpmzos25m8ivg.cloudfront.net/Documentos/631/08880134426/6310888013442608092023152908.pdf</t>
  </si>
  <si>
    <t>https://dpmzos25m8ivg.cloudfront.net/Documentos/631/08880333461/6310888033346111092023112625.pdf</t>
  </si>
  <si>
    <t>https://dpmzos25m8ivg.cloudfront.net/Documentos/631/08890325720/6310889032572009092023235525.pdf</t>
  </si>
  <si>
    <t>https://dpmzos25m8ivg.cloudfront.net/Documentos/631/08891509906/6310889150990611092023145253.pdf</t>
  </si>
  <si>
    <t>https://dpmzos25m8ivg.cloudfront.net/Documentos/631/08897203558/6310889720355811092023152221.pdf</t>
  </si>
  <si>
    <t>https://dpmzos25m8ivg.cloudfront.net/Documentos/631/08897868525/6310889786852511092023163622.pdf</t>
  </si>
  <si>
    <t>https://dpmzos25m8ivg.cloudfront.net/Documentos/631/08897983464/6310889798346411092023123100.pdf</t>
  </si>
  <si>
    <t>https://dpmzos25m8ivg.cloudfront.net/Documentos/631/08903663578/6310890366357811092023155538.pdf</t>
  </si>
  <si>
    <t>https://dpmzos25m8ivg.cloudfront.net/Documentos/631/08906038712/6310890603871211092023133148.jpeg</t>
  </si>
  <si>
    <t>https://dpmzos25m8ivg.cloudfront.net/Documentos/631/08907342598/6310890734259806092023165212.pdf</t>
  </si>
  <si>
    <t>https://dpmzos25m8ivg.cloudfront.net/Documentos/631/08908947523/6310890894752306092023222941.pdf</t>
  </si>
  <si>
    <t>https://dpmzos25m8ivg.cloudfront.net/Documentos/631/08910638540/6310891063854011092023092624.jpeg</t>
  </si>
  <si>
    <t>https://dpmzos25m8ivg.cloudfront.net/Documentos/631/08910843551/6310891084355108092023180047.pdf</t>
  </si>
  <si>
    <t>https://dpmzos25m8ivg.cloudfront.net/Documentos/631/08911739944/6310891173994411092023151413.pdf</t>
  </si>
  <si>
    <t>https://dpmzos25m8ivg.cloudfront.net/Documentos/631/08914035409/6310891403540914092023100126.pdf</t>
  </si>
  <si>
    <t>https://dpmzos25m8ivg.cloudfront.net/Documentos/631/08917223435/6310891722343514092023123627.pdf</t>
  </si>
  <si>
    <t>https://dpmzos25m8ivg.cloudfront.net/Documentos/631/08920051496/6310892005149611092023151740.pdf</t>
  </si>
  <si>
    <t>https://dpmzos25m8ivg.cloudfront.net/Documentos/631/08920364354/6310892036435411092023111203.pdf</t>
  </si>
  <si>
    <t>https://dpmzos25m8ivg.cloudfront.net/Documentos/631/08922619783/6310892261978305092023112151.pdf</t>
  </si>
  <si>
    <t>https://dpmzos25m8ivg.cloudfront.net/Documentos/631/08928094348/6310892809434814092023150812.pdf</t>
  </si>
  <si>
    <t>https://dpmzos25m8ivg.cloudfront.net/Documentos/631/08938535932/6310893853593213092023115725.pdf</t>
  </si>
  <si>
    <t>https://dpmzos25m8ivg.cloudfront.net/Documentos/631/08944166935/6310894416693511092023124604.jpeg</t>
  </si>
  <si>
    <t>https://dpmzos25m8ivg.cloudfront.net/Documentos/631/08945358978/6310894535897811092023153753.pdf</t>
  </si>
  <si>
    <t>https://dpmzos25m8ivg.cloudfront.net/Documentos/631/08947712485/6310894771248511092023141241.pdf</t>
  </si>
  <si>
    <t>https://dpmzos25m8ivg.cloudfront.net/Documentos/631/08951666662/6310895166666211092023155832.jpg</t>
  </si>
  <si>
    <t>https://dpmzos25m8ivg.cloudfront.net/Documentos/631/08957322540/6310895732254012092023172447.pdf</t>
  </si>
  <si>
    <t>https://dpmzos25m8ivg.cloudfront.net/Documentos/631/08959335606/6310895933560610092023223552.jpeg</t>
  </si>
  <si>
    <t>https://dpmzos25m8ivg.cloudfront.net/Documentos/631/08961746626/6310896174662609092023144148.pdf</t>
  </si>
  <si>
    <t>https://dpmzos25m8ivg.cloudfront.net/Documentos/631/08962572583/6310896257258308092023210534.pdf</t>
  </si>
  <si>
    <t>https://dpmzos25m8ivg.cloudfront.net/Documentos/631/08967363850/6310896736385013092023182300.pdf</t>
  </si>
  <si>
    <t>https://dpmzos25m8ivg.cloudfront.net/Documentos/631/08970843493/6310897084349310092023152418.pdf</t>
  </si>
  <si>
    <t>https://dpmzos25m8ivg.cloudfront.net/Documentos/631/08978595456/6310897859545606092023224702.pdf</t>
  </si>
  <si>
    <t>https://dpmzos25m8ivg.cloudfront.net/Documentos/631/08980699719/6310898069971910092023102535.pdf</t>
  </si>
  <si>
    <t>https://dpmzos25m8ivg.cloudfront.net/Documentos/631/08994792430/6310899479243005092023114331.jpg</t>
  </si>
  <si>
    <t>https://dpmzos25m8ivg.cloudfront.net/Documentos/631/09001401430/6310900140143011092023144601.pdf</t>
  </si>
  <si>
    <t>https://dpmzos25m8ivg.cloudfront.net/Documentos/631/09018295604/6310901829560410092023231504.pdf</t>
  </si>
  <si>
    <t>https://dpmzos25m8ivg.cloudfront.net/Documentos/631/09034302903/6310903430290311092023165745.pdf</t>
  </si>
  <si>
    <t>https://dpmzos25m8ivg.cloudfront.net/Documentos/631/09034842690/6310903484269011092023135643.pdf</t>
  </si>
  <si>
    <t>https://dpmzos25m8ivg.cloudfront.net/Documentos/631/09035323793/6310903532379307092023191928.pdf</t>
  </si>
  <si>
    <t>https://dpmzos25m8ivg.cloudfront.net/Documentos/631/09035554418/6310903555441809092023185330.pdf</t>
  </si>
  <si>
    <t>https://dpmzos25m8ivg.cloudfront.net/Documentos/631/09048826837/6310904882683709092023132903.pdf</t>
  </si>
  <si>
    <t>https://dpmzos25m8ivg.cloudfront.net/Documentos/631/09058691683/6310905869168305092023110817.pdf</t>
  </si>
  <si>
    <t>https://dpmzos25m8ivg.cloudfront.net/Documentos/631/09068544403/6310906854440314092023093829.jpg</t>
  </si>
  <si>
    <t>https://dpmzos25m8ivg.cloudfront.net/Documentos/631/09071351882/6310907135188210092023150547.jpg</t>
  </si>
  <si>
    <t>https://dpmzos25m8ivg.cloudfront.net/Documentos/631/09075843739/6310907584373907092023083716.jpg</t>
  </si>
  <si>
    <t>https://dpmzos25m8ivg.cloudfront.net/Documentos/631/09081426923/6310908142692311092023131601.pdf</t>
  </si>
  <si>
    <t>https://dpmzos25m8ivg.cloudfront.net/Documentos/631/09090475966/6310909047596613092023151154.pdf</t>
  </si>
  <si>
    <t>https://dpmzos25m8ivg.cloudfront.net/Documentos/631/09092716740/6310909271674014092023124826.jpg</t>
  </si>
  <si>
    <t>https://dpmzos25m8ivg.cloudfront.net/Documentos/631/09093377647/6310909337764709092023203410.pdf</t>
  </si>
  <si>
    <t>https://dpmzos25m8ivg.cloudfront.net/Documentos/631/09099766947/6310909976694707092023195352.jpg</t>
  </si>
  <si>
    <t>https://dpmzos25m8ivg.cloudfront.net/Documentos/631/09104486471/6310910448647111092023154008.pdf</t>
  </si>
  <si>
    <t>https://dpmzos25m8ivg.cloudfront.net/Documentos/631/09104972813/6310910497281309092023141651.jpeg</t>
  </si>
  <si>
    <t>https://dpmzos25m8ivg.cloudfront.net/Documentos/631/09109078703/6310910907870308092023075208.pdf</t>
  </si>
  <si>
    <t>https://dpmzos25m8ivg.cloudfront.net/Documentos/631/09117678439/6310911767843905092023180701.pdf</t>
  </si>
  <si>
    <t>https://dpmzos25m8ivg.cloudfront.net/Documentos/631/09117855748/6310911785574811092023104134.pdf</t>
  </si>
  <si>
    <t>https://dpmzos25m8ivg.cloudfront.net/Documentos/631/09125186930/6310912518693013092023170132.pdf</t>
  </si>
  <si>
    <t>https://dpmzos25m8ivg.cloudfront.net/Documentos/631/09125459686/6310912545968611092023123208.jpeg</t>
  </si>
  <si>
    <t>https://dpmzos25m8ivg.cloudfront.net/Documentos/631/09127468402/6310912746840211092023115711.jpeg</t>
  </si>
  <si>
    <t>https://dpmzos25m8ivg.cloudfront.net/Documentos/631/09130980780/6310913098078009092023121338.pdf</t>
  </si>
  <si>
    <t>https://dpmzos25m8ivg.cloudfront.net/Documentos/631/09135049553/6310913504955308092023155443.jpg</t>
  </si>
  <si>
    <t>https://dpmzos25m8ivg.cloudfront.net/Documentos/631/09149754718/6310914975471806092023144324.pdf</t>
  </si>
  <si>
    <t>https://dpmzos25m8ivg.cloudfront.net/Documentos/631/09151488892/6310915148889205092023085136.pdf</t>
  </si>
  <si>
    <t>https://dpmzos25m8ivg.cloudfront.net/Documentos/631/09164169685/6310916416968511092023154447.jpg</t>
  </si>
  <si>
    <t>https://dpmzos25m8ivg.cloudfront.net/Documentos/631/09168317794/6310916831779408092023172357.pdf</t>
  </si>
  <si>
    <t>https://dpmzos25m8ivg.cloudfront.net/Documentos/631/09168970951/6310916897095108092023183624.pdf</t>
  </si>
  <si>
    <t>https://dpmzos25m8ivg.cloudfront.net/Documentos/631/09185910902/6310918591090206092023153229.pdf</t>
  </si>
  <si>
    <t>https://dpmzos25m8ivg.cloudfront.net/Documentos/631/09189962443/6310918996244309092023113013.pdf</t>
  </si>
  <si>
    <t>https://dpmzos25m8ivg.cloudfront.net/Documentos/631/09199123460/6310919912346011092023154327.pdf</t>
  </si>
  <si>
    <t>https://dpmzos25m8ivg.cloudfront.net/Documentos/631/09199214695/6310919921469505092023110333.pdf</t>
  </si>
  <si>
    <t>https://dpmzos25m8ivg.cloudfront.net/Documentos/631/09204444908/6310920444490809092023202849.pdf</t>
  </si>
  <si>
    <t>https://dpmzos25m8ivg.cloudfront.net/Documentos/631/09205007498/6310920500749813092023104902.pdf</t>
  </si>
  <si>
    <t>https://dpmzos25m8ivg.cloudfront.net/Documentos/631/09208838692/6310920883869214092023122345.jpg</t>
  </si>
  <si>
    <t>https://dpmzos25m8ivg.cloudfront.net/Documentos/631/09222951662/6310922295166210092023141050.jpg</t>
  </si>
  <si>
    <t>https://dpmzos25m8ivg.cloudfront.net/Documentos/631/09230000469/6310923000046908092023133918.pdf</t>
  </si>
  <si>
    <t>https://dpmzos25m8ivg.cloudfront.net/Documentos/631/09236529658/6310923652965809092023103946.jpg</t>
  </si>
  <si>
    <t>https://dpmzos25m8ivg.cloudfront.net/Documentos/631/09237025718/6310923702571812092023235839.pdf</t>
  </si>
  <si>
    <t>https://dpmzos25m8ivg.cloudfront.net/Documentos/631/09244273969/6310924427396908092023160832.jpeg</t>
  </si>
  <si>
    <t>https://dpmzos25m8ivg.cloudfront.net/Documentos/631/09245417417/6310924541741710092023215117.pdf</t>
  </si>
  <si>
    <t>https://dpmzos25m8ivg.cloudfront.net/Documentos/631/09250668937/6310925066893711092023120054.pdf</t>
  </si>
  <si>
    <t>https://dpmzos25m8ivg.cloudfront.net/Documentos/631/09251205450/6310925120545007092023161423.jpg</t>
  </si>
  <si>
    <t>https://dpmzos25m8ivg.cloudfront.net/Documentos/631/09252925759/6310925292575910092023112507.pdf</t>
  </si>
  <si>
    <t>https://dpmzos25m8ivg.cloudfront.net/Documentos/631/09254673404/6310925467340408092023193944.pdf</t>
  </si>
  <si>
    <t>https://dpmzos25m8ivg.cloudfront.net/Documentos/631/09261237690/6310926123769005092023105436.pdf</t>
  </si>
  <si>
    <t>https://dpmzos25m8ivg.cloudfront.net/Documentos/631/09261341756/6310926134175610092023233953.pdf</t>
  </si>
  <si>
    <t>https://dpmzos25m8ivg.cloudfront.net/Documentos/631/09267428926/6310926742892607092023173420.jpeg</t>
  </si>
  <si>
    <t>https://dpmzos25m8ivg.cloudfront.net/Documentos/631/09267669613/6310926766961310092023204059.pdf</t>
  </si>
  <si>
    <t>https://dpmzos25m8ivg.cloudfront.net/Documentos/631/09278378623/6310927837862311092023141710.pdf</t>
  </si>
  <si>
    <t>https://dpmzos25m8ivg.cloudfront.net/Documentos/631/09281302403/6310928130240311092023155118.pdf</t>
  </si>
  <si>
    <t>https://dpmzos25m8ivg.cloudfront.net/Documentos/631/09285638473/6310928563847311092023122537.pdf</t>
  </si>
  <si>
    <t>https://dpmzos25m8ivg.cloudfront.net/Documentos/631/09291368962/6310929136896211092023163641.pdf</t>
  </si>
  <si>
    <t>https://dpmzos25m8ivg.cloudfront.net/Documentos/631/09297123740/6310929712374009092023100018.pdf</t>
  </si>
  <si>
    <t>https://dpmzos25m8ivg.cloudfront.net/Documentos/631/09309513608/6310930951360807092023225311.pdf</t>
  </si>
  <si>
    <t>https://dpmzos25m8ivg.cloudfront.net/Documentos/631/09312538454/6310931253845405092023144850.pdf</t>
  </si>
  <si>
    <t>https://dpmzos25m8ivg.cloudfront.net/Documentos/631/09324705644/6310932470564411092023152612.jpg</t>
  </si>
  <si>
    <t>https://dpmzos25m8ivg.cloudfront.net/Documentos/631/09327671686/6310932767168606092023180650.pdf</t>
  </si>
  <si>
    <t>https://dpmzos25m8ivg.cloudfront.net/Documentos/631/09328667780/6310932866778005092023171905.pdf</t>
  </si>
  <si>
    <t>https://dpmzos25m8ivg.cloudfront.net/Documentos/631/09332038457/6310933203845705092023154244.pdf</t>
  </si>
  <si>
    <t>https://dpmzos25m8ivg.cloudfront.net/Documentos/631/09335644650/6310933564465011092023114730.pdf</t>
  </si>
  <si>
    <t>https://dpmzos25m8ivg.cloudfront.net/Documentos/631/09337038994/6310933703899411092023153334.pdf</t>
  </si>
  <si>
    <t>https://dpmzos25m8ivg.cloudfront.net/Documentos/631/09337097656/6310933709765611092023104158.pdf</t>
  </si>
  <si>
    <t>https://dpmzos25m8ivg.cloudfront.net/Documentos/631/09341952778/6310934195277814092023155318.pdf</t>
  </si>
  <si>
    <t>https://dpmzos25m8ivg.cloudfront.net/Documentos/631/09343748728/6310934374872808092023223210.pdf</t>
  </si>
  <si>
    <t>https://dpmzos25m8ivg.cloudfront.net/Documentos/631/09344362408/6310934436240809092023175923.pdf</t>
  </si>
  <si>
    <t>https://dpmzos25m8ivg.cloudfront.net/Documentos/631/09354154409/6310935415440911092023132937.pdf</t>
  </si>
  <si>
    <t>https://dpmzos25m8ivg.cloudfront.net/Documentos/631/09362779552/6310936277955210092023185714.jpg</t>
  </si>
  <si>
    <t>https://dpmzos25m8ivg.cloudfront.net/Documentos/631/09366618600/6310936661860005092023212837.pdf</t>
  </si>
  <si>
    <t>https://dpmzos25m8ivg.cloudfront.net/Documentos/631/09368557462/6310936855746211092023101537.jpg</t>
  </si>
  <si>
    <t>https://dpmzos25m8ivg.cloudfront.net/Documentos/631/09369734716/6310936973471611092023114806.pdf</t>
  </si>
  <si>
    <t>https://dpmzos25m8ivg.cloudfront.net/Documentos/631/09370636650/6310937063665009092023201256.jpg</t>
  </si>
  <si>
    <t>https://dpmzos25m8ivg.cloudfront.net/Documentos/631/09372692476/6310937269247611092023125340.pdf</t>
  </si>
  <si>
    <t>https://dpmzos25m8ivg.cloudfront.net/Documentos/631/09373511645/6310937351164505092023212019.pdf</t>
  </si>
  <si>
    <t>https://dpmzos25m8ivg.cloudfront.net/Documentos/631/09378915680/6310937891568005092023123842.jpg</t>
  </si>
  <si>
    <t>https://dpmzos25m8ivg.cloudfront.net/Documentos/631/09391868452/6310939186845208092023183337.jpg</t>
  </si>
  <si>
    <t>https://dpmzos25m8ivg.cloudfront.net/Documentos/631/09391986650/6310939198665005092023104442.pdf</t>
  </si>
  <si>
    <t>https://dpmzos25m8ivg.cloudfront.net/Documentos/631/09395352973/6310939535297305092023110541.pdf</t>
  </si>
  <si>
    <t>https://dpmzos25m8ivg.cloudfront.net/Documentos/631/09396170488/6310939617048810092023092910.pdf</t>
  </si>
  <si>
    <t>https://dpmzos25m8ivg.cloudfront.net/Documentos/631/09397101960/6310939710196005092023232631.jpg</t>
  </si>
  <si>
    <t>https://dpmzos25m8ivg.cloudfront.net/Documentos/631/09397560484/6310939756048406092023163728.pdf</t>
  </si>
  <si>
    <t>https://dpmzos25m8ivg.cloudfront.net/Documentos/631/09409333490/6310940933349011092023142453.jpeg</t>
  </si>
  <si>
    <t>https://dpmzos25m8ivg.cloudfront.net/Documentos/631/09410947405/6310941094740509092023144034.pdf</t>
  </si>
  <si>
    <t>https://dpmzos25m8ivg.cloudfront.net/Documentos/631/09414272933/6310941427293311092023115149.pdf</t>
  </si>
  <si>
    <t>https://dpmzos25m8ivg.cloudfront.net/Documentos/631/09415795492/6310941579549211092023124555.pdf</t>
  </si>
  <si>
    <t>https://dpmzos25m8ivg.cloudfront.net/Documentos/631/09428264423/6310942826442305092023191836.pdf</t>
  </si>
  <si>
    <t>https://dpmzos25m8ivg.cloudfront.net/Documentos/631/09429863428/6310942986342809092023151952.pdf</t>
  </si>
  <si>
    <t>https://dpmzos25m8ivg.cloudfront.net/Documentos/631/09429927841/6310942992784108092023120455.pdf</t>
  </si>
  <si>
    <t>https://dpmzos25m8ivg.cloudfront.net/Documentos/631/09436028407/6310943602840711092023090829.pdf</t>
  </si>
  <si>
    <t>https://dpmzos25m8ivg.cloudfront.net/Documentos/631/09436853467/6310943685346711092023124709.pdf</t>
  </si>
  <si>
    <t>https://dpmzos25m8ivg.cloudfront.net/Documentos/631/09446368456/6310944636845605092023112122.jpeg</t>
  </si>
  <si>
    <t>https://dpmzos25m8ivg.cloudfront.net/Documentos/631/09446868505/6310944686850511092023161748.pdf</t>
  </si>
  <si>
    <t>https://dpmzos25m8ivg.cloudfront.net/Documentos/631/09448202474/6310944820247411092023165418.jpeg</t>
  </si>
  <si>
    <t>https://dpmzos25m8ivg.cloudfront.net/Documentos/631/09450142602/6310945014260205092023151423.pdf</t>
  </si>
  <si>
    <t>https://dpmzos25m8ivg.cloudfront.net/Documentos/631/09463265767/6310946326576708092023113402.pdf</t>
  </si>
  <si>
    <t>https://dpmzos25m8ivg.cloudfront.net/Documentos/631/09463500278/6310946350027807092023074533.pdf</t>
  </si>
  <si>
    <t>https://dpmzos25m8ivg.cloudfront.net/Documentos/631/09469312830/6310946931283005092023132113.jpg</t>
  </si>
  <si>
    <t>https://dpmzos25m8ivg.cloudfront.net/Documentos/631/09479855496/6310947985549611092023141922.pdf</t>
  </si>
  <si>
    <t>https://dpmzos25m8ivg.cloudfront.net/Documentos/631/09482222717/6310948222271711092023145446.jpg</t>
  </si>
  <si>
    <t>https://dpmzos25m8ivg.cloudfront.net/Documentos/631/09483569605/6310948356960511092023144847.pdf</t>
  </si>
  <si>
    <t>https://dpmzos25m8ivg.cloudfront.net/Documentos/631/09484820441/6310948482044111092023130143.pdf</t>
  </si>
  <si>
    <t>https://dpmzos25m8ivg.cloudfront.net/Documentos/631/09493527646/6310949352764611092023163229.jpeg</t>
  </si>
  <si>
    <t>https://dpmzos25m8ivg.cloudfront.net/Documentos/631/09494074459/6310949407445911092023161323.pdf</t>
  </si>
  <si>
    <t>https://dpmzos25m8ivg.cloudfront.net/Documentos/631/09495175500/6310949517550010092023223322.pdf</t>
  </si>
  <si>
    <t>https://dpmzos25m8ivg.cloudfront.net/Documentos/631/09497405430/6310949740543006092023222843.pdf</t>
  </si>
  <si>
    <t>https://dpmzos25m8ivg.cloudfront.net/Documentos/631/09497410433/6310949741043311092023152227.jpeg</t>
  </si>
  <si>
    <t>https://dpmzos25m8ivg.cloudfront.net/Documentos/631/09500896133/6310950089613305092023135706.pdf</t>
  </si>
  <si>
    <t>https://dpmzos25m8ivg.cloudfront.net/Documentos/631/09504314600/6310950431460010092023220145.pdf</t>
  </si>
  <si>
    <t>https://dpmzos25m8ivg.cloudfront.net/Documentos/631/09505366442/6310950536644214092023091854.pdf</t>
  </si>
  <si>
    <t>https://dpmzos25m8ivg.cloudfront.net/Documentos/631/09507799460/6310950779946005092023111047.pdf</t>
  </si>
  <si>
    <t>https://dpmzos25m8ivg.cloudfront.net/Documentos/631/09515838673/6310951583867306092023082706.jpeg</t>
  </si>
  <si>
    <t>https://dpmzos25m8ivg.cloudfront.net/Documentos/631/09530168543/6310953016854310092023174813.pdf</t>
  </si>
  <si>
    <t>https://dpmzos25m8ivg.cloudfront.net/Documentos/631/09539015723/6310953901572310092023224006.pdf</t>
  </si>
  <si>
    <t>https://dpmzos25m8ivg.cloudfront.net/Documentos/631/09540869536/6310954086953605092023180855.pdf</t>
  </si>
  <si>
    <t>https://dpmzos25m8ivg.cloudfront.net/Documentos/631/09546292486/6310954629248611092023000708.jpg</t>
  </si>
  <si>
    <t>https://dpmzos25m8ivg.cloudfront.net/Documentos/631/09546661783/6310954666178308092023113616.jpg</t>
  </si>
  <si>
    <t>https://dpmzos25m8ivg.cloudfront.net/Documentos/631/09547636537/6310954763653707092023162815.pdf</t>
  </si>
  <si>
    <t>https://dpmzos25m8ivg.cloudfront.net/Documentos/631/09555122717/6310955512271714092023135412.pdf</t>
  </si>
  <si>
    <t>https://dpmzos25m8ivg.cloudfront.net/Documentos/631/09556359427/6310955635942711092023104601.pdf</t>
  </si>
  <si>
    <t>https://dpmzos25m8ivg.cloudfront.net/Documentos/631/09559471465/6310955947146510092023204800.jpg</t>
  </si>
  <si>
    <t>https://dpmzos25m8ivg.cloudfront.net/Documentos/631/09559500902/6310955950090207092023221408.jpg</t>
  </si>
  <si>
    <t>https://dpmzos25m8ivg.cloudfront.net/Documentos/631/09560932640/6310956093264006092023191631.jpeg</t>
  </si>
  <si>
    <t>https://dpmzos25m8ivg.cloudfront.net/Documentos/631/09560995480/6310956099548011092023160847.pdf</t>
  </si>
  <si>
    <t>https://dpmzos25m8ivg.cloudfront.net/Documentos/631/09561298708/6310956129870811092023155510.pdf</t>
  </si>
  <si>
    <t>https://dpmzos25m8ivg.cloudfront.net/Documentos/631/09562373630/6310956237363008092023063128.jpg</t>
  </si>
  <si>
    <t>https://dpmzos25m8ivg.cloudfront.net/Documentos/631/09563690494/6310956369049406092023225807.pdf</t>
  </si>
  <si>
    <t>https://dpmzos25m8ivg.cloudfront.net/Documentos/631/09564625610/6310956462561006092023160157.pdf</t>
  </si>
  <si>
    <t>https://dpmzos25m8ivg.cloudfront.net/Documentos/631/09564955912/6310956495591208092023100304.pdf</t>
  </si>
  <si>
    <t>https://dpmzos25m8ivg.cloudfront.net/Documentos/631/09567606439/6310956760643912092023232148.pdf</t>
  </si>
  <si>
    <t>https://dpmzos25m8ivg.cloudfront.net/Documentos/631/09574315460/6310957431546005092023170547.pdf</t>
  </si>
  <si>
    <t>https://dpmzos25m8ivg.cloudfront.net/Documentos/631/09575902459/6310957590245908092023154138.jpg</t>
  </si>
  <si>
    <t>https://dpmzos25m8ivg.cloudfront.net/Documentos/631/09577200680/6310957720068005092023121951.pdf</t>
  </si>
  <si>
    <t>https://dpmzos25m8ivg.cloudfront.net/Documentos/631/09580380406/6310958038040611092023161237.pdf</t>
  </si>
  <si>
    <t>https://dpmzos25m8ivg.cloudfront.net/Documentos/631/09591388624/6310959138862405092023211228.pdf</t>
  </si>
  <si>
    <t>https://dpmzos25m8ivg.cloudfront.net/Documentos/631/09591602480/6310959160248011092023102004.pdf</t>
  </si>
  <si>
    <t>https://dpmzos25m8ivg.cloudfront.net/Documentos/631/09596806599/6310959680659911092023164647.jpeg</t>
  </si>
  <si>
    <t>https://dpmzos25m8ivg.cloudfront.net/Documentos/631/09597724723/6310959772472311092023162048.pdf</t>
  </si>
  <si>
    <t>https://dpmzos25m8ivg.cloudfront.net/Documentos/631/09599691601/6310959969160111092023143218.pdf</t>
  </si>
  <si>
    <t>https://dpmzos25m8ivg.cloudfront.net/Documentos/631/09608590639/6310960859063909092023171813.pdf</t>
  </si>
  <si>
    <t>https://dpmzos25m8ivg.cloudfront.net/Documentos/631/09609575455/6310960957545511092023160344.jpeg</t>
  </si>
  <si>
    <t>https://dpmzos25m8ivg.cloudfront.net/Documentos/631/09617341670/6310961734167013092023163745.jpg</t>
  </si>
  <si>
    <t>https://dpmzos25m8ivg.cloudfront.net/Documentos/631/09633710456/6310963371045606092023052626.pdf</t>
  </si>
  <si>
    <t>https://dpmzos25m8ivg.cloudfront.net/Documentos/631/09641326724/6310964132672414092023134700.jpg</t>
  </si>
  <si>
    <t>https://dpmzos25m8ivg.cloudfront.net/Documentos/631/09643957462/6310964395746206092023175417.pdf</t>
  </si>
  <si>
    <t>https://dpmzos25m8ivg.cloudfront.net/Documentos/631/09647799438/6310964779943810092023173646.pdf</t>
  </si>
  <si>
    <t>https://dpmzos25m8ivg.cloudfront.net/Documentos/631/09649067914/6310964906791414092023154038.pdf</t>
  </si>
  <si>
    <t>https://dpmzos25m8ivg.cloudfront.net/Documentos/631/09651808918/6310965180891811092023154411.jpeg</t>
  </si>
  <si>
    <t>https://dpmzos25m8ivg.cloudfront.net/Documentos/631/09652192678/6310965219267811092023110440.pdf</t>
  </si>
  <si>
    <t>https://dpmzos25m8ivg.cloudfront.net/Documentos/631/09659063458/6310965906345811092023164950.pdf</t>
  </si>
  <si>
    <t>https://dpmzos25m8ivg.cloudfront.net/Documentos/631/09665142895/6310966514289512092023203524.pdf</t>
  </si>
  <si>
    <t>https://dpmzos25m8ivg.cloudfront.net/Documentos/631/09673593922/6310967359392211092023095839.pdf</t>
  </si>
  <si>
    <t>https://dpmzos25m8ivg.cloudfront.net/Documentos/631/09676914436/6310967691443607092023124413.pdf</t>
  </si>
  <si>
    <t>https://dpmzos25m8ivg.cloudfront.net/Documentos/631/09693899652/6310969389965211092023165116.pdf</t>
  </si>
  <si>
    <t>https://dpmzos25m8ivg.cloudfront.net/Documentos/631/09695383670/6310969538367011092023162340.pdf</t>
  </si>
  <si>
    <t>https://dpmzos25m8ivg.cloudfront.net/Documentos/631/09707283602/6310970728360209092023123350.pdf</t>
  </si>
  <si>
    <t>https://dpmzos25m8ivg.cloudfront.net/Documentos/631/09716292694/6310971629269411092023143050.pdf</t>
  </si>
  <si>
    <t>https://dpmzos25m8ivg.cloudfront.net/Documentos/631/09721682497/6310972168249705092023142914.pdf</t>
  </si>
  <si>
    <t>https://dpmzos25m8ivg.cloudfront.net/Documentos/631/09722404970/6310972240497011092023001425.pdf</t>
  </si>
  <si>
    <t>https://dpmzos25m8ivg.cloudfront.net/Documentos/631/09737249437/6310973724943706092023091607.jpg</t>
  </si>
  <si>
    <t>https://dpmzos25m8ivg.cloudfront.net/Documentos/631/09742221600/6310974222160011092023155910.pdf</t>
  </si>
  <si>
    <t>https://dpmzos25m8ivg.cloudfront.net/Documentos/631/09743033483/6310974303348311092023104524.pdf</t>
  </si>
  <si>
    <t>https://dpmzos25m8ivg.cloudfront.net/Documentos/631/09746343440/6310974634344006092023222516.pdf</t>
  </si>
  <si>
    <t>https://dpmzos25m8ivg.cloudfront.net/Documentos/631/09751028930/6310975102893005092023125607.pdf</t>
  </si>
  <si>
    <t>https://dpmzos25m8ivg.cloudfront.net/Documentos/631/09754551685/6310975455168511092023155315.jpeg</t>
  </si>
  <si>
    <t>https://dpmzos25m8ivg.cloudfront.net/Documentos/631/09758131702/6310975813170206092023073115.jpeg</t>
  </si>
  <si>
    <t>https://dpmzos25m8ivg.cloudfront.net/Documentos/631/09762103475/6310976210347508092023192829.pdf</t>
  </si>
  <si>
    <t>https://dpmzos25m8ivg.cloudfront.net/Documentos/631/09771347683/6310977134768311092023124802.jpg</t>
  </si>
  <si>
    <t>https://dpmzos25m8ivg.cloudfront.net/Documentos/631/09774030842/6310977403084205092023110410.pdf</t>
  </si>
  <si>
    <t>https://dpmzos25m8ivg.cloudfront.net/Documentos/631/09776410405/6310977641040505092023113503.jpeg</t>
  </si>
  <si>
    <t>https://dpmzos25m8ivg.cloudfront.net/Documentos/631/09781151986/6310978115198611092023155322.pdf</t>
  </si>
  <si>
    <t>https://dpmzos25m8ivg.cloudfront.net/Documentos/631/09789144490/6310978914449011092023165858.pdf</t>
  </si>
  <si>
    <t>https://dpmzos25m8ivg.cloudfront.net/Documentos/631/09791500606/6310979150060612092023183006.pdf</t>
  </si>
  <si>
    <t>https://dpmzos25m8ivg.cloudfront.net/Documentos/631/09794845701/6310979484570111092023103334.pdf</t>
  </si>
  <si>
    <t>https://dpmzos25m8ivg.cloudfront.net/Documentos/631/09798948408/6310979894840811092023152936.pdf</t>
  </si>
  <si>
    <t>https://dpmzos25m8ivg.cloudfront.net/Documentos/631/09800973478/6310980097347809092023103205.pdf</t>
  </si>
  <si>
    <t>https://dpmzos25m8ivg.cloudfront.net/Documentos/631/09812722823/6310981272282305092023181705.pdf</t>
  </si>
  <si>
    <t>https://dpmzos25m8ivg.cloudfront.net/Documentos/631/09813546611/6310981354661111092023163349.pdf</t>
  </si>
  <si>
    <t>https://dpmzos25m8ivg.cloudfront.net/Documentos/631/09825005483/6310982500548305092023173408.pdf</t>
  </si>
  <si>
    <t>https://dpmzos25m8ivg.cloudfront.net/Documentos/631/09827626906/6310982762690607092023171436.pdf</t>
  </si>
  <si>
    <t>https://dpmzos25m8ivg.cloudfront.net/Documentos/631/09829973611/6310982997361105092023142045.jpg</t>
  </si>
  <si>
    <t>https://dpmzos25m8ivg.cloudfront.net/Documentos/631/09830016773/6310983001677305092023181352.pdf</t>
  </si>
  <si>
    <t>https://dpmzos25m8ivg.cloudfront.net/Documentos/631/09830452913/6310983045291311092023105337.pdf</t>
  </si>
  <si>
    <t>https://dpmzos25m8ivg.cloudfront.net/Documentos/631/09835901414/6310983590141411092023152935.pdf</t>
  </si>
  <si>
    <t>https://dpmzos25m8ivg.cloudfront.net/Documentos/631/09835914400/6310983591440011092023165115.pdf</t>
  </si>
  <si>
    <t>https://dpmzos25m8ivg.cloudfront.net/Documentos/631/09838214612/6310983821461210092023224926.pdf</t>
  </si>
  <si>
    <t>https://dpmzos25m8ivg.cloudfront.net/Documentos/631/09838321451/6310983832145107092023220357.pdf</t>
  </si>
  <si>
    <t>https://dpmzos25m8ivg.cloudfront.net/Documentos/631/09839389467/6310983938946710092023121537.pdf</t>
  </si>
  <si>
    <t>https://dpmzos25m8ivg.cloudfront.net/Documentos/631/09844044499/6310984404449912092023233504.pdf</t>
  </si>
  <si>
    <t>https://dpmzos25m8ivg.cloudfront.net/Documentos/631/09848507671/6310984850767111092023104957.pdf</t>
  </si>
  <si>
    <t>https://dpmzos25m8ivg.cloudfront.net/Documentos/631/09852290711/6310985229071109092023080601.jpg</t>
  </si>
  <si>
    <t>https://dpmzos25m8ivg.cloudfront.net/Documentos/631/09862027460/6310986202746008092023105812.pdf</t>
  </si>
  <si>
    <t>https://dpmzos25m8ivg.cloudfront.net/Documentos/631/09866605744/6310986660574405092023152431.pdf</t>
  </si>
  <si>
    <t>https://dpmzos25m8ivg.cloudfront.net/Documentos/631/09872364907/6310987236490711092023154714.pdf</t>
  </si>
  <si>
    <t>https://dpmzos25m8ivg.cloudfront.net/Documentos/631/09874599456/6310987459945611092023152729.pdf</t>
  </si>
  <si>
    <t>https://dpmzos25m8ivg.cloudfront.net/Documentos/631/09876722409/6310987672240911092023151306.jpg</t>
  </si>
  <si>
    <t>https://dpmzos25m8ivg.cloudfront.net/Documentos/631/09877005700/6310987700570006092023093955.pdf</t>
  </si>
  <si>
    <t>https://dpmzos25m8ivg.cloudfront.net/Documentos/631/09879140656/6310987914065611092023123036.pdf</t>
  </si>
  <si>
    <t>https://dpmzos25m8ivg.cloudfront.net/Documentos/631/09879760794/6310987976079411092023135529.jpg</t>
  </si>
  <si>
    <t>https://dpmzos25m8ivg.cloudfront.net/Documentos/631/09880309936/6310988030993608092023055057.jpg</t>
  </si>
  <si>
    <t>https://dpmzos25m8ivg.cloudfront.net/Documentos/631/09894316735/6310989431673510092023231325.jpg</t>
  </si>
  <si>
    <t>https://dpmzos25m8ivg.cloudfront.net/Documentos/631/09896348685/6310989634868511092023082902.pdf</t>
  </si>
  <si>
    <t>https://dpmzos25m8ivg.cloudfront.net/Documentos/631/09898100460/6310989810046011092023152009.pdf</t>
  </si>
  <si>
    <t>https://dpmzos25m8ivg.cloudfront.net/Documentos/631/09898509600/6310989850960006092023115235.pdf</t>
  </si>
  <si>
    <t>https://dpmzos25m8ivg.cloudfront.net/Documentos/631/09900008421/6310990000842107092023132332.pdf</t>
  </si>
  <si>
    <t>https://dpmzos25m8ivg.cloudfront.net/Documentos/631/09909173557/6310990917355711092023132456.pdf</t>
  </si>
  <si>
    <t>https://dpmzos25m8ivg.cloudfront.net/Documentos/631/09911355470/6310991135547010092023172225.pdf</t>
  </si>
  <si>
    <t>https://dpmzos25m8ivg.cloudfront.net/Documentos/631/09915319495/6310991531949505092023112554.pdf</t>
  </si>
  <si>
    <t>https://dpmzos25m8ivg.cloudfront.net/Documentos/631/09916158401/6310991615840105092023095624.pdf</t>
  </si>
  <si>
    <t>https://dpmzos25m8ivg.cloudfront.net/Documentos/631/09929846700/6310992984670009092023224550.jpg</t>
  </si>
  <si>
    <t>https://dpmzos25m8ivg.cloudfront.net/Documentos/631/09931028408/6310993102840811092023164912.jpg</t>
  </si>
  <si>
    <t>https://dpmzos25m8ivg.cloudfront.net/Documentos/631/09936839676/6310993683967611092023135242.pdf</t>
  </si>
  <si>
    <t>https://dpmzos25m8ivg.cloudfront.net/Documentos/631/09940953682/6310994095368206092023115345.pdf</t>
  </si>
  <si>
    <t>https://dpmzos25m8ivg.cloudfront.net/Documentos/631/09947890414/6310994789041411092023140822.pdf</t>
  </si>
  <si>
    <t>https://dpmzos25m8ivg.cloudfront.net/Documentos/631/09949736404/6310994973640411092023142034.pdf</t>
  </si>
  <si>
    <t>https://dpmzos25m8ivg.cloudfront.net/Documentos/631/09950465494/6310995046549411092023155149.pdf</t>
  </si>
  <si>
    <t>https://dpmzos25m8ivg.cloudfront.net/Documentos/631/09963973701/6310996397370111092023163237.pdf</t>
  </si>
  <si>
    <t>https://dpmzos25m8ivg.cloudfront.net/Documentos/631/09967072989/6310996707298905092023202807.pdf</t>
  </si>
  <si>
    <t>https://dpmzos25m8ivg.cloudfront.net/Documentos/631/09969271660/6310996927166010092023220644.pdf</t>
  </si>
  <si>
    <t>https://dpmzos25m8ivg.cloudfront.net/Documentos/631/09969300784/6310996930078410092023223551.jpg</t>
  </si>
  <si>
    <t>https://dpmzos25m8ivg.cloudfront.net/Documentos/631/09970721640/6310997072164013092023142748.pdf</t>
  </si>
  <si>
    <t>https://dpmzos25m8ivg.cloudfront.net/Documentos/631/09971384833/6310997138483305092023181706.pdf</t>
  </si>
  <si>
    <t>https://dpmzos25m8ivg.cloudfront.net/Documentos/631/09971808625/6310997180862510092023165459.pdf</t>
  </si>
  <si>
    <t>https://dpmzos25m8ivg.cloudfront.net/Documentos/631/09985659970/6310998565997011092023135752.jpeg</t>
  </si>
  <si>
    <t>https://dpmzos25m8ivg.cloudfront.net/Documentos/631/09986824460/6310998682446010092023175617.pdf</t>
  </si>
  <si>
    <t>https://dpmzos25m8ivg.cloudfront.net/Documentos/631/09988905459/6310998890545907092023153017.pdf</t>
  </si>
  <si>
    <t>https://dpmzos25m8ivg.cloudfront.net/Documentos/631/09991052488/6310999105248808092023213209.pdf</t>
  </si>
  <si>
    <t>https://dpmzos25m8ivg.cloudfront.net/Documentos/631/09997404742/6310999740474210092023152921.pdf</t>
  </si>
  <si>
    <t>https://dpmzos25m8ivg.cloudfront.net/Documentos/631/10000431699/6311000043169906092023204632.pdf</t>
  </si>
  <si>
    <t>https://dpmzos25m8ivg.cloudfront.net/Documentos/631/10001862456/6311000186245605092023212359.jpg</t>
  </si>
  <si>
    <t>https://dpmzos25m8ivg.cloudfront.net/Documentos/631/10015998452/6311001599845209092023214352.jpg</t>
  </si>
  <si>
    <t>https://dpmzos25m8ivg.cloudfront.net/Documentos/631/10021643466/6311002164346605092023172529.jpg</t>
  </si>
  <si>
    <t>https://dpmzos25m8ivg.cloudfront.net/Documentos/631/10023848421/6311002384842108092023191217.jpg</t>
  </si>
  <si>
    <t>https://dpmzos25m8ivg.cloudfront.net/Documentos/631/10024465623/6311002446562305092023172633.jpg</t>
  </si>
  <si>
    <t>https://dpmzos25m8ivg.cloudfront.net/Documentos/631/10030860474/6311003086047411092023113848.jpeg</t>
  </si>
  <si>
    <t>https://dpmzos25m8ivg.cloudfront.net/Documentos/631/10030968674/6311003096867411092023164300.jpeg</t>
  </si>
  <si>
    <t>https://dpmzos25m8ivg.cloudfront.net/Documentos/631/10031728650/6311003172865011092023155050.pdf</t>
  </si>
  <si>
    <t>https://dpmzos25m8ivg.cloudfront.net/Documentos/631/10036675709/6311003667570908092023132718.pdf</t>
  </si>
  <si>
    <t>https://dpmzos25m8ivg.cloudfront.net/Documentos/631/10043809685/6311004380968505092023133235.pdf</t>
  </si>
  <si>
    <t>https://dpmzos25m8ivg.cloudfront.net/Documentos/631/10044466404/6311004446640413092023183315.pdf</t>
  </si>
  <si>
    <t>https://dpmzos25m8ivg.cloudfront.net/Documentos/631/10051802457/6311005180245708092023191921.pdf</t>
  </si>
  <si>
    <t>https://dpmzos25m8ivg.cloudfront.net/Documentos/631/10053637496/6311005363749611092023141255.pdf</t>
  </si>
  <si>
    <t>https://dpmzos25m8ivg.cloudfront.net/Documentos/631/10056744420/6311005674442008092023170107.pdf</t>
  </si>
  <si>
    <t>https://dpmzos25m8ivg.cloudfront.net/Documentos/631/10059459425/6311005945942511092023103007.jpeg</t>
  </si>
  <si>
    <t>https://dpmzos25m8ivg.cloudfront.net/Documentos/631/10067761763/6311006776176311092023164428.pdf</t>
  </si>
  <si>
    <t>https://dpmzos25m8ivg.cloudfront.net/Documentos/631/10071351663/6311007135166311092023104708.pdf</t>
  </si>
  <si>
    <t>https://dpmzos25m8ivg.cloudfront.net/Documentos/631/10071551409/6311007155140911092023162010.pdf</t>
  </si>
  <si>
    <t>https://dpmzos25m8ivg.cloudfront.net/Documentos/631/10072859741/6311007285974111092023014918.pdf</t>
  </si>
  <si>
    <t>https://dpmzos25m8ivg.cloudfront.net/Documentos/631/10075287617/6311007528761707092023235210.jpeg</t>
  </si>
  <si>
    <t>https://dpmzos25m8ivg.cloudfront.net/Documentos/631/10092876994/6311009287699411092023161235.pdf</t>
  </si>
  <si>
    <t>https://dpmzos25m8ivg.cloudfront.net/Documentos/631/10099007738/6311009900773810092023122302.jpg</t>
  </si>
  <si>
    <t>https://dpmzos25m8ivg.cloudfront.net/Documentos/631/10102503613/6311010250361311092023103234.pdf</t>
  </si>
  <si>
    <t>https://dpmzos25m8ivg.cloudfront.net/Documentos/631/10104905670/6311010490567010092023193007.pdf</t>
  </si>
  <si>
    <t>https://dpmzos25m8ivg.cloudfront.net/Documentos/631/10111653681/6311011165368111092023095603.jpg</t>
  </si>
  <si>
    <t>https://dpmzos25m8ivg.cloudfront.net/Documentos/631/10113636741/6311011363674106092023150348.pdf</t>
  </si>
  <si>
    <t>https://dpmzos25m8ivg.cloudfront.net/Documentos/631/10114280673/6311011428067311092023015834.pdf</t>
  </si>
  <si>
    <t>https://dpmzos25m8ivg.cloudfront.net/Documentos/631/10118727494/6311011872749411092023141012.pdf</t>
  </si>
  <si>
    <t>https://dpmzos25m8ivg.cloudfront.net/Documentos/631/10121449769/6311012144976906092023211421.pdf</t>
  </si>
  <si>
    <t>https://dpmzos25m8ivg.cloudfront.net/Documentos/631/10121778908/6311012177890811092023151825.pdf</t>
  </si>
  <si>
    <t>https://dpmzos25m8ivg.cloudfront.net/Documentos/631/10127242473/6311012724247308092023162725.pdf</t>
  </si>
  <si>
    <t>https://dpmzos25m8ivg.cloudfront.net/Documentos/631/10127467475/6311012746747511092023165735.pdf</t>
  </si>
  <si>
    <t>https://dpmzos25m8ivg.cloudfront.net/Documentos/631/10135912750/6311013591275006092023143754.jpg</t>
  </si>
  <si>
    <t>https://dpmzos25m8ivg.cloudfront.net/Documentos/631/10136264948/6311013626494811092023052358.pdf</t>
  </si>
  <si>
    <t>https://dpmzos25m8ivg.cloudfront.net/Documentos/631/10137956878/6311013795687805092023123427.pdf</t>
  </si>
  <si>
    <t>https://dpmzos25m8ivg.cloudfront.net/Documentos/631/10138253498/6311013825349813092023155914.pdf</t>
  </si>
  <si>
    <t>https://dpmzos25m8ivg.cloudfront.net/Documentos/631/10139278699/6311013927869906092023152206.jpg</t>
  </si>
  <si>
    <t>https://dpmzos25m8ivg.cloudfront.net/Documentos/631/10142085480/6311014208548008092023173545.pdf</t>
  </si>
  <si>
    <t>https://dpmzos25m8ivg.cloudfront.net/Documentos/631/10142158704/6311014215870405092023231526.pdf</t>
  </si>
  <si>
    <t>https://dpmzos25m8ivg.cloudfront.net/Documentos/631/10143527460/6311014352746005092023164213.pdf</t>
  </si>
  <si>
    <t>https://dpmzos25m8ivg.cloudfront.net/Documentos/631/10144459736/6311014445973608092023135815.jpg</t>
  </si>
  <si>
    <t>https://dpmzos25m8ivg.cloudfront.net/Documentos/631/10157467481/6311015746748110092023185955.pdf</t>
  </si>
  <si>
    <t>https://dpmzos25m8ivg.cloudfront.net/Documentos/631/10159900450/6311015990045005092023171628.pdf</t>
  </si>
  <si>
    <t>https://dpmzos25m8ivg.cloudfront.net/Documentos/631/10159972604/6311015997260411092023080242.pdf</t>
  </si>
  <si>
    <t>https://dpmzos25m8ivg.cloudfront.net/Documentos/631/10161194966/6311016119496612092023174920.pdf</t>
  </si>
  <si>
    <t>https://dpmzos25m8ivg.cloudfront.net/Documentos/631/10164328955/6311016432895511092023143540.pdf</t>
  </si>
  <si>
    <t>https://dpmzos25m8ivg.cloudfront.net/Documentos/631/10171808495/6311017180849511092023144956.pdf</t>
  </si>
  <si>
    <t>https://dpmzos25m8ivg.cloudfront.net/Documentos/631/10174058403/6311017405840313092023224748.jpeg</t>
  </si>
  <si>
    <t>https://dpmzos25m8ivg.cloudfront.net/Documentos/631/10175519447/6311017551944704092023191615.pdf</t>
  </si>
  <si>
    <t>https://dpmzos25m8ivg.cloudfront.net/Documentos/631/10179065483/6311017906548306092023105204.pdf</t>
  </si>
  <si>
    <t>https://dpmzos25m8ivg.cloudfront.net/Documentos/631/10182405435/6311018240543506092023220119.jpg</t>
  </si>
  <si>
    <t>https://dpmzos25m8ivg.cloudfront.net/Documentos/631/10184134480/6311018413448010092023123457.pdf</t>
  </si>
  <si>
    <t>https://dpmzos25m8ivg.cloudfront.net/Documentos/631/10185926959/6311018592695910092023220530.pdf</t>
  </si>
  <si>
    <t>https://dpmzos25m8ivg.cloudfront.net/Documentos/631/10186156448/6311018615644814092023134550.jpeg</t>
  </si>
  <si>
    <t>https://dpmzos25m8ivg.cloudfront.net/Documentos/631/10191347477/6311019134747708092023153645.pdf</t>
  </si>
  <si>
    <t>https://dpmzos25m8ivg.cloudfront.net/Documentos/631/10192961438/6311019296143811092023170009.pdf</t>
  </si>
  <si>
    <t>https://dpmzos25m8ivg.cloudfront.net/Documentos/631/10194040941/6311019404094110092023193645.pdf</t>
  </si>
  <si>
    <t>https://dpmzos25m8ivg.cloudfront.net/Documentos/631/10197069967/6311019706996705092023133447.pdf</t>
  </si>
  <si>
    <t>https://dpmzos25m8ivg.cloudfront.net/Documentos/631/10203873432/6311020387343211092023152630.pdf</t>
  </si>
  <si>
    <t>https://dpmzos25m8ivg.cloudfront.net/Documentos/631/10205131603/6311020513160311092023160414.pdf</t>
  </si>
  <si>
    <t>https://dpmzos25m8ivg.cloudfront.net/Documentos/631/10207296944/6311020729694411092023140137.pdf</t>
  </si>
  <si>
    <t>https://dpmzos25m8ivg.cloudfront.net/Documentos/631/10208378707/6311020837870711092023112304.pdf</t>
  </si>
  <si>
    <t>https://dpmzos25m8ivg.cloudfront.net/Documentos/631/10216481759/6311021648175911092023164657.pdf</t>
  </si>
  <si>
    <t>https://dpmzos25m8ivg.cloudfront.net/Documentos/631/10217744486/6311021774448611092023152618.jpg</t>
  </si>
  <si>
    <t>https://dpmzos25m8ivg.cloudfront.net/Documentos/631/10219247412/6311021924741213092023122536.pdf</t>
  </si>
  <si>
    <t>https://dpmzos25m8ivg.cloudfront.net/Documentos/631/10220284482/6311022028448211092023152301.jpg</t>
  </si>
  <si>
    <t>https://dpmzos25m8ivg.cloudfront.net/Documentos/631/10228531470/6311022853147011092023124619.jpg</t>
  </si>
  <si>
    <t>https://dpmzos25m8ivg.cloudfront.net/Documentos/631/10234708964/6311023470896411092023125011.pdf</t>
  </si>
  <si>
    <t>https://dpmzos25m8ivg.cloudfront.net/Documentos/631/10240545605/6311024054560511092023000344.pdf</t>
  </si>
  <si>
    <t>https://dpmzos25m8ivg.cloudfront.net/Documentos/631/10244075786/6311024407578609092023143039.pdf</t>
  </si>
  <si>
    <t>https://dpmzos25m8ivg.cloudfront.net/Documentos/631/10244773475/6311024477347505092023165431.pdf</t>
  </si>
  <si>
    <t>https://dpmzos25m8ivg.cloudfront.net/Documentos/631/10244774447/6311024477444705092023213736.pdf</t>
  </si>
  <si>
    <t>https://dpmzos25m8ivg.cloudfront.net/Documentos/631/10259877646/6311025987764611092023170654.pdf</t>
  </si>
  <si>
    <t>https://dpmzos25m8ivg.cloudfront.net/Documentos/631/10264280415/6311026428041509092023133927.jpeg</t>
  </si>
  <si>
    <t>https://dpmzos25m8ivg.cloudfront.net/Documentos/631/10268282790/6311026828279009092023190421.pdf</t>
  </si>
  <si>
    <t>https://dpmzos25m8ivg.cloudfront.net/Documentos/631/10268701784/6311026870178405092023085541.pdf</t>
  </si>
  <si>
    <t>https://dpmzos25m8ivg.cloudfront.net/Documentos/631/10269255680/6311026925568011092023152913.jpeg</t>
  </si>
  <si>
    <t>https://dpmzos25m8ivg.cloudfront.net/Documentos/631/10275197417/6311027519741706092023175922.pdf</t>
  </si>
  <si>
    <t>https://dpmzos25m8ivg.cloudfront.net/Documentos/631/10275512703/6311027551270309092023082937.jpg</t>
  </si>
  <si>
    <t>https://dpmzos25m8ivg.cloudfront.net/Documentos/631/10277131499/6311027713149911092023160137.pdf</t>
  </si>
  <si>
    <t>https://dpmzos25m8ivg.cloudfront.net/Documentos/631/10280761422/6311028076142211092023133433.jpeg</t>
  </si>
  <si>
    <t>https://dpmzos25m8ivg.cloudfront.net/Documentos/631/10282264701/6311028226470105092023084321.pdf</t>
  </si>
  <si>
    <t>https://dpmzos25m8ivg.cloudfront.net/Documentos/631/10282472738/6311028247273811092023063838.pdf</t>
  </si>
  <si>
    <t>https://dpmzos25m8ivg.cloudfront.net/Documentos/631/10286692406/6311028669240610092023130416.pdf</t>
  </si>
  <si>
    <t>https://dpmzos25m8ivg.cloudfront.net/Documentos/631/10289702429/6311028970242910092023193307.pdf</t>
  </si>
  <si>
    <t>https://dpmzos25m8ivg.cloudfront.net/Documentos/631/10290086710/6311029008671007092023095118.jpg</t>
  </si>
  <si>
    <t>https://dpmzos25m8ivg.cloudfront.net/Documentos/631/10292079419/6311029207941914092023162529.pdf</t>
  </si>
  <si>
    <t>https://dpmzos25m8ivg.cloudfront.net/Documentos/631/10300183755/6311030018375511092023130323.pdf</t>
  </si>
  <si>
    <t>https://dpmzos25m8ivg.cloudfront.net/Documentos/631/10300946910/6311030094691011092023110343.pdf</t>
  </si>
  <si>
    <t>https://dpmzos25m8ivg.cloudfront.net/Documentos/631/10303254998/6311030325499811092023132711.pdf</t>
  </si>
  <si>
    <t>https://dpmzos25m8ivg.cloudfront.net/Documentos/631/10303459450/6311030345945005092023095343.pdf</t>
  </si>
  <si>
    <t>https://dpmzos25m8ivg.cloudfront.net/Documentos/631/10306651416/6311030665141611092023035215.pdf</t>
  </si>
  <si>
    <t>https://dpmzos25m8ivg.cloudfront.net/Documentos/631/10309022401/6311030902240108092023110405.pdf</t>
  </si>
  <si>
    <t>https://dpmzos25m8ivg.cloudfront.net/Documentos/631/10311218466/6311031121846609092023160238.pdf</t>
  </si>
  <si>
    <t>https://dpmzos25m8ivg.cloudfront.net/Documentos/631/10314320865/6311031432086507092023120609.pdf</t>
  </si>
  <si>
    <t>https://dpmzos25m8ivg.cloudfront.net/Documentos/631/10322081475/6311032208147509092023100709.pdf</t>
  </si>
  <si>
    <t>https://dpmzos25m8ivg.cloudfront.net/Documentos/631/10323001408/6311032300140811092023153141.pdf</t>
  </si>
  <si>
    <t>https://dpmzos25m8ivg.cloudfront.net/Documentos/631/10324456450/6311032445645005092023113157.pdf</t>
  </si>
  <si>
    <t>https://dpmzos25m8ivg.cloudfront.net/Documentos/631/10327155450/6311032715545011092023165654.jpg</t>
  </si>
  <si>
    <t>https://dpmzos25m8ivg.cloudfront.net/Documentos/631/10327867442/6311032786744206092023145025.jpg</t>
  </si>
  <si>
    <t>https://dpmzos25m8ivg.cloudfront.net/Documentos/631/10331952432/6311033195243211092023122944.jpg</t>
  </si>
  <si>
    <t>https://dpmzos25m8ivg.cloudfront.net/Documentos/631/10335216471/6311033521647108092023113814.jpeg</t>
  </si>
  <si>
    <t>https://dpmzos25m8ivg.cloudfront.net/Documentos/631/10336970609/6311033697060911092023093045.pdf</t>
  </si>
  <si>
    <t>https://dpmzos25m8ivg.cloudfront.net/Documentos/631/10337836418/6311033783641811092023160747.pdf</t>
  </si>
  <si>
    <t>https://dpmzos25m8ivg.cloudfront.net/Documentos/631/10341220701/6311034122070107092023210606.pdf</t>
  </si>
  <si>
    <t>https://dpmzos25m8ivg.cloudfront.net/Documentos/631/10343878984/6311034387898411092023143805.pdf</t>
  </si>
  <si>
    <t>https://dpmzos25m8ivg.cloudfront.net/Documentos/631/10345656482/6311034565648211092023151059.pdf</t>
  </si>
  <si>
    <t>https://dpmzos25m8ivg.cloudfront.net/Documentos/631/10345824458/6311034582445811092023131746.pdf</t>
  </si>
  <si>
    <t>https://dpmzos25m8ivg.cloudfront.net/Documentos/631/10349883440/6311034988344011092023150820.jpg</t>
  </si>
  <si>
    <t>https://dpmzos25m8ivg.cloudfront.net/Documentos/631/10352615451/6311035261545111092023133441.jpg</t>
  </si>
  <si>
    <t>https://dpmzos25m8ivg.cloudfront.net/Documentos/631/10355442701/6311035544270111092023160900.pdf</t>
  </si>
  <si>
    <t>https://dpmzos25m8ivg.cloudfront.net/Documentos/631/10360929419/6311036092941911092023160912.pdf</t>
  </si>
  <si>
    <t>https://dpmzos25m8ivg.cloudfront.net/Documentos/631/10362277907/6311036227790711092023160323.jpg</t>
  </si>
  <si>
    <t>https://dpmzos25m8ivg.cloudfront.net/Documentos/631/10362777470/6311036277747010092023204620.pdf</t>
  </si>
  <si>
    <t>https://dpmzos25m8ivg.cloudfront.net/Documentos/631/10367495414/6311036749541410092023224338.pdf</t>
  </si>
  <si>
    <t>https://dpmzos25m8ivg.cloudfront.net/Documentos/631/10369332881/6311036933288106092023164824.pdf</t>
  </si>
  <si>
    <t>https://dpmzos25m8ivg.cloudfront.net/Documentos/631/10384106730/6311038410673005092023195049.pdf</t>
  </si>
  <si>
    <t>https://dpmzos25m8ivg.cloudfront.net/Documentos/631/10386557659/6311038655765905092023151251.pdf</t>
  </si>
  <si>
    <t>https://dpmzos25m8ivg.cloudfront.net/Documentos/631/10387683658/6311038768365808092023141748.pdf</t>
  </si>
  <si>
    <t>https://dpmzos25m8ivg.cloudfront.net/Documentos/631/10389651443/6311038965144311092023040948.pdf</t>
  </si>
  <si>
    <t>https://dpmzos25m8ivg.cloudfront.net/Documentos/631/10394598466/6311039459846611092023103421.pdf</t>
  </si>
  <si>
    <t>https://dpmzos25m8ivg.cloudfront.net/Documentos/631/10396389457/6311039638945711092023142820.jpg</t>
  </si>
  <si>
    <t>https://dpmzos25m8ivg.cloudfront.net/Documentos/631/10396889778/6311039688977811092023172056.pdf</t>
  </si>
  <si>
    <t>https://dpmzos25m8ivg.cloudfront.net/Documentos/631/10399545611/6311039954561110092023175857.pdf</t>
  </si>
  <si>
    <t>https://dpmzos25m8ivg.cloudfront.net/Documentos/631/10408158719/6311040815871914092023112745.jpeg</t>
  </si>
  <si>
    <t>https://dpmzos25m8ivg.cloudfront.net/Documentos/631/10409144460/6311040914446011092023155940.pdf</t>
  </si>
  <si>
    <t>https://dpmzos25m8ivg.cloudfront.net/Documentos/631/10409844446/6311040984444611092023151144.pdf</t>
  </si>
  <si>
    <t>https://dpmzos25m8ivg.cloudfront.net/Documentos/631/10415779740/6311041577974004092023180811.pdf</t>
  </si>
  <si>
    <t>https://dpmzos25m8ivg.cloudfront.net/Documentos/631/10419723935/6311041972393511092023153213.pdf</t>
  </si>
  <si>
    <t>https://dpmzos25m8ivg.cloudfront.net/Documentos/631/10422294497/6311042229449711092023010846.jpeg</t>
  </si>
  <si>
    <t>https://dpmzos25m8ivg.cloudfront.net/Documentos/631/10432569626/6311043256962611092023162423.jpeg</t>
  </si>
  <si>
    <t>https://dpmzos25m8ivg.cloudfront.net/Documentos/631/10434649724/6311043464972411092023164203.pdf</t>
  </si>
  <si>
    <t>https://dpmzos25m8ivg.cloudfront.net/Documentos/631/10441754945/6311044175494511092023103538.pdf</t>
  </si>
  <si>
    <t>https://dpmzos25m8ivg.cloudfront.net/Documentos/631/10443581657/6311044358165709092023160216.pdf</t>
  </si>
  <si>
    <t>https://dpmzos25m8ivg.cloudfront.net/Documentos/631/10445353422/6311044535342207092023190447.jpeg</t>
  </si>
  <si>
    <t>https://dpmzos25m8ivg.cloudfront.net/Documentos/631/10446148466/6311044614846611092023112701.pdf</t>
  </si>
  <si>
    <t>https://dpmzos25m8ivg.cloudfront.net/Documentos/631/10447756451/6311044775645105092023114918.jpg</t>
  </si>
  <si>
    <t>https://dpmzos25m8ivg.cloudfront.net/Documentos/631/10453597939/6311045359793911092023101016.pdf</t>
  </si>
  <si>
    <t>https://dpmzos25m8ivg.cloudfront.net/Documentos/631/10454729480/6311045472948011092023161950.jpg</t>
  </si>
  <si>
    <t>https://dpmzos25m8ivg.cloudfront.net/Documentos/631/10455781931/6311045578193105092023222239.pdf</t>
  </si>
  <si>
    <t>https://dpmzos25m8ivg.cloudfront.net/Documentos/631/10458222992/6311045822299209092023121852.pdf</t>
  </si>
  <si>
    <t>https://dpmzos25m8ivg.cloudfront.net/Documentos/631/10464388910/6311046438891009092023182414.pdf</t>
  </si>
  <si>
    <t>https://dpmzos25m8ivg.cloudfront.net/Documentos/631/10470302410/6311047030241011092023144753.pdf</t>
  </si>
  <si>
    <t>https://dpmzos25m8ivg.cloudfront.net/Documentos/631/10477855601/6311047785560111092023143837.jpeg</t>
  </si>
  <si>
    <t>https://dpmzos25m8ivg.cloudfront.net/Documentos/631/10478072465/6311047807246511092023135809.pdf</t>
  </si>
  <si>
    <t>https://dpmzos25m8ivg.cloudfront.net/Documentos/631/10479918880/6311047991888005092023173301.pdf</t>
  </si>
  <si>
    <t>https://dpmzos25m8ivg.cloudfront.net/Documentos/631/10480970483/6311048097048309092023160506.pdf</t>
  </si>
  <si>
    <t>https://dpmzos25m8ivg.cloudfront.net/Documentos/631/10482696982/6311048269698211092023081501.jpeg</t>
  </si>
  <si>
    <t>https://dpmzos25m8ivg.cloudfront.net/Documentos/631/10486329704/6311048632970410092023142303.jpg</t>
  </si>
  <si>
    <t>https://dpmzos25m8ivg.cloudfront.net/Documentos/631/10497542714/6311049754271405092023214838.pdf</t>
  </si>
  <si>
    <t>https://dpmzos25m8ivg.cloudfront.net/Documentos/631/10499126408/6311049912640814092023164703.jpeg</t>
  </si>
  <si>
    <t>https://dpmzos25m8ivg.cloudfront.net/Documentos/631/10510872441/6311051087244111092023154025.pdf</t>
  </si>
  <si>
    <t>https://dpmzos25m8ivg.cloudfront.net/Documentos/631/10513093796/6311051309379605092023141025.pdf</t>
  </si>
  <si>
    <t>https://dpmzos25m8ivg.cloudfront.net/Documentos/631/10523016492/6311052301649209092023190049.pdf</t>
  </si>
  <si>
    <t>https://dpmzos25m8ivg.cloudfront.net/Documentos/631/10525532498/6311052553249807092023183730.pdf</t>
  </si>
  <si>
    <t>https://dpmzos25m8ivg.cloudfront.net/Documentos/631/10525659722/6311052565972211092023162739.pdf</t>
  </si>
  <si>
    <t>https://dpmzos25m8ivg.cloudfront.net/Documentos/631/10530136473/6311053013647311092023154933.jpeg</t>
  </si>
  <si>
    <t>https://dpmzos25m8ivg.cloudfront.net/Documentos/631/10531051420/6311053105142011092023155257.jpg</t>
  </si>
  <si>
    <t>https://dpmzos25m8ivg.cloudfront.net/Documentos/631/10533922496/6311053392249610092023104622.pdf</t>
  </si>
  <si>
    <t>https://dpmzos25m8ivg.cloudfront.net/Documentos/631/10534017878/6311053401787810092023173201.pdf</t>
  </si>
  <si>
    <t>https://dpmzos25m8ivg.cloudfront.net/Documentos/631/10534788955/6311053478895514092023161834.pdf</t>
  </si>
  <si>
    <t>https://dpmzos25m8ivg.cloudfront.net/Documentos/631/10536989419/6311053698941905092023101018.pdf</t>
  </si>
  <si>
    <t>https://dpmzos25m8ivg.cloudfront.net/Documentos/631/10539649430/6311053964943008092023065921.pdf</t>
  </si>
  <si>
    <t>https://dpmzos25m8ivg.cloudfront.net/Documentos/631/10544440803/6311054444080311092023003715.jpg</t>
  </si>
  <si>
    <t>https://dpmzos25m8ivg.cloudfront.net/Documentos/631/10544932943/6311054493294314092023161644.pdf</t>
  </si>
  <si>
    <t>https://dpmzos25m8ivg.cloudfront.net/Documentos/631/10557409616/6311055740961605092023102621.pdf</t>
  </si>
  <si>
    <t>https://dpmzos25m8ivg.cloudfront.net/Documentos/631/10563825979/6311056382597905092023091210.pdf</t>
  </si>
  <si>
    <t>https://dpmzos25m8ivg.cloudfront.net/Documentos/631/10566638479/6311056663847910092023212335.pdf</t>
  </si>
  <si>
    <t>https://dpmzos25m8ivg.cloudfront.net/Documentos/631/10567898911/6311056789891110092023130135.pdf</t>
  </si>
  <si>
    <t>https://dpmzos25m8ivg.cloudfront.net/Documentos/631/10575732482/6311057573248213092023170722.pdf</t>
  </si>
  <si>
    <t>https://dpmzos25m8ivg.cloudfront.net/Documentos/631/10576405493/6311057640549310092023231259.pdf</t>
  </si>
  <si>
    <t>https://dpmzos25m8ivg.cloudfront.net/Documentos/631/10582203490/6311058220349009092023094400.pdf</t>
  </si>
  <si>
    <t>https://dpmzos25m8ivg.cloudfront.net/Documentos/631/10583242928/6311058324292807092023114009.pdf</t>
  </si>
  <si>
    <t>https://dpmzos25m8ivg.cloudfront.net/Documentos/631/10590453890/6311059045389010092023062003.jpg</t>
  </si>
  <si>
    <t>https://dpmzos25m8ivg.cloudfront.net/Documentos/631/10593513401/6311059351340105092023213001.pdf</t>
  </si>
  <si>
    <t>https://dpmzos25m8ivg.cloudfront.net/Documentos/631/10606940693/6311060694069311092023080547.jpg</t>
  </si>
  <si>
    <t>https://dpmzos25m8ivg.cloudfront.net/Documentos/631/10608780464/6311060878046410092023201148.pdf</t>
  </si>
  <si>
    <t>https://dpmzos25m8ivg.cloudfront.net/Documentos/631/10609621793/6311060962179311092023113748.pdf</t>
  </si>
  <si>
    <t>https://dpmzos25m8ivg.cloudfront.net/Documentos/631/10619301651/6311061930165109092023124356.pdf</t>
  </si>
  <si>
    <t>https://dpmzos25m8ivg.cloudfront.net/Documentos/631/10625644646/6311062564464605092023215303.pdf</t>
  </si>
  <si>
    <t>https://dpmzos25m8ivg.cloudfront.net/Documentos/631/10626249473/6311062624947305092023200439.jpg</t>
  </si>
  <si>
    <t>https://dpmzos25m8ivg.cloudfront.net/Documentos/631/10626501660/6311062650166011092023160426.pdf</t>
  </si>
  <si>
    <t>https://dpmzos25m8ivg.cloudfront.net/Documentos/631/10640447430/6311064044743011092023110615.pdf</t>
  </si>
  <si>
    <t>https://dpmzos25m8ivg.cloudfront.net/Documentos/631/10643175610/6311064317561007092023154713.jpg</t>
  </si>
  <si>
    <t>https://dpmzos25m8ivg.cloudfront.net/Documentos/631/10646790641/6311064679064110092023181830.jpeg</t>
  </si>
  <si>
    <t>https://dpmzos25m8ivg.cloudfront.net/Documentos/631/10649687400/6311064968740014092023121718.pdf</t>
  </si>
  <si>
    <t>https://dpmzos25m8ivg.cloudfront.net/Documentos/631/10656862424/6311065686242412092023200350.pdf</t>
  </si>
  <si>
    <t>https://dpmzos25m8ivg.cloudfront.net/Documentos/631/10657494496/6311065749449610092023115139.jpeg</t>
  </si>
  <si>
    <t>https://dpmzos25m8ivg.cloudfront.net/Documentos/631/10658191705/6311065819170509092023104958.pdf</t>
  </si>
  <si>
    <t>https://dpmzos25m8ivg.cloudfront.net/Documentos/631/10659430916/6311065943091606092023141857.pdf</t>
  </si>
  <si>
    <t>https://dpmzos25m8ivg.cloudfront.net/Documentos/631/10660227479/6311066022747911092023120541.pdf</t>
  </si>
  <si>
    <t>https://dpmzos25m8ivg.cloudfront.net/Documentos/631/10661422895/6311066142289505092023101417.pdf</t>
  </si>
  <si>
    <t>https://dpmzos25m8ivg.cloudfront.net/Documentos/631/10661871428/6311066187142811092023102219.jpg</t>
  </si>
  <si>
    <t>https://dpmzos25m8ivg.cloudfront.net/Documentos/631/10671221418/6311067122141806092023130317.jpg</t>
  </si>
  <si>
    <t>https://dpmzos25m8ivg.cloudfront.net/Documentos/631/10671736760/6311067173676006092023120329.jpg</t>
  </si>
  <si>
    <t>https://dpmzos25m8ivg.cloudfront.net/Documentos/631/10672923149/6311067292314905092023232955.pdf</t>
  </si>
  <si>
    <t>https://dpmzos25m8ivg.cloudfront.net/Documentos/631/10674877438/6311067487743811092023154940.pdf</t>
  </si>
  <si>
    <t>https://dpmzos25m8ivg.cloudfront.net/Documentos/631/10683598465/6311068359846505092023181921.jpeg</t>
  </si>
  <si>
    <t>https://dpmzos25m8ivg.cloudfront.net/Documentos/631/10687649455/6311068764945509092023002840.jpeg</t>
  </si>
  <si>
    <t>https://dpmzos25m8ivg.cloudfront.net/Documentos/631/10690649479/6311069064947905092023145745.pdf</t>
  </si>
  <si>
    <t>https://dpmzos25m8ivg.cloudfront.net/Documentos/631/10693591498/6311069359149811092023105315.pdf</t>
  </si>
  <si>
    <t>https://dpmzos25m8ivg.cloudfront.net/Documentos/631/10694148679/6311069414867908092023113819.jpg</t>
  </si>
  <si>
    <t>https://dpmzos25m8ivg.cloudfront.net/Documentos/631/10703731769/6311070373176911092023093802.pdf</t>
  </si>
  <si>
    <t>https://dpmzos25m8ivg.cloudfront.net/Documentos/631/10704915430/6311070491543009092023193119.pdf</t>
  </si>
  <si>
    <t>https://dpmzos25m8ivg.cloudfront.net/Documentos/631/10709486677/6311070948667709092023125206.jpg</t>
  </si>
  <si>
    <t>https://dpmzos25m8ivg.cloudfront.net/Documentos/631/10718779410/6311071877941011092023152246.jpg</t>
  </si>
  <si>
    <t>https://dpmzos25m8ivg.cloudfront.net/Documentos/631/10723507856/6311072350785605092023150610.pdf</t>
  </si>
  <si>
    <t>https://dpmzos25m8ivg.cloudfront.net/Documentos/631/10723688460/6311072368846008092023200851.jpg</t>
  </si>
  <si>
    <t>https://dpmzos25m8ivg.cloudfront.net/Documentos/631/10723972699/6311072397269906092023090921.pdf</t>
  </si>
  <si>
    <t>https://dpmzos25m8ivg.cloudfront.net/Documentos/631/10730713679/6311073071367911092023134456.pdf</t>
  </si>
  <si>
    <t>https://dpmzos25m8ivg.cloudfront.net/Documentos/631/10732699657/6311073269965710092023044330.pdf</t>
  </si>
  <si>
    <t>https://dpmzos25m8ivg.cloudfront.net/Documentos/631/10732779413/6311073277941308092023131856.pdf</t>
  </si>
  <si>
    <t>https://dpmzos25m8ivg.cloudfront.net/Documentos/631/10736261648/6311073626164811092023142102.pdf</t>
  </si>
  <si>
    <t>https://dpmzos25m8ivg.cloudfront.net/Documentos/631/10736676694/6311073667669405092023214131.pdf</t>
  </si>
  <si>
    <t>https://dpmzos25m8ivg.cloudfront.net/Documentos/631/10739438441/6311073943844105092023210029.pdf</t>
  </si>
  <si>
    <t>https://dpmzos25m8ivg.cloudfront.net/Documentos/631/10741258439/6311074125843907092023204910.pdf</t>
  </si>
  <si>
    <t>https://dpmzos25m8ivg.cloudfront.net/Documentos/631/10742853608/6311074285360811092023145358.pdf</t>
  </si>
  <si>
    <t>https://dpmzos25m8ivg.cloudfront.net/Documentos/631/10753706806/6311075370680607092023144557.pdf</t>
  </si>
  <si>
    <t>https://dpmzos25m8ivg.cloudfront.net/Documentos/631/10754381951/6311075438195108092023154445.jpeg</t>
  </si>
  <si>
    <t>https://dpmzos25m8ivg.cloudfront.net/Documentos/631/10755258967/6311075525896709092023162208.pdf</t>
  </si>
  <si>
    <t>https://dpmzos25m8ivg.cloudfront.net/Documentos/631/10763883611/6311076388361106092023163308.jpeg</t>
  </si>
  <si>
    <t>https://dpmzos25m8ivg.cloudfront.net/Documentos/631/10765673630/6311076567363011092023165629.jpeg</t>
  </si>
  <si>
    <t>https://dpmzos25m8ivg.cloudfront.net/Documentos/631/10772380457/6311077238045706092023112728.pdf</t>
  </si>
  <si>
    <t>https://dpmzos25m8ivg.cloudfront.net/Documentos/631/10773202480/6311077320248009092023115004.pdf</t>
  </si>
  <si>
    <t>https://dpmzos25m8ivg.cloudfront.net/Documentos/631/10774609451/6311077460945114092023162445.jpeg</t>
  </si>
  <si>
    <t>https://dpmzos25m8ivg.cloudfront.net/Documentos/631/10781155401/6311078115540109092023213756.jpeg</t>
  </si>
  <si>
    <t>https://dpmzos25m8ivg.cloudfront.net/Documentos/631/10781440602/6311078144060211092023165106.pdf</t>
  </si>
  <si>
    <t>https://dpmzos25m8ivg.cloudfront.net/Documentos/631/10783394497/6311078339449714092023160204.pdf</t>
  </si>
  <si>
    <t>https://dpmzos25m8ivg.cloudfront.net/Documentos/631/10784644489/6311078464448911092023152053.jpeg</t>
  </si>
  <si>
    <t>https://dpmzos25m8ivg.cloudfront.net/Documentos/631/10787598631/6311078759863109092023161653.pdf</t>
  </si>
  <si>
    <t>https://dpmzos25m8ivg.cloudfront.net/Documentos/631/10789470403/6311078947040311092023161124.pdf</t>
  </si>
  <si>
    <t>https://dpmzos25m8ivg.cloudfront.net/Documentos/631/10795479670/6311079547967005092023141131.pdf</t>
  </si>
  <si>
    <t>https://dpmzos25m8ivg.cloudfront.net/Documentos/631/10800805461/6311080080546108092023201603.pdf</t>
  </si>
  <si>
    <t>https://dpmzos25m8ivg.cloudfront.net/Documentos/631/10806492635/6311080649263507092023213803.jpg</t>
  </si>
  <si>
    <t>https://dpmzos25m8ivg.cloudfront.net/Documentos/631/10808572652/6311080857265207092023191046.jpg</t>
  </si>
  <si>
    <t>https://dpmzos25m8ivg.cloudfront.net/Documentos/631/10810284677/6311081028467705092023094248.pdf</t>
  </si>
  <si>
    <t>https://dpmzos25m8ivg.cloudfront.net/Documentos/631/10820916935/6311082091693511092023140949.pdf</t>
  </si>
  <si>
    <t>https://dpmzos25m8ivg.cloudfront.net/Documentos/631/10822618400/6311082261840005092023070947.jpg</t>
  </si>
  <si>
    <t>https://dpmzos25m8ivg.cloudfront.net/Documentos/631/10823181677/6311082318167705092023230525.pdf</t>
  </si>
  <si>
    <t>https://dpmzos25m8ivg.cloudfront.net/Documentos/631/10823676994/6311082367699406092023175849.pdf</t>
  </si>
  <si>
    <t>https://dpmzos25m8ivg.cloudfront.net/Documentos/631/10823755606/6311082375560611092023125352.pdf</t>
  </si>
  <si>
    <t>https://dpmzos25m8ivg.cloudfront.net/Documentos/631/10824920864/6311082492086411092023155546.jpg</t>
  </si>
  <si>
    <t>https://dpmzos25m8ivg.cloudfront.net/Documentos/631/10827259786/6311082725978611092023124239.pdf</t>
  </si>
  <si>
    <t>https://dpmzos25m8ivg.cloudfront.net/Documentos/631/10827372914/6311082737291409092023143629.pdf</t>
  </si>
  <si>
    <t>https://dpmzos25m8ivg.cloudfront.net/Documentos/631/10833607448/6311083360744805092023204655.pdf</t>
  </si>
  <si>
    <t>https://dpmzos25m8ivg.cloudfront.net/Documentos/631/10835942651/6311083594265105092023165305.pdf</t>
  </si>
  <si>
    <t>https://dpmzos25m8ivg.cloudfront.net/Documentos/631/10837664497/6311083766449711092023155022.pdf</t>
  </si>
  <si>
    <t>https://dpmzos25m8ivg.cloudfront.net/Documentos/631/10847838862/6311084783886211092023143034.jpeg</t>
  </si>
  <si>
    <t>https://dpmzos25m8ivg.cloudfront.net/Documentos/631/10848036409/6311084803640911092023153222.pdf</t>
  </si>
  <si>
    <t>https://dpmzos25m8ivg.cloudfront.net/Documentos/631/10849832730/6311084983273011092023164525.jpg</t>
  </si>
  <si>
    <t>https://dpmzos25m8ivg.cloudfront.net/Documentos/631/10851604676/6311085160467605092023160619.pdf</t>
  </si>
  <si>
    <t>https://dpmzos25m8ivg.cloudfront.net/Documentos/631/10860697908/6311086069790808092023163301.pdf</t>
  </si>
  <si>
    <t>https://dpmzos25m8ivg.cloudfront.net/Documentos/631/10861320921/6311086132092114092023155803.pdf</t>
  </si>
  <si>
    <t>https://dpmzos25m8ivg.cloudfront.net/Documentos/631/10862744660/6311086274466011092023151454.jpg</t>
  </si>
  <si>
    <t>https://dpmzos25m8ivg.cloudfront.net/Documentos/631/10864175426/6311086417542604092023184956.pdf</t>
  </si>
  <si>
    <t>https://dpmzos25m8ivg.cloudfront.net/Documentos/631/10864968680/6311086496868011092023154132.pdf</t>
  </si>
  <si>
    <t>https://dpmzos25m8ivg.cloudfront.net/Documentos/631/10867227443/6311086722744310092023213420.pdf</t>
  </si>
  <si>
    <t>https://dpmzos25m8ivg.cloudfront.net/Documentos/631/10867973455/6311086797345505092023101224.pdf</t>
  </si>
  <si>
    <t>https://dpmzos25m8ivg.cloudfront.net/Documentos/631/10870889419/6311087088941914092023000927.jpg</t>
  </si>
  <si>
    <t>https://dpmzos25m8ivg.cloudfront.net/Documentos/631/10870951661/6311087095166111092023091323.jpeg</t>
  </si>
  <si>
    <t>https://dpmzos25m8ivg.cloudfront.net/Documentos/631/10881471437/6311088147143705092023104129.pdf</t>
  </si>
  <si>
    <t>https://dpmzos25m8ivg.cloudfront.net/Documentos/631/10883647486/6311088364748611092023161213.pdf</t>
  </si>
  <si>
    <t>https://dpmzos25m8ivg.cloudfront.net/Documentos/631/10888729642/6311088872964207092023142710.jpeg</t>
  </si>
  <si>
    <t>https://dpmzos25m8ivg.cloudfront.net/Documentos/631/10888777701/6311088877770109092023113030.jpeg</t>
  </si>
  <si>
    <t>https://dpmzos25m8ivg.cloudfront.net/Documentos/631/10895376970/6311089537697014092023160627.pdf</t>
  </si>
  <si>
    <t>https://dpmzos25m8ivg.cloudfront.net/Documentos/631/10898496640/6311089849664004092023201513.pdf</t>
  </si>
  <si>
    <t>https://dpmzos25m8ivg.cloudfront.net/Documentos/631/10900329432/6311090032943214092023145046.pdf</t>
  </si>
  <si>
    <t>https://dpmzos25m8ivg.cloudfront.net/Documentos/631/10900620447/6311090062044711092023032259.pdf</t>
  </si>
  <si>
    <t>https://dpmzos25m8ivg.cloudfront.net/Documentos/631/10903397714/6311090339771406092023114439.pdf</t>
  </si>
  <si>
    <t>https://dpmzos25m8ivg.cloudfront.net/Documentos/631/10906376750/6311090637675006092023124144.pdf</t>
  </si>
  <si>
    <t>https://dpmzos25m8ivg.cloudfront.net/Documentos/631/10908941471/6311090894147111092023155617.pdf</t>
  </si>
  <si>
    <t>https://dpmzos25m8ivg.cloudfront.net/Documentos/631/10912397977/6311091239797713092023200817.pdf</t>
  </si>
  <si>
    <t>https://dpmzos25m8ivg.cloudfront.net/Documentos/631/10914865811/6311091486581110092023230221.pdf</t>
  </si>
  <si>
    <t>https://dpmzos25m8ivg.cloudfront.net/Documentos/631/10923477632/6311092347763205092023115035.pdf</t>
  </si>
  <si>
    <t>https://dpmzos25m8ivg.cloudfront.net/Documentos/631/10924380411/6311092438041105092023094552.pdf</t>
  </si>
  <si>
    <t>https://dpmzos25m8ivg.cloudfront.net/Documentos/631/10930836464/6311093083646406092023121621.pdf</t>
  </si>
  <si>
    <t>https://dpmzos25m8ivg.cloudfront.net/Documentos/631/10935256490/6311093525649011092023144443.pdf</t>
  </si>
  <si>
    <t>https://dpmzos25m8ivg.cloudfront.net/Documentos/631/10941113922/6311094111392214092023134236.jpeg</t>
  </si>
  <si>
    <t>https://dpmzos25m8ivg.cloudfront.net/Documentos/631/10961203480/6311096120348012092023234550.jpeg</t>
  </si>
  <si>
    <t>https://dpmzos25m8ivg.cloudfront.net/Documentos/631/10961847450/6311096184745011092023154815.jpeg</t>
  </si>
  <si>
    <t>https://dpmzos25m8ivg.cloudfront.net/Documentos/631/10967574609/6311096757460908092023164355.pdf</t>
  </si>
  <si>
    <t>https://dpmzos25m8ivg.cloudfront.net/Documentos/631/10970504675/6311097050467511092023161520.pdf</t>
  </si>
  <si>
    <t>https://dpmzos25m8ivg.cloudfront.net/Documentos/631/10970781407/6311097078140706092023013705.pdf</t>
  </si>
  <si>
    <t>https://dpmzos25m8ivg.cloudfront.net/Documentos/631/10978675878/6311097867587810092023181319.jpg</t>
  </si>
  <si>
    <t>https://dpmzos25m8ivg.cloudfront.net/Documentos/631/10990142477/6311099014247713092023222133.pdf</t>
  </si>
  <si>
    <t>https://dpmzos25m8ivg.cloudfront.net/Documentos/631/10990952479/6311099095247911092023154444.pdf</t>
  </si>
  <si>
    <t>https://dpmzos25m8ivg.cloudfront.net/Documentos/631/10991696905/6311099169690506092023165310.pdf</t>
  </si>
  <si>
    <t>https://dpmzos25m8ivg.cloudfront.net/Documentos/631/10997321660/6311099732166012092023173326.jpeg</t>
  </si>
  <si>
    <t>https://dpmzos25m8ivg.cloudfront.net/Documentos/631/10998159832/6311099815983205092023110133.pdf</t>
  </si>
  <si>
    <t>https://dpmzos25m8ivg.cloudfront.net/Documentos/631/11002179408/6311100217940811092023165602.pdf</t>
  </si>
  <si>
    <t>https://dpmzos25m8ivg.cloudfront.net/Documentos/631/11002610443/6311100261044307092023211739.jpeg</t>
  </si>
  <si>
    <t>https://dpmzos25m8ivg.cloudfront.net/Documentos/631/11019785896/6311101978589606092023214520.pdf</t>
  </si>
  <si>
    <t>https://dpmzos25m8ivg.cloudfront.net/Documentos/631/11019920424/6311101992042405092023092255.pdf</t>
  </si>
  <si>
    <t>https://dpmzos25m8ivg.cloudfront.net/Documentos/631/11022324675/6311102232467508092023142524.pdf</t>
  </si>
  <si>
    <t>https://dpmzos25m8ivg.cloudfront.net/Documentos/631/11025127706/6311102512770614092023160928.jpg</t>
  </si>
  <si>
    <t>https://dpmzos25m8ivg.cloudfront.net/Documentos/631/11027966462/6311102796646213092023214918.jpg</t>
  </si>
  <si>
    <t>https://dpmzos25m8ivg.cloudfront.net/Documentos/631/11030354448/6311103035444806092023111535.pdf</t>
  </si>
  <si>
    <t>https://dpmzos25m8ivg.cloudfront.net/Documentos/631/11035270455/6311103527045506092023144404.pdf</t>
  </si>
  <si>
    <t>https://dpmzos25m8ivg.cloudfront.net/Documentos/631/11035726793/6311103572679310092023215138.pdf</t>
  </si>
  <si>
    <t>https://dpmzos25m8ivg.cloudfront.net/Documentos/631/11039791913/6311103979191311092023094647.pdf</t>
  </si>
  <si>
    <t>https://dpmzos25m8ivg.cloudfront.net/Documentos/631/11041409427/6311104140942711092023155618.jpg</t>
  </si>
  <si>
    <t>https://dpmzos25m8ivg.cloudfront.net/Documentos/631/11041703961/6311104170396111092023110306.pdf</t>
  </si>
  <si>
    <t>https://dpmzos25m8ivg.cloudfront.net/Documentos/631/11042556695/6311104255669506092023113817.pdf</t>
  </si>
  <si>
    <t>https://dpmzos25m8ivg.cloudfront.net/Documentos/631/11043730923/6311104373092308092023074644.pdf</t>
  </si>
  <si>
    <t>https://dpmzos25m8ivg.cloudfront.net/Documentos/631/11045184659/6311104518465913092023115935.jpg</t>
  </si>
  <si>
    <t>https://dpmzos25m8ivg.cloudfront.net/Documentos/631/11049633458/6311104963345811092023151658.pdf</t>
  </si>
  <si>
    <t>https://dpmzos25m8ivg.cloudfront.net/Documentos/631/11051764602/6311105176460211092023110545.pdf</t>
  </si>
  <si>
    <t>https://dpmzos25m8ivg.cloudfront.net/Documentos/631/11053404735/6311105340473505092023095005.jpg</t>
  </si>
  <si>
    <t>https://dpmzos25m8ivg.cloudfront.net/Documentos/631/11060189402/6311106018940207092023161610.jpg</t>
  </si>
  <si>
    <t>https://dpmzos25m8ivg.cloudfront.net/Documentos/631/11067719407/6311106771940711092023143942.jpeg</t>
  </si>
  <si>
    <t>https://dpmzos25m8ivg.cloudfront.net/Documentos/631/11069007153/6311106900715314092023124802.pdf</t>
  </si>
  <si>
    <t>https://dpmzos25m8ivg.cloudfront.net/Documentos/631/11072058758/6311107205875811092023000142.jpeg</t>
  </si>
  <si>
    <t>https://dpmzos25m8ivg.cloudfront.net/Documentos/631/11072631407/6311107263140714092023144818.jpeg</t>
  </si>
  <si>
    <t>https://dpmzos25m8ivg.cloudfront.net/Documentos/631/11076881408/6311107688140805092023093048.pdf</t>
  </si>
  <si>
    <t>https://dpmzos25m8ivg.cloudfront.net/Documentos/631/11077027630/6311107702763013092023162145.jpg</t>
  </si>
  <si>
    <t>https://dpmzos25m8ivg.cloudfront.net/Documentos/631/11077203705/6311107720370511092023155340.pdf</t>
  </si>
  <si>
    <t>https://dpmzos25m8ivg.cloudfront.net/Documentos/631/11081125608/6311108112560806092023124826.pdf</t>
  </si>
  <si>
    <t>https://dpmzos25m8ivg.cloudfront.net/Documentos/631/11084636492/6311108463649205092023150848.pdf</t>
  </si>
  <si>
    <t>https://dpmzos25m8ivg.cloudfront.net/Documentos/631/11091873780/6311109187378011092023160806.jpg</t>
  </si>
  <si>
    <t>https://dpmzos25m8ivg.cloudfront.net/Documentos/631/11103606735/6311110360673506092023182708.jpeg</t>
  </si>
  <si>
    <t>https://dpmzos25m8ivg.cloudfront.net/Documentos/631/11107216419/6311110721641914092023154845.jpg</t>
  </si>
  <si>
    <t>https://dpmzos25m8ivg.cloudfront.net/Documentos/631/11115385496/6311111538549611092023124904.jpeg</t>
  </si>
  <si>
    <t>https://dpmzos25m8ivg.cloudfront.net/Documentos/631/11115579770/6311111557977011092023142956.pdf</t>
  </si>
  <si>
    <t>https://dpmzos25m8ivg.cloudfront.net/Documentos/631/11122686420/6311112268642011092023162009.jpg</t>
  </si>
  <si>
    <t>https://dpmzos25m8ivg.cloudfront.net/Documentos/631/11126803650/6311112680365005092023135608.pdf</t>
  </si>
  <si>
    <t>https://dpmzos25m8ivg.cloudfront.net/Documentos/631/11131562445/6311113156244505092023091637.jpg</t>
  </si>
  <si>
    <t>https://dpmzos25m8ivg.cloudfront.net/Documentos/631/11137503670/6311113750367011092023142637.pdf</t>
  </si>
  <si>
    <t>https://dpmzos25m8ivg.cloudfront.net/Documentos/631/11138597767/6311113859776711092023122032.pdf</t>
  </si>
  <si>
    <t>https://dpmzos25m8ivg.cloudfront.net/Documentos/631/11139881698/6311113988169806092023152900.pdf</t>
  </si>
  <si>
    <t>https://dpmzos25m8ivg.cloudfront.net/Documentos/631/11140905490/6311114090549011092023135825.pdf</t>
  </si>
  <si>
    <t>https://dpmzos25m8ivg.cloudfront.net/Documentos/631/11141731428/6311114173142813092023200906.pdf</t>
  </si>
  <si>
    <t>https://dpmzos25m8ivg.cloudfront.net/Documentos/631/11141960451/6311114196045107092023232257.pdf</t>
  </si>
  <si>
    <t>https://dpmzos25m8ivg.cloudfront.net/Documentos/631/11146315902/6311114631590213092023155246.pdf</t>
  </si>
  <si>
    <t>https://dpmzos25m8ivg.cloudfront.net/Documentos/631/11153801680/6311115380168005092023121156.pdf</t>
  </si>
  <si>
    <t>https://dpmzos25m8ivg.cloudfront.net/Documentos/631/11154408450/6311115440845007092023080354.pdf</t>
  </si>
  <si>
    <t>https://dpmzos25m8ivg.cloudfront.net/Documentos/631/11158110707/6311115811070705092023085818.jpg</t>
  </si>
  <si>
    <t>https://dpmzos25m8ivg.cloudfront.net/Documentos/631/11160296936/6311116029693605092023133812.pdf</t>
  </si>
  <si>
    <t>https://dpmzos25m8ivg.cloudfront.net/Documentos/631/11160867607/6311116086760711092023085155.jpeg</t>
  </si>
  <si>
    <t>https://dpmzos25m8ivg.cloudfront.net/Documentos/631/11162285990/6311116228599005092023215313.pdf</t>
  </si>
  <si>
    <t>https://dpmzos25m8ivg.cloudfront.net/Documentos/631/11164504452/6311116450445210092023223609.jpg</t>
  </si>
  <si>
    <t>https://dpmzos25m8ivg.cloudfront.net/Documentos/631/11166243460/6311116624346011092023171639.pdf</t>
  </si>
  <si>
    <t>https://dpmzos25m8ivg.cloudfront.net/Documentos/631/11176599410/6311117659941010092023235514.jpg</t>
  </si>
  <si>
    <t>https://dpmzos25m8ivg.cloudfront.net/Documentos/631/11184912467/6311118491246711092023164648.jpeg</t>
  </si>
  <si>
    <t>https://dpmzos25m8ivg.cloudfront.net/Documentos/631/11186012463/6311118601246310092023200643.pdf</t>
  </si>
  <si>
    <t>https://dpmzos25m8ivg.cloudfront.net/Documentos/631/11186156627/6311118615662705092023105709.pdf</t>
  </si>
  <si>
    <t>https://dpmzos25m8ivg.cloudfront.net/Documentos/631/11186417951/6311118641795114092023144407.jpeg</t>
  </si>
  <si>
    <t>https://dpmzos25m8ivg.cloudfront.net/Documentos/631/11189004640/6311118900464011092023154246.pdf</t>
  </si>
  <si>
    <t>https://dpmzos25m8ivg.cloudfront.net/Documentos/631/11189186659/6311118918665911092023164627.pdf</t>
  </si>
  <si>
    <t>https://dpmzos25m8ivg.cloudfront.net/Documentos/631/11191782662/6311119178266210092023203533.jpg</t>
  </si>
  <si>
    <t>https://dpmzos25m8ivg.cloudfront.net/Documentos/631/11196344400/6311119634440010092023210505.jpeg</t>
  </si>
  <si>
    <t>https://dpmzos25m8ivg.cloudfront.net/Documentos/631/11203770723/6311120377072311092023135923.pdf</t>
  </si>
  <si>
    <t>https://dpmzos25m8ivg.cloudfront.net/Documentos/631/11207518611/6311120751861111092023095241.jpg</t>
  </si>
  <si>
    <t>https://dpmzos25m8ivg.cloudfront.net/Documentos/631/11221012444/6311122101244410092023123704.jpeg</t>
  </si>
  <si>
    <t>https://dpmzos25m8ivg.cloudfront.net/Documentos/631/11221915614/6311122191561411092023115542.pdf</t>
  </si>
  <si>
    <t>https://dpmzos25m8ivg.cloudfront.net/Documentos/631/11231208465/6311123120846506092023213939.pdf</t>
  </si>
  <si>
    <t>https://dpmzos25m8ivg.cloudfront.net/Documentos/631/11239100493/6311123910049311092023164929.jpeg</t>
  </si>
  <si>
    <t>https://dpmzos25m8ivg.cloudfront.net/Documentos/631/11246679892/6311124667989211092023155725.pdf</t>
  </si>
  <si>
    <t>https://dpmzos25m8ivg.cloudfront.net/Documentos/631/11247412407/6311124741240705092023093319.pdf</t>
  </si>
  <si>
    <t>https://dpmzos25m8ivg.cloudfront.net/Documentos/631/11249776430/6311124977643011092023161952.pdf</t>
  </si>
  <si>
    <t>https://dpmzos25m8ivg.cloudfront.net/Documentos/631/11262418909/6311126241890913092023233451.pdf</t>
  </si>
  <si>
    <t>https://dpmzos25m8ivg.cloudfront.net/Documentos/631/11266739432/6311126673943208092023154634.jpg</t>
  </si>
  <si>
    <t>https://dpmzos25m8ivg.cloudfront.net/Documentos/631/11268146951/6311126814695111092023115715.pdf</t>
  </si>
  <si>
    <t>https://dpmzos25m8ivg.cloudfront.net/Documentos/631/11272692671/6311127269267108092023115556.pdf</t>
  </si>
  <si>
    <t>https://dpmzos25m8ivg.cloudfront.net/Documentos/631/11274451620/6311127445162007092023185910.pdf</t>
  </si>
  <si>
    <t>https://dpmzos25m8ivg.cloudfront.net/Documentos/631/11274513405/6311127451340511092023133946.jpeg</t>
  </si>
  <si>
    <t>https://dpmzos25m8ivg.cloudfront.net/Documentos/631/11277461465/6311127746146508092023121419.pdf</t>
  </si>
  <si>
    <t>https://dpmzos25m8ivg.cloudfront.net/Documentos/631/11280303735/6311128030373511092023121047.pdf</t>
  </si>
  <si>
    <t>https://dpmzos25m8ivg.cloudfront.net/Documentos/631/11281771457/6311128177145706092023205509.pdf</t>
  </si>
  <si>
    <t>https://dpmzos25m8ivg.cloudfront.net/Documentos/631/11283011484/6311128301148409092023233035.pdf</t>
  </si>
  <si>
    <t>https://dpmzos25m8ivg.cloudfront.net/Documentos/631/11283209403/6311128320940305092023105523.jpeg</t>
  </si>
  <si>
    <t>https://dpmzos25m8ivg.cloudfront.net/Documentos/631/11284841456/6311128484145610092023142416.jpeg</t>
  </si>
  <si>
    <t>https://dpmzos25m8ivg.cloudfront.net/Documentos/631/11292301473/6311129230147305092023120638.pdf</t>
  </si>
  <si>
    <t>https://dpmzos25m8ivg.cloudfront.net/Documentos/631/11298959470/6311129895947008092023150233.pdf</t>
  </si>
  <si>
    <t>https://dpmzos25m8ivg.cloudfront.net/Documentos/631/11301196614/6311130119661405092023132629.pdf</t>
  </si>
  <si>
    <t>https://dpmzos25m8ivg.cloudfront.net/Documentos/631/11301688401/6311130168840111092023163137.pdf</t>
  </si>
  <si>
    <t>https://dpmzos25m8ivg.cloudfront.net/Documentos/631/11303040867/6311130304086705092023213428.pdf</t>
  </si>
  <si>
    <t>https://dpmzos25m8ivg.cloudfront.net/Documentos/631/11303233908/6311130323390814092023160637.pdf</t>
  </si>
  <si>
    <t>https://dpmzos25m8ivg.cloudfront.net/Documentos/631/11304600610/6311130460061008092023191135.jpg</t>
  </si>
  <si>
    <t>https://dpmzos25m8ivg.cloudfront.net/Documentos/631/11309240922/6311130924092205092023103954.pdf</t>
  </si>
  <si>
    <t>https://dpmzos25m8ivg.cloudfront.net/Documentos/631/11311157670/6311131115767011092023144512.pdf</t>
  </si>
  <si>
    <t>https://dpmzos25m8ivg.cloudfront.net/Documentos/631/11311159886/6311131115988606092023144320.jpeg</t>
  </si>
  <si>
    <t>https://dpmzos25m8ivg.cloudfront.net/Documentos/631/11313143790/6311131314379009092023170220.pdf</t>
  </si>
  <si>
    <t>https://dpmzos25m8ivg.cloudfront.net/Documentos/631/11315319497/6311131531949711092023080416.pdf</t>
  </si>
  <si>
    <t>https://dpmzos25m8ivg.cloudfront.net/Documentos/631/11321676476/6311132167647612092023191333.pdf</t>
  </si>
  <si>
    <t>https://dpmzos25m8ivg.cloudfront.net/Documentos/631/11321961677/6311132196167711092023093900.pdf</t>
  </si>
  <si>
    <t>https://dpmzos25m8ivg.cloudfront.net/Documentos/631/11326856723/6311132685672311092023165432.jpg</t>
  </si>
  <si>
    <t>https://dpmzos25m8ivg.cloudfront.net/Documentos/631/11331672414/6311133167241405092023233540.pdf</t>
  </si>
  <si>
    <t>https://dpmzos25m8ivg.cloudfront.net/Documentos/631/11334692645/6311133469264511092023121328.pdf</t>
  </si>
  <si>
    <t>https://dpmzos25m8ivg.cloudfront.net/Documentos/631/11336833475/6311133683347511092023152412.pdf</t>
  </si>
  <si>
    <t>https://dpmzos25m8ivg.cloudfront.net/Documentos/631/11338000411/6311133800041111092023161914.jpeg</t>
  </si>
  <si>
    <t>https://dpmzos25m8ivg.cloudfront.net/Documentos/631/11339362457/6311133936245711092023163640.jpeg</t>
  </si>
  <si>
    <t>https://dpmzos25m8ivg.cloudfront.net/Documentos/631/11341559726/6311134155972605092023232321.pdf</t>
  </si>
  <si>
    <t>https://dpmzos25m8ivg.cloudfront.net/Documentos/631/11343848407/6311134384840714092023002030.pdf</t>
  </si>
  <si>
    <t>https://dpmzos25m8ivg.cloudfront.net/Documentos/631/11345612613/6311134561261311092023133449.pdf</t>
  </si>
  <si>
    <t>https://dpmzos25m8ivg.cloudfront.net/Documentos/631/11345948441/6311134594844110092023211307.jpeg</t>
  </si>
  <si>
    <t>https://dpmzos25m8ivg.cloudfront.net/Documentos/631/11346997438/6311134699743810092023184525.pdf</t>
  </si>
  <si>
    <t>https://dpmzos25m8ivg.cloudfront.net/Documentos/631/11349099694/6311134909969410092023214126.pdf</t>
  </si>
  <si>
    <t>https://dpmzos25m8ivg.cloudfront.net/Documentos/631/11350862738/6311135086273806092023145331.pdf</t>
  </si>
  <si>
    <t>https://dpmzos25m8ivg.cloudfront.net/Documentos/631/11352262886/6311135226288610092023183858.pdf</t>
  </si>
  <si>
    <t>https://dpmzos25m8ivg.cloudfront.net/Documentos/631/11362463981/6311136246398108092023130804.pdf</t>
  </si>
  <si>
    <t>https://dpmzos25m8ivg.cloudfront.net/Documentos/631/11366560655/6311136656065511092023095512.pdf</t>
  </si>
  <si>
    <t>https://dpmzos25m8ivg.cloudfront.net/Documentos/631/11372785604/6311137278560405092023104727.pdf</t>
  </si>
  <si>
    <t>https://dpmzos25m8ivg.cloudfront.net/Documentos/631/11376790424/6311137679042411092023135403.pdf</t>
  </si>
  <si>
    <t>https://dpmzos25m8ivg.cloudfront.net/Documentos/631/11380711614/6311138071161413092023140152.pdf</t>
  </si>
  <si>
    <t>https://dpmzos25m8ivg.cloudfront.net/Documentos/631/11389296628/6311138929662811092023131403.jpg</t>
  </si>
  <si>
    <t>https://dpmzos25m8ivg.cloudfront.net/Documentos/631/11389573486/6311138957348605092023224300.pdf</t>
  </si>
  <si>
    <t>https://dpmzos25m8ivg.cloudfront.net/Documentos/631/11389604462/6311138960446211092023134622.pdf</t>
  </si>
  <si>
    <t>https://dpmzos25m8ivg.cloudfront.net/Documentos/631/11389799450/6311138979945006092023154125.jpg</t>
  </si>
  <si>
    <t>https://dpmzos25m8ivg.cloudfront.net/Documentos/631/11390839702/6311139083970211092023141641.pdf</t>
  </si>
  <si>
    <t>https://dpmzos25m8ivg.cloudfront.net/Documentos/631/11393825435/6311139382543511092023122245.jpg</t>
  </si>
  <si>
    <t>https://dpmzos25m8ivg.cloudfront.net/Documentos/631/11394197497/6311139419749707092023082155.pdf</t>
  </si>
  <si>
    <t>https://dpmzos25m8ivg.cloudfront.net/Documentos/631/11396436650/6311139643665005092023164427.jpeg</t>
  </si>
  <si>
    <t>https://dpmzos25m8ivg.cloudfront.net/Documentos/631/11400426456/6311140042645613092023125236.jpeg</t>
  </si>
  <si>
    <t>https://dpmzos25m8ivg.cloudfront.net/Documentos/631/11401673678/6311140167367805092023131808.pdf</t>
  </si>
  <si>
    <t>https://dpmzos25m8ivg.cloudfront.net/Documentos/631/11407269437/6311140726943705092023161935.jpg</t>
  </si>
  <si>
    <t>https://dpmzos25m8ivg.cloudfront.net/Documentos/631/11424924600/6311142492460008092023112456.pdf</t>
  </si>
  <si>
    <t>https://dpmzos25m8ivg.cloudfront.net/Documentos/631/11427417458/6311142741745813092023134500.pdf</t>
  </si>
  <si>
    <t>https://dpmzos25m8ivg.cloudfront.net/Documentos/631/11430789697/6311143078969707092023170739.jpg</t>
  </si>
  <si>
    <t>https://dpmzos25m8ivg.cloudfront.net/Documentos/631/11449628893/6311144962889307092023131610.pdf</t>
  </si>
  <si>
    <t>https://dpmzos25m8ivg.cloudfront.net/Documentos/631/11450532624/6311145053262406092023141525.pdf</t>
  </si>
  <si>
    <t>https://dpmzos25m8ivg.cloudfront.net/Documentos/631/11451100450/6311145110045005092023155013.pdf</t>
  </si>
  <si>
    <t>https://dpmzos25m8ivg.cloudfront.net/Documentos/631/11451618638/6311145161863810092023113327.pdf</t>
  </si>
  <si>
    <t>https://dpmzos25m8ivg.cloudfront.net/Documentos/631/11454424478/6311145442447807092023210826.jpeg</t>
  </si>
  <si>
    <t>https://dpmzos25m8ivg.cloudfront.net/Documentos/631/11461185467/6311146118546714092023105730.jpg</t>
  </si>
  <si>
    <t>https://dpmzos25m8ivg.cloudfront.net/Documentos/631/11467369403/6311146736940311092023160148.pdf</t>
  </si>
  <si>
    <t>https://dpmzos25m8ivg.cloudfront.net/Documentos/631/11470484447/6311147048444711092023160840.pdf</t>
  </si>
  <si>
    <t>https://dpmzos25m8ivg.cloudfront.net/Documentos/631/11474022480/6311147402248011092023133339.pdf</t>
  </si>
  <si>
    <t>https://dpmzos25m8ivg.cloudfront.net/Documentos/631/11477027645/6311147702764514092023165355.pdf</t>
  </si>
  <si>
    <t>https://dpmzos25m8ivg.cloudfront.net/Documentos/631/11477972935/6311147797293508092023143007.pdf</t>
  </si>
  <si>
    <t>https://dpmzos25m8ivg.cloudfront.net/Documentos/631/11479150401/6311147915040111092023135453.jpg</t>
  </si>
  <si>
    <t>https://dpmzos25m8ivg.cloudfront.net/Documentos/631/11480621650/6311148062165011092023133335.jpg</t>
  </si>
  <si>
    <t>https://dpmzos25m8ivg.cloudfront.net/Documentos/631/11481342630/6311148134263011092023145329.pdf</t>
  </si>
  <si>
    <t>https://dpmzos25m8ivg.cloudfront.net/Documentos/631/11483007677/6311148300767705092023163823.jpg</t>
  </si>
  <si>
    <t>https://dpmzos25m8ivg.cloudfront.net/Documentos/631/11484878671/6311148487867107092023173537.pdf</t>
  </si>
  <si>
    <t>https://dpmzos25m8ivg.cloudfront.net/Documentos/631/11485300703/6311148530070314092023125356.pdf</t>
  </si>
  <si>
    <t>https://dpmzos25m8ivg.cloudfront.net/Documentos/631/11492579467/6311149257946710092023141436.jpg</t>
  </si>
  <si>
    <t>https://dpmzos25m8ivg.cloudfront.net/Documentos/631/11494084724/6311149408472414092023170007.jpeg</t>
  </si>
  <si>
    <t>https://dpmzos25m8ivg.cloudfront.net/Documentos/631/11496250664/6311149625066404092023191245.pdf</t>
  </si>
  <si>
    <t>https://dpmzos25m8ivg.cloudfront.net/Documentos/631/11502695618/6311150269561811092023150306.jpg</t>
  </si>
  <si>
    <t>https://dpmzos25m8ivg.cloudfront.net/Documentos/631/11503749770/6311150374977011092023150446.pdf</t>
  </si>
  <si>
    <t>https://dpmzos25m8ivg.cloudfront.net/Documentos/631/11504490630/6311150449063014092023162418.pdf</t>
  </si>
  <si>
    <t>https://dpmzos25m8ivg.cloudfront.net/Documentos/631/11511752696/6311151175269605092023090651.pdf</t>
  </si>
  <si>
    <t>https://dpmzos25m8ivg.cloudfront.net/Documentos/631/11511815442/6311151181544211092023143617.pdf</t>
  </si>
  <si>
    <t>https://dpmzos25m8ivg.cloudfront.net/Documentos/631/11515401456/6311151540145611092023120916.pdf</t>
  </si>
  <si>
    <t>https://dpmzos25m8ivg.cloudfront.net/Documentos/631/11519137664/6311151913766407092023202751.jpg</t>
  </si>
  <si>
    <t>https://dpmzos25m8ivg.cloudfront.net/Documentos/631/11520766637/6311152076663711092023013355.pdf</t>
  </si>
  <si>
    <t>https://dpmzos25m8ivg.cloudfront.net/Documentos/631/11525526430/6311152552643009092023213607.jpeg</t>
  </si>
  <si>
    <t>https://dpmzos25m8ivg.cloudfront.net/Documentos/631/11532472404/6311153247240405092023190702.pdf</t>
  </si>
  <si>
    <t>https://dpmzos25m8ivg.cloudfront.net/Documentos/631/11540032647/6311154003264706092023180630.pdf</t>
  </si>
  <si>
    <t>https://dpmzos25m8ivg.cloudfront.net/Documentos/631/11542482402/6311154248240211092023112341.jpg</t>
  </si>
  <si>
    <t>https://dpmzos25m8ivg.cloudfront.net/Documentos/631/11544496613/6311154449661307092023192705.pdf</t>
  </si>
  <si>
    <t>https://dpmzos25m8ivg.cloudfront.net/Documentos/631/11547426799/6311154742679911092023085803.pdf</t>
  </si>
  <si>
    <t>https://dpmzos25m8ivg.cloudfront.net/Documentos/631/11547438614/6311154743861406092023141718.pdf</t>
  </si>
  <si>
    <t>https://dpmzos25m8ivg.cloudfront.net/Documentos/631/11549385658/6311154938565804092023215607.pdf</t>
  </si>
  <si>
    <t>https://dpmzos25m8ivg.cloudfront.net/Documentos/631/11552455637/6311155245563708092023090458.jpeg</t>
  </si>
  <si>
    <t>https://dpmzos25m8ivg.cloudfront.net/Documentos/631/11561353701/6311156135370111092023103419.pdf</t>
  </si>
  <si>
    <t>https://dpmzos25m8ivg.cloudfront.net/Documentos/631/11561694614/6311156169461411092023152606.pdf</t>
  </si>
  <si>
    <t>https://dpmzos25m8ivg.cloudfront.net/Documentos/631/11564292690/6311156429269010092023182950.pdf</t>
  </si>
  <si>
    <t>https://dpmzos25m8ivg.cloudfront.net/Documentos/631/11564718697/6311156471869711092023122353.jpg</t>
  </si>
  <si>
    <t>https://dpmzos25m8ivg.cloudfront.net/Documentos/631/11567828485/6311156782848511092023162639.pdf</t>
  </si>
  <si>
    <t>https://dpmzos25m8ivg.cloudfront.net/Documentos/631/11567881459/6311156788145911092023140504.pdf</t>
  </si>
  <si>
    <t>https://dpmzos25m8ivg.cloudfront.net/Documentos/631/11570049629/6311157004962911092023113535.pdf</t>
  </si>
  <si>
    <t>https://dpmzos25m8ivg.cloudfront.net/Documentos/631/11580318401/6311158031840105092023100305.pdf</t>
  </si>
  <si>
    <t>https://dpmzos25m8ivg.cloudfront.net/Documentos/631/11582521611/6311158252161111092023142034.pdf</t>
  </si>
  <si>
    <t>https://dpmzos25m8ivg.cloudfront.net/Documentos/631/11585705896/6311158570589605092023090315.pdf</t>
  </si>
  <si>
    <t>https://dpmzos25m8ivg.cloudfront.net/Documentos/631/11588493628/6311158849362805092023150029.pdf</t>
  </si>
  <si>
    <t>https://dpmzos25m8ivg.cloudfront.net/Documentos/631/11589500636/6311158950063605092023181247.pdf</t>
  </si>
  <si>
    <t>https://dpmzos25m8ivg.cloudfront.net/Documentos/631/11590756622/6311159075662205092023161546.pdf</t>
  </si>
  <si>
    <t>https://dpmzos25m8ivg.cloudfront.net/Documentos/631/11596184965/6311159618496505092023112122.jpg</t>
  </si>
  <si>
    <t>https://dpmzos25m8ivg.cloudfront.net/Documentos/631/11603662685/6311160366268511092023082009.pdf</t>
  </si>
  <si>
    <t>https://dpmzos25m8ivg.cloudfront.net/Documentos/631/11606748416/6311160674841611092023123112.pdf</t>
  </si>
  <si>
    <t>https://dpmzos25m8ivg.cloudfront.net/Documentos/631/11607470756/6311160747075610092023153623.pdf</t>
  </si>
  <si>
    <t>https://dpmzos25m8ivg.cloudfront.net/Documentos/631/11612006493/6311161200649310092023140137.pdf</t>
  </si>
  <si>
    <t>https://dpmzos25m8ivg.cloudfront.net/Documentos/631/11614719870/6311161471987014092023152327.pdf</t>
  </si>
  <si>
    <t>https://dpmzos25m8ivg.cloudfront.net/Documentos/631/11620566494/6311162056649406092023050312.jpg</t>
  </si>
  <si>
    <t>https://dpmzos25m8ivg.cloudfront.net/Documentos/631/11625460775/6311162546077508092023220001.jpg</t>
  </si>
  <si>
    <t>https://dpmzos25m8ivg.cloudfront.net/Documentos/631/11626368406/6311162636840611092023153039.jpeg</t>
  </si>
  <si>
    <t>https://dpmzos25m8ivg.cloudfront.net/Documentos/631/11627333908/6311162733390812092023195629.pdf</t>
  </si>
  <si>
    <t>https://dpmzos25m8ivg.cloudfront.net/Documentos/631/11630781401/6311163078140105092023204152.pdf</t>
  </si>
  <si>
    <t>https://dpmzos25m8ivg.cloudfront.net/Documentos/631/11632271451/6311163227145108092023180629.pdf</t>
  </si>
  <si>
    <t>https://dpmzos25m8ivg.cloudfront.net/Documentos/631/11633233499/6311163323349911092023155120.pdf</t>
  </si>
  <si>
    <t>https://dpmzos25m8ivg.cloudfront.net/Documentos/631/11634233433/6311163423343308092023193538.pdf</t>
  </si>
  <si>
    <t>https://dpmzos25m8ivg.cloudfront.net/Documentos/631/11637305800/6311163730580006092023115811.jpg</t>
  </si>
  <si>
    <t>https://dpmzos25m8ivg.cloudfront.net/Documentos/631/11638437769/6311163843776910092023154510.jpg</t>
  </si>
  <si>
    <t>https://dpmzos25m8ivg.cloudfront.net/Documentos/631/11647984645/6311164798464511092023162122.pdf</t>
  </si>
  <si>
    <t>https://dpmzos25m8ivg.cloudfront.net/Documentos/631/11657157407/6311165715740711092023152202.pdf</t>
  </si>
  <si>
    <t>https://dpmzos25m8ivg.cloudfront.net/Documentos/631/11657895408/6311165789540806092023140452.pdf</t>
  </si>
  <si>
    <t>https://dpmzos25m8ivg.cloudfront.net/Documentos/631/11660213789/6311166021378910092023193207.pdf</t>
  </si>
  <si>
    <t>https://dpmzos25m8ivg.cloudfront.net/Documentos/631/11663245673/6311166324567310092023205448.pdf</t>
  </si>
  <si>
    <t>https://dpmzos25m8ivg.cloudfront.net/Documentos/631/11674549792/6311167454979211092023113101.jpg</t>
  </si>
  <si>
    <t>https://dpmzos25m8ivg.cloudfront.net/Documentos/631/11675295700/6311167529570008092023154920.pdf</t>
  </si>
  <si>
    <t>https://dpmzos25m8ivg.cloudfront.net/Documentos/631/11682254690/6311168225469006092023100039.jpg</t>
  </si>
  <si>
    <t>https://dpmzos25m8ivg.cloudfront.net/Documentos/631/11685951856/6311168595185613092023151029.pdf</t>
  </si>
  <si>
    <t>https://dpmzos25m8ivg.cloudfront.net/Documentos/631/11685960413/6311168596041308092023174435.pdf</t>
  </si>
  <si>
    <t>https://dpmzos25m8ivg.cloudfront.net/Documentos/631/11688819606/6311168881960610092023154720.pdf</t>
  </si>
  <si>
    <t>https://dpmzos25m8ivg.cloudfront.net/Documentos/631/11689392401/6311168939240111092023094654.pdf</t>
  </si>
  <si>
    <t>https://dpmzos25m8ivg.cloudfront.net/Documentos/631/11689857498/6311168985749809092023112838.pdf</t>
  </si>
  <si>
    <t>https://dpmzos25m8ivg.cloudfront.net/Documentos/631/11691755460/6311169175546013092023150443.pdf</t>
  </si>
  <si>
    <t>https://dpmzos25m8ivg.cloudfront.net/Documentos/631/11693995417/6311169399541710092023133251.pdf</t>
  </si>
  <si>
    <t>https://dpmzos25m8ivg.cloudfront.net/Documentos/631/11696258600/6311169625860008092023175214.jpg</t>
  </si>
  <si>
    <t>https://dpmzos25m8ivg.cloudfront.net/Documentos/631/11698181450/6311169818145011092023154341.jpg</t>
  </si>
  <si>
    <t>https://dpmzos25m8ivg.cloudfront.net/Documentos/631/11700126474/6311170012647411092023145753.jpeg</t>
  </si>
  <si>
    <t>https://dpmzos25m8ivg.cloudfront.net/Documentos/631/11701968703/6311170196870307092023201148.pdf</t>
  </si>
  <si>
    <t>https://dpmzos25m8ivg.cloudfront.net/Documentos/631/11710450932/6311171045093209092023194625.pdf</t>
  </si>
  <si>
    <t>https://dpmzos25m8ivg.cloudfront.net/Documentos/631/11710453958/6311171045395809092023194325.pdf</t>
  </si>
  <si>
    <t>https://dpmzos25m8ivg.cloudfront.net/Documentos/631/11711645486/6311171164548611092023161731.jpg</t>
  </si>
  <si>
    <t>https://dpmzos25m8ivg.cloudfront.net/Documentos/631/11713863707/6311171386370711092023160430.pdf</t>
  </si>
  <si>
    <t>https://dpmzos25m8ivg.cloudfront.net/Documentos/631/11715269462/6311171526946206092023154050.pdf</t>
  </si>
  <si>
    <t>https://dpmzos25m8ivg.cloudfront.net/Documentos/631/11717592821/6311171759282107092023124236.pdf</t>
  </si>
  <si>
    <t>https://dpmzos25m8ivg.cloudfront.net/Documentos/631/11717743625/6311171774362505092023085146.pdf</t>
  </si>
  <si>
    <t>https://dpmzos25m8ivg.cloudfront.net/Documentos/631/11718486766/6311171848676611092023113121.pdf</t>
  </si>
  <si>
    <t>https://dpmzos25m8ivg.cloudfront.net/Documentos/631/11719694737/6311171969473709092023174119.jpg</t>
  </si>
  <si>
    <t>https://dpmzos25m8ivg.cloudfront.net/Documentos/631/11719902780/6311171990278006092023150724.jpeg</t>
  </si>
  <si>
    <t>https://dpmzos25m8ivg.cloudfront.net/Documentos/631/11722979755/6311172297975505092023120149.pdf</t>
  </si>
  <si>
    <t>https://dpmzos25m8ivg.cloudfront.net/Documentos/631/11725953480/6311172595348007092023231037.pdf</t>
  </si>
  <si>
    <t>https://dpmzos25m8ivg.cloudfront.net/Documentos/631/11731509600/6311173150960011092023165616.pdf</t>
  </si>
  <si>
    <t>https://dpmzos25m8ivg.cloudfront.net/Documentos/631/11734996790/6311173499679011092023123101.pdf</t>
  </si>
  <si>
    <t>https://dpmzos25m8ivg.cloudfront.net/Documentos/631/11737689200/6311173768920014092023095725.jpg</t>
  </si>
  <si>
    <t>https://dpmzos25m8ivg.cloudfront.net/Documentos/631/11739253418/6311173925341811092023120614.pdf</t>
  </si>
  <si>
    <t>https://dpmzos25m8ivg.cloudfront.net/Documentos/631/11743888465/6311174388846513092023160155.pdf</t>
  </si>
  <si>
    <t>https://dpmzos25m8ivg.cloudfront.net/Documentos/631/11745473670/6311174547367013092023101126.jpg</t>
  </si>
  <si>
    <t>https://dpmzos25m8ivg.cloudfront.net/Documentos/631/11747662470/6311174766247007092023191312.pdf</t>
  </si>
  <si>
    <t>https://dpmzos25m8ivg.cloudfront.net/Documentos/631/11752144694/6311175214469409092023182242.pdf</t>
  </si>
  <si>
    <t>https://dpmzos25m8ivg.cloudfront.net/Documentos/631/11753088704/6311175308870411092023164155.pdf</t>
  </si>
  <si>
    <t>https://dpmzos25m8ivg.cloudfront.net/Documentos/631/11757031766/6311175703176611092023093628.pdf</t>
  </si>
  <si>
    <t>https://dpmzos25m8ivg.cloudfront.net/Documentos/631/11757968407/6311175796840710092023131820.pdf</t>
  </si>
  <si>
    <t>https://dpmzos25m8ivg.cloudfront.net/Documentos/631/11764778898/6311176477889811092023160512.pdf</t>
  </si>
  <si>
    <t>https://dpmzos25m8ivg.cloudfront.net/Documentos/631/11782012443/6311178201244306092023115158.pdf</t>
  </si>
  <si>
    <t>https://dpmzos25m8ivg.cloudfront.net/Documentos/631/11785359401/6311178535940113092023185558.jpg</t>
  </si>
  <si>
    <t>https://dpmzos25m8ivg.cloudfront.net/Documentos/631/11792322402/6311179232240210092023175412.pdf</t>
  </si>
  <si>
    <t>https://dpmzos25m8ivg.cloudfront.net/Documentos/631/11795854618/6311179585461806092023152024.pdf</t>
  </si>
  <si>
    <t>https://dpmzos25m8ivg.cloudfront.net/Documentos/631/11796803677/6311179680367711092023125240.jpg</t>
  </si>
  <si>
    <t>https://dpmzos25m8ivg.cloudfront.net/Documentos/631/11797918435/6311179791843505092023115530.pdf</t>
  </si>
  <si>
    <t>https://dpmzos25m8ivg.cloudfront.net/Documentos/631/11801606498/6311180160649808092023190941.pdf</t>
  </si>
  <si>
    <t>https://dpmzos25m8ivg.cloudfront.net/Documentos/631/11801937680/6311180193768011092023165909.jpeg</t>
  </si>
  <si>
    <t>https://dpmzos25m8ivg.cloudfront.net/Documentos/631/11803300647/6311180330064711092023165718.pdf</t>
  </si>
  <si>
    <t>https://dpmzos25m8ivg.cloudfront.net/Documentos/631/11803788739/6311180378873914092023105733.pdf</t>
  </si>
  <si>
    <t>https://dpmzos25m8ivg.cloudfront.net/Documentos/631/11806409690/6311180640969011092023112232.pdf</t>
  </si>
  <si>
    <t>https://dpmzos25m8ivg.cloudfront.net/Documentos/631/11810716667/6311181071666706092023123606.pdf</t>
  </si>
  <si>
    <t>https://dpmzos25m8ivg.cloudfront.net/Documentos/631/11814677488/6311181467748805092023095156.pdf</t>
  </si>
  <si>
    <t>https://dpmzos25m8ivg.cloudfront.net/Documentos/631/11818814633/6311181881463310092023041751.pdf</t>
  </si>
  <si>
    <t>https://dpmzos25m8ivg.cloudfront.net/Documentos/631/11820916448/6311182091644811092023144400.jpg</t>
  </si>
  <si>
    <t>https://dpmzos25m8ivg.cloudfront.net/Documentos/631/11826038744/6311182603874411092023155609.jpeg</t>
  </si>
  <si>
    <t>https://dpmzos25m8ivg.cloudfront.net/Documentos/631/11827652462/6311182765246210092023194254.pdf</t>
  </si>
  <si>
    <t>https://dpmzos25m8ivg.cloudfront.net/Documentos/631/11839693410/6311183969341008092023221759.pdf</t>
  </si>
  <si>
    <t>https://dpmzos25m8ivg.cloudfront.net/Documentos/631/11847616470/6311184761647012092023233824.jpg</t>
  </si>
  <si>
    <t>https://dpmzos25m8ivg.cloudfront.net/Documentos/631/11848986424/6311184898642407092023104655.pdf</t>
  </si>
  <si>
    <t>https://dpmzos25m8ivg.cloudfront.net/Documentos/631/11854100742/6311185410074210092023015046.pdf</t>
  </si>
  <si>
    <t>https://dpmzos25m8ivg.cloudfront.net/Documentos/631/11861268688/6311186126868809092023225043.pdf</t>
  </si>
  <si>
    <t>https://dpmzos25m8ivg.cloudfront.net/Documentos/631/11867740613/6311186774061311092023160652.pdf</t>
  </si>
  <si>
    <t>https://dpmzos25m8ivg.cloudfront.net/Documentos/631/11870671724/6311187067172411092023155524.jpg</t>
  </si>
  <si>
    <t>https://dpmzos25m8ivg.cloudfront.net/Documentos/631/11881490408/6311188149040811092023125937.pdf</t>
  </si>
  <si>
    <t>https://dpmzos25m8ivg.cloudfront.net/Documentos/631/11885893779/6311188589377911092023164319.pdf</t>
  </si>
  <si>
    <t>https://dpmzos25m8ivg.cloudfront.net/Documentos/631/11886011729/6311188601172910092023231054.pdf</t>
  </si>
  <si>
    <t>https://dpmzos25m8ivg.cloudfront.net/Documentos/631/11887986774/6311188798677411092023115054.pdf</t>
  </si>
  <si>
    <t>https://dpmzos25m8ivg.cloudfront.net/Documentos/631/11891511629/6311189151162908092023154232.jpeg</t>
  </si>
  <si>
    <t>https://dpmzos25m8ivg.cloudfront.net/Documentos/631/11894775724/6311189477572405092023140215.pdf</t>
  </si>
  <si>
    <t>https://dpmzos25m8ivg.cloudfront.net/Documentos/631/11897167474/6311189716747408092023142412.jpeg</t>
  </si>
  <si>
    <t>https://dpmzos25m8ivg.cloudfront.net/Documentos/631/11904972470/6311190497247006092023105252.pdf</t>
  </si>
  <si>
    <t>https://dpmzos25m8ivg.cloudfront.net/Documentos/631/11909322709/6311190932270914092023093208.pdf</t>
  </si>
  <si>
    <t>https://dpmzos25m8ivg.cloudfront.net/Documentos/631/11911513605/6311191151360511092023162040.jpeg</t>
  </si>
  <si>
    <t>https://dpmzos25m8ivg.cloudfront.net/Documentos/631/11914313712/6311191431371205092023141417.pdf</t>
  </si>
  <si>
    <t>https://dpmzos25m8ivg.cloudfront.net/Documentos/631/11917855486/6311191785548611092023153201.jpeg</t>
  </si>
  <si>
    <t>https://dpmzos25m8ivg.cloudfront.net/Documentos/631/11918226482/6311191822648205092023125958.pdf</t>
  </si>
  <si>
    <t>https://dpmzos25m8ivg.cloudfront.net/Documentos/631/11919517901/6311191951790114092023003924.pdf</t>
  </si>
  <si>
    <t>https://dpmzos25m8ivg.cloudfront.net/Documentos/631/11921422769/6311192142276905092023220556.jpeg</t>
  </si>
  <si>
    <t>https://dpmzos25m8ivg.cloudfront.net/Documentos/631/11921710632/6311192171063211092023131002.pdf</t>
  </si>
  <si>
    <t>https://dpmzos25m8ivg.cloudfront.net/Documentos/631/11922786667/6311192278666711092023165227.jpeg</t>
  </si>
  <si>
    <t>https://dpmzos25m8ivg.cloudfront.net/Documentos/631/11923949683/6311192394968311092023144508.pdf</t>
  </si>
  <si>
    <t>https://dpmzos25m8ivg.cloudfront.net/Documentos/631/11924587610/6311192458761005092023094013.jpeg</t>
  </si>
  <si>
    <t>https://dpmzos25m8ivg.cloudfront.net/Documentos/631/11926771451/6311192677145109092023143707.pdf</t>
  </si>
  <si>
    <t>https://dpmzos25m8ivg.cloudfront.net/Documentos/631/11928584683/6311192858468314092023161317.pdf</t>
  </si>
  <si>
    <t>https://dpmzos25m8ivg.cloudfront.net/Documentos/631/11933350431/6311193335043114092023100949.jpeg</t>
  </si>
  <si>
    <t>https://dpmzos25m8ivg.cloudfront.net/Documentos/631/11933947756/6311193394775614092023160706.pdf</t>
  </si>
  <si>
    <t>https://dpmzos25m8ivg.cloudfront.net/Documentos/631/11934460745/6311193446074505092023173029.jpg</t>
  </si>
  <si>
    <t>https://dpmzos25m8ivg.cloudfront.net/Documentos/631/11938542614/6311193854261414092023153516.pdf</t>
  </si>
  <si>
    <t>https://dpmzos25m8ivg.cloudfront.net/Documentos/631/11941169651/6311194116965105092023203706.jpeg</t>
  </si>
  <si>
    <t>https://dpmzos25m8ivg.cloudfront.net/Documentos/631/11942650906/6311194265090611092023133137.pdf</t>
  </si>
  <si>
    <t>https://dpmzos25m8ivg.cloudfront.net/Documentos/631/11944094407/6311194409440706092023212829.pdf</t>
  </si>
  <si>
    <t>https://dpmzos25m8ivg.cloudfront.net/Documentos/631/11947460471/6311194746047105092023172135.pdf</t>
  </si>
  <si>
    <t>https://dpmzos25m8ivg.cloudfront.net/Documentos/631/11952387469/6311195238746910092023094549.pdf</t>
  </si>
  <si>
    <t>https://dpmzos25m8ivg.cloudfront.net/Documentos/631/11958684643/6311195868464311092023151013.pdf</t>
  </si>
  <si>
    <t>https://dpmzos25m8ivg.cloudfront.net/Documentos/631/11963091400/6311196309140010092023165352.jpeg</t>
  </si>
  <si>
    <t>https://dpmzos25m8ivg.cloudfront.net/Documentos/631/11972129651/6311197212965106092023095350.pdf</t>
  </si>
  <si>
    <t>https://dpmzos25m8ivg.cloudfront.net/Documentos/631/11981874410/6311198187441005092023175823.pdf</t>
  </si>
  <si>
    <t>https://dpmzos25m8ivg.cloudfront.net/Documentos/631/11986287661/6311198628766113092023183105.pdf</t>
  </si>
  <si>
    <t>https://dpmzos25m8ivg.cloudfront.net/Documentos/631/11989427626/6311198942762607092023164940.pdf</t>
  </si>
  <si>
    <t>https://dpmzos25m8ivg.cloudfront.net/Documentos/631/11990132693/6311199013269310092023165627.pdf</t>
  </si>
  <si>
    <t>https://dpmzos25m8ivg.cloudfront.net/Documentos/631/11992003440/6311199200344010092023180724.pdf</t>
  </si>
  <si>
    <t>https://dpmzos25m8ivg.cloudfront.net/Documentos/631/11993765409/6311199376540911092023155041.pdf</t>
  </si>
  <si>
    <t>https://dpmzos25m8ivg.cloudfront.net/Documentos/631/11996784730/6311199678473011092023100147.pdf</t>
  </si>
  <si>
    <t>https://dpmzos25m8ivg.cloudfront.net/Documentos/631/12002696403/6311200269640311092023094005.pdf</t>
  </si>
  <si>
    <t>https://dpmzos25m8ivg.cloudfront.net/Documentos/631/12004184418/6311200418441805092023144852.pdf</t>
  </si>
  <si>
    <t>https://dpmzos25m8ivg.cloudfront.net/Documentos/631/12007962411/6311200796241111092023134231.jpeg</t>
  </si>
  <si>
    <t>https://dpmzos25m8ivg.cloudfront.net/Documentos/631/12011120446/6311201112044611092023124514.pdf</t>
  </si>
  <si>
    <t>https://dpmzos25m8ivg.cloudfront.net/Documentos/631/12012316476/6311201231647605092023185625.pdf</t>
  </si>
  <si>
    <t>https://dpmzos25m8ivg.cloudfront.net/Documentos/631/12036673619/6311203667361907092023152909.pdf</t>
  </si>
  <si>
    <t>https://dpmzos25m8ivg.cloudfront.net/Documentos/631/12046172604/6311204617260411092023163636.pdf</t>
  </si>
  <si>
    <t>https://dpmzos25m8ivg.cloudfront.net/Documentos/631/12046919670/6311204691967011092023155807.pdf</t>
  </si>
  <si>
    <t>https://dpmzos25m8ivg.cloudfront.net/Documentos/631/12047264421/6311204726442111092023160738.pdf</t>
  </si>
  <si>
    <t>https://dpmzos25m8ivg.cloudfront.net/Documentos/631/12048052614/6311204805261412092023202456.pdf</t>
  </si>
  <si>
    <t>https://dpmzos25m8ivg.cloudfront.net/Documentos/631/12050963700/6311205096370011092023163928.pdf</t>
  </si>
  <si>
    <t>https://dpmzos25m8ivg.cloudfront.net/Documentos/631/12066740403/6311206674040305092023175733.pdf</t>
  </si>
  <si>
    <t>https://dpmzos25m8ivg.cloudfront.net/Documentos/631/12066749460/6311206674946009092023165422.pdf</t>
  </si>
  <si>
    <t>https://dpmzos25m8ivg.cloudfront.net/Documentos/631/12066764779/6311206676477907092023174112.jpeg</t>
  </si>
  <si>
    <t>https://dpmzos25m8ivg.cloudfront.net/Documentos/631/12067677403/6311206767740311092023134838.jpg</t>
  </si>
  <si>
    <t>https://dpmzos25m8ivg.cloudfront.net/Documentos/631/12068690624/6311206869062405092023205700.pdf</t>
  </si>
  <si>
    <t>https://dpmzos25m8ivg.cloudfront.net/Documentos/631/12069937747/6311206993774711092023125023.jpeg</t>
  </si>
  <si>
    <t>https://dpmzos25m8ivg.cloudfront.net/Documentos/631/12071948408/6311207194840809092023153717.pdf</t>
  </si>
  <si>
    <t>https://dpmzos25m8ivg.cloudfront.net/Documentos/631/12073322670/6311207332267007092023070228.pdf</t>
  </si>
  <si>
    <t>https://dpmzos25m8ivg.cloudfront.net/Documentos/631/12076098461/6311207609846111092023093008.pdf</t>
  </si>
  <si>
    <t>https://dpmzos25m8ivg.cloudfront.net/Documentos/631/12076728740/6311207672874006092023160833.jpg</t>
  </si>
  <si>
    <t>https://dpmzos25m8ivg.cloudfront.net/Documentos/631/12080729608/6311208072960805092023135312.pdf</t>
  </si>
  <si>
    <t>https://dpmzos25m8ivg.cloudfront.net/Documentos/631/12081827735/6311208182773512092023235313.jpg</t>
  </si>
  <si>
    <t>https://dpmzos25m8ivg.cloudfront.net/Documentos/631/12089416742/6311208941674211092023143613.jpg</t>
  </si>
  <si>
    <t>https://dpmzos25m8ivg.cloudfront.net/Documentos/631/12092465970/6311209246597011092023164749.jpg</t>
  </si>
  <si>
    <t>https://dpmzos25m8ivg.cloudfront.net/Documentos/631/12094687600/6311209468760006092023154821.jpg</t>
  </si>
  <si>
    <t>https://dpmzos25m8ivg.cloudfront.net/Documentos/631/12096242495/6311209624249511092023121528.pdf</t>
  </si>
  <si>
    <t>https://dpmzos25m8ivg.cloudfront.net/Documentos/631/12096864496/6311209686449611092023115337.pdf</t>
  </si>
  <si>
    <t>https://dpmzos25m8ivg.cloudfront.net/Documentos/631/12097127681/6311209712768111092023160925.pdf</t>
  </si>
  <si>
    <t>https://dpmzos25m8ivg.cloudfront.net/Documentos/631/12098278756/6311209827875614092023101302.pdf</t>
  </si>
  <si>
    <t>https://dpmzos25m8ivg.cloudfront.net/Documentos/631/12101794667/6311210179466711092023162802.pdf</t>
  </si>
  <si>
    <t>https://dpmzos25m8ivg.cloudfront.net/Documentos/631/12103582632/6311210358263211092023150304.pdf</t>
  </si>
  <si>
    <t>https://dpmzos25m8ivg.cloudfront.net/Documentos/631/12112088939/6311211208893911092023163526.pdf</t>
  </si>
  <si>
    <t>https://dpmzos25m8ivg.cloudfront.net/Documentos/631/12117572693/6311211757269308092023142031.jpg</t>
  </si>
  <si>
    <t>https://dpmzos25m8ivg.cloudfront.net/Documentos/631/12118130457/6311211813045707092023170743.pdf</t>
  </si>
  <si>
    <t>https://dpmzos25m8ivg.cloudfront.net/Documentos/631/12119330832/6311211933083205092023171557.pdf</t>
  </si>
  <si>
    <t>https://dpmzos25m8ivg.cloudfront.net/Documentos/631/12120884684/6311212088468410092023180847.pdf</t>
  </si>
  <si>
    <t>https://dpmzos25m8ivg.cloudfront.net/Documentos/631/12123147435/6311212314743505092023104745.pdf</t>
  </si>
  <si>
    <t>https://dpmzos25m8ivg.cloudfront.net/Documentos/631/12127496779/6311212749677913092023230528.jpeg</t>
  </si>
  <si>
    <t>https://dpmzos25m8ivg.cloudfront.net/Documentos/631/12129605648/6311212960564805092023142113.pdf</t>
  </si>
  <si>
    <t>https://dpmzos25m8ivg.cloudfront.net/Documentos/631/12133292640/6311213329264011092023091722.pdf</t>
  </si>
  <si>
    <t>https://dpmzos25m8ivg.cloudfront.net/Documentos/631/12134220430/6311213422043010092023181947.pdf</t>
  </si>
  <si>
    <t>https://dpmzos25m8ivg.cloudfront.net/Documentos/631/12136684418/6311213668441810092023001516.pdf</t>
  </si>
  <si>
    <t>https://dpmzos25m8ivg.cloudfront.net/Documentos/631/12137939711/6311213793971111092023161854.pdf</t>
  </si>
  <si>
    <t>https://dpmzos25m8ivg.cloudfront.net/Documentos/631/12139504739/6311213950473911092023131707.pdf</t>
  </si>
  <si>
    <t>https://dpmzos25m8ivg.cloudfront.net/Documentos/631/12147879673/6311214787967311092023082111.pdf</t>
  </si>
  <si>
    <t>https://dpmzos25m8ivg.cloudfront.net/Documentos/631/12150949490/6311215094949011092023005908.pdf</t>
  </si>
  <si>
    <t>https://dpmzos25m8ivg.cloudfront.net/Documentos/631/12152872673/6311215287267311092023094828.pdf</t>
  </si>
  <si>
    <t>https://dpmzos25m8ivg.cloudfront.net/Documentos/631/12153323436/6311215332343611092023123720.pdf</t>
  </si>
  <si>
    <t>https://dpmzos25m8ivg.cloudfront.net/Documentos/631/12154766986/6311215476698611092023163251.jpeg</t>
  </si>
  <si>
    <t>https://dpmzos25m8ivg.cloudfront.net/Documentos/631/12154909680/6311215490968006092023005219.pdf</t>
  </si>
  <si>
    <t>https://dpmzos25m8ivg.cloudfront.net/Documentos/631/12155796404/6311215579640410092023201754.pdf</t>
  </si>
  <si>
    <t>https://dpmzos25m8ivg.cloudfront.net/Documentos/631/12159040452/6311215904045211092023111245.pdf</t>
  </si>
  <si>
    <t>https://dpmzos25m8ivg.cloudfront.net/Documentos/631/12159974692/6311215997469211092023152512.pdf</t>
  </si>
  <si>
    <t>https://dpmzos25m8ivg.cloudfront.net/Documentos/631/12160671800/6311216067180010092023181836.pdf</t>
  </si>
  <si>
    <t>https://dpmzos25m8ivg.cloudfront.net/Documentos/631/12164907400/6311216490740010092023155057.pdf</t>
  </si>
  <si>
    <t>https://dpmzos25m8ivg.cloudfront.net/Documentos/631/12166905617/6311216690561706092023142415.pdf</t>
  </si>
  <si>
    <t>https://dpmzos25m8ivg.cloudfront.net/Documentos/631/12167300409/6311216730040909092023131414.pdf</t>
  </si>
  <si>
    <t>https://dpmzos25m8ivg.cloudfront.net/Documentos/631/12168205701/6311216820570111092023111606.jpg</t>
  </si>
  <si>
    <t>https://dpmzos25m8ivg.cloudfront.net/Documentos/631/12175987400/6311217598740011092023165912.jpg</t>
  </si>
  <si>
    <t>https://dpmzos25m8ivg.cloudfront.net/Documentos/631/12181543739/6311218154373911092023112022.jpg</t>
  </si>
  <si>
    <t>https://dpmzos25m8ivg.cloudfront.net/Documentos/631/12184172421/6311218417242105092023114527.jpeg</t>
  </si>
  <si>
    <t>https://dpmzos25m8ivg.cloudfront.net/Documentos/631/12192493436/6311219249343611092023162544.pdf</t>
  </si>
  <si>
    <t>https://dpmzos25m8ivg.cloudfront.net/Documentos/631/12201565740/6311220156574011092023145640.pdf</t>
  </si>
  <si>
    <t>https://dpmzos25m8ivg.cloudfront.net/Documentos/631/12202092790/6311220209279014092023122013.pdf</t>
  </si>
  <si>
    <t>https://dpmzos25m8ivg.cloudfront.net/Documentos/631/12202642617/6311220264261711092023094144.jpeg</t>
  </si>
  <si>
    <t>https://dpmzos25m8ivg.cloudfront.net/Documentos/631/12203215674/6311220321567411092023134326.jpg</t>
  </si>
  <si>
    <t>https://dpmzos25m8ivg.cloudfront.net/Documentos/631/12206179628/6311220617962810092023152323.pdf</t>
  </si>
  <si>
    <t>https://dpmzos25m8ivg.cloudfront.net/Documentos/631/12206213400/6311220621340011092023111004.pdf</t>
  </si>
  <si>
    <t>https://dpmzos25m8ivg.cloudfront.net/Documentos/631/12207786722/6311220778672214092023165214.jpg</t>
  </si>
  <si>
    <t>https://dpmzos25m8ivg.cloudfront.net/Documentos/631/12209665841/6311220966584111092023165510.jpg</t>
  </si>
  <si>
    <t>https://dpmzos25m8ivg.cloudfront.net/Documentos/631/12211057799/6311221105779910092023120309.pdf</t>
  </si>
  <si>
    <t>https://dpmzos25m8ivg.cloudfront.net/Documentos/631/12218463709/6311221846370911092023101832.jpeg</t>
  </si>
  <si>
    <t>https://dpmzos25m8ivg.cloudfront.net/Documentos/631/12222206448/6311222220644811092023094031.pdf</t>
  </si>
  <si>
    <t>https://dpmzos25m8ivg.cloudfront.net/Documentos/631/12223766790/6311222376679011092023134228.jpeg</t>
  </si>
  <si>
    <t>https://dpmzos25m8ivg.cloudfront.net/Documentos/631/12223929419/6311222392941908092023100844.pdf</t>
  </si>
  <si>
    <t>https://dpmzos25m8ivg.cloudfront.net/Documentos/631/12224105673/6311222410567313092023094612.pdf</t>
  </si>
  <si>
    <t>https://dpmzos25m8ivg.cloudfront.net/Documentos/631/12230621807/6311223062180705092023085223.jpg</t>
  </si>
  <si>
    <t>https://dpmzos25m8ivg.cloudfront.net/Documentos/631/12232828727/6311223282872705092023143831.pdf</t>
  </si>
  <si>
    <t>https://dpmzos25m8ivg.cloudfront.net/Documentos/631/12240173904/6311224017390406092023141733.pdf</t>
  </si>
  <si>
    <t>https://dpmzos25m8ivg.cloudfront.net/Documentos/631/12240272481/6311224027248110092023121301.pdf</t>
  </si>
  <si>
    <t>https://dpmzos25m8ivg.cloudfront.net/Documentos/631/12242485628/6311224248562811092023162002.pdf</t>
  </si>
  <si>
    <t>https://dpmzos25m8ivg.cloudfront.net/Documentos/631/12252642602/6311225264260208092023183834.pdf</t>
  </si>
  <si>
    <t>https://dpmzos25m8ivg.cloudfront.net/Documentos/631/12255685604/6311225568560411092023142700.pdf</t>
  </si>
  <si>
    <t>https://dpmzos25m8ivg.cloudfront.net/Documentos/631/12273972679/6311227397267911092023152543.jpeg</t>
  </si>
  <si>
    <t>https://dpmzos25m8ivg.cloudfront.net/Documentos/631/12274906904/6311227490690405092023125844.pdf</t>
  </si>
  <si>
    <t>https://dpmzos25m8ivg.cloudfront.net/Documentos/631/12275629696/6311227562969605092023140157.pdf</t>
  </si>
  <si>
    <t>https://dpmzos25m8ivg.cloudfront.net/Documentos/631/12282396499/6311228239649911092023163029.pdf</t>
  </si>
  <si>
    <t>https://dpmzos25m8ivg.cloudfront.net/Documentos/631/12288883456/6311228888345611092023150152.pdf</t>
  </si>
  <si>
    <t>https://dpmzos25m8ivg.cloudfront.net/Documentos/631/12294653408/6311229465340807092023080717.pdf</t>
  </si>
  <si>
    <t>https://dpmzos25m8ivg.cloudfront.net/Documentos/631/12296080600/6311229608060006092023210023.pdf</t>
  </si>
  <si>
    <t>https://dpmzos25m8ivg.cloudfront.net/Documentos/631/12301355616/6311230135561610092023150150.jpg</t>
  </si>
  <si>
    <t>https://dpmzos25m8ivg.cloudfront.net/Documentos/631/12303501440/6311230350144010092023111319.jpeg</t>
  </si>
  <si>
    <t>https://dpmzos25m8ivg.cloudfront.net/Documentos/631/12303592909/6311230359290908092023200604.jpeg</t>
  </si>
  <si>
    <t>https://dpmzos25m8ivg.cloudfront.net/Documentos/631/12304382622/6311230438262211092023105534.pdf</t>
  </si>
  <si>
    <t>https://dpmzos25m8ivg.cloudfront.net/Documentos/631/12306005664/6311230600566411092023162519.pdf</t>
  </si>
  <si>
    <t>https://dpmzos25m8ivg.cloudfront.net/Documentos/631/12307214445/6311230721444514092023152547.pdf</t>
  </si>
  <si>
    <t>https://dpmzos25m8ivg.cloudfront.net/Documentos/631/12310614483/6311231061448314092023141758.pdf</t>
  </si>
  <si>
    <t>https://dpmzos25m8ivg.cloudfront.net/Documentos/631/12312641445/6311231264144506092023201036.pdf</t>
  </si>
  <si>
    <t>https://dpmzos25m8ivg.cloudfront.net/Documentos/631/12313407624/6311231340762410092023225812.pdf</t>
  </si>
  <si>
    <t>https://dpmzos25m8ivg.cloudfront.net/Documentos/631/12314258495/6311231425849511092023143812.pdf</t>
  </si>
  <si>
    <t>https://dpmzos25m8ivg.cloudfront.net/Documentos/631/12316258646/6311231625864610092023212756.jpg</t>
  </si>
  <si>
    <t>https://dpmzos25m8ivg.cloudfront.net/Documentos/631/12318301409/6311231830140911092023141736.pdf</t>
  </si>
  <si>
    <t>https://dpmzos25m8ivg.cloudfront.net/Documentos/631/12318331650/6311231833165011092023123413.pdf</t>
  </si>
  <si>
    <t>https://dpmzos25m8ivg.cloudfront.net/Documentos/631/12320624724/6311232062472410092023181956.jpg</t>
  </si>
  <si>
    <t>https://dpmzos25m8ivg.cloudfront.net/Documentos/631/12322146471/6311232214647108092023142824.pdf</t>
  </si>
  <si>
    <t>https://dpmzos25m8ivg.cloudfront.net/Documentos/631/12327495679/6311232749567911092023114632.pdf</t>
  </si>
  <si>
    <t>https://dpmzos25m8ivg.cloudfront.net/Documentos/631/12331808430/6311233180843011092023150329.jpeg</t>
  </si>
  <si>
    <t>https://dpmzos25m8ivg.cloudfront.net/Documentos/631/12339111471/6311233911147110092023210249.pdf</t>
  </si>
  <si>
    <t>https://dpmzos25m8ivg.cloudfront.net/Documentos/631/12343378606/6311234337860610092023200819.pdf</t>
  </si>
  <si>
    <t>https://dpmzos25m8ivg.cloudfront.net/Documentos/631/12343648409/6311234364840910092023200910.jpeg</t>
  </si>
  <si>
    <t>https://dpmzos25m8ivg.cloudfront.net/Documentos/631/12346643726/6311234664372605092023224933.pdf</t>
  </si>
  <si>
    <t>https://dpmzos25m8ivg.cloudfront.net/Documentos/631/12346722430/6311234672243011092023152758.pdf</t>
  </si>
  <si>
    <t>https://dpmzos25m8ivg.cloudfront.net/Documentos/631/12349155706/6311234915570614092023110647.pdf</t>
  </si>
  <si>
    <t>https://dpmzos25m8ivg.cloudfront.net/Documentos/631/12350380769/6311235038076911092023161341.pdf</t>
  </si>
  <si>
    <t>https://dpmzos25m8ivg.cloudfront.net/Documentos/631/12350571432/6311235057143210092023140405.pdf</t>
  </si>
  <si>
    <t>https://dpmzos25m8ivg.cloudfront.net/Documentos/631/12351009606/6311235100960605092023134709.jpeg</t>
  </si>
  <si>
    <t>https://dpmzos25m8ivg.cloudfront.net/Documentos/631/12355619760/6311235561976011092023114318.pdf</t>
  </si>
  <si>
    <t>https://dpmzos25m8ivg.cloudfront.net/Documentos/631/12358583405/6311235858340510092023165053.jpeg</t>
  </si>
  <si>
    <t>https://dpmzos25m8ivg.cloudfront.net/Documentos/631/12360557645/6311236055764506092023084617.pdf</t>
  </si>
  <si>
    <t>https://dpmzos25m8ivg.cloudfront.net/Documentos/631/12362340490/6311236234049011092023121946.pdf</t>
  </si>
  <si>
    <t>https://dpmzos25m8ivg.cloudfront.net/Documentos/631/12363387406/6311236338740605092023104151.pdf</t>
  </si>
  <si>
    <t>https://dpmzos25m8ivg.cloudfront.net/Documentos/631/12365294480/6311236529448011092023093912.jpeg</t>
  </si>
  <si>
    <t>https://dpmzos25m8ivg.cloudfront.net/Documentos/631/12368004602/6311236800460208092023161312.pdf</t>
  </si>
  <si>
    <t>https://dpmzos25m8ivg.cloudfront.net/Documentos/631/12368796606/6311236879660607092023142322.pdf</t>
  </si>
  <si>
    <t>https://dpmzos25m8ivg.cloudfront.net/Documentos/631/12371759414/6311237175941414092023105936.pdf</t>
  </si>
  <si>
    <t>https://dpmzos25m8ivg.cloudfront.net/Documentos/631/12376074428/6311237607442811092023152430.pdf</t>
  </si>
  <si>
    <t>https://dpmzos25m8ivg.cloudfront.net/Documentos/631/12378621400/6311237862140011092023110319.jpeg</t>
  </si>
  <si>
    <t>https://dpmzos25m8ivg.cloudfront.net/Documentos/631/12388171490/6311238817149014092023164615.jpeg</t>
  </si>
  <si>
    <t>https://dpmzos25m8ivg.cloudfront.net/Documentos/631/12395541419/6311239554141911092023130906.pdf</t>
  </si>
  <si>
    <t>https://dpmzos25m8ivg.cloudfront.net/Documentos/631/12401501215/6311240150121506092023113637.jpg</t>
  </si>
  <si>
    <t>https://dpmzos25m8ivg.cloudfront.net/Documentos/631/12406664899/6311240666489911092023103156.pdf</t>
  </si>
  <si>
    <t>https://dpmzos25m8ivg.cloudfront.net/Documentos/631/12406845680/6311240684568013092023123146.pdf</t>
  </si>
  <si>
    <t>https://dpmzos25m8ivg.cloudfront.net/Documentos/631/12410854982/6311241085498212092023205757.pdf</t>
  </si>
  <si>
    <t>https://dpmzos25m8ivg.cloudfront.net/Documentos/631/12418359425/6311241835942511092023162036.jpg</t>
  </si>
  <si>
    <t>https://dpmzos25m8ivg.cloudfront.net/Documentos/631/12424239401/6311242423940107092023155554.jpeg</t>
  </si>
  <si>
    <t>https://dpmzos25m8ivg.cloudfront.net/Documentos/631/12426492473/6311242649247311092023125838.pdf</t>
  </si>
  <si>
    <t>https://dpmzos25m8ivg.cloudfront.net/Documentos/631/12434393942/6311243439394206092023144740.pdf</t>
  </si>
  <si>
    <t>https://dpmzos25m8ivg.cloudfront.net/Documentos/631/12440513652/6311244051365206092023143949.pdf</t>
  </si>
  <si>
    <t>https://dpmzos25m8ivg.cloudfront.net/Documentos/631/12445472636/6311244547263611092023110516.jpg</t>
  </si>
  <si>
    <t>https://dpmzos25m8ivg.cloudfront.net/Documentos/631/12447097433/6311244709743308092023195053.pdf</t>
  </si>
  <si>
    <t>https://dpmzos25m8ivg.cloudfront.net/Documentos/631/12447591632/6311244759163210092023163523.pdf</t>
  </si>
  <si>
    <t>https://dpmzos25m8ivg.cloudfront.net/Documentos/631/12447993609/6311244799360906092023202208.pdf</t>
  </si>
  <si>
    <t>https://dpmzos25m8ivg.cloudfront.net/Documentos/631/12461710660/6311246171066005092023091909.pdf</t>
  </si>
  <si>
    <t>https://dpmzos25m8ivg.cloudfront.net/Documentos/631/12462750401/6311246275040106092023154758.pdf</t>
  </si>
  <si>
    <t>https://dpmzos25m8ivg.cloudfront.net/Documentos/631/12466802708/6311246680270813092023161226.jpg</t>
  </si>
  <si>
    <t>https://dpmzos25m8ivg.cloudfront.net/Documentos/631/12470051436/6311247005143614092023131830.jpg</t>
  </si>
  <si>
    <t>https://dpmzos25m8ivg.cloudfront.net/Documentos/631/12479605604/6311247960560411092023125608.pdf</t>
  </si>
  <si>
    <t>https://dpmzos25m8ivg.cloudfront.net/Documentos/631/12480130428/6311248013042811092023142538.pdf</t>
  </si>
  <si>
    <t>https://dpmzos25m8ivg.cloudfront.net/Documentos/631/12482699428/6311248269942807092023235314.pdf</t>
  </si>
  <si>
    <t>https://dpmzos25m8ivg.cloudfront.net/Documentos/631/12482810710/6311248281071011092023124655.pdf</t>
  </si>
  <si>
    <t>https://dpmzos25m8ivg.cloudfront.net/Documentos/631/12484329407/6311248432940711092023142521.jpg</t>
  </si>
  <si>
    <t>https://dpmzos25m8ivg.cloudfront.net/Documentos/631/12486048650/6311248604865014092023124710.pdf</t>
  </si>
  <si>
    <t>https://dpmzos25m8ivg.cloudfront.net/Documentos/631/12487324643/6311248732464314092023145539.jpg</t>
  </si>
  <si>
    <t>https://dpmzos25m8ivg.cloudfront.net/Documentos/631/12490855433/6311249085543311092023113431.pdf</t>
  </si>
  <si>
    <t>https://dpmzos25m8ivg.cloudfront.net/Documentos/631/12500595935/6311250059593505092023105104.pdf</t>
  </si>
  <si>
    <t>https://dpmzos25m8ivg.cloudfront.net/Documentos/631/12504352425/6311250435242514092023151436.jpeg</t>
  </si>
  <si>
    <t>https://dpmzos25m8ivg.cloudfront.net/Documentos/631/12505284458/6311250528445811092023130535.pdf</t>
  </si>
  <si>
    <t>https://dpmzos25m8ivg.cloudfront.net/Documentos/631/12507885440/6311250788544006092023160641.pdf</t>
  </si>
  <si>
    <t>https://dpmzos25m8ivg.cloudfront.net/Documentos/631/12510357441/6311251035744109092023125530.pdf</t>
  </si>
  <si>
    <t>https://dpmzos25m8ivg.cloudfront.net/Documentos/631/12511386755/6311251138675505092023115447.jpg</t>
  </si>
  <si>
    <t>https://dpmzos25m8ivg.cloudfront.net/Documentos/631/12515820441/6311251582044106092023094755.pdf</t>
  </si>
  <si>
    <t>https://dpmzos25m8ivg.cloudfront.net/Documentos/631/12515961428/6311251596142805092023085040.jpg</t>
  </si>
  <si>
    <t>https://dpmzos25m8ivg.cloudfront.net/Documentos/631/12523688603/6311252368860314092023100225.pdf</t>
  </si>
  <si>
    <t>https://dpmzos25m8ivg.cloudfront.net/Documentos/631/12524109640/6311252410964005092023104454.pdf</t>
  </si>
  <si>
    <t>https://dpmzos25m8ivg.cloudfront.net/Documentos/631/12524896412/6311252489641206092023160546.jpeg</t>
  </si>
  <si>
    <t>https://dpmzos25m8ivg.cloudfront.net/Documentos/631/12530201676/6311253020167611092023151511.pdf</t>
  </si>
  <si>
    <t>https://dpmzos25m8ivg.cloudfront.net/Documentos/631/12532737743/6311253273774305092023124411.pdf</t>
  </si>
  <si>
    <t>https://dpmzos25m8ivg.cloudfront.net/Documentos/631/12535967430/6311253596743008092023221418.pdf</t>
  </si>
  <si>
    <t>https://dpmzos25m8ivg.cloudfront.net/Documentos/631/12545006424/6311254500642409092023181619.jpeg</t>
  </si>
  <si>
    <t>https://dpmzos25m8ivg.cloudfront.net/Documentos/631/12545964611/6311254596461105092023213935.jpeg</t>
  </si>
  <si>
    <t>https://dpmzos25m8ivg.cloudfront.net/Documentos/631/12572338408/6311257233840814092023144720.jpg</t>
  </si>
  <si>
    <t>https://dpmzos25m8ivg.cloudfront.net/Documentos/631/12574873882/6311257487388205092023095152.pdf</t>
  </si>
  <si>
    <t>https://dpmzos25m8ivg.cloudfront.net/Documentos/631/12575179459/6311257517945911092023153955.jpg</t>
  </si>
  <si>
    <t>https://dpmzos25m8ivg.cloudfront.net/Documentos/631/12578197717/6311257819771711092023121039.pdf</t>
  </si>
  <si>
    <t>https://dpmzos25m8ivg.cloudfront.net/Documentos/631/12579612416/6311257961241611092023163355.pdf</t>
  </si>
  <si>
    <t>https://dpmzos25m8ivg.cloudfront.net/Documentos/631/12583032801/6311258303280111092023110035.pdf</t>
  </si>
  <si>
    <t>https://dpmzos25m8ivg.cloudfront.net/Documentos/631/12583666657/6311258366665706092023094514.jpeg</t>
  </si>
  <si>
    <t>https://dpmzos25m8ivg.cloudfront.net/Documentos/631/12593179430/6311259317943010092023220141.jpg</t>
  </si>
  <si>
    <t>https://dpmzos25m8ivg.cloudfront.net/Documentos/631/12599717671/6311259971767105092023112110.pdf</t>
  </si>
  <si>
    <t>https://dpmzos25m8ivg.cloudfront.net/Documentos/631/12614062650/6311261406265013092023153003.pdf</t>
  </si>
  <si>
    <t>https://dpmzos25m8ivg.cloudfront.net/Documentos/631/12625812737/6311262581273711092023155825.pdf</t>
  </si>
  <si>
    <t>https://dpmzos25m8ivg.cloudfront.net/Documentos/631/12630404625/6311263040462506092023092725.pdf</t>
  </si>
  <si>
    <t>https://dpmzos25m8ivg.cloudfront.net/Documentos/631/12633169724/6311263316972407092023140605.pdf</t>
  </si>
  <si>
    <t>https://dpmzos25m8ivg.cloudfront.net/Documentos/631/12637074833/6311263707483307092023211622.pdf</t>
  </si>
  <si>
    <t>https://dpmzos25m8ivg.cloudfront.net/Documentos/631/12638451690/6311263845169011092023162941.pdf</t>
  </si>
  <si>
    <t>https://dpmzos25m8ivg.cloudfront.net/Documentos/631/12638868680/6311263886868011092023164902.pdf</t>
  </si>
  <si>
    <t>https://dpmzos25m8ivg.cloudfront.net/Documentos/631/12652816616/6311265281661611092023143428.jpg</t>
  </si>
  <si>
    <t>https://dpmzos25m8ivg.cloudfront.net/Documentos/631/12659595445/6311265959544511092023161148.pdf</t>
  </si>
  <si>
    <t>https://dpmzos25m8ivg.cloudfront.net/Documentos/631/12662990414/6311266299041409092023230525.pdf</t>
  </si>
  <si>
    <t>https://dpmzos25m8ivg.cloudfront.net/Documentos/631/12666746755/6311266674675511092023152158.pdf</t>
  </si>
  <si>
    <t>https://dpmzos25m8ivg.cloudfront.net/Documentos/631/12669612679/6311266961267906092023144508.jpeg</t>
  </si>
  <si>
    <t>https://dpmzos25m8ivg.cloudfront.net/Documentos/631/12669802451/6311266980245107092023173834.pdf</t>
  </si>
  <si>
    <t>https://dpmzos25m8ivg.cloudfront.net/Documentos/631/12678048403/6311267804840311092023141028.pdf</t>
  </si>
  <si>
    <t>https://dpmzos25m8ivg.cloudfront.net/Documentos/631/12679516486/6311267951648611092023151200.pdf</t>
  </si>
  <si>
    <t>https://dpmzos25m8ivg.cloudfront.net/Documentos/631/12687300683/6311268730068309092023010211.pdf</t>
  </si>
  <si>
    <t>https://dpmzos25m8ivg.cloudfront.net/Documentos/631/12688043471/6311268804347105092023221039.pdf</t>
  </si>
  <si>
    <t>https://dpmzos25m8ivg.cloudfront.net/Documentos/631/12690336626/6311269033662607092023205610.pdf</t>
  </si>
  <si>
    <t>https://dpmzos25m8ivg.cloudfront.net/Documentos/631/12695754493/6311269575449309092023111452.pdf</t>
  </si>
  <si>
    <t>https://dpmzos25m8ivg.cloudfront.net/Documentos/631/12698424630/6311269842463013092023001608.jpg</t>
  </si>
  <si>
    <t>https://dpmzos25m8ivg.cloudfront.net/Documentos/631/12711398714/6311271139871405092023133620.pdf</t>
  </si>
  <si>
    <t>https://dpmzos25m8ivg.cloudfront.net/Documentos/631/12719087866/6311271908786611092023163241.pdf</t>
  </si>
  <si>
    <t>https://dpmzos25m8ivg.cloudfront.net/Documentos/631/12719864692/6311271986469210092023131342.pdf</t>
  </si>
  <si>
    <t>https://dpmzos25m8ivg.cloudfront.net/Documentos/631/12722930684/6311272293068411092023112407.pdf</t>
  </si>
  <si>
    <t>https://dpmzos25m8ivg.cloudfront.net/Documentos/631/12723345467/6311272334546711092023162907.pdf</t>
  </si>
  <si>
    <t>https://dpmzos25m8ivg.cloudfront.net/Documentos/631/12728155607/6311272815560707092023092546.pdf</t>
  </si>
  <si>
    <t>https://dpmzos25m8ivg.cloudfront.net/Documentos/631/12728991790/6311272899179014092023141600.pdf</t>
  </si>
  <si>
    <t>https://dpmzos25m8ivg.cloudfront.net/Documentos/631/12729208950/6311272920895010092023224706.pdf</t>
  </si>
  <si>
    <t>https://dpmzos25m8ivg.cloudfront.net/Documentos/631/12747143627/6311274714362706092023174754.jpg</t>
  </si>
  <si>
    <t>https://dpmzos25m8ivg.cloudfront.net/Documentos/631/12751869637/6311275186963711092023141318.jpeg</t>
  </si>
  <si>
    <t>https://dpmzos25m8ivg.cloudfront.net/Documentos/631/12752577478/6311275257747810092023112040.pdf</t>
  </si>
  <si>
    <t>https://dpmzos25m8ivg.cloudfront.net/Documentos/631/12758709619/6311275870961905092023094334.jpeg</t>
  </si>
  <si>
    <t>https://dpmzos25m8ivg.cloudfront.net/Documentos/631/12760121607/6311276012160711092023145045.jpg</t>
  </si>
  <si>
    <t>https://dpmzos25m8ivg.cloudfront.net/Documentos/631/12760982602/6311276098260204092023211300.pdf</t>
  </si>
  <si>
    <t>https://dpmzos25m8ivg.cloudfront.net/Documentos/631/12762864909/6311276286490911092023100231.pdf</t>
  </si>
  <si>
    <t>https://dpmzos25m8ivg.cloudfront.net/Documentos/631/12764056427/6311276405642705092023150327.pdf</t>
  </si>
  <si>
    <t>https://dpmzos25m8ivg.cloudfront.net/Documentos/631/12769288407/6311276928840711092023125927.pdf</t>
  </si>
  <si>
    <t>https://dpmzos25m8ivg.cloudfront.net/Documentos/631/12770633465/6311277063346507092023161349.jpeg</t>
  </si>
  <si>
    <t>https://dpmzos25m8ivg.cloudfront.net/Documentos/631/12771070685/6311277107068510092023003351.pdf</t>
  </si>
  <si>
    <t>https://dpmzos25m8ivg.cloudfront.net/Documentos/631/12773676475/6311277367647509092023004051.pdf</t>
  </si>
  <si>
    <t>https://dpmzos25m8ivg.cloudfront.net/Documentos/631/12776859406/6311277685940614092023134949.jpg</t>
  </si>
  <si>
    <t>https://dpmzos25m8ivg.cloudfront.net/Documentos/631/12778374493/6311277837449313092023112240.pdf</t>
  </si>
  <si>
    <t>https://dpmzos25m8ivg.cloudfront.net/Documentos/631/12784004430/6311278400443011092023145602.pdf</t>
  </si>
  <si>
    <t>https://dpmzos25m8ivg.cloudfront.net/Documentos/631/12788028601/6311278802860107092023221255.pdf</t>
  </si>
  <si>
    <t>https://dpmzos25m8ivg.cloudfront.net/Documentos/631/12797355628/6311279735562805092023142915.pdf</t>
  </si>
  <si>
    <t>https://dpmzos25m8ivg.cloudfront.net/Documentos/631/12798629632/6311279862963211092023123433.pdf</t>
  </si>
  <si>
    <t>https://dpmzos25m8ivg.cloudfront.net/Documentos/631/12800119632/6311280011963211092023161401.jpeg</t>
  </si>
  <si>
    <t>https://dpmzos25m8ivg.cloudfront.net/Documentos/631/12801319775/6311280131977509092023103746.pdf</t>
  </si>
  <si>
    <t>https://dpmzos25m8ivg.cloudfront.net/Documentos/631/12802106996/6311280210699605092023084533.pdf</t>
  </si>
  <si>
    <t>https://dpmzos25m8ivg.cloudfront.net/Documentos/631/12805999797/6311280599979710092023223814.pdf</t>
  </si>
  <si>
    <t>https://dpmzos25m8ivg.cloudfront.net/Documentos/631/12806020743/6311280602074314092023161945.jpeg</t>
  </si>
  <si>
    <t>https://dpmzos25m8ivg.cloudfront.net/Documentos/631/12812231823/6311281223182306092023101023.jpg</t>
  </si>
  <si>
    <t>https://dpmzos25m8ivg.cloudfront.net/Documentos/631/12815363690/6311281536369005092023084505.pdf</t>
  </si>
  <si>
    <t>https://dpmzos25m8ivg.cloudfront.net/Documentos/631/12817895690/6311281789569006092023094345.pdf</t>
  </si>
  <si>
    <t>https://dpmzos25m8ivg.cloudfront.net/Documentos/631/12823581979/6311282358197911092023153104.pdf</t>
  </si>
  <si>
    <t>https://dpmzos25m8ivg.cloudfront.net/Documentos/631/12831791642/6311283179164211092023152646.pdf</t>
  </si>
  <si>
    <t>https://dpmzos25m8ivg.cloudfront.net/Documentos/631/12839099870/6311283909987005092023112137.jpg</t>
  </si>
  <si>
    <t>https://dpmzos25m8ivg.cloudfront.net/Documentos/631/12841270602/6311284127060211092023134453.pdf</t>
  </si>
  <si>
    <t>https://dpmzos25m8ivg.cloudfront.net/Documentos/631/12843719640/6311284371964006092023180629.pdf</t>
  </si>
  <si>
    <t>https://dpmzos25m8ivg.cloudfront.net/Documentos/631/12848814403/6311284881440307092023231049.jpeg</t>
  </si>
  <si>
    <t>https://dpmzos25m8ivg.cloudfront.net/Documentos/631/12859521461/6311285952146114092023153011.pdf</t>
  </si>
  <si>
    <t>https://dpmzos25m8ivg.cloudfront.net/Documentos/631/12861637730/6311286163773010092023180828.jpg</t>
  </si>
  <si>
    <t>https://dpmzos25m8ivg.cloudfront.net/Documentos/631/12862216763/6311286221676313092023234614.pdf</t>
  </si>
  <si>
    <t>https://dpmzos25m8ivg.cloudfront.net/Documentos/631/12863702726/6311286370272614092023150321.pdf</t>
  </si>
  <si>
    <t>https://dpmzos25m8ivg.cloudfront.net/Documentos/631/12868606440/6311286860644011092023125054.jpg</t>
  </si>
  <si>
    <t>https://dpmzos25m8ivg.cloudfront.net/Documentos/631/12870748710/6311287074871008092023173723.pdf</t>
  </si>
  <si>
    <t>https://dpmzos25m8ivg.cloudfront.net/Documentos/631/12872785663/6311287278566309092023132057.jpg</t>
  </si>
  <si>
    <t>https://dpmzos25m8ivg.cloudfront.net/Documentos/631/12878075692/6311287807569211092023093151.pdf</t>
  </si>
  <si>
    <t>https://dpmzos25m8ivg.cloudfront.net/Documentos/631/12886976784/6311288697678410092023231142.jpg</t>
  </si>
  <si>
    <t>https://dpmzos25m8ivg.cloudfront.net/Documentos/631/12887177761/6311288717776111092023144753.jpg</t>
  </si>
  <si>
    <t>https://dpmzos25m8ivg.cloudfront.net/Documentos/631/12889039790/6311288903979011092023162546.pdf</t>
  </si>
  <si>
    <t>https://dpmzos25m8ivg.cloudfront.net/Documentos/631/12894665644/6311289466564406092023093512.jpg</t>
  </si>
  <si>
    <t>https://dpmzos25m8ivg.cloudfront.net/Documentos/631/12895454647/6311289545464705092023115735.pdf</t>
  </si>
  <si>
    <t>https://dpmzos25m8ivg.cloudfront.net/Documentos/631/12896716645/6311289671664505092023173725.jpg</t>
  </si>
  <si>
    <t>https://dpmzos25m8ivg.cloudfront.net/Documentos/631/12897740647/6311289774064706092023212114.jpeg</t>
  </si>
  <si>
    <t>https://dpmzos25m8ivg.cloudfront.net/Documentos/631/12904999698/6311290499969806092023121012.pdf</t>
  </si>
  <si>
    <t>https://dpmzos25m8ivg.cloudfront.net/Documentos/631/12905837810/6311290583781011092023141425.pdf</t>
  </si>
  <si>
    <t>https://dpmzos25m8ivg.cloudfront.net/Documentos/631/12906826740/6311290682674011092023112913.pdf</t>
  </si>
  <si>
    <t>https://dpmzos25m8ivg.cloudfront.net/Documentos/631/12907792601/6311290779260105092023101942.pdf</t>
  </si>
  <si>
    <t>https://dpmzos25m8ivg.cloudfront.net/Documentos/631/12909435407/6311290943540705092023090408.pdf</t>
  </si>
  <si>
    <t>https://dpmzos25m8ivg.cloudfront.net/Documentos/631/12909550699/6311290955069908092023082757.pdf</t>
  </si>
  <si>
    <t>https://dpmzos25m8ivg.cloudfront.net/Documentos/631/12910386716/6311291038671611092023170147.jpg</t>
  </si>
  <si>
    <t>https://dpmzos25m8ivg.cloudfront.net/Documentos/631/12919574728/6311291957472808092023163702.jpg</t>
  </si>
  <si>
    <t>https://dpmzos25m8ivg.cloudfront.net/Documentos/631/12922434656/6311292243465610092023223011.pdf</t>
  </si>
  <si>
    <t>https://dpmzos25m8ivg.cloudfront.net/Documentos/631/12923394704/6311292339470405092023092119.pdf</t>
  </si>
  <si>
    <t>https://dpmzos25m8ivg.cloudfront.net/Documentos/631/12927035636/6311292703563606092023143514.pdf</t>
  </si>
  <si>
    <t>https://dpmzos25m8ivg.cloudfront.net/Documentos/631/12928524452/6311292852445214092023165322.jpeg</t>
  </si>
  <si>
    <t>https://dpmzos25m8ivg.cloudfront.net/Documentos/631/12928566619/6311292856661911092023153129.jpeg</t>
  </si>
  <si>
    <t>https://dpmzos25m8ivg.cloudfront.net/Documentos/631/12935677870/6311293567787010092023143407.pdf</t>
  </si>
  <si>
    <t>https://dpmzos25m8ivg.cloudfront.net/Documentos/631/12935835450/6311293583545010092023191621.pdf</t>
  </si>
  <si>
    <t>https://dpmzos25m8ivg.cloudfront.net/Documentos/631/12937468608/6311293746860811092023125845.pdf</t>
  </si>
  <si>
    <t>https://dpmzos25m8ivg.cloudfront.net/Documentos/631/12949759602/6311294975960207092023180600.pdf</t>
  </si>
  <si>
    <t>https://dpmzos25m8ivg.cloudfront.net/Documentos/631/12950463690/6311295046369009092023233142.pdf</t>
  </si>
  <si>
    <t>https://dpmzos25m8ivg.cloudfront.net/Documentos/631/12959341678/6311295934167805092023115721.pdf</t>
  </si>
  <si>
    <t>https://dpmzos25m8ivg.cloudfront.net/Documentos/631/12981070835/6311298107083505092023135732.pdf</t>
  </si>
  <si>
    <t>https://dpmzos25m8ivg.cloudfront.net/Documentos/631/12983100677/6311298310067711092023111733.pdf</t>
  </si>
  <si>
    <t>https://dpmzos25m8ivg.cloudfront.net/Documentos/631/12985662826/6311298566282611092023172933.pdf</t>
  </si>
  <si>
    <t>https://dpmzos25m8ivg.cloudfront.net/Documentos/631/12996650638/6311299665063808092023145345.pdf</t>
  </si>
  <si>
    <t>https://dpmzos25m8ivg.cloudfront.net/Documentos/631/13000643664/6311300064366411092023105828.pdf</t>
  </si>
  <si>
    <t>https://dpmzos25m8ivg.cloudfront.net/Documentos/631/13003474650/6311300347465006092023113542.pdf</t>
  </si>
  <si>
    <t>https://dpmzos25m8ivg.cloudfront.net/Documentos/631/13008278663/6311300827866306092023175020.pdf</t>
  </si>
  <si>
    <t>https://dpmzos25m8ivg.cloudfront.net/Documentos/631/13009899637/6311300989963705092023121908.pdf</t>
  </si>
  <si>
    <t>https://dpmzos25m8ivg.cloudfront.net/Documentos/631/13021601685/6311302160168510092023195148.pdf</t>
  </si>
  <si>
    <t>https://dpmzos25m8ivg.cloudfront.net/Documentos/631/13023751480/6311302375148011092023080947.pdf</t>
  </si>
  <si>
    <t>https://dpmzos25m8ivg.cloudfront.net/Documentos/631/13027211439/6311302721143911092023162539.jpeg</t>
  </si>
  <si>
    <t>https://dpmzos25m8ivg.cloudfront.net/Documentos/631/13028904683/6311302890468310092023152728.pdf</t>
  </si>
  <si>
    <t>https://dpmzos25m8ivg.cloudfront.net/Documentos/631/13030180808/6311303018080811092023092441.pdf</t>
  </si>
  <si>
    <t>https://dpmzos25m8ivg.cloudfront.net/Documentos/631/13043909852/6311304390985206092023141205.pdf</t>
  </si>
  <si>
    <t>https://dpmzos25m8ivg.cloudfront.net/Documentos/631/13045201709/6311304520170911092023110524.pdf</t>
  </si>
  <si>
    <t>https://dpmzos25m8ivg.cloudfront.net/Documentos/631/13045391486/6311304539148611092023155040.jpeg</t>
  </si>
  <si>
    <t>https://dpmzos25m8ivg.cloudfront.net/Documentos/631/13048932607/6311304893260705092023163514.jpg</t>
  </si>
  <si>
    <t>https://dpmzos25m8ivg.cloudfront.net/Documentos/631/13050545470/6311305054547008092023224516.pdf</t>
  </si>
  <si>
    <t>https://dpmzos25m8ivg.cloudfront.net/Documentos/631/13054441679/6311305444167911092023163304.jpg</t>
  </si>
  <si>
    <t>https://dpmzos25m8ivg.cloudfront.net/Documentos/631/13058993773/6311305899377311092023110248.pdf</t>
  </si>
  <si>
    <t>https://dpmzos25m8ivg.cloudfront.net/Documentos/631/13065701405/6311306570140511092023135822.pdf</t>
  </si>
  <si>
    <t>https://dpmzos25m8ivg.cloudfront.net/Documentos/631/13066288650/6311306628865011092023144847.jpeg</t>
  </si>
  <si>
    <t>https://dpmzos25m8ivg.cloudfront.net/Documentos/631/13066911683/6311306691168311092023142504.pdf</t>
  </si>
  <si>
    <t>https://dpmzos25m8ivg.cloudfront.net/Documentos/631/13070872484/6311307087248411092023143203.pdf</t>
  </si>
  <si>
    <t>https://dpmzos25m8ivg.cloudfront.net/Documentos/631/13072748624/6311307274862411092023171759.jpeg</t>
  </si>
  <si>
    <t>https://dpmzos25m8ivg.cloudfront.net/Documentos/631/13072861439/6311307286143910092023165043.pdf</t>
  </si>
  <si>
    <t>https://dpmzos25m8ivg.cloudfront.net/Documentos/631/13073870989/6311307387098914092023160000.jpg</t>
  </si>
  <si>
    <t>https://dpmzos25m8ivg.cloudfront.net/Documentos/631/13077183617/6311307718361708092023144550.pdf</t>
  </si>
  <si>
    <t>https://dpmzos25m8ivg.cloudfront.net/Documentos/631/13079970748/6311307997074811092023160226.pdf</t>
  </si>
  <si>
    <t>https://dpmzos25m8ivg.cloudfront.net/Documentos/631/13081693705/6311308169370510092023001758.jpg</t>
  </si>
  <si>
    <t>https://dpmzos25m8ivg.cloudfront.net/Documentos/631/13086284471/6311308628447111092023160622.pdf</t>
  </si>
  <si>
    <t>https://dpmzos25m8ivg.cloudfront.net/Documentos/631/13092795431/6311309279543111092023103156.pdf</t>
  </si>
  <si>
    <t>https://dpmzos25m8ivg.cloudfront.net/Documentos/631/13093230624/6311309323062409092023193011.pdf</t>
  </si>
  <si>
    <t>https://dpmzos25m8ivg.cloudfront.net/Documentos/631/13108049747/6311310804974706092023085854.pdf</t>
  </si>
  <si>
    <t>https://dpmzos25m8ivg.cloudfront.net/Documentos/631/13109156601/6311310915660109092023154636.pdf</t>
  </si>
  <si>
    <t>https://dpmzos25m8ivg.cloudfront.net/Documentos/631/13110506475/6311311050647510092023112620.pdf</t>
  </si>
  <si>
    <t>https://dpmzos25m8ivg.cloudfront.net/Documentos/631/13116439745/6311311643974514092023161637.jpg</t>
  </si>
  <si>
    <t>https://dpmzos25m8ivg.cloudfront.net/Documentos/631/13117465600/6311311746560010092023212111.pdf</t>
  </si>
  <si>
    <t>https://dpmzos25m8ivg.cloudfront.net/Documentos/631/13117937633/6311311793763305092023161355.pdf</t>
  </si>
  <si>
    <t>https://dpmzos25m8ivg.cloudfront.net/Documentos/631/13132963763/6311313296376310092023191128.jpg</t>
  </si>
  <si>
    <t>https://dpmzos25m8ivg.cloudfront.net/Documentos/631/13135079627/6311313507962706092023173856.jpg</t>
  </si>
  <si>
    <t>https://dpmzos25m8ivg.cloudfront.net/Documentos/631/13138468721/6311313846872111092023131345.pdf</t>
  </si>
  <si>
    <t>https://dpmzos25m8ivg.cloudfront.net/Documentos/631/13147146782/6311314714678210092023121624.pdf</t>
  </si>
  <si>
    <t>https://dpmzos25m8ivg.cloudfront.net/Documentos/631/13159612708/6311315961270810092023200402.jpeg</t>
  </si>
  <si>
    <t>https://dpmzos25m8ivg.cloudfront.net/Documentos/631/13160417603/6311316041760309092023090815.pdf</t>
  </si>
  <si>
    <t>https://dpmzos25m8ivg.cloudfront.net/Documentos/631/13165256780/6311316525678005092023151506.jpeg</t>
  </si>
  <si>
    <t>https://dpmzos25m8ivg.cloudfront.net/Documentos/631/13168980757/6311316898075706092023004555.jpg</t>
  </si>
  <si>
    <t>https://dpmzos25m8ivg.cloudfront.net/Documentos/631/13171501635/6311317150163507092023140656.jpg</t>
  </si>
  <si>
    <t>https://dpmzos25m8ivg.cloudfront.net/Documentos/631/13171684705/6311317168470507092023170814.pdf</t>
  </si>
  <si>
    <t>https://dpmzos25m8ivg.cloudfront.net/Documentos/631/13172655806/6311317265580607092023111242.pdf</t>
  </si>
  <si>
    <t>https://dpmzos25m8ivg.cloudfront.net/Documentos/631/13173961463/6311317396146306092023183153.pdf</t>
  </si>
  <si>
    <t>https://dpmzos25m8ivg.cloudfront.net/Documentos/631/13181484482/6311318148448214092023105740.pdf</t>
  </si>
  <si>
    <t>https://dpmzos25m8ivg.cloudfront.net/Documentos/631/13182549499/6311318254949911092023160036.jpeg</t>
  </si>
  <si>
    <t>https://dpmzos25m8ivg.cloudfront.net/Documentos/631/13188430655/6311318843065505092023121504.pdf</t>
  </si>
  <si>
    <t>https://dpmzos25m8ivg.cloudfront.net/Documentos/631/13194734741/6311319473474111092023153314.pdf</t>
  </si>
  <si>
    <t>https://dpmzos25m8ivg.cloudfront.net/Documentos/631/13201793477/6311320179347711092023130932.pdf</t>
  </si>
  <si>
    <t>https://dpmzos25m8ivg.cloudfront.net/Documentos/631/13203693674/6311320369367414092023141328.jpg</t>
  </si>
  <si>
    <t>https://dpmzos25m8ivg.cloudfront.net/Documentos/631/13208362676/6311320836267610092023104610.pdf</t>
  </si>
  <si>
    <t>https://dpmzos25m8ivg.cloudfront.net/Documentos/631/13213223646/6311321322364605092023101051.pdf</t>
  </si>
  <si>
    <t>https://dpmzos25m8ivg.cloudfront.net/Documentos/631/13222748608/6311322274860811092023142840.pdf</t>
  </si>
  <si>
    <t>https://dpmzos25m8ivg.cloudfront.net/Documentos/631/13225941638/6311322594163814092023101613.pdf</t>
  </si>
  <si>
    <t>https://dpmzos25m8ivg.cloudfront.net/Documentos/631/13231558646/6311323155864610092023135428.pdf</t>
  </si>
  <si>
    <t>https://dpmzos25m8ivg.cloudfront.net/Documentos/631/13231727774/6311323172777405092023192546.pdf</t>
  </si>
  <si>
    <t>https://dpmzos25m8ivg.cloudfront.net/Documentos/631/13233504624/6311323350462405092023154956.pdf</t>
  </si>
  <si>
    <t>https://dpmzos25m8ivg.cloudfront.net/Documentos/631/13234204608/6311323420460809092023125312.pdf</t>
  </si>
  <si>
    <t>https://dpmzos25m8ivg.cloudfront.net/Documentos/631/13234836671/6311323483667106092023185018.pdf</t>
  </si>
  <si>
    <t>https://dpmzos25m8ivg.cloudfront.net/Documentos/631/13241128679/6311324112867911092023084647.pdf</t>
  </si>
  <si>
    <t>https://dpmzos25m8ivg.cloudfront.net/Documentos/631/13244943608/6311324494360807092023113918.pdf</t>
  </si>
  <si>
    <t>https://dpmzos25m8ivg.cloudfront.net/Documentos/631/13247861750/6311324786175011092023170059.jpeg</t>
  </si>
  <si>
    <t>https://dpmzos25m8ivg.cloudfront.net/Documentos/631/13248647701/6311324864770113092023134714.jpg</t>
  </si>
  <si>
    <t>https://dpmzos25m8ivg.cloudfront.net/Documentos/631/13254760727/6311325476072711092023001517.pdf</t>
  </si>
  <si>
    <t>https://dpmzos25m8ivg.cloudfront.net/Documentos/631/13257372671/6311325737267111092023141020.jpg</t>
  </si>
  <si>
    <t>https://dpmzos25m8ivg.cloudfront.net/Documentos/631/13262252603/6311326225260311092023161908.pdf</t>
  </si>
  <si>
    <t>https://dpmzos25m8ivg.cloudfront.net/Documentos/631/13265956792/6311326595679208092023153159.jpg</t>
  </si>
  <si>
    <t>https://dpmzos25m8ivg.cloudfront.net/Documentos/631/13272981470/6311327298147007092023134743.pdf</t>
  </si>
  <si>
    <t>https://dpmzos25m8ivg.cloudfront.net/Documentos/631/13282291655/6311328229165514092023134606.pdf</t>
  </si>
  <si>
    <t>https://dpmzos25m8ivg.cloudfront.net/Documentos/631/13285409797/6311328540979707092023171749.pdf</t>
  </si>
  <si>
    <t>https://dpmzos25m8ivg.cloudfront.net/Documentos/631/13287565648/6311328756564811092023005739.pdf</t>
  </si>
  <si>
    <t>https://dpmzos25m8ivg.cloudfront.net/Documentos/631/13288478617/6311328847861711092023144543.jpg</t>
  </si>
  <si>
    <t>https://dpmzos25m8ivg.cloudfront.net/Documentos/631/13288522705/6311328852270511092023170000.pdf</t>
  </si>
  <si>
    <t>https://dpmzos25m8ivg.cloudfront.net/Documentos/631/13289511707/6311328951170706092023203556.jpg</t>
  </si>
  <si>
    <t>https://dpmzos25m8ivg.cloudfront.net/Documentos/631/13293814670/6311329381467011092023112132.pdf</t>
  </si>
  <si>
    <t>https://dpmzos25m8ivg.cloudfront.net/Documentos/631/13297018798/6311329701879809092023221242.pdf</t>
  </si>
  <si>
    <t>https://dpmzos25m8ivg.cloudfront.net/Documentos/631/13300145619/6311330014561914092023102420.pdf</t>
  </si>
  <si>
    <t>https://dpmzos25m8ivg.cloudfront.net/Documentos/631/13305390875/6311330539087511092023111143.pdf</t>
  </si>
  <si>
    <t>https://dpmzos25m8ivg.cloudfront.net/Documentos/631/13309426637/6311330942663707092023191130.pdf</t>
  </si>
  <si>
    <t>https://dpmzos25m8ivg.cloudfront.net/Documentos/631/13313108652/6311331310865206092023163048.pdf</t>
  </si>
  <si>
    <t>https://dpmzos25m8ivg.cloudfront.net/Documentos/631/13316860673/6311331686067311092023141725.pdf</t>
  </si>
  <si>
    <t>https://dpmzos25m8ivg.cloudfront.net/Documentos/631/13319586793/6311331958679307092023143137.jpg</t>
  </si>
  <si>
    <t>https://dpmzos25m8ivg.cloudfront.net/Documentos/631/13328510966/6311332851096605092023124431.jpg</t>
  </si>
  <si>
    <t>https://dpmzos25m8ivg.cloudfront.net/Documentos/631/13330296674/6311333029667412092023205123.pdf</t>
  </si>
  <si>
    <t>https://dpmzos25m8ivg.cloudfront.net/Documentos/631/13334072622/6311333407262213092023155920.jpg</t>
  </si>
  <si>
    <t>https://dpmzos25m8ivg.cloudfront.net/Documentos/631/13336778476/6311333677847608092023194351.pdf</t>
  </si>
  <si>
    <t>https://dpmzos25m8ivg.cloudfront.net/Documentos/631/13340853401/6311334085340111092023140927.pdf</t>
  </si>
  <si>
    <t>https://dpmzos25m8ivg.cloudfront.net/Documentos/631/13346992756/6311334699275611092023165624.pdf</t>
  </si>
  <si>
    <t>https://dpmzos25m8ivg.cloudfront.net/Documentos/631/13347433475/6311334743347511092023143915.pdf</t>
  </si>
  <si>
    <t>https://dpmzos25m8ivg.cloudfront.net/Documentos/631/13348363454/6311334836345410092023202504.pdf</t>
  </si>
  <si>
    <t>https://dpmzos25m8ivg.cloudfront.net/Documentos/631/13349344607/6311334934460711092023164813.pdf</t>
  </si>
  <si>
    <t>https://dpmzos25m8ivg.cloudfront.net/Documentos/631/13352242461/6311335224246108092023182322.pdf</t>
  </si>
  <si>
    <t>https://dpmzos25m8ivg.cloudfront.net/Documentos/631/13366286695/6311336628669510092023200726.pdf</t>
  </si>
  <si>
    <t>https://dpmzos25m8ivg.cloudfront.net/Documentos/631/13367074616/6311336707461606092023100233.jpeg</t>
  </si>
  <si>
    <t>https://dpmzos25m8ivg.cloudfront.net/Documentos/631/13370663465/6311337066346511092023091251.pdf</t>
  </si>
  <si>
    <t>https://dpmzos25m8ivg.cloudfront.net/Documentos/631/13371565408/6311337156540805092023105121.pdf</t>
  </si>
  <si>
    <t>https://dpmzos25m8ivg.cloudfront.net/Documentos/631/13377033700/6311337703370006092023153210.pdf</t>
  </si>
  <si>
    <t>https://dpmzos25m8ivg.cloudfront.net/Documentos/631/13381815644/6311338181564411092023143602.pdf</t>
  </si>
  <si>
    <t>https://dpmzos25m8ivg.cloudfront.net/Documentos/631/13387370407/6311338737040711092023154215.pdf</t>
  </si>
  <si>
    <t>https://dpmzos25m8ivg.cloudfront.net/Documentos/631/13388102600/6311338810260008092023032902.jpeg</t>
  </si>
  <si>
    <t>https://dpmzos25m8ivg.cloudfront.net/Documentos/631/13390184465/6311339018446513092023141329.pdf</t>
  </si>
  <si>
    <t>https://dpmzos25m8ivg.cloudfront.net/Documentos/631/13394464489/6311339446448905092023223010.pdf</t>
  </si>
  <si>
    <t>https://dpmzos25m8ivg.cloudfront.net/Documentos/631/13400516724/6311340051672413092023194844.pdf</t>
  </si>
  <si>
    <t>https://dpmzos25m8ivg.cloudfront.net/Documentos/631/13403136698/6311340313669809092023141301.pdf</t>
  </si>
  <si>
    <t>https://dpmzos25m8ivg.cloudfront.net/Documentos/631/13403258459/6311340325845907092023131347.pdf</t>
  </si>
  <si>
    <t>https://dpmzos25m8ivg.cloudfront.net/Documentos/631/13407948700/6311340794870005092023114147.pdf</t>
  </si>
  <si>
    <t>https://dpmzos25m8ivg.cloudfront.net/Documentos/631/13408794766/6311340879476611092023134533.pdf</t>
  </si>
  <si>
    <t>https://dpmzos25m8ivg.cloudfront.net/Documentos/631/13410255605/6311341025560511092023082247.pdf</t>
  </si>
  <si>
    <t>https://dpmzos25m8ivg.cloudfront.net/Documentos/631/13413969676/6311341396967609092023212118.pdf</t>
  </si>
  <si>
    <t>https://dpmzos25m8ivg.cloudfront.net/Documentos/631/13430293413/6311343029341313092023101949.pdf</t>
  </si>
  <si>
    <t>https://dpmzos25m8ivg.cloudfront.net/Documentos/631/13430516498/6311343051649806092023222949.pdf</t>
  </si>
  <si>
    <t>https://dpmzos25m8ivg.cloudfront.net/Documentos/631/13437999613/6311343799961311092023150542.pdf</t>
  </si>
  <si>
    <t>https://dpmzos25m8ivg.cloudfront.net/Documentos/631/13444486405/6311344448640511092023135551.pdf</t>
  </si>
  <si>
    <t>https://dpmzos25m8ivg.cloudfront.net/Documentos/631/13445155844/6311344515584405092023175453.pdf</t>
  </si>
  <si>
    <t>https://dpmzos25m8ivg.cloudfront.net/Documentos/631/13445250758/6311344525075812092023231018.pdf</t>
  </si>
  <si>
    <t>https://dpmzos25m8ivg.cloudfront.net/Documentos/631/13450067648/6311345006764807092023093449.jpg</t>
  </si>
  <si>
    <t>https://dpmzos25m8ivg.cloudfront.net/Documentos/631/13455104460/6311345510446011092023142411.jpg</t>
  </si>
  <si>
    <t>https://dpmzos25m8ivg.cloudfront.net/Documentos/631/13455708722/6311345570872209092023204843.pdf</t>
  </si>
  <si>
    <t>https://dpmzos25m8ivg.cloudfront.net/Documentos/631/13462467930/6311346246793011092023164803.pdf</t>
  </si>
  <si>
    <t>https://dpmzos25m8ivg.cloudfront.net/Documentos/631/13485589624/6311348558962414092023143808.pdf</t>
  </si>
  <si>
    <t>https://dpmzos25m8ivg.cloudfront.net/Documentos/631/13497142670/6311349714267011092023133120.pdf</t>
  </si>
  <si>
    <t>https://dpmzos25m8ivg.cloudfront.net/Documentos/631/13498796810/6311349879681005092023143231.pdf</t>
  </si>
  <si>
    <t>https://dpmzos25m8ivg.cloudfront.net/Documentos/631/13503998411/6311350399841111092023135402.pdf</t>
  </si>
  <si>
    <t>https://dpmzos25m8ivg.cloudfront.net/Documentos/631/13505839604/6311350583960411092023160702.pdf</t>
  </si>
  <si>
    <t>https://dpmzos25m8ivg.cloudfront.net/Documentos/631/13507033704/6311350703370411092023130539.jpeg</t>
  </si>
  <si>
    <t>https://dpmzos25m8ivg.cloudfront.net/Documentos/631/13514441740/6311351444174013092023211028.jpg</t>
  </si>
  <si>
    <t>https://dpmzos25m8ivg.cloudfront.net/Documentos/631/13519394758/6311351939475806092023101839.pdf</t>
  </si>
  <si>
    <t>https://dpmzos25m8ivg.cloudfront.net/Documentos/631/13519442663/6311351944266306092023165815.pdf</t>
  </si>
  <si>
    <t>https://dpmzos25m8ivg.cloudfront.net/Documentos/631/13521693635/6311352169363510092023235909.pdf</t>
  </si>
  <si>
    <t>https://dpmzos25m8ivg.cloudfront.net/Documentos/631/13524850790/6311352485079011092023083423.pdf</t>
  </si>
  <si>
    <t>https://dpmzos25m8ivg.cloudfront.net/Documentos/631/13525056737/6311352505673711092023121740.pdf</t>
  </si>
  <si>
    <t>https://dpmzos25m8ivg.cloudfront.net/Documentos/631/13525715609/6311352571560908092023082407.pdf</t>
  </si>
  <si>
    <t>https://dpmzos25m8ivg.cloudfront.net/Documentos/631/13532100657/6311353210065706092023115509.pdf</t>
  </si>
  <si>
    <t>https://dpmzos25m8ivg.cloudfront.net/Documentos/631/13539670424/6311353967042407092023181702.pdf</t>
  </si>
  <si>
    <t>https://dpmzos25m8ivg.cloudfront.net/Documentos/631/13546461770/6311354646177013092023194429.jpg</t>
  </si>
  <si>
    <t>https://dpmzos25m8ivg.cloudfront.net/Documentos/631/13554981478/6311355498147805092023135400.pdf</t>
  </si>
  <si>
    <t>https://dpmzos25m8ivg.cloudfront.net/Documentos/631/13555733869/6311355573386911092023155606.pdf</t>
  </si>
  <si>
    <t>https://dpmzos25m8ivg.cloudfront.net/Documentos/631/13556335670/6311355633567011092023073604.pdf</t>
  </si>
  <si>
    <t>https://dpmzos25m8ivg.cloudfront.net/Documentos/631/13557843602/6311355784360208092023145703.jpeg</t>
  </si>
  <si>
    <t>https://dpmzos25m8ivg.cloudfront.net/Documentos/631/13572390680/6311357239068010092023141808.jpg</t>
  </si>
  <si>
    <t>https://dpmzos25m8ivg.cloudfront.net/Documentos/631/13573132413/6311357313241309092023164645.pdf</t>
  </si>
  <si>
    <t>https://dpmzos25m8ivg.cloudfront.net/Documentos/631/13577535601/6311357753560108092023195417.jpeg</t>
  </si>
  <si>
    <t>https://dpmzos25m8ivg.cloudfront.net/Documentos/631/13579913476/6311357991347611092023130513.pdf</t>
  </si>
  <si>
    <t>https://dpmzos25m8ivg.cloudfront.net/Documentos/631/13583281454/6311358328145409092023183803.pdf</t>
  </si>
  <si>
    <t>https://dpmzos25m8ivg.cloudfront.net/Documentos/631/13584187729/6311358418772911092023132541.pdf</t>
  </si>
  <si>
    <t>https://dpmzos25m8ivg.cloudfront.net/Documentos/631/13585360408/6311358536040812092023173014.pdf</t>
  </si>
  <si>
    <t>https://dpmzos25m8ivg.cloudfront.net/Documentos/631/13585748635/6311358574863511092023135245.pdf</t>
  </si>
  <si>
    <t>https://dpmzos25m8ivg.cloudfront.net/Documentos/631/13586810660/6311358681066007092023121211.pdf</t>
  </si>
  <si>
    <t>https://dpmzos25m8ivg.cloudfront.net/Documentos/631/13590028718/6311359002871805092023203811.jpg</t>
  </si>
  <si>
    <t>https://dpmzos25m8ivg.cloudfront.net/Documentos/631/13594533697/6311359453369708092023140226.pdf</t>
  </si>
  <si>
    <t>https://dpmzos25m8ivg.cloudfront.net/Documentos/631/13597218865/6311359721886511092023161835.jpg</t>
  </si>
  <si>
    <t>https://dpmzos25m8ivg.cloudfront.net/Documentos/631/13604577632/6311360457763209092023165728.pdf</t>
  </si>
  <si>
    <t>https://dpmzos25m8ivg.cloudfront.net/Documentos/631/13605639704/6311360563970405092023094920.jpg</t>
  </si>
  <si>
    <t>https://dpmzos25m8ivg.cloudfront.net/Documentos/631/13606170602/6311360617060211092023122311.pdf</t>
  </si>
  <si>
    <t>https://dpmzos25m8ivg.cloudfront.net/Documentos/631/13608492895/6311360849289511092023162451.pdf</t>
  </si>
  <si>
    <t>https://dpmzos25m8ivg.cloudfront.net/Documentos/631/13614009785/6311361400978506092023213256.pdf</t>
  </si>
  <si>
    <t>https://dpmzos25m8ivg.cloudfront.net/Documentos/631/13614712710/6311361471271008092023144319.jpg</t>
  </si>
  <si>
    <t>https://dpmzos25m8ivg.cloudfront.net/Documentos/631/13619693773/6311361969377311092023150110.pdf</t>
  </si>
  <si>
    <t>https://dpmzos25m8ivg.cloudfront.net/Documentos/631/13625649403/6311362564940314092023131023.pdf</t>
  </si>
  <si>
    <t>https://dpmzos25m8ivg.cloudfront.net/Documentos/631/13627337689/6311362733768905092023094940.pdf</t>
  </si>
  <si>
    <t>https://dpmzos25m8ivg.cloudfront.net/Documentos/631/13638439666/6311363843966612092023174154.pdf</t>
  </si>
  <si>
    <t>https://dpmzos25m8ivg.cloudfront.net/Documentos/631/13643691769/6311364369176907092023095654.pdf</t>
  </si>
  <si>
    <t>https://dpmzos25m8ivg.cloudfront.net/Documentos/631/13648200801/6311364820080109092023202644.pdf</t>
  </si>
  <si>
    <t>https://dpmzos25m8ivg.cloudfront.net/Documentos/631/13649763664/6311364976366405092023104225.pdf</t>
  </si>
  <si>
    <t>https://dpmzos25m8ivg.cloudfront.net/Documentos/631/13650647869/6311365064786911092023141827.pdf</t>
  </si>
  <si>
    <t>https://dpmzos25m8ivg.cloudfront.net/Documentos/631/13651109666/6311365110966611092023123354.jpg</t>
  </si>
  <si>
    <t>https://dpmzos25m8ivg.cloudfront.net/Documentos/631/13657035761/6311365703576111092023145518.pdf</t>
  </si>
  <si>
    <t>https://dpmzos25m8ivg.cloudfront.net/Documentos/631/13659906727/6311365990672711092023163614.jpeg</t>
  </si>
  <si>
    <t>https://dpmzos25m8ivg.cloudfront.net/Documentos/631/13660282600/6311366028260006092023194559.pdf</t>
  </si>
  <si>
    <t>https://dpmzos25m8ivg.cloudfront.net/Documentos/631/13672643831/6311367264383109092023005118.pdf</t>
  </si>
  <si>
    <t>https://dpmzos25m8ivg.cloudfront.net/Documentos/631/13673245481/6311367324548108092023104705.jpeg</t>
  </si>
  <si>
    <t>https://dpmzos25m8ivg.cloudfront.net/Documentos/631/13675327604/6311367532760411092023094211.pdf</t>
  </si>
  <si>
    <t>https://dpmzos25m8ivg.cloudfront.net/Documentos/631/13677154669/6311367715466914092023165954.pdf</t>
  </si>
  <si>
    <t>https://dpmzos25m8ivg.cloudfront.net/Documentos/631/13681793638/6311368179363809092023103108.jpeg</t>
  </si>
  <si>
    <t>https://dpmzos25m8ivg.cloudfront.net/Documentos/631/13684137650/6311368413765008092023215034.pdf</t>
  </si>
  <si>
    <t>https://dpmzos25m8ivg.cloudfront.net/Documentos/631/13701637466/6311370163746606092023134800.pdf</t>
  </si>
  <si>
    <t>https://dpmzos25m8ivg.cloudfront.net/Documentos/631/13704551430/6311370455143004092023174839.pdf</t>
  </si>
  <si>
    <t>https://dpmzos25m8ivg.cloudfront.net/Documentos/631/13714807616/6311371480761610092023221210.pdf</t>
  </si>
  <si>
    <t>https://dpmzos25m8ivg.cloudfront.net/Documentos/631/13716757403/6311371675740306092023010417.pdf</t>
  </si>
  <si>
    <t>https://dpmzos25m8ivg.cloudfront.net/Documentos/631/13721495624/6311372149562411092023132245.jpg</t>
  </si>
  <si>
    <t>https://dpmzos25m8ivg.cloudfront.net/Documentos/631/13725855676/6311372585567607092023185432.pdf</t>
  </si>
  <si>
    <t>https://dpmzos25m8ivg.cloudfront.net/Documentos/631/13727988703/6311372798870305092023131355.pdf</t>
  </si>
  <si>
    <t>https://dpmzos25m8ivg.cloudfront.net/Documentos/631/13731806681/6311373180668114092023132957.pdf</t>
  </si>
  <si>
    <t>https://dpmzos25m8ivg.cloudfront.net/Documentos/631/13736974744/6311373697474408092023214537.pdf</t>
  </si>
  <si>
    <t>https://dpmzos25m8ivg.cloudfront.net/Documentos/631/13742522710/6311374252271006092023172346.pdf</t>
  </si>
  <si>
    <t>https://dpmzos25m8ivg.cloudfront.net/Documentos/631/13746478707/6311374647870705092023114206.pdf</t>
  </si>
  <si>
    <t>https://dpmzos25m8ivg.cloudfront.net/Documentos/631/13748240627/6311374824062711092023094217.pdf</t>
  </si>
  <si>
    <t>https://dpmzos25m8ivg.cloudfront.net/Documentos/631/13756158667/6311375615866705092023171141.pdf</t>
  </si>
  <si>
    <t>https://dpmzos25m8ivg.cloudfront.net/Documentos/631/13767427486/6311376742748611092023144855.jpeg</t>
  </si>
  <si>
    <t>https://dpmzos25m8ivg.cloudfront.net/Documentos/631/13770798724/6311377079872408092023185952.jpeg</t>
  </si>
  <si>
    <t>https://dpmzos25m8ivg.cloudfront.net/Documentos/631/13774068658/6311377406865811092023153239.jpeg</t>
  </si>
  <si>
    <t>https://dpmzos25m8ivg.cloudfront.net/Documentos/631/13782736729/6311378273672914092023104215.pdf</t>
  </si>
  <si>
    <t>https://dpmzos25m8ivg.cloudfront.net/Documentos/631/13783396735/6311378339673511092023144416.pdf</t>
  </si>
  <si>
    <t>https://dpmzos25m8ivg.cloudfront.net/Documentos/631/13795631432/6311379563143211092023025814.pdf</t>
  </si>
  <si>
    <t>https://dpmzos25m8ivg.cloudfront.net/Documentos/631/13797861699/6311379786169910092023164018.jpg</t>
  </si>
  <si>
    <t>https://dpmzos25m8ivg.cloudfront.net/Documentos/631/13804896600/6311380489660005092023103256.pdf</t>
  </si>
  <si>
    <t>https://dpmzos25m8ivg.cloudfront.net/Documentos/631/13808268700/6311380826870011092023142307.jpeg</t>
  </si>
  <si>
    <t>https://dpmzos25m8ivg.cloudfront.net/Documentos/631/13808576430/6311380857643008092023141918.pdf</t>
  </si>
  <si>
    <t>https://dpmzos25m8ivg.cloudfront.net/Documentos/631/13816692478/6311381669247807092023212631.pdf</t>
  </si>
  <si>
    <t>https://dpmzos25m8ivg.cloudfront.net/Documentos/631/13820240454/6311382024045406092023225500.pdf</t>
  </si>
  <si>
    <t>https://dpmzos25m8ivg.cloudfront.net/Documentos/631/13825883728/6311382588372807092023140405.pdf</t>
  </si>
  <si>
    <t>https://dpmzos25m8ivg.cloudfront.net/Documentos/631/13845629746/6311384562974611092023150135.jpeg</t>
  </si>
  <si>
    <t>https://dpmzos25m8ivg.cloudfront.net/Documentos/631/13845634740/6311384563474011092023124539.jpeg</t>
  </si>
  <si>
    <t>https://dpmzos25m8ivg.cloudfront.net/Documentos/631/13847950657/6311384795065711092023164817.jpg</t>
  </si>
  <si>
    <t>https://dpmzos25m8ivg.cloudfront.net/Documentos/631/13852565677/6311385256567711092023154407.jpg</t>
  </si>
  <si>
    <t>https://dpmzos25m8ivg.cloudfront.net/Documentos/631/13868532757/6311386853275709092023154949.jpg</t>
  </si>
  <si>
    <t>https://dpmzos25m8ivg.cloudfront.net/Documentos/631/13874490602/6311387449060205092023221456.pdf</t>
  </si>
  <si>
    <t>https://dpmzos25m8ivg.cloudfront.net/Documentos/631/13875055640/6311387505564010092023114621.pdf</t>
  </si>
  <si>
    <t>https://dpmzos25m8ivg.cloudfront.net/Documentos/631/13883312681/6311388331268111092023122305.pdf</t>
  </si>
  <si>
    <t>https://dpmzos25m8ivg.cloudfront.net/Documentos/631/13883915629/6311388391562906092023122052.pdf</t>
  </si>
  <si>
    <t>https://dpmzos25m8ivg.cloudfront.net/Documentos/631/13890481442/6311389048144211092023144852.pdf</t>
  </si>
  <si>
    <t>https://dpmzos25m8ivg.cloudfront.net/Documentos/631/13917483793/6311391748379308092023094055.pdf</t>
  </si>
  <si>
    <t>https://dpmzos25m8ivg.cloudfront.net/Documentos/631/13919378644/6311391937864405092023121642.pdf</t>
  </si>
  <si>
    <t>https://dpmzos25m8ivg.cloudfront.net/Documentos/631/13927610690/6311392761069011092023150024.pdf</t>
  </si>
  <si>
    <t>https://dpmzos25m8ivg.cloudfront.net/Documentos/631/13930862689/6311393086268911092023135040.pdf</t>
  </si>
  <si>
    <t>https://dpmzos25m8ivg.cloudfront.net/Documentos/631/13932291662/6311393229166211092023162606.jpg</t>
  </si>
  <si>
    <t>https://dpmzos25m8ivg.cloudfront.net/Documentos/631/13941108638/6311394110863805092023005714.pdf</t>
  </si>
  <si>
    <t>https://dpmzos25m8ivg.cloudfront.net/Documentos/631/13942500701/6311394250070111092023123655.pdf</t>
  </si>
  <si>
    <t>https://dpmzos25m8ivg.cloudfront.net/Documentos/631/13942895617/6311394289561711092023151713.pdf</t>
  </si>
  <si>
    <t>https://dpmzos25m8ivg.cloudfront.net/Documentos/631/13955873617/6311395587361711092023092709.pdf</t>
  </si>
  <si>
    <t>https://dpmzos25m8ivg.cloudfront.net/Documentos/631/13965909606/6311396590960610092023234125.pdf</t>
  </si>
  <si>
    <t>https://dpmzos25m8ivg.cloudfront.net/Documentos/631/13966025698/6311396602569813092023112904.pdf</t>
  </si>
  <si>
    <t>https://dpmzos25m8ivg.cloudfront.net/Documentos/631/13976504785/6311397650478506092023194724.jpg</t>
  </si>
  <si>
    <t>https://dpmzos25m8ivg.cloudfront.net/Documentos/631/13980458610/6311398045861005092023132256.jpg</t>
  </si>
  <si>
    <t>https://dpmzos25m8ivg.cloudfront.net/Documentos/631/13981530608/6311398153060811092023104622.pdf</t>
  </si>
  <si>
    <t>https://dpmzos25m8ivg.cloudfront.net/Documentos/631/13989396684/6311398939668410092023101629.pdf</t>
  </si>
  <si>
    <t>https://dpmzos25m8ivg.cloudfront.net/Documentos/631/14005677770/6311400567777011092023154938.pdf</t>
  </si>
  <si>
    <t>https://dpmzos25m8ivg.cloudfront.net/Documentos/631/14010121670/6311401012167006092023081114.jpg</t>
  </si>
  <si>
    <t>https://dpmzos25m8ivg.cloudfront.net/Documentos/631/14024358782/6311402435878210092023113452.pdf</t>
  </si>
  <si>
    <t>https://dpmzos25m8ivg.cloudfront.net/Documentos/631/14031223773/6311403122377310092023140603.jpg</t>
  </si>
  <si>
    <t>https://dpmzos25m8ivg.cloudfront.net/Documentos/631/14058070676/6311405807067611092023165143.jpeg</t>
  </si>
  <si>
    <t>https://dpmzos25m8ivg.cloudfront.net/Documentos/631/14064003438/6311406400343806092023124317.pdf</t>
  </si>
  <si>
    <t>https://dpmzos25m8ivg.cloudfront.net/Documentos/631/14066919685/6311406691968506092023171425.pdf</t>
  </si>
  <si>
    <t>https://dpmzos25m8ivg.cloudfront.net/Documentos/631/14090129800/6311409012980011092023123421.pdf</t>
  </si>
  <si>
    <t>https://dpmzos25m8ivg.cloudfront.net/Documentos/631/14095809620/6311409580962011092023143414.pdf</t>
  </si>
  <si>
    <t>https://dpmzos25m8ivg.cloudfront.net/Documentos/631/14097713698/6311409771369814092023153117.pdf</t>
  </si>
  <si>
    <t>https://dpmzos25m8ivg.cloudfront.net/Documentos/631/14112244690/6311411224469014092023120411.jpeg</t>
  </si>
  <si>
    <t>https://dpmzos25m8ivg.cloudfront.net/Documentos/631/14114323716/6311411432371611092023140923.jpg</t>
  </si>
  <si>
    <t>https://dpmzos25m8ivg.cloudfront.net/Documentos/631/14117834762/6311411783476206092023171233.jpeg</t>
  </si>
  <si>
    <t>https://dpmzos25m8ivg.cloudfront.net/Documentos/631/14125362602/6311412536260214092023144759.jpeg</t>
  </si>
  <si>
    <t>https://dpmzos25m8ivg.cloudfront.net/Documentos/631/14142812696/6311414281269608092023191459.pdf</t>
  </si>
  <si>
    <t>https://dpmzos25m8ivg.cloudfront.net/Documentos/631/14145008669/6311414500866911092023105249.pdf</t>
  </si>
  <si>
    <t>https://dpmzos25m8ivg.cloudfront.net/Documentos/631/14150996695/6311415099669505092023202001.jpeg</t>
  </si>
  <si>
    <t>https://dpmzos25m8ivg.cloudfront.net/Documentos/631/14154584723/6311415458472311092023144414.pdf</t>
  </si>
  <si>
    <t>https://dpmzos25m8ivg.cloudfront.net/Documentos/631/14155044404/6311415504440411092023170435.pdf</t>
  </si>
  <si>
    <t>https://dpmzos25m8ivg.cloudfront.net/Documentos/631/14157097777/6311415709777711092023143714.pdf</t>
  </si>
  <si>
    <t>https://dpmzos25m8ivg.cloudfront.net/Documentos/631/14162374708/6311416237470806092023222443.pdf</t>
  </si>
  <si>
    <t>https://dpmzos25m8ivg.cloudfront.net/Documentos/631/14167762730/6311416776273006092023022002.pdf</t>
  </si>
  <si>
    <t>https://dpmzos25m8ivg.cloudfront.net/Documentos/631/14180037602/6311418003760208092023190300.pdf</t>
  </si>
  <si>
    <t>https://dpmzos25m8ivg.cloudfront.net/Documentos/631/14180559641/6311418055964111092023162939.pdf</t>
  </si>
  <si>
    <t>https://dpmzos25m8ivg.cloudfront.net/Documentos/631/14182276680/6311418227668011092023100622.pdf</t>
  </si>
  <si>
    <t>https://dpmzos25m8ivg.cloudfront.net/Documentos/631/14194787617/6311419478761705092023174827.pdf</t>
  </si>
  <si>
    <t>https://dpmzos25m8ivg.cloudfront.net/Documentos/631/14197996730/6311419799673006092023204022.pdf</t>
  </si>
  <si>
    <t>https://dpmzos25m8ivg.cloudfront.net/Documentos/631/14203110858/6311420311085806092023172557.pdf</t>
  </si>
  <si>
    <t>https://dpmzos25m8ivg.cloudfront.net/Documentos/631/14215793670/6311421579367011092023113342.pdf</t>
  </si>
  <si>
    <t>https://dpmzos25m8ivg.cloudfront.net/Documentos/631/14217272774/6311421727277406092023103234.jpg</t>
  </si>
  <si>
    <t>https://dpmzos25m8ivg.cloudfront.net/Documentos/631/14225825825/6311422582582506092023114420.pdf</t>
  </si>
  <si>
    <t>https://dpmzos25m8ivg.cloudfront.net/Documentos/631/14231483639/6311423148363906092023152803.pdf</t>
  </si>
  <si>
    <t>https://dpmzos25m8ivg.cloudfront.net/Documentos/631/14240756618/6311424075661811092023164527.pdf</t>
  </si>
  <si>
    <t>https://dpmzos25m8ivg.cloudfront.net/Documentos/631/14241157874/6311424115787409092023234824.pdf</t>
  </si>
  <si>
    <t>https://dpmzos25m8ivg.cloudfront.net/Documentos/631/14241381758/6311424138175807092023181001.pdf</t>
  </si>
  <si>
    <t>https://dpmzos25m8ivg.cloudfront.net/Documentos/631/14243348707/6311424334870706092023150027.pdf</t>
  </si>
  <si>
    <t>https://dpmzos25m8ivg.cloudfront.net/Documentos/631/14253926606/6311425392660605092023150616.pdf</t>
  </si>
  <si>
    <t>https://dpmzos25m8ivg.cloudfront.net/Documentos/631/14256651446/6311425665144611092023142344.pdf</t>
  </si>
  <si>
    <t>https://dpmzos25m8ivg.cloudfront.net/Documentos/631/14260564609/6311426056460907092023164326.pdf</t>
  </si>
  <si>
    <t>https://dpmzos25m8ivg.cloudfront.net/Documentos/631/14270203617/6311427020361711092023142829.pdf</t>
  </si>
  <si>
    <t>https://dpmzos25m8ivg.cloudfront.net/Documentos/631/14278492693/6311427849269310092023235202.pdf</t>
  </si>
  <si>
    <t>https://dpmzos25m8ivg.cloudfront.net/Documentos/631/14289406777/6311428940677711092023134225.pdf</t>
  </si>
  <si>
    <t>https://dpmzos25m8ivg.cloudfront.net/Documentos/631/14292559600/6311429255960011092023102435.jpeg</t>
  </si>
  <si>
    <t>https://dpmzos25m8ivg.cloudfront.net/Documentos/631/14296089781/6311429608978105092023115607.jpeg</t>
  </si>
  <si>
    <t>https://dpmzos25m8ivg.cloudfront.net/Documentos/631/14299021673/6311429902167314092023162649.pdf</t>
  </si>
  <si>
    <t>https://dpmzos25m8ivg.cloudfront.net/Documentos/631/14301823425/6311430182342510092023194137.pdf</t>
  </si>
  <si>
    <t>https://dpmzos25m8ivg.cloudfront.net/Documentos/631/14303696633/6311430369663305092023225114.pdf</t>
  </si>
  <si>
    <t>https://dpmzos25m8ivg.cloudfront.net/Documentos/631/14309166725/6311430916672505092023140757.jpeg</t>
  </si>
  <si>
    <t>https://dpmzos25m8ivg.cloudfront.net/Documentos/631/14310273750/6311431027375011092023170810.jpeg</t>
  </si>
  <si>
    <t>https://dpmzos25m8ivg.cloudfront.net/Documentos/631/14316996835/6311431699683511092023134117.pdf</t>
  </si>
  <si>
    <t>https://dpmzos25m8ivg.cloudfront.net/Documentos/631/14317827697/6311431782769704092023211722.pdf</t>
  </si>
  <si>
    <t>https://dpmzos25m8ivg.cloudfront.net/Documentos/631/14329583720/6311432958372012092023223603.jpg</t>
  </si>
  <si>
    <t>https://dpmzos25m8ivg.cloudfront.net/Documentos/631/14329806614/6311432980661411092023094308.pdf</t>
  </si>
  <si>
    <t>https://dpmzos25m8ivg.cloudfront.net/Documentos/631/14333018730/6311433301873014092023140429.pdf</t>
  </si>
  <si>
    <t>https://dpmzos25m8ivg.cloudfront.net/Documentos/631/14333425883/6311433342588311092023114257.pdf</t>
  </si>
  <si>
    <t>https://dpmzos25m8ivg.cloudfront.net/Documentos/631/14351328665/6311435132866506092023101241.pdf</t>
  </si>
  <si>
    <t>https://dpmzos25m8ivg.cloudfront.net/Documentos/631/14363297603/6311436329760305092023051630.pdf</t>
  </si>
  <si>
    <t>https://dpmzos25m8ivg.cloudfront.net/Documentos/631/14365909657/6311436590965711092023154805.jpeg</t>
  </si>
  <si>
    <t>https://dpmzos25m8ivg.cloudfront.net/Documentos/631/14371749739/6311437174973909092023161357.pdf</t>
  </si>
  <si>
    <t>https://dpmzos25m8ivg.cloudfront.net/Documentos/631/14379455629/6311437945562905092023133540.pdf</t>
  </si>
  <si>
    <t>https://dpmzos25m8ivg.cloudfront.net/Documentos/631/14384782756/6311438478275611092023111513.jpeg</t>
  </si>
  <si>
    <t>https://dpmzos25m8ivg.cloudfront.net/Documentos/631/14389415875/6311438941587511092023130259.pdf</t>
  </si>
  <si>
    <t>https://dpmzos25m8ivg.cloudfront.net/Documentos/631/14389985701/6311438998570105092023143617.pdf</t>
  </si>
  <si>
    <t>https://dpmzos25m8ivg.cloudfront.net/Documentos/631/14396693680/6311439669368009092023164506.pdf</t>
  </si>
  <si>
    <t>https://dpmzos25m8ivg.cloudfront.net/Documentos/631/14403663737/6311440366373706092023222658.pdf</t>
  </si>
  <si>
    <t>https://dpmzos25m8ivg.cloudfront.net/Documentos/631/14406279750/6311440627975006092023152726.pdf</t>
  </si>
  <si>
    <t>https://dpmzos25m8ivg.cloudfront.net/Documentos/631/14410215663/6311441021566310092023161507.pdf</t>
  </si>
  <si>
    <t>https://dpmzos25m8ivg.cloudfront.net/Documentos/631/14413148657/6311441314865711092023122246.pdf</t>
  </si>
  <si>
    <t>https://dpmzos25m8ivg.cloudfront.net/Documentos/631/14416724608/6311441672460805092023100208.pdf</t>
  </si>
  <si>
    <t>https://dpmzos25m8ivg.cloudfront.net/Documentos/631/14418618660/6311441861866007092023170009.pdf</t>
  </si>
  <si>
    <t>https://dpmzos25m8ivg.cloudfront.net/Documentos/631/14423234696/6311442323469607092023204018.pdf</t>
  </si>
  <si>
    <t>https://dpmzos25m8ivg.cloudfront.net/Documentos/631/14427271790/6311442727179006092023114326.pdf</t>
  </si>
  <si>
    <t>https://dpmzos25m8ivg.cloudfront.net/Documentos/631/14427336671/6311442733667114092023165204.pdf</t>
  </si>
  <si>
    <t>https://dpmzos25m8ivg.cloudfront.net/Documentos/631/14431561757/6311443156175711092023160343.pdf</t>
  </si>
  <si>
    <t>https://dpmzos25m8ivg.cloudfront.net/Documentos/631/14434975684/6311443497568411092023143414.pdf</t>
  </si>
  <si>
    <t>https://dpmzos25m8ivg.cloudfront.net/Documentos/631/14440500790/6311444050079011092023171514.pdf</t>
  </si>
  <si>
    <t>https://dpmzos25m8ivg.cloudfront.net/Documentos/631/14441238665/6311444123866511092023090043.pdf</t>
  </si>
  <si>
    <t>https://dpmzos25m8ivg.cloudfront.net/Documentos/631/14446714643/6311444671464308092023112501.pdf</t>
  </si>
  <si>
    <t>https://dpmzos25m8ivg.cloudfront.net/Documentos/631/14449092740/6311444909274011092023151739.pdf</t>
  </si>
  <si>
    <t>https://dpmzos25m8ivg.cloudfront.net/Documentos/631/14457489670/6311445748967011092023164258.pdf</t>
  </si>
  <si>
    <t>https://dpmzos25m8ivg.cloudfront.net/Documentos/631/14464314520/6311446431452008092023200148.pdf</t>
  </si>
  <si>
    <t>https://dpmzos25m8ivg.cloudfront.net/Documentos/631/14465893744/6311446589374411092023141322.pdf</t>
  </si>
  <si>
    <t>https://dpmzos25m8ivg.cloudfront.net/Documentos/631/14492414762/6311449241476211092023074926.pdf</t>
  </si>
  <si>
    <t>https://dpmzos25m8ivg.cloudfront.net/Documentos/631/14495135651/6311449513565107092023181510.pdf</t>
  </si>
  <si>
    <t>https://dpmzos25m8ivg.cloudfront.net/Documentos/631/14517012760/6311451701276011092023151741.jpg</t>
  </si>
  <si>
    <t>https://dpmzos25m8ivg.cloudfront.net/Documentos/631/14523611424/6311452361142411092023074402.jpeg</t>
  </si>
  <si>
    <t>https://dpmzos25m8ivg.cloudfront.net/Documentos/631/14524632638/6311452463263809092023001427.pdf</t>
  </si>
  <si>
    <t>https://dpmzos25m8ivg.cloudfront.net/Documentos/631/14526688762/6311452668876211092023114838.jpg</t>
  </si>
  <si>
    <t>https://dpmzos25m8ivg.cloudfront.net/Documentos/631/14530256774/6311453025677406092023215947.jpeg</t>
  </si>
  <si>
    <t>https://dpmzos25m8ivg.cloudfront.net/Documentos/631/14534911718/6311453491171811092023164311.jpg</t>
  </si>
  <si>
    <t>https://dpmzos25m8ivg.cloudfront.net/Documentos/631/14554759717/6311455475971710092023194933.pdf</t>
  </si>
  <si>
    <t>https://dpmzos25m8ivg.cloudfront.net/Documentos/631/14564010760/6311456401076014092023133802.pdf</t>
  </si>
  <si>
    <t>https://dpmzos25m8ivg.cloudfront.net/Documentos/631/14571591632/6311457159163211092023155529.jpeg</t>
  </si>
  <si>
    <t>https://dpmzos25m8ivg.cloudfront.net/Documentos/631/14590144727/6311459014472705092023162431.jpg</t>
  </si>
  <si>
    <t>https://dpmzos25m8ivg.cloudfront.net/Documentos/631/14601594707/6311460159470705092023151658.pdf</t>
  </si>
  <si>
    <t>https://dpmzos25m8ivg.cloudfront.net/Documentos/631/14607302759/6311460730275907092023145533.jpg</t>
  </si>
  <si>
    <t>https://dpmzos25m8ivg.cloudfront.net/Documentos/631/14627276702/6311462727670212092023235614.pdf</t>
  </si>
  <si>
    <t>https://dpmzos25m8ivg.cloudfront.net/Documentos/631/14636471741/6311463647174110092023235812.pdf</t>
  </si>
  <si>
    <t>https://dpmzos25m8ivg.cloudfront.net/Documentos/631/14640320760/6311464032076008092023193126.jpeg</t>
  </si>
  <si>
    <t>https://dpmzos25m8ivg.cloudfront.net/Documentos/631/14669876775/6311466987677506092023204635.pdf</t>
  </si>
  <si>
    <t>https://dpmzos25m8ivg.cloudfront.net/Documentos/631/14678103805/6311467810380511092023104216.jpg</t>
  </si>
  <si>
    <t>https://dpmzos25m8ivg.cloudfront.net/Documentos/631/14678913637/6311467891363706092023172424.pdf</t>
  </si>
  <si>
    <t>https://dpmzos25m8ivg.cloudfront.net/Documentos/631/14686427827/6311468642782709092023135723.jpg</t>
  </si>
  <si>
    <t>https://dpmzos25m8ivg.cloudfront.net/Documentos/631/14713618705/6311471361870509092023174251.pdf</t>
  </si>
  <si>
    <t>https://dpmzos25m8ivg.cloudfront.net/Documentos/631/14716105601/6311471610560113092023202758.pdf</t>
  </si>
  <si>
    <t>https://dpmzos25m8ivg.cloudfront.net/Documentos/631/14722347824/6311472234782407092023135409.pdf</t>
  </si>
  <si>
    <t>https://dpmzos25m8ivg.cloudfront.net/Documentos/631/14725011797/6311472501179710092023121541.pdf</t>
  </si>
  <si>
    <t>https://dpmzos25m8ivg.cloudfront.net/Documentos/631/14727024764/6311472702476411092023163926.pdf</t>
  </si>
  <si>
    <t>https://dpmzos25m8ivg.cloudfront.net/Documentos/631/14727299780/6311472729978011092023141636.jpg</t>
  </si>
  <si>
    <t>https://dpmzos25m8ivg.cloudfront.net/Documentos/631/14732218709/6311473221870906092023110503.pdf</t>
  </si>
  <si>
    <t>https://dpmzos25m8ivg.cloudfront.net/Documentos/631/14733840870/6311473384087011092023140106.jpg</t>
  </si>
  <si>
    <t>https://dpmzos25m8ivg.cloudfront.net/Documentos/631/14734510865/6311473451086504092023225522.pdf</t>
  </si>
  <si>
    <t>https://dpmzos25m8ivg.cloudfront.net/Documentos/631/14735287639/6311473528763914092023163417.pdf</t>
  </si>
  <si>
    <t>https://dpmzos25m8ivg.cloudfront.net/Documentos/631/14736598840/6311473659884005092023223418.pdf</t>
  </si>
  <si>
    <t>https://dpmzos25m8ivg.cloudfront.net/Documentos/631/14766148738/6311476614873808092023133541.pdf</t>
  </si>
  <si>
    <t>https://dpmzos25m8ivg.cloudfront.net/Documentos/631/14783381640/6311478338164014092023164650.pdf</t>
  </si>
  <si>
    <t>https://dpmzos25m8ivg.cloudfront.net/Documentos/631/14785754761/6311478575476109092023135012.jpeg</t>
  </si>
  <si>
    <t>https://dpmzos25m8ivg.cloudfront.net/Documentos/631/14804632646/6311480463264611092023152603.pdf</t>
  </si>
  <si>
    <t>https://dpmzos25m8ivg.cloudfront.net/Documentos/631/14808300702/6311480830070214092023164248.jpeg</t>
  </si>
  <si>
    <t>https://dpmzos25m8ivg.cloudfront.net/Documentos/631/14809132781/6311480913278111092023151322.pdf</t>
  </si>
  <si>
    <t>https://dpmzos25m8ivg.cloudfront.net/Documentos/631/14812088534/6311481208853414092023161241.jpeg</t>
  </si>
  <si>
    <t>https://dpmzos25m8ivg.cloudfront.net/Documentos/631/14817480840/6311481748084011092023154151.pdf</t>
  </si>
  <si>
    <t>https://dpmzos25m8ivg.cloudfront.net/Documentos/631/14821243784/6311482124378405092023150802.pdf</t>
  </si>
  <si>
    <t>https://dpmzos25m8ivg.cloudfront.net/Documentos/631/14829077719/6311482907771912092023222301.jpg</t>
  </si>
  <si>
    <t>https://dpmzos25m8ivg.cloudfront.net/Documentos/631/14834810690/6311483481069011092023134457.pdf</t>
  </si>
  <si>
    <t>https://dpmzos25m8ivg.cloudfront.net/Documentos/631/14838587821/6311483858782111092023130328.pdf</t>
  </si>
  <si>
    <t>https://dpmzos25m8ivg.cloudfront.net/Documentos/631/14840684405/6311484068440511092023165417.jpeg</t>
  </si>
  <si>
    <t>https://dpmzos25m8ivg.cloudfront.net/Documentos/631/14846917762/6311484691776211092023124842.jpeg</t>
  </si>
  <si>
    <t>https://dpmzos25m8ivg.cloudfront.net/Documentos/631/14882014637/6311488201463709092023163023.pdf</t>
  </si>
  <si>
    <t>https://dpmzos25m8ivg.cloudfront.net/Documentos/631/14884066774/6311488406677405092023152243.pdf</t>
  </si>
  <si>
    <t>https://dpmzos25m8ivg.cloudfront.net/Documentos/631/14895078841/6311489507884110092023195158.pdf</t>
  </si>
  <si>
    <t>https://dpmzos25m8ivg.cloudfront.net/Documentos/631/14895585603/6311489558560305092023235225.pdf</t>
  </si>
  <si>
    <t>https://dpmzos25m8ivg.cloudfront.net/Documentos/631/14926168855/6311492616885513092023141956.jpg</t>
  </si>
  <si>
    <t>https://dpmzos25m8ivg.cloudfront.net/Documentos/631/14928196708/6311492819670805092023105447.pdf</t>
  </si>
  <si>
    <t>https://dpmzos25m8ivg.cloudfront.net/Documentos/631/14932457677/6311493245767713092023100358.pdf</t>
  </si>
  <si>
    <t>https://dpmzos25m8ivg.cloudfront.net/Documentos/631/14938463610/6311493846361014092023120422.pdf</t>
  </si>
  <si>
    <t>https://dpmzos25m8ivg.cloudfront.net/Documentos/631/14946868720/6311494686872013092023231243.jpg</t>
  </si>
  <si>
    <t>https://dpmzos25m8ivg.cloudfront.net/Documentos/631/14955418783/6311495541878310092023222711.pdf</t>
  </si>
  <si>
    <t>https://dpmzos25m8ivg.cloudfront.net/Documentos/631/14960303204/6311496030320411092023174358.jpeg</t>
  </si>
  <si>
    <t>https://dpmzos25m8ivg.cloudfront.net/Documentos/631/14969539758/6311496953975811092023111827.pdf</t>
  </si>
  <si>
    <t>https://dpmzos25m8ivg.cloudfront.net/Documentos/631/14975118793/6311497511879314092023164909.jpg</t>
  </si>
  <si>
    <t>https://dpmzos25m8ivg.cloudfront.net/Documentos/631/14992816681/6311499281668111092023084448.pdf</t>
  </si>
  <si>
    <t>https://dpmzos25m8ivg.cloudfront.net/Documentos/631/14992946623/6311499294662309092023142759.pdf</t>
  </si>
  <si>
    <t>https://dpmzos25m8ivg.cloudfront.net/Documentos/631/14995859500/6311499585950010092023200055.pdf</t>
  </si>
  <si>
    <t>https://dpmzos25m8ivg.cloudfront.net/Documentos/631/15007513679/6311500751367911092023141734.jpg</t>
  </si>
  <si>
    <t>https://dpmzos25m8ivg.cloudfront.net/Documentos/631/15028448698/6311502844869806092023094347.pdf</t>
  </si>
  <si>
    <t>https://dpmzos25m8ivg.cloudfront.net/Documentos/631/15030140883/6311503014088306092023211611.pdf</t>
  </si>
  <si>
    <t>https://dpmzos25m8ivg.cloudfront.net/Documentos/631/15040912722/6311504091272211092023153023.pdf</t>
  </si>
  <si>
    <t>https://dpmzos25m8ivg.cloudfront.net/Documentos/631/15057067699/6311505706769911092023114748.jpg</t>
  </si>
  <si>
    <t>https://dpmzos25m8ivg.cloudfront.net/Documentos/631/15063648703/6311506364870308092023191210.pdf</t>
  </si>
  <si>
    <t>https://dpmzos25m8ivg.cloudfront.net/Documentos/631/15068827657/6311506882765711092023082550.pdf</t>
  </si>
  <si>
    <t>https://dpmzos25m8ivg.cloudfront.net/Documentos/631/15078645748/6311507864574812092023224744.jpeg</t>
  </si>
  <si>
    <t>https://dpmzos25m8ivg.cloudfront.net/Documentos/631/15081129755/6311508112975511092023150022.pdf</t>
  </si>
  <si>
    <t>https://dpmzos25m8ivg.cloudfront.net/Documentos/631/15102174444/6311510217444410092023224133.pdf</t>
  </si>
  <si>
    <t>https://dpmzos25m8ivg.cloudfront.net/Documentos/631/15121342799/6311512134279910092023235429.jpeg</t>
  </si>
  <si>
    <t>https://dpmzos25m8ivg.cloudfront.net/Documentos/631/15122028788/6311512202878811092023160823.pdf</t>
  </si>
  <si>
    <t>https://dpmzos25m8ivg.cloudfront.net/Documentos/631/15134972788/6311513497278811092023095930.pdf</t>
  </si>
  <si>
    <t>https://dpmzos25m8ivg.cloudfront.net/Documentos/631/15136878673/6311513687867308092023141417.pdf</t>
  </si>
  <si>
    <t>https://dpmzos25m8ivg.cloudfront.net/Documentos/631/15142343786/6311514234378611092023131432.pdf</t>
  </si>
  <si>
    <t>https://dpmzos25m8ivg.cloudfront.net/Documentos/631/15148675756/6311514867575611092023155828.pdf</t>
  </si>
  <si>
    <t>https://dpmzos25m8ivg.cloudfront.net/Documentos/631/15152034689/6311515203468910092023212239.jpeg</t>
  </si>
  <si>
    <t>https://dpmzos25m8ivg.cloudfront.net/Documentos/631/15154196732/6311515419673211092023110548.jpeg</t>
  </si>
  <si>
    <t>https://dpmzos25m8ivg.cloudfront.net/Documentos/631/15155748658/6311515574865811092023104855.pdf</t>
  </si>
  <si>
    <t>https://dpmzos25m8ivg.cloudfront.net/Documentos/631/15161786701/6311516178670105092023162931.pdf</t>
  </si>
  <si>
    <t>https://dpmzos25m8ivg.cloudfront.net/Documentos/631/15168720706/6311516872070611092023145917.pdf</t>
  </si>
  <si>
    <t>https://dpmzos25m8ivg.cloudfront.net/Documentos/631/15168868797/6311516886879705092023191906.pdf</t>
  </si>
  <si>
    <t>https://dpmzos25m8ivg.cloudfront.net/Documentos/631/15169767706/6311516976770606092023204057.jpeg</t>
  </si>
  <si>
    <t>https://dpmzos25m8ivg.cloudfront.net/Documentos/631/15176912813/6311517691281305092023163419.pdf</t>
  </si>
  <si>
    <t>https://dpmzos25m8ivg.cloudfront.net/Documentos/631/15190384705/6311519038470511092023161632.jpg</t>
  </si>
  <si>
    <t>https://dpmzos25m8ivg.cloudfront.net/Documentos/631/15196345795/6311519634579511092023164306.jpeg</t>
  </si>
  <si>
    <t>https://dpmzos25m8ivg.cloudfront.net/Documentos/631/15199324640/6311519932464010092023214907.pdf</t>
  </si>
  <si>
    <t>https://dpmzos25m8ivg.cloudfront.net/Documentos/631/15206764680/6311520676468011092023150918.pdf</t>
  </si>
  <si>
    <t>https://dpmzos25m8ivg.cloudfront.net/Documentos/631/15220373730/6311522037373010092023222728.pdf</t>
  </si>
  <si>
    <t>https://dpmzos25m8ivg.cloudfront.net/Documentos/631/15239778680/6311523977868011092023121221.pdf</t>
  </si>
  <si>
    <t>https://dpmzos25m8ivg.cloudfront.net/Documentos/631/15240269726/6311524026972611092023153034.pdf</t>
  </si>
  <si>
    <t>https://dpmzos25m8ivg.cloudfront.net/Documentos/631/15243731765/6311524373176511092023150224.pdf</t>
  </si>
  <si>
    <t>https://dpmzos25m8ivg.cloudfront.net/Documentos/631/15263997841/6311526399784108092023092956.pdf</t>
  </si>
  <si>
    <t>https://dpmzos25m8ivg.cloudfront.net/Documentos/631/15278386681/6311527838668109092023210412.pdf</t>
  </si>
  <si>
    <t>https://dpmzos25m8ivg.cloudfront.net/Documentos/631/15281895745/6311528189574514092023090701.pdf</t>
  </si>
  <si>
    <t>https://dpmzos25m8ivg.cloudfront.net/Documentos/631/15301560760/6311530156076006092023165533.pdf</t>
  </si>
  <si>
    <t>https://dpmzos25m8ivg.cloudfront.net/Documentos/631/15313656716/6311531365671608092023132934.pdf</t>
  </si>
  <si>
    <t>https://dpmzos25m8ivg.cloudfront.net/Documentos/631/15319247788/6311531924778810092023224733.pdf</t>
  </si>
  <si>
    <t>https://dpmzos25m8ivg.cloudfront.net/Documentos/631/15327645703/6311532764570311092023115442.jpg</t>
  </si>
  <si>
    <t>https://dpmzos25m8ivg.cloudfront.net/Documentos/631/15341229665/6311534122966511092023132325.pdf</t>
  </si>
  <si>
    <t>https://dpmzos25m8ivg.cloudfront.net/Documentos/631/15350311743/6311535031174310092023222139.jpg</t>
  </si>
  <si>
    <t>https://dpmzos25m8ivg.cloudfront.net/Documentos/631/15358912703/6311535891270311092023134529.pdf</t>
  </si>
  <si>
    <t>https://dpmzos25m8ivg.cloudfront.net/Documentos/631/15374302620/6311537430262014092023152131.pdf</t>
  </si>
  <si>
    <t>https://dpmzos25m8ivg.cloudfront.net/Documentos/631/15395511725/6311539551172505092023115046.pdf</t>
  </si>
  <si>
    <t>https://dpmzos25m8ivg.cloudfront.net/Documentos/631/15398351621/6311539835162106092023100957.pdf</t>
  </si>
  <si>
    <t>https://dpmzos25m8ivg.cloudfront.net/Documentos/631/15400732623/6311540073262311092023140507.pdf</t>
  </si>
  <si>
    <t>https://dpmzos25m8ivg.cloudfront.net/Documentos/631/15405971723/6311540597172313092023182824.jpg</t>
  </si>
  <si>
    <t>https://dpmzos25m8ivg.cloudfront.net/Documentos/631/15413692706/6311541369270605092023132111.pdf</t>
  </si>
  <si>
    <t>https://dpmzos25m8ivg.cloudfront.net/Documentos/631/15439085785/6311543908578514092023134546.jpeg</t>
  </si>
  <si>
    <t>https://dpmzos25m8ivg.cloudfront.net/Documentos/631/15455953729/6311545595372911092023165245.pdf</t>
  </si>
  <si>
    <t>https://dpmzos25m8ivg.cloudfront.net/Documentos/631/15468760738/6311546876073810092023103501.jpg</t>
  </si>
  <si>
    <t>https://dpmzos25m8ivg.cloudfront.net/Documentos/631/15470456714/6311547045671411092023100340.pdf</t>
  </si>
  <si>
    <t>https://dpmzos25m8ivg.cloudfront.net/Documentos/631/15477403705/6311547740370511092023100159.pdf</t>
  </si>
  <si>
    <t>https://dpmzos25m8ivg.cloudfront.net/Documentos/631/15482312747/6311548231274709092023202356.pdf</t>
  </si>
  <si>
    <t>https://dpmzos25m8ivg.cloudfront.net/Documentos/631/15487771707/6311548777170711092023141435.jpeg</t>
  </si>
  <si>
    <t>https://dpmzos25m8ivg.cloudfront.net/Documentos/631/15489584688/6311548958468811092023144806.pdf</t>
  </si>
  <si>
    <t>https://dpmzos25m8ivg.cloudfront.net/Documentos/631/15500869795/6311550086979511092023162920.jpeg</t>
  </si>
  <si>
    <t>https://dpmzos25m8ivg.cloudfront.net/Documentos/631/15513919702/6311551391970207092023121613.jpg</t>
  </si>
  <si>
    <t>https://dpmzos25m8ivg.cloudfront.net/Documentos/631/15516944767/6311551694476711092023150031.pdf</t>
  </si>
  <si>
    <t>https://dpmzos25m8ivg.cloudfront.net/Documentos/631/15543322739/6311554332273914092023150328.pdf</t>
  </si>
  <si>
    <t>https://dpmzos25m8ivg.cloudfront.net/Documentos/631/15562804670/6311556280467011092023161750.pdf</t>
  </si>
  <si>
    <t>https://dpmzos25m8ivg.cloudfront.net/Documentos/631/15566168728/6311556616872810092023211923.pdf</t>
  </si>
  <si>
    <t>https://dpmzos25m8ivg.cloudfront.net/Documentos/631/15575710742/6311557571074214092023164213.pdf</t>
  </si>
  <si>
    <t>https://dpmzos25m8ivg.cloudfront.net/Documentos/631/15577879728/6311557787972811092023143931.jpeg</t>
  </si>
  <si>
    <t>https://dpmzos25m8ivg.cloudfront.net/Documentos/631/15588071603/6311558807160311092023152044.pdf</t>
  </si>
  <si>
    <t>https://dpmzos25m8ivg.cloudfront.net/Documentos/631/15591080618/6311559108061805092023115413.pdf</t>
  </si>
  <si>
    <t>https://dpmzos25m8ivg.cloudfront.net/Documentos/631/15592222718/6311559222271810092023011615.pdf</t>
  </si>
  <si>
    <t>https://dpmzos25m8ivg.cloudfront.net/Documentos/631/15604222623/6311560422262310092023234400.pdf</t>
  </si>
  <si>
    <t>https://dpmzos25m8ivg.cloudfront.net/Documentos/631/15606952777/6311560695277710092023192526.jpg</t>
  </si>
  <si>
    <t>https://dpmzos25m8ivg.cloudfront.net/Documentos/631/15612987609/6311561298760906092023120736.pdf</t>
  </si>
  <si>
    <t>https://dpmzos25m8ivg.cloudfront.net/Documentos/631/15623248705/6311562324870511092023074518.jpg</t>
  </si>
  <si>
    <t>https://dpmzos25m8ivg.cloudfront.net/Documentos/631/15624160739/6311562416073905092023181908.pdf</t>
  </si>
  <si>
    <t>https://dpmzos25m8ivg.cloudfront.net/Documentos/631/15629506811/6311562950681109092023154654.pdf</t>
  </si>
  <si>
    <t>https://dpmzos25m8ivg.cloudfront.net/Documentos/631/15645232763/6311564523276308092023113935.jpg</t>
  </si>
  <si>
    <t>https://dpmzos25m8ivg.cloudfront.net/Documentos/631/15658835607/6311565883560708092023090650.pdf</t>
  </si>
  <si>
    <t>https://dpmzos25m8ivg.cloudfront.net/Documentos/631/15660183743/6311566018374305092023085630.pdf</t>
  </si>
  <si>
    <t>https://dpmzos25m8ivg.cloudfront.net/Documentos/631/15661314809/6311566131480911092023140958.pdf</t>
  </si>
  <si>
    <t>https://dpmzos25m8ivg.cloudfront.net/Documentos/631/15670859707/6311567085970709092023171252.pdf</t>
  </si>
  <si>
    <t>https://dpmzos25m8ivg.cloudfront.net/Documentos/631/15688096705/6311568809670506092023114202.jpg</t>
  </si>
  <si>
    <t>https://dpmzos25m8ivg.cloudfront.net/Documentos/631/15697972776/6311569797277607092023173607.jpg</t>
  </si>
  <si>
    <t>https://dpmzos25m8ivg.cloudfront.net/Documentos/631/15711944797/6311571194479711092023102742.jpg</t>
  </si>
  <si>
    <t>https://dpmzos25m8ivg.cloudfront.net/Documentos/631/15716498752/6311571649875211092023142238.pdf</t>
  </si>
  <si>
    <t>https://dpmzos25m8ivg.cloudfront.net/Documentos/631/15717965761/6311571796576111092023121547.pdf</t>
  </si>
  <si>
    <t>https://dpmzos25m8ivg.cloudfront.net/Documentos/631/15723473689/6311572347368908092023114453.pdf</t>
  </si>
  <si>
    <t>https://dpmzos25m8ivg.cloudfront.net/Documentos/631/15725350754/6311572535075406092023125235.pdf</t>
  </si>
  <si>
    <t>https://dpmzos25m8ivg.cloudfront.net/Documentos/631/15730057709/6311573005770911092023102010.pdf</t>
  </si>
  <si>
    <t>https://dpmzos25m8ivg.cloudfront.net/Documentos/631/15753138632/6311575313863205092023172655.pdf</t>
  </si>
  <si>
    <t>https://dpmzos25m8ivg.cloudfront.net/Documentos/631/15754808755/6311575480875506092023130908.jpg</t>
  </si>
  <si>
    <t>https://dpmzos25m8ivg.cloudfront.net/Documentos/631/15760867717/6311576086771705092023170710.pdf</t>
  </si>
  <si>
    <t>https://dpmzos25m8ivg.cloudfront.net/Documentos/631/15760872800/6311576087280008092023104646.pdf</t>
  </si>
  <si>
    <t>https://dpmzos25m8ivg.cloudfront.net/Documentos/631/15760934767/6311576093476711092023120350.pdf</t>
  </si>
  <si>
    <t>https://dpmzos25m8ivg.cloudfront.net/Documentos/631/15765047785/6311576504778511092023112810.pdf</t>
  </si>
  <si>
    <t>https://dpmzos25m8ivg.cloudfront.net/Documentos/631/15767863741/6311576786374107092023191116.jpg</t>
  </si>
  <si>
    <t>https://dpmzos25m8ivg.cloudfront.net/Documentos/631/15768730648/6311576873064809092023164207.pdf</t>
  </si>
  <si>
    <t>https://dpmzos25m8ivg.cloudfront.net/Documentos/631/15772898892/6311577289889206092023092522.pdf</t>
  </si>
  <si>
    <t>https://dpmzos25m8ivg.cloudfront.net/Documentos/631/15774426793/6311577442679311092023153748.pdf</t>
  </si>
  <si>
    <t>https://dpmzos25m8ivg.cloudfront.net/Documentos/631/15780941785/6311578094178511092023081611.pdf</t>
  </si>
  <si>
    <t>https://dpmzos25m8ivg.cloudfront.net/Documentos/631/15781095748/6311578109574808092023175855.pdf</t>
  </si>
  <si>
    <t>https://dpmzos25m8ivg.cloudfront.net/Documentos/631/15782819898/6311578281989806092023174210.pdf</t>
  </si>
  <si>
    <t>https://dpmzos25m8ivg.cloudfront.net/Documentos/631/15790108733/6311579010873308092023223446.pdf</t>
  </si>
  <si>
    <t>https://dpmzos25m8ivg.cloudfront.net/Documentos/631/15811134630/6311581113463011092023144902.pdf</t>
  </si>
  <si>
    <t>https://dpmzos25m8ivg.cloudfront.net/Documentos/631/15816782746/6311581678274611092023161404.jpg</t>
  </si>
  <si>
    <t>https://dpmzos25m8ivg.cloudfront.net/Documentos/631/15846901603/6311584690160306092023094538.pdf</t>
  </si>
  <si>
    <t>https://dpmzos25m8ivg.cloudfront.net/Documentos/631/15883871780/6311588387178011092023131034.pdf</t>
  </si>
  <si>
    <t>https://dpmzos25m8ivg.cloudfront.net/Documentos/631/15884532784/6311588453278411092023122303.pdf</t>
  </si>
  <si>
    <t>https://dpmzos25m8ivg.cloudfront.net/Documentos/631/15888104701/6311588810470113092023112446.pdf</t>
  </si>
  <si>
    <t>https://dpmzos25m8ivg.cloudfront.net/Documentos/631/15897183724/6311589718372407092023200219.pdf</t>
  </si>
  <si>
    <t>https://dpmzos25m8ivg.cloudfront.net/Documentos/631/15914866707/6311591486670705092023225835.jpg</t>
  </si>
  <si>
    <t>https://dpmzos25m8ivg.cloudfront.net/Documentos/631/15923076802/6311592307680211092023160401.jpg</t>
  </si>
  <si>
    <t>https://dpmzos25m8ivg.cloudfront.net/Documentos/631/15946310771/6311594631077108092023100952.jpg</t>
  </si>
  <si>
    <t>https://dpmzos25m8ivg.cloudfront.net/Documentos/631/15994494712/6311599449471211092023164909.pdf</t>
  </si>
  <si>
    <t>https://dpmzos25m8ivg.cloudfront.net/Documentos/631/15999872790/6311599987279005092023010009.pdf</t>
  </si>
  <si>
    <t>https://dpmzos25m8ivg.cloudfront.net/Documentos/631/16008196724/6311600819672411092023165502.pdf</t>
  </si>
  <si>
    <t>https://dpmzos25m8ivg.cloudfront.net/Documentos/631/16009948738/6311600994873811092023150556.pdf</t>
  </si>
  <si>
    <t>https://dpmzos25m8ivg.cloudfront.net/Documentos/631/16024970870/6311602497087005092023231913.pdf</t>
  </si>
  <si>
    <t>https://dpmzos25m8ivg.cloudfront.net/Documentos/631/16025318549/6311602531854906092023170037.pdf</t>
  </si>
  <si>
    <t>https://dpmzos25m8ivg.cloudfront.net/Documentos/631/16030340727/6311603034072705092023193316.jpg</t>
  </si>
  <si>
    <t>https://dpmzos25m8ivg.cloudfront.net/Documentos/631/16034897700/6311603489770011092023160906.jpeg</t>
  </si>
  <si>
    <t>https://dpmzos25m8ivg.cloudfront.net/Documentos/631/16055460700/6311605546070011092023125523.pdf</t>
  </si>
  <si>
    <t>https://dpmzos25m8ivg.cloudfront.net/Documentos/631/16055742799/6311605574279909092023180400.pdf</t>
  </si>
  <si>
    <t>https://dpmzos25m8ivg.cloudfront.net/Documentos/631/16058190770/6311605819077014092023003753.jpeg</t>
  </si>
  <si>
    <t>https://dpmzos25m8ivg.cloudfront.net/Documentos/631/16071890624/6311607189062411092023093904.pdf</t>
  </si>
  <si>
    <t>https://dpmzos25m8ivg.cloudfront.net/Documentos/631/16072444709/6311607244470906092023110051.pdf</t>
  </si>
  <si>
    <t>https://dpmzos25m8ivg.cloudfront.net/Documentos/631/16074390770/6311607439077011092023114327.pdf</t>
  </si>
  <si>
    <t>https://dpmzos25m8ivg.cloudfront.net/Documentos/631/16088740876/6311608874087611092023165840.pdf</t>
  </si>
  <si>
    <t>https://dpmzos25m8ivg.cloudfront.net/Documentos/631/16090557641/6311609055764107092023131921.pdf</t>
  </si>
  <si>
    <t>https://dpmzos25m8ivg.cloudfront.net/Documentos/631/16097231717/6311609723171711092023165410.jpeg</t>
  </si>
  <si>
    <t>https://dpmzos25m8ivg.cloudfront.net/Documentos/631/16117968817/6311611796881705092023134511.jpg</t>
  </si>
  <si>
    <t>https://dpmzos25m8ivg.cloudfront.net/Documentos/631/16128741770/6311612874177011092023135221.pdf</t>
  </si>
  <si>
    <t>https://dpmzos25m8ivg.cloudfront.net/Documentos/631/16133665742/6311613366574211092023145001.pdf</t>
  </si>
  <si>
    <t>https://dpmzos25m8ivg.cloudfront.net/Documentos/631/16135389793/6311613538979311092023123206.pdf</t>
  </si>
  <si>
    <t>https://dpmzos25m8ivg.cloudfront.net/Documentos/631/16155432449/6311615543244911092023114012.pdf</t>
  </si>
  <si>
    <t>https://dpmzos25m8ivg.cloudfront.net/Documentos/631/16167179719/6311616717971907092023143408.jpeg</t>
  </si>
  <si>
    <t>https://dpmzos25m8ivg.cloudfront.net/Documentos/631/16170356707/6311617035670707092023182728.pdf</t>
  </si>
  <si>
    <t>https://dpmzos25m8ivg.cloudfront.net/Documentos/631/16174754758/6311617475475813092023164006.pdf</t>
  </si>
  <si>
    <t>https://dpmzos25m8ivg.cloudfront.net/Documentos/631/16175970748/6311617597074806092023171243.jpeg</t>
  </si>
  <si>
    <t>https://dpmzos25m8ivg.cloudfront.net/Documentos/631/16179278725/6311617927872511092023113647.pdf</t>
  </si>
  <si>
    <t>https://dpmzos25m8ivg.cloudfront.net/Documentos/631/16184158759/6311618415875908092023181616.pdf</t>
  </si>
  <si>
    <t>https://dpmzos25m8ivg.cloudfront.net/Documentos/631/16195919799/6311619591979911092023154353.pdf</t>
  </si>
  <si>
    <t>https://dpmzos25m8ivg.cloudfront.net/Documentos/631/16203132780/6311620313278011092023152915.jpg</t>
  </si>
  <si>
    <t>https://dpmzos25m8ivg.cloudfront.net/Documentos/631/16210968740/6311621096874011092023151828.pdf</t>
  </si>
  <si>
    <t>https://dpmzos25m8ivg.cloudfront.net/Documentos/631/16212314705/6311621231470510092023193740.pdf</t>
  </si>
  <si>
    <t>https://dpmzos25m8ivg.cloudfront.net/Documentos/631/16212404798/6311621240479811092023112300.jpeg</t>
  </si>
  <si>
    <t>https://dpmzos25m8ivg.cloudfront.net/Documentos/631/16243189759/6311624318975911092023160802.pdf</t>
  </si>
  <si>
    <t>https://dpmzos25m8ivg.cloudfront.net/Documentos/631/16251252677/6311625125267711092023153931.pdf</t>
  </si>
  <si>
    <t>https://dpmzos25m8ivg.cloudfront.net/Documentos/631/16254644797/6311625464479714092023113343.pdf</t>
  </si>
  <si>
    <t>https://dpmzos25m8ivg.cloudfront.net/Documentos/631/16257760801/6311625776080106092023092533.jpeg</t>
  </si>
  <si>
    <t>https://dpmzos25m8ivg.cloudfront.net/Documentos/631/16263237716/6311626323771605092023164321.jpeg</t>
  </si>
  <si>
    <t>https://dpmzos25m8ivg.cloudfront.net/Documentos/631/16266613670/6311626661367005092023224925.jpeg</t>
  </si>
  <si>
    <t>https://dpmzos25m8ivg.cloudfront.net/Documentos/631/16296522703/6311629652270306092023095510.pdf</t>
  </si>
  <si>
    <t>https://dpmzos25m8ivg.cloudfront.net/Documentos/631/16302063698/6311630206369811092023152512.jpg</t>
  </si>
  <si>
    <t>https://dpmzos25m8ivg.cloudfront.net/Documentos/631/16307168714/6311630716871410092023195840.pdf</t>
  </si>
  <si>
    <t>https://dpmzos25m8ivg.cloudfront.net/Documentos/631/16309116746/6311630911674610092023163736.jpg</t>
  </si>
  <si>
    <t>https://dpmzos25m8ivg.cloudfront.net/Documentos/631/16323490862/6311632349086211092023104223.jpg</t>
  </si>
  <si>
    <t>https://dpmzos25m8ivg.cloudfront.net/Documentos/631/16338710707/6311633871070710092023182419.pdf</t>
  </si>
  <si>
    <t>https://dpmzos25m8ivg.cloudfront.net/Documentos/631/16356438304/6311635643830412092023213000.jpg</t>
  </si>
  <si>
    <t>https://dpmzos25m8ivg.cloudfront.net/Documentos/631/16368732784/6311636873278411092023153250.jpg</t>
  </si>
  <si>
    <t>https://dpmzos25m8ivg.cloudfront.net/Documentos/631/16376642730/6311637664273011092023164729.pdf</t>
  </si>
  <si>
    <t>https://dpmzos25m8ivg.cloudfront.net/Documentos/631/16379793712/6311637979371210092023184551.pdf</t>
  </si>
  <si>
    <t>https://dpmzos25m8ivg.cloudfront.net/Documentos/631/16383556738/6311638355673808092023202217.pdf</t>
  </si>
  <si>
    <t>https://dpmzos25m8ivg.cloudfront.net/Documentos/631/16408234763/6311640823476311092023165121.jpg</t>
  </si>
  <si>
    <t>https://dpmzos25m8ivg.cloudfront.net/Documentos/631/16409425805/6311640942580511092023150823.pdf</t>
  </si>
  <si>
    <t>https://dpmzos25m8ivg.cloudfront.net/Documentos/631/16413670754/6311641367075405092023102913.pdf</t>
  </si>
  <si>
    <t>https://dpmzos25m8ivg.cloudfront.net/Documentos/631/16450200707/6311645020070705092023123556.pdf</t>
  </si>
  <si>
    <t>https://dpmzos25m8ivg.cloudfront.net/Documentos/631/16462138742/6311646213874210092023174622.jpg</t>
  </si>
  <si>
    <t>https://dpmzos25m8ivg.cloudfront.net/Documentos/631/16466674843/6311646667484307092023213758.pdf</t>
  </si>
  <si>
    <t>https://dpmzos25m8ivg.cloudfront.net/Documentos/631/16472268649/6311647226864914092023160717.pdf</t>
  </si>
  <si>
    <t>https://dpmzos25m8ivg.cloudfront.net/Documentos/631/16477171759/6311647717175905092023093104.pdf</t>
  </si>
  <si>
    <t>https://dpmzos25m8ivg.cloudfront.net/Documentos/631/16480188748/6311648018874811092023145854.pdf</t>
  </si>
  <si>
    <t>https://dpmzos25m8ivg.cloudfront.net/Documentos/631/16480488709/6311648048870911092023122035.pdf</t>
  </si>
  <si>
    <t>https://dpmzos25m8ivg.cloudfront.net/Documentos/631/16481740860/6311648174086005092023110028.pdf</t>
  </si>
  <si>
    <t>https://dpmzos25m8ivg.cloudfront.net/Documentos/631/16506071729/6311650607172911092023161720.pdf</t>
  </si>
  <si>
    <t>https://dpmzos25m8ivg.cloudfront.net/Documentos/631/16519325813/6311651932581306092023183018.pdf</t>
  </si>
  <si>
    <t>https://dpmzos25m8ivg.cloudfront.net/Documentos/631/16522763788/6311652276378811092023120347.pdf</t>
  </si>
  <si>
    <t>https://dpmzos25m8ivg.cloudfront.net/Documentos/631/16530402705/6311653040270510092023230927.pdf</t>
  </si>
  <si>
    <t>https://dpmzos25m8ivg.cloudfront.net/Documentos/631/16532180378/6311653218037811092023135046.pdf</t>
  </si>
  <si>
    <t>https://dpmzos25m8ivg.cloudfront.net/Documentos/631/16536362705/6311653636270511092023124640.pdf</t>
  </si>
  <si>
    <t>https://dpmzos25m8ivg.cloudfront.net/Documentos/631/16568707899/6311656870789911092023152512.pdf</t>
  </si>
  <si>
    <t>https://dpmzos25m8ivg.cloudfront.net/Documentos/631/16570918729/6311657091872914092023020954.pdf</t>
  </si>
  <si>
    <t>https://dpmzos25m8ivg.cloudfront.net/Documentos/631/16610331723/6311661033172311092023125109.pdf</t>
  </si>
  <si>
    <t>https://dpmzos25m8ivg.cloudfront.net/Documentos/631/16652697742/6311665269774210092023190831.jpeg</t>
  </si>
  <si>
    <t>https://dpmzos25m8ivg.cloudfront.net/Documentos/631/16685934751/6311668593475109092023094836.pdf</t>
  </si>
  <si>
    <t>https://dpmzos25m8ivg.cloudfront.net/Documentos/631/16687495720/6311668749572011092023091039.pdf</t>
  </si>
  <si>
    <t>https://dpmzos25m8ivg.cloudfront.net/Documentos/631/16712657776/6311671265777613092023135104.pdf</t>
  </si>
  <si>
    <t>https://dpmzos25m8ivg.cloudfront.net/Documentos/631/16718576743/6311671857674308092023175118.pdf</t>
  </si>
  <si>
    <t>https://dpmzos25m8ivg.cloudfront.net/Documentos/631/16727654719/6311672765471910092023211531.pdf</t>
  </si>
  <si>
    <t>https://dpmzos25m8ivg.cloudfront.net/Documentos/631/16739829721/6311673982972110092023220935.pdf</t>
  </si>
  <si>
    <t>https://dpmzos25m8ivg.cloudfront.net/Documentos/631/16745307731/6311674530773111092023170155.jpeg</t>
  </si>
  <si>
    <t>https://dpmzos25m8ivg.cloudfront.net/Documentos/631/16755171778/6311675517177811092023132707.jpeg</t>
  </si>
  <si>
    <t>https://dpmzos25m8ivg.cloudfront.net/Documentos/631/16763455828/6311676345582808092023165208.pdf</t>
  </si>
  <si>
    <t>https://dpmzos25m8ivg.cloudfront.net/Documentos/631/16792475149/6311679247514914092023103755.pdf</t>
  </si>
  <si>
    <t>https://dpmzos25m8ivg.cloudfront.net/Documentos/631/16803231801/6311680323180106092023003113.pdf</t>
  </si>
  <si>
    <t>https://dpmzos25m8ivg.cloudfront.net/Documentos/631/16809279733/6311680927973308092023152538.pdf</t>
  </si>
  <si>
    <t>https://dpmzos25m8ivg.cloudfront.net/Documentos/631/16815822796/6311681582279611092023161403.jpeg</t>
  </si>
  <si>
    <t>https://dpmzos25m8ivg.cloudfront.net/Documentos/631/16817688795/6311681768879511092023134255.pdf</t>
  </si>
  <si>
    <t>https://dpmzos25m8ivg.cloudfront.net/Documentos/631/16843688713/6311684368871305092023084355.pdf</t>
  </si>
  <si>
    <t>https://dpmzos25m8ivg.cloudfront.net/Documentos/631/16849512757/6311684951275711092023165547.pdf</t>
  </si>
  <si>
    <t>https://dpmzos25m8ivg.cloudfront.net/Documentos/631/16895698752/6311689569875205092023170634.pdf</t>
  </si>
  <si>
    <t>https://dpmzos25m8ivg.cloudfront.net/Documentos/631/16898929780/6311689892978010092023213149.jpg</t>
  </si>
  <si>
    <t>https://dpmzos25m8ivg.cloudfront.net/Documentos/631/16914939705/6311691493970506092023104745.pdf</t>
  </si>
  <si>
    <t>https://dpmzos25m8ivg.cloudfront.net/Documentos/631/16914981817/6311691498181708092023131319.pdf</t>
  </si>
  <si>
    <t>https://dpmzos25m8ivg.cloudfront.net/Documentos/631/16923601754/6311692360175408092023153954.pdf</t>
  </si>
  <si>
    <t>https://dpmzos25m8ivg.cloudfront.net/Documentos/631/16924667716/6311692466771605092023203937.pdf</t>
  </si>
  <si>
    <t>https://dpmzos25m8ivg.cloudfront.net/Documentos/631/16947587700/6311694758770011092023165306.pdf</t>
  </si>
  <si>
    <t>https://dpmzos25m8ivg.cloudfront.net/Documentos/631/16950511817/6311695051181711092023114814.jpg</t>
  </si>
  <si>
    <t>https://dpmzos25m8ivg.cloudfront.net/Documentos/631/16953907762/6311695390776210092023145317.pdf</t>
  </si>
  <si>
    <t>https://dpmzos25m8ivg.cloudfront.net/Documentos/631/16961517676/6311696151767613092023232214.pdf</t>
  </si>
  <si>
    <t>https://dpmzos25m8ivg.cloudfront.net/Documentos/631/16968768771/6311696876877107092023214929.jpg</t>
  </si>
  <si>
    <t>https://dpmzos25m8ivg.cloudfront.net/Documentos/631/16972658713/6311697265871310092023223222.jpeg</t>
  </si>
  <si>
    <t>https://dpmzos25m8ivg.cloudfront.net/Documentos/631/16980799746/6311698079974610092023205956.pdf</t>
  </si>
  <si>
    <t>https://dpmzos25m8ivg.cloudfront.net/Documentos/631/16989354712/6311698935471214092023162420.pdf</t>
  </si>
  <si>
    <t>https://dpmzos25m8ivg.cloudfront.net/Documentos/631/16990664770/6311699066477011092023144444.pdf</t>
  </si>
  <si>
    <t>https://dpmzos25m8ivg.cloudfront.net/Documentos/631/16990807717/6311699080771711092023142939.pdf</t>
  </si>
  <si>
    <t>https://dpmzos25m8ivg.cloudfront.net/Documentos/631/16990834790/6311699083479005092023230923.jpeg</t>
  </si>
  <si>
    <t>https://dpmzos25m8ivg.cloudfront.net/Documentos/631/16991433748/6311699143374811092023161736.jpeg</t>
  </si>
  <si>
    <t>https://dpmzos25m8ivg.cloudfront.net/Documentos/631/17002727800/6311700272780006092023003205.pdf</t>
  </si>
  <si>
    <t>https://dpmzos25m8ivg.cloudfront.net/Documentos/631/17006544700/6311700654470006092023200532.pdf</t>
  </si>
  <si>
    <t>https://dpmzos25m8ivg.cloudfront.net/Documentos/631/17020550789/6311702055078905092023121537.pdf</t>
  </si>
  <si>
    <t>https://dpmzos25m8ivg.cloudfront.net/Documentos/631/17028346706/6311702834670611092023094123.pdf</t>
  </si>
  <si>
    <t>https://dpmzos25m8ivg.cloudfront.net/Documentos/631/17029540727/6311702954072707092023075906.pdf</t>
  </si>
  <si>
    <t>https://dpmzos25m8ivg.cloudfront.net/Documentos/631/17032330770/6311703233077011092023130915.pdf</t>
  </si>
  <si>
    <t>https://dpmzos25m8ivg.cloudfront.net/Documentos/631/17035831754/6311703583175411092023162240.jpg</t>
  </si>
  <si>
    <t>https://dpmzos25m8ivg.cloudfront.net/Documentos/631/17036572841/6311703657284105092023150851.pdf</t>
  </si>
  <si>
    <t>https://dpmzos25m8ivg.cloudfront.net/Documentos/631/17072988823/6311707298882311092023161932.pdf</t>
  </si>
  <si>
    <t>https://dpmzos25m8ivg.cloudfront.net/Documentos/631/17083097720/6311708309772007092023130222.jpg</t>
  </si>
  <si>
    <t>https://dpmzos25m8ivg.cloudfront.net/Documentos/631/17083714789/6311708371478908092023174110.pdf</t>
  </si>
  <si>
    <t>https://dpmzos25m8ivg.cloudfront.net/Documentos/631/17083962766/6311708396276610092023180518.pdf</t>
  </si>
  <si>
    <t>https://dpmzos25m8ivg.cloudfront.net/Documentos/631/17095141754/6311709514175405092023211928.pdf</t>
  </si>
  <si>
    <t>https://dpmzos25m8ivg.cloudfront.net/Documentos/631/17100934710/6311710093471011092023105612.pdf</t>
  </si>
  <si>
    <t>https://dpmzos25m8ivg.cloudfront.net/Documentos/631/17110741877/6311711074187714092023150134.pdf</t>
  </si>
  <si>
    <t>https://dpmzos25m8ivg.cloudfront.net/Documentos/631/17131411752/6311713141175211092023090106.pdf</t>
  </si>
  <si>
    <t>https://dpmzos25m8ivg.cloudfront.net/Documentos/631/17132104799/6311713210479907092023140713.pdf</t>
  </si>
  <si>
    <t>https://dpmzos25m8ivg.cloudfront.net/Documentos/631/17150265782/6311715026578211092023160706.pdf</t>
  </si>
  <si>
    <t>https://dpmzos25m8ivg.cloudfront.net/Documentos/631/17154602783/6311715460278304092023230640.pdf</t>
  </si>
  <si>
    <t>https://dpmzos25m8ivg.cloudfront.net/Documentos/631/17171991865/6311717199186508092023164745.pdf</t>
  </si>
  <si>
    <t>https://dpmzos25m8ivg.cloudfront.net/Documentos/631/17177628754/6311717762875410092023125917.pdf</t>
  </si>
  <si>
    <t>https://dpmzos25m8ivg.cloudfront.net/Documentos/631/17221845743/6311722184574305092023132929.jpg</t>
  </si>
  <si>
    <t>https://dpmzos25m8ivg.cloudfront.net/Documentos/631/17226009773/6311722600977310092023135532.pdf</t>
  </si>
  <si>
    <t>https://dpmzos25m8ivg.cloudfront.net/Documentos/631/17245089701/6311724508970105092023215049.jpeg</t>
  </si>
  <si>
    <t>https://dpmzos25m8ivg.cloudfront.net/Documentos/631/17247875780/6311724787578006092023120523.pdf</t>
  </si>
  <si>
    <t>https://dpmzos25m8ivg.cloudfront.net/Documentos/631/17264533751/6311726453375107092023173638.pdf</t>
  </si>
  <si>
    <t>https://dpmzos25m8ivg.cloudfront.net/Documentos/631/17305566802/6311730556680211092023113134.pdf</t>
  </si>
  <si>
    <t>https://dpmzos25m8ivg.cloudfront.net/Documentos/631/17306724770/6311730672477011092023130302.pdf</t>
  </si>
  <si>
    <t>https://dpmzos25m8ivg.cloudfront.net/Documentos/631/17325543824/6311732554382414092023114450.jpg</t>
  </si>
  <si>
    <t>https://dpmzos25m8ivg.cloudfront.net/Documentos/631/17333084744/6311733308474405092023174049.pdf</t>
  </si>
  <si>
    <t>https://dpmzos25m8ivg.cloudfront.net/Documentos/631/17348624758/6311734862475811092023162156.jpg</t>
  </si>
  <si>
    <t>https://dpmzos25m8ivg.cloudfront.net/Documentos/631/17351242739/6311735124273911092023152056.pdf</t>
  </si>
  <si>
    <t>https://dpmzos25m8ivg.cloudfront.net/Documentos/631/17353146761/6311735314676106092023162735.pdf</t>
  </si>
  <si>
    <t>https://dpmzos25m8ivg.cloudfront.net/Documentos/631/17357561720/6311735756172011092023170159.pdf</t>
  </si>
  <si>
    <t>https://dpmzos25m8ivg.cloudfront.net/Documentos/631/17374432798/6311737443279811092023150438.jpg</t>
  </si>
  <si>
    <t>https://dpmzos25m8ivg.cloudfront.net/Documentos/631/17378906743/6311737890674306092023100348.pdf</t>
  </si>
  <si>
    <t>https://dpmzos25m8ivg.cloudfront.net/Documentos/631/17400313770/6311740031377011092023121117.pdf</t>
  </si>
  <si>
    <t>https://dpmzos25m8ivg.cloudfront.net/Documentos/631/17420461775/6311742046177507092023094623.pdf</t>
  </si>
  <si>
    <t>https://dpmzos25m8ivg.cloudfront.net/Documentos/631/17422414766/6311742241476608092023160709.pdf</t>
  </si>
  <si>
    <t>https://dpmzos25m8ivg.cloudfront.net/Documentos/631/17445262733/6311744526273311092023122638.pdf</t>
  </si>
  <si>
    <t>https://dpmzos25m8ivg.cloudfront.net/Documentos/631/17445292721/6311744529272108092023110935.pdf</t>
  </si>
  <si>
    <t>https://dpmzos25m8ivg.cloudfront.net/Documentos/631/17480323808/6311748032380806092023142100.pdf</t>
  </si>
  <si>
    <t>https://dpmzos25m8ivg.cloudfront.net/Documentos/631/17509314780/6311750931478011092023141606.pdf</t>
  </si>
  <si>
    <t>https://dpmzos25m8ivg.cloudfront.net/Documentos/631/17533729846/6311753372984608092023151201.pdf</t>
  </si>
  <si>
    <t>https://dpmzos25m8ivg.cloudfront.net/Documentos/631/17540391707/6311754039170711092023143116.pdf</t>
  </si>
  <si>
    <t>https://dpmzos25m8ivg.cloudfront.net/Documentos/631/17549194726/6311754919472611092023145635.pdf</t>
  </si>
  <si>
    <t>https://dpmzos25m8ivg.cloudfront.net/Documentos/631/17555458780/6311755545878013092023221556.pdf</t>
  </si>
  <si>
    <t>https://dpmzos25m8ivg.cloudfront.net/Documentos/631/17572725775/6311757272577511092023070057.pdf</t>
  </si>
  <si>
    <t>https://dpmzos25m8ivg.cloudfront.net/Documentos/631/17590532878/6311759053287805092023204725.pdf</t>
  </si>
  <si>
    <t>https://dpmzos25m8ivg.cloudfront.net/Documentos/631/17591815792/6311759181579206092023143423.pdf</t>
  </si>
  <si>
    <t>https://dpmzos25m8ivg.cloudfront.net/Documentos/631/17603504783/6311760350478306092023093914.jpg</t>
  </si>
  <si>
    <t>https://dpmzos25m8ivg.cloudfront.net/Documentos/631/17609767760/6311760976776009092023232507.pdf</t>
  </si>
  <si>
    <t>https://dpmzos25m8ivg.cloudfront.net/Documentos/631/17620331867/6311762033186711092023162117.jpg</t>
  </si>
  <si>
    <t>https://dpmzos25m8ivg.cloudfront.net/Documentos/631/17623418831/6311762341883105092023220324.pdf</t>
  </si>
  <si>
    <t>https://dpmzos25m8ivg.cloudfront.net/Documentos/631/17638781716/6311763878171611092023160636.pdf</t>
  </si>
  <si>
    <t>https://dpmzos25m8ivg.cloudfront.net/Documentos/631/17704657747/6311770465774713092023100502.jpeg</t>
  </si>
  <si>
    <t>https://dpmzos25m8ivg.cloudfront.net/Documentos/631/17750694781/6311775069478108092023014442.pdf</t>
  </si>
  <si>
    <t>https://dpmzos25m8ivg.cloudfront.net/Documentos/631/17755038793/6311775503879311092023134108.jpeg</t>
  </si>
  <si>
    <t>https://dpmzos25m8ivg.cloudfront.net/Documentos/631/17762433740/6311776243374011092023164320.pdf</t>
  </si>
  <si>
    <t>https://dpmzos25m8ivg.cloudfront.net/Documentos/631/17787191716/6311778719171611092023145700.pdf</t>
  </si>
  <si>
    <t>https://dpmzos25m8ivg.cloudfront.net/Documentos/631/17788065706/6311778806570605092023094741.pdf</t>
  </si>
  <si>
    <t>https://dpmzos25m8ivg.cloudfront.net/Documentos/631/17798860711/6311779886071111092023125206.jpg</t>
  </si>
  <si>
    <t>https://dpmzos25m8ivg.cloudfront.net/Documentos/631/17872835770/6311787283577011092023163301.pdf</t>
  </si>
  <si>
    <t>https://dpmzos25m8ivg.cloudfront.net/Documentos/631/17875939755/6311787593975510092023221521.pdf</t>
  </si>
  <si>
    <t>https://dpmzos25m8ivg.cloudfront.net/Documentos/631/17888945708/6311788894570810092023115116.pdf</t>
  </si>
  <si>
    <t>https://dpmzos25m8ivg.cloudfront.net/Documentos/631/17896595745/6311789659574511092023164741.pdf</t>
  </si>
  <si>
    <t>https://dpmzos25m8ivg.cloudfront.net/Documentos/631/17912260781/6311791226078114092023161250.jpeg</t>
  </si>
  <si>
    <t>https://dpmzos25m8ivg.cloudfront.net/Documentos/631/17942228711/6311794222871106092023005030.pdf</t>
  </si>
  <si>
    <t>https://dpmzos25m8ivg.cloudfront.net/Documentos/631/17986373750/6311798637375010092023135345.jpeg</t>
  </si>
  <si>
    <t>https://dpmzos25m8ivg.cloudfront.net/Documentos/631/17999223751/6311799922375106092023171334.jpeg</t>
  </si>
  <si>
    <t>https://dpmzos25m8ivg.cloudfront.net/Documentos/631/18003453801/6311800345380107092023110921.pdf</t>
  </si>
  <si>
    <t>https://dpmzos25m8ivg.cloudfront.net/Documentos/631/18007771751/6311800777175105092023210912.jpg</t>
  </si>
  <si>
    <t>https://dpmzos25m8ivg.cloudfront.net/Documentos/631/18009127736/6311800912773606092023152640.pdf</t>
  </si>
  <si>
    <t>https://dpmzos25m8ivg.cloudfront.net/Documentos/631/18026980867/6311802698086707092023162721.pdf</t>
  </si>
  <si>
    <t>https://dpmzos25m8ivg.cloudfront.net/Documentos/631/18029220758/6311802922075812092023183418.jpg</t>
  </si>
  <si>
    <t>https://dpmzos25m8ivg.cloudfront.net/Documentos/631/18072845810/6311807284581011092023162037.pdf</t>
  </si>
  <si>
    <t>https://dpmzos25m8ivg.cloudfront.net/Documentos/631/18124934797/6311812493479711092023143849.pdf</t>
  </si>
  <si>
    <t>https://dpmzos25m8ivg.cloudfront.net/Documentos/631/18164606804/6311816460680407092023222723.pdf</t>
  </si>
  <si>
    <t>https://dpmzos25m8ivg.cloudfront.net/Documentos/631/18164955736/6311816495573607092023204043.pdf</t>
  </si>
  <si>
    <t>https://dpmzos25m8ivg.cloudfront.net/Documentos/631/18167907708/6311816790770811092023143645.jpeg</t>
  </si>
  <si>
    <t>https://dpmzos25m8ivg.cloudfront.net/Documentos/631/18204706790/6311820470679010092023165241.pdf</t>
  </si>
  <si>
    <t>https://dpmzos25m8ivg.cloudfront.net/Documentos/631/18213102762/6311821310276210092023234215.pdf</t>
  </si>
  <si>
    <t>https://dpmzos25m8ivg.cloudfront.net/Documentos/631/18223384841/6311822338484111092023150907.pdf</t>
  </si>
  <si>
    <t>https://dpmzos25m8ivg.cloudfront.net/Documentos/631/18227702899/6311822770289911092023121225.jpg</t>
  </si>
  <si>
    <t>https://dpmzos25m8ivg.cloudfront.net/Documentos/631/18242196796/6311824219679610092023231249.pdf</t>
  </si>
  <si>
    <t>https://dpmzos25m8ivg.cloudfront.net/Documentos/631/18242777764/6311824277776411092023153834.pdf</t>
  </si>
  <si>
    <t>https://dpmzos25m8ivg.cloudfront.net/Documentos/631/18250820738/6311825082073811092023163158.pdf</t>
  </si>
  <si>
    <t>https://dpmzos25m8ivg.cloudfront.net/Documentos/631/18282769797/6311828276979711092023095014.pdf</t>
  </si>
  <si>
    <t>https://dpmzos25m8ivg.cloudfront.net/Documentos/631/18287851726/6311828785172605092023115745.pdf</t>
  </si>
  <si>
    <t>https://dpmzos25m8ivg.cloudfront.net/Documentos/631/18298914724/6311829891472405092023160656.jpg</t>
  </si>
  <si>
    <t>https://dpmzos25m8ivg.cloudfront.net/Documentos/631/18300032754/6311830003275411092023154617.jpeg</t>
  </si>
  <si>
    <t>https://dpmzos25m8ivg.cloudfront.net/Documentos/631/18311401870/6311831140187006092023112840.pdf</t>
  </si>
  <si>
    <t>https://dpmzos25m8ivg.cloudfront.net/Documentos/631/18329795713/6311832979571310092023002656.pdf</t>
  </si>
  <si>
    <t>https://dpmzos25m8ivg.cloudfront.net/Documentos/631/18414486487/6311841448648707092023211223.pdf</t>
  </si>
  <si>
    <t>https://dpmzos25m8ivg.cloudfront.net/Documentos/631/18415683766/6311841568376611092023110249.pdf</t>
  </si>
  <si>
    <t>https://dpmzos25m8ivg.cloudfront.net/Documentos/631/18421288504/6311842128850408092023175250.pdf</t>
  </si>
  <si>
    <t>https://dpmzos25m8ivg.cloudfront.net/Documentos/631/18433074725/6311843307472511092023111523.jpeg</t>
  </si>
  <si>
    <t>https://dpmzos25m8ivg.cloudfront.net/Documentos/631/18463543740/6311846354374010092023231843.pdf</t>
  </si>
  <si>
    <t>https://dpmzos25m8ivg.cloudfront.net/Documentos/631/18466594850/6311846659485011092023134056.jpg</t>
  </si>
  <si>
    <t>https://dpmzos25m8ivg.cloudfront.net/Documentos/631/18479026774/6311847902677405092023222438.pdf</t>
  </si>
  <si>
    <t>https://dpmzos25m8ivg.cloudfront.net/Documentos/631/18489426805/6311848942680505092023154501.pdf</t>
  </si>
  <si>
    <t>https://dpmzos25m8ivg.cloudfront.net/Documentos/631/18531825830/6311853182583008092023000247.jpg</t>
  </si>
  <si>
    <t>https://dpmzos25m8ivg.cloudfront.net/Documentos/631/18554222717/6311855422271714092023165941.pdf</t>
  </si>
  <si>
    <t>https://dpmzos25m8ivg.cloudfront.net/Documentos/631/18579940788/6311857994078811092023110937.pdf</t>
  </si>
  <si>
    <t>https://dpmzos25m8ivg.cloudfront.net/Documentos/631/18628811702/6311862881170206092023161907.pdf</t>
  </si>
  <si>
    <t>https://dpmzos25m8ivg.cloudfront.net/Documentos/631/18654846798/6311865484679811092023161822.pdf</t>
  </si>
  <si>
    <t>https://dpmzos25m8ivg.cloudfront.net/Documentos/631/18667812781/6311866781278111092023132838.pdf</t>
  </si>
  <si>
    <t>https://dpmzos25m8ivg.cloudfront.net/Documentos/631/18729301823/6311872930182307092023134055.jpg</t>
  </si>
  <si>
    <t>https://dpmzos25m8ivg.cloudfront.net/Documentos/631/18759093897/6311875909389711092023002147.jpeg</t>
  </si>
  <si>
    <t>https://dpmzos25m8ivg.cloudfront.net/Documentos/631/18766915732/6311876691573211092023164044.pdf</t>
  </si>
  <si>
    <t>https://dpmzos25m8ivg.cloudfront.net/Documentos/631/18775335727/6311877533572713092023112525.pdf</t>
  </si>
  <si>
    <t>https://dpmzos25m8ivg.cloudfront.net/Documentos/631/18884343763/6311888434376311092023141431.pdf</t>
  </si>
  <si>
    <t>https://dpmzos25m8ivg.cloudfront.net/Documentos/631/18965844894/6311896584489411092023163045.pdf</t>
  </si>
  <si>
    <t>https://dpmzos25m8ivg.cloudfront.net/Documentos/631/18975069885/6311897506988505092023174316.jpg</t>
  </si>
  <si>
    <t>https://dpmzos25m8ivg.cloudfront.net/Documentos/631/18992246706/6311899224670606092023173624.pdf</t>
  </si>
  <si>
    <t>https://dpmzos25m8ivg.cloudfront.net/Documentos/631/19065062726/6311906506272611092023162805.pdf</t>
  </si>
  <si>
    <t>https://dpmzos25m8ivg.cloudfront.net/Documentos/631/19071138860/6311907113886011092023153105.pdf</t>
  </si>
  <si>
    <t>https://dpmzos25m8ivg.cloudfront.net/Documentos/631/19131238718/6311913123871814092023170621.pdf</t>
  </si>
  <si>
    <t>https://dpmzos25m8ivg.cloudfront.net/Documentos/631/19185923737/6311918592373711092023134458.pdf</t>
  </si>
  <si>
    <t>https://dpmzos25m8ivg.cloudfront.net/Documentos/631/19237980736/6311923798073611092023022412.pdf</t>
  </si>
  <si>
    <t>https://dpmzos25m8ivg.cloudfront.net/Documentos/631/19246685725/6311924668572508092023155352.jpeg</t>
  </si>
  <si>
    <t>https://dpmzos25m8ivg.cloudfront.net/Documentos/631/19254524840/6311925452484011092023113340.pdf</t>
  </si>
  <si>
    <t>https://dpmzos25m8ivg.cloudfront.net/Documentos/631/19272911869/6311927291186909092023193326.pdf</t>
  </si>
  <si>
    <t>https://dpmzos25m8ivg.cloudfront.net/Documentos/631/19293587769/6311929358776911092023154543.pdf</t>
  </si>
  <si>
    <t>https://dpmzos25m8ivg.cloudfront.net/Documentos/631/19295402723/6311929540272311092023142514.pdf</t>
  </si>
  <si>
    <t>https://dpmzos25m8ivg.cloudfront.net/Documentos/631/19356847878/6311935684787804092023213529.pdf</t>
  </si>
  <si>
    <t>https://dpmzos25m8ivg.cloudfront.net/Documentos/631/19435153798/6311943515379811092023144428.pdf</t>
  </si>
  <si>
    <t>https://dpmzos25m8ivg.cloudfront.net/Documentos/631/19470864727/6311947086472705092023140702.pdf</t>
  </si>
  <si>
    <t>https://dpmzos25m8ivg.cloudfront.net/Documentos/631/19473424876/6311947342487611092023121050.pdf</t>
  </si>
  <si>
    <t>https://dpmzos25m8ivg.cloudfront.net/Documentos/631/19475949828/6311947594982809092023152115.jpg</t>
  </si>
  <si>
    <t>https://dpmzos25m8ivg.cloudfront.net/Documentos/631/19482527836/6311948252783606092023003352.pdf</t>
  </si>
  <si>
    <t>https://dpmzos25m8ivg.cloudfront.net/Documentos/631/19587408888/6311958740888811092023114206.pdf</t>
  </si>
  <si>
    <t>https://dpmzos25m8ivg.cloudfront.net/Documentos/631/19610311750/6311961031175006092023104729.pdf</t>
  </si>
  <si>
    <t>https://dpmzos25m8ivg.cloudfront.net/Documentos/631/19616257846/6311961625784604092023230354.pdf</t>
  </si>
  <si>
    <t>https://dpmzos25m8ivg.cloudfront.net/Documentos/631/19626933844/6311962693384408092023151424.jpg</t>
  </si>
  <si>
    <t>https://dpmzos25m8ivg.cloudfront.net/Documentos/631/19649058770/6311964905877006092023214905.pdf</t>
  </si>
  <si>
    <t>https://dpmzos25m8ivg.cloudfront.net/Documentos/631/19673737878/6311967373787813092023210859.jpg</t>
  </si>
  <si>
    <t>https://dpmzos25m8ivg.cloudfront.net/Documentos/631/19744808870/6311974480887010092023191735.jpg</t>
  </si>
  <si>
    <t>https://dpmzos25m8ivg.cloudfront.net/Documentos/631/19916929866/6311991692986611092023153007.pdf</t>
  </si>
  <si>
    <t>https://dpmzos25m8ivg.cloudfront.net/Documentos/631/20004335880/6312000433588008092023112849.jpg</t>
  </si>
  <si>
    <t>https://dpmzos25m8ivg.cloudfront.net/Documentos/631/20023355832/6312002335583207092023121820.pdf</t>
  </si>
  <si>
    <t>https://dpmzos25m8ivg.cloudfront.net/Documentos/631/20029845220/6312002984522005092023132810.pdf</t>
  </si>
  <si>
    <t>https://dpmzos25m8ivg.cloudfront.net/Documentos/631/20032772777/6312003277277708092023133753.pdf</t>
  </si>
  <si>
    <t>https://dpmzos25m8ivg.cloudfront.net/Documentos/631/20203780272/6312020378027210092023235241.pdf</t>
  </si>
  <si>
    <t>https://dpmzos25m8ivg.cloudfront.net/Documentos/631/20419350810/6312041935081011092023101851.pdf</t>
  </si>
  <si>
    <t>https://dpmzos25m8ivg.cloudfront.net/Documentos/631/20514455837/6312051445583705092023094754.pdf</t>
  </si>
  <si>
    <t>https://dpmzos25m8ivg.cloudfront.net/Documentos/631/20515549860/6312051554986005092023111326.jpg</t>
  </si>
  <si>
    <t>https://dpmzos25m8ivg.cloudfront.net/Documentos/631/20539804860/6312053980486007092023203017.pdf</t>
  </si>
  <si>
    <t>https://dpmzos25m8ivg.cloudfront.net/Documentos/631/20661088200/6312066108820008092023100324.pdf</t>
  </si>
  <si>
    <t>https://dpmzos25m8ivg.cloudfront.net/Documentos/631/20828179204/6312082817920411092023084545.jpg</t>
  </si>
  <si>
    <t>https://dpmzos25m8ivg.cloudfront.net/Documentos/631/20930356691/6312093035669111092023145556.pdf</t>
  </si>
  <si>
    <t>https://dpmzos25m8ivg.cloudfront.net/Documentos/631/21172854572/6312117285457206092023172035.pdf</t>
  </si>
  <si>
    <t>https://dpmzos25m8ivg.cloudfront.net/Documentos/631/21273937830/6312127393783005092023201325.jpeg</t>
  </si>
  <si>
    <t>https://dpmzos25m8ivg.cloudfront.net/Documentos/631/21326207504/6312132620750408092023112326.jpg</t>
  </si>
  <si>
    <t>https://dpmzos25m8ivg.cloudfront.net/Documentos/631/21390899870/6312139089987011092023165912.jpg</t>
  </si>
  <si>
    <t>https://dpmzos25m8ivg.cloudfront.net/Documentos/631/21399242822/6312139924282205092023100656.pdf</t>
  </si>
  <si>
    <t>https://dpmzos25m8ivg.cloudfront.net/Documentos/631/21406826880/6312140682688008092023161120.pdf</t>
  </si>
  <si>
    <t>https://dpmzos25m8ivg.cloudfront.net/Documentos/631/21437815120/6312143781512005092023190452.jpg</t>
  </si>
  <si>
    <t>https://dpmzos25m8ivg.cloudfront.net/Documentos/631/21476504806/6312147650480614092023160528.jpg</t>
  </si>
  <si>
    <t>https://dpmzos25m8ivg.cloudfront.net/Documentos/631/21538977850/6312153897785006092023125746.jpg</t>
  </si>
  <si>
    <t>https://dpmzos25m8ivg.cloudfront.net/Documentos/631/21570947848/6312157094784805092023180313.jpeg</t>
  </si>
  <si>
    <t>https://dpmzos25m8ivg.cloudfront.net/Documentos/631/21572961821/6312157296182105092023204225.pdf</t>
  </si>
  <si>
    <t>https://dpmzos25m8ivg.cloudfront.net/Documentos/631/21579430805/6312157943080505092023103322.pdf</t>
  </si>
  <si>
    <t>https://dpmzos25m8ivg.cloudfront.net/Documentos/631/21699268878/6312169926887811092023164647.pdf</t>
  </si>
  <si>
    <t>https://dpmzos25m8ivg.cloudfront.net/Documentos/631/21715663888/6312171566388811092023094410.pdf</t>
  </si>
  <si>
    <t>https://dpmzos25m8ivg.cloudfront.net/Documentos/631/21722190884/6312172219088413092023151700.pdf</t>
  </si>
  <si>
    <t>https://dpmzos25m8ivg.cloudfront.net/Documentos/631/21804913871/6312180491387105092023165319.pdf</t>
  </si>
  <si>
    <t>https://dpmzos25m8ivg.cloudfront.net/Documentos/631/21830561855/6312183056185511092023155737.jpeg</t>
  </si>
  <si>
    <t>https://dpmzos25m8ivg.cloudfront.net/Documentos/631/21854593846/6312185459384607092023215518.pdf</t>
  </si>
  <si>
    <t>https://dpmzos25m8ivg.cloudfront.net/Documentos/631/21877227838/6312187722783810092023210849.pdf</t>
  </si>
  <si>
    <t>https://dpmzos25m8ivg.cloudfront.net/Documentos/631/21994190884/6312199419088411092023073135.jpg</t>
  </si>
  <si>
    <t>https://dpmzos25m8ivg.cloudfront.net/Documentos/631/21996123840/6312199612384011092023121302.pdf</t>
  </si>
  <si>
    <t>https://dpmzos25m8ivg.cloudfront.net/Documentos/631/22016609800/6312201660980007092023075150.pdf</t>
  </si>
  <si>
    <t>https://dpmzos25m8ivg.cloudfront.net/Documentos/631/22037657803/6312203765780310092023103655.jpg</t>
  </si>
  <si>
    <t>https://dpmzos25m8ivg.cloudfront.net/Documentos/631/22041891890/6312204189189011092023123031.pdf</t>
  </si>
  <si>
    <t>https://dpmzos25m8ivg.cloudfront.net/Documentos/631/22066445843/6312206644584311092023131203.pdf</t>
  </si>
  <si>
    <t>https://dpmzos25m8ivg.cloudfront.net/Documentos/631/22075468885/6312207546888511092023171551.pdf</t>
  </si>
  <si>
    <t>https://dpmzos25m8ivg.cloudfront.net/Documentos/631/22076264825/6312207626482505092023132423.pdf</t>
  </si>
  <si>
    <t>https://dpmzos25m8ivg.cloudfront.net/Documentos/631/22088581820/6312208858182005092023123924.jpg</t>
  </si>
  <si>
    <t>https://dpmzos25m8ivg.cloudfront.net/Documentos/631/22133385827/6312213338582711092023121325.pdf</t>
  </si>
  <si>
    <t>https://dpmzos25m8ivg.cloudfront.net/Documentos/631/22219510425/6312221951042507092023111736.jpeg</t>
  </si>
  <si>
    <t>https://dpmzos25m8ivg.cloudfront.net/Documentos/631/22254129015/6312225412901506092023190641.pdf</t>
  </si>
  <si>
    <t>https://dpmzos25m8ivg.cloudfront.net/Documentos/631/22270163885/6312227016388511092023140410.pdf</t>
  </si>
  <si>
    <t>https://dpmzos25m8ivg.cloudfront.net/Documentos/631/22294164806/6312229416480608092023112227.pdf</t>
  </si>
  <si>
    <t>https://dpmzos25m8ivg.cloudfront.net/Documentos/631/22312083850/6312231208385013092023155627.jpg</t>
  </si>
  <si>
    <t>https://dpmzos25m8ivg.cloudfront.net/Documentos/631/22340796830/6312234079683006092023110732.jpg</t>
  </si>
  <si>
    <t>https://dpmzos25m8ivg.cloudfront.net/Documentos/631/22383711845/6312238371184505092023132344.pdf</t>
  </si>
  <si>
    <t>https://dpmzos25m8ivg.cloudfront.net/Documentos/631/22407995368/6312240799536805092023142138.pdf</t>
  </si>
  <si>
    <t>https://dpmzos25m8ivg.cloudfront.net/Documentos/631/22417149842/6312241714984214092023152339.pdf</t>
  </si>
  <si>
    <t>https://dpmzos25m8ivg.cloudfront.net/Documentos/631/22442548879/6312244254887911092023153520.pdf</t>
  </si>
  <si>
    <t>https://dpmzos25m8ivg.cloudfront.net/Documentos/631/22444457803/6312244445780310092023122141.pdf</t>
  </si>
  <si>
    <t>https://dpmzos25m8ivg.cloudfront.net/Documentos/631/22445123801/6312244512380114092023134200.pdf</t>
  </si>
  <si>
    <t>https://dpmzos25m8ivg.cloudfront.net/Documentos/631/22524139808/6312252413980809092023124920.pdf</t>
  </si>
  <si>
    <t>https://dpmzos25m8ivg.cloudfront.net/Documentos/631/22556551879/6312255655187909092023213442.pdf</t>
  </si>
  <si>
    <t>https://dpmzos25m8ivg.cloudfront.net/Documentos/631/22789572879/6312278957287906092023013649.pdf</t>
  </si>
  <si>
    <t>https://dpmzos25m8ivg.cloudfront.net/Documentos/631/22798165806/6312279816580613092023205836.jpg</t>
  </si>
  <si>
    <t>https://dpmzos25m8ivg.cloudfront.net/Documentos/631/22798821835/6312279882183507092023141159.pdf</t>
  </si>
  <si>
    <t>https://dpmzos25m8ivg.cloudfront.net/Documentos/631/22801232823/6312280123282305092023171927.pdf</t>
  </si>
  <si>
    <t>https://dpmzos25m8ivg.cloudfront.net/Documentos/631/22806075300/6312280607530008092023131649.jpeg</t>
  </si>
  <si>
    <t>https://dpmzos25m8ivg.cloudfront.net/Documentos/631/22860185704/6312286018570406092023194612.jpeg</t>
  </si>
  <si>
    <t>https://dpmzos25m8ivg.cloudfront.net/Documentos/631/22865159809/6312286515980907092023125513.pdf</t>
  </si>
  <si>
    <t>https://dpmzos25m8ivg.cloudfront.net/Documentos/631/22916227814/6312291622781414092023164548.pdf</t>
  </si>
  <si>
    <t>https://dpmzos25m8ivg.cloudfront.net/Documentos/631/22919743864/6312291974386411092023162556.pdf</t>
  </si>
  <si>
    <t>https://dpmzos25m8ivg.cloudfront.net/Documentos/631/22950555802/6312295055580211092023152141.jpg</t>
  </si>
  <si>
    <t>https://dpmzos25m8ivg.cloudfront.net/Documentos/631/22969664895/6312296966489511092023134239.pdf</t>
  </si>
  <si>
    <t>https://dpmzos25m8ivg.cloudfront.net/Documentos/631/22977855858/6312297785585806092023100549.jpg</t>
  </si>
  <si>
    <t>https://dpmzos25m8ivg.cloudfront.net/Documentos/631/23037990821/6312303799082111092023115750.pdf</t>
  </si>
  <si>
    <t>https://dpmzos25m8ivg.cloudfront.net/Documentos/631/23098416840/6312309841684011092023142908.pdf</t>
  </si>
  <si>
    <t>https://dpmzos25m8ivg.cloudfront.net/Documentos/631/23125012953/6312312501295313092023152025.pdf</t>
  </si>
  <si>
    <t>https://dpmzos25m8ivg.cloudfront.net/Documentos/631/23319064835/6312331906483511092023083917.pdf</t>
  </si>
  <si>
    <t>https://dpmzos25m8ivg.cloudfront.net/Documentos/631/23397544882/6312339754488205092023211122.jpeg</t>
  </si>
  <si>
    <t>https://dpmzos25m8ivg.cloudfront.net/Documentos/631/23472372842/6312347237284205092023144605.pdf</t>
  </si>
  <si>
    <t>https://dpmzos25m8ivg.cloudfront.net/Documentos/631/23574964870/6312357496487009092023225457.pdf</t>
  </si>
  <si>
    <t>https://dpmzos25m8ivg.cloudfront.net/Documentos/631/23667256809/6312366725680914092023120954.pdf</t>
  </si>
  <si>
    <t>https://dpmzos25m8ivg.cloudfront.net/Documentos/631/23669698809/6312366969880909092023200827.pdf</t>
  </si>
  <si>
    <t>https://dpmzos25m8ivg.cloudfront.net/Documentos/631/23775439870/6312377543987013092023221937.pdf</t>
  </si>
  <si>
    <t>https://dpmzos25m8ivg.cloudfront.net/Documentos/631/23867957053/6312386795705309092023012433.jpg</t>
  </si>
  <si>
    <t>https://dpmzos25m8ivg.cloudfront.net/Documentos/631/23874562549/6312387456254905092023115247.pdf</t>
  </si>
  <si>
    <t>https://dpmzos25m8ivg.cloudfront.net/Documentos/631/23888736811/6312388873681105092023153726.pdf</t>
  </si>
  <si>
    <t>https://dpmzos25m8ivg.cloudfront.net/Documentos/631/23957565472/6312395756547210092023211638.jpg</t>
  </si>
  <si>
    <t>https://dpmzos25m8ivg.cloudfront.net/Documentos/631/24022241500/6312402224150010092023213832.pdf</t>
  </si>
  <si>
    <t>https://dpmzos25m8ivg.cloudfront.net/Documentos/631/24226432649/6312422643264908092023144140.pdf</t>
  </si>
  <si>
    <t>https://dpmzos25m8ivg.cloudfront.net/Documentos/631/24327743291/6312432774329113092023171641.pdf</t>
  </si>
  <si>
    <t>https://dpmzos25m8ivg.cloudfront.net/Documentos/631/24449164334/6312444916433407092023171854.jpg</t>
  </si>
  <si>
    <t>https://dpmzos25m8ivg.cloudfront.net/Documentos/631/24699441807/6312469944180711092023133150.jpg</t>
  </si>
  <si>
    <t>https://dpmzos25m8ivg.cloudfront.net/Documentos/631/24780108870/6312478010887010092023115247.jpg</t>
  </si>
  <si>
    <t>https://dpmzos25m8ivg.cloudfront.net/Documentos/631/24801291287/6312480129128705092023232601.pdf</t>
  </si>
  <si>
    <t>https://dpmzos25m8ivg.cloudfront.net/Documentos/631/24809169871/6312480916987113092023161439.pdf</t>
  </si>
  <si>
    <t>https://dpmzos25m8ivg.cloudfront.net/Documentos/631/24822035204/6312482203520405092023110913.pdf</t>
  </si>
  <si>
    <t>https://dpmzos25m8ivg.cloudfront.net/Documentos/631/24831367885/6312483136788507092023174608.jpg</t>
  </si>
  <si>
    <t>https://dpmzos25m8ivg.cloudfront.net/Documentos/631/24840897832/6312484089783210092023233535.pdf</t>
  </si>
  <si>
    <t>https://dpmzos25m8ivg.cloudfront.net/Documentos/631/24863007833/6312486300783308092023133751.jpeg</t>
  </si>
  <si>
    <t>https://dpmzos25m8ivg.cloudfront.net/Documentos/631/24925394827/6312492539482706092023201900.pdf</t>
  </si>
  <si>
    <t>https://dpmzos25m8ivg.cloudfront.net/Documentos/631/24965856830/6312496585683013092023174031.pdf</t>
  </si>
  <si>
    <t>https://dpmzos25m8ivg.cloudfront.net/Documentos/631/24983011862/6312498301186205092023223922.pdf</t>
  </si>
  <si>
    <t>https://dpmzos25m8ivg.cloudfront.net/Documentos/631/24984473851/6312498447385109092023203123.jpeg</t>
  </si>
  <si>
    <t>https://dpmzos25m8ivg.cloudfront.net/Documentos/631/25080549840/6312508054984011092023163218.pdf</t>
  </si>
  <si>
    <t>https://dpmzos25m8ivg.cloudfront.net/Documentos/631/25122927898/6312512292789810092023225026.pdf</t>
  </si>
  <si>
    <t>https://dpmzos25m8ivg.cloudfront.net/Documentos/631/25127781859/6312512778185906092023170744.jpg</t>
  </si>
  <si>
    <t>https://dpmzos25m8ivg.cloudfront.net/Documentos/631/25152549859/6312515254985908092023180834.pdf</t>
  </si>
  <si>
    <t>https://dpmzos25m8ivg.cloudfront.net/Documentos/631/25186949515/6312518694951509092023165919.pdf</t>
  </si>
  <si>
    <t>https://dpmzos25m8ivg.cloudfront.net/Documentos/631/25344047843/6312534404784311092023133405.pdf</t>
  </si>
  <si>
    <t>https://dpmzos25m8ivg.cloudfront.net/Documentos/631/25389512839/6312538951283911092023155818.pdf</t>
  </si>
  <si>
    <t>https://dpmzos25m8ivg.cloudfront.net/Documentos/631/25446776860/6312544677686011092023164859.pdf</t>
  </si>
  <si>
    <t>https://dpmzos25m8ivg.cloudfront.net/Documentos/631/25468430525/6312546843052510092023202610.jpg</t>
  </si>
  <si>
    <t>https://dpmzos25m8ivg.cloudfront.net/Documentos/631/25504130832/6312550413083209092023233703.jpg</t>
  </si>
  <si>
    <t>https://dpmzos25m8ivg.cloudfront.net/Documentos/631/25509233591/6312550923359109092023201532.jpg</t>
  </si>
  <si>
    <t>https://dpmzos25m8ivg.cloudfront.net/Documentos/631/25512445871/6312551244587106092023100259.jpg</t>
  </si>
  <si>
    <t>https://dpmzos25m8ivg.cloudfront.net/Documentos/631/25540219880/6312554021988011092023140109.pdf</t>
  </si>
  <si>
    <t>https://dpmzos25m8ivg.cloudfront.net/Documentos/631/25557339817/6312555733981711092023162541.jpeg</t>
  </si>
  <si>
    <t>https://dpmzos25m8ivg.cloudfront.net/Documentos/631/25580728387/6312558072838711092023105026.pdf</t>
  </si>
  <si>
    <t>https://dpmzos25m8ivg.cloudfront.net/Documentos/631/25619961826/6312561996182609092023105125.jpg</t>
  </si>
  <si>
    <t>https://dpmzos25m8ivg.cloudfront.net/Documentos/631/25646649897/6312564664989709092023171344.jpg</t>
  </si>
  <si>
    <t>https://dpmzos25m8ivg.cloudfront.net/Documentos/631/25682800850/6312568280085005092023110459.pdf</t>
  </si>
  <si>
    <t>https://dpmzos25m8ivg.cloudfront.net/Documentos/631/25694218809/6312569421880911092023133926.jpg</t>
  </si>
  <si>
    <t>https://dpmzos25m8ivg.cloudfront.net/Documentos/631/25721121831/6312572112183108092023093020.pdf</t>
  </si>
  <si>
    <t>https://dpmzos25m8ivg.cloudfront.net/Documentos/631/25743254869/6312574325486911092023024600.jpg</t>
  </si>
  <si>
    <t>https://dpmzos25m8ivg.cloudfront.net/Documentos/631/25765680682/6312576568068211092023130225.pdf</t>
  </si>
  <si>
    <t>https://dpmzos25m8ivg.cloudfront.net/Documentos/631/25778026846/6312577802684605092023142825.pdf</t>
  </si>
  <si>
    <t>https://dpmzos25m8ivg.cloudfront.net/Documentos/631/25808328829/6312580832882910092023170737.pdf</t>
  </si>
  <si>
    <t>https://dpmzos25m8ivg.cloudfront.net/Documentos/631/25824980845/6312582498084505092023110706.jpg</t>
  </si>
  <si>
    <t>https://dpmzos25m8ivg.cloudfront.net/Documentos/631/25897269882/6312589726988211092023151821.pdf</t>
  </si>
  <si>
    <t>https://dpmzos25m8ivg.cloudfront.net/Documentos/631/25952994504/6312595299450411092023144921.pdf</t>
  </si>
  <si>
    <t>https://dpmzos25m8ivg.cloudfront.net/Documentos/631/25962553837/6312596255383705092023125054.jpeg</t>
  </si>
  <si>
    <t>https://dpmzos25m8ivg.cloudfront.net/Documentos/631/25989744846/6312598974484610092023223242.pdf</t>
  </si>
  <si>
    <t>https://dpmzos25m8ivg.cloudfront.net/Documentos/631/26019484858/6312601948485809092023151820.pdf</t>
  </si>
  <si>
    <t>https://dpmzos25m8ivg.cloudfront.net/Documentos/631/26054511866/6312605451186611092023153308.jpg</t>
  </si>
  <si>
    <t>https://dpmzos25m8ivg.cloudfront.net/Documentos/631/26069350472/6312606935047206092023140114.pdf</t>
  </si>
  <si>
    <t>https://dpmzos25m8ivg.cloudfront.net/Documentos/631/26149209830/6312614920983006092023154853.pdf</t>
  </si>
  <si>
    <t>https://dpmzos25m8ivg.cloudfront.net/Documentos/631/26157306572/6312615730657213092023222001.pdf</t>
  </si>
  <si>
    <t>https://dpmzos25m8ivg.cloudfront.net/Documentos/631/26171320803/6312617132080310092023231752.pdf</t>
  </si>
  <si>
    <t>https://dpmzos25m8ivg.cloudfront.net/Documentos/631/26187641884/6312618764188411092023162432.pdf</t>
  </si>
  <si>
    <t>https://dpmzos25m8ivg.cloudfront.net/Documentos/631/26199909801/6312619990980110092023230739.jpg</t>
  </si>
  <si>
    <t>https://dpmzos25m8ivg.cloudfront.net/Documentos/631/26248114862/6312624811486210092023191530.pdf</t>
  </si>
  <si>
    <t>https://dpmzos25m8ivg.cloudfront.net/Documentos/631/26286020837/6312628602083705092023172458.pdf</t>
  </si>
  <si>
    <t>https://dpmzos25m8ivg.cloudfront.net/Documentos/631/26339569803/6312633956980311092023000439.jpg</t>
  </si>
  <si>
    <t>https://dpmzos25m8ivg.cloudfront.net/Documentos/631/26378707880/6312637870788013092023213932.jpg</t>
  </si>
  <si>
    <t>https://dpmzos25m8ivg.cloudfront.net/Documentos/631/26391161852/6312639116185211092023112504.jpg</t>
  </si>
  <si>
    <t>https://dpmzos25m8ivg.cloudfront.net/Documentos/631/26397124894/6312639712489411092023124224.pdf</t>
  </si>
  <si>
    <t>https://dpmzos25m8ivg.cloudfront.net/Documentos/631/26421504884/6312642150488413092023120155.jpg</t>
  </si>
  <si>
    <t>https://dpmzos25m8ivg.cloudfront.net/Documentos/631/26472154805/6312647215480506092023155928.pdf</t>
  </si>
  <si>
    <t>https://dpmzos25m8ivg.cloudfront.net/Documentos/631/26532855847/6312653285584711092023154053.pdf</t>
  </si>
  <si>
    <t>https://dpmzos25m8ivg.cloudfront.net/Documentos/631/26551082807/6312655108280709092023164023.pdf</t>
  </si>
  <si>
    <t>https://dpmzos25m8ivg.cloudfront.net/Documentos/631/26559308863/6312655930886305092023162341.jpeg</t>
  </si>
  <si>
    <t>https://dpmzos25m8ivg.cloudfront.net/Documentos/631/26578585893/6312657858589311092023153723.pdf</t>
  </si>
  <si>
    <t>https://dpmzos25m8ivg.cloudfront.net/Documentos/631/26733807874/6312673380787411092023160910.jpg</t>
  </si>
  <si>
    <t>https://dpmzos25m8ivg.cloudfront.net/Documentos/631/26738732368/6312673873236805092023100204.pdf</t>
  </si>
  <si>
    <t>https://dpmzos25m8ivg.cloudfront.net/Documentos/631/26750879802/6312675087980208092023173817.pdf</t>
  </si>
  <si>
    <t>https://dpmzos25m8ivg.cloudfront.net/Documentos/631/26769159830/6312676915983006092023104627.pdf</t>
  </si>
  <si>
    <t>https://dpmzos25m8ivg.cloudfront.net/Documentos/631/26840020886/6312684002088613092023223948.pdf</t>
  </si>
  <si>
    <t>https://dpmzos25m8ivg.cloudfront.net/Documentos/631/26844611803/6312684461180311092023160238.pdf</t>
  </si>
  <si>
    <t>https://dpmzos25m8ivg.cloudfront.net/Documentos/631/26853990110/6312685399011011092023073807.pdf</t>
  </si>
  <si>
    <t>https://dpmzos25m8ivg.cloudfront.net/Documentos/631/26863062895/6312686306289509092023155539.pdf</t>
  </si>
  <si>
    <t>https://dpmzos25m8ivg.cloudfront.net/Documentos/631/26899736349/6312689973634906092023000629.jpg</t>
  </si>
  <si>
    <t>https://dpmzos25m8ivg.cloudfront.net/Documentos/631/26925642865/6312692564286511092023151047.pdf</t>
  </si>
  <si>
    <t>https://dpmzos25m8ivg.cloudfront.net/Documentos/631/26969474810/6312696947481005092023131938.pdf</t>
  </si>
  <si>
    <t>https://dpmzos25m8ivg.cloudfront.net/Documentos/631/26972528860/6312697252886011092023115030.pdf</t>
  </si>
  <si>
    <t>https://dpmzos25m8ivg.cloudfront.net/Documentos/631/26981231840/6312698123184010092023210907.pdf</t>
  </si>
  <si>
    <t>https://dpmzos25m8ivg.cloudfront.net/Documentos/631/26998592817/6312699859281711092023090514.pdf</t>
  </si>
  <si>
    <t>https://dpmzos25m8ivg.cloudfront.net/Documentos/631/27040681862/6312704068186206092023114330.pdf</t>
  </si>
  <si>
    <t>https://dpmzos25m8ivg.cloudfront.net/Documentos/631/27156144898/6312715614489811092023154437.pdf</t>
  </si>
  <si>
    <t>https://dpmzos25m8ivg.cloudfront.net/Documentos/631/27177657860/6312717765786005092023232620.pdf</t>
  </si>
  <si>
    <t>https://dpmzos25m8ivg.cloudfront.net/Documentos/631/27181683829/6312718168382911092023113332.pdf</t>
  </si>
  <si>
    <t>https://dpmzos25m8ivg.cloudfront.net/Documentos/631/27204851870/6312720485187005092023231334.jpg</t>
  </si>
  <si>
    <t>https://dpmzos25m8ivg.cloudfront.net/Documentos/631/27249290800/6312724929080006092023082107.pdf</t>
  </si>
  <si>
    <t>https://dpmzos25m8ivg.cloudfront.net/Documentos/631/27253063880/6312725306388005092023142617.pdf</t>
  </si>
  <si>
    <t>https://dpmzos25m8ivg.cloudfront.net/Documentos/631/27260928883/6312726092888311092023150429.pdf</t>
  </si>
  <si>
    <t>https://dpmzos25m8ivg.cloudfront.net/Documentos/631/27345653234/6312734565323407092023154657.pdf</t>
  </si>
  <si>
    <t>https://dpmzos25m8ivg.cloudfront.net/Documentos/631/27359626870/6312735962687005092023222049.pdf</t>
  </si>
  <si>
    <t>https://dpmzos25m8ivg.cloudfront.net/Documentos/631/27456732892/6312745673289213092023120514.pdf</t>
  </si>
  <si>
    <t>https://dpmzos25m8ivg.cloudfront.net/Documentos/631/27459623881/6312745962388111092023101454.pdf</t>
  </si>
  <si>
    <t>https://dpmzos25m8ivg.cloudfront.net/Documentos/631/27533396863/6312753339686311092023075705.pdf</t>
  </si>
  <si>
    <t>https://dpmzos25m8ivg.cloudfront.net/Documentos/631/27552150890/6312755215089007092023200637.pdf</t>
  </si>
  <si>
    <t>https://dpmzos25m8ivg.cloudfront.net/Documentos/631/27555151553/6312755515155308092023131056.pdf</t>
  </si>
  <si>
    <t>https://dpmzos25m8ivg.cloudfront.net/Documentos/631/27702596449/6312770259644911092023131358.jpg</t>
  </si>
  <si>
    <t>https://dpmzos25m8ivg.cloudfront.net/Documentos/631/27729745534/6312772974553409092023232638.pdf</t>
  </si>
  <si>
    <t>https://dpmzos25m8ivg.cloudfront.net/Documentos/631/27764931187/6312776493118714092023093357.jpg</t>
  </si>
  <si>
    <t>https://dpmzos25m8ivg.cloudfront.net/Documentos/631/27797508801/6312779750880111092023000731.pdf</t>
  </si>
  <si>
    <t>https://dpmzos25m8ivg.cloudfront.net/Documentos/631/27804385846/6312780438584607092023202104.jpg</t>
  </si>
  <si>
    <t>https://dpmzos25m8ivg.cloudfront.net/Documentos/631/27844653817/6312784465381707092023231823.pdf</t>
  </si>
  <si>
    <t>https://dpmzos25m8ivg.cloudfront.net/Documentos/631/27918766857/6312791876685709092023202241.pdf</t>
  </si>
  <si>
    <t>https://dpmzos25m8ivg.cloudfront.net/Documentos/631/28000604841/6312800060484105092023102237.pdf</t>
  </si>
  <si>
    <t>https://dpmzos25m8ivg.cloudfront.net/Documentos/631/28011364847/6312801136484711092023165411.jpeg</t>
  </si>
  <si>
    <t>https://dpmzos25m8ivg.cloudfront.net/Documentos/631/28068153802/6312806815380208092023195353.pdf</t>
  </si>
  <si>
    <t>https://dpmzos25m8ivg.cloudfront.net/Documentos/631/28121237882/6312812123788205092023164718.pdf</t>
  </si>
  <si>
    <t>https://dpmzos25m8ivg.cloudfront.net/Documentos/631/28165238884/6312816523888411092023143843.jpeg</t>
  </si>
  <si>
    <t>https://dpmzos25m8ivg.cloudfront.net/Documentos/631/28168438825/6312816843882511092023162110.pdf</t>
  </si>
  <si>
    <t>https://dpmzos25m8ivg.cloudfront.net/Documentos/631/28222911600/6312822291160013092023003021.jpg</t>
  </si>
  <si>
    <t>https://dpmzos25m8ivg.cloudfront.net/Documentos/631/28231559884/6312823155988406092023051056.pdf</t>
  </si>
  <si>
    <t>https://dpmzos25m8ivg.cloudfront.net/Documentos/631/28386146818/6312838614681806092023102325.pdf</t>
  </si>
  <si>
    <t>https://dpmzos25m8ivg.cloudfront.net/Documentos/631/28478371400/6312847837140007092023115349.pdf</t>
  </si>
  <si>
    <t>https://dpmzos25m8ivg.cloudfront.net/Documentos/631/28508096836/6312850809683605092023200726.pdf</t>
  </si>
  <si>
    <t>https://dpmzos25m8ivg.cloudfront.net/Documentos/631/28572907807/6312857290780704092023203552.pdf</t>
  </si>
  <si>
    <t>https://dpmzos25m8ivg.cloudfront.net/Documentos/631/28675372825/6312867537282511092023101052.pdf</t>
  </si>
  <si>
    <t>https://dpmzos25m8ivg.cloudfront.net/Documentos/631/28694143828/6312869414382812092023195705.jpg</t>
  </si>
  <si>
    <t>https://dpmzos25m8ivg.cloudfront.net/Documentos/631/28775205874/6312877520587409092023090318.pdf</t>
  </si>
  <si>
    <t>https://dpmzos25m8ivg.cloudfront.net/Documentos/631/28858443888/6312885844388810092023222113.pdf</t>
  </si>
  <si>
    <t>https://dpmzos25m8ivg.cloudfront.net/Documentos/631/28883103840/6312888310384014092023141922.pdf</t>
  </si>
  <si>
    <t>https://dpmzos25m8ivg.cloudfront.net/Documentos/631/28903560272/6312890356027205092023173657.jpg</t>
  </si>
  <si>
    <t>https://dpmzos25m8ivg.cloudfront.net/Documentos/631/28986398850/6312898639885011092023154004.jpg</t>
  </si>
  <si>
    <t>https://dpmzos25m8ivg.cloudfront.net/Documentos/631/29000550831/6312900055083109092023191231.pdf</t>
  </si>
  <si>
    <t>https://dpmzos25m8ivg.cloudfront.net/Documentos/631/29034609812/6312903460981211092023163046.jpg</t>
  </si>
  <si>
    <t>https://dpmzos25m8ivg.cloudfront.net/Documentos/631/29058664899/6312905866489909092023202805.jpeg</t>
  </si>
  <si>
    <t>https://dpmzos25m8ivg.cloudfront.net/Documentos/631/29063469349/6312906346934906092023145113.pdf</t>
  </si>
  <si>
    <t>https://dpmzos25m8ivg.cloudfront.net/Documentos/631/29096367553/6312909636755311092023105413.pdf</t>
  </si>
  <si>
    <t>https://dpmzos25m8ivg.cloudfront.net/Documentos/631/29097368812/6312909736881211092023131512.pdf</t>
  </si>
  <si>
    <t>https://dpmzos25m8ivg.cloudfront.net/Documentos/631/29136977802/6312913697780213092023004717.pdf</t>
  </si>
  <si>
    <t>https://dpmzos25m8ivg.cloudfront.net/Documentos/631/29142814472/6312914281447211092023142918.pdf</t>
  </si>
  <si>
    <t>https://dpmzos25m8ivg.cloudfront.net/Documentos/631/29168568894/6312916856889414092023163936.jpg</t>
  </si>
  <si>
    <t>https://dpmzos25m8ivg.cloudfront.net/Documentos/631/29179078869/6312917907886911092023074923.pdf</t>
  </si>
  <si>
    <t>https://dpmzos25m8ivg.cloudfront.net/Documentos/631/29200282865/6312920028286505092023085904.pdf</t>
  </si>
  <si>
    <t>https://dpmzos25m8ivg.cloudfront.net/Documentos/631/29211705827/6312921170582705092023154848.pdf</t>
  </si>
  <si>
    <t>https://dpmzos25m8ivg.cloudfront.net/Documentos/631/29219098806/6312921909880609092023195058.jpeg</t>
  </si>
  <si>
    <t>https://dpmzos25m8ivg.cloudfront.net/Documentos/631/29230626805/6312923062680511092023152838.jpg</t>
  </si>
  <si>
    <t>https://dpmzos25m8ivg.cloudfront.net/Documentos/631/29256274809/6312925627480911092023155837.jpg</t>
  </si>
  <si>
    <t>https://dpmzos25m8ivg.cloudfront.net/Documentos/631/29306817568/6312930681756809092023104859.pdf</t>
  </si>
  <si>
    <t>https://dpmzos25m8ivg.cloudfront.net/Documentos/631/29310683813/6312931068381314092023162811.pdf</t>
  </si>
  <si>
    <t>https://dpmzos25m8ivg.cloudfront.net/Documentos/631/29321853812/6312932185381209092023123647.pdf</t>
  </si>
  <si>
    <t>https://dpmzos25m8ivg.cloudfront.net/Documentos/631/29330220282/6312933022028206092023001806.jpg</t>
  </si>
  <si>
    <t>https://dpmzos25m8ivg.cloudfront.net/Documentos/631/29333788840/6312933378884011092023142153.pdf</t>
  </si>
  <si>
    <t>https://dpmzos25m8ivg.cloudfront.net/Documentos/631/29345510591/6312934551059111092023100736.jpg</t>
  </si>
  <si>
    <t>https://dpmzos25m8ivg.cloudfront.net/Documentos/631/29394038809/6312939403880910092023182437.pdf</t>
  </si>
  <si>
    <t>https://dpmzos25m8ivg.cloudfront.net/Documentos/631/29413699534/6312941369953406092023095713.pdf</t>
  </si>
  <si>
    <t>https://dpmzos25m8ivg.cloudfront.net/Documentos/631/29429558803/6312942955880312092023220104.jpg</t>
  </si>
  <si>
    <t>https://dpmzos25m8ivg.cloudfront.net/Documentos/631/29445618807/6312944561880714092023133920.jpg</t>
  </si>
  <si>
    <t>https://dpmzos25m8ivg.cloudfront.net/Documentos/631/29450780234/6312945078023411092023094100.pdf</t>
  </si>
  <si>
    <t>https://dpmzos25m8ivg.cloudfront.net/Documentos/631/29456476804/6312945647680411092023143620.pdf</t>
  </si>
  <si>
    <t>https://dpmzos25m8ivg.cloudfront.net/Documentos/631/29523489879/6312952348987910092023213803.pdf</t>
  </si>
  <si>
    <t>https://dpmzos25m8ivg.cloudfront.net/Documentos/631/29558045845/6312955804584511092023143802.jpeg</t>
  </si>
  <si>
    <t>https://dpmzos25m8ivg.cloudfront.net/Documentos/631/29568880801/6312956888080107092023164740.pdf</t>
  </si>
  <si>
    <t>https://dpmzos25m8ivg.cloudfront.net/Documentos/631/29661566860/6312966156686010092023134845.jpg</t>
  </si>
  <si>
    <t>https://dpmzos25m8ivg.cloudfront.net/Documentos/631/29713684753/6312971368475306092023082957.pdf</t>
  </si>
  <si>
    <t>https://dpmzos25m8ivg.cloudfront.net/Documentos/631/29737953894/6312973795389408092023144051.pdf</t>
  </si>
  <si>
    <t>https://dpmzos25m8ivg.cloudfront.net/Documentos/631/29762418808/6312976241880805092023145453.pdf</t>
  </si>
  <si>
    <t>https://dpmzos25m8ivg.cloudfront.net/Documentos/631/29785894851/6312978589485111092023095759.pdf</t>
  </si>
  <si>
    <t>https://dpmzos25m8ivg.cloudfront.net/Documentos/631/29793387882/6312979338788205092023203856.jpg</t>
  </si>
  <si>
    <t>https://dpmzos25m8ivg.cloudfront.net/Documentos/631/29835011168/6312983501116810092023223816.pdf</t>
  </si>
  <si>
    <t>https://dpmzos25m8ivg.cloudfront.net/Documentos/631/29838699896/6312983869989607092023145055.jpg</t>
  </si>
  <si>
    <t>https://dpmzos25m8ivg.cloudfront.net/Documentos/631/29884203865/6312988420386504092023233813.pdf</t>
  </si>
  <si>
    <t>https://dpmzos25m8ivg.cloudfront.net/Documentos/631/29908379810/6312990837981005092023121352.pdf</t>
  </si>
  <si>
    <t>https://dpmzos25m8ivg.cloudfront.net/Documentos/631/29958881349/6312995888134911092023141438.pdf</t>
  </si>
  <si>
    <t>https://dpmzos25m8ivg.cloudfront.net/Documentos/631/29994702823/6312999470282307092023122917.pdf</t>
  </si>
  <si>
    <t>https://dpmzos25m8ivg.cloudfront.net/Documentos/631/29998229871/6312999822987110092023233008.pdf</t>
  </si>
  <si>
    <t>https://dpmzos25m8ivg.cloudfront.net/Documentos/631/30011521848/6313001152184806092023120542.pdf</t>
  </si>
  <si>
    <t>https://dpmzos25m8ivg.cloudfront.net/Documentos/631/30032568827/6313003256882705092023143734.jpg</t>
  </si>
  <si>
    <t>https://dpmzos25m8ivg.cloudfront.net/Documentos/631/30036075884/6313003607588409092023212554.pdf</t>
  </si>
  <si>
    <t>https://dpmzos25m8ivg.cloudfront.net/Documentos/631/30041188829/6313004118882905092023144929.pdf</t>
  </si>
  <si>
    <t>https://dpmzos25m8ivg.cloudfront.net/Documentos/631/30051969840/6313005196984010092023123417.pdf</t>
  </si>
  <si>
    <t>https://dpmzos25m8ivg.cloudfront.net/Documentos/631/30122416805/6313012241680509092023000354.pdf</t>
  </si>
  <si>
    <t>https://dpmzos25m8ivg.cloudfront.net/Documentos/631/30127765832/6313012776583211092023130714.pdf</t>
  </si>
  <si>
    <t>https://dpmzos25m8ivg.cloudfront.net/Documentos/631/30145524884/6313014552488406092023185148.pdf</t>
  </si>
  <si>
    <t>https://dpmzos25m8ivg.cloudfront.net/Documentos/631/30156152894/6313015615289405092023163643.pdf</t>
  </si>
  <si>
    <t>https://dpmzos25m8ivg.cloudfront.net/Documentos/631/30169513807/6313016951380711092023145902.pdf</t>
  </si>
  <si>
    <t>https://dpmzos25m8ivg.cloudfront.net/Documentos/631/30214003884/6313021400388414092023102027.pdf</t>
  </si>
  <si>
    <t>https://dpmzos25m8ivg.cloudfront.net/Documentos/631/30244663807/6313024466380708092023124054.jpeg</t>
  </si>
  <si>
    <t>https://dpmzos25m8ivg.cloudfront.net/Documentos/631/30311433880/6313031143388010092023190556.jpg</t>
  </si>
  <si>
    <t>https://dpmzos25m8ivg.cloudfront.net/Documentos/631/30331624877/6313033162487714092023164122.pdf</t>
  </si>
  <si>
    <t>https://dpmzos25m8ivg.cloudfront.net/Documentos/631/30345986881/6313034598688111092023124939.pdf</t>
  </si>
  <si>
    <t>https://dpmzos25m8ivg.cloudfront.net/Documentos/631/30346620848/6313034662084807092023221130.pdf</t>
  </si>
  <si>
    <t>https://dpmzos25m8ivg.cloudfront.net/Documentos/631/30391408844/6313039140884405092023103554.pdf</t>
  </si>
  <si>
    <t>https://dpmzos25m8ivg.cloudfront.net/Documentos/631/30403420881/6313040342088105092023235819.jpg</t>
  </si>
  <si>
    <t>https://dpmzos25m8ivg.cloudfront.net/Documentos/631/30412035880/6313041203588013092023225555.jpg</t>
  </si>
  <si>
    <t>https://dpmzos25m8ivg.cloudfront.net/Documentos/631/30441780881/6313044178088111092023122426.pdf</t>
  </si>
  <si>
    <t>https://dpmzos25m8ivg.cloudfront.net/Documentos/631/30447923803/6313044792380313092023213504.pdf</t>
  </si>
  <si>
    <t>https://dpmzos25m8ivg.cloudfront.net/Documentos/631/30478939850/6313047893985011092023140615.jpg</t>
  </si>
  <si>
    <t>https://dpmzos25m8ivg.cloudfront.net/Documentos/631/30562180397/6313056218039705092023141322.pdf</t>
  </si>
  <si>
    <t>https://dpmzos25m8ivg.cloudfront.net/Documentos/631/30562349804/6313056234980411092023155345.pdf</t>
  </si>
  <si>
    <t>https://dpmzos25m8ivg.cloudfront.net/Documentos/631/30568108841/6313056810884109092023041942.pdf</t>
  </si>
  <si>
    <t>https://dpmzos25m8ivg.cloudfront.net/Documentos/631/30575468890/6313057546889007092023171943.pdf</t>
  </si>
  <si>
    <t>https://dpmzos25m8ivg.cloudfront.net/Documentos/631/30581477839/6313058147783908092023093430.pdf</t>
  </si>
  <si>
    <t>https://dpmzos25m8ivg.cloudfront.net/Documentos/631/30605791805/6313060579180511092023154232.pdf</t>
  </si>
  <si>
    <t>https://dpmzos25m8ivg.cloudfront.net/Documentos/631/30644667800/6313064466780005092023194408.jpg</t>
  </si>
  <si>
    <t>https://dpmzos25m8ivg.cloudfront.net/Documentos/631/30675771838/6313067577183805092023182434.pdf</t>
  </si>
  <si>
    <t>https://dpmzos25m8ivg.cloudfront.net/Documentos/631/30692614850/6313069261485013092023233008.pdf</t>
  </si>
  <si>
    <t>https://dpmzos25m8ivg.cloudfront.net/Documentos/631/30750703865/6313075070386507092023142839.jpg</t>
  </si>
  <si>
    <t>https://dpmzos25m8ivg.cloudfront.net/Documentos/631/30753346850/6313075334685014092023045301.jpg</t>
  </si>
  <si>
    <t>https://dpmzos25m8ivg.cloudfront.net/Documentos/631/30771254806/6313077125480606092023163858.pdf</t>
  </si>
  <si>
    <t>https://dpmzos25m8ivg.cloudfront.net/Documentos/631/30909198500/6313090919850011092023100055.pdf</t>
  </si>
  <si>
    <t>https://dpmzos25m8ivg.cloudfront.net/Documentos/631/30909635668/6313090963566807092023210339.jpg</t>
  </si>
  <si>
    <t>https://dpmzos25m8ivg.cloudfront.net/Documentos/631/30913879843/6313091387984310092023194021.pdf</t>
  </si>
  <si>
    <t>https://dpmzos25m8ivg.cloudfront.net/Documentos/631/30977575896/6313097757589611092023030659.pdf</t>
  </si>
  <si>
    <t>https://dpmzos25m8ivg.cloudfront.net/Documentos/631/30993394825/6313099339482507092023152842.pdf</t>
  </si>
  <si>
    <t>https://dpmzos25m8ivg.cloudfront.net/Documentos/631/31005937826/6313100593782611092023150601.pdf</t>
  </si>
  <si>
    <t>https://dpmzos25m8ivg.cloudfront.net/Documentos/631/31022768816/6313102276881606092023155418.pdf</t>
  </si>
  <si>
    <t>https://dpmzos25m8ivg.cloudfront.net/Documentos/631/31033578851/6313103357885111092023091535.pdf</t>
  </si>
  <si>
    <t>https://dpmzos25m8ivg.cloudfront.net/Documentos/631/31052146821/6313105214682111092023151224.pdf</t>
  </si>
  <si>
    <t>https://dpmzos25m8ivg.cloudfront.net/Documentos/631/31131724895/6313113172489505092023100336.pdf</t>
  </si>
  <si>
    <t>https://dpmzos25m8ivg.cloudfront.net/Documentos/631/31135983895/6313113598389511092023120748.pdf</t>
  </si>
  <si>
    <t>https://dpmzos25m8ivg.cloudfront.net/Documentos/631/31156241820/6313115624182005092023153003.jpeg</t>
  </si>
  <si>
    <t>https://dpmzos25m8ivg.cloudfront.net/Documentos/631/31190378850/6313119037885011092023145848.pdf</t>
  </si>
  <si>
    <t>https://dpmzos25m8ivg.cloudfront.net/Documentos/631/31193360846/6313119336084608092023184231.jpeg</t>
  </si>
  <si>
    <t>https://dpmzos25m8ivg.cloudfront.net/Documentos/631/31253722838/6313125372283811092023141602.pdf</t>
  </si>
  <si>
    <t>https://dpmzos25m8ivg.cloudfront.net/Documentos/631/31292030879/6313129203087911092023121034.jpg</t>
  </si>
  <si>
    <t>https://dpmzos25m8ivg.cloudfront.net/Documentos/631/31304089835/6313130408983507092023134554.pdf</t>
  </si>
  <si>
    <t>https://dpmzos25m8ivg.cloudfront.net/Documentos/631/31315971860/6313131597186006092023202403.pdf</t>
  </si>
  <si>
    <t>https://dpmzos25m8ivg.cloudfront.net/Documentos/631/31325832863/6313132583286314092023092652.pdf</t>
  </si>
  <si>
    <t>https://dpmzos25m8ivg.cloudfront.net/Documentos/631/31343674832/6313134367483214092023150146.pdf</t>
  </si>
  <si>
    <t>https://dpmzos25m8ivg.cloudfront.net/Documentos/631/31390228835/6313139022883505092023100127.jpg</t>
  </si>
  <si>
    <t>https://dpmzos25m8ivg.cloudfront.net/Documentos/631/31408540568/6313140854056805092023165025.pdf</t>
  </si>
  <si>
    <t>https://dpmzos25m8ivg.cloudfront.net/Documentos/631/31448542120/6313144854212011092023130720.jpg</t>
  </si>
  <si>
    <t>https://dpmzos25m8ivg.cloudfront.net/Documentos/631/31480060895/6313148006089506092023011938.pdf</t>
  </si>
  <si>
    <t>https://dpmzos25m8ivg.cloudfront.net/Documentos/631/31500154806/6313150015480610092023201029.pdf</t>
  </si>
  <si>
    <t>https://dpmzos25m8ivg.cloudfront.net/Documentos/631/31504224850/6313150422485011092023132513.pdf</t>
  </si>
  <si>
    <t>https://dpmzos25m8ivg.cloudfront.net/Documentos/631/31540842827/6313154084282711092023152316.pdf</t>
  </si>
  <si>
    <t>https://dpmzos25m8ivg.cloudfront.net/Documentos/631/31581962800/6313158196280011092023161953.pdf</t>
  </si>
  <si>
    <t>https://dpmzos25m8ivg.cloudfront.net/Documentos/631/31597483249/6313159748324911092023154200.pdf</t>
  </si>
  <si>
    <t>https://dpmzos25m8ivg.cloudfront.net/Documentos/631/31600182534/6313160018253405092023103817.jpeg</t>
  </si>
  <si>
    <t>https://dpmzos25m8ivg.cloudfront.net/Documentos/631/31605926850/6313160592685009092023132525.pdf</t>
  </si>
  <si>
    <t>https://dpmzos25m8ivg.cloudfront.net/Documentos/631/31611908825/6313161190882511092023143952.pdf</t>
  </si>
  <si>
    <t>https://dpmzos25m8ivg.cloudfront.net/Documentos/631/31612228810/6313161222881011092023152557.pdf</t>
  </si>
  <si>
    <t>https://dpmzos25m8ivg.cloudfront.net/Documentos/631/31667901877/6313166790187708092023234130.jpg</t>
  </si>
  <si>
    <t>https://dpmzos25m8ivg.cloudfront.net/Documentos/631/31691367800/6313169136780006092023165229.pdf</t>
  </si>
  <si>
    <t>https://dpmzos25m8ivg.cloudfront.net/Documentos/631/31722374861/6313172237486105092023154359.pdf</t>
  </si>
  <si>
    <t>https://dpmzos25m8ivg.cloudfront.net/Documentos/631/31726199827/6313172619982709092023181525.pdf</t>
  </si>
  <si>
    <t>https://dpmzos25m8ivg.cloudfront.net/Documentos/631/31728848806/6313172884880606092023141750.pdf</t>
  </si>
  <si>
    <t>https://dpmzos25m8ivg.cloudfront.net/Documentos/631/31732820864/6313173282086411092023142717.jpg</t>
  </si>
  <si>
    <t>https://dpmzos25m8ivg.cloudfront.net/Documentos/631/31777702801/6313177770280113092023091335.pdf</t>
  </si>
  <si>
    <t>https://dpmzos25m8ivg.cloudfront.net/Documentos/631/31794025553/6313179402555311092023162025.pdf</t>
  </si>
  <si>
    <t>https://dpmzos25m8ivg.cloudfront.net/Documentos/631/31849931836/6313184993183610092023135355.pdf</t>
  </si>
  <si>
    <t>https://dpmzos25m8ivg.cloudfront.net/Documentos/631/31863322817/6313186332281711092023010855.pdf</t>
  </si>
  <si>
    <t>https://dpmzos25m8ivg.cloudfront.net/Documentos/631/31887074520/6313188707452005092023162459.pdf</t>
  </si>
  <si>
    <t>https://dpmzos25m8ivg.cloudfront.net/Documentos/631/31888061839/6313188806183907092023161600.pdf</t>
  </si>
  <si>
    <t>https://dpmzos25m8ivg.cloudfront.net/Documentos/631/31903426871/6313190342687110092023213628.pdf</t>
  </si>
  <si>
    <t>https://dpmzos25m8ivg.cloudfront.net/Documentos/631/31924409291/6313192440929106092023151703.pdf</t>
  </si>
  <si>
    <t>https://dpmzos25m8ivg.cloudfront.net/Documentos/631/31935370200/6313193537020007092023205338.jpg</t>
  </si>
  <si>
    <t>https://dpmzos25m8ivg.cloudfront.net/Documentos/631/31947322850/6313194732285011092023162704.pdf</t>
  </si>
  <si>
    <t>https://dpmzos25m8ivg.cloudfront.net/Documentos/631/31948187833/6313194818783305092023202212.jpg</t>
  </si>
  <si>
    <t>https://dpmzos25m8ivg.cloudfront.net/Documentos/631/31949104850/6313194910485006092023192632.pdf</t>
  </si>
  <si>
    <t>https://dpmzos25m8ivg.cloudfront.net/Documentos/631/32064310851/6313206431085112092023234623.pdf</t>
  </si>
  <si>
    <t>https://dpmzos25m8ivg.cloudfront.net/Documentos/631/32079587889/6313207958788911092023135821.jpg</t>
  </si>
  <si>
    <t>https://dpmzos25m8ivg.cloudfront.net/Documentos/631/32111953865/6313211195386511092023132523.pdf</t>
  </si>
  <si>
    <t>https://dpmzos25m8ivg.cloudfront.net/Documentos/631/32120927855/6313212092785505092023143203.jpg</t>
  </si>
  <si>
    <t>https://dpmzos25m8ivg.cloudfront.net/Documentos/631/32176376234/6313217637623411092023002216.jpg</t>
  </si>
  <si>
    <t>https://dpmzos25m8ivg.cloudfront.net/Documentos/631/32196243833/6313219624383310092023145042.jpeg</t>
  </si>
  <si>
    <t>https://dpmzos25m8ivg.cloudfront.net/Documentos/631/32212656890/6313221265689013092023165954.pdf</t>
  </si>
  <si>
    <t>https://dpmzos25m8ivg.cloudfront.net/Documentos/631/32220571840/6313222057184011092023113938.jpeg</t>
  </si>
  <si>
    <t>https://dpmzos25m8ivg.cloudfront.net/Documentos/631/32251147829/6313225114782911092023153911.pdf</t>
  </si>
  <si>
    <t>https://dpmzos25m8ivg.cloudfront.net/Documentos/631/32266592866/6313226659286605092023160131.jpg</t>
  </si>
  <si>
    <t>https://dpmzos25m8ivg.cloudfront.net/Documentos/631/32278345885/6313227834588509092023172848.pdf</t>
  </si>
  <si>
    <t>https://dpmzos25m8ivg.cloudfront.net/Documentos/631/32303489822/6313230348982207092023123041.pdf</t>
  </si>
  <si>
    <t>https://dpmzos25m8ivg.cloudfront.net/Documentos/631/32311124862/6313231112486211092023112258.pdf</t>
  </si>
  <si>
    <t>https://dpmzos25m8ivg.cloudfront.net/Documentos/631/32398733890/6313239873389006092023065745.pdf</t>
  </si>
  <si>
    <t>https://dpmzos25m8ivg.cloudfront.net/Documentos/631/32410179827/6313241017982709092023110039.pdf</t>
  </si>
  <si>
    <t>https://dpmzos25m8ivg.cloudfront.net/Documentos/631/32428210840/6313242821084005092023171425.jpeg</t>
  </si>
  <si>
    <t>https://dpmzos25m8ivg.cloudfront.net/Documentos/631/32449635874/6313244963587411092023121907.pdf</t>
  </si>
  <si>
    <t>https://dpmzos25m8ivg.cloudfront.net/Documentos/631/32592139885/6313259213988514092023144905.jpeg</t>
  </si>
  <si>
    <t>https://dpmzos25m8ivg.cloudfront.net/Documentos/631/32666702804/6313266670280413092023163131.pdf</t>
  </si>
  <si>
    <t>https://dpmzos25m8ivg.cloudfront.net/Documentos/631/32686528400/6313268652840005092023102955.jpg</t>
  </si>
  <si>
    <t>https://dpmzos25m8ivg.cloudfront.net/Documentos/631/32768870889/6313276887088911092023161359.jpeg</t>
  </si>
  <si>
    <t>https://dpmzos25m8ivg.cloudfront.net/Documentos/631/32794058827/6313279405882706092023121440.pdf</t>
  </si>
  <si>
    <t>https://dpmzos25m8ivg.cloudfront.net/Documentos/631/32803345862/6313280334586210092023213517.pdf</t>
  </si>
  <si>
    <t>https://dpmzos25m8ivg.cloudfront.net/Documentos/631/32827636549/6313282763654905092023092437.pdf</t>
  </si>
  <si>
    <t>https://dpmzos25m8ivg.cloudfront.net/Documentos/631/32883263884/6313288326388410092023174756.jpg</t>
  </si>
  <si>
    <t>https://dpmzos25m8ivg.cloudfront.net/Documentos/631/32893565824/6313289356582405092023092102.pdf</t>
  </si>
  <si>
    <t>https://dpmzos25m8ivg.cloudfront.net/Documentos/631/32935358449/6313293535844911092023135453.pdf</t>
  </si>
  <si>
    <t>https://dpmzos25m8ivg.cloudfront.net/Documentos/631/32952794898/6313295279489811092023124222.jpeg</t>
  </si>
  <si>
    <t>https://dpmzos25m8ivg.cloudfront.net/Documentos/631/32977273816/6313297727381606092023151539.pdf</t>
  </si>
  <si>
    <t>https://dpmzos25m8ivg.cloudfront.net/Documentos/631/32999996802/6313299999680207092023233703.pdf</t>
  </si>
  <si>
    <t>https://dpmzos25m8ivg.cloudfront.net/Documentos/631/33052142879/6313305214287911092023081010.pdf</t>
  </si>
  <si>
    <t>https://dpmzos25m8ivg.cloudfront.net/Documentos/631/33054171884/6313305417188405092023162510.pdf</t>
  </si>
  <si>
    <t>https://dpmzos25m8ivg.cloudfront.net/Documentos/631/33073628878/6313307362887811092023165032.jpg</t>
  </si>
  <si>
    <t>https://dpmzos25m8ivg.cloudfront.net/Documentos/631/33090792877/6313309079287711092023152227.jpg</t>
  </si>
  <si>
    <t>https://dpmzos25m8ivg.cloudfront.net/Documentos/631/33094583857/6313309458385711092023135344.jpg</t>
  </si>
  <si>
    <t>https://dpmzos25m8ivg.cloudfront.net/Documentos/631/33098949830/6313309894983006092023112904.pdf</t>
  </si>
  <si>
    <t>https://dpmzos25m8ivg.cloudfront.net/Documentos/631/33111149811/6313311114981109092023143816.pdf</t>
  </si>
  <si>
    <t>https://dpmzos25m8ivg.cloudfront.net/Documentos/631/33124504895/6313312450489505092023201224.jpeg</t>
  </si>
  <si>
    <t>https://dpmzos25m8ivg.cloudfront.net/Documentos/631/33144868809/6313314486880910092023122530.jpg</t>
  </si>
  <si>
    <t>https://dpmzos25m8ivg.cloudfront.net/Documentos/631/33160661873/6313316066187311092023164306.pdf</t>
  </si>
  <si>
    <t>https://dpmzos25m8ivg.cloudfront.net/Documentos/631/33182321811/6313318232181111092023125322.pdf</t>
  </si>
  <si>
    <t>https://dpmzos25m8ivg.cloudfront.net/Documentos/631/33185450230/6313318545023011092023105332.pdf</t>
  </si>
  <si>
    <t>https://dpmzos25m8ivg.cloudfront.net/Documentos/631/33213855898/6313321385589811092023100836.pdf</t>
  </si>
  <si>
    <t>https://dpmzos25m8ivg.cloudfront.net/Documentos/631/33230975804/6313323097580405092023165925.jpg</t>
  </si>
  <si>
    <t>https://dpmzos25m8ivg.cloudfront.net/Documentos/631/33237295876/6313323729587610092023161123.pdf</t>
  </si>
  <si>
    <t>https://dpmzos25m8ivg.cloudfront.net/Documentos/631/33369201836/6313336920183608092023160601.pdf</t>
  </si>
  <si>
    <t>https://dpmzos25m8ivg.cloudfront.net/Documentos/631/33391271825/6313339127182505092023185127.pdf</t>
  </si>
  <si>
    <t>https://dpmzos25m8ivg.cloudfront.net/Documentos/631/33393490885/6313339349088504092023231215.pdf</t>
  </si>
  <si>
    <t>https://dpmzos25m8ivg.cloudfront.net/Documentos/631/33447616415/6313344761641511092023133434.pdf</t>
  </si>
  <si>
    <t>https://dpmzos25m8ivg.cloudfront.net/Documentos/631/33521727220/6313352172722013092023175216.pdf</t>
  </si>
  <si>
    <t>https://dpmzos25m8ivg.cloudfront.net/Documentos/631/33553901861/6313355390186107092023170251.pdf</t>
  </si>
  <si>
    <t>https://dpmzos25m8ivg.cloudfront.net/Documentos/631/33554555800/6313355455580011092023133115.pdf</t>
  </si>
  <si>
    <t>https://dpmzos25m8ivg.cloudfront.net/Documentos/631/33560625734/6313356062573405092023170226.pdf</t>
  </si>
  <si>
    <t>https://dpmzos25m8ivg.cloudfront.net/Documentos/631/33565386835/6313356538683511092023121246.jpeg</t>
  </si>
  <si>
    <t>https://dpmzos25m8ivg.cloudfront.net/Documentos/631/33599429812/6313359942981211092023165350.jpg</t>
  </si>
  <si>
    <t>https://dpmzos25m8ivg.cloudfront.net/Documentos/631/33613454807/6313361345480711092023163055.jpeg</t>
  </si>
  <si>
    <t>https://dpmzos25m8ivg.cloudfront.net/Documentos/631/33657717862/6313365771786209092023115530.jpeg</t>
  </si>
  <si>
    <t>https://dpmzos25m8ivg.cloudfront.net/Documentos/631/33706249820/6313370624982011092023112148.pdf</t>
  </si>
  <si>
    <t>https://dpmzos25m8ivg.cloudfront.net/Documentos/631/33724081871/6313372408187106092023145043.jpeg</t>
  </si>
  <si>
    <t>https://dpmzos25m8ivg.cloudfront.net/Documentos/631/33746565871/6313374656587105092023012841.pdf</t>
  </si>
  <si>
    <t>https://dpmzos25m8ivg.cloudfront.net/Documentos/631/33782338855/6313378233885507092023172144.pdf</t>
  </si>
  <si>
    <t>https://dpmzos25m8ivg.cloudfront.net/Documentos/631/33813462889/6313381346288911092023153212.pdf</t>
  </si>
  <si>
    <t>https://dpmzos25m8ivg.cloudfront.net/Documentos/631/33848205840/6313384820584011092023145450.pdf</t>
  </si>
  <si>
    <t>https://dpmzos25m8ivg.cloudfront.net/Documentos/631/33879142882/6313387914288210092023215247.jpg</t>
  </si>
  <si>
    <t>https://dpmzos25m8ivg.cloudfront.net/Documentos/631/33922135862/6313392213586210092023192300.jpg</t>
  </si>
  <si>
    <t>https://dpmzos25m8ivg.cloudfront.net/Documentos/631/33939216810/6313393921681006092023110702.pdf</t>
  </si>
  <si>
    <t>https://dpmzos25m8ivg.cloudfront.net/Documentos/631/33948277869/6313394827786911092023141952.pdf</t>
  </si>
  <si>
    <t>https://dpmzos25m8ivg.cloudfront.net/Documentos/631/33968050894/6313396805089413092023193615.pdf</t>
  </si>
  <si>
    <t>https://dpmzos25m8ivg.cloudfront.net/Documentos/631/34043472854/6313404347285411092023141315.pdf</t>
  </si>
  <si>
    <t>https://dpmzos25m8ivg.cloudfront.net/Documentos/631/34050004836/6313405000483606092023155634.pdf</t>
  </si>
  <si>
    <t>https://dpmzos25m8ivg.cloudfront.net/Documentos/631/34123830234/6313412383023406092023191946.pdf</t>
  </si>
  <si>
    <t>https://dpmzos25m8ivg.cloudfront.net/Documentos/631/34145592859/6313414559285905092023165145.pdf</t>
  </si>
  <si>
    <t>https://dpmzos25m8ivg.cloudfront.net/Documentos/631/34145724860/6313414572486011092023160248.pdf</t>
  </si>
  <si>
    <t>https://dpmzos25m8ivg.cloudfront.net/Documentos/631/34212124149/6313421212414905092023080157.pdf</t>
  </si>
  <si>
    <t>https://dpmzos25m8ivg.cloudfront.net/Documentos/631/34256280898/6313425628089813092023233215.pdf</t>
  </si>
  <si>
    <t>https://dpmzos25m8ivg.cloudfront.net/Documentos/631/34270056827/6313427005682711092023063356.pdf</t>
  </si>
  <si>
    <t>https://dpmzos25m8ivg.cloudfront.net/Documentos/631/34287269870/6313428726987009092023233721.pdf</t>
  </si>
  <si>
    <t>https://dpmzos25m8ivg.cloudfront.net/Documentos/631/34332465806/6313433246580610092023011033.pdf</t>
  </si>
  <si>
    <t>https://dpmzos25m8ivg.cloudfront.net/Documentos/631/34352090387/6313435209038711092023161051.pdf</t>
  </si>
  <si>
    <t>https://dpmzos25m8ivg.cloudfront.net/Documentos/631/34371444806/6313437144480611092023152704.pdf</t>
  </si>
  <si>
    <t>https://dpmzos25m8ivg.cloudfront.net/Documentos/631/34377944851/6313437794485105092023212322.pdf</t>
  </si>
  <si>
    <t>https://dpmzos25m8ivg.cloudfront.net/Documentos/631/34391967200/6313439196720011092023115154.pdf</t>
  </si>
  <si>
    <t>https://dpmzos25m8ivg.cloudfront.net/Documentos/631/34432040823/6313443204082306092023151724.pdf</t>
  </si>
  <si>
    <t>https://dpmzos25m8ivg.cloudfront.net/Documentos/631/34501913819/6313450191381905092023102357.jpeg</t>
  </si>
  <si>
    <t>https://dpmzos25m8ivg.cloudfront.net/Documentos/631/34503182846/6313450318284610092023105943.jpeg</t>
  </si>
  <si>
    <t>https://dpmzos25m8ivg.cloudfront.net/Documentos/631/34507337453/6313450733745309092023115507.pdf</t>
  </si>
  <si>
    <t>https://dpmzos25m8ivg.cloudfront.net/Documentos/631/34518317831/6313451831783111092023140126.pdf</t>
  </si>
  <si>
    <t>https://dpmzos25m8ivg.cloudfront.net/Documentos/631/34543315871/6313454331587109092023140503.jpg</t>
  </si>
  <si>
    <t>https://dpmzos25m8ivg.cloudfront.net/Documentos/631/34564832875/6313456483287508092023064100.jpg</t>
  </si>
  <si>
    <t>https://dpmzos25m8ivg.cloudfront.net/Documentos/631/34645604813/6313464560481311092023105049.pdf</t>
  </si>
  <si>
    <t>https://dpmzos25m8ivg.cloudfront.net/Documentos/631/34715989875/6313471598987512092023230259.pdf</t>
  </si>
  <si>
    <t>https://dpmzos25m8ivg.cloudfront.net/Documentos/631/34734181888/6313473418188811092023133008.pdf</t>
  </si>
  <si>
    <t>https://dpmzos25m8ivg.cloudfront.net/Documentos/631/34845634864/6313484563486411092023073323.pdf</t>
  </si>
  <si>
    <t>https://dpmzos25m8ivg.cloudfront.net/Documentos/631/34890477888/6313489047788809092023212905.pdf</t>
  </si>
  <si>
    <t>https://dpmzos25m8ivg.cloudfront.net/Documentos/631/34922153861/6313492215386111092023112058.jpeg</t>
  </si>
  <si>
    <t>https://dpmzos25m8ivg.cloudfront.net/Documentos/631/34967346391/6313496734639107092023164953.pdf</t>
  </si>
  <si>
    <t>https://dpmzos25m8ivg.cloudfront.net/Documentos/631/35018033894/6313501803389411092023163237.jpg</t>
  </si>
  <si>
    <t>https://dpmzos25m8ivg.cloudfront.net/Documentos/631/35025579856/6313502557985611092023110312.pdf</t>
  </si>
  <si>
    <t>https://dpmzos25m8ivg.cloudfront.net/Documentos/631/35069354884/6313506935488414092023164206.pdf</t>
  </si>
  <si>
    <t>https://dpmzos25m8ivg.cloudfront.net/Documentos/631/35139679850/6313513967985011092023153536.pdf</t>
  </si>
  <si>
    <t>https://dpmzos25m8ivg.cloudfront.net/Documentos/631/35183670803/6313518367080308092023202412.pdf</t>
  </si>
  <si>
    <t>https://dpmzos25m8ivg.cloudfront.net/Documentos/631/35292014800/6313529201480010092023112001.pdf</t>
  </si>
  <si>
    <t>https://dpmzos25m8ivg.cloudfront.net/Documentos/631/35395822828/6313539582282807092023152330.pdf</t>
  </si>
  <si>
    <t>https://dpmzos25m8ivg.cloudfront.net/Documentos/631/35420210835/6313542021083511092023145752.pdf</t>
  </si>
  <si>
    <t>https://dpmzos25m8ivg.cloudfront.net/Documentos/631/35460614899/6313546061489908092023130629.pdf</t>
  </si>
  <si>
    <t>https://dpmzos25m8ivg.cloudfront.net/Documentos/631/35482313816/6313548231381605092023220816.pdf</t>
  </si>
  <si>
    <t>https://dpmzos25m8ivg.cloudfront.net/Documentos/631/35530881840/6313553088184005092023124620.jpeg</t>
  </si>
  <si>
    <t>https://dpmzos25m8ivg.cloudfront.net/Documentos/631/35547786802/6313554778680208092023221855.pdf</t>
  </si>
  <si>
    <t>https://dpmzos25m8ivg.cloudfront.net/Documentos/631/35582455809/6313558245580909092023101239.pdf</t>
  </si>
  <si>
    <t>https://dpmzos25m8ivg.cloudfront.net/Documentos/631/35584421804/6313558442180405092023133834.pdf</t>
  </si>
  <si>
    <t>https://dpmzos25m8ivg.cloudfront.net/Documentos/631/35596075825/6313559607582506092023031342.pdf</t>
  </si>
  <si>
    <t>https://dpmzos25m8ivg.cloudfront.net/Documentos/631/35669264851/6313566926485114092023145749.pdf</t>
  </si>
  <si>
    <t>https://dpmzos25m8ivg.cloudfront.net/Documentos/631/35779135843/6313577913584306092023124221.pdf</t>
  </si>
  <si>
    <t>https://dpmzos25m8ivg.cloudfront.net/Documentos/631/35788044871/6313578804487105092023182720.pdf</t>
  </si>
  <si>
    <t>https://dpmzos25m8ivg.cloudfront.net/Documentos/631/35807000811/6313580700081111092023134626.pdf</t>
  </si>
  <si>
    <t>https://dpmzos25m8ivg.cloudfront.net/Documentos/631/35843236811/6313584323681110092023204503.pdf</t>
  </si>
  <si>
    <t>https://dpmzos25m8ivg.cloudfront.net/Documentos/631/35843942449/6313584394244905092023172637.pdf</t>
  </si>
  <si>
    <t>https://dpmzos25m8ivg.cloudfront.net/Documentos/631/35848596972/6313584859697211092023132708.jpg</t>
  </si>
  <si>
    <t>https://dpmzos25m8ivg.cloudfront.net/Documentos/631/35877320866/6313587732086611092023113844.pdf</t>
  </si>
  <si>
    <t>https://dpmzos25m8ivg.cloudfront.net/Documentos/631/35888997153/6313588899715312092023213918.pdf</t>
  </si>
  <si>
    <t>https://dpmzos25m8ivg.cloudfront.net/Documentos/631/35907417838/6313590741783809092023151629.jpeg</t>
  </si>
  <si>
    <t>https://dpmzos25m8ivg.cloudfront.net/Documentos/631/35924048810/6313592404881011092023092548.pdf</t>
  </si>
  <si>
    <t>https://dpmzos25m8ivg.cloudfront.net/Documentos/631/35950286863/6313595028686311092023133244.pdf</t>
  </si>
  <si>
    <t>https://dpmzos25m8ivg.cloudfront.net/Documentos/631/36048336802/6313604833680205092023201041.pdf</t>
  </si>
  <si>
    <t>https://dpmzos25m8ivg.cloudfront.net/Documentos/631/36049062889/6313604906288911092023112829.jpg</t>
  </si>
  <si>
    <t>https://dpmzos25m8ivg.cloudfront.net/Documentos/631/36065311847/6313606531184714092023160319.pdf</t>
  </si>
  <si>
    <t>https://dpmzos25m8ivg.cloudfront.net/Documentos/631/36118469881/6313611846988111092023160234.pdf</t>
  </si>
  <si>
    <t>https://dpmzos25m8ivg.cloudfront.net/Documentos/631/36143684839/6313614368483910092023173623.pdf</t>
  </si>
  <si>
    <t>https://dpmzos25m8ivg.cloudfront.net/Documentos/631/36155656819/6313615565681908092023111054.pdf</t>
  </si>
  <si>
    <t>https://dpmzos25m8ivg.cloudfront.net/Documentos/631/36173425823/6313617342582306092023143440.pdf</t>
  </si>
  <si>
    <t>https://dpmzos25m8ivg.cloudfront.net/Documentos/631/36196690159/6313619669015910092023215532.pdf</t>
  </si>
  <si>
    <t>https://dpmzos25m8ivg.cloudfront.net/Documentos/631/36235201877/6313623520187705092023092207.pdf</t>
  </si>
  <si>
    <t>https://dpmzos25m8ivg.cloudfront.net/Documentos/631/36236814821/6313623681482105092023113816.pdf</t>
  </si>
  <si>
    <t>https://dpmzos25m8ivg.cloudfront.net/Documentos/631/36269437806/6313626943780608092023144429.jpg</t>
  </si>
  <si>
    <t>https://dpmzos25m8ivg.cloudfront.net/Documentos/631/36289424890/6313628942489011092023153528.jpeg</t>
  </si>
  <si>
    <t>https://dpmzos25m8ivg.cloudfront.net/Documentos/631/36312994864/6313631299486405092023160411.jpg</t>
  </si>
  <si>
    <t>https://dpmzos25m8ivg.cloudfront.net/Documentos/631/36338241898/6313633824189807092023112403.pdf</t>
  </si>
  <si>
    <t>https://dpmzos25m8ivg.cloudfront.net/Documentos/631/36361497844/6313636149784414092023093422.pdf</t>
  </si>
  <si>
    <t>https://dpmzos25m8ivg.cloudfront.net/Documentos/631/36378302804/6313637830280406092023152258.pdf</t>
  </si>
  <si>
    <t>https://dpmzos25m8ivg.cloudfront.net/Documentos/631/36431013840/6313643101384006092023140915.jpg</t>
  </si>
  <si>
    <t>https://dpmzos25m8ivg.cloudfront.net/Documentos/631/36457687857/6313645768785711092023145409.jpeg</t>
  </si>
  <si>
    <t>https://dpmzos25m8ivg.cloudfront.net/Documentos/631/36475441830/6313647544183011092023151142.jpeg</t>
  </si>
  <si>
    <t>https://dpmzos25m8ivg.cloudfront.net/Documentos/631/36504814805/6313650481480507092023224054.jpeg</t>
  </si>
  <si>
    <t>https://dpmzos25m8ivg.cloudfront.net/Documentos/631/36506664991/6313650666499110092023233115.jpeg</t>
  </si>
  <si>
    <t>https://dpmzos25m8ivg.cloudfront.net/Documentos/631/36566220860/6313656622086011092023151244.pdf</t>
  </si>
  <si>
    <t>https://dpmzos25m8ivg.cloudfront.net/Documentos/631/36586641349/6313658664134911092023041719.pdf</t>
  </si>
  <si>
    <t>https://dpmzos25m8ivg.cloudfront.net/Documentos/631/36666280873/6313666628087306092023111808.pdf</t>
  </si>
  <si>
    <t>https://dpmzos25m8ivg.cloudfront.net/Documentos/631/36673536420/6313667353642005092023090542.pdf</t>
  </si>
  <si>
    <t>https://dpmzos25m8ivg.cloudfront.net/Documentos/631/36707269852/6313670726985206092023150556.pdf</t>
  </si>
  <si>
    <t>https://dpmzos25m8ivg.cloudfront.net/Documentos/631/36729273844/6313672927384406092023094719.pdf</t>
  </si>
  <si>
    <t>https://dpmzos25m8ivg.cloudfront.net/Documentos/631/36735426304/6313673542630411092023113416.pdf</t>
  </si>
  <si>
    <t>https://dpmzos25m8ivg.cloudfront.net/Documentos/631/36764397830/6313676439783014092023135539.jpg</t>
  </si>
  <si>
    <t>https://dpmzos25m8ivg.cloudfront.net/Documentos/631/36771907899/6313677190789911092023150758.pdf</t>
  </si>
  <si>
    <t>https://dpmzos25m8ivg.cloudfront.net/Documentos/631/36787874871/6313678787487105092023113836.jpeg</t>
  </si>
  <si>
    <t>https://dpmzos25m8ivg.cloudfront.net/Documentos/631/36817529824/6313681752982414092023153641.pdf</t>
  </si>
  <si>
    <t>https://dpmzos25m8ivg.cloudfront.net/Documentos/631/36920318822/6313692031882208092023221104.jpeg</t>
  </si>
  <si>
    <t>https://dpmzos25m8ivg.cloudfront.net/Documentos/631/36948661831/6313694866183111092023153716.pdf</t>
  </si>
  <si>
    <t>https://dpmzos25m8ivg.cloudfront.net/Documentos/631/36968397870/6313696839787009092023144713.jpeg</t>
  </si>
  <si>
    <t>https://dpmzos25m8ivg.cloudfront.net/Documentos/631/36991258822/6313699125882211092023141056.pdf</t>
  </si>
  <si>
    <t>https://dpmzos25m8ivg.cloudfront.net/Documentos/631/37059970843/6313705997084310092023230552.pdf</t>
  </si>
  <si>
    <t>https://dpmzos25m8ivg.cloudfront.net/Documentos/631/37072931813/6313707293181312092023204606.pdf</t>
  </si>
  <si>
    <t>https://dpmzos25m8ivg.cloudfront.net/Documentos/631/37088420813/6313708842081306092023180015.pdf</t>
  </si>
  <si>
    <t>https://dpmzos25m8ivg.cloudfront.net/Documentos/631/37107790811/6313710779081112092023182727.jpg</t>
  </si>
  <si>
    <t>https://dpmzos25m8ivg.cloudfront.net/Documentos/631/37175825854/6313717582585406092023093935.pdf</t>
  </si>
  <si>
    <t>https://dpmzos25m8ivg.cloudfront.net/Documentos/631/37226921804/6313722692180405092023123658.pdf</t>
  </si>
  <si>
    <t>https://dpmzos25m8ivg.cloudfront.net/Documentos/631/37232126387/6313723212638711092023142145.jpg</t>
  </si>
  <si>
    <t>https://dpmzos25m8ivg.cloudfront.net/Documentos/631/37277296869/6313727729686907092023133207.pdf</t>
  </si>
  <si>
    <t>https://dpmzos25m8ivg.cloudfront.net/Documentos/631/37290681215/6313729068121506092023160129.pdf</t>
  </si>
  <si>
    <t>https://dpmzos25m8ivg.cloudfront.net/Documentos/631/37303638830/6313730363883005092023121149.pdf</t>
  </si>
  <si>
    <t>https://dpmzos25m8ivg.cloudfront.net/Documentos/631/37311045800/6313731104580014092023165516.pdf</t>
  </si>
  <si>
    <t>https://dpmzos25m8ivg.cloudfront.net/Documentos/631/37311511895/6313731151189510092023234340.pdf</t>
  </si>
  <si>
    <t>https://dpmzos25m8ivg.cloudfront.net/Documentos/631/37322296885/6313732229688507092023135611.pdf</t>
  </si>
  <si>
    <t>https://dpmzos25m8ivg.cloudfront.net/Documentos/631/37340434844/6313734043484411092023130628.jpg</t>
  </si>
  <si>
    <t>https://dpmzos25m8ivg.cloudfront.net/Documentos/631/37346569822/6313734656982206092023201408.pdf</t>
  </si>
  <si>
    <t>https://dpmzos25m8ivg.cloudfront.net/Documentos/631/37354779172/6313735477917206092023122224.jpg</t>
  </si>
  <si>
    <t>https://dpmzos25m8ivg.cloudfront.net/Documentos/631/37379016865/6313737901686509092023160914.pdf</t>
  </si>
  <si>
    <t>https://dpmzos25m8ivg.cloudfront.net/Documentos/631/37388552898/6313738855289806092023115137.pdf</t>
  </si>
  <si>
    <t>https://dpmzos25m8ivg.cloudfront.net/Documentos/631/37452471830/6313745247183005092023162815.pdf</t>
  </si>
  <si>
    <t>https://dpmzos25m8ivg.cloudfront.net/Documentos/631/37461431870/6313746143187005092023215132.pdf</t>
  </si>
  <si>
    <t>https://dpmzos25m8ivg.cloudfront.net/Documentos/631/37480172869/6313748017286911092023002057.jpg</t>
  </si>
  <si>
    <t>https://dpmzos25m8ivg.cloudfront.net/Documentos/631/37494510877/6313749451087706092023135414.pdf</t>
  </si>
  <si>
    <t>https://dpmzos25m8ivg.cloudfront.net/Documentos/631/37500880553/6313750088055310092023192946.pdf</t>
  </si>
  <si>
    <t>https://dpmzos25m8ivg.cloudfront.net/Documentos/631/37562325812/6313756232581207092023064830.pdf</t>
  </si>
  <si>
    <t>https://dpmzos25m8ivg.cloudfront.net/Documentos/631/37605148801/6313760514880105092023112017.pdf</t>
  </si>
  <si>
    <t>https://dpmzos25m8ivg.cloudfront.net/Documentos/631/37644213805/6313764421380514092023132705.jpeg</t>
  </si>
  <si>
    <t>https://dpmzos25m8ivg.cloudfront.net/Documentos/631/37648842823/6313764884282311092023070142.pdf</t>
  </si>
  <si>
    <t>https://dpmzos25m8ivg.cloudfront.net/Documentos/631/37655608806/6313765560880611092023162336.pdf</t>
  </si>
  <si>
    <t>https://dpmzos25m8ivg.cloudfront.net/Documentos/631/37694108827/6313769410882708092023183122.jpeg</t>
  </si>
  <si>
    <t>https://dpmzos25m8ivg.cloudfront.net/Documentos/631/37730911841/6313773091184109092023195120.jpeg</t>
  </si>
  <si>
    <t>https://dpmzos25m8ivg.cloudfront.net/Documentos/631/37731998215/6313773199821511092023133637.pdf</t>
  </si>
  <si>
    <t>https://dpmzos25m8ivg.cloudfront.net/Documentos/631/37779781836/6313777978183611092023165440.pdf</t>
  </si>
  <si>
    <t>https://dpmzos25m8ivg.cloudfront.net/Documentos/631/37782238870/6313778223887010092023165232.pdf</t>
  </si>
  <si>
    <t>https://dpmzos25m8ivg.cloudfront.net/Documentos/631/37833837814/6313783383781411092023155844.pdf</t>
  </si>
  <si>
    <t>https://dpmzos25m8ivg.cloudfront.net/Documentos/631/37836104869/6313783610486910092023220104.pdf</t>
  </si>
  <si>
    <t>https://dpmzos25m8ivg.cloudfront.net/Documentos/631/37836482898/6313783648289811092023163219.jpg</t>
  </si>
  <si>
    <t>https://dpmzos25m8ivg.cloudfront.net/Documentos/631/37852141897/6313785214189708092023184645.pdf</t>
  </si>
  <si>
    <t>https://dpmzos25m8ivg.cloudfront.net/Documentos/631/37854992568/6313785499256811092023130955.pdf</t>
  </si>
  <si>
    <t>https://dpmzos25m8ivg.cloudfront.net/Documentos/631/37857824895/6313785782489505092023224634.pdf</t>
  </si>
  <si>
    <t>https://dpmzos25m8ivg.cloudfront.net/Documentos/631/37925185899/6313792518589910092023220104.pdf</t>
  </si>
  <si>
    <t>https://dpmzos25m8ivg.cloudfront.net/Documentos/631/37940023187/6313794002318711092023161930.pdf</t>
  </si>
  <si>
    <t>https://dpmzos25m8ivg.cloudfront.net/Documentos/631/37956589851/6313795658985105092023214332.pdf</t>
  </si>
  <si>
    <t>https://dpmzos25m8ivg.cloudfront.net/Documentos/631/37974126817/6313797412681705092023092711.pdf</t>
  </si>
  <si>
    <t>https://dpmzos25m8ivg.cloudfront.net/Documentos/631/37981863830/6313798186383013092023101419.pdf</t>
  </si>
  <si>
    <t>https://dpmzos25m8ivg.cloudfront.net/Documentos/631/37988898809/6313798889880907092023123132.pdf</t>
  </si>
  <si>
    <t>https://dpmzos25m8ivg.cloudfront.net/Documentos/631/37989916851/6313798991685110092023193753.pdf</t>
  </si>
  <si>
    <t>https://dpmzos25m8ivg.cloudfront.net/Documentos/631/38015251800/6313801525180006092023210830.jpeg</t>
  </si>
  <si>
    <t>https://dpmzos25m8ivg.cloudfront.net/Documentos/631/38036261880/6313803626188007092023210126.pdf</t>
  </si>
  <si>
    <t>https://dpmzos25m8ivg.cloudfront.net/Documentos/631/38096126857/6313809612685705092023150039.pdf</t>
  </si>
  <si>
    <t>https://dpmzos25m8ivg.cloudfront.net/Documentos/631/38108105846/6313810810584611092023155912.pdf</t>
  </si>
  <si>
    <t>https://dpmzos25m8ivg.cloudfront.net/Documentos/631/38138751800/6313813875180011092023154543.jpg</t>
  </si>
  <si>
    <t>https://dpmzos25m8ivg.cloudfront.net/Documentos/631/38170821851/6313817082185106092023203112.pdf</t>
  </si>
  <si>
    <t>https://dpmzos25m8ivg.cloudfront.net/Documentos/631/38199286857/6313819928685711092023150058.jpeg</t>
  </si>
  <si>
    <t>https://dpmzos25m8ivg.cloudfront.net/Documentos/631/38205689806/6313820568980614092023142836.jpg</t>
  </si>
  <si>
    <t>https://dpmzos25m8ivg.cloudfront.net/Documentos/631/38219554819/6313821955481906092023143046.pdf</t>
  </si>
  <si>
    <t>https://dpmzos25m8ivg.cloudfront.net/Documentos/631/38402734200/6313840273420008092023202557.jpg</t>
  </si>
  <si>
    <t>https://dpmzos25m8ivg.cloudfront.net/Documentos/631/38405852875/6313840585287511092023003051.pdf</t>
  </si>
  <si>
    <t>https://dpmzos25m8ivg.cloudfront.net/Documentos/631/38409506866/6313840950686610092023214623.jpg</t>
  </si>
  <si>
    <t>https://dpmzos25m8ivg.cloudfront.net/Documentos/631/38450168848/6313845016884805092023143126.jpeg</t>
  </si>
  <si>
    <t>https://dpmzos25m8ivg.cloudfront.net/Documentos/631/38499198899/6313849919889906092023185111.pdf</t>
  </si>
  <si>
    <t>https://dpmzos25m8ivg.cloudfront.net/Documentos/631/38525029858/6313852502985805092023220258.pdf</t>
  </si>
  <si>
    <t>https://dpmzos25m8ivg.cloudfront.net/Documentos/631/38530590821/6313853059082106092023145737.pdf</t>
  </si>
  <si>
    <t>https://dpmzos25m8ivg.cloudfront.net/Documentos/631/38536490845/6313853649084513092023172402.jpeg</t>
  </si>
  <si>
    <t>https://dpmzos25m8ivg.cloudfront.net/Documentos/631/38605039876/6313860503987610092023223626.jpg</t>
  </si>
  <si>
    <t>https://dpmzos25m8ivg.cloudfront.net/Documentos/631/38666663812/6313866666381210092023114850.pdf</t>
  </si>
  <si>
    <t>https://dpmzos25m8ivg.cloudfront.net/Documentos/631/38672864859/6313867286485910092023235209.pdf</t>
  </si>
  <si>
    <t>https://dpmzos25m8ivg.cloudfront.net/Documentos/631/38687364253/6313868736425306092023144329.pdf</t>
  </si>
  <si>
    <t>https://dpmzos25m8ivg.cloudfront.net/Documentos/631/38691785829/6313869178582910092023221556.pdf</t>
  </si>
  <si>
    <t>https://dpmzos25m8ivg.cloudfront.net/Documentos/631/38718304885/6313871830488513092023205413.jpeg</t>
  </si>
  <si>
    <t>https://dpmzos25m8ivg.cloudfront.net/Documentos/631/38721130892/6313872113089211092023002601.jpg</t>
  </si>
  <si>
    <t>https://dpmzos25m8ivg.cloudfront.net/Documentos/631/38724081515/6313872408151507092023183738.jpg</t>
  </si>
  <si>
    <t>https://dpmzos25m8ivg.cloudfront.net/Documentos/631/38727469875/6313872746987514092023011835.pdf</t>
  </si>
  <si>
    <t>https://dpmzos25m8ivg.cloudfront.net/Documentos/631/38731491847/6313873149184711092023144349.pdf</t>
  </si>
  <si>
    <t>https://dpmzos25m8ivg.cloudfront.net/Documentos/631/38747924802/6313874792480207092023211523.jpeg</t>
  </si>
  <si>
    <t>https://dpmzos25m8ivg.cloudfront.net/Documentos/631/38766251818/6313876625181805092023092725.jpg</t>
  </si>
  <si>
    <t>https://dpmzos25m8ivg.cloudfront.net/Documentos/631/38829229822/6313882922982206092023142224.jpeg</t>
  </si>
  <si>
    <t>https://dpmzos25m8ivg.cloudfront.net/Documentos/631/38861267149/6313886126714910092023230507.pdf</t>
  </si>
  <si>
    <t>https://dpmzos25m8ivg.cloudfront.net/Documentos/631/38970534890/6313897053489013092023163309.pdf</t>
  </si>
  <si>
    <t>https://dpmzos25m8ivg.cloudfront.net/Documentos/631/38989519870/6313898951987011092023093235.pdf</t>
  </si>
  <si>
    <t>https://dpmzos25m8ivg.cloudfront.net/Documentos/631/39030198877/6313903019887711092023114437.jpg</t>
  </si>
  <si>
    <t>https://dpmzos25m8ivg.cloudfront.net/Documentos/631/39084572890/6313908457289011092023164852.jpg</t>
  </si>
  <si>
    <t>https://dpmzos25m8ivg.cloudfront.net/Documentos/631/39124637866/6313912463786612092023182504.jpg</t>
  </si>
  <si>
    <t>https://dpmzos25m8ivg.cloudfront.net/Documentos/631/39136004855/6313913600485505092023161419.pdf</t>
  </si>
  <si>
    <t>https://dpmzos25m8ivg.cloudfront.net/Documentos/631/39163187809/6313916318780905092023203146.pdf</t>
  </si>
  <si>
    <t>https://dpmzos25m8ivg.cloudfront.net/Documentos/631/39189050800/6313918905080006092023191604.pdf</t>
  </si>
  <si>
    <t>https://dpmzos25m8ivg.cloudfront.net/Documentos/631/39202748810/6313920274881005092023152416.pdf</t>
  </si>
  <si>
    <t>https://dpmzos25m8ivg.cloudfront.net/Documentos/631/39238381828/6313923838182804092023215046.pdf</t>
  </si>
  <si>
    <t>https://dpmzos25m8ivg.cloudfront.net/Documentos/631/39425677840/6313942567784013092023145452.pdf</t>
  </si>
  <si>
    <t>https://dpmzos25m8ivg.cloudfront.net/Documentos/631/39457387848/6313945738784811092023155214.jpeg</t>
  </si>
  <si>
    <t>https://dpmzos25m8ivg.cloudfront.net/Documentos/631/39478206826/6313947820682611092023165328.pdf</t>
  </si>
  <si>
    <t>https://dpmzos25m8ivg.cloudfront.net/Documentos/631/39490742520/6313949074252006092023124831.pdf</t>
  </si>
  <si>
    <t>https://dpmzos25m8ivg.cloudfront.net/Documentos/631/39493806391/6313949380639105092023114417.pdf</t>
  </si>
  <si>
    <t>https://dpmzos25m8ivg.cloudfront.net/Documentos/631/39498932883/6313949893288307092023000158.pdf</t>
  </si>
  <si>
    <t>https://dpmzos25m8ivg.cloudfront.net/Documentos/631/39527809878/6313952780987811092023170111.pdf</t>
  </si>
  <si>
    <t>https://dpmzos25m8ivg.cloudfront.net/Documentos/631/39540405220/6313954040522011092023084853.pdf</t>
  </si>
  <si>
    <t>https://dpmzos25m8ivg.cloudfront.net/Documentos/631/39555482870/6313955548287011092023160015.pdf</t>
  </si>
  <si>
    <t>https://dpmzos25m8ivg.cloudfront.net/Documentos/631/39620912896/6313962091289605092023110122.pdf</t>
  </si>
  <si>
    <t>https://dpmzos25m8ivg.cloudfront.net/Documentos/631/39694235898/6313969423589805092023091007.jpg</t>
  </si>
  <si>
    <t>https://dpmzos25m8ivg.cloudfront.net/Documentos/631/39712516504/6313971251650411092023140015.pdf</t>
  </si>
  <si>
    <t>https://dpmzos25m8ivg.cloudfront.net/Documentos/631/39754550808/6313975455080811092023010316.jpg</t>
  </si>
  <si>
    <t>https://dpmzos25m8ivg.cloudfront.net/Documentos/631/39766330549/6313976633054905092023175416.jpeg</t>
  </si>
  <si>
    <t>https://dpmzos25m8ivg.cloudfront.net/Documentos/631/39774346831/6313977434683105092023105111.pdf</t>
  </si>
  <si>
    <t>https://dpmzos25m8ivg.cloudfront.net/Documentos/631/39776796869/6313977679686911092023150527.pdf</t>
  </si>
  <si>
    <t>https://dpmzos25m8ivg.cloudfront.net/Documentos/631/39804398877/6313980439887711092023123808.jpg</t>
  </si>
  <si>
    <t>https://dpmzos25m8ivg.cloudfront.net/Documentos/631/39821768830/6313982176883009092023130958.pdf</t>
  </si>
  <si>
    <t>https://dpmzos25m8ivg.cloudfront.net/Documentos/631/39843131878/6313984313187814092023070501.pdf</t>
  </si>
  <si>
    <t>https://dpmzos25m8ivg.cloudfront.net/Documentos/631/39849293829/6313984929382907092023142912.pdf</t>
  </si>
  <si>
    <t>https://dpmzos25m8ivg.cloudfront.net/Documentos/631/39885827862/6313988582786211092023153242.jpg</t>
  </si>
  <si>
    <t>https://dpmzos25m8ivg.cloudfront.net/Documentos/631/39900521870/6313990052187011092023160421.pdf</t>
  </si>
  <si>
    <t>https://dpmzos25m8ivg.cloudfront.net/Documentos/631/39918513500/6313991851350011092023150231.pdf</t>
  </si>
  <si>
    <t>https://dpmzos25m8ivg.cloudfront.net/Documentos/631/39925798833/6313992579883305092023172337.jpeg</t>
  </si>
  <si>
    <t>https://dpmzos25m8ivg.cloudfront.net/Documentos/631/39957654837/6313995765483705092023130824.jpg</t>
  </si>
  <si>
    <t>https://dpmzos25m8ivg.cloudfront.net/Documentos/631/39972456811/6313997245681111092023163808.pdf</t>
  </si>
  <si>
    <t>https://dpmzos25m8ivg.cloudfront.net/Documentos/631/39972929817/6313997292981711092023014416.jpg</t>
  </si>
  <si>
    <t>https://dpmzos25m8ivg.cloudfront.net/Documentos/631/40008931810/6314000893181009092023204309.pdf</t>
  </si>
  <si>
    <t>https://dpmzos25m8ivg.cloudfront.net/Documentos/631/40009832882/6314000983288206092023100014.pdf</t>
  </si>
  <si>
    <t>https://dpmzos25m8ivg.cloudfront.net/Documentos/631/40013440845/6314001344084511092023103657.jpg</t>
  </si>
  <si>
    <t>https://dpmzos25m8ivg.cloudfront.net/Documentos/631/40027828832/6314002782883206092023095621.jpg</t>
  </si>
  <si>
    <t>https://dpmzos25m8ivg.cloudfront.net/Documentos/631/40038294842/6314003829484214092023155521.pdf</t>
  </si>
  <si>
    <t>https://dpmzos25m8ivg.cloudfront.net/Documentos/631/40081967810/6314008196781005092023183418.pdf</t>
  </si>
  <si>
    <t>https://dpmzos25m8ivg.cloudfront.net/Documentos/631/40097726893/6314009772689314092023164709.pdf</t>
  </si>
  <si>
    <t>https://dpmzos25m8ivg.cloudfront.net/Documentos/631/40152654836/6314015265483614092023120506.pdf</t>
  </si>
  <si>
    <t>https://dpmzos25m8ivg.cloudfront.net/Documentos/631/40183041704/6314018304170406092023121342.pdf</t>
  </si>
  <si>
    <t>https://dpmzos25m8ivg.cloudfront.net/Documentos/631/40300296800/6314030029680010092023161843.pdf</t>
  </si>
  <si>
    <t>https://dpmzos25m8ivg.cloudfront.net/Documentos/631/40306705800/6314030670580011092023160513.pdf</t>
  </si>
  <si>
    <t>https://dpmzos25m8ivg.cloudfront.net/Documentos/631/40335686893/6314033568689305092023224211.pdf</t>
  </si>
  <si>
    <t>https://dpmzos25m8ivg.cloudfront.net/Documentos/631/40365830852/6314036583085211092023122049.pdf</t>
  </si>
  <si>
    <t>https://dpmzos25m8ivg.cloudfront.net/Documentos/631/40405124805/6314040512480511092023145133.pdf</t>
  </si>
  <si>
    <t>https://dpmzos25m8ivg.cloudfront.net/Documentos/631/40412684861/6314041268486111092023130744.pdf</t>
  </si>
  <si>
    <t>https://dpmzos25m8ivg.cloudfront.net/Documentos/631/40503569291/6314050356929105092023232641.pdf</t>
  </si>
  <si>
    <t>https://dpmzos25m8ivg.cloudfront.net/Documentos/631/40523935897/6314052393589714092023115658.pdf</t>
  </si>
  <si>
    <t>https://dpmzos25m8ivg.cloudfront.net/Documentos/631/40526268859/6314052626885911092023133429.pdf</t>
  </si>
  <si>
    <t>https://dpmzos25m8ivg.cloudfront.net/Documentos/631/40528987291/6314052898729105092023095441.pdf</t>
  </si>
  <si>
    <t>https://dpmzos25m8ivg.cloudfront.net/Documentos/631/40549447873/6314054944787305092023135157.pdf</t>
  </si>
  <si>
    <t>https://dpmzos25m8ivg.cloudfront.net/Documentos/631/40607160225/6314060716022510092023121933.pdf</t>
  </si>
  <si>
    <t>https://dpmzos25m8ivg.cloudfront.net/Documentos/631/40608918865/6314060891886512092023190109.pdf</t>
  </si>
  <si>
    <t>https://dpmzos25m8ivg.cloudfront.net/Documentos/631/40611490838/6314061149083811092023160101.pdf</t>
  </si>
  <si>
    <t>https://dpmzos25m8ivg.cloudfront.net/Documentos/631/40634367803/6314063436780311092023160646.jpg</t>
  </si>
  <si>
    <t>https://dpmzos25m8ivg.cloudfront.net/Documentos/631/40660638886/6314066063888610092023231746.pdf</t>
  </si>
  <si>
    <t>https://dpmzos25m8ivg.cloudfront.net/Documentos/631/40661229220/6314066122922010092023233648.pdf</t>
  </si>
  <si>
    <t>https://dpmzos25m8ivg.cloudfront.net/Documentos/631/40670811890/6314067081189011092023125905.jpg</t>
  </si>
  <si>
    <t>https://dpmzos25m8ivg.cloudfront.net/Documentos/631/40676375863/6314067637586311092023132012.jpeg</t>
  </si>
  <si>
    <t>https://dpmzos25m8ivg.cloudfront.net/Documentos/631/40731170334/6314073117033405092023233504.jpg</t>
  </si>
  <si>
    <t>https://dpmzos25m8ivg.cloudfront.net/Documentos/631/40756696100/6314075669610008092023141756.pdf</t>
  </si>
  <si>
    <t>https://dpmzos25m8ivg.cloudfront.net/Documentos/631/40759085854/6314075908585411092023124032.pdf</t>
  </si>
  <si>
    <t>https://dpmzos25m8ivg.cloudfront.net/Documentos/631/40787444863/6314078744486313092023143423.jpg</t>
  </si>
  <si>
    <t>https://dpmzos25m8ivg.cloudfront.net/Documentos/631/40852032153/6314085203215305092023095820.pdf</t>
  </si>
  <si>
    <t>https://dpmzos25m8ivg.cloudfront.net/Documentos/631/40870502468/6314087050246806092023165657.pdf</t>
  </si>
  <si>
    <t>https://dpmzos25m8ivg.cloudfront.net/Documentos/631/40891348115/6314089134811508092023184532.jpg</t>
  </si>
  <si>
    <t>https://dpmzos25m8ivg.cloudfront.net/Documentos/631/40897562860/6314089756286006092023170115.pdf</t>
  </si>
  <si>
    <t>https://dpmzos25m8ivg.cloudfront.net/Documentos/631/40922022291/6314092202229114092023091505.pdf</t>
  </si>
  <si>
    <t>https://dpmzos25m8ivg.cloudfront.net/Documentos/631/40962252824/6314096225282414092023165055.jpeg</t>
  </si>
  <si>
    <t>https://dpmzos25m8ivg.cloudfront.net/Documentos/631/41014250862/6314101425086211092023102456.pdf</t>
  </si>
  <si>
    <t>https://dpmzos25m8ivg.cloudfront.net/Documentos/631/41057490210/6314105749021011092023014014.pdf</t>
  </si>
  <si>
    <t>https://dpmzos25m8ivg.cloudfront.net/Documentos/631/41075889200/6314107588920011092023145624.pdf</t>
  </si>
  <si>
    <t>https://dpmzos25m8ivg.cloudfront.net/Documentos/631/41082125504/6314108212550408092023122818.pdf</t>
  </si>
  <si>
    <t>https://dpmzos25m8ivg.cloudfront.net/Documentos/631/41108797873/6314110879787311092023000725.pdf</t>
  </si>
  <si>
    <t>https://dpmzos25m8ivg.cloudfront.net/Documentos/631/41109089813/6314110908981311092023093358.pdf</t>
  </si>
  <si>
    <t>https://dpmzos25m8ivg.cloudfront.net/Documentos/631/41141368862/6314114136886206092023223253.jpeg</t>
  </si>
  <si>
    <t>https://dpmzos25m8ivg.cloudfront.net/Documentos/631/41141917807/6314114191780705092023174858.pdf</t>
  </si>
  <si>
    <t>https://dpmzos25m8ivg.cloudfront.net/Documentos/631/41158533870/6314115853387011092023164137.pdf</t>
  </si>
  <si>
    <t>https://dpmzos25m8ivg.cloudfront.net/Documentos/631/41161525874/6314116152587411092023161637.pdf</t>
  </si>
  <si>
    <t>https://dpmzos25m8ivg.cloudfront.net/Documentos/631/41186006846/6314118600684610092023234327.pdf</t>
  </si>
  <si>
    <t>https://dpmzos25m8ivg.cloudfront.net/Documentos/631/41247239896/6314124723989611092023030944.pdf</t>
  </si>
  <si>
    <t>https://dpmzos25m8ivg.cloudfront.net/Documentos/631/41256368857/6314125636885710092023212646.jpeg</t>
  </si>
  <si>
    <t>https://dpmzos25m8ivg.cloudfront.net/Documentos/631/41299484824/6314129948482411092023151632.pdf</t>
  </si>
  <si>
    <t>https://dpmzos25m8ivg.cloudfront.net/Documentos/631/41369094892/6314136909489205092023111457.pdf</t>
  </si>
  <si>
    <t>https://dpmzos25m8ivg.cloudfront.net/Documentos/631/41386708828/6314138670882809092023075621.jpeg</t>
  </si>
  <si>
    <t>https://dpmzos25m8ivg.cloudfront.net/Documentos/631/41423476832/6314142347683211092023123715.pdf</t>
  </si>
  <si>
    <t>https://dpmzos25m8ivg.cloudfront.net/Documentos/631/41430494816/6314143049481611092023153658.jpg</t>
  </si>
  <si>
    <t>https://dpmzos25m8ivg.cloudfront.net/Documentos/631/41471125874/6314147112587410092023231212.jpeg</t>
  </si>
  <si>
    <t>https://dpmzos25m8ivg.cloudfront.net/Documentos/631/41482399806/6314148239980607092023200826.pdf</t>
  </si>
  <si>
    <t>https://dpmzos25m8ivg.cloudfront.net/Documentos/631/41488524874/6314148852487408092023135044.pdf</t>
  </si>
  <si>
    <t>https://dpmzos25m8ivg.cloudfront.net/Documentos/631/41499647859/6314149964785911092023092215.pdf</t>
  </si>
  <si>
    <t>https://dpmzos25m8ivg.cloudfront.net/Documentos/631/41511486805/6314151148680511092023123546.jpg</t>
  </si>
  <si>
    <t>https://dpmzos25m8ivg.cloudfront.net/Documentos/631/41518628893/6314151862889305092023235314.pdf</t>
  </si>
  <si>
    <t>https://dpmzos25m8ivg.cloudfront.net/Documentos/631/41570928134/6314157092813408092023201529.pdf</t>
  </si>
  <si>
    <t>https://dpmzos25m8ivg.cloudfront.net/Documentos/631/41589814843/6314158981484306092023160742.jpg</t>
  </si>
  <si>
    <t>https://dpmzos25m8ivg.cloudfront.net/Documentos/631/41604222840/6314160422284011092023151141.pdf</t>
  </si>
  <si>
    <t>https://dpmzos25m8ivg.cloudfront.net/Documentos/631/41614835896/6314161483589609092023212149.pdf</t>
  </si>
  <si>
    <t>https://dpmzos25m8ivg.cloudfront.net/Documentos/631/41619342898/6314161934289808092023122416.jpg</t>
  </si>
  <si>
    <t>https://dpmzos25m8ivg.cloudfront.net/Documentos/631/41665188871/6314166518887111092023155853.pdf</t>
  </si>
  <si>
    <t>https://dpmzos25m8ivg.cloudfront.net/Documentos/631/41677628898/6314167762889811092023123226.pdf</t>
  </si>
  <si>
    <t>https://dpmzos25m8ivg.cloudfront.net/Documentos/631/41703758404/6314170375840409092023180846.pdf</t>
  </si>
  <si>
    <t>https://dpmzos25m8ivg.cloudfront.net/Documentos/631/41720257817/6314172025781711092023110331.pdf</t>
  </si>
  <si>
    <t>https://dpmzos25m8ivg.cloudfront.net/Documentos/631/41727936817/6314172793681708092023190632.pdf</t>
  </si>
  <si>
    <t>https://dpmzos25m8ivg.cloudfront.net/Documentos/631/41735045861/6314173504586106092023211456.jpeg</t>
  </si>
  <si>
    <t>https://dpmzos25m8ivg.cloudfront.net/Documentos/631/41796829404/6314179682940407092023122159.pdf</t>
  </si>
  <si>
    <t>https://dpmzos25m8ivg.cloudfront.net/Documentos/631/41800957858/6314180095785810092023220651.jpeg</t>
  </si>
  <si>
    <t>https://dpmzos25m8ivg.cloudfront.net/Documentos/631/41822774810/6314182277481011092023143837.pdf</t>
  </si>
  <si>
    <t>https://dpmzos25m8ivg.cloudfront.net/Documentos/631/41830143875/6314183014387511092023155358.pdf</t>
  </si>
  <si>
    <t>https://dpmzos25m8ivg.cloudfront.net/Documentos/631/41859072810/6314185907281010092023232815.jpg</t>
  </si>
  <si>
    <t>https://dpmzos25m8ivg.cloudfront.net/Documentos/631/41871936420/6314187193642011092023121434.pdf</t>
  </si>
  <si>
    <t>https://dpmzos25m8ivg.cloudfront.net/Documentos/631/41916999387/6314191699938708092023101131.jpeg</t>
  </si>
  <si>
    <t>https://dpmzos25m8ivg.cloudfront.net/Documentos/631/41929511850/6314192951185005092023152729.pdf</t>
  </si>
  <si>
    <t>https://dpmzos25m8ivg.cloudfront.net/Documentos/631/41945023880/6314194502388011092023151926.pdf</t>
  </si>
  <si>
    <t>https://dpmzos25m8ivg.cloudfront.net/Documentos/631/41949204812/6314194920481208092023075511.pdf</t>
  </si>
  <si>
    <t>https://dpmzos25m8ivg.cloudfront.net/Documentos/631/41958926515/6314195892651511092023132433.pdf</t>
  </si>
  <si>
    <t>https://dpmzos25m8ivg.cloudfront.net/Documentos/631/42012489842/6314201248984211092023161642.pdf</t>
  </si>
  <si>
    <t>https://dpmzos25m8ivg.cloudfront.net/Documentos/631/42030507822/6314203050782211092023140946.jpeg</t>
  </si>
  <si>
    <t>https://dpmzos25m8ivg.cloudfront.net/Documentos/631/42034761863/6314203476186305092023151957.pdf</t>
  </si>
  <si>
    <t>https://dpmzos25m8ivg.cloudfront.net/Documentos/631/42054094862/6314205409486211092023081255.pdf</t>
  </si>
  <si>
    <t>https://dpmzos25m8ivg.cloudfront.net/Documentos/631/42069099890/6314206909989006092023070718.pdf</t>
  </si>
  <si>
    <t>https://dpmzos25m8ivg.cloudfront.net/Documentos/631/42128153204/6314212815320405092023084548.pdf</t>
  </si>
  <si>
    <t>https://dpmzos25m8ivg.cloudfront.net/Documentos/631/42142457843/6314214245784311092023144834.pdf</t>
  </si>
  <si>
    <t>https://dpmzos25m8ivg.cloudfront.net/Documentos/631/42184729809/6314218472980911092023163559.jpg</t>
  </si>
  <si>
    <t>https://dpmzos25m8ivg.cloudfront.net/Documentos/631/42187855899/6314218785589911092023133140.pdf</t>
  </si>
  <si>
    <t>https://dpmzos25m8ivg.cloudfront.net/Documentos/631/42220426840/6314222042684011092023120929.jpg</t>
  </si>
  <si>
    <t>https://dpmzos25m8ivg.cloudfront.net/Documentos/631/42222581800/6314222258180008092023085413.pdf</t>
  </si>
  <si>
    <t>https://dpmzos25m8ivg.cloudfront.net/Documentos/631/42254128817/6314225412881711092023003731.pdf</t>
  </si>
  <si>
    <t>https://dpmzos25m8ivg.cloudfront.net/Documentos/631/42280194805/6314228019480506092023003949.jpeg</t>
  </si>
  <si>
    <t>https://dpmzos25m8ivg.cloudfront.net/Documentos/631/42294684826/6314229468482611092023092420.pdf</t>
  </si>
  <si>
    <t>https://dpmzos25m8ivg.cloudfront.net/Documentos/631/42359823892/6314235982389211092023033706.pdf</t>
  </si>
  <si>
    <t>https://dpmzos25m8ivg.cloudfront.net/Documentos/631/42387191404/6314238719140405092023101940.pdf</t>
  </si>
  <si>
    <t>https://dpmzos25m8ivg.cloudfront.net/Documentos/631/42415214876/6314241521487613092023203857.pdf</t>
  </si>
  <si>
    <t>https://dpmzos25m8ivg.cloudfront.net/Documentos/631/42419933893/6314241993389306092023114242.jpeg</t>
  </si>
  <si>
    <t>https://dpmzos25m8ivg.cloudfront.net/Documentos/631/42426316420/6314242631642011092023161235.pdf</t>
  </si>
  <si>
    <t>https://dpmzos25m8ivg.cloudfront.net/Documentos/631/42431807843/6314243180784311092023170940.pdf</t>
  </si>
  <si>
    <t>https://dpmzos25m8ivg.cloudfront.net/Documentos/631/42452351873/6314245235187313092023144908.jpeg</t>
  </si>
  <si>
    <t>https://dpmzos25m8ivg.cloudfront.net/Documentos/631/42473314268/6314247331426809092023175244.pdf</t>
  </si>
  <si>
    <t>https://dpmzos25m8ivg.cloudfront.net/Documentos/631/42476589802/6314247658980205092023222815.jpg</t>
  </si>
  <si>
    <t>https://dpmzos25m8ivg.cloudfront.net/Documentos/631/42499041803/6314249904180311092023163430.pdf</t>
  </si>
  <si>
    <t>https://dpmzos25m8ivg.cloudfront.net/Documentos/631/42525152549/6314252515254908092023175915.jpg</t>
  </si>
  <si>
    <t>https://dpmzos25m8ivg.cloudfront.net/Documentos/631/42545969877/6314254596987713092023173211.pdf</t>
  </si>
  <si>
    <t>https://dpmzos25m8ivg.cloudfront.net/Documentos/631/42548306291/6314254830629109092023134558.pdf</t>
  </si>
  <si>
    <t>https://dpmzos25m8ivg.cloudfront.net/Documentos/631/42553503881/6314255350388110092023123607.pdf</t>
  </si>
  <si>
    <t>https://dpmzos25m8ivg.cloudfront.net/Documentos/631/42559421100/6314255942110011092023143207.pdf</t>
  </si>
  <si>
    <t>https://dpmzos25m8ivg.cloudfront.net/Documentos/631/42606874846/6314260687484611092023163212.pdf</t>
  </si>
  <si>
    <t>https://dpmzos25m8ivg.cloudfront.net/Documentos/631/42614473200/6314261447320006092023004554.pdf</t>
  </si>
  <si>
    <t>https://dpmzos25m8ivg.cloudfront.net/Documentos/631/42642392813/6314264239281305092023192533.jpg</t>
  </si>
  <si>
    <t>https://dpmzos25m8ivg.cloudfront.net/Documentos/631/42666861880/6314266686188011092023150514.pdf</t>
  </si>
  <si>
    <t>https://dpmzos25m8ivg.cloudfront.net/Documentos/631/42698931841/6314269893184114092023150533.jpg</t>
  </si>
  <si>
    <t>https://dpmzos25m8ivg.cloudfront.net/Documentos/631/42719255866/6314271925586611092023135122.jpg</t>
  </si>
  <si>
    <t>https://dpmzos25m8ivg.cloudfront.net/Documentos/631/42740318880/6314274031888011092023155522.pdf</t>
  </si>
  <si>
    <t>https://dpmzos25m8ivg.cloudfront.net/Documentos/631/42751521827/6314275152182708092023160333.pdf</t>
  </si>
  <si>
    <t>https://dpmzos25m8ivg.cloudfront.net/Documentos/631/42782724134/6314278272413411092023114018.jpg</t>
  </si>
  <si>
    <t>https://dpmzos25m8ivg.cloudfront.net/Documentos/631/42803445824/6314280344582411092023032217.jpg</t>
  </si>
  <si>
    <t>https://dpmzos25m8ivg.cloudfront.net/Documentos/631/42815408813/6314281540881309092023130050.jpg</t>
  </si>
  <si>
    <t>https://dpmzos25m8ivg.cloudfront.net/Documentos/631/42816580687/6314281658068711092023160620.pdf</t>
  </si>
  <si>
    <t>https://dpmzos25m8ivg.cloudfront.net/Documentos/631/42824888830/6314282488883011092023025824.jpg</t>
  </si>
  <si>
    <t>https://dpmzos25m8ivg.cloudfront.net/Documentos/631/42854440544/6314285444054406092023075723.pdf</t>
  </si>
  <si>
    <t>https://dpmzos25m8ivg.cloudfront.net/Documentos/631/42859480870/6314285948087011092023120903.pdf</t>
  </si>
  <si>
    <t>https://dpmzos25m8ivg.cloudfront.net/Documentos/631/42862744387/6314286274438713092023071125.pdf</t>
  </si>
  <si>
    <t>https://dpmzos25m8ivg.cloudfront.net/Documentos/631/42879272300/6314287927230005092023175622.pdf</t>
  </si>
  <si>
    <t>https://dpmzos25m8ivg.cloudfront.net/Documentos/631/42896140867/6314289614086711092023160817.pdf</t>
  </si>
  <si>
    <t>https://dpmzos25m8ivg.cloudfront.net/Documentos/631/42897610204/6314289761020408092023225313.pdf</t>
  </si>
  <si>
    <t>https://dpmzos25m8ivg.cloudfront.net/Documentos/631/42921058120/6314292105812010092023144524.pdf</t>
  </si>
  <si>
    <t>https://dpmzos25m8ivg.cloudfront.net/Documentos/631/42966915897/6314296691589705092023173559.pdf</t>
  </si>
  <si>
    <t>https://dpmzos25m8ivg.cloudfront.net/Documentos/631/43025200359/6314302520035911092023121711.pdf</t>
  </si>
  <si>
    <t>https://dpmzos25m8ivg.cloudfront.net/Documentos/631/43027591860/6314302759186005092023152224.pdf</t>
  </si>
  <si>
    <t>https://dpmzos25m8ivg.cloudfront.net/Documentos/631/43063799300/6314306379930008092023093153.pdf</t>
  </si>
  <si>
    <t>https://dpmzos25m8ivg.cloudfront.net/Documentos/631/43089573890/6314308957389008092023164202.jpeg</t>
  </si>
  <si>
    <t>https://dpmzos25m8ivg.cloudfront.net/Documentos/631/43091440206/6314309144020611092023150657.jpg</t>
  </si>
  <si>
    <t>https://dpmzos25m8ivg.cloudfront.net/Documentos/631/43094267866/6314309426786611092023144453.pdf</t>
  </si>
  <si>
    <t>https://dpmzos25m8ivg.cloudfront.net/Documentos/631/43106587504/6314310658750405092023155748.pdf</t>
  </si>
  <si>
    <t>https://dpmzos25m8ivg.cloudfront.net/Documentos/631/43125919894/6314312591989411092023171521.pdf</t>
  </si>
  <si>
    <t>https://dpmzos25m8ivg.cloudfront.net/Documentos/631/43194672487/6314319467248707092023133029.pdf</t>
  </si>
  <si>
    <t>https://dpmzos25m8ivg.cloudfront.net/Documentos/631/43258798893/6314325879889310092023210806.jpeg</t>
  </si>
  <si>
    <t>https://dpmzos25m8ivg.cloudfront.net/Documentos/631/43263976249/6314326397624905092023095735.pdf</t>
  </si>
  <si>
    <t>https://dpmzos25m8ivg.cloudfront.net/Documentos/631/43270581149/6314327058114913092023113342.pdf</t>
  </si>
  <si>
    <t>https://dpmzos25m8ivg.cloudfront.net/Documentos/631/43277919897/6314327791989711092023161156.pdf</t>
  </si>
  <si>
    <t>https://dpmzos25m8ivg.cloudfront.net/Documentos/631/43282609876/6314328260987613092023100703.pdf</t>
  </si>
  <si>
    <t>https://dpmzos25m8ivg.cloudfront.net/Documentos/631/43305873272/6314330587327208092023234045.pdf</t>
  </si>
  <si>
    <t>https://dpmzos25m8ivg.cloudfront.net/Documentos/631/43356533878/6314335653387811092023164525.pdf</t>
  </si>
  <si>
    <t>https://dpmzos25m8ivg.cloudfront.net/Documentos/631/43380750824/6314338075082411092023145136.pdf</t>
  </si>
  <si>
    <t>https://dpmzos25m8ivg.cloudfront.net/Documentos/631/43388694885/6314338869488505092023113428.pdf</t>
  </si>
  <si>
    <t>https://dpmzos25m8ivg.cloudfront.net/Documentos/631/43416938836/6314341693883613092023183004.pdf</t>
  </si>
  <si>
    <t>https://dpmzos25m8ivg.cloudfront.net/Documentos/631/43438933837/6314343893383711092023151853.pdf</t>
  </si>
  <si>
    <t>https://dpmzos25m8ivg.cloudfront.net/Documentos/631/43441137809/6314344113780905092023110151.pdf</t>
  </si>
  <si>
    <t>https://dpmzos25m8ivg.cloudfront.net/Documentos/631/43453984870/6314345398487011092023150116.pdf</t>
  </si>
  <si>
    <t>https://dpmzos25m8ivg.cloudfront.net/Documentos/631/43470531854/6314347053185405092023140507.pdf</t>
  </si>
  <si>
    <t>https://dpmzos25m8ivg.cloudfront.net/Documentos/631/43527717838/6314352771783806092023122028.pdf</t>
  </si>
  <si>
    <t>https://dpmzos25m8ivg.cloudfront.net/Documentos/631/43552849807/6314355284980710092023164621.pdf</t>
  </si>
  <si>
    <t>https://dpmzos25m8ivg.cloudfront.net/Documentos/631/43564455892/6314356445589207092023170227.pdf</t>
  </si>
  <si>
    <t>https://dpmzos25m8ivg.cloudfront.net/Documentos/631/43615279549/6314361527954905092023131546.jpg</t>
  </si>
  <si>
    <t>https://dpmzos25m8ivg.cloudfront.net/Documentos/631/43654051871/6314365405187111092023110046.pdf</t>
  </si>
  <si>
    <t>https://dpmzos25m8ivg.cloudfront.net/Documentos/631/43670490604/6314367049060406092023182542.pdf</t>
  </si>
  <si>
    <t>https://dpmzos25m8ivg.cloudfront.net/Documentos/631/43670792449/6314367079244905092023132223.pdf</t>
  </si>
  <si>
    <t>https://dpmzos25m8ivg.cloudfront.net/Documentos/631/43673192884/6314367319288406092023113656.pdf</t>
  </si>
  <si>
    <t>https://dpmzos25m8ivg.cloudfront.net/Documentos/631/43678562833/6314367856283311092023153412.pdf</t>
  </si>
  <si>
    <t>https://dpmzos25m8ivg.cloudfront.net/Documentos/631/43727004827/6314372700482707092023225339.pdf</t>
  </si>
  <si>
    <t>https://dpmzos25m8ivg.cloudfront.net/Documentos/631/43754436856/6314375443685610092023134152.jpg</t>
  </si>
  <si>
    <t>https://dpmzos25m8ivg.cloudfront.net/Documentos/631/43778440837/6314377844083708092023163307.pdf</t>
  </si>
  <si>
    <t>https://dpmzos25m8ivg.cloudfront.net/Documentos/631/43842039859/6314384203985905092023174145.pdf</t>
  </si>
  <si>
    <t>https://dpmzos25m8ivg.cloudfront.net/Documentos/631/43850103234/6314385010323411092023120142.pdf</t>
  </si>
  <si>
    <t>https://dpmzos25m8ivg.cloudfront.net/Documentos/631/43866050453/6314386605045307092023203733.pdf</t>
  </si>
  <si>
    <t>https://dpmzos25m8ivg.cloudfront.net/Documentos/631/43872540840/6314387254084011092023142232.pdf</t>
  </si>
  <si>
    <t>https://dpmzos25m8ivg.cloudfront.net/Documentos/631/43897053268/6314389705326811092023163633.pdf</t>
  </si>
  <si>
    <t>https://dpmzos25m8ivg.cloudfront.net/Documentos/631/43909990444/6314390999044411092023150825.pdf</t>
  </si>
  <si>
    <t>https://dpmzos25m8ivg.cloudfront.net/Documentos/631/43913947825/6314391394782511092023163133.pdf</t>
  </si>
  <si>
    <t>https://dpmzos25m8ivg.cloudfront.net/Documentos/631/43921729882/6314392172988208092023165500.pdf</t>
  </si>
  <si>
    <t>https://dpmzos25m8ivg.cloudfront.net/Documentos/631/43963943572/6314396394357208092023120705.jpeg</t>
  </si>
  <si>
    <t>https://dpmzos25m8ivg.cloudfront.net/Documentos/631/43984282249/6314398428224905092023092840.pdf</t>
  </si>
  <si>
    <t>https://dpmzos25m8ivg.cloudfront.net/Documentos/631/43990971832/6314399097183211092023135708.jpeg</t>
  </si>
  <si>
    <t>https://dpmzos25m8ivg.cloudfront.net/Documentos/631/44003131827/6314400313182711092023111825.pdf</t>
  </si>
  <si>
    <t>https://dpmzos25m8ivg.cloudfront.net/Documentos/631/44017231802/6314401723180210092023214527.pdf</t>
  </si>
  <si>
    <t>https://dpmzos25m8ivg.cloudfront.net/Documentos/631/44100795904/6314410079590413092023231509.pdf</t>
  </si>
  <si>
    <t>https://dpmzos25m8ivg.cloudfront.net/Documentos/631/44103274883/6314410327488305092023155438.pdf</t>
  </si>
  <si>
    <t>https://dpmzos25m8ivg.cloudfront.net/Documentos/631/44110456568/6314411045656810092023174856.jpg</t>
  </si>
  <si>
    <t>https://dpmzos25m8ivg.cloudfront.net/Documentos/631/44121868811/6314412186881111092023155712.jpg</t>
  </si>
  <si>
    <t>https://dpmzos25m8ivg.cloudfront.net/Documentos/631/44198396434/6314419839643405092023175610.pdf</t>
  </si>
  <si>
    <t>https://dpmzos25m8ivg.cloudfront.net/Documentos/631/44214117875/6314421411787511092023130949.pdf</t>
  </si>
  <si>
    <t>https://dpmzos25m8ivg.cloudfront.net/Documentos/631/44228861857/6314422886185705092023232452.jpg</t>
  </si>
  <si>
    <t>https://dpmzos25m8ivg.cloudfront.net/Documentos/631/44229470525/6314422947052511092023174329.jpeg</t>
  </si>
  <si>
    <t>https://dpmzos25m8ivg.cloudfront.net/Documentos/631/44242146809/6314424214680914092023111036.pdf</t>
  </si>
  <si>
    <t>https://dpmzos25m8ivg.cloudfront.net/Documentos/631/44261918404/6314426191840406092023211435.pdf</t>
  </si>
  <si>
    <t>https://dpmzos25m8ivg.cloudfront.net/Documentos/631/44305176491/6314430517649109092023000425.pdf</t>
  </si>
  <si>
    <t>https://dpmzos25m8ivg.cloudfront.net/Documentos/631/44308565839/6314430856583905092023162410.pdf</t>
  </si>
  <si>
    <t>https://dpmzos25m8ivg.cloudfront.net/Documentos/631/44405680841/6314440568084105092023212056.pdf</t>
  </si>
  <si>
    <t>https://dpmzos25m8ivg.cloudfront.net/Documentos/631/44441807813/6314444180781310092023220045.pdf</t>
  </si>
  <si>
    <t>https://dpmzos25m8ivg.cloudfront.net/Documentos/631/44442111804/6314444211180414092023123712.pdf</t>
  </si>
  <si>
    <t>https://dpmzos25m8ivg.cloudfront.net/Documentos/631/44501153253/6314450115325306092023154757.jpg</t>
  </si>
  <si>
    <t>https://dpmzos25m8ivg.cloudfront.net/Documentos/631/44620035866/6314462003586610092023140851.pdf</t>
  </si>
  <si>
    <t>https://dpmzos25m8ivg.cloudfront.net/Documentos/631/44625710880/6314462571088014092023155207.pdf</t>
  </si>
  <si>
    <t>https://dpmzos25m8ivg.cloudfront.net/Documentos/631/44643149884/6314464314988410092023231951.jpg</t>
  </si>
  <si>
    <t>https://dpmzos25m8ivg.cloudfront.net/Documentos/631/44675566804/6314467556680411092023155305.jpeg</t>
  </si>
  <si>
    <t>https://dpmzos25m8ivg.cloudfront.net/Documentos/631/44711470808/6314471147080809092023201221.jpeg</t>
  </si>
  <si>
    <t>https://dpmzos25m8ivg.cloudfront.net/Documentos/631/44740650851/6314474065085111092023155229.jpg</t>
  </si>
  <si>
    <t>https://dpmzos25m8ivg.cloudfront.net/Documentos/631/44742834810/6314474283481010092023141333.pdf</t>
  </si>
  <si>
    <t>https://dpmzos25m8ivg.cloudfront.net/Documentos/631/44803153817/6314480315381705092023135848.pdf</t>
  </si>
  <si>
    <t>https://dpmzos25m8ivg.cloudfront.net/Documentos/631/44809202852/6314480920285211092023103714.pdf</t>
  </si>
  <si>
    <t>https://dpmzos25m8ivg.cloudfront.net/Documentos/631/44909935878/6314490993587814092023164116.jpeg</t>
  </si>
  <si>
    <t>https://dpmzos25m8ivg.cloudfront.net/Documentos/631/44913663810/6314491366381011092023102728.jpeg</t>
  </si>
  <si>
    <t>https://dpmzos25m8ivg.cloudfront.net/Documentos/631/44956640854/6314495664085414092023092646.pdf</t>
  </si>
  <si>
    <t>https://dpmzos25m8ivg.cloudfront.net/Documentos/631/44969034826/6314496903482608092023230953.pdf</t>
  </si>
  <si>
    <t>https://dpmzos25m8ivg.cloudfront.net/Documentos/631/45005935860/6314500593586011092023155030.jpg</t>
  </si>
  <si>
    <t>https://dpmzos25m8ivg.cloudfront.net/Documentos/631/45015953372/6314501595337214092023164144.pdf</t>
  </si>
  <si>
    <t>https://dpmzos25m8ivg.cloudfront.net/Documentos/631/45041804800/6314504180480005092023210030.jpg</t>
  </si>
  <si>
    <t>https://dpmzos25m8ivg.cloudfront.net/Documentos/631/45051556841/6314505155684105092023170524.jpeg</t>
  </si>
  <si>
    <t>https://dpmzos25m8ivg.cloudfront.net/Documentos/631/45074186587/6314507418658711092023155002.jpg</t>
  </si>
  <si>
    <t>https://dpmzos25m8ivg.cloudfront.net/Documentos/631/45099523846/6314509952384611092023144827.pdf</t>
  </si>
  <si>
    <t>https://dpmzos25m8ivg.cloudfront.net/Documentos/631/45137784826/6314513778482611092023141619.pdf</t>
  </si>
  <si>
    <t>https://dpmzos25m8ivg.cloudfront.net/Documentos/631/45159578803/6314515957880307092023115153.pdf</t>
  </si>
  <si>
    <t>https://dpmzos25m8ivg.cloudfront.net/Documentos/631/45162369829/6314516236982911092023153425.pdf</t>
  </si>
  <si>
    <t>https://dpmzos25m8ivg.cloudfront.net/Documentos/631/45175441841/6314517544184111092023155333.jpg</t>
  </si>
  <si>
    <t>https://dpmzos25m8ivg.cloudfront.net/Documentos/631/45235110803/6314523511080305092023084815.pdf</t>
  </si>
  <si>
    <t>https://dpmzos25m8ivg.cloudfront.net/Documentos/631/45238095856/6314523809585611092023120420.pdf</t>
  </si>
  <si>
    <t>https://dpmzos25m8ivg.cloudfront.net/Documentos/631/45264968802/6314526496880213092023174250.pdf</t>
  </si>
  <si>
    <t>https://dpmzos25m8ivg.cloudfront.net/Documentos/631/45278719869/6314527871986906092023161413.pdf</t>
  </si>
  <si>
    <t>https://dpmzos25m8ivg.cloudfront.net/Documentos/631/45283134806/6314528313480610092023210003.jpg</t>
  </si>
  <si>
    <t>https://dpmzos25m8ivg.cloudfront.net/Documentos/631/45303485803/6314530348580311092023010418.jpg</t>
  </si>
  <si>
    <t>https://dpmzos25m8ivg.cloudfront.net/Documentos/631/45313137808/6314531313780811092023160306.jpeg</t>
  </si>
  <si>
    <t>https://dpmzos25m8ivg.cloudfront.net/Documentos/631/45334641149/6314533464114906092023162158.jpeg</t>
  </si>
  <si>
    <t>https://dpmzos25m8ivg.cloudfront.net/Documentos/631/45487162204/6314548716220411092023163402.jpeg</t>
  </si>
  <si>
    <t>https://dpmzos25m8ivg.cloudfront.net/Documentos/631/45496786827/6314549678682713092023204514.jpg</t>
  </si>
  <si>
    <t>https://dpmzos25m8ivg.cloudfront.net/Documentos/631/45533604898/6314553360489811092023121835.pdf</t>
  </si>
  <si>
    <t>https://dpmzos25m8ivg.cloudfront.net/Documentos/631/45542686168/6314554268616811092023135228.pdf</t>
  </si>
  <si>
    <t>https://dpmzos25m8ivg.cloudfront.net/Documentos/631/45553849896/6314555384989611092023064843.pdf</t>
  </si>
  <si>
    <t>https://dpmzos25m8ivg.cloudfront.net/Documentos/631/45605127870/6314560512787005092023192910.pdf</t>
  </si>
  <si>
    <t>https://dpmzos25m8ivg.cloudfront.net/Documentos/631/45648065809/6314564806580905092023182302.jpeg</t>
  </si>
  <si>
    <t>https://dpmzos25m8ivg.cloudfront.net/Documentos/631/45695762812/6314569576281211092023142953.pdf</t>
  </si>
  <si>
    <t>https://dpmzos25m8ivg.cloudfront.net/Documentos/631/45705968515/6314570596851505092023155700.jpg</t>
  </si>
  <si>
    <t>https://dpmzos25m8ivg.cloudfront.net/Documentos/631/45744473890/6314574447389014092023152923.jpeg</t>
  </si>
  <si>
    <t>https://dpmzos25m8ivg.cloudfront.net/Documentos/631/45765155863/6314576515586305092023093156.pdf</t>
  </si>
  <si>
    <t>https://dpmzos25m8ivg.cloudfront.net/Documentos/631/45766680805/6314576668080511092023152555.pdf</t>
  </si>
  <si>
    <t>https://dpmzos25m8ivg.cloudfront.net/Documentos/631/45770317876/6314577031787611092023144559.pdf</t>
  </si>
  <si>
    <t>https://dpmzos25m8ivg.cloudfront.net/Documentos/631/45784289829/6314578428982905092023171942.jpeg</t>
  </si>
  <si>
    <t>https://dpmzos25m8ivg.cloudfront.net/Documentos/631/45786187810/6314578618781011092023160721.pdf</t>
  </si>
  <si>
    <t>https://dpmzos25m8ivg.cloudfront.net/Documentos/631/45786539865/6314578653986511092023074606.pdf</t>
  </si>
  <si>
    <t>https://dpmzos25m8ivg.cloudfront.net/Documentos/631/45787647882/6314578764788210092023142256.pdf</t>
  </si>
  <si>
    <t>https://dpmzos25m8ivg.cloudfront.net/Documentos/631/45878304880/6314587830488006092023124545.pdf</t>
  </si>
  <si>
    <t>https://dpmzos25m8ivg.cloudfront.net/Documentos/631/45932701897/6314593270189706092023133304.pdf</t>
  </si>
  <si>
    <t>https://dpmzos25m8ivg.cloudfront.net/Documentos/631/45944682841/6314594468284110092023151609.pdf</t>
  </si>
  <si>
    <t>https://dpmzos25m8ivg.cloudfront.net/Documentos/631/45971186833/6314597118683309092023104030.pdf</t>
  </si>
  <si>
    <t>https://dpmzos25m8ivg.cloudfront.net/Documentos/631/45972110806/6314597211080606092023121549.pdf</t>
  </si>
  <si>
    <t>https://dpmzos25m8ivg.cloudfront.net/Documentos/631/45990964153/6314599096415314092023155818.jpg</t>
  </si>
  <si>
    <t>https://dpmzos25m8ivg.cloudfront.net/Documentos/631/46015388153/6314601538815310092023215507.pdf</t>
  </si>
  <si>
    <t>https://dpmzos25m8ivg.cloudfront.net/Documentos/631/46015602848/6314601560284810092023204357.pdf</t>
  </si>
  <si>
    <t>https://dpmzos25m8ivg.cloudfront.net/Documentos/631/46031858800/6314603185880011092023134516.jpg</t>
  </si>
  <si>
    <t>https://dpmzos25m8ivg.cloudfront.net/Documentos/631/46035630006/6314603563000611092023121404.jpg</t>
  </si>
  <si>
    <t>https://dpmzos25m8ivg.cloudfront.net/Documentos/631/46037259810/6314603725981005092023144929.pdf</t>
  </si>
  <si>
    <t>https://dpmzos25m8ivg.cloudfront.net/Documentos/631/46039596805/6314603959680511092023143717.pdf</t>
  </si>
  <si>
    <t>https://dpmzos25m8ivg.cloudfront.net/Documentos/631/46047433200/6314604743320011092023122939.pdf</t>
  </si>
  <si>
    <t>https://dpmzos25m8ivg.cloudfront.net/Documentos/631/46050010854/6314605001085406092023105716.jpg</t>
  </si>
  <si>
    <t>https://dpmzos25m8ivg.cloudfront.net/Documentos/631/46052708840/6314605270884011092023150555.pdf</t>
  </si>
  <si>
    <t>https://dpmzos25m8ivg.cloudfront.net/Documentos/631/46139438845/6314613943884511092023160427.pdf</t>
  </si>
  <si>
    <t>https://dpmzos25m8ivg.cloudfront.net/Documentos/631/46193243453/6314619324345311092023145208.pdf</t>
  </si>
  <si>
    <t>https://dpmzos25m8ivg.cloudfront.net/Documentos/631/46198153819/6314619815381911092023164423.pdf</t>
  </si>
  <si>
    <t>https://dpmzos25m8ivg.cloudfront.net/Documentos/631/46219629817/6314621962981711092023103147.pdf</t>
  </si>
  <si>
    <t>https://dpmzos25m8ivg.cloudfront.net/Documentos/631/46225471553/6314622547155310092023212120.jpg</t>
  </si>
  <si>
    <t>https://dpmzos25m8ivg.cloudfront.net/Documentos/631/46231365824/6314623136582408092023223229.pdf</t>
  </si>
  <si>
    <t>https://dpmzos25m8ivg.cloudfront.net/Documentos/631/46250285822/6314625028582211092023160636.jpeg</t>
  </si>
  <si>
    <t>https://dpmzos25m8ivg.cloudfront.net/Documentos/631/46259213840/6314625921384011092023170310.pdf</t>
  </si>
  <si>
    <t>https://dpmzos25m8ivg.cloudfront.net/Documentos/631/46270683874/6314627068387407092023180913.pdf</t>
  </si>
  <si>
    <t>https://dpmzos25m8ivg.cloudfront.net/Documentos/631/46271557864/6314627155786413092023125629.jpg</t>
  </si>
  <si>
    <t>https://dpmzos25m8ivg.cloudfront.net/Documentos/631/46326400856/6314632640085609092023105740.jpg</t>
  </si>
  <si>
    <t>https://dpmzos25m8ivg.cloudfront.net/Documentos/631/46380035249/6314638003524905092023143927.pdf</t>
  </si>
  <si>
    <t>https://dpmzos25m8ivg.cloudfront.net/Documentos/631/46398461851/6314639846185111092023101704.pdf</t>
  </si>
  <si>
    <t>https://dpmzos25m8ivg.cloudfront.net/Documentos/631/46402020400/6314640202040011092023071528.jpeg</t>
  </si>
  <si>
    <t>https://dpmzos25m8ivg.cloudfront.net/Documentos/631/46444715857/6314644471585705092023134538.pdf</t>
  </si>
  <si>
    <t>https://dpmzos25m8ivg.cloudfront.net/Documentos/631/46463461334/6314646346133411092023155449.pdf</t>
  </si>
  <si>
    <t>https://dpmzos25m8ivg.cloudfront.net/Documentos/631/46477084899/6314647708489910092023171007.pdf</t>
  </si>
  <si>
    <t>https://dpmzos25m8ivg.cloudfront.net/Documentos/631/46488104810/6314648810481005092023234242.pdf</t>
  </si>
  <si>
    <t>https://dpmzos25m8ivg.cloudfront.net/Documentos/631/46495929846/6314649592984610092023205509.jpg</t>
  </si>
  <si>
    <t>https://dpmzos25m8ivg.cloudfront.net/Documentos/631/46525903858/6314652590385810092023225300.pdf</t>
  </si>
  <si>
    <t>https://dpmzos25m8ivg.cloudfront.net/Documentos/631/46535607810/6314653560781011092023113859.jpg</t>
  </si>
  <si>
    <t>https://dpmzos25m8ivg.cloudfront.net/Documentos/631/46536189841/6314653618984111092023155536.jpg</t>
  </si>
  <si>
    <t>https://dpmzos25m8ivg.cloudfront.net/Documentos/631/46544551830/6314654455183011092023151526.pdf</t>
  </si>
  <si>
    <t>https://dpmzos25m8ivg.cloudfront.net/Documentos/631/46547894134/6314654789413411092023003452.jpg</t>
  </si>
  <si>
    <t>https://dpmzos25m8ivg.cloudfront.net/Documentos/631/46555676787/6314655567678710092023171417.pdf</t>
  </si>
  <si>
    <t>https://dpmzos25m8ivg.cloudfront.net/Documentos/631/46592969890/6314659296989010092023183136.pdf</t>
  </si>
  <si>
    <t>https://dpmzos25m8ivg.cloudfront.net/Documentos/631/46624246820/6314662424682005092023142424.jpeg</t>
  </si>
  <si>
    <t>https://dpmzos25m8ivg.cloudfront.net/Documentos/631/46629353854/6314662935385405092023153105.pdf</t>
  </si>
  <si>
    <t>https://dpmzos25m8ivg.cloudfront.net/Documentos/631/46638898833/6314663889883311092023165822.jpg</t>
  </si>
  <si>
    <t>https://dpmzos25m8ivg.cloudfront.net/Documentos/631/46646656878/6314664665687811092023153912.jpg</t>
  </si>
  <si>
    <t>https://dpmzos25m8ivg.cloudfront.net/Documentos/631/46648246880/6314664824688005092023101336.jpg</t>
  </si>
  <si>
    <t>https://dpmzos25m8ivg.cloudfront.net/Documentos/631/46783963810/6314678396381007092023194630.jpg</t>
  </si>
  <si>
    <t>https://dpmzos25m8ivg.cloudfront.net/Documentos/631/46809994890/6314680999489011092023164243.jpg</t>
  </si>
  <si>
    <t>https://dpmzos25m8ivg.cloudfront.net/Documentos/631/46822497897/6314682249789706092023234430.pdf</t>
  </si>
  <si>
    <t>https://dpmzos25m8ivg.cloudfront.net/Documentos/631/46834788204/6314683478820411092023151827.jpeg</t>
  </si>
  <si>
    <t>https://dpmzos25m8ivg.cloudfront.net/Documentos/631/46861226866/6314686122686607092023133502.jpg</t>
  </si>
  <si>
    <t>https://dpmzos25m8ivg.cloudfront.net/Documentos/631/46896148810/6314689614881011092023100246.pdf</t>
  </si>
  <si>
    <t>https://dpmzos25m8ivg.cloudfront.net/Documentos/631/46941472855/6314694147285506092023104039.pdf</t>
  </si>
  <si>
    <t>https://dpmzos25m8ivg.cloudfront.net/Documentos/631/46950830866/6314695083086614092023131028.jpeg</t>
  </si>
  <si>
    <t>https://dpmzos25m8ivg.cloudfront.net/Documentos/631/46959593808/6314695959380805092023234610.jpg</t>
  </si>
  <si>
    <t>https://dpmzos25m8ivg.cloudfront.net/Documentos/631/46964510893/6314696451089305092023115519.pdf</t>
  </si>
  <si>
    <t>https://dpmzos25m8ivg.cloudfront.net/Documentos/631/47010524858/6314701052485811092023141432.jpeg</t>
  </si>
  <si>
    <t>https://dpmzos25m8ivg.cloudfront.net/Documentos/631/47269210888/6314726921088805092023172246.pdf</t>
  </si>
  <si>
    <t>https://dpmzos25m8ivg.cloudfront.net/Documentos/631/47334762304/6314733476230411092023164827.pdf</t>
  </si>
  <si>
    <t>https://dpmzos25m8ivg.cloudfront.net/Documentos/631/47350849400/6314735084940009092023101350.jpg</t>
  </si>
  <si>
    <t>https://dpmzos25m8ivg.cloudfront.net/Documentos/631/47361935818/6314736193581807092023134323.pdf</t>
  </si>
  <si>
    <t>https://dpmzos25m8ivg.cloudfront.net/Documentos/631/47433574115/6314743357411505092023144735.pdf</t>
  </si>
  <si>
    <t>https://dpmzos25m8ivg.cloudfront.net/Documentos/631/47489682819/6314748968281914092023082855.pdf</t>
  </si>
  <si>
    <t>https://dpmzos25m8ivg.cloudfront.net/Documentos/631/47490184819/6314749018481904092023222852.pdf</t>
  </si>
  <si>
    <t>https://dpmzos25m8ivg.cloudfront.net/Documentos/631/47503270268/6314750327026814092023104552.pdf</t>
  </si>
  <si>
    <t>https://dpmzos25m8ivg.cloudfront.net/Documentos/631/47516855898/6314751685589811092023094237.jpg</t>
  </si>
  <si>
    <t>https://dpmzos25m8ivg.cloudfront.net/Documentos/631/47525469814/6314752546981411092023144644.pdf</t>
  </si>
  <si>
    <t>https://dpmzos25m8ivg.cloudfront.net/Documentos/631/47542902830/6314754290283011092023095521.pdf</t>
  </si>
  <si>
    <t>https://dpmzos25m8ivg.cloudfront.net/Documentos/631/47562189897/6314756218989708092023153446.jpg</t>
  </si>
  <si>
    <t>https://dpmzos25m8ivg.cloudfront.net/Documentos/631/47572283845/6314757228384511092023163313.jpg</t>
  </si>
  <si>
    <t>https://dpmzos25m8ivg.cloudfront.net/Documentos/631/47587016368/6314758701636807092023181134.pdf</t>
  </si>
  <si>
    <t>https://dpmzos25m8ivg.cloudfront.net/Documentos/631/47597496320/6314759749632005092023223404.jpg</t>
  </si>
  <si>
    <t>https://dpmzos25m8ivg.cloudfront.net/Documentos/631/47686642100/6314768664210011092023145210.pdf</t>
  </si>
  <si>
    <t>https://dpmzos25m8ivg.cloudfront.net/Documentos/631/47728546813/6314772854681311092023153219.pdf</t>
  </si>
  <si>
    <t>https://dpmzos25m8ivg.cloudfront.net/Documentos/631/47730747871/6314773074787111092023131047.pdf</t>
  </si>
  <si>
    <t>https://dpmzos25m8ivg.cloudfront.net/Documentos/631/47748555885/6314774855588507092023122752.pdf</t>
  </si>
  <si>
    <t>https://dpmzos25m8ivg.cloudfront.net/Documentos/631/47761007896/6314776100789611092023134721.pdf</t>
  </si>
  <si>
    <t>https://dpmzos25m8ivg.cloudfront.net/Documentos/631/47826959187/6314782695918712092023231730.pdf</t>
  </si>
  <si>
    <t>https://dpmzos25m8ivg.cloudfront.net/Documentos/631/47878857822/6314787885782211092023101531.pdf</t>
  </si>
  <si>
    <t>https://dpmzos25m8ivg.cloudfront.net/Documentos/631/47926022896/6314792602289611092023133416.pdf</t>
  </si>
  <si>
    <t>https://dpmzos25m8ivg.cloudfront.net/Documentos/631/47995657889/6314799565788905092023122523.jpg</t>
  </si>
  <si>
    <t>https://dpmzos25m8ivg.cloudfront.net/Documentos/631/47998034840/6314799803484008092023174453.pdf</t>
  </si>
  <si>
    <t>https://dpmzos25m8ivg.cloudfront.net/Documentos/631/48006538867/6314800653886711092023155511.pdf</t>
  </si>
  <si>
    <t>https://dpmzos25m8ivg.cloudfront.net/Documentos/631/48053288863/6314805328886308092023101631.pdf</t>
  </si>
  <si>
    <t>https://dpmzos25m8ivg.cloudfront.net/Documentos/631/48053966870/6314805396687010092023013053.pdf</t>
  </si>
  <si>
    <t>https://dpmzos25m8ivg.cloudfront.net/Documentos/631/48075642856/6314807564285610092023114046.pdf</t>
  </si>
  <si>
    <t>https://dpmzos25m8ivg.cloudfront.net/Documentos/631/48077267491/6314807726749111092023162546.jpeg</t>
  </si>
  <si>
    <t>https://dpmzos25m8ivg.cloudfront.net/Documentos/631/48096593803/6314809659380311092023164653.pdf</t>
  </si>
  <si>
    <t>https://dpmzos25m8ivg.cloudfront.net/Documentos/631/48138199822/6314813819982210092023234458.pdf</t>
  </si>
  <si>
    <t>https://dpmzos25m8ivg.cloudfront.net/Documentos/631/48216704534/6314821670453406092023190814.pdf</t>
  </si>
  <si>
    <t>https://dpmzos25m8ivg.cloudfront.net/Documentos/631/48315665863/6314831566586311092023130352.jpeg</t>
  </si>
  <si>
    <t>https://dpmzos25m8ivg.cloudfront.net/Documentos/631/48363476889/6314836347688907092023113736.jpeg</t>
  </si>
  <si>
    <t>https://dpmzos25m8ivg.cloudfront.net/Documentos/631/48378032884/6314837803288407092023143624.pdf</t>
  </si>
  <si>
    <t>https://dpmzos25m8ivg.cloudfront.net/Documentos/631/48414236804/6314841423680406092023182843.pdf</t>
  </si>
  <si>
    <t>https://dpmzos25m8ivg.cloudfront.net/Documentos/631/48417355855/6314841735585507092023184420.pdf</t>
  </si>
  <si>
    <t>https://dpmzos25m8ivg.cloudfront.net/Documentos/631/48428521867/6314842852186711092023152231.pdf</t>
  </si>
  <si>
    <t>https://dpmzos25m8ivg.cloudfront.net/Documentos/631/48431537884/6314843153788411092023132733.pdf</t>
  </si>
  <si>
    <t>https://dpmzos25m8ivg.cloudfront.net/Documentos/631/48443885840/6314844388584011092023150927.jpg</t>
  </si>
  <si>
    <t>https://dpmzos25m8ivg.cloudfront.net/Documentos/631/48456583804/6314845658380411092023140823.jpg</t>
  </si>
  <si>
    <t>https://dpmzos25m8ivg.cloudfront.net/Documentos/631/48457122886/6314845712288606092023151315.jpeg</t>
  </si>
  <si>
    <t>https://dpmzos25m8ivg.cloudfront.net/Documentos/631/48522747890/6314852274789011092023151304.pdf</t>
  </si>
  <si>
    <t>https://dpmzos25m8ivg.cloudfront.net/Documentos/631/48522767220/6314852276722011092023163124.pdf</t>
  </si>
  <si>
    <t>https://dpmzos25m8ivg.cloudfront.net/Documentos/631/48553526836/6314855352683611092023104935.pdf</t>
  </si>
  <si>
    <t>https://dpmzos25m8ivg.cloudfront.net/Documentos/631/48565035883/6314856503588311092023112007.pdf</t>
  </si>
  <si>
    <t>https://dpmzos25m8ivg.cloudfront.net/Documentos/631/48587492829/6314858749282911092023111750.pdf</t>
  </si>
  <si>
    <t>https://dpmzos25m8ivg.cloudfront.net/Documentos/631/48624510805/6314862451080507092023134050.jpg</t>
  </si>
  <si>
    <t>https://dpmzos25m8ivg.cloudfront.net/Documentos/631/48630796804/6314863079680413092023130742.pdf</t>
  </si>
  <si>
    <t>https://dpmzos25m8ivg.cloudfront.net/Documentos/631/48639360871/6314863936087111092023140132.pdf</t>
  </si>
  <si>
    <t>https://dpmzos25m8ivg.cloudfront.net/Documentos/631/48664497800/6314866449780011092023100434.pdf</t>
  </si>
  <si>
    <t>https://dpmzos25m8ivg.cloudfront.net/Documentos/631/48664930899/6314866493089907092023203000.pdf</t>
  </si>
  <si>
    <t>https://dpmzos25m8ivg.cloudfront.net/Documentos/631/48675580100/6314867558010005092023162910.pdf</t>
  </si>
  <si>
    <t>https://dpmzos25m8ivg.cloudfront.net/Documentos/631/48696330862/6314869633086213092023124913.pdf</t>
  </si>
  <si>
    <t>https://dpmzos25m8ivg.cloudfront.net/Documentos/631/48698497802/6314869849780205092023130251.pdf</t>
  </si>
  <si>
    <t>https://dpmzos25m8ivg.cloudfront.net/Documentos/631/48698988881/6314869898888111092023143532.pdf</t>
  </si>
  <si>
    <t>https://dpmzos25m8ivg.cloudfront.net/Documentos/631/48737852272/6314873785227211092023103820.pdf</t>
  </si>
  <si>
    <t>https://dpmzos25m8ivg.cloudfront.net/Documentos/631/48799167816/6314879916781611092023161639.pdf</t>
  </si>
  <si>
    <t>https://dpmzos25m8ivg.cloudfront.net/Documentos/631/48892611844/6314889261184405092023124640.pdf</t>
  </si>
  <si>
    <t>https://dpmzos25m8ivg.cloudfront.net/Documentos/631/48900257153/6314890025715311092023114446.jpg</t>
  </si>
  <si>
    <t>https://dpmzos25m8ivg.cloudfront.net/Documentos/631/48994258809/6314899425880911092023143026.jpg</t>
  </si>
  <si>
    <t>https://dpmzos25m8ivg.cloudfront.net/Documentos/631/49000444829/6314900044482911092023120309.pdf</t>
  </si>
  <si>
    <t>https://dpmzos25m8ivg.cloudfront.net/Documentos/631/49005521864/6314900552186411092023144555.pdf</t>
  </si>
  <si>
    <t>https://dpmzos25m8ivg.cloudfront.net/Documentos/631/49045528819/6314904552881906092023163028.pdf</t>
  </si>
  <si>
    <t>https://dpmzos25m8ivg.cloudfront.net/Documentos/631/49069132885/6314906913288513092023133059.pdf</t>
  </si>
  <si>
    <t>https://dpmzos25m8ivg.cloudfront.net/Documentos/631/49080008915/6314908000891508092023165917.pdf</t>
  </si>
  <si>
    <t>https://dpmzos25m8ivg.cloudfront.net/Documentos/631/49114573415/6314911457341509092023121334.pdf</t>
  </si>
  <si>
    <t>https://dpmzos25m8ivg.cloudfront.net/Documentos/631/49123110813/6314912311081311092023100720.pdf</t>
  </si>
  <si>
    <t>https://dpmzos25m8ivg.cloudfront.net/Documentos/631/49185536806/6314918553680608092023153829.pdf</t>
  </si>
  <si>
    <t>https://dpmzos25m8ivg.cloudfront.net/Documentos/631/49248795846/6314924879584605092023164907.pdf</t>
  </si>
  <si>
    <t>https://dpmzos25m8ivg.cloudfront.net/Documentos/631/49326027821/6314932602782109092023163609.jpg</t>
  </si>
  <si>
    <t>https://dpmzos25m8ivg.cloudfront.net/Documentos/631/49332373876/6314933237387605092023151743.pdf</t>
  </si>
  <si>
    <t>https://dpmzos25m8ivg.cloudfront.net/Documentos/631/49375767809/6314937576780905092023103530.pdf</t>
  </si>
  <si>
    <t>https://dpmzos25m8ivg.cloudfront.net/Documentos/631/49381065829/6314938106582911092023141339.pdf</t>
  </si>
  <si>
    <t>https://dpmzos25m8ivg.cloudfront.net/Documentos/631/49566401884/6314956640188411092023110427.pdf</t>
  </si>
  <si>
    <t>https://dpmzos25m8ivg.cloudfront.net/Documentos/631/49602404825/6314960240482511092023120834.pdf</t>
  </si>
  <si>
    <t>https://dpmzos25m8ivg.cloudfront.net/Documentos/631/49666611880/6314966661188010092023205834.pdf</t>
  </si>
  <si>
    <t>https://dpmzos25m8ivg.cloudfront.net/Documentos/631/49697754861/6314969775486110092023225301.pdf</t>
  </si>
  <si>
    <t>https://dpmzos25m8ivg.cloudfront.net/Documentos/631/49715880860/6314971588086011092023132026.pdf</t>
  </si>
  <si>
    <t>https://dpmzos25m8ivg.cloudfront.net/Documentos/631/49738771153/6314973877115311092023163956.pdf</t>
  </si>
  <si>
    <t>https://dpmzos25m8ivg.cloudfront.net/Documentos/631/49789055838/6314978905583805092023234121.pdf</t>
  </si>
  <si>
    <t>https://dpmzos25m8ivg.cloudfront.net/Documentos/631/49838504734/6314983850473407092023160131.pdf</t>
  </si>
  <si>
    <t>https://dpmzos25m8ivg.cloudfront.net/Documentos/631/49971435888/6314997143588813092023232146.pdf</t>
  </si>
  <si>
    <t>https://dpmzos25m8ivg.cloudfront.net/Documentos/631/49976862806/6314997686280610092023231924.pdf</t>
  </si>
  <si>
    <t>https://dpmzos25m8ivg.cloudfront.net/Documentos/631/49980679824/6314998067982409092023170543.pdf</t>
  </si>
  <si>
    <t>https://dpmzos25m8ivg.cloudfront.net/Documentos/631/50192515420/6315019251542011092023135924.jpg</t>
  </si>
  <si>
    <t>https://dpmzos25m8ivg.cloudfront.net/Documentos/631/50275151549/6315027515154905092023142520.jpg</t>
  </si>
  <si>
    <t>https://dpmzos25m8ivg.cloudfront.net/Documentos/631/50307437825/6315030743782511092023151643.pdf</t>
  </si>
  <si>
    <t>https://dpmzos25m8ivg.cloudfront.net/Documentos/631/50308979842/6315030897984210092023153808.jpg</t>
  </si>
  <si>
    <t>https://dpmzos25m8ivg.cloudfront.net/Documentos/631/50326540865/6315032654086511092023085253.pdf</t>
  </si>
  <si>
    <t>https://dpmzos25m8ivg.cloudfront.net/Documentos/631/50355219824/6315035521982406092023160902.pdf</t>
  </si>
  <si>
    <t>https://dpmzos25m8ivg.cloudfront.net/Documentos/631/50407880704/6315040788070406092023074247.jpg</t>
  </si>
  <si>
    <t>https://dpmzos25m8ivg.cloudfront.net/Documentos/631/50408186453/6315040818645311092023151711.pdf</t>
  </si>
  <si>
    <t>https://dpmzos25m8ivg.cloudfront.net/Documentos/631/50425863859/6315042586385905092023210807.jpg</t>
  </si>
  <si>
    <t>https://dpmzos25m8ivg.cloudfront.net/Documentos/631/50471990884/6315047199088411092023111245.pdf</t>
  </si>
  <si>
    <t>https://dpmzos25m8ivg.cloudfront.net/Documentos/631/50503905836/6315050390583614092023134321.pdf</t>
  </si>
  <si>
    <t>https://dpmzos25m8ivg.cloudfront.net/Documentos/631/50523180144/6315052318014408092023022030.jpg</t>
  </si>
  <si>
    <t>https://dpmzos25m8ivg.cloudfront.net/Documentos/631/50542230534/6315054223053408092023115900.jpg</t>
  </si>
  <si>
    <t>https://dpmzos25m8ivg.cloudfront.net/Documentos/631/50558170544/6315055817054405092023164007.pdf</t>
  </si>
  <si>
    <t>https://dpmzos25m8ivg.cloudfront.net/Documentos/631/50656848553/6315065684855305092023121011.pdf</t>
  </si>
  <si>
    <t>https://dpmzos25m8ivg.cloudfront.net/Documentos/631/50695313878/6315069531387811092023164636.jpg</t>
  </si>
  <si>
    <t>https://dpmzos25m8ivg.cloudfront.net/Documentos/631/50821989553/6315082198955311092023165558.jpg</t>
  </si>
  <si>
    <t>https://dpmzos25m8ivg.cloudfront.net/Documentos/631/50838652387/6315083865238710092023091905.pdf</t>
  </si>
  <si>
    <t>https://dpmzos25m8ivg.cloudfront.net/Documentos/631/50889120803/6315088912080311092023134057.jpeg</t>
  </si>
  <si>
    <t>https://dpmzos25m8ivg.cloudfront.net/Documentos/631/50914910230/6315091491023011092023130725.jpg</t>
  </si>
  <si>
    <t>https://dpmzos25m8ivg.cloudfront.net/Documentos/631/50985101806/6315098510180614092023080702.jpeg</t>
  </si>
  <si>
    <t>https://dpmzos25m8ivg.cloudfront.net/Documentos/631/51074010230/6315107401023014092023073236.pdf</t>
  </si>
  <si>
    <t>https://dpmzos25m8ivg.cloudfront.net/Documentos/631/51117958809/6315111795880909092023220812.jpeg</t>
  </si>
  <si>
    <t>https://dpmzos25m8ivg.cloudfront.net/Documentos/631/51132060087/6315113206008704092023234410.jpg</t>
  </si>
  <si>
    <t>https://dpmzos25m8ivg.cloudfront.net/Documentos/631/51151124850/6315115112485008092023152332.pdf</t>
  </si>
  <si>
    <t>https://dpmzos25m8ivg.cloudfront.net/Documentos/631/51159062870/6315115906287006092023144532.pdf</t>
  </si>
  <si>
    <t>https://dpmzos25m8ivg.cloudfront.net/Documentos/631/51172911827/6315117291182708092023110057.pdf</t>
  </si>
  <si>
    <t>https://dpmzos25m8ivg.cloudfront.net/Documentos/631/51190613204/6315119061320405092023095124.jpg</t>
  </si>
  <si>
    <t>https://dpmzos25m8ivg.cloudfront.net/Documentos/631/51230372504/6315123037250405092023091007.pdf</t>
  </si>
  <si>
    <t>https://dpmzos25m8ivg.cloudfront.net/Documentos/631/51275423825/6315127542382511092023100233.pdf</t>
  </si>
  <si>
    <t>https://dpmzos25m8ivg.cloudfront.net/Documentos/631/51290944253/6315129094425311092023130210.pdf</t>
  </si>
  <si>
    <t>https://dpmzos25m8ivg.cloudfront.net/Documentos/631/51292402865/6315129240286514092023003248.jpeg</t>
  </si>
  <si>
    <t>https://dpmzos25m8ivg.cloudfront.net/Documentos/631/51303850206/6315130385020609092023162629.jpeg</t>
  </si>
  <si>
    <t>https://dpmzos25m8ivg.cloudfront.net/Documentos/631/51326922149/6315132692214905092023134913.pdf</t>
  </si>
  <si>
    <t>https://dpmzos25m8ivg.cloudfront.net/Documentos/631/51374714534/6315137471453411092023151409.pdf</t>
  </si>
  <si>
    <t>https://dpmzos25m8ivg.cloudfront.net/Documentos/631/51381460682/6315138146068206092023215221.jpeg</t>
  </si>
  <si>
    <t>https://dpmzos25m8ivg.cloudfront.net/Documentos/631/51417928204/6315141792820405092023172707.pdf</t>
  </si>
  <si>
    <t>https://dpmzos25m8ivg.cloudfront.net/Documentos/631/51476997837/6315147699783711092023131602.pdf</t>
  </si>
  <si>
    <t>https://dpmzos25m8ivg.cloudfront.net/Documentos/631/51601330898/6315160133089811092023113829.pdf</t>
  </si>
  <si>
    <t>https://dpmzos25m8ivg.cloudfront.net/Documentos/631/51613662300/6315161366230010092023193041.pdf</t>
  </si>
  <si>
    <t>https://dpmzos25m8ivg.cloudfront.net/Documentos/631/51726955320/6315172695532011092023135927.jpg</t>
  </si>
  <si>
    <t>https://dpmzos25m8ivg.cloudfront.net/Documentos/631/51805806840/6315180580684013092023214235.pdf</t>
  </si>
  <si>
    <t>https://dpmzos25m8ivg.cloudfront.net/Documentos/631/51837900604/6315183790060408092023202427.pdf</t>
  </si>
  <si>
    <t>https://dpmzos25m8ivg.cloudfront.net/Documentos/631/51852381272/6315185238127206092023164028.pdf</t>
  </si>
  <si>
    <t>https://dpmzos25m8ivg.cloudfront.net/Documentos/631/51890054291/6315189005429110092023184746.pdf</t>
  </si>
  <si>
    <t>https://dpmzos25m8ivg.cloudfront.net/Documentos/631/51963868234/6315196386823405092023214546.pdf</t>
  </si>
  <si>
    <t>https://dpmzos25m8ivg.cloudfront.net/Documentos/631/52165388287/6315216538828705092023174930.pdf</t>
  </si>
  <si>
    <t>https://dpmzos25m8ivg.cloudfront.net/Documentos/631/52259048234/6315225904823411092023134433.pdf</t>
  </si>
  <si>
    <t>https://dpmzos25m8ivg.cloudfront.net/Documentos/631/52264386215/6315226438621504092023201740.jpeg</t>
  </si>
  <si>
    <t>https://dpmzos25m8ivg.cloudfront.net/Documentos/631/52303055172/6315230305517211092023145116.pdf</t>
  </si>
  <si>
    <t>https://dpmzos25m8ivg.cloudfront.net/Documentos/631/52334937649/6315233493764911092023163802.pdf</t>
  </si>
  <si>
    <t>https://dpmzos25m8ivg.cloudfront.net/Documentos/631/52359760459/6315235976045910092023124910.pdf</t>
  </si>
  <si>
    <t>https://dpmzos25m8ivg.cloudfront.net/Documentos/631/52380289204/6315238028920411092023140851.pdf</t>
  </si>
  <si>
    <t>https://dpmzos25m8ivg.cloudfront.net/Documentos/631/52426955287/6315242695528711092023114403.jpeg</t>
  </si>
  <si>
    <t>https://dpmzos25m8ivg.cloudfront.net/Documentos/631/52671615434/6315267161543407092023220820.pdf</t>
  </si>
  <si>
    <t>https://dpmzos25m8ivg.cloudfront.net/Documentos/631/52687902268/6315268790226811092023125648.jpeg</t>
  </si>
  <si>
    <t>https://dpmzos25m8ivg.cloudfront.net/Documentos/631/52699914894/6315269991489406092023130106.pdf</t>
  </si>
  <si>
    <t>https://dpmzos25m8ivg.cloudfront.net/Documentos/631/52730255591/6315273025559107092023154910.pdf</t>
  </si>
  <si>
    <t>https://dpmzos25m8ivg.cloudfront.net/Documentos/631/52786900204/6315278690020414092023162555.pdf</t>
  </si>
  <si>
    <t>https://dpmzos25m8ivg.cloudfront.net/Documentos/631/52942910100/6315294291010011092023100515.jpg</t>
  </si>
  <si>
    <t>https://dpmzos25m8ivg.cloudfront.net/Documentos/631/52945766515/6315294576651505092023190230.jpeg</t>
  </si>
  <si>
    <t>https://dpmzos25m8ivg.cloudfront.net/Documentos/631/53024532072/6315302453207208092023145533.pdf</t>
  </si>
  <si>
    <t>https://dpmzos25m8ivg.cloudfront.net/Documentos/631/53091728587/6315309172858711092023163702.pdf</t>
  </si>
  <si>
    <t>https://dpmzos25m8ivg.cloudfront.net/Documentos/631/53291964500/6315329196450010092023205135.pdf</t>
  </si>
  <si>
    <t>https://dpmzos25m8ivg.cloudfront.net/Documentos/631/53518071220/6315351807122011092023161310.pdf</t>
  </si>
  <si>
    <t>https://dpmzos25m8ivg.cloudfront.net/Documentos/631/53529057568/6315352905756811092023113701.pdf</t>
  </si>
  <si>
    <t>https://dpmzos25m8ivg.cloudfront.net/Documentos/631/53538781591/6315353878159111092023124251.jpeg</t>
  </si>
  <si>
    <t>https://dpmzos25m8ivg.cloudfront.net/Documentos/631/53620470510/6315362047051007092023152044.pdf</t>
  </si>
  <si>
    <t>https://dpmzos25m8ivg.cloudfront.net/Documentos/631/53751922253/6315375192225311092023004101.pdf</t>
  </si>
  <si>
    <t>https://dpmzos25m8ivg.cloudfront.net/Documentos/631/53766016172/6315376601617206092023113124.pdf</t>
  </si>
  <si>
    <t>https://dpmzos25m8ivg.cloudfront.net/Documentos/631/53810970506/6315381097050611092023081932.pdf</t>
  </si>
  <si>
    <t>https://dpmzos25m8ivg.cloudfront.net/Documentos/631/53831241015/6315383124101506092023222441.pdf</t>
  </si>
  <si>
    <t>https://dpmzos25m8ivg.cloudfront.net/Documentos/631/53883560600/6315388356060009092023171659.pdf</t>
  </si>
  <si>
    <t>https://dpmzos25m8ivg.cloudfront.net/Documentos/631/53899270282/6315389927028206092023011446.jpg</t>
  </si>
  <si>
    <t>https://dpmzos25m8ivg.cloudfront.net/Documentos/631/53949285504/6315394928550411092023142404.pdf</t>
  </si>
  <si>
    <t>https://dpmzos25m8ivg.cloudfront.net/Documentos/631/54009073268/6315400907326808092023121827.jpeg</t>
  </si>
  <si>
    <t>https://dpmzos25m8ivg.cloudfront.net/Documentos/631/54082900268/6315408290026811092023112916.pdf</t>
  </si>
  <si>
    <t>https://dpmzos25m8ivg.cloudfront.net/Documentos/631/54610311534/6315461031153408092023153401.pdf</t>
  </si>
  <si>
    <t>https://dpmzos25m8ivg.cloudfront.net/Documentos/631/54844126334/6315484412633414092023161742.pdf</t>
  </si>
  <si>
    <t>https://dpmzos25m8ivg.cloudfront.net/Documentos/631/54847265572/6315484726557211092023165727.pdf</t>
  </si>
  <si>
    <t>https://dpmzos25m8ivg.cloudfront.net/Documentos/631/54870917149/6315487091714910092023203642.pdf</t>
  </si>
  <si>
    <t>https://dpmzos25m8ivg.cloudfront.net/Documentos/631/54878314591/6315487831459107092023183301.jpg</t>
  </si>
  <si>
    <t>https://dpmzos25m8ivg.cloudfront.net/Documentos/631/55027385234/6315502738523411092023162248.pdf</t>
  </si>
  <si>
    <t>https://dpmzos25m8ivg.cloudfront.net/Documentos/631/55160476172/6315516047617208092023221417.pdf</t>
  </si>
  <si>
    <t>https://dpmzos25m8ivg.cloudfront.net/Documentos/631/55177212149/6315517721214910092023175945.pdf</t>
  </si>
  <si>
    <t>https://dpmzos25m8ivg.cloudfront.net/Documentos/631/55184979468/6315518497946811092023142819.pdf</t>
  </si>
  <si>
    <t>https://dpmzos25m8ivg.cloudfront.net/Documentos/631/55192963249/6315519296324911092023122701.pdf</t>
  </si>
  <si>
    <t>https://dpmzos25m8ivg.cloudfront.net/Documentos/631/55342418372/6315534241837207092023212924.pdf</t>
  </si>
  <si>
    <t>https://dpmzos25m8ivg.cloudfront.net/Documentos/631/55494013200/6315549401320007092023202835.pdf</t>
  </si>
  <si>
    <t>https://dpmzos25m8ivg.cloudfront.net/Documentos/631/55512321668/6315551232166806092023115512.jpg</t>
  </si>
  <si>
    <t>https://dpmzos25m8ivg.cloudfront.net/Documentos/631/55566367453/6315556636745310092023122432.jpg</t>
  </si>
  <si>
    <t>https://dpmzos25m8ivg.cloudfront.net/Documentos/631/55705952872/6315570595287208092023185648.jpeg</t>
  </si>
  <si>
    <t>https://dpmzos25m8ivg.cloudfront.net/Documentos/631/55785280230/6315578528023008092023205743.jpg</t>
  </si>
  <si>
    <t>https://dpmzos25m8ivg.cloudfront.net/Documentos/631/55953310200/6315595331020008092023195044.pdf</t>
  </si>
  <si>
    <t>https://dpmzos25m8ivg.cloudfront.net/Documentos/631/55991920591/6315599192059105092023232410.jpg</t>
  </si>
  <si>
    <t>https://dpmzos25m8ivg.cloudfront.net/Documentos/631/56068786153/6315606878615305092023204610.pdf</t>
  </si>
  <si>
    <t>https://dpmzos25m8ivg.cloudfront.net/Documentos/631/56073275234/6315607327523405092023114435.jpg</t>
  </si>
  <si>
    <t>https://dpmzos25m8ivg.cloudfront.net/Documentos/631/56138474520/6315613847452005092023205638.jpg</t>
  </si>
  <si>
    <t>https://dpmzos25m8ivg.cloudfront.net/Documentos/631/56195796115/6315619579611505092023110652.jpg</t>
  </si>
  <si>
    <t>https://dpmzos25m8ivg.cloudfront.net/Documentos/631/56350724020/6315635072402011092023075115.jpg</t>
  </si>
  <si>
    <t>https://dpmzos25m8ivg.cloudfront.net/Documentos/631/56374100115/6315637410011506092023115459.jpeg</t>
  </si>
  <si>
    <t>https://dpmzos25m8ivg.cloudfront.net/Documentos/631/56439253549/6315643925354911092023163428.jpg</t>
  </si>
  <si>
    <t>https://dpmzos25m8ivg.cloudfront.net/Documentos/631/56471785372/6315647178537213092023190456.jpg</t>
  </si>
  <si>
    <t>https://dpmzos25m8ivg.cloudfront.net/Documentos/631/56578571787/6315657857178706092023192429.pdf</t>
  </si>
  <si>
    <t>https://dpmzos25m8ivg.cloudfront.net/Documentos/631/56650108200/6315665010820011092023131526.jpg</t>
  </si>
  <si>
    <t>https://dpmzos25m8ivg.cloudfront.net/Documentos/631/56755422568/6315675542256808092023154824.pdf</t>
  </si>
  <si>
    <t>https://dpmzos25m8ivg.cloudfront.net/Documentos/631/56845456453/6315684545645311092023071950.pdf</t>
  </si>
  <si>
    <t>https://dpmzos25m8ivg.cloudfront.net/Documentos/631/56914040249/6315691404024911092023170128.jpeg</t>
  </si>
  <si>
    <t>https://dpmzos25m8ivg.cloudfront.net/Documentos/631/57040680300/6315704068030007092023232337.pdf</t>
  </si>
  <si>
    <t>https://dpmzos25m8ivg.cloudfront.net/Documentos/631/57084408215/6315708440821508092023150811.pdf</t>
  </si>
  <si>
    <t>https://dpmzos25m8ivg.cloudfront.net/Documentos/631/57122504034/6315712250403409092023180509.jpg</t>
  </si>
  <si>
    <t>https://dpmzos25m8ivg.cloudfront.net/Documentos/631/57446083549/6315744608354907092023113747.jpg</t>
  </si>
  <si>
    <t>https://dpmzos25m8ivg.cloudfront.net/Documentos/631/57538638253/6315753863825310092023184233.pdf</t>
  </si>
  <si>
    <t>https://dpmzos25m8ivg.cloudfront.net/Documentos/631/57615209153/6315761520915314092023141642.jpg</t>
  </si>
  <si>
    <t>https://dpmzos25m8ivg.cloudfront.net/Documentos/631/57618399204/6315761839920409092023141746.pdf</t>
  </si>
  <si>
    <t>https://dpmzos25m8ivg.cloudfront.net/Documentos/631/57622850225/6315762285022509092023180746.pdf</t>
  </si>
  <si>
    <t>https://dpmzos25m8ivg.cloudfront.net/Documentos/631/57680370206/6315768037020605092023211143.pdf</t>
  </si>
  <si>
    <t>https://dpmzos25m8ivg.cloudfront.net/Documentos/631/57686963500/6315768696350005092023113312.pdf</t>
  </si>
  <si>
    <t>https://dpmzos25m8ivg.cloudfront.net/Documentos/631/57722404472/6315772240447205092023154843.jpeg</t>
  </si>
  <si>
    <t>https://dpmzos25m8ivg.cloudfront.net/Documentos/631/57729425572/6315772942557211092023145813.pdf</t>
  </si>
  <si>
    <t>https://dpmzos25m8ivg.cloudfront.net/Documentos/631/57732779134/6315773277913409092023105535.pdf</t>
  </si>
  <si>
    <t>https://dpmzos25m8ivg.cloudfront.net/Documentos/631/57858608215/6315785860821509092023115732.pdf</t>
  </si>
  <si>
    <t>https://dpmzos25m8ivg.cloudfront.net/Documentos/631/57952124234/6315795212423410092023165420.pdf</t>
  </si>
  <si>
    <t>https://dpmzos25m8ivg.cloudfront.net/Documentos/631/57999570591/6315799957059111092023154723.jpg</t>
  </si>
  <si>
    <t>https://dpmzos25m8ivg.cloudfront.net/Documentos/631/58031243204/6315803124320411092023121107.pdf</t>
  </si>
  <si>
    <t>https://dpmzos25m8ivg.cloudfront.net/Documentos/631/58336028404/6315833602840411092023170240.pdf</t>
  </si>
  <si>
    <t>https://dpmzos25m8ivg.cloudfront.net/Documentos/631/58409190206/6315840919020610092023151927.pdf</t>
  </si>
  <si>
    <t>https://dpmzos25m8ivg.cloudfront.net/Documentos/631/58543520444/6315854352044409092023081446.pdf</t>
  </si>
  <si>
    <t>https://dpmzos25m8ivg.cloudfront.net/Documentos/631/58608648504/6315860864850408092023192942.pdf</t>
  </si>
  <si>
    <t>https://dpmzos25m8ivg.cloudfront.net/Documentos/631/58709576215/6315870957621511092023161310.jpeg</t>
  </si>
  <si>
    <t>https://dpmzos25m8ivg.cloudfront.net/Documentos/631/58768122187/6315876812218711092023123901.pdf</t>
  </si>
  <si>
    <t>https://dpmzos25m8ivg.cloudfront.net/Documentos/631/58807110563/6315880711056307092023115625.jpeg</t>
  </si>
  <si>
    <t>https://dpmzos25m8ivg.cloudfront.net/Documentos/631/58847383587/6315884738358707092023104850.pdf</t>
  </si>
  <si>
    <t>https://dpmzos25m8ivg.cloudfront.net/Documentos/631/58890432500/6315889043250007092023104409.pdf</t>
  </si>
  <si>
    <t>https://dpmzos25m8ivg.cloudfront.net/Documentos/631/58927239768/6315892723976811092023144709.jpg</t>
  </si>
  <si>
    <t>https://dpmzos25m8ivg.cloudfront.net/Documentos/631/58970975268/6315897097526808092023211149.jpg</t>
  </si>
  <si>
    <t>https://dpmzos25m8ivg.cloudfront.net/Documentos/631/58995080000/6315899508000014092023134756.pdf</t>
  </si>
  <si>
    <t>https://dpmzos25m8ivg.cloudfront.net/Documentos/631/59070587904/6315907058790405092023160039.jpg</t>
  </si>
  <si>
    <t>https://dpmzos25m8ivg.cloudfront.net/Documentos/631/59070609134/6315907060913411092023114501.pdf</t>
  </si>
  <si>
    <t>https://dpmzos25m8ivg.cloudfront.net/Documentos/631/59070781115/6315907078111510092023233535.pdf</t>
  </si>
  <si>
    <t>https://dpmzos25m8ivg.cloudfront.net/Documentos/631/59123583134/6315912358313411092023133941.pdf</t>
  </si>
  <si>
    <t>https://dpmzos25m8ivg.cloudfront.net/Documentos/631/59141824172/6315914182417204092023194701.pdf</t>
  </si>
  <si>
    <t>https://dpmzos25m8ivg.cloudfront.net/Documentos/631/59172894253/6315917289425305092023214749.pdf</t>
  </si>
  <si>
    <t>https://dpmzos25m8ivg.cloudfront.net/Documentos/631/59274808100/6315927480810011092023151453.pdf</t>
  </si>
  <si>
    <t>https://dpmzos25m8ivg.cloudfront.net/Documentos/631/59378352553/6315937835255311092023174042.pdf</t>
  </si>
  <si>
    <t>https://dpmzos25m8ivg.cloudfront.net/Documentos/631/59421797000/6315942179700005092023091205.jpg</t>
  </si>
  <si>
    <t>https://dpmzos25m8ivg.cloudfront.net/Documentos/631/59427957204/6315942795720411092023141955.pdf</t>
  </si>
  <si>
    <t>https://dpmzos25m8ivg.cloudfront.net/Documentos/631/59704314949/6315970431494911092023153459.jpeg</t>
  </si>
  <si>
    <t>https://dpmzos25m8ivg.cloudfront.net/Documentos/631/59750014200/6315975001420007092023153253.jpeg</t>
  </si>
  <si>
    <t>https://dpmzos25m8ivg.cloudfront.net/Documentos/631/59884304149/6315988430414908092023205444.pdf</t>
  </si>
  <si>
    <t>https://dpmzos25m8ivg.cloudfront.net/Documentos/631/59903392591/6315990339259111092023150955.pdf</t>
  </si>
  <si>
    <t>https://dpmzos25m8ivg.cloudfront.net/Documentos/631/59906545453/6315990654545314092023154109.pdf</t>
  </si>
  <si>
    <t>https://dpmzos25m8ivg.cloudfront.net/Documentos/631/59945079549/6315994507954908092023105218.pdf</t>
  </si>
  <si>
    <t>https://dpmzos25m8ivg.cloudfront.net/Documentos/631/60001250388/6316000125038811092023125333.pdf</t>
  </si>
  <si>
    <t>https://dpmzos25m8ivg.cloudfront.net/Documentos/631/60012405310/6316001240531011092023073447.pdf</t>
  </si>
  <si>
    <t>https://dpmzos25m8ivg.cloudfront.net/Documentos/631/60016027272/6316001602727205092023173727.pdf</t>
  </si>
  <si>
    <t>https://dpmzos25m8ivg.cloudfront.net/Documentos/631/60022670009/6316002267000908092023133947.pdf</t>
  </si>
  <si>
    <t>https://dpmzos25m8ivg.cloudfront.net/Documentos/631/60036043362/6316003604336208092023185504.pdf</t>
  </si>
  <si>
    <t>https://dpmzos25m8ivg.cloudfront.net/Documentos/631/60070463700/6316007046370010092023120450.pdf</t>
  </si>
  <si>
    <t>https://dpmzos25m8ivg.cloudfront.net/Documentos/631/60098006339/6316009800633911092023085240.pdf</t>
  </si>
  <si>
    <t>https://dpmzos25m8ivg.cloudfront.net/Documentos/631/60263070360/6316026307036005092023200426.jpg</t>
  </si>
  <si>
    <t>https://dpmzos25m8ivg.cloudfront.net/Documentos/631/60306101394/6316030610139411092023020129.jpg</t>
  </si>
  <si>
    <t>https://dpmzos25m8ivg.cloudfront.net/Documentos/631/60343175339/6316034317533912092023175709.pdf</t>
  </si>
  <si>
    <t>https://dpmzos25m8ivg.cloudfront.net/Documentos/631/60345128400/6316034512840008092023191815.pdf</t>
  </si>
  <si>
    <t>https://dpmzos25m8ivg.cloudfront.net/Documentos/631/60362486360/6316036248636006092023093737.pdf</t>
  </si>
  <si>
    <t>https://dpmzos25m8ivg.cloudfront.net/Documentos/631/60363647333/6316036364733311092023150441.pdf</t>
  </si>
  <si>
    <t>https://dpmzos25m8ivg.cloudfront.net/Documentos/631/60367936348/6316036793634805092023085813.pdf</t>
  </si>
  <si>
    <t>https://dpmzos25m8ivg.cloudfront.net/Documentos/631/60377065307/6316037706530711092023144827.pdf</t>
  </si>
  <si>
    <t>https://dpmzos25m8ivg.cloudfront.net/Documentos/631/60383624363/6316038362436311092023134906.pdf</t>
  </si>
  <si>
    <t>https://dpmzos25m8ivg.cloudfront.net/Documentos/631/60389943355/6316038994335511092023115112.jpeg</t>
  </si>
  <si>
    <t>https://dpmzos25m8ivg.cloudfront.net/Documentos/631/60402586328/6316040258632813092023132840.pdf</t>
  </si>
  <si>
    <t>https://dpmzos25m8ivg.cloudfront.net/Documentos/631/60403525314/6316040352531411092023143800.pdf</t>
  </si>
  <si>
    <t>https://dpmzos25m8ivg.cloudfront.net/Documentos/631/60417762380/6316041776238005092023164540.jpeg</t>
  </si>
  <si>
    <t>https://dpmzos25m8ivg.cloudfront.net/Documentos/631/60431397317/6316043139731710092023115244.pdf</t>
  </si>
  <si>
    <t>https://dpmzos25m8ivg.cloudfront.net/Documentos/631/60438156307/6316043815630711092023140059.pdf</t>
  </si>
  <si>
    <t>https://dpmzos25m8ivg.cloudfront.net/Documentos/631/60446381381/6316044638138110092023113526.jpg</t>
  </si>
  <si>
    <t>https://dpmzos25m8ivg.cloudfront.net/Documentos/631/60452935504/6316045293550405092023101908.jpeg</t>
  </si>
  <si>
    <t>https://dpmzos25m8ivg.cloudfront.net/Documentos/631/60454915306/6316045491530606092023094642.pdf</t>
  </si>
  <si>
    <t>https://dpmzos25m8ivg.cloudfront.net/Documentos/631/60455483370/6316045548337010092023144928.pdf</t>
  </si>
  <si>
    <t>https://dpmzos25m8ivg.cloudfront.net/Documentos/631/60470396342/6316047039634209092023192446.jpeg</t>
  </si>
  <si>
    <t>https://dpmzos25m8ivg.cloudfront.net/Documentos/631/60470795395/6316047079539514092023163052.pdf</t>
  </si>
  <si>
    <t>https://dpmzos25m8ivg.cloudfront.net/Documentos/631/60488570395/6316048857039506092023145605.jpeg</t>
  </si>
  <si>
    <t>https://dpmzos25m8ivg.cloudfront.net/Documentos/631/60511201303/6316051120130309092023195259.pdf</t>
  </si>
  <si>
    <t>https://dpmzos25m8ivg.cloudfront.net/Documentos/631/60517600323/6316051760032308092023003505.jpeg</t>
  </si>
  <si>
    <t>https://dpmzos25m8ivg.cloudfront.net/Documentos/631/60521710308/6316052171030805092023201907.pdf</t>
  </si>
  <si>
    <t>https://dpmzos25m8ivg.cloudfront.net/Documentos/631/60523423314/6316052342331411092023000826.jpeg</t>
  </si>
  <si>
    <t>https://dpmzos25m8ivg.cloudfront.net/Documentos/631/60548585300/6316054858530011092023134722.jpg</t>
  </si>
  <si>
    <t>https://dpmzos25m8ivg.cloudfront.net/Documentos/631/60560160305/6316056016030508092023094421.pdf</t>
  </si>
  <si>
    <t>https://dpmzos25m8ivg.cloudfront.net/Documentos/631/60565105302/6316056510530206092023161542.pdf</t>
  </si>
  <si>
    <t>https://dpmzos25m8ivg.cloudfront.net/Documentos/631/60570898390/6316057089839009092023191048.pdf</t>
  </si>
  <si>
    <t>https://dpmzos25m8ivg.cloudfront.net/Documentos/631/60579066320/6316057906632011092023124128.jpeg</t>
  </si>
  <si>
    <t>https://dpmzos25m8ivg.cloudfront.net/Documentos/631/60594716330/6316059471633011092023164854.pdf</t>
  </si>
  <si>
    <t>https://dpmzos25m8ivg.cloudfront.net/Documentos/631/60609814370/6316060981437006092023202819.pdf</t>
  </si>
  <si>
    <t>https://dpmzos25m8ivg.cloudfront.net/Documentos/631/60609954385/6316060995438505092023130839.pdf</t>
  </si>
  <si>
    <t>https://dpmzos25m8ivg.cloudfront.net/Documentos/631/60620299380/6316062029938006092023105722.pdf</t>
  </si>
  <si>
    <t>https://dpmzos25m8ivg.cloudfront.net/Documentos/631/60620538392/6316062053839206092023151045.pdf</t>
  </si>
  <si>
    <t>https://dpmzos25m8ivg.cloudfront.net/Documentos/631/60621424323/6316062142432311092023103540.pdf</t>
  </si>
  <si>
    <t>https://dpmzos25m8ivg.cloudfront.net/Documentos/631/60622401327/6316062240132708092023192418.pdf</t>
  </si>
  <si>
    <t>https://dpmzos25m8ivg.cloudfront.net/Documentos/631/60624796310/6316062479631013092023212500.pdf</t>
  </si>
  <si>
    <t>https://dpmzos25m8ivg.cloudfront.net/Documentos/631/60635898306/6316063589830611092023140509.pdf</t>
  </si>
  <si>
    <t>https://dpmzos25m8ivg.cloudfront.net/Documentos/631/60643530312/6316064353031210092023133437.pdf</t>
  </si>
  <si>
    <t>https://dpmzos25m8ivg.cloudfront.net/Documentos/631/60660974312/6316066097431209092023120505.pdf</t>
  </si>
  <si>
    <t>https://dpmzos25m8ivg.cloudfront.net/Documentos/631/60693911360/6316069391136011092023121814.pdf</t>
  </si>
  <si>
    <t>https://dpmzos25m8ivg.cloudfront.net/Documentos/631/60696604396/6316069660439606092023175007.pdf</t>
  </si>
  <si>
    <t>https://dpmzos25m8ivg.cloudfront.net/Documentos/631/60700157115/6316070015711510092023214436.pdf</t>
  </si>
  <si>
    <t>https://dpmzos25m8ivg.cloudfront.net/Documentos/631/60700345388/6316070034538811092023120101.pdf</t>
  </si>
  <si>
    <t>https://dpmzos25m8ivg.cloudfront.net/Documentos/631/60704930366/6316070493036611092023150949.pdf</t>
  </si>
  <si>
    <t>https://dpmzos25m8ivg.cloudfront.net/Documentos/631/60712781390/6316071278139005092023141029.pdf</t>
  </si>
  <si>
    <t>https://dpmzos25m8ivg.cloudfront.net/Documentos/631/60718778308/6316071877830810092023203203.pdf</t>
  </si>
  <si>
    <t>https://dpmzos25m8ivg.cloudfront.net/Documentos/631/60725332301/6316072533230111092023141328.pdf</t>
  </si>
  <si>
    <t>https://dpmzos25m8ivg.cloudfront.net/Documentos/631/60736777318/6316073677731811092023160344.pdf</t>
  </si>
  <si>
    <t>https://dpmzos25m8ivg.cloudfront.net/Documentos/631/60737528303/6316073752830310092023171138.jpg</t>
  </si>
  <si>
    <t>https://dpmzos25m8ivg.cloudfront.net/Documentos/631/60740649388/6316074064938805092023145052.pdf</t>
  </si>
  <si>
    <t>https://dpmzos25m8ivg.cloudfront.net/Documentos/631/60749253053/6316074925305305092023144031.pdf</t>
  </si>
  <si>
    <t>https://dpmzos25m8ivg.cloudfront.net/Documentos/631/60756827329/6316075682732907092023103806.pdf</t>
  </si>
  <si>
    <t>https://dpmzos25m8ivg.cloudfront.net/Documentos/631/60784796360/6316078479636005092023170756.pdf</t>
  </si>
  <si>
    <t>https://dpmzos25m8ivg.cloudfront.net/Documentos/631/60784944300/6316078494430011092023152748.pdf</t>
  </si>
  <si>
    <t>https://dpmzos25m8ivg.cloudfront.net/Documentos/631/60787093300/6316078709330005092023205029.pdf</t>
  </si>
  <si>
    <t>https://dpmzos25m8ivg.cloudfront.net/Documentos/631/60787797375/6316078779737511092023163246.pdf</t>
  </si>
  <si>
    <t>https://dpmzos25m8ivg.cloudfront.net/Documentos/631/60788365363/6316078836536305092023173301.jpeg</t>
  </si>
  <si>
    <t>https://dpmzos25m8ivg.cloudfront.net/Documentos/631/60806396377/6316080639637711092023074147.jpg</t>
  </si>
  <si>
    <t>https://dpmzos25m8ivg.cloudfront.net/Documentos/631/60814463363/6316081446336310092023091301.pdf</t>
  </si>
  <si>
    <t>https://dpmzos25m8ivg.cloudfront.net/Documentos/631/60817699333/6316081769933311092023133027.jpg</t>
  </si>
  <si>
    <t>https://dpmzos25m8ivg.cloudfront.net/Documentos/631/60826393322/6316082639332211092023141624.jpeg</t>
  </si>
  <si>
    <t>https://dpmzos25m8ivg.cloudfront.net/Documentos/631/60827202377/6316082720237714092023143136.pdf</t>
  </si>
  <si>
    <t>https://dpmzos25m8ivg.cloudfront.net/Documentos/631/60828951420/6316082895142006092023082133.pdf</t>
  </si>
  <si>
    <t>https://dpmzos25m8ivg.cloudfront.net/Documentos/631/60831605375/6316083160537511092023140323.pdf</t>
  </si>
  <si>
    <t>https://dpmzos25m8ivg.cloudfront.net/Documentos/631/60833002317/6316083300231705092023195126.pdf</t>
  </si>
  <si>
    <t>https://dpmzos25m8ivg.cloudfront.net/Documentos/631/60848046323/6316084804632311092023144902.pdf</t>
  </si>
  <si>
    <t>https://dpmzos25m8ivg.cloudfront.net/Documentos/631/60857581384/6316085758138406092023170054.pdf</t>
  </si>
  <si>
    <t>https://dpmzos25m8ivg.cloudfront.net/Documentos/631/60859209385/6316085920938511092023103838.pdf</t>
  </si>
  <si>
    <t>https://dpmzos25m8ivg.cloudfront.net/Documentos/631/60860153339/6316086015333911092023122517.pdf</t>
  </si>
  <si>
    <t>https://dpmzos25m8ivg.cloudfront.net/Documentos/631/60869669311/6316086966931111092023010447.pdf</t>
  </si>
  <si>
    <t>https://dpmzos25m8ivg.cloudfront.net/Documentos/631/60879564253/6316087956425313092023181201.pdf</t>
  </si>
  <si>
    <t>https://dpmzos25m8ivg.cloudfront.net/Documentos/631/60901559342/6316090155934211092023162732.pdf</t>
  </si>
  <si>
    <t>https://dpmzos25m8ivg.cloudfront.net/Documentos/631/60904509362/6316090450936211092023111311.pdf</t>
  </si>
  <si>
    <t>https://dpmzos25m8ivg.cloudfront.net/Documentos/631/60905400305/6316090540030507092023194054.pdf</t>
  </si>
  <si>
    <t>https://dpmzos25m8ivg.cloudfront.net/Documentos/631/60911885340/6316091188534008092023171307.pdf</t>
  </si>
  <si>
    <t>https://dpmzos25m8ivg.cloudfront.net/Documentos/631/60912686359/6316091268635908092023135655.pdf</t>
  </si>
  <si>
    <t>https://dpmzos25m8ivg.cloudfront.net/Documentos/631/60918082307/6316091808230711092023155306.pdf</t>
  </si>
  <si>
    <t>https://dpmzos25m8ivg.cloudfront.net/Documentos/631/60918348358/6316091834835811092023154524.pdf</t>
  </si>
  <si>
    <t>https://dpmzos25m8ivg.cloudfront.net/Documentos/631/60959473327/6316095947332711092023150922.pdf</t>
  </si>
  <si>
    <t>https://dpmzos25m8ivg.cloudfront.net/Documentos/631/60961931370/6316096193137008092023201720.pdf</t>
  </si>
  <si>
    <t>https://dpmzos25m8ivg.cloudfront.net/Documentos/631/60962289337/6316096228933711092023004433.jpeg</t>
  </si>
  <si>
    <t>https://dpmzos25m8ivg.cloudfront.net/Documentos/631/60966098307/6316096609830712092023212405.pdf</t>
  </si>
  <si>
    <t>https://dpmzos25m8ivg.cloudfront.net/Documentos/631/60980497345/6316098049734510092023222459.pdf</t>
  </si>
  <si>
    <t>https://dpmzos25m8ivg.cloudfront.net/Documentos/631/60983700362/6316098370036214092023144041.jpg</t>
  </si>
  <si>
    <t>https://dpmzos25m8ivg.cloudfront.net/Documentos/631/60996763333/6316099676333311092023160408.pdf</t>
  </si>
  <si>
    <t>https://dpmzos25m8ivg.cloudfront.net/Documentos/631/61010233386/6316101023338614092023141023.pdf</t>
  </si>
  <si>
    <t>https://dpmzos25m8ivg.cloudfront.net/Documentos/631/61010497367/6316101049736711092023160718.pdf</t>
  </si>
  <si>
    <t>https://dpmzos25m8ivg.cloudfront.net/Documentos/631/61012510395/6316101251039505092023084831.pdf</t>
  </si>
  <si>
    <t>https://dpmzos25m8ivg.cloudfront.net/Documentos/631/61033536377/6316103353637711092023165411.pdf</t>
  </si>
  <si>
    <t>https://dpmzos25m8ivg.cloudfront.net/Documentos/631/61038370302/6316103837030211092023154817.jpg</t>
  </si>
  <si>
    <t>https://dpmzos25m8ivg.cloudfront.net/Documentos/631/61065765215/6316106576521514092023091736.pdf</t>
  </si>
  <si>
    <t>https://dpmzos25m8ivg.cloudfront.net/Documentos/631/61087305365/6316108730536511092023145755.pdf</t>
  </si>
  <si>
    <t>https://dpmzos25m8ivg.cloudfront.net/Documentos/631/61089175396/6316108917539608092023082208.pdf</t>
  </si>
  <si>
    <t>https://dpmzos25m8ivg.cloudfront.net/Documentos/631/61100327355/6316110032735507092023103846.jpg</t>
  </si>
  <si>
    <t>https://dpmzos25m8ivg.cloudfront.net/Documentos/631/61102210153/6316110221015307092023133508.jpeg</t>
  </si>
  <si>
    <t>https://dpmzos25m8ivg.cloudfront.net/Documentos/631/61133237304/6316113323730405092023140326.pdf</t>
  </si>
  <si>
    <t>https://dpmzos25m8ivg.cloudfront.net/Documentos/631/61135359326/6316113535932611092023125055.pdf</t>
  </si>
  <si>
    <t>https://dpmzos25m8ivg.cloudfront.net/Documentos/631/61136888365/6316113688836511092023115308.pdf</t>
  </si>
  <si>
    <t>https://dpmzos25m8ivg.cloudfront.net/Documentos/631/61146521340/6316114652134011092023083201.pdf</t>
  </si>
  <si>
    <t>https://dpmzos25m8ivg.cloudfront.net/Documentos/631/61148275380/6316114827538005092023092305.pdf</t>
  </si>
  <si>
    <t>https://dpmzos25m8ivg.cloudfront.net/Documentos/631/61149646322/6316114964632207092023120409.pdf</t>
  </si>
  <si>
    <t>https://dpmzos25m8ivg.cloudfront.net/Documentos/631/61173813365/6316117381336510092023232338.pdf</t>
  </si>
  <si>
    <t>https://dpmzos25m8ivg.cloudfront.net/Documentos/631/61177010399/6316117701039906092023132733.pdf</t>
  </si>
  <si>
    <t>https://dpmzos25m8ivg.cloudfront.net/Documentos/631/61201730309/6316120173030910092023152523.jpg</t>
  </si>
  <si>
    <t>https://dpmzos25m8ivg.cloudfront.net/Documentos/631/61224915356/6316122491535611092023144343.jpg</t>
  </si>
  <si>
    <t>https://dpmzos25m8ivg.cloudfront.net/Documentos/631/61227127367/6316122712736711092023132452.pdf</t>
  </si>
  <si>
    <t>https://dpmzos25m8ivg.cloudfront.net/Documentos/631/61238982301/6316123898230111092023160742.pdf</t>
  </si>
  <si>
    <t>https://dpmzos25m8ivg.cloudfront.net/Documentos/631/61246059371/6316124605937110092023205954.pdf</t>
  </si>
  <si>
    <t>https://dpmzos25m8ivg.cloudfront.net/Documentos/631/61248191390/6316124819139009092023105815.pdf</t>
  </si>
  <si>
    <t>https://dpmzos25m8ivg.cloudfront.net/Documentos/631/61253102309/6316125310230907092023101813.pdf</t>
  </si>
  <si>
    <t>https://dpmzos25m8ivg.cloudfront.net/Documentos/631/61255003308/6316125500330811092023153854.pdf</t>
  </si>
  <si>
    <t>https://dpmzos25m8ivg.cloudfront.net/Documentos/631/61255293390/6316125529339005092023203601.pdf</t>
  </si>
  <si>
    <t>https://dpmzos25m8ivg.cloudfront.net/Documentos/631/61275495311/6316127549531111092023141530.pdf</t>
  </si>
  <si>
    <t>https://dpmzos25m8ivg.cloudfront.net/Documentos/631/61276047371/6316127604737111092023164242.pdf</t>
  </si>
  <si>
    <t>https://dpmzos25m8ivg.cloudfront.net/Documentos/631/61278753311/6316127875331105092023113845.pdf</t>
  </si>
  <si>
    <t>https://dpmzos25m8ivg.cloudfront.net/Documentos/631/61279619392/6316127961939205092023091313.pdf</t>
  </si>
  <si>
    <t>https://dpmzos25m8ivg.cloudfront.net/Documentos/631/61291770380/6316129177038011092023163124.pdf</t>
  </si>
  <si>
    <t>https://dpmzos25m8ivg.cloudfront.net/Documentos/631/61317998308/6316131799830811092023093018.pdf</t>
  </si>
  <si>
    <t>https://dpmzos25m8ivg.cloudfront.net/Documentos/631/61318053340/6316131805334012092023180838.jpeg</t>
  </si>
  <si>
    <t>https://dpmzos25m8ivg.cloudfront.net/Documentos/631/61332434304/6316133243430407092023095848.pdf</t>
  </si>
  <si>
    <t>https://dpmzos25m8ivg.cloudfront.net/Documentos/631/61337580317/6316133758031711092023165149.jpeg</t>
  </si>
  <si>
    <t>https://dpmzos25m8ivg.cloudfront.net/Documentos/631/61342074386/6316134207438610092023002323.pdf</t>
  </si>
  <si>
    <t>https://dpmzos25m8ivg.cloudfront.net/Documentos/631/61366814398/6316136681439807092023092748.pdf</t>
  </si>
  <si>
    <t>https://dpmzos25m8ivg.cloudfront.net/Documentos/631/61367729300/6316136772930006092023160712.pdf</t>
  </si>
  <si>
    <t>https://dpmzos25m8ivg.cloudfront.net/Documentos/631/61376461307/6316137646130705092023084600.pdf</t>
  </si>
  <si>
    <t>https://dpmzos25m8ivg.cloudfront.net/Documentos/631/61376692384/6316137669238411092023143139.pdf</t>
  </si>
  <si>
    <t>https://dpmzos25m8ivg.cloudfront.net/Documentos/631/61379321336/6316137932133611092023165208.jpg</t>
  </si>
  <si>
    <t>https://dpmzos25m8ivg.cloudfront.net/Documentos/631/61406138339/6316140613833911092023155228.pdf</t>
  </si>
  <si>
    <t>https://dpmzos25m8ivg.cloudfront.net/Documentos/631/61413608310/6316141360831005092023201415.jpeg</t>
  </si>
  <si>
    <t>https://dpmzos25m8ivg.cloudfront.net/Documentos/631/61414344287/6316141434428711092023164323.pdf</t>
  </si>
  <si>
    <t>https://dpmzos25m8ivg.cloudfront.net/Documentos/631/61437029345/6316143702934514092023135741.pdf</t>
  </si>
  <si>
    <t>https://dpmzos25m8ivg.cloudfront.net/Documentos/631/61439352380/6316143935238011092023121137.pdf</t>
  </si>
  <si>
    <t>https://dpmzos25m8ivg.cloudfront.net/Documentos/631/61440617384/6316144061738411092023122747.pdf</t>
  </si>
  <si>
    <t>https://dpmzos25m8ivg.cloudfront.net/Documentos/631/61454439360/6316145443936006092023205332.pdf</t>
  </si>
  <si>
    <t>https://dpmzos25m8ivg.cloudfront.net/Documentos/631/61474356397/6316147435639708092023170710.pdf</t>
  </si>
  <si>
    <t>https://dpmzos25m8ivg.cloudfront.net/Documentos/631/61483848337/6316148384833708092023084817.jpeg</t>
  </si>
  <si>
    <t>https://dpmzos25m8ivg.cloudfront.net/Documentos/631/61490365370/6316149036537011092023124737.pdf</t>
  </si>
  <si>
    <t>https://dpmzos25m8ivg.cloudfront.net/Documentos/631/61514561301/6316151456130111092023135138.pdf</t>
  </si>
  <si>
    <t>https://dpmzos25m8ivg.cloudfront.net/Documentos/631/61524247553/6316152424755310092023224502.pdf</t>
  </si>
  <si>
    <t>https://dpmzos25m8ivg.cloudfront.net/Documentos/631/61566795370/6316156679537005092023103708.pdf</t>
  </si>
  <si>
    <t>https://dpmzos25m8ivg.cloudfront.net/Documentos/631/61567516378/6316156751637811092023154041.pdf</t>
  </si>
  <si>
    <t>https://dpmzos25m8ivg.cloudfront.net/Documentos/631/61568737327/6316156873732713092023214838.pdf</t>
  </si>
  <si>
    <t>https://dpmzos25m8ivg.cloudfront.net/Documentos/631/61573517305/6316157351730510092023163353.pdf</t>
  </si>
  <si>
    <t>https://dpmzos25m8ivg.cloudfront.net/Documentos/631/61574675338/6316157467533811092023134315.pdf</t>
  </si>
  <si>
    <t>https://dpmzos25m8ivg.cloudfront.net/Documentos/631/61576444350/6316157644435009092023124110.pdf</t>
  </si>
  <si>
    <t>https://dpmzos25m8ivg.cloudfront.net/Documentos/631/61609266323/6316160926632311092023113029.jpeg</t>
  </si>
  <si>
    <t>https://dpmzos25m8ivg.cloudfront.net/Documentos/631/61610666372/6316161066637211092023161403.pdf</t>
  </si>
  <si>
    <t>https://dpmzos25m8ivg.cloudfront.net/Documentos/631/61617447323/6316161744732311092023155820.pdf</t>
  </si>
  <si>
    <t>https://dpmzos25m8ivg.cloudfront.net/Documentos/631/61644129515/6316164412951506092023131308.pdf</t>
  </si>
  <si>
    <t>https://dpmzos25m8ivg.cloudfront.net/Documentos/631/61658960220/6316165896022011092023110542.pdf</t>
  </si>
  <si>
    <t>https://dpmzos25m8ivg.cloudfront.net/Documentos/631/61666725358/6316166672535811092023150901.pdf</t>
  </si>
  <si>
    <t>https://dpmzos25m8ivg.cloudfront.net/Documentos/631/61669737306/6316166973730612092023225520.pdf</t>
  </si>
  <si>
    <t>https://dpmzos25m8ivg.cloudfront.net/Documentos/631/61717949371/6316171794937111092023153805.pdf</t>
  </si>
  <si>
    <t>https://dpmzos25m8ivg.cloudfront.net/Documentos/631/61737798115/6316173779811514092023130942.pdf</t>
  </si>
  <si>
    <t>https://dpmzos25m8ivg.cloudfront.net/Documentos/631/61748790544/6316174879054405092023161622.pdf</t>
  </si>
  <si>
    <t>https://dpmzos25m8ivg.cloudfront.net/Documentos/631/61776654382/6316177665438211092023154159.pdf</t>
  </si>
  <si>
    <t>https://dpmzos25m8ivg.cloudfront.net/Documentos/631/61781658382/6316178165838214092023152454.pdf</t>
  </si>
  <si>
    <t>https://dpmzos25m8ivg.cloudfront.net/Documentos/631/61800848315/6316180084831514092023084551.pdf</t>
  </si>
  <si>
    <t>https://dpmzos25m8ivg.cloudfront.net/Documentos/631/61802977384/6316180297738411092023023348.pdf</t>
  </si>
  <si>
    <t>https://dpmzos25m8ivg.cloudfront.net/Documentos/631/61813697329/6316181369732910092023134138.pdf</t>
  </si>
  <si>
    <t>https://dpmzos25m8ivg.cloudfront.net/Documentos/631/61860326390/6316186032639011092023150603.pdf</t>
  </si>
  <si>
    <t>https://dpmzos25m8ivg.cloudfront.net/Documentos/631/61872817300/6316187281730010092023213305.pdf</t>
  </si>
  <si>
    <t>https://dpmzos25m8ivg.cloudfront.net/Documentos/631/61891296337/6316189129633708092023212754.pdf</t>
  </si>
  <si>
    <t>https://dpmzos25m8ivg.cloudfront.net/Documentos/631/61901963306/6316190196330607092023110239.pdf</t>
  </si>
  <si>
    <t>https://dpmzos25m8ivg.cloudfront.net/Documentos/631/61944125345/6316194412534511092023141412.jpeg</t>
  </si>
  <si>
    <t>https://dpmzos25m8ivg.cloudfront.net/Documentos/631/61964559316/6316196455931605092023110513.pdf</t>
  </si>
  <si>
    <t>https://dpmzos25m8ivg.cloudfront.net/Documentos/631/61966794304/6316196679430405092023093703.pdf</t>
  </si>
  <si>
    <t>https://dpmzos25m8ivg.cloudfront.net/Documentos/631/61966816308/6316196681630807092023154332.pdf</t>
  </si>
  <si>
    <t>https://dpmzos25m8ivg.cloudfront.net/Documentos/631/61974544320/6316197454432013092023030048.pdf</t>
  </si>
  <si>
    <t>https://dpmzos25m8ivg.cloudfront.net/Documentos/631/61977565360/6316197756536008092023203759.jpg</t>
  </si>
  <si>
    <t>https://dpmzos25m8ivg.cloudfront.net/Documentos/631/61991771347/6316199177134711092023162558.jpeg</t>
  </si>
  <si>
    <t>https://dpmzos25m8ivg.cloudfront.net/Documentos/631/62001866348/6316200186634806092023104053.pdf</t>
  </si>
  <si>
    <t>https://dpmzos25m8ivg.cloudfront.net/Documentos/631/62003764330/6316200376433011092023103807.pdf</t>
  </si>
  <si>
    <t>https://dpmzos25m8ivg.cloudfront.net/Documentos/631/62004330384/6316200433038411092023144831.pdf</t>
  </si>
  <si>
    <t>https://dpmzos25m8ivg.cloudfront.net/Documentos/631/62009910303/6316200991030311092023145336.pdf</t>
  </si>
  <si>
    <t>https://dpmzos25m8ivg.cloudfront.net/Documentos/631/62056700115/6316205670011510092023180228.pdf</t>
  </si>
  <si>
    <t>https://dpmzos25m8ivg.cloudfront.net/Documentos/631/62062974388/6316206297438811092023004921.pdf</t>
  </si>
  <si>
    <t>https://dpmzos25m8ivg.cloudfront.net/Documentos/631/62077460318/6316207746031805092023170421.pdf</t>
  </si>
  <si>
    <t>https://dpmzos25m8ivg.cloudfront.net/Documentos/631/62093832380/6316209383238011092023124300.pdf</t>
  </si>
  <si>
    <t>https://dpmzos25m8ivg.cloudfront.net/Documentos/631/62101163373/6316210116337311092023163736.pdf</t>
  </si>
  <si>
    <t>https://dpmzos25m8ivg.cloudfront.net/Documentos/631/62131834268/6316213183426813092023114203.pdf</t>
  </si>
  <si>
    <t>https://dpmzos25m8ivg.cloudfront.net/Documentos/631/62181388369/6316218138836911092023151714.pdf</t>
  </si>
  <si>
    <t>https://dpmzos25m8ivg.cloudfront.net/Documentos/631/62196008354/6316219600835407092023231616.pdf</t>
  </si>
  <si>
    <t>https://dpmzos25m8ivg.cloudfront.net/Documentos/631/62197421336/6316219742133611092023155209.pdf</t>
  </si>
  <si>
    <t>https://dpmzos25m8ivg.cloudfront.net/Documentos/631/62206043343/6316220604334310092023184409.pdf</t>
  </si>
  <si>
    <t>https://dpmzos25m8ivg.cloudfront.net/Documentos/631/62220904350/6316222090435008092023183457.pdf</t>
  </si>
  <si>
    <t>https://dpmzos25m8ivg.cloudfront.net/Documentos/631/62233385381/6316223338538111092023143931.pdf</t>
  </si>
  <si>
    <t>https://dpmzos25m8ivg.cloudfront.net/Documentos/631/62238990178/6316223899017810092023194716.pdf</t>
  </si>
  <si>
    <t>https://dpmzos25m8ivg.cloudfront.net/Documentos/631/62258725313/6316225872531308092023100336.pdf</t>
  </si>
  <si>
    <t>https://dpmzos25m8ivg.cloudfront.net/Documentos/631/62295959314/6316229595931410092023182242.pdf</t>
  </si>
  <si>
    <t>https://dpmzos25m8ivg.cloudfront.net/Documentos/631/62298556318/6316229855631811092023152127.pdf</t>
  </si>
  <si>
    <t>https://dpmzos25m8ivg.cloudfront.net/Documentos/631/62303017335/6316230301733510092023183215.pdf</t>
  </si>
  <si>
    <t>https://dpmzos25m8ivg.cloudfront.net/Documentos/631/62305150326/6316230515032608092023193438.pdf</t>
  </si>
  <si>
    <t>https://dpmzos25m8ivg.cloudfront.net/Documentos/631/62321983361/6316232198336111092023164906.pdf</t>
  </si>
  <si>
    <t>https://dpmzos25m8ivg.cloudfront.net/Documentos/631/62330997302/6316233099730211092023154619.pdf</t>
  </si>
  <si>
    <t>https://dpmzos25m8ivg.cloudfront.net/Documentos/631/62346644587/6316234664458713092023155820.pdf</t>
  </si>
  <si>
    <t>https://dpmzos25m8ivg.cloudfront.net/Documentos/631/62416895338/6316241689533811092023165804.pdf</t>
  </si>
  <si>
    <t>https://dpmzos25m8ivg.cloudfront.net/Documentos/631/62417029120/6316241702912009092023152221.pdf</t>
  </si>
  <si>
    <t>https://dpmzos25m8ivg.cloudfront.net/Documentos/631/62417097397/6316241709739711092023162951.pdf</t>
  </si>
  <si>
    <t>https://dpmzos25m8ivg.cloudfront.net/Documentos/631/62425946330/6316242594633005092023151451.pdf</t>
  </si>
  <si>
    <t>https://dpmzos25m8ivg.cloudfront.net/Documentos/631/62428730010/6316242873001011092023164918.pdf</t>
  </si>
  <si>
    <t>https://dpmzos25m8ivg.cloudfront.net/Documentos/631/62465848291/6316246584829108092023145113.pdf</t>
  </si>
  <si>
    <t>https://dpmzos25m8ivg.cloudfront.net/Documentos/631/62490052268/6316249005226805092023094201.pdf</t>
  </si>
  <si>
    <t>https://dpmzos25m8ivg.cloudfront.net/Documentos/631/62533674397/6316253367439711092023161518.pdf</t>
  </si>
  <si>
    <t>https://dpmzos25m8ivg.cloudfront.net/Documentos/631/62609344325/6316260934432511092023165454.pdf</t>
  </si>
  <si>
    <t>https://dpmzos25m8ivg.cloudfront.net/Documentos/631/62663593168/6316266359316811092023105653.pdf</t>
  </si>
  <si>
    <t>https://dpmzos25m8ivg.cloudfront.net/Documentos/631/62681607388/6316268160738811092023162318.pdf</t>
  </si>
  <si>
    <t>https://dpmzos25m8ivg.cloudfront.net/Documentos/631/62746288354/6316274628835408092023230929.pdf</t>
  </si>
  <si>
    <t>https://dpmzos25m8ivg.cloudfront.net/Documentos/631/62753258104/6316275325810411092023135514.pdf</t>
  </si>
  <si>
    <t>https://dpmzos25m8ivg.cloudfront.net/Documentos/631/62792563168/6316279256316811092023141813.pdf</t>
  </si>
  <si>
    <t>https://dpmzos25m8ivg.cloudfront.net/Documentos/631/62948466172/6316294846617211092023100749.jpg</t>
  </si>
  <si>
    <t>https://dpmzos25m8ivg.cloudfront.net/Documentos/631/62976354553/6316297635455305092023154836.pdf</t>
  </si>
  <si>
    <t>https://dpmzos25m8ivg.cloudfront.net/Documentos/631/62982818515/6316298281851511092023143500.pdf</t>
  </si>
  <si>
    <t>https://dpmzos25m8ivg.cloudfront.net/Documentos/631/62986961568/6316298696156805092023190740.jpg</t>
  </si>
  <si>
    <t>https://dpmzos25m8ivg.cloudfront.net/Documentos/631/63023660204/6316302366020408092023121419.pdf</t>
  </si>
  <si>
    <t>https://dpmzos25m8ivg.cloudfront.net/Documentos/631/63080796500/6316308079650014092023154843.pdf</t>
  </si>
  <si>
    <t>https://dpmzos25m8ivg.cloudfront.net/Documentos/631/63104326053/6316310432605307092023213234.pdf</t>
  </si>
  <si>
    <t>https://dpmzos25m8ivg.cloudfront.net/Documentos/631/63109956004/6316310995600411092023171614.jpeg</t>
  </si>
  <si>
    <t>https://dpmzos25m8ivg.cloudfront.net/Documentos/631/63113392349/6316311339234909092023145125.pdf</t>
  </si>
  <si>
    <t>https://dpmzos25m8ivg.cloudfront.net/Documentos/631/63177242372/6316317724237205092023133231.pdf</t>
  </si>
  <si>
    <t>https://dpmzos25m8ivg.cloudfront.net/Documentos/631/63189704520/6316318970452014092023082217.pdf</t>
  </si>
  <si>
    <t>https://dpmzos25m8ivg.cloudfront.net/Documentos/631/63293447104/6316329344710409092023193551.pdf</t>
  </si>
  <si>
    <t>https://dpmzos25m8ivg.cloudfront.net/Documentos/631/63377276572/6316337727657211092023173919.pdf</t>
  </si>
  <si>
    <t>https://dpmzos25m8ivg.cloudfront.net/Documentos/631/63397854334/6316339785433410092023224629.pdf</t>
  </si>
  <si>
    <t>https://dpmzos25m8ivg.cloudfront.net/Documentos/631/63411180315/6316341118031507092023170520.jpg</t>
  </si>
  <si>
    <t>https://dpmzos25m8ivg.cloudfront.net/Documentos/631/63416760344/6316341676034411092023152115.jpg</t>
  </si>
  <si>
    <t>https://dpmzos25m8ivg.cloudfront.net/Documentos/631/63506499319/6316350649931913092023231139.jpg</t>
  </si>
  <si>
    <t>https://dpmzos25m8ivg.cloudfront.net/Documentos/631/63617757715/6316361775771510092023113451.pdf</t>
  </si>
  <si>
    <t>https://dpmzos25m8ivg.cloudfront.net/Documentos/631/63676834291/6316367683429114092023142356.pdf</t>
  </si>
  <si>
    <t>https://dpmzos25m8ivg.cloudfront.net/Documentos/631/63692198191/6316369219819111092023112700.pdf</t>
  </si>
  <si>
    <t>https://dpmzos25m8ivg.cloudfront.net/Documentos/631/63712440278/6316371244027806092023164003.pdf</t>
  </si>
  <si>
    <t>https://dpmzos25m8ivg.cloudfront.net/Documentos/631/63938189215/6316393818921510092023180456.pdf</t>
  </si>
  <si>
    <t>https://dpmzos25m8ivg.cloudfront.net/Documentos/631/63944014200/6316394401420011092023142637.pdf</t>
  </si>
  <si>
    <t>https://dpmzos25m8ivg.cloudfront.net/Documentos/631/63965267000/6316396526700010092023120312.jpg</t>
  </si>
  <si>
    <t>https://dpmzos25m8ivg.cloudfront.net/Documentos/631/64115585587/6316411558558711092023134634.pdf</t>
  </si>
  <si>
    <t>https://dpmzos25m8ivg.cloudfront.net/Documentos/631/64157091353/6316415709135312092023172010.pdf</t>
  </si>
  <si>
    <t>https://dpmzos25m8ivg.cloudfront.net/Documentos/631/64264629187/6316426462918708092023154418.pdf</t>
  </si>
  <si>
    <t>https://dpmzos25m8ivg.cloudfront.net/Documentos/631/64302679204/6316430267920409092023232130.pdf</t>
  </si>
  <si>
    <t>https://dpmzos25m8ivg.cloudfront.net/Documentos/631/64387178272/6316438717827211092023001133.pdf</t>
  </si>
  <si>
    <t>https://dpmzos25m8ivg.cloudfront.net/Documentos/631/64501256591/6316450125659111092023151245.pdf</t>
  </si>
  <si>
    <t>https://dpmzos25m8ivg.cloudfront.net/Documentos/631/64501809868/6316450180986808092023145518.jpg</t>
  </si>
  <si>
    <t>https://dpmzos25m8ivg.cloudfront.net/Documentos/631/64574814187/6316457481418708092023163715.pdf</t>
  </si>
  <si>
    <t>https://dpmzos25m8ivg.cloudfront.net/Documentos/631/64578879372/6316457887937208092023122733.jpeg</t>
  </si>
  <si>
    <t>https://dpmzos25m8ivg.cloudfront.net/Documentos/631/64592642368/6316459264236812092023231313.jpg</t>
  </si>
  <si>
    <t>https://dpmzos25m8ivg.cloudfront.net/Documentos/631/64685411234/6316468541123408092023220217.jpg</t>
  </si>
  <si>
    <t>https://dpmzos25m8ivg.cloudfront.net/Documentos/631/64690580430/6316469058043007092023155710.pdf</t>
  </si>
  <si>
    <t>https://dpmzos25m8ivg.cloudfront.net/Documentos/631/64691403272/6316469140327206092023120509.jpg</t>
  </si>
  <si>
    <t>https://dpmzos25m8ivg.cloudfront.net/Documentos/631/64759202234/6316475920223411092023161355.jpeg</t>
  </si>
  <si>
    <t>https://dpmzos25m8ivg.cloudfront.net/Documentos/631/64774473200/6316477447320011092023140052.jpg</t>
  </si>
  <si>
    <t>https://dpmzos25m8ivg.cloudfront.net/Documentos/631/64780627249/6316478062724911092023164845.pdf</t>
  </si>
  <si>
    <t>https://dpmzos25m8ivg.cloudfront.net/Documentos/631/64877205500/6316487720550005092023203559.pdf</t>
  </si>
  <si>
    <t>https://dpmzos25m8ivg.cloudfront.net/Documentos/631/64970698449/6316497069844911092023160019.pdf</t>
  </si>
  <si>
    <t>https://dpmzos25m8ivg.cloudfront.net/Documentos/631/65075200397/6316507520039708092023111717.jpeg</t>
  </si>
  <si>
    <t>https://dpmzos25m8ivg.cloudfront.net/Documentos/631/65087046304/6316508704630411092023160550.pdf</t>
  </si>
  <si>
    <t>https://dpmzos25m8ivg.cloudfront.net/Documentos/631/65230892234/6316523089223411092023113728.pdf</t>
  </si>
  <si>
    <t>https://dpmzos25m8ivg.cloudfront.net/Documentos/631/65303458253/6316530345825311092023164037.jpeg</t>
  </si>
  <si>
    <t>https://dpmzos25m8ivg.cloudfront.net/Documentos/631/65409981553/6316540998155306092023182407.pdf</t>
  </si>
  <si>
    <t>https://dpmzos25m8ivg.cloudfront.net/Documentos/631/65443748300/6316544374830005092023160630.pdf</t>
  </si>
  <si>
    <t>https://dpmzos25m8ivg.cloudfront.net/Documentos/631/65463005320/6316546300532011092023163301.pdf</t>
  </si>
  <si>
    <t>https://dpmzos25m8ivg.cloudfront.net/Documentos/631/65477995300/6316547799530010092023193418.pdf</t>
  </si>
  <si>
    <t>https://dpmzos25m8ivg.cloudfront.net/Documentos/631/65481852187/6316548185218714092023145238.pdf</t>
  </si>
  <si>
    <t>https://dpmzos25m8ivg.cloudfront.net/Documentos/631/65528310130/6316552831013006092023182318.jpg</t>
  </si>
  <si>
    <t>https://dpmzos25m8ivg.cloudfront.net/Documentos/631/65534794020/6316553479402011092023123028.jpeg</t>
  </si>
  <si>
    <t>https://dpmzos25m8ivg.cloudfront.net/Documentos/631/65599659453/6316559965945311092023162531.jpg</t>
  </si>
  <si>
    <t>https://dpmzos25m8ivg.cloudfront.net/Documentos/631/65673441304/6316567344130405092023111732.pdf</t>
  </si>
  <si>
    <t>https://dpmzos25m8ivg.cloudfront.net/Documentos/631/65745744634/6316574574463411092023165500.jpg</t>
  </si>
  <si>
    <t>https://dpmzos25m8ivg.cloudfront.net/Documentos/631/65771796387/6316577179638709092023110154.pdf</t>
  </si>
  <si>
    <t>https://dpmzos25m8ivg.cloudfront.net/Documentos/631/65904141149/6316590414114908092023171327.pdf</t>
  </si>
  <si>
    <t>https://dpmzos25m8ivg.cloudfront.net/Documentos/631/66001005168/6316600100516811092023141823.pdf</t>
  </si>
  <si>
    <t>https://dpmzos25m8ivg.cloudfront.net/Documentos/631/66071291291/6316607129129113092023145138.pdf</t>
  </si>
  <si>
    <t>https://dpmzos25m8ivg.cloudfront.net/Documentos/631/66078075268/6316607807526814092023162812.pdf</t>
  </si>
  <si>
    <t>https://dpmzos25m8ivg.cloudfront.net/Documentos/631/66130107404/6316613010740411092023150544.pdf</t>
  </si>
  <si>
    <t>https://dpmzos25m8ivg.cloudfront.net/Documentos/631/66193664734/6316619366473410092023181001.pdf</t>
  </si>
  <si>
    <t>https://dpmzos25m8ivg.cloudfront.net/Documentos/631/66296218249/6316629621824910092023214446.jpg</t>
  </si>
  <si>
    <t>https://dpmzos25m8ivg.cloudfront.net/Documentos/631/66297079404/6316629707940411092023144841.pdf</t>
  </si>
  <si>
    <t>https://dpmzos25m8ivg.cloudfront.net/Documentos/631/66299284315/6316629928431514092023160845.pdf</t>
  </si>
  <si>
    <t>https://dpmzos25m8ivg.cloudfront.net/Documentos/631/66308208868/6316630820886805092023223405.jpg</t>
  </si>
  <si>
    <t>https://dpmzos25m8ivg.cloudfront.net/Documentos/631/66392381520/6316639238152011092023165206.jpg</t>
  </si>
  <si>
    <t>https://dpmzos25m8ivg.cloudfront.net/Documentos/631/66639352168/6316663935216811092023150359.pdf</t>
  </si>
  <si>
    <t>https://dpmzos25m8ivg.cloudfront.net/Documentos/631/66685540320/6316668554032006092023072607.pdf</t>
  </si>
  <si>
    <t>https://dpmzos25m8ivg.cloudfront.net/Documentos/631/66743192287/6316674319228706092023104738.pdf</t>
  </si>
  <si>
    <t>https://dpmzos25m8ivg.cloudfront.net/Documentos/631/66763649304/6316676364930411092023164634.pdf</t>
  </si>
  <si>
    <t>https://dpmzos25m8ivg.cloudfront.net/Documentos/631/66910404572/6316691040457205092023181932.pdf</t>
  </si>
  <si>
    <t>https://dpmzos25m8ivg.cloudfront.net/Documentos/631/66944813220/6316694481322005092023204903.pdf</t>
  </si>
  <si>
    <t>https://dpmzos25m8ivg.cloudfront.net/Documentos/631/66994640604/6316699464060414092023113826.jpeg</t>
  </si>
  <si>
    <t>https://dpmzos25m8ivg.cloudfront.net/Documentos/631/67019307434/6316701930743410092023193636.pdf</t>
  </si>
  <si>
    <t>https://dpmzos25m8ivg.cloudfront.net/Documentos/631/67023606220/6316702360622005092023133220.pdf</t>
  </si>
  <si>
    <t>https://dpmzos25m8ivg.cloudfront.net/Documentos/631/67118321591/6316711832159113092023231747.pdf</t>
  </si>
  <si>
    <t>https://dpmzos25m8ivg.cloudfront.net/Documentos/631/67120270206/6316712027020605092023192651.pdf</t>
  </si>
  <si>
    <t>https://dpmzos25m8ivg.cloudfront.net/Documentos/631/67160662504/6316716066250407092023115941.pdf</t>
  </si>
  <si>
    <t>https://dpmzos25m8ivg.cloudfront.net/Documentos/631/67180620491/6316718062049105092023095849.jpg</t>
  </si>
  <si>
    <t>https://dpmzos25m8ivg.cloudfront.net/Documentos/631/67194850320/6316719485032011092023092608.pdf</t>
  </si>
  <si>
    <t>https://dpmzos25m8ivg.cloudfront.net/Documentos/631/67295525572/6316729552557211092023130351.pdf</t>
  </si>
  <si>
    <t>https://dpmzos25m8ivg.cloudfront.net/Documentos/631/67315488553/6316731548855306092023121831.jpg</t>
  </si>
  <si>
    <t>https://dpmzos25m8ivg.cloudfront.net/Documentos/631/67323669553/6316732366955311092023163817.jpg</t>
  </si>
  <si>
    <t>https://dpmzos25m8ivg.cloudfront.net/Documentos/631/67417485049/6316741748504905092023125528.pdf</t>
  </si>
  <si>
    <t>https://dpmzos25m8ivg.cloudfront.net/Documentos/631/67433626620/6316743362662005092023222824.pdf</t>
  </si>
  <si>
    <t>https://dpmzos25m8ivg.cloudfront.net/Documentos/631/67445349715/6316744534971511092023103815.pdf</t>
  </si>
  <si>
    <t>https://dpmzos25m8ivg.cloudfront.net/Documentos/631/67459706272/6316745970627211092023093648.pdf</t>
  </si>
  <si>
    <t>https://dpmzos25m8ivg.cloudfront.net/Documentos/631/67465668204/6316746566820411092023011824.pdf</t>
  </si>
  <si>
    <t>https://dpmzos25m8ivg.cloudfront.net/Documentos/631/67572162487/6316757216248714092023005313.pdf</t>
  </si>
  <si>
    <t>https://dpmzos25m8ivg.cloudfront.net/Documentos/631/67653006272/6316765300627211092023151046.pdf</t>
  </si>
  <si>
    <t>https://dpmzos25m8ivg.cloudfront.net/Documentos/631/67711375204/6316771137520411092023151609.jpeg</t>
  </si>
  <si>
    <t>https://dpmzos25m8ivg.cloudfront.net/Documentos/631/67724060606/6316772406060608092023132008.pdf</t>
  </si>
  <si>
    <t>https://dpmzos25m8ivg.cloudfront.net/Documentos/631/67730086034/6316773008603406092023175337.jpg</t>
  </si>
  <si>
    <t>https://dpmzos25m8ivg.cloudfront.net/Documentos/631/67754180510/6316775418051005092023145723.pdf</t>
  </si>
  <si>
    <t>https://dpmzos25m8ivg.cloudfront.net/Documentos/631/67788289515/6316778828951506092023125624.pdf</t>
  </si>
  <si>
    <t>https://dpmzos25m8ivg.cloudfront.net/Documentos/631/67953689200/6316795368920007092023140256.pdf</t>
  </si>
  <si>
    <t>https://dpmzos25m8ivg.cloudfront.net/Documentos/631/67984940053/6316798494005311092023155523.jpg</t>
  </si>
  <si>
    <t>https://dpmzos25m8ivg.cloudfront.net/Documentos/631/68340508253/6316834050825310092023180244.pdf</t>
  </si>
  <si>
    <t>https://dpmzos25m8ivg.cloudfront.net/Documentos/631/68546297487/6316854629748707092023120644.jpg</t>
  </si>
  <si>
    <t>https://dpmzos25m8ivg.cloudfront.net/Documentos/631/68652640025/6316865264002505092023145745.pdf</t>
  </si>
  <si>
    <t>https://dpmzos25m8ivg.cloudfront.net/Documentos/631/68658990400/6316865899040014092023093734.pdf</t>
  </si>
  <si>
    <t>https://dpmzos25m8ivg.cloudfront.net/Documentos/631/68753144449/6316875314444911092023163039.pdf</t>
  </si>
  <si>
    <t>https://dpmzos25m8ivg.cloudfront.net/Documentos/631/68869460053/6316886946005311092023165351.pdf</t>
  </si>
  <si>
    <t>https://dpmzos25m8ivg.cloudfront.net/Documentos/631/68919395420/6316891939542006092023002653.pdf</t>
  </si>
  <si>
    <t>https://dpmzos25m8ivg.cloudfront.net/Documentos/631/68930828272/6316893082827213092023214125.pdf</t>
  </si>
  <si>
    <t>https://dpmzos25m8ivg.cloudfront.net/Documentos/631/68972288268/6316897228826810092023215246.pdf</t>
  </si>
  <si>
    <t>https://dpmzos25m8ivg.cloudfront.net/Documentos/631/68986068087/6316898606808713092023131015.pdf</t>
  </si>
  <si>
    <t>https://dpmzos25m8ivg.cloudfront.net/Documentos/631/69005753820/6316900575382014092023122942.jpeg</t>
  </si>
  <si>
    <t>https://dpmzos25m8ivg.cloudfront.net/Documentos/631/69094233487/6316909423348710092023152412.jpeg</t>
  </si>
  <si>
    <t>https://dpmzos25m8ivg.cloudfront.net/Documentos/631/69097054249/6316909705424911092023151539.pdf</t>
  </si>
  <si>
    <t>https://dpmzos25m8ivg.cloudfront.net/Documentos/631/69125210297/6316912521029706092023132119.pdf</t>
  </si>
  <si>
    <t>https://dpmzos25m8ivg.cloudfront.net/Documentos/631/69146640304/6316914664030411092023162450.pdf</t>
  </si>
  <si>
    <t>https://dpmzos25m8ivg.cloudfront.net/Documentos/631/69237239149/6316923723914910092023191842.jpeg</t>
  </si>
  <si>
    <t>https://dpmzos25m8ivg.cloudfront.net/Documentos/631/69283800478/6316928380047808092023115817.jpg</t>
  </si>
  <si>
    <t>https://dpmzos25m8ivg.cloudfront.net/Documentos/631/69364095200/6316936409520010092023131014.pdf</t>
  </si>
  <si>
    <t>https://dpmzos25m8ivg.cloudfront.net/Documentos/631/69365326591/6316936532659111092023005553.jpg</t>
  </si>
  <si>
    <t>https://dpmzos25m8ivg.cloudfront.net/Documentos/631/69377839149/6316937783914911092023170251.pdf</t>
  </si>
  <si>
    <t>https://dpmzos25m8ivg.cloudfront.net/Documentos/631/69396671215/6316939667121511092023161440.jpeg</t>
  </si>
  <si>
    <t>https://dpmzos25m8ivg.cloudfront.net/Documentos/631/69429600125/6316942960012511092023124916.jpg</t>
  </si>
  <si>
    <t>https://dpmzos25m8ivg.cloudfront.net/Documentos/631/69469300297/6316946930029705092023172419.pdf</t>
  </si>
  <si>
    <t>https://dpmzos25m8ivg.cloudfront.net/Documentos/631/69491542087/6316949154208710092023233309.pdf</t>
  </si>
  <si>
    <t>https://dpmzos25m8ivg.cloudfront.net/Documentos/631/69514356420/6316951435642006092023093059.pdf</t>
  </si>
  <si>
    <t>https://dpmzos25m8ivg.cloudfront.net/Documentos/631/69782016500/6316978201650006092023113655.pdf</t>
  </si>
  <si>
    <t>https://dpmzos25m8ivg.cloudfront.net/Documentos/631/69798346220/6316979834622010092023235155.pdf</t>
  </si>
  <si>
    <t>https://dpmzos25m8ivg.cloudfront.net/Documentos/631/69817839672/6316981783967211092023074800.pdf</t>
  </si>
  <si>
    <t>https://dpmzos25m8ivg.cloudfront.net/Documentos/631/69910979187/6316991097918705092023145238.jpeg</t>
  </si>
  <si>
    <t>https://dpmzos25m8ivg.cloudfront.net/Documentos/631/69950954134/6316995095413405092023114210.jpeg</t>
  </si>
  <si>
    <t>https://dpmzos25m8ivg.cloudfront.net/Documentos/631/69957665120/6316995766512010092023211614.jpg</t>
  </si>
  <si>
    <t>https://dpmzos25m8ivg.cloudfront.net/Documentos/631/70001893637/6317000189363707092023161006.pdf</t>
  </si>
  <si>
    <t>https://dpmzos25m8ivg.cloudfront.net/Documentos/631/70011949139/6317001194913911092023095036.pdf</t>
  </si>
  <si>
    <t>https://dpmzos25m8ivg.cloudfront.net/Documentos/631/70019203128/6317001920312808092023131953.pdf</t>
  </si>
  <si>
    <t>https://dpmzos25m8ivg.cloudfront.net/Documentos/631/70039267334/6317003926733408092023055930.pdf</t>
  </si>
  <si>
    <t>https://dpmzos25m8ivg.cloudfront.net/Documentos/631/70043012140/6317004301214010092023162443.pdf</t>
  </si>
  <si>
    <t>https://dpmzos25m8ivg.cloudfront.net/Documentos/631/70043955100/6317004395510009092023103547.pdf</t>
  </si>
  <si>
    <t>https://dpmzos25m8ivg.cloudfront.net/Documentos/631/70046632131/6317004663213111092023104402.pdf</t>
  </si>
  <si>
    <t>https://dpmzos25m8ivg.cloudfront.net/Documentos/631/70046897194/6317004689719411092023000625.pdf</t>
  </si>
  <si>
    <t>https://dpmzos25m8ivg.cloudfront.net/Documentos/631/70047931175/6317004793117511092023081830.jpg</t>
  </si>
  <si>
    <t>https://dpmzos25m8ivg.cloudfront.net/Documentos/631/70051526549/6317005152654905092023154051.pdf</t>
  </si>
  <si>
    <t>https://dpmzos25m8ivg.cloudfront.net/Documentos/631/70053522621/6317005352262113092023115111.pdf</t>
  </si>
  <si>
    <t>https://dpmzos25m8ivg.cloudfront.net/Documentos/631/70056722400/6317005672240006092023214140.pdf</t>
  </si>
  <si>
    <t>https://dpmzos25m8ivg.cloudfront.net/Documentos/631/70060410159/6317006041015911092023143650.pdf</t>
  </si>
  <si>
    <t>https://dpmzos25m8ivg.cloudfront.net/Documentos/631/70064177670/6317006417767005092023084213.pdf</t>
  </si>
  <si>
    <t>https://dpmzos25m8ivg.cloudfront.net/Documentos/631/70066237408/6317006623740811092023000553.jpeg</t>
  </si>
  <si>
    <t>https://dpmzos25m8ivg.cloudfront.net/Documentos/631/70066322421/6317006632242111092023145722.pdf</t>
  </si>
  <si>
    <t>https://dpmzos25m8ivg.cloudfront.net/Documentos/631/70071726446/6317007172644611092023112210.pdf</t>
  </si>
  <si>
    <t>https://dpmzos25m8ivg.cloudfront.net/Documentos/631/70074288270/6317007428827005092023162502.pdf</t>
  </si>
  <si>
    <t>https://dpmzos25m8ivg.cloudfront.net/Documentos/631/70074874675/6317007487467506092023172157.pdf</t>
  </si>
  <si>
    <t>https://dpmzos25m8ivg.cloudfront.net/Documentos/631/70078907683/6317007890768311092023154241.pdf</t>
  </si>
  <si>
    <t>https://dpmzos25m8ivg.cloudfront.net/Documentos/631/70090606493/6317009060649309092023092006.jpeg</t>
  </si>
  <si>
    <t>https://dpmzos25m8ivg.cloudfront.net/Documentos/631/70093160151/6317009316015111092023143251.pdf</t>
  </si>
  <si>
    <t>https://dpmzos25m8ivg.cloudfront.net/Documentos/631/70095764160/6317009576416008092023193646.pdf</t>
  </si>
  <si>
    <t>https://dpmzos25m8ivg.cloudfront.net/Documentos/631/70097536440/6317009753644005092023135631.jpeg</t>
  </si>
  <si>
    <t>https://dpmzos25m8ivg.cloudfront.net/Documentos/631/70099926229/6317009992622908092023124356.pdf</t>
  </si>
  <si>
    <t>https://dpmzos25m8ivg.cloudfront.net/Documentos/631/70111403448/6317011140344813092023145154.pdf</t>
  </si>
  <si>
    <t>https://dpmzos25m8ivg.cloudfront.net/Documentos/631/70114515441/6317011451544105092023095448.pdf</t>
  </si>
  <si>
    <t>https://dpmzos25m8ivg.cloudfront.net/Documentos/631/70117978230/6317011797823011092023142805.pdf</t>
  </si>
  <si>
    <t>https://dpmzos25m8ivg.cloudfront.net/Documentos/631/70119963205/6317011996320510092023154111.jpg</t>
  </si>
  <si>
    <t>https://dpmzos25m8ivg.cloudfront.net/Documentos/631/70121152111/6317012115211111092023005324.jpg</t>
  </si>
  <si>
    <t>https://dpmzos25m8ivg.cloudfront.net/Documentos/631/70126932409/6317012693240907092023233827.pdf</t>
  </si>
  <si>
    <t>https://dpmzos25m8ivg.cloudfront.net/Documentos/631/70128397160/6317012839716011092023155505.pdf</t>
  </si>
  <si>
    <t>https://dpmzos25m8ivg.cloudfront.net/Documentos/631/70130329134/6317013032913405092023173523.pdf</t>
  </si>
  <si>
    <t>https://dpmzos25m8ivg.cloudfront.net/Documentos/631/70132074117/6317013207411707092023102238.pdf</t>
  </si>
  <si>
    <t>https://dpmzos25m8ivg.cloudfront.net/Documentos/631/70134836138/6317013483613806092023150254.pdf</t>
  </si>
  <si>
    <t>https://dpmzos25m8ivg.cloudfront.net/Documentos/631/70139627405/6317013962740506092023130318.pdf</t>
  </si>
  <si>
    <t>https://dpmzos25m8ivg.cloudfront.net/Documentos/631/70140835466/6317014083546609092023102137.pdf</t>
  </si>
  <si>
    <t>https://dpmzos25m8ivg.cloudfront.net/Documentos/631/70145758133/6317014575813311092023103757.pdf</t>
  </si>
  <si>
    <t>https://dpmzos25m8ivg.cloudfront.net/Documentos/631/70150400268/6317015040026808092023122224.pdf</t>
  </si>
  <si>
    <t>https://dpmzos25m8ivg.cloudfront.net/Documentos/631/70153416114/6317015341611406092023103951.jpeg</t>
  </si>
  <si>
    <t>https://dpmzos25m8ivg.cloudfront.net/Documentos/631/70154759449/6317015475944905092023170425.pdf</t>
  </si>
  <si>
    <t>https://dpmzos25m8ivg.cloudfront.net/Documentos/631/70155445200/6317015544520006092023180247.jpg</t>
  </si>
  <si>
    <t>https://dpmzos25m8ivg.cloudfront.net/Documentos/631/70157589110/6317015758911011092023101447.pdf</t>
  </si>
  <si>
    <t>https://dpmzos25m8ivg.cloudfront.net/Documentos/631/70158323130/6317015832313010092023192146.jpg</t>
  </si>
  <si>
    <t>https://dpmzos25m8ivg.cloudfront.net/Documentos/631/70160543142/6317016054314211092023133211.jpeg</t>
  </si>
  <si>
    <t>https://dpmzos25m8ivg.cloudfront.net/Documentos/631/70160735483/6317016073548309092023004349.pdf</t>
  </si>
  <si>
    <t>https://dpmzos25m8ivg.cloudfront.net/Documentos/631/70162626185/6317016262618508092023162445.pdf</t>
  </si>
  <si>
    <t>https://dpmzos25m8ivg.cloudfront.net/Documentos/631/70168585456/6317016858545613092023221642.jpg</t>
  </si>
  <si>
    <t>https://dpmzos25m8ivg.cloudfront.net/Documentos/631/70171384490/6317017138449011092023074810.pdf</t>
  </si>
  <si>
    <t>https://dpmzos25m8ivg.cloudfront.net/Documentos/631/70181832194/6317018183219406092023172244.pdf</t>
  </si>
  <si>
    <t>https://dpmzos25m8ivg.cloudfront.net/Documentos/631/70182240126/6317018224012606092023174643.pdf</t>
  </si>
  <si>
    <t>https://dpmzos25m8ivg.cloudfront.net/Documentos/631/70184595169/6317018459516911092023151731.jpg</t>
  </si>
  <si>
    <t>https://dpmzos25m8ivg.cloudfront.net/Documentos/631/70200466496/6317020046649605092023202151.jpg</t>
  </si>
  <si>
    <t>https://dpmzos25m8ivg.cloudfront.net/Documentos/631/70208242180/6317020824218011092023100421.pdf</t>
  </si>
  <si>
    <t>https://dpmzos25m8ivg.cloudfront.net/Documentos/631/70212534190/6317021253419010092023144441.jpg</t>
  </si>
  <si>
    <t>https://dpmzos25m8ivg.cloudfront.net/Documentos/631/70214441768/6317021444176807092023092402.pdf</t>
  </si>
  <si>
    <t>https://dpmzos25m8ivg.cloudfront.net/Documentos/631/70214694119/6317021469411905092023174630.jpeg</t>
  </si>
  <si>
    <t>https://dpmzos25m8ivg.cloudfront.net/Documentos/631/70215140427/6317021514042711092023141118.pdf</t>
  </si>
  <si>
    <t>https://dpmzos25m8ivg.cloudfront.net/Documentos/631/70216450403/6317021645040305092023115741.jpg</t>
  </si>
  <si>
    <t>https://dpmzos25m8ivg.cloudfront.net/Documentos/631/70221390162/6317022139016208092023175535.pdf</t>
  </si>
  <si>
    <t>https://dpmzos25m8ivg.cloudfront.net/Documentos/631/70229160123/6317022916012313092023103727.pdf</t>
  </si>
  <si>
    <t>https://dpmzos25m8ivg.cloudfront.net/Documentos/631/70232176140/6317023217614011092023144329.pdf</t>
  </si>
  <si>
    <t>https://dpmzos25m8ivg.cloudfront.net/Documentos/631/70233896015/6317023389601511092023132818.pdf</t>
  </si>
  <si>
    <t>https://dpmzos25m8ivg.cloudfront.net/Documentos/631/70235372447/6317023537244713092023155738.jpeg</t>
  </si>
  <si>
    <t>https://dpmzos25m8ivg.cloudfront.net/Documentos/631/70252595432/6317025259543213092023100321.jpeg</t>
  </si>
  <si>
    <t>https://dpmzos25m8ivg.cloudfront.net/Documentos/631/70258146109/6317025814610910092023220325.pdf</t>
  </si>
  <si>
    <t>https://dpmzos25m8ivg.cloudfront.net/Documentos/631/70262640368/6317026264036805092023132041.pdf</t>
  </si>
  <si>
    <t>https://dpmzos25m8ivg.cloudfront.net/Documentos/631/70262693216/6317026269321609092023191434.pdf</t>
  </si>
  <si>
    <t>https://dpmzos25m8ivg.cloudfront.net/Documentos/631/70264459601/6317026445960114092023151555.jpg</t>
  </si>
  <si>
    <t>https://dpmzos25m8ivg.cloudfront.net/Documentos/631/70268067422/6317026806742209092023225014.jpg</t>
  </si>
  <si>
    <t>https://dpmzos25m8ivg.cloudfront.net/Documentos/631/70268297428/6317026829742811092023140846.pdf</t>
  </si>
  <si>
    <t>https://dpmzos25m8ivg.cloudfront.net/Documentos/631/70273594648/6317027359464811092023163542.pdf</t>
  </si>
  <si>
    <t>https://dpmzos25m8ivg.cloudfront.net/Documentos/631/70276390172/6317027639017213092023155151.pdf</t>
  </si>
  <si>
    <t>https://dpmzos25m8ivg.cloudfront.net/Documentos/631/70276580117/6317027658011706092023165637.pdf</t>
  </si>
  <si>
    <t>https://dpmzos25m8ivg.cloudfront.net/Documentos/631/70277502446/6317027750244611092023154926.pdf</t>
  </si>
  <si>
    <t>https://dpmzos25m8ivg.cloudfront.net/Documentos/631/70277828120/6317027782812006092023083006.pdf</t>
  </si>
  <si>
    <t>https://dpmzos25m8ivg.cloudfront.net/Documentos/631/70280624492/6317028062449211092023154232.jpeg</t>
  </si>
  <si>
    <t>https://dpmzos25m8ivg.cloudfront.net/Documentos/631/70286018462/6317028601846206092023130031.pdf</t>
  </si>
  <si>
    <t>https://dpmzos25m8ivg.cloudfront.net/Documentos/631/70288229150/6317028822915005092023170307.jpeg</t>
  </si>
  <si>
    <t>https://dpmzos25m8ivg.cloudfront.net/Documentos/631/70289576164/6317028957616411092023151459.pdf</t>
  </si>
  <si>
    <t>https://dpmzos25m8ivg.cloudfront.net/Documentos/631/70291917658/6317029191765810092023184757.pdf</t>
  </si>
  <si>
    <t>https://dpmzos25m8ivg.cloudfront.net/Documentos/631/70293340277/6317029334027711092023114428.pdf</t>
  </si>
  <si>
    <t>https://dpmzos25m8ivg.cloudfront.net/Documentos/631/70296409189/6317029640918907092023110659.pdf</t>
  </si>
  <si>
    <t>https://dpmzos25m8ivg.cloudfront.net/Documentos/631/70299635473/6317029963547311092023113700.pdf</t>
  </si>
  <si>
    <t>https://dpmzos25m8ivg.cloudfront.net/Documentos/631/70302357114/6317030235711406092023095846.pdf</t>
  </si>
  <si>
    <t>https://dpmzos25m8ivg.cloudfront.net/Documentos/631/70302899197/6317030289919710092023142502.pdf</t>
  </si>
  <si>
    <t>https://dpmzos25m8ivg.cloudfront.net/Documentos/631/70306757460/6317030675746009092023185627.pdf</t>
  </si>
  <si>
    <t>https://dpmzos25m8ivg.cloudfront.net/Documentos/631/70308180160/6317030818016006092023211810.pdf</t>
  </si>
  <si>
    <t>https://dpmzos25m8ivg.cloudfront.net/Documentos/631/70308477413/6317030847741311092023015647.pdf</t>
  </si>
  <si>
    <t>https://dpmzos25m8ivg.cloudfront.net/Documentos/631/70309230144/6317030923014412092023171533.jpeg</t>
  </si>
  <si>
    <t>https://dpmzos25m8ivg.cloudfront.net/Documentos/631/70313191107/6317031319110708092023000149.pdf</t>
  </si>
  <si>
    <t>https://dpmzos25m8ivg.cloudfront.net/Documentos/631/70321252209/6317032125220911092023153935.pdf</t>
  </si>
  <si>
    <t>https://dpmzos25m8ivg.cloudfront.net/Documentos/631/70328748439/6317032874843914092023125612.pdf</t>
  </si>
  <si>
    <t>https://dpmzos25m8ivg.cloudfront.net/Documentos/631/70330694138/6317033069413811092023121633.jpg</t>
  </si>
  <si>
    <t>https://dpmzos25m8ivg.cloudfront.net/Documentos/631/70331895161/6317033189516111092023145019.pdf</t>
  </si>
  <si>
    <t>https://dpmzos25m8ivg.cloudfront.net/Documentos/631/70336238100/6317033623810006092023014818.pdf</t>
  </si>
  <si>
    <t>https://dpmzos25m8ivg.cloudfront.net/Documentos/631/70340336412/6317034033641211092023153256.jpg</t>
  </si>
  <si>
    <t>https://dpmzos25m8ivg.cloudfront.net/Documentos/631/70345767187/6317034576718707092023180647.jpg</t>
  </si>
  <si>
    <t>https://dpmzos25m8ivg.cloudfront.net/Documentos/631/70352605448/6317035260544808092023221115.pdf</t>
  </si>
  <si>
    <t>https://dpmzos25m8ivg.cloudfront.net/Documentos/631/70354005162/6317035400516211092023143353.pdf</t>
  </si>
  <si>
    <t>https://dpmzos25m8ivg.cloudfront.net/Documentos/631/70359877206/6317035987720611092023163130.pdf</t>
  </si>
  <si>
    <t>https://dpmzos25m8ivg.cloudfront.net/Documentos/631/70361095139/6317036109513911092023114936.pdf</t>
  </si>
  <si>
    <t>https://dpmzos25m8ivg.cloudfront.net/Documentos/631/70367306417/6317036730641705092023114014.pdf</t>
  </si>
  <si>
    <t>https://dpmzos25m8ivg.cloudfront.net/Documentos/631/70367645203/6317036764520310092023223124.pdf</t>
  </si>
  <si>
    <t>https://dpmzos25m8ivg.cloudfront.net/Documentos/631/70374406120/6317037440612011092023165939.pdf</t>
  </si>
  <si>
    <t>https://dpmzos25m8ivg.cloudfront.net/Documentos/631/70374745170/6317037474517009092023144315.pdf</t>
  </si>
  <si>
    <t>https://dpmzos25m8ivg.cloudfront.net/Documentos/631/70380576422/6317038057642211092023160249.pdf</t>
  </si>
  <si>
    <t>https://dpmzos25m8ivg.cloudfront.net/Documentos/631/70381902102/6317038190210211092023102457.jpeg</t>
  </si>
  <si>
    <t>https://dpmzos25m8ivg.cloudfront.net/Documentos/631/70382886445/6317038288644505092023183310.jpg</t>
  </si>
  <si>
    <t>https://dpmzos25m8ivg.cloudfront.net/Documentos/631/70384861105/6317038486110511092023143747.pdf</t>
  </si>
  <si>
    <t>https://dpmzos25m8ivg.cloudfront.net/Documentos/631/70389909181/6317038990918111092023142444.jpeg</t>
  </si>
  <si>
    <t>https://dpmzos25m8ivg.cloudfront.net/Documentos/631/70392381443/6317039238144310092023222641.jpg</t>
  </si>
  <si>
    <t>https://dpmzos25m8ivg.cloudfront.net/Documentos/631/70394525108/6317039452510811092023091509.pdf</t>
  </si>
  <si>
    <t>https://dpmzos25m8ivg.cloudfront.net/Documentos/631/70399487107/6317039948710711092023123233.jpg</t>
  </si>
  <si>
    <t>https://dpmzos25m8ivg.cloudfront.net/Documentos/631/70400108445/6317040010844506092023214427.pdf</t>
  </si>
  <si>
    <t>https://dpmzos25m8ivg.cloudfront.net/Documentos/631/70408145285/6317040814528511092023164719.pdf</t>
  </si>
  <si>
    <t>https://dpmzos25m8ivg.cloudfront.net/Documentos/631/70410444162/6317041044416209092023173527.pdf</t>
  </si>
  <si>
    <t>https://dpmzos25m8ivg.cloudfront.net/Documentos/631/70415823455/6317041582345511092023155558.pdf</t>
  </si>
  <si>
    <t>https://dpmzos25m8ivg.cloudfront.net/Documentos/631/70424517167/6317042451716704092023215718.jpg</t>
  </si>
  <si>
    <t>https://dpmzos25m8ivg.cloudfront.net/Documentos/631/70425810160/6317042581016014092023145857.pdf</t>
  </si>
  <si>
    <t>https://dpmzos25m8ivg.cloudfront.net/Documentos/631/70431459452/6317043145945213092023105539.pdf</t>
  </si>
  <si>
    <t>https://dpmzos25m8ivg.cloudfront.net/Documentos/631/70432583165/6317043258316511092023100855.pdf</t>
  </si>
  <si>
    <t>https://dpmzos25m8ivg.cloudfront.net/Documentos/631/70433756497/6317043375649709092023132947.pdf</t>
  </si>
  <si>
    <t>https://dpmzos25m8ivg.cloudfront.net/Documentos/631/70434085200/6317043408520011092023125158.pdf</t>
  </si>
  <si>
    <t>https://dpmzos25m8ivg.cloudfront.net/Documentos/631/70434548405/6317043454840507092023180449.pdf</t>
  </si>
  <si>
    <t>https://dpmzos25m8ivg.cloudfront.net/Documentos/631/70440276446/6317044027644611092023005406.pdf</t>
  </si>
  <si>
    <t>https://dpmzos25m8ivg.cloudfront.net/Documentos/631/70441428185/6317044142818505092023120005.pdf</t>
  </si>
  <si>
    <t>https://dpmzos25m8ivg.cloudfront.net/Documentos/631/70443201129/6317044320112911092023163314.pdf</t>
  </si>
  <si>
    <t>https://dpmzos25m8ivg.cloudfront.net/Documentos/631/70444243178/6317044424317811092023151540.pdf</t>
  </si>
  <si>
    <t>https://dpmzos25m8ivg.cloudfront.net/Documentos/631/70445991259/6317044599125905092023093226.pdf</t>
  </si>
  <si>
    <t>https://dpmzos25m8ivg.cloudfront.net/Documentos/631/70455295387/6317045529538711092023091920.pdf</t>
  </si>
  <si>
    <t>https://dpmzos25m8ivg.cloudfront.net/Documentos/631/70458917419/6317045891741906092023172427.pdf</t>
  </si>
  <si>
    <t>https://dpmzos25m8ivg.cloudfront.net/Documentos/631/70466656483/6317046665648311092023134342.jpg</t>
  </si>
  <si>
    <t>https://dpmzos25m8ivg.cloudfront.net/Documentos/631/70467620156/6317046762015609092023210647.pdf</t>
  </si>
  <si>
    <t>https://dpmzos25m8ivg.cloudfront.net/Documentos/631/70472843117/6317047284311714092023162822.pdf</t>
  </si>
  <si>
    <t>https://dpmzos25m8ivg.cloudfront.net/Documentos/631/70473232103/6317047323210309092023104002.pdf</t>
  </si>
  <si>
    <t>https://dpmzos25m8ivg.cloudfront.net/Documentos/631/70473949156/6317047394915614092023150613.jpeg</t>
  </si>
  <si>
    <t>https://dpmzos25m8ivg.cloudfront.net/Documentos/631/70475229134/6317047522913409092023121105.jpg</t>
  </si>
  <si>
    <t>https://dpmzos25m8ivg.cloudfront.net/Documentos/631/70478629435/6317047862943505092023121431.pdf</t>
  </si>
  <si>
    <t>https://dpmzos25m8ivg.cloudfront.net/Documentos/631/70488855136/6317048885513610092023165257.pdf</t>
  </si>
  <si>
    <t>https://dpmzos25m8ivg.cloudfront.net/Documentos/631/70494013150/6317049401315006092023140315.pdf</t>
  </si>
  <si>
    <t>https://dpmzos25m8ivg.cloudfront.net/Documentos/631/70498533484/6317049853348405092023132356.pdf</t>
  </si>
  <si>
    <t>https://dpmzos25m8ivg.cloudfront.net/Documentos/631/70510014186/6317051001418606092023170106.pdf</t>
  </si>
  <si>
    <t>https://dpmzos25m8ivg.cloudfront.net/Documentos/631/70511391420/6317051139142011092023155847.jpeg</t>
  </si>
  <si>
    <t>https://dpmzos25m8ivg.cloudfront.net/Documentos/631/70518022161/6317051802216111092023101534.pdf</t>
  </si>
  <si>
    <t>https://dpmzos25m8ivg.cloudfront.net/Documentos/631/70518966100/6317051896610011092023163843.pdf</t>
  </si>
  <si>
    <t>https://dpmzos25m8ivg.cloudfront.net/Documentos/631/70521067448/6317052106744806092023102254.pdf</t>
  </si>
  <si>
    <t>https://dpmzos25m8ivg.cloudfront.net/Documentos/631/70532181123/6317053218112306092023160514.pdf</t>
  </si>
  <si>
    <t>https://dpmzos25m8ivg.cloudfront.net/Documentos/631/70534576133/6317053457613311092023143846.pdf</t>
  </si>
  <si>
    <t>https://dpmzos25m8ivg.cloudfront.net/Documentos/631/70538026120/6317053802612005092023122542.pdf</t>
  </si>
  <si>
    <t>https://dpmzos25m8ivg.cloudfront.net/Documentos/631/70552496430/6317055249643008092023114235.pdf</t>
  </si>
  <si>
    <t>https://dpmzos25m8ivg.cloudfront.net/Documentos/631/70553142160/6317055314216011092023104532.jpeg</t>
  </si>
  <si>
    <t>https://dpmzos25m8ivg.cloudfront.net/Documentos/631/70569707455/6317056970745511092023153729.jpeg</t>
  </si>
  <si>
    <t>https://dpmzos25m8ivg.cloudfront.net/Documentos/631/70576238287/6317057623828705092023140955.jpg</t>
  </si>
  <si>
    <t>https://dpmzos25m8ivg.cloudfront.net/Documentos/631/70580957101/6317058095710105092023170115.pdf</t>
  </si>
  <si>
    <t>https://dpmzos25m8ivg.cloudfront.net/Documentos/631/70586844139/6317058684413911092023155255.pdf</t>
  </si>
  <si>
    <t>https://dpmzos25m8ivg.cloudfront.net/Documentos/631/70588480177/6317058848017705092023215818.pdf</t>
  </si>
  <si>
    <t>https://dpmzos25m8ivg.cloudfront.net/Documentos/631/70591068125/6317059106812510092023161651.pdf</t>
  </si>
  <si>
    <t>https://dpmzos25m8ivg.cloudfront.net/Documentos/631/70591693186/6317059169318614092023165212.jpg</t>
  </si>
  <si>
    <t>https://dpmzos25m8ivg.cloudfront.net/Documentos/631/70596410174/6317059641017406092023122350.pdf</t>
  </si>
  <si>
    <t>https://dpmzos25m8ivg.cloudfront.net/Documentos/631/70596454465/6317059645446513092023163117.pdf</t>
  </si>
  <si>
    <t>https://dpmzos25m8ivg.cloudfront.net/Documentos/631/70599656450/6317059965645011092023170126.jpg</t>
  </si>
  <si>
    <t>https://dpmzos25m8ivg.cloudfront.net/Documentos/631/70601651189/6317060165118911092023154731.pdf</t>
  </si>
  <si>
    <t>https://dpmzos25m8ivg.cloudfront.net/Documentos/631/70605035440/6317060503544011092023160600.pdf</t>
  </si>
  <si>
    <t>https://dpmzos25m8ivg.cloudfront.net/Documentos/631/70618761403/6317061876140310092023230953.jpeg</t>
  </si>
  <si>
    <t>https://dpmzos25m8ivg.cloudfront.net/Documentos/631/70618836500/6317061883650006092023120956.pdf</t>
  </si>
  <si>
    <t>https://dpmzos25m8ivg.cloudfront.net/Documentos/631/70622924192/6317062292419206092023135732.pdf</t>
  </si>
  <si>
    <t>https://dpmzos25m8ivg.cloudfront.net/Documentos/631/70623820439/6317062382043905092023224833.pdf</t>
  </si>
  <si>
    <t>https://dpmzos25m8ivg.cloudfront.net/Documentos/631/70627039405/6317062703940512092023230721.jpeg</t>
  </si>
  <si>
    <t>https://dpmzos25m8ivg.cloudfront.net/Documentos/631/70627233473/6317062723347311092023130916.pdf</t>
  </si>
  <si>
    <t>https://dpmzos25m8ivg.cloudfront.net/Documentos/631/70627780105/6317062778010511092023135542.pdf</t>
  </si>
  <si>
    <t>https://dpmzos25m8ivg.cloudfront.net/Documentos/631/70629307334/6317062930733411092023094818.pdf</t>
  </si>
  <si>
    <t>https://dpmzos25m8ivg.cloudfront.net/Documentos/631/70630562121/6317063056212106092023105610.pdf</t>
  </si>
  <si>
    <t>https://dpmzos25m8ivg.cloudfront.net/Documentos/631/70634023152/6317063402315211092023130014.pdf</t>
  </si>
  <si>
    <t>https://dpmzos25m8ivg.cloudfront.net/Documentos/631/70648802450/6317064880245011092023142542.jpg</t>
  </si>
  <si>
    <t>https://dpmzos25m8ivg.cloudfront.net/Documentos/631/70658928163/6317065892816313092023090724.pdf</t>
  </si>
  <si>
    <t>https://dpmzos25m8ivg.cloudfront.net/Documentos/631/70662366450/6317066236645005092023190912.jpg</t>
  </si>
  <si>
    <t>https://dpmzos25m8ivg.cloudfront.net/Documentos/631/70680965149/6317068096514909092023172404.pdf</t>
  </si>
  <si>
    <t>https://dpmzos25m8ivg.cloudfront.net/Documentos/631/70695229168/6317069522916808092023110804.pdf</t>
  </si>
  <si>
    <t>https://dpmzos25m8ivg.cloudfront.net/Documentos/631/70702041408/6317070204140811092023150835.jpeg</t>
  </si>
  <si>
    <t>https://dpmzos25m8ivg.cloudfront.net/Documentos/631/70703046179/6317070304617910092023234907.pdf</t>
  </si>
  <si>
    <t>https://dpmzos25m8ivg.cloudfront.net/Documentos/631/70709966164/6317070996616414092023152221.jpeg</t>
  </si>
  <si>
    <t>https://dpmzos25m8ivg.cloudfront.net/Documentos/631/70713424150/6317071342415011092023144932.pdf</t>
  </si>
  <si>
    <t>https://dpmzos25m8ivg.cloudfront.net/Documentos/631/70715881124/6317071588112408092023234200.pdf</t>
  </si>
  <si>
    <t>https://dpmzos25m8ivg.cloudfront.net/Documentos/631/70722985177/6317072298517710092023181032.pdf</t>
  </si>
  <si>
    <t>https://dpmzos25m8ivg.cloudfront.net/Documentos/631/70727559184/6317072755918411092023114505.jpeg</t>
  </si>
  <si>
    <t>https://dpmzos25m8ivg.cloudfront.net/Documentos/631/70750477440/6317075047744011092023125718.pdf</t>
  </si>
  <si>
    <t>https://dpmzos25m8ivg.cloudfront.net/Documentos/631/70760579130/6317076057913011092023114530.pdf</t>
  </si>
  <si>
    <t>https://dpmzos25m8ivg.cloudfront.net/Documentos/631/70761753478/6317076175347811092023144426.pdf</t>
  </si>
  <si>
    <t>https://dpmzos25m8ivg.cloudfront.net/Documentos/631/70764411101/6317076441110111092023162850.jpeg</t>
  </si>
  <si>
    <t>https://dpmzos25m8ivg.cloudfront.net/Documentos/631/70772419124/6317077241912411092023093522.pdf</t>
  </si>
  <si>
    <t>https://dpmzos25m8ivg.cloudfront.net/Documentos/631/70772847193/6317077284719308092023145359.pdf</t>
  </si>
  <si>
    <t>https://dpmzos25m8ivg.cloudfront.net/Documentos/631/70776061127/6317077606112705092023203600.jpg</t>
  </si>
  <si>
    <t>https://dpmzos25m8ivg.cloudfront.net/Documentos/631/70777798158/6317077779815808092023152603.pdf</t>
  </si>
  <si>
    <t>https://dpmzos25m8ivg.cloudfront.net/Documentos/631/70777865440/6317077786544011092023150716.pdf</t>
  </si>
  <si>
    <t>https://dpmzos25m8ivg.cloudfront.net/Documentos/631/70778729125/6317077872912510092023181945.pdf</t>
  </si>
  <si>
    <t>https://dpmzos25m8ivg.cloudfront.net/Documentos/631/70782679404/6317078267940405092023120009.pdf</t>
  </si>
  <si>
    <t>https://dpmzos25m8ivg.cloudfront.net/Documentos/631/70786079100/6317078607910014092023164031.jpeg</t>
  </si>
  <si>
    <t>https://dpmzos25m8ivg.cloudfront.net/Documentos/631/70788630113/6317078863011311092023151000.pdf</t>
  </si>
  <si>
    <t>https://dpmzos25m8ivg.cloudfront.net/Documentos/631/70791035174/6317079103517410092023162452.pdf</t>
  </si>
  <si>
    <t>https://dpmzos25m8ivg.cloudfront.net/Documentos/631/70791626458/6317079162645810092023185741.pdf</t>
  </si>
  <si>
    <t>https://dpmzos25m8ivg.cloudfront.net/Documentos/631/70807091480/6317080709148011092023162016.jpg</t>
  </si>
  <si>
    <t>https://dpmzos25m8ivg.cloudfront.net/Documentos/631/70815858418/6317081585841811092023145745.pdf</t>
  </si>
  <si>
    <t>https://dpmzos25m8ivg.cloudfront.net/Documentos/631/70820919152/6317082091915206092023101039.jpg</t>
  </si>
  <si>
    <t>https://dpmzos25m8ivg.cloudfront.net/Documentos/631/70821308483/6317082130848311092023151742.pdf</t>
  </si>
  <si>
    <t>https://dpmzos25m8ivg.cloudfront.net/Documentos/631/70822836106/6317082283610611092023154726.pdf</t>
  </si>
  <si>
    <t>https://dpmzos25m8ivg.cloudfront.net/Documentos/631/70825757185/6317082575718511092023145946.pdf</t>
  </si>
  <si>
    <t>https://dpmzos25m8ivg.cloudfront.net/Documentos/631/70832366234/6317083236623405092023134639.pdf</t>
  </si>
  <si>
    <t>https://dpmzos25m8ivg.cloudfront.net/Documentos/631/70843967480/6317084396748009092023121616.jpg</t>
  </si>
  <si>
    <t>https://dpmzos25m8ivg.cloudfront.net/Documentos/631/70846418401/6317084641840111092023101814.pdf</t>
  </si>
  <si>
    <t>https://dpmzos25m8ivg.cloudfront.net/Documentos/631/70848905482/6317084890548211092023130940.pdf</t>
  </si>
  <si>
    <t>https://dpmzos25m8ivg.cloudfront.net/Documentos/631/70860527107/6317086052710713092023191521.pdf</t>
  </si>
  <si>
    <t>https://dpmzos25m8ivg.cloudfront.net/Documentos/631/70861273109/6317086127310909092023134955.pdf</t>
  </si>
  <si>
    <t>https://dpmzos25m8ivg.cloudfront.net/Documentos/631/70861944410/6317086194441011092023100226.pdf</t>
  </si>
  <si>
    <t>https://dpmzos25m8ivg.cloudfront.net/Documentos/631/70862750423/6317086275042305092023202956.pdf</t>
  </si>
  <si>
    <t>https://dpmzos25m8ivg.cloudfront.net/Documentos/631/70863473458/6317086347345811092023155704.pdf</t>
  </si>
  <si>
    <t>https://dpmzos25m8ivg.cloudfront.net/Documentos/631/70879709413/6317087970941311092023151124.pdf</t>
  </si>
  <si>
    <t>https://dpmzos25m8ivg.cloudfront.net/Documentos/631/70886950147/6317088695014711092023145640.pdf</t>
  </si>
  <si>
    <t>https://dpmzos25m8ivg.cloudfront.net/Documentos/631/70887876102/6317088787610207092023120657.pdf</t>
  </si>
  <si>
    <t>https://dpmzos25m8ivg.cloudfront.net/Documentos/631/70901997110/6317090199711005092023121651.pdf</t>
  </si>
  <si>
    <t>https://dpmzos25m8ivg.cloudfront.net/Documentos/631/70905341465/6317090534146509092023003649.jpeg</t>
  </si>
  <si>
    <t>https://dpmzos25m8ivg.cloudfront.net/Documentos/631/70906899133/6317090689913310092023183559.pdf</t>
  </si>
  <si>
    <t>https://dpmzos25m8ivg.cloudfront.net/Documentos/631/70909785406/6317090978540605092023084734.pdf</t>
  </si>
  <si>
    <t>https://dpmzos25m8ivg.cloudfront.net/Documentos/631/70923916105/6317092391610511092023140345.pdf</t>
  </si>
  <si>
    <t>https://dpmzos25m8ivg.cloudfront.net/Documentos/631/70924740191/6317092474019110092023131432.jpg</t>
  </si>
  <si>
    <t>https://dpmzos25m8ivg.cloudfront.net/Documentos/631/70942334426/6317094233442611092023160126.pdf</t>
  </si>
  <si>
    <t>https://dpmzos25m8ivg.cloudfront.net/Documentos/631/70953658490/6317095365849008092023215044.pdf</t>
  </si>
  <si>
    <t>https://dpmzos25m8ivg.cloudfront.net/Documentos/631/70973777478/6317097377747811092023151318.pdf</t>
  </si>
  <si>
    <t>https://dpmzos25m8ivg.cloudfront.net/Documentos/631/70974959103/6317097495910311092023161733.jpg</t>
  </si>
  <si>
    <t>https://dpmzos25m8ivg.cloudfront.net/Documentos/631/70976421143/6317097642114309092023200551.pdf</t>
  </si>
  <si>
    <t>https://dpmzos25m8ivg.cloudfront.net/Documentos/631/70978930606/6317097893060610092023202952.pdf</t>
  </si>
  <si>
    <t>https://dpmzos25m8ivg.cloudfront.net/Documentos/631/70980200105/6317098020010511092023160245.pdf</t>
  </si>
  <si>
    <t>https://dpmzos25m8ivg.cloudfront.net/Documentos/631/70985826460/6317098582646005092023094000.jpeg</t>
  </si>
  <si>
    <t>https://dpmzos25m8ivg.cloudfront.net/Documentos/631/71001638115/6317100163811505092023181203.jpeg</t>
  </si>
  <si>
    <t>https://dpmzos25m8ivg.cloudfront.net/Documentos/631/71004541406/6317100454140611092023110729.pdf</t>
  </si>
  <si>
    <t>https://dpmzos25m8ivg.cloudfront.net/Documentos/631/71019790415/6317101979041511092023013625.pdf</t>
  </si>
  <si>
    <t>https://dpmzos25m8ivg.cloudfront.net/Documentos/631/71021345504/6317102134550411092023133359.pdf</t>
  </si>
  <si>
    <t>https://dpmzos25m8ivg.cloudfront.net/Documentos/631/71032714450/6317103271445008092023233654.pdf</t>
  </si>
  <si>
    <t>https://dpmzos25m8ivg.cloudfront.net/Documentos/631/71052856489/6317105285648914092023150355.pdf</t>
  </si>
  <si>
    <t>https://dpmzos25m8ivg.cloudfront.net/Documentos/631/71064006450/6317106400645011092023163205.pdf</t>
  </si>
  <si>
    <t>https://dpmzos25m8ivg.cloudfront.net/Documentos/631/71071443402/6317107144340211092023112542.pdf</t>
  </si>
  <si>
    <t>https://dpmzos25m8ivg.cloudfront.net/Documentos/631/71121430120/6317112143012008092023170058.pdf</t>
  </si>
  <si>
    <t>https://dpmzos25m8ivg.cloudfront.net/Documentos/631/71125400110/6317112540011005092023163810.pdf</t>
  </si>
  <si>
    <t>https://dpmzos25m8ivg.cloudfront.net/Documentos/631/71132322138/6317113232213811092023140822.jpeg</t>
  </si>
  <si>
    <t>https://dpmzos25m8ivg.cloudfront.net/Documentos/631/71140372440/6317114037244007092023164429.pdf</t>
  </si>
  <si>
    <t>https://dpmzos25m8ivg.cloudfront.net/Documentos/631/71165640473/6317116564047314092023152817.pdf</t>
  </si>
  <si>
    <t>https://dpmzos25m8ivg.cloudfront.net/Documentos/631/71182084427/6317118208442708092023124602.jpeg</t>
  </si>
  <si>
    <t>https://dpmzos25m8ivg.cloudfront.net/Documentos/631/71201519403/6317120151940309092023124449.pdf</t>
  </si>
  <si>
    <t>https://dpmzos25m8ivg.cloudfront.net/Documentos/631/71201640407/6317120164040711092023151048.jpg</t>
  </si>
  <si>
    <t>https://dpmzos25m8ivg.cloudfront.net/Documentos/631/71225639441/6317122563944111092023091101.pdf</t>
  </si>
  <si>
    <t>https://dpmzos25m8ivg.cloudfront.net/Documentos/631/71230786406/6317123078640611092023104809.pdf</t>
  </si>
  <si>
    <t>https://dpmzos25m8ivg.cloudfront.net/Documentos/631/71236181492/6317123618149207092023224424.pdf</t>
  </si>
  <si>
    <t>https://dpmzos25m8ivg.cloudfront.net/Documentos/631/71292865474/6317129286547411092023125441.jpg</t>
  </si>
  <si>
    <t>https://dpmzos25m8ivg.cloudfront.net/Documentos/631/71325546461/6317132554646111092023164750.jpg</t>
  </si>
  <si>
    <t>https://dpmzos25m8ivg.cloudfront.net/Documentos/631/71340861437/6317134086143706092023183025.pdf</t>
  </si>
  <si>
    <t>https://dpmzos25m8ivg.cloudfront.net/Documentos/631/71347976191/6317134797619111092023165432.jpg</t>
  </si>
  <si>
    <t>https://dpmzos25m8ivg.cloudfront.net/Documentos/631/71352691442/6317135269144214092023160650.pdf</t>
  </si>
  <si>
    <t>https://dpmzos25m8ivg.cloudfront.net/Documentos/631/71601252587/6317160125258705092023181829.pdf</t>
  </si>
  <si>
    <t>https://dpmzos25m8ivg.cloudfront.net/Documentos/631/71664594418/6317166459441810092023131353.pdf</t>
  </si>
  <si>
    <t>https://dpmzos25m8ivg.cloudfront.net/Documentos/631/71862340110/6317186234011010092023074504.jpeg</t>
  </si>
  <si>
    <t>https://dpmzos25m8ivg.cloudfront.net/Documentos/631/71882383168/6317188238316811092023153352.jpg</t>
  </si>
  <si>
    <t>https://dpmzos25m8ivg.cloudfront.net/Documentos/631/72018798200/6317201879820013092023113132.pdf</t>
  </si>
  <si>
    <t>https://dpmzos25m8ivg.cloudfront.net/Documentos/631/72034866487/6317203486648710092023224713.pdf</t>
  </si>
  <si>
    <t>https://dpmzos25m8ivg.cloudfront.net/Documentos/631/72165456215/6317216545621508092023173039.jpg</t>
  </si>
  <si>
    <t>https://dpmzos25m8ivg.cloudfront.net/Documentos/631/72190663253/6317219066325311092023154410.pdf</t>
  </si>
  <si>
    <t>https://dpmzos25m8ivg.cloudfront.net/Documentos/631/72209070287/6317220907028711092023023114.pdf</t>
  </si>
  <si>
    <t>https://dpmzos25m8ivg.cloudfront.net/Documentos/631/72419520149/6317241952014912092023193100.jpg</t>
  </si>
  <si>
    <t>https://dpmzos25m8ivg.cloudfront.net/Documentos/631/72485043191/6317248504319104092023183228.pdf</t>
  </si>
  <si>
    <t>https://dpmzos25m8ivg.cloudfront.net/Documentos/631/72569476153/6317256947615311092023004142.pdf</t>
  </si>
  <si>
    <t>https://dpmzos25m8ivg.cloudfront.net/Documentos/631/72631260287/6317263126028706092023121315.pdf</t>
  </si>
  <si>
    <t>https://dpmzos25m8ivg.cloudfront.net/Documentos/631/72646527500/6317264652750011092023090504.pdf</t>
  </si>
  <si>
    <t>https://dpmzos25m8ivg.cloudfront.net/Documentos/631/72679441249/6317267944124905092023103646.jpg</t>
  </si>
  <si>
    <t>https://dpmzos25m8ivg.cloudfront.net/Documentos/631/72722290200/6317272229020011092023114425.jpg</t>
  </si>
  <si>
    <t>https://dpmzos25m8ivg.cloudfront.net/Documentos/631/72746904500/6317274690450007092023191711.pdf</t>
  </si>
  <si>
    <t>https://dpmzos25m8ivg.cloudfront.net/Documentos/631/72778008268/6317277800826806092023170508.pdf</t>
  </si>
  <si>
    <t>https://dpmzos25m8ivg.cloudfront.net/Documentos/631/72919965115/6317291996511506092023141045.pdf</t>
  </si>
  <si>
    <t>https://dpmzos25m8ivg.cloudfront.net/Documentos/631/72938862172/6317293886217208092023103532.jpg</t>
  </si>
  <si>
    <t>https://dpmzos25m8ivg.cloudfront.net/Documentos/631/73062014172/6317306201417211092023151828.pdf</t>
  </si>
  <si>
    <t>https://dpmzos25m8ivg.cloudfront.net/Documentos/631/73078646149/6317307864614906092023140715.jpg</t>
  </si>
  <si>
    <t>https://dpmzos25m8ivg.cloudfront.net/Documentos/631/73092495187/6317309249518711092023101534.jpeg</t>
  </si>
  <si>
    <t>https://dpmzos25m8ivg.cloudfront.net/Documentos/631/73102016049/6317310201604911092023153148.pdf</t>
  </si>
  <si>
    <t>https://dpmzos25m8ivg.cloudfront.net/Documentos/631/73176966172/6317317696617211092023143918.jpg</t>
  </si>
  <si>
    <t>https://dpmzos25m8ivg.cloudfront.net/Documentos/631/73181137120/6317318113712011092023133203.jpg</t>
  </si>
  <si>
    <t>https://dpmzos25m8ivg.cloudfront.net/Documentos/631/73217280130/6317321728013011092023160559.pdf</t>
  </si>
  <si>
    <t>https://dpmzos25m8ivg.cloudfront.net/Documentos/631/73356867172/6317335686717207092023201916.pdf</t>
  </si>
  <si>
    <t>https://dpmzos25m8ivg.cloudfront.net/Documentos/631/73388661200/6317338866120011092023121827.jpeg</t>
  </si>
  <si>
    <t>https://dpmzos25m8ivg.cloudfront.net/Documentos/631/73448443204/6317344844320405092023133833.pdf</t>
  </si>
  <si>
    <t>https://dpmzos25m8ivg.cloudfront.net/Documentos/631/73468452500/6317346845250010092023103406.pdf</t>
  </si>
  <si>
    <t>https://dpmzos25m8ivg.cloudfront.net/Documentos/631/73491764300/6317349176430008092023213845.pdf</t>
  </si>
  <si>
    <t>https://dpmzos25m8ivg.cloudfront.net/Documentos/631/73552216120/6317355221612009092023210319.pdf</t>
  </si>
  <si>
    <t>https://dpmzos25m8ivg.cloudfront.net/Documentos/631/73595543149/6317359554314914092023093807.jpg</t>
  </si>
  <si>
    <t>https://dpmzos25m8ivg.cloudfront.net/Documentos/631/73635359653/6317363535965305092023162732.pdf</t>
  </si>
  <si>
    <t>https://dpmzos25m8ivg.cloudfront.net/Documentos/631/73640166191/6317364016619113092023155007.pdf</t>
  </si>
  <si>
    <t>https://dpmzos25m8ivg.cloudfront.net/Documentos/631/73801500225/6317380150022508092023141040.pdf</t>
  </si>
  <si>
    <t>https://dpmzos25m8ivg.cloudfront.net/Documentos/631/73810380130/6317381038013005092023142348.pdf</t>
  </si>
  <si>
    <t>https://dpmzos25m8ivg.cloudfront.net/Documentos/631/73839639204/6317383963920406092023173043.pdf</t>
  </si>
  <si>
    <t>https://dpmzos25m8ivg.cloudfront.net/Documentos/631/74036467204/6317403646720405092023090834.pdf</t>
  </si>
  <si>
    <t>https://dpmzos25m8ivg.cloudfront.net/Documentos/631/74146084415/6317414608441507092023230504.pdf</t>
  </si>
  <si>
    <t>https://dpmzos25m8ivg.cloudfront.net/Documentos/631/74170856449/6317417085644911092023162731.jpg</t>
  </si>
  <si>
    <t>https://dpmzos25m8ivg.cloudfront.net/Documentos/631/74210181072/6317421018107211092023012117.jpg</t>
  </si>
  <si>
    <t>https://dpmzos25m8ivg.cloudfront.net/Documentos/631/74238221249/6317423822124911092023164743.jpg</t>
  </si>
  <si>
    <t>https://dpmzos25m8ivg.cloudfront.net/Documentos/631/74450557972/6317445055797211092023091617.pdf</t>
  </si>
  <si>
    <t>https://dpmzos25m8ivg.cloudfront.net/Documentos/631/74484524368/6317448452436805092023224311.jpeg</t>
  </si>
  <si>
    <t>https://dpmzos25m8ivg.cloudfront.net/Documentos/631/74514113204/6317451411320414092023135725.pdf</t>
  </si>
  <si>
    <t>https://dpmzos25m8ivg.cloudfront.net/Documentos/631/74588460200/6317458846020011092023164828.jpeg</t>
  </si>
  <si>
    <t>https://dpmzos25m8ivg.cloudfront.net/Documentos/631/74798863491/6317479886349105092023153846.pdf</t>
  </si>
  <si>
    <t>https://dpmzos25m8ivg.cloudfront.net/Documentos/631/74882660725/6317488266072507092023235018.pdf</t>
  </si>
  <si>
    <t>https://dpmzos25m8ivg.cloudfront.net/Documentos/631/74917838134/6317491783813405092023230033.pdf</t>
  </si>
  <si>
    <t>https://dpmzos25m8ivg.cloudfront.net/Documentos/631/74918397115/6317491839711506092023101433.pdf</t>
  </si>
  <si>
    <t>https://dpmzos25m8ivg.cloudfront.net/Documentos/631/74964402304/6317496440230410092023074012.pdf</t>
  </si>
  <si>
    <t>https://dpmzos25m8ivg.cloudfront.net/Documentos/631/75035138020/6317503513802011092023144435.pdf</t>
  </si>
  <si>
    <t>https://dpmzos25m8ivg.cloudfront.net/Documentos/631/75045206249/6317504520624911092023111638.jpg</t>
  </si>
  <si>
    <t>https://dpmzos25m8ivg.cloudfront.net/Documentos/631/75064472153/6317506447215311092023161327.pdf</t>
  </si>
  <si>
    <t>https://dpmzos25m8ivg.cloudfront.net/Documentos/631/75246899187/6317524689918710092023211400.jpeg</t>
  </si>
  <si>
    <t>https://dpmzos25m8ivg.cloudfront.net/Documentos/631/75250780687/6317525078068710092023162625.jpg</t>
  </si>
  <si>
    <t>https://dpmzos25m8ivg.cloudfront.net/Documentos/631/75254026634/6317525402663409092023223350.jpg</t>
  </si>
  <si>
    <t>https://dpmzos25m8ivg.cloudfront.net/Documentos/631/75285444934/6317528544493411092023085908.pdf</t>
  </si>
  <si>
    <t>https://dpmzos25m8ivg.cloudfront.net/Documentos/631/75328054415/6317532805441511092023165511.pdf</t>
  </si>
  <si>
    <t>https://dpmzos25m8ivg.cloudfront.net/Documentos/631/75338866315/6317533886631505092023095122.pdf</t>
  </si>
  <si>
    <t>https://dpmzos25m8ivg.cloudfront.net/Documentos/631/75347857234/6317534785723410092023224447.pdf</t>
  </si>
  <si>
    <t>https://dpmzos25m8ivg.cloudfront.net/Documentos/631/75377357604/6317537735760407092023214951.jpg</t>
  </si>
  <si>
    <t>https://dpmzos25m8ivg.cloudfront.net/Documentos/631/75432218100/6317543221810011092023164734.jpeg</t>
  </si>
  <si>
    <t>https://dpmzos25m8ivg.cloudfront.net/Documentos/631/75447495415/6317544749541514092023123412.jpg</t>
  </si>
  <si>
    <t>https://dpmzos25m8ivg.cloudfront.net/Documentos/631/75595834234/6317559583423411092023115714.pdf</t>
  </si>
  <si>
    <t>https://dpmzos25m8ivg.cloudfront.net/Documentos/631/75621126491/6317562112649110092023165725.pdf</t>
  </si>
  <si>
    <t>https://dpmzos25m8ivg.cloudfront.net/Documentos/631/75629194100/6317562919410006092023131524.jpeg</t>
  </si>
  <si>
    <t>https://dpmzos25m8ivg.cloudfront.net/Documentos/631/75662442134/6317566244213411092023102856.pdf</t>
  </si>
  <si>
    <t>https://dpmzos25m8ivg.cloudfront.net/Documentos/631/75748568187/6317574856818710092023132618.jpeg</t>
  </si>
  <si>
    <t>https://dpmzos25m8ivg.cloudfront.net/Documentos/631/75769930225/6317576993022505092023170632.pdf</t>
  </si>
  <si>
    <t>https://dpmzos25m8ivg.cloudfront.net/Documentos/631/75855054187/6317585505418710092023214319.pdf</t>
  </si>
  <si>
    <t>https://dpmzos25m8ivg.cloudfront.net/Documentos/631/75865211900/6317586521190005092023223939.pdf</t>
  </si>
  <si>
    <t>https://dpmzos25m8ivg.cloudfront.net/Documentos/631/75950731204/6317595073120411092023165512.pdf</t>
  </si>
  <si>
    <t>https://dpmzos25m8ivg.cloudfront.net/Documentos/631/76168751491/6317616875149108092023183404.pdf</t>
  </si>
  <si>
    <t>https://dpmzos25m8ivg.cloudfront.net/Documentos/631/76195449253/6317619544925309092023002254.pdf</t>
  </si>
  <si>
    <t>https://dpmzos25m8ivg.cloudfront.net/Documentos/631/76245896215/6317624589621510092023202132.pdf</t>
  </si>
  <si>
    <t>https://dpmzos25m8ivg.cloudfront.net/Documentos/631/76279790649/6317627979064909092023184628.pdf</t>
  </si>
  <si>
    <t>https://dpmzos25m8ivg.cloudfront.net/Documentos/631/76308618934/6317630861893406092023133755.pdf</t>
  </si>
  <si>
    <t>https://dpmzos25m8ivg.cloudfront.net/Documentos/631/76335836300/6317633583630011092023133224.pdf</t>
  </si>
  <si>
    <t>https://dpmzos25m8ivg.cloudfront.net/Documentos/631/76350045300/6317635004530009092023143817.pdf</t>
  </si>
  <si>
    <t>https://dpmzos25m8ivg.cloudfront.net/Documentos/631/76355993215/6317635599321507092023225121.pdf</t>
  </si>
  <si>
    <t>https://dpmzos25m8ivg.cloudfront.net/Documentos/631/76498808187/6317649880818711092023143535.jpeg</t>
  </si>
  <si>
    <t>https://dpmzos25m8ivg.cloudfront.net/Documentos/631/76583384515/6317658338451508092023173231.pdf</t>
  </si>
  <si>
    <t>https://dpmzos25m8ivg.cloudfront.net/Documentos/631/76621820291/6317662182029109092023160701.jpg</t>
  </si>
  <si>
    <t>https://dpmzos25m8ivg.cloudfront.net/Documentos/631/76665119068/6317666511906811092023162103.pdf</t>
  </si>
  <si>
    <t>https://dpmzos25m8ivg.cloudfront.net/Documentos/631/76684270230/6317668427023010092023154359.jpeg</t>
  </si>
  <si>
    <t>https://dpmzos25m8ivg.cloudfront.net/Documentos/631/76725081487/6317672508148711092023130201.jpeg</t>
  </si>
  <si>
    <t>https://dpmzos25m8ivg.cloudfront.net/Documentos/631/76766985020/6317676698502010092023212549.pdf</t>
  </si>
  <si>
    <t>https://dpmzos25m8ivg.cloudfront.net/Documentos/631/76769461587/6317676946158705092023115118.pdf</t>
  </si>
  <si>
    <t>https://dpmzos25m8ivg.cloudfront.net/Documentos/631/76799565291/6317679956529111092023151426.pdf</t>
  </si>
  <si>
    <t>https://dpmzos25m8ivg.cloudfront.net/Documentos/631/76821110204/6317682111020405092023155653.pdf</t>
  </si>
  <si>
    <t>https://dpmzos25m8ivg.cloudfront.net/Documentos/631/76956024691/6317695602469111092023155906.pdf</t>
  </si>
  <si>
    <t>https://dpmzos25m8ivg.cloudfront.net/Documentos/631/77120442953/6317712044295310092023174833.pdf</t>
  </si>
  <si>
    <t>https://dpmzos25m8ivg.cloudfront.net/Documentos/631/77220994320/6317722099432011092023155618.pdf</t>
  </si>
  <si>
    <t>https://dpmzos25m8ivg.cloudfront.net/Documentos/631/77311515491/6317731151549111092023165547.jpg</t>
  </si>
  <si>
    <t>https://dpmzos25m8ivg.cloudfront.net/Documentos/631/77353048700/6317735304870006092023135244.pdf</t>
  </si>
  <si>
    <t>https://dpmzos25m8ivg.cloudfront.net/Documentos/631/77443268149/6317744326814911092023140426.pdf</t>
  </si>
  <si>
    <t>https://dpmzos25m8ivg.cloudfront.net/Documentos/631/77504224120/6317750422412011092023154321.pdf</t>
  </si>
  <si>
    <t>https://dpmzos25m8ivg.cloudfront.net/Documentos/631/77596498353/6317759649835305092023205106.pdf</t>
  </si>
  <si>
    <t>https://dpmzos25m8ivg.cloudfront.net/Documentos/631/77678796587/6317767879658705092023233735.pdf</t>
  </si>
  <si>
    <t>https://dpmzos25m8ivg.cloudfront.net/Documentos/631/77866525587/6317786652558712092023224238.pdf</t>
  </si>
  <si>
    <t>https://dpmzos25m8ivg.cloudfront.net/Documentos/631/77899423104/6317789942310411092023111453.pdf</t>
  </si>
  <si>
    <t>https://dpmzos25m8ivg.cloudfront.net/Documentos/631/77909917287/6317790991728707092023235635.pdf</t>
  </si>
  <si>
    <t>https://dpmzos25m8ivg.cloudfront.net/Documentos/631/78013976149/6317801397614906092023111402.pdf</t>
  </si>
  <si>
    <t>https://dpmzos25m8ivg.cloudfront.net/Documentos/631/78047900587/6317804790058709092023214441.pdf</t>
  </si>
  <si>
    <t>https://dpmzos25m8ivg.cloudfront.net/Documentos/631/78065755534/6317806575553409092023204546.pdf</t>
  </si>
  <si>
    <t>https://dpmzos25m8ivg.cloudfront.net/Documentos/631/78100364591/6317810036459109092023164402.pdf</t>
  </si>
  <si>
    <t>https://dpmzos25m8ivg.cloudfront.net/Documentos/631/78127939587/6317812793958708092023222651.pdf</t>
  </si>
  <si>
    <t>https://dpmzos25m8ivg.cloudfront.net/Documentos/631/78160707568/6317816070756811092023155249.jpg</t>
  </si>
  <si>
    <t>https://dpmzos25m8ivg.cloudfront.net/Documentos/631/78314283215/6317831428321506092023145540.jpg</t>
  </si>
  <si>
    <t>https://dpmzos25m8ivg.cloudfront.net/Documentos/631/78341698587/6317834169858705092023220624.jpg</t>
  </si>
  <si>
    <t>https://dpmzos25m8ivg.cloudfront.net/Documentos/631/78403693168/6317840369316811092023144858.jpg</t>
  </si>
  <si>
    <t>https://dpmzos25m8ivg.cloudfront.net/Documentos/631/78407117404/6317840711740411092023140026.jpg</t>
  </si>
  <si>
    <t>https://dpmzos25m8ivg.cloudfront.net/Documentos/631/78506271215/6317850627121511092023170214.pdf</t>
  </si>
  <si>
    <t>https://dpmzos25m8ivg.cloudfront.net/Documentos/631/78510392587/6317851039258706092023132754.jpg</t>
  </si>
  <si>
    <t>https://dpmzos25m8ivg.cloudfront.net/Documentos/631/78529000544/6317852900054411092023164413.pdf</t>
  </si>
  <si>
    <t>https://dpmzos25m8ivg.cloudfront.net/Documentos/631/78547822534/6317854782253407092023124234.pdf</t>
  </si>
  <si>
    <t>https://dpmzos25m8ivg.cloudfront.net/Documentos/631/78559863168/6317855986316810092023174429.pdf</t>
  </si>
  <si>
    <t>https://dpmzos25m8ivg.cloudfront.net/Documentos/631/78573980559/6317857398055905092023100435.pdf</t>
  </si>
  <si>
    <t>https://dpmzos25m8ivg.cloudfront.net/Documentos/631/78574749753/6317857474975313092023223832.pdf</t>
  </si>
  <si>
    <t>https://dpmzos25m8ivg.cloudfront.net/Documentos/631/78608716100/6317860871610006092023104557.pdf</t>
  </si>
  <si>
    <t>https://dpmzos25m8ivg.cloudfront.net/Documentos/631/78628113487/6317862811348713092023130614.pdf</t>
  </si>
  <si>
    <t>https://dpmzos25m8ivg.cloudfront.net/Documentos/631/78668735500/6317866873550011092023134604.jpg</t>
  </si>
  <si>
    <t>https://dpmzos25m8ivg.cloudfront.net/Documentos/631/78696151534/6317869615153405092023124742.jpeg</t>
  </si>
  <si>
    <t>https://dpmzos25m8ivg.cloudfront.net/Documentos/631/78731046215/6317873104621511092023164754.pdf</t>
  </si>
  <si>
    <t>https://dpmzos25m8ivg.cloudfront.net/Documentos/631/78776066568/6317877606656811092023144636.jpeg</t>
  </si>
  <si>
    <t>https://dpmzos25m8ivg.cloudfront.net/Documentos/631/78798019287/6317879801928714092023142320.pdf</t>
  </si>
  <si>
    <t>https://dpmzos25m8ivg.cloudfront.net/Documentos/631/78806445553/6317880644555311092023132720.pdf</t>
  </si>
  <si>
    <t>https://dpmzos25m8ivg.cloudfront.net/Documentos/631/78859280559/6317885928055908092023231534.pdf</t>
  </si>
  <si>
    <t>https://dpmzos25m8ivg.cloudfront.net/Documentos/631/78883407172/6317888340717213092023231908.pdf</t>
  </si>
  <si>
    <t>https://dpmzos25m8ivg.cloudfront.net/Documentos/631/78893003520/6317889300352014092023161042.pdf</t>
  </si>
  <si>
    <t>https://dpmzos25m8ivg.cloudfront.net/Documentos/631/78954746187/6317895474618705092023115835.pdf</t>
  </si>
  <si>
    <t>https://dpmzos25m8ivg.cloudfront.net/Documentos/631/79004660534/6317900466053411092023155631.pdf</t>
  </si>
  <si>
    <t>https://dpmzos25m8ivg.cloudfront.net/Documentos/631/79148310263/6317914831026310092023193705.pdf</t>
  </si>
  <si>
    <t>https://dpmzos25m8ivg.cloudfront.net/Documentos/631/79170170100/6317917017010011092023093247.pdf</t>
  </si>
  <si>
    <t>https://dpmzos25m8ivg.cloudfront.net/Documentos/631/79218393987/6317921839398710092023170026.pdf</t>
  </si>
  <si>
    <t>https://dpmzos25m8ivg.cloudfront.net/Documentos/631/79250530544/6317925053054410092023132112.pdf</t>
  </si>
  <si>
    <t>https://dpmzos25m8ivg.cloudfront.net/Documentos/631/79256503204/6317925650320411092023172448.pdf</t>
  </si>
  <si>
    <t>https://dpmzos25m8ivg.cloudfront.net/Documentos/631/79311598534/6317931159853410092023214831.jpg</t>
  </si>
  <si>
    <t>https://dpmzos25m8ivg.cloudfront.net/Documentos/631/79323235415/6317932323541511092023152423.pdf</t>
  </si>
  <si>
    <t>https://dpmzos25m8ivg.cloudfront.net/Documentos/631/79327494334/6317932749433410092023085424.jpeg</t>
  </si>
  <si>
    <t>https://dpmzos25m8ivg.cloudfront.net/Documentos/631/79338682587/6317933868258706092023161653.pdf</t>
  </si>
  <si>
    <t>https://dpmzos25m8ivg.cloudfront.net/Documentos/631/79387888215/6317938788821511092023160331.jpeg</t>
  </si>
  <si>
    <t>https://dpmzos25m8ivg.cloudfront.net/Documentos/631/79389589215/6317938958921510092023132141.pdf</t>
  </si>
  <si>
    <t>https://dpmzos25m8ivg.cloudfront.net/Documentos/631/79441491500/6317944149150004092023201054.pdf</t>
  </si>
  <si>
    <t>https://dpmzos25m8ivg.cloudfront.net/Documentos/631/79442099191/6317944209919105092023144427.jpg</t>
  </si>
  <si>
    <t>https://dpmzos25m8ivg.cloudfront.net/Documentos/631/79455603691/6317945560369108092023110218.pdf</t>
  </si>
  <si>
    <t>https://dpmzos25m8ivg.cloudfront.net/Documentos/631/79461026234/6317946102623407092023215730.jpg</t>
  </si>
  <si>
    <t>https://dpmzos25m8ivg.cloudfront.net/Documentos/631/79465340278/6317946534027810092023114855.pdf</t>
  </si>
  <si>
    <t>https://dpmzos25m8ivg.cloudfront.net/Documentos/631/79507131949/6317950713194910092023231228.pdf</t>
  </si>
  <si>
    <t>https://dpmzos25m8ivg.cloudfront.net/Documentos/631/79534040525/6317953404052514092023111604.pdf</t>
  </si>
  <si>
    <t>https://dpmzos25m8ivg.cloudfront.net/Documentos/631/79628168649/6317962816864911092023162336.pdf</t>
  </si>
  <si>
    <t>https://dpmzos25m8ivg.cloudfront.net/Documentos/631/79686834591/6317968683459110092023113435.jpeg</t>
  </si>
  <si>
    <t>https://dpmzos25m8ivg.cloudfront.net/Documentos/631/79688950220/6317968895022007092023210718.pdf</t>
  </si>
  <si>
    <t>https://dpmzos25m8ivg.cloudfront.net/Documentos/631/79700268420/6317970026842013092023041530.pdf</t>
  </si>
  <si>
    <t>https://dpmzos25m8ivg.cloudfront.net/Documentos/631/79706967672/6317970696767211092023142656.pdf</t>
  </si>
  <si>
    <t>https://dpmzos25m8ivg.cloudfront.net/Documentos/631/79708765368/6317970876536810092023224247.pdf</t>
  </si>
  <si>
    <t>https://dpmzos25m8ivg.cloudfront.net/Documentos/631/79750745515/6317975074551505092023201347.pdf</t>
  </si>
  <si>
    <t>https://dpmzos25m8ivg.cloudfront.net/Documentos/631/79771866249/6317977186624904092023204139.pdf</t>
  </si>
  <si>
    <t>https://dpmzos25m8ivg.cloudfront.net/Documentos/631/79888348515/6317988834851510092023162234.pdf</t>
  </si>
  <si>
    <t>https://dpmzos25m8ivg.cloudfront.net/Documentos/631/80009285903/6318000928590307092023100813.pdf</t>
  </si>
  <si>
    <t>https://dpmzos25m8ivg.cloudfront.net/Documentos/631/80041604504/6318004160450414092023150058.pdf</t>
  </si>
  <si>
    <t>https://dpmzos25m8ivg.cloudfront.net/Documentos/631/80084427515/6318008442751507092023111702.jpg</t>
  </si>
  <si>
    <t>https://dpmzos25m8ivg.cloudfront.net/Documentos/631/80173250530/6318017325053009092023165841.jpg</t>
  </si>
  <si>
    <t>https://dpmzos25m8ivg.cloudfront.net/Documentos/631/80184979587/6318018497958705092023093544.pdf</t>
  </si>
  <si>
    <t>https://dpmzos25m8ivg.cloudfront.net/Documentos/631/80187145504/6318018714550408092023131556.jpg</t>
  </si>
  <si>
    <t>https://dpmzos25m8ivg.cloudfront.net/Documentos/631/80192246291/6318019224629108092023233922.jpeg</t>
  </si>
  <si>
    <t>https://dpmzos25m8ivg.cloudfront.net/Documentos/631/80216420687/6318021642068711092023132733.pdf</t>
  </si>
  <si>
    <t>https://dpmzos25m8ivg.cloudfront.net/Documentos/631/80303544449/6318030354444913092023194626.pdf</t>
  </si>
  <si>
    <t>https://dpmzos25m8ivg.cloudfront.net/Documentos/631/80341110663/6318034111066311092023095448.jpg</t>
  </si>
  <si>
    <t>https://dpmzos25m8ivg.cloudfront.net/Documentos/631/80348947534/6318034894753414092023084103.pdf</t>
  </si>
  <si>
    <t>https://dpmzos25m8ivg.cloudfront.net/Documentos/631/80356745287/6318035674528708092023104054.pdf</t>
  </si>
  <si>
    <t>https://dpmzos25m8ivg.cloudfront.net/Documentos/631/80357881249/6318035788124907092023130638.jpeg</t>
  </si>
  <si>
    <t>https://dpmzos25m8ivg.cloudfront.net/Documentos/631/80380530520/6318038053052005092023185914.pdf</t>
  </si>
  <si>
    <t>https://dpmzos25m8ivg.cloudfront.net/Documentos/631/80393772500/6318039377250011092023163313.pdf</t>
  </si>
  <si>
    <t>https://dpmzos25m8ivg.cloudfront.net/Documentos/631/80432506934/6318043250693411092023135817.pdf</t>
  </si>
  <si>
    <t>https://dpmzos25m8ivg.cloudfront.net/Documentos/631/80442072104/6318044207210408092023222953.pdf</t>
  </si>
  <si>
    <t>https://dpmzos25m8ivg.cloudfront.net/Documentos/631/80461387549/6318046138754910092023142907.jpg</t>
  </si>
  <si>
    <t>https://dpmzos25m8ivg.cloudfront.net/Documentos/631/80489842534/6318048984253408092023111146.pdf</t>
  </si>
  <si>
    <t>https://dpmzos25m8ivg.cloudfront.net/Documentos/631/80506135268/6318050613526808092023125101.jpg</t>
  </si>
  <si>
    <t>https://dpmzos25m8ivg.cloudfront.net/Documentos/631/80547443153/6318054744315305092023124136.pdf</t>
  </si>
  <si>
    <t>https://dpmzos25m8ivg.cloudfront.net/Documentos/631/80551475153/6318055147515305092023151849.pdf</t>
  </si>
  <si>
    <t>https://dpmzos25m8ivg.cloudfront.net/Documentos/631/80561462534/6318056146253405092023104213.pdf</t>
  </si>
  <si>
    <t>https://dpmzos25m8ivg.cloudfront.net/Documentos/631/80571948200/6318057194820005092023162533.pdf</t>
  </si>
  <si>
    <t>https://dpmzos25m8ivg.cloudfront.net/Documentos/631/80593348087/6318059334808710092023134349.pdf</t>
  </si>
  <si>
    <t>https://dpmzos25m8ivg.cloudfront.net/Documentos/631/80601677587/6318060167758710092023173758.jpg</t>
  </si>
  <si>
    <t>https://dpmzos25m8ivg.cloudfront.net/Documentos/631/80643531572/6318064353157211092023160017.pdf</t>
  </si>
  <si>
    <t>https://dpmzos25m8ivg.cloudfront.net/Documentos/631/80682189553/6318068218955311092023131603.pdf</t>
  </si>
  <si>
    <t>https://dpmzos25m8ivg.cloudfront.net/Documentos/631/80690491034/6318069049103410092023205952.pdf</t>
  </si>
  <si>
    <t>https://dpmzos25m8ivg.cloudfront.net/Documentos/631/80713572515/6318071357251511092023150504.jpg</t>
  </si>
  <si>
    <t>https://dpmzos25m8ivg.cloudfront.net/Documentos/631/80726038504/6318072603850408092023235924.jpeg</t>
  </si>
  <si>
    <t>https://dpmzos25m8ivg.cloudfront.net/Documentos/631/80743811534/6318074381153411092023100459.pdf</t>
  </si>
  <si>
    <t>https://dpmzos25m8ivg.cloudfront.net/Documentos/631/80782833500/6318078283350006092023141920.jpg</t>
  </si>
  <si>
    <t>https://dpmzos25m8ivg.cloudfront.net/Documentos/631/80809200368/6318080920036811092023165003.pdf</t>
  </si>
  <si>
    <t>https://dpmzos25m8ivg.cloudfront.net/Documentos/631/80823831515/6318082383151508092023202855.jpg</t>
  </si>
  <si>
    <t>https://dpmzos25m8ivg.cloudfront.net/Documentos/631/80874320291/6318087432029111092023000404.jpg</t>
  </si>
  <si>
    <t>https://dpmzos25m8ivg.cloudfront.net/Documentos/631/80935362215/6318093536221505092023114004.pdf</t>
  </si>
  <si>
    <t>https://dpmzos25m8ivg.cloudfront.net/Documentos/631/80991262549/6318099126254911092023104823.jpg</t>
  </si>
  <si>
    <t>https://dpmzos25m8ivg.cloudfront.net/Documentos/631/81009976249/6318100997624911092023140805.pdf</t>
  </si>
  <si>
    <t>https://dpmzos25m8ivg.cloudfront.net/Documentos/631/81035853434/6318103585343408092023112816.pdf</t>
  </si>
  <si>
    <t>https://dpmzos25m8ivg.cloudfront.net/Documentos/631/81065990510/6318106599051006092023100544.pdf</t>
  </si>
  <si>
    <t>https://dpmzos25m8ivg.cloudfront.net/Documentos/631/81120664500/6318112066450005092023103154.pdf</t>
  </si>
  <si>
    <t>https://dpmzos25m8ivg.cloudfront.net/Documentos/631/81122012500/6318112201250011092023165726.jpg</t>
  </si>
  <si>
    <t>https://dpmzos25m8ivg.cloudfront.net/Documentos/631/81141076500/6318114107650006092023172207.jpeg</t>
  </si>
  <si>
    <t>https://dpmzos25m8ivg.cloudfront.net/Documentos/631/81234295504/6318123429550411092023162750.jpeg</t>
  </si>
  <si>
    <t>https://dpmzos25m8ivg.cloudfront.net/Documentos/631/81235925587/6318123592558712092023201747.pdf</t>
  </si>
  <si>
    <t>https://dpmzos25m8ivg.cloudfront.net/Documentos/631/81335288953/6318133528895306092023144151.jpeg</t>
  </si>
  <si>
    <t>https://dpmzos25m8ivg.cloudfront.net/Documentos/631/81363460030/6318136346003008092023192329.pdf</t>
  </si>
  <si>
    <t>https://dpmzos25m8ivg.cloudfront.net/Documentos/631/81400403200/6318140040320014092023165153.pdf</t>
  </si>
  <si>
    <t>https://dpmzos25m8ivg.cloudfront.net/Documentos/631/81434456234/6318143445623411092023130857.pdf</t>
  </si>
  <si>
    <t>https://dpmzos25m8ivg.cloudfront.net/Documentos/631/81443676500/6318144367650014092023165548.pdf</t>
  </si>
  <si>
    <t>https://dpmzos25m8ivg.cloudfront.net/Documentos/631/81446322149/6318144632214905092023130156.pdf</t>
  </si>
  <si>
    <t>https://dpmzos25m8ivg.cloudfront.net/Documentos/631/81470746387/6318147074638705092023185856.pdf</t>
  </si>
  <si>
    <t>https://dpmzos25m8ivg.cloudfront.net/Documentos/631/81472757572/6318147275757211092023162234.pdf</t>
  </si>
  <si>
    <t>https://dpmzos25m8ivg.cloudfront.net/Documentos/631/81549024272/6318154902427211092023173953.pdf</t>
  </si>
  <si>
    <t>https://dpmzos25m8ivg.cloudfront.net/Documentos/631/81586094068/6318158609406806092023123448.jpg</t>
  </si>
  <si>
    <t>https://dpmzos25m8ivg.cloudfront.net/Documentos/631/81611390591/6318161139059108092023181005.jpg</t>
  </si>
  <si>
    <t>https://dpmzos25m8ivg.cloudfront.net/Documentos/631/81630239534/6318163023953406092023161345.pdf</t>
  </si>
  <si>
    <t>https://dpmzos25m8ivg.cloudfront.net/Documentos/631/81658184220/6318165818422008092023160553.pdf</t>
  </si>
  <si>
    <t>https://dpmzos25m8ivg.cloudfront.net/Documentos/631/81710585234/6318171058523405092023084507.jpeg</t>
  </si>
  <si>
    <t>https://dpmzos25m8ivg.cloudfront.net/Documentos/631/81747896500/6318174789650006092023024215.jpg</t>
  </si>
  <si>
    <t>https://dpmzos25m8ivg.cloudfront.net/Documentos/631/81767870787/6318176787078711092023005034.pdf</t>
  </si>
  <si>
    <t>https://dpmzos25m8ivg.cloudfront.net/Documentos/631/81820364534/6318182036453410092023104911.jpg</t>
  </si>
  <si>
    <t>https://dpmzos25m8ivg.cloudfront.net/Documentos/631/81877048968/6318187704896811092023032319.pdf</t>
  </si>
  <si>
    <t>https://dpmzos25m8ivg.cloudfront.net/Documentos/631/81910428272/6318191042827207092023110539.jpg</t>
  </si>
  <si>
    <t>https://dpmzos25m8ivg.cloudfront.net/Documentos/631/81959885553/6318195988555310092023164117.pdf</t>
  </si>
  <si>
    <t>https://dpmzos25m8ivg.cloudfront.net/Documentos/631/81971885568/6318197188556811092023093839.pdf</t>
  </si>
  <si>
    <t>https://dpmzos25m8ivg.cloudfront.net/Documentos/631/82042462500/6318204246250004092023223008.jpeg</t>
  </si>
  <si>
    <t>https://dpmzos25m8ivg.cloudfront.net/Documentos/631/82088373500/6318208837350005092023092657.pdf</t>
  </si>
  <si>
    <t>https://dpmzos25m8ivg.cloudfront.net/Documentos/631/82131775334/6318213177533405092023105300.jpg</t>
  </si>
  <si>
    <t>https://dpmzos25m8ivg.cloudfront.net/Documentos/631/82143692587/6318214369258711092023120538.pdf</t>
  </si>
  <si>
    <t>https://dpmzos25m8ivg.cloudfront.net/Documentos/631/82147205249/6318214720524908092023154255.pdf</t>
  </si>
  <si>
    <t>https://dpmzos25m8ivg.cloudfront.net/Documentos/631/82202567100/6318220256710006092023094359.pdf</t>
  </si>
  <si>
    <t>https://dpmzos25m8ivg.cloudfront.net/Documentos/631/82225710520/6318222571052014092023131145.pdf</t>
  </si>
  <si>
    <t>https://dpmzos25m8ivg.cloudfront.net/Documentos/631/82293147487/6318229314748712092023180052.pdf</t>
  </si>
  <si>
    <t>https://dpmzos25m8ivg.cloudfront.net/Documentos/631/82326045572/6318232604557205092023133434.jpeg</t>
  </si>
  <si>
    <t>https://dpmzos25m8ivg.cloudfront.net/Documentos/631/82428840568/6318242884056808092023182352.pdf</t>
  </si>
  <si>
    <t>https://dpmzos25m8ivg.cloudfront.net/Documentos/631/82430195534/6318243019553410092023213726.pdf</t>
  </si>
  <si>
    <t>https://dpmzos25m8ivg.cloudfront.net/Documentos/631/82470049172/6318247004917207092023060457.pdf</t>
  </si>
  <si>
    <t>https://dpmzos25m8ivg.cloudfront.net/Documentos/631/82560315068/6318256031506811092023163059.pdf</t>
  </si>
  <si>
    <t>https://dpmzos25m8ivg.cloudfront.net/Documentos/631/82574049004/6318257404900409092023224811.jpg</t>
  </si>
  <si>
    <t>https://dpmzos25m8ivg.cloudfront.net/Documentos/631/82578621268/6318257862126809092023234610.jpeg</t>
  </si>
  <si>
    <t>https://dpmzos25m8ivg.cloudfront.net/Documentos/631/82580529004/6318258052900406092023145418.pdf</t>
  </si>
  <si>
    <t>https://dpmzos25m8ivg.cloudfront.net/Documentos/631/82591067520/6318259106752005092023225940.pdf</t>
  </si>
  <si>
    <t>https://dpmzos25m8ivg.cloudfront.net/Documentos/631/82600635220/6318260063522008092023175050.pdf</t>
  </si>
  <si>
    <t>https://dpmzos25m8ivg.cloudfront.net/Documentos/631/82603561553/6318260356155307092023210816.jpg</t>
  </si>
  <si>
    <t>https://dpmzos25m8ivg.cloudfront.net/Documentos/631/82634637420/6318263463742011092023153117.pdf</t>
  </si>
  <si>
    <t>https://dpmzos25m8ivg.cloudfront.net/Documentos/631/82645094520/6318264509452011092023133132.pdf</t>
  </si>
  <si>
    <t>https://dpmzos25m8ivg.cloudfront.net/Documentos/631/82697191291/6318269719129106092023230320.pdf</t>
  </si>
  <si>
    <t>https://dpmzos25m8ivg.cloudfront.net/Documentos/631/82798087015/6318279808701511092023163147.pdf</t>
  </si>
  <si>
    <t>https://dpmzos25m8ivg.cloudfront.net/Documentos/631/82825343234/6318282534323410092023224110.pdf</t>
  </si>
  <si>
    <t>https://dpmzos25m8ivg.cloudfront.net/Documentos/631/82825513687/6318282551368711092023000634.pdf</t>
  </si>
  <si>
    <t>https://dpmzos25m8ivg.cloudfront.net/Documentos/631/82836841249/6318283684124914092023162115.pdf</t>
  </si>
  <si>
    <t>https://dpmzos25m8ivg.cloudfront.net/Documentos/631/82900876168/6318290087616813092023114727.pdf</t>
  </si>
  <si>
    <t>https://dpmzos25m8ivg.cloudfront.net/Documentos/631/82911517687/6318291151768709092023203411.pdf</t>
  </si>
  <si>
    <t>https://dpmzos25m8ivg.cloudfront.net/Documentos/631/82952450153/6318295245015310092023153925.jpg</t>
  </si>
  <si>
    <t>https://dpmzos25m8ivg.cloudfront.net/Documentos/631/82987300549/6318298730054911092023014923.pdf</t>
  </si>
  <si>
    <t>https://dpmzos25m8ivg.cloudfront.net/Documentos/631/82988099472/6318298809947207092023140417.pdf</t>
  </si>
  <si>
    <t>https://dpmzos25m8ivg.cloudfront.net/Documentos/631/83112227387/6318311222738705092023091556.jpg</t>
  </si>
  <si>
    <t>https://dpmzos25m8ivg.cloudfront.net/Documentos/631/83116982520/6318311698252008092023190745.pdf</t>
  </si>
  <si>
    <t>https://dpmzos25m8ivg.cloudfront.net/Documentos/631/83142754172/6318314275417206092023194131.pdf</t>
  </si>
  <si>
    <t>https://dpmzos25m8ivg.cloudfront.net/Documentos/631/83160922553/6318316092255305092023123132.pdf</t>
  </si>
  <si>
    <t>https://dpmzos25m8ivg.cloudfront.net/Documentos/631/83224351349/6318322435134905092023210440.pdf</t>
  </si>
  <si>
    <t>https://dpmzos25m8ivg.cloudfront.net/Documentos/631/83256059449/6318325605944906092023181412.jpeg</t>
  </si>
  <si>
    <t>https://dpmzos25m8ivg.cloudfront.net/Documentos/631/83302670168/6318330267016808092023165948.pdf</t>
  </si>
  <si>
    <t>https://dpmzos25m8ivg.cloudfront.net/Documentos/631/83304347291/6318330434729107092023170446.jpg</t>
  </si>
  <si>
    <t>https://dpmzos25m8ivg.cloudfront.net/Documentos/631/83324321204/6318332432120411092023160646.pdf</t>
  </si>
  <si>
    <t>https://dpmzos25m8ivg.cloudfront.net/Documentos/631/83336338204/6318333633820406092023181757.pdf</t>
  </si>
  <si>
    <t>https://dpmzos25m8ivg.cloudfront.net/Documentos/631/83342532068/6318334253206812092023190237.pdf</t>
  </si>
  <si>
    <t>https://dpmzos25m8ivg.cloudfront.net/Documentos/631/83425675591/6318342567559111092023160517.pdf</t>
  </si>
  <si>
    <t>https://dpmzos25m8ivg.cloudfront.net/Documentos/631/83600302353/6318360030235311092023102920.pdf</t>
  </si>
  <si>
    <t>https://dpmzos25m8ivg.cloudfront.net/Documentos/631/83650644568/6318365064456805092023122710.jpg</t>
  </si>
  <si>
    <t>https://dpmzos25m8ivg.cloudfront.net/Documentos/631/83653236215/6318365323621509092023165046.pdf</t>
  </si>
  <si>
    <t>https://dpmzos25m8ivg.cloudfront.net/Documentos/631/83667148534/6318366714853408092023155951.jpg</t>
  </si>
  <si>
    <t>https://dpmzos25m8ivg.cloudfront.net/Documentos/631/83682937072/6318368293707211092023003227.jpg</t>
  </si>
  <si>
    <t>https://dpmzos25m8ivg.cloudfront.net/Documentos/631/83700196687/6318370019668705092023120935.jpeg</t>
  </si>
  <si>
    <t>https://dpmzos25m8ivg.cloudfront.net/Documentos/631/83730362291/6318373036229105092023094929.pdf</t>
  </si>
  <si>
    <t>https://dpmzos25m8ivg.cloudfront.net/Documentos/631/83745483200/6318374548320013092023222700.jpeg</t>
  </si>
  <si>
    <t>https://dpmzos25m8ivg.cloudfront.net/Documentos/631/83760083315/6318376008331511092023174131.jpg</t>
  </si>
  <si>
    <t>https://dpmzos25m8ivg.cloudfront.net/Documentos/631/83780556553/6318378055655311092023165232.pdf</t>
  </si>
  <si>
    <t>https://dpmzos25m8ivg.cloudfront.net/Documentos/631/83784039200/6318378403920011092023131102.pdf</t>
  </si>
  <si>
    <t>https://dpmzos25m8ivg.cloudfront.net/Documentos/631/83796444504/6318379644450409092023233900.pdf</t>
  </si>
  <si>
    <t>https://dpmzos25m8ivg.cloudfront.net/Documentos/631/83823379615/6318382337961511092023115533.jpg</t>
  </si>
  <si>
    <t>https://dpmzos25m8ivg.cloudfront.net/Documentos/631/83834532304/6318383453230411092023143801.pdf</t>
  </si>
  <si>
    <t>https://dpmzos25m8ivg.cloudfront.net/Documentos/631/83835555200/6318383555520008092023141328.jpg</t>
  </si>
  <si>
    <t>https://dpmzos25m8ivg.cloudfront.net/Documentos/631/83857230568/6318385723056809092023143449.jpg</t>
  </si>
  <si>
    <t>https://dpmzos25m8ivg.cloudfront.net/Documentos/631/83891820500/6318389182050005092023181804.pdf</t>
  </si>
  <si>
    <t>https://dpmzos25m8ivg.cloudfront.net/Documentos/631/83924051534/6318392405153407092023150058.jpeg</t>
  </si>
  <si>
    <t>https://dpmzos25m8ivg.cloudfront.net/Documentos/631/83928529587/6318392852958705092023102159.pdf</t>
  </si>
  <si>
    <t>https://dpmzos25m8ivg.cloudfront.net/Documentos/631/83958371515/6318395837151510092023003502.pdf</t>
  </si>
  <si>
    <t>https://dpmzos25m8ivg.cloudfront.net/Documentos/631/83976396320/6318397639632010092023194332.pdf</t>
  </si>
  <si>
    <t>https://dpmzos25m8ivg.cloudfront.net/Documentos/631/83992758249/6318399275824908092023082659.pdf</t>
  </si>
  <si>
    <t>https://dpmzos25m8ivg.cloudfront.net/Documentos/631/83994130387/6318399413038705092023233716.pdf</t>
  </si>
  <si>
    <t>https://dpmzos25m8ivg.cloudfront.net/Documentos/631/84082160582/6318408216058205092023143939.pdf</t>
  </si>
  <si>
    <t>https://dpmzos25m8ivg.cloudfront.net/Documentos/631/84116692549/6318411669254908092023220828.pdf</t>
  </si>
  <si>
    <t>https://dpmzos25m8ivg.cloudfront.net/Documentos/631/84122617553/6318412261755307092023193602.pdf</t>
  </si>
  <si>
    <t>https://dpmzos25m8ivg.cloudfront.net/Documentos/631/84167041553/6318416704155310092023152911.jpg</t>
  </si>
  <si>
    <t>https://dpmzos25m8ivg.cloudfront.net/Documentos/631/84202076400/6318420207640011092023005119.pdf</t>
  </si>
  <si>
    <t>https://dpmzos25m8ivg.cloudfront.net/Documentos/631/84293810587/6318429381058710092023141820.pdf</t>
  </si>
  <si>
    <t>https://dpmzos25m8ivg.cloudfront.net/Documentos/631/84322071520/6318432207152006092023132810.pdf</t>
  </si>
  <si>
    <t>https://dpmzos25m8ivg.cloudfront.net/Documentos/631/84376392553/6318437639255306092023152802.pdf</t>
  </si>
  <si>
    <t>https://dpmzos25m8ivg.cloudfront.net/Documentos/631/84478179115/6318447817911513092023152841.pdf</t>
  </si>
  <si>
    <t>https://dpmzos25m8ivg.cloudfront.net/Documentos/631/84492015515/6318449201551505092023195039.pdf</t>
  </si>
  <si>
    <t>https://dpmzos25m8ivg.cloudfront.net/Documentos/631/84506997115/6318450699711510092023112418.pdf</t>
  </si>
  <si>
    <t>https://dpmzos25m8ivg.cloudfront.net/Documentos/631/84514671134/6318451467113410092023221835.pdf</t>
  </si>
  <si>
    <t>https://dpmzos25m8ivg.cloudfront.net/Documentos/631/84516151553/6318451615155314092023154556.pdf</t>
  </si>
  <si>
    <t>https://dpmzos25m8ivg.cloudfront.net/Documentos/631/84530006468/6318453000646809092023114603.pdf</t>
  </si>
  <si>
    <t>https://dpmzos25m8ivg.cloudfront.net/Documentos/631/84585315268/6318458531526806092023101514.pdf</t>
  </si>
  <si>
    <t>https://dpmzos25m8ivg.cloudfront.net/Documentos/631/84696745520/6318469674552011092023164439.jpg</t>
  </si>
  <si>
    <t>https://dpmzos25m8ivg.cloudfront.net/Documentos/631/84725540072/6318472554007208092023155305.jpeg</t>
  </si>
  <si>
    <t>https://dpmzos25m8ivg.cloudfront.net/Documentos/631/84734604649/6318473460464905092023090123.pdf</t>
  </si>
  <si>
    <t>https://dpmzos25m8ivg.cloudfront.net/Documentos/631/84807407368/6318480740736806092023132054.pdf</t>
  </si>
  <si>
    <t>https://dpmzos25m8ivg.cloudfront.net/Documentos/631/84818417572/6318481841757213092023222248.pdf</t>
  </si>
  <si>
    <t>https://dpmzos25m8ivg.cloudfront.net/Documentos/631/84837314287/6318483731428710092023224530.pdf</t>
  </si>
  <si>
    <t>https://dpmzos25m8ivg.cloudfront.net/Documentos/631/84958529268/6318495852926811092023155835.pdf</t>
  </si>
  <si>
    <t>https://dpmzos25m8ivg.cloudfront.net/Documentos/631/85001716691/6318500171669111092023134956.pdf</t>
  </si>
  <si>
    <t>https://dpmzos25m8ivg.cloudfront.net/Documentos/631/85082155253/6318508215525311092023161356.jpg</t>
  </si>
  <si>
    <t>https://dpmzos25m8ivg.cloudfront.net/Documentos/631/85091391568/6318509139156811092023153707.jpeg</t>
  </si>
  <si>
    <t>https://dpmzos25m8ivg.cloudfront.net/Documentos/631/85111350306/6318511135030611092023070846.pdf</t>
  </si>
  <si>
    <t>https://dpmzos25m8ivg.cloudfront.net/Documentos/631/85157465068/6318515746506806092023112412.pdf</t>
  </si>
  <si>
    <t>https://dpmzos25m8ivg.cloudfront.net/Documentos/631/85248444500/6318524844450014092023164812.pdf</t>
  </si>
  <si>
    <t>https://dpmzos25m8ivg.cloudfront.net/Documentos/631/85277118772/6318527711877211092023094731.pdf</t>
  </si>
  <si>
    <t>https://dpmzos25m8ivg.cloudfront.net/Documentos/631/85287091591/6318528709159107092023145104.jpg</t>
  </si>
  <si>
    <t>https://dpmzos25m8ivg.cloudfront.net/Documentos/631/85459674549/6318545967454905092023171027.pdf</t>
  </si>
  <si>
    <t>https://dpmzos25m8ivg.cloudfront.net/Documentos/631/85469580253/6318546958025311092023150944.pdf</t>
  </si>
  <si>
    <t>https://dpmzos25m8ivg.cloudfront.net/Documentos/631/85470082768/6318547008276805092023091254.pdf</t>
  </si>
  <si>
    <t>https://dpmzos25m8ivg.cloudfront.net/Documentos/631/85543381204/6318554338120405092023120823.pdf</t>
  </si>
  <si>
    <t>https://dpmzos25m8ivg.cloudfront.net/Documentos/631/85621897234/6318562189723405092023143710.pdf</t>
  </si>
  <si>
    <t>https://dpmzos25m8ivg.cloudfront.net/Documentos/631/85666297368/6318566629736806092023132830.pdf</t>
  </si>
  <si>
    <t>https://dpmzos25m8ivg.cloudfront.net/Documentos/631/85719617191/6318571961719110092023221243.pdf</t>
  </si>
  <si>
    <t>https://dpmzos25m8ivg.cloudfront.net/Documentos/631/85765622518/6318576562251806092023141741.pdf</t>
  </si>
  <si>
    <t>https://dpmzos25m8ivg.cloudfront.net/Documentos/631/85767170509/6318576717050914092023124733.pdf</t>
  </si>
  <si>
    <t>https://dpmzos25m8ivg.cloudfront.net/Documentos/631/85769043571/6318576904357114092023092841.pdf</t>
  </si>
  <si>
    <t>https://dpmzos25m8ivg.cloudfront.net/Documentos/631/85773223511/6318577322351108092023201652.pdf</t>
  </si>
  <si>
    <t>https://dpmzos25m8ivg.cloudfront.net/Documentos/631/85779589577/6318577958957711092023105444.pdf</t>
  </si>
  <si>
    <t>https://dpmzos25m8ivg.cloudfront.net/Documentos/631/85793027491/6318579302749114092023164440.pdf</t>
  </si>
  <si>
    <t>https://dpmzos25m8ivg.cloudfront.net/Documentos/631/85797386526/6318579738652607092023092612.jpg</t>
  </si>
  <si>
    <t>https://dpmzos25m8ivg.cloudfront.net/Documentos/631/85800987505/6318580098750510092023165920.pdf</t>
  </si>
  <si>
    <t>https://dpmzos25m8ivg.cloudfront.net/Documentos/631/85806344584/6318580634458408092023094201.jpg</t>
  </si>
  <si>
    <t>https://dpmzos25m8ivg.cloudfront.net/Documentos/631/85812331472/6318581233147210092023203806.pdf</t>
  </si>
  <si>
    <t>https://dpmzos25m8ivg.cloudfront.net/Documentos/631/85827197521/6318582719752111092023152731.pdf</t>
  </si>
  <si>
    <t>https://dpmzos25m8ivg.cloudfront.net/Documentos/631/85840114634/6318584011463405092023093600.jpg</t>
  </si>
  <si>
    <t>https://dpmzos25m8ivg.cloudfront.net/Documentos/631/85852786500/6318585278650011092023105912.pdf</t>
  </si>
  <si>
    <t>https://dpmzos25m8ivg.cloudfront.net/Documentos/631/85883050204/6318588305020408092023105825.pdf</t>
  </si>
  <si>
    <t>https://dpmzos25m8ivg.cloudfront.net/Documentos/631/85898163115/6318589816311511092023144520.pdf</t>
  </si>
  <si>
    <t>https://dpmzos25m8ivg.cloudfront.net/Documentos/631/85943519505/6318594351950506092023114218.pdf</t>
  </si>
  <si>
    <t>https://dpmzos25m8ivg.cloudfront.net/Documentos/631/85943910565/6318594391056506092023185047.pdf</t>
  </si>
  <si>
    <t>https://dpmzos25m8ivg.cloudfront.net/Documentos/631/85963935520/6318596393552008092023235418.pdf</t>
  </si>
  <si>
    <t>https://dpmzos25m8ivg.cloudfront.net/Documentos/631/85965874545/6318596587454511092023150235.jpg</t>
  </si>
  <si>
    <t>https://dpmzos25m8ivg.cloudfront.net/Documentos/631/85972220504/6318597222050411092023000948.pdf</t>
  </si>
  <si>
    <t>https://dpmzos25m8ivg.cloudfront.net/Documentos/631/85973173291/6318597317329113092023102734.jpg</t>
  </si>
  <si>
    <t>https://dpmzos25m8ivg.cloudfront.net/Documentos/631/85975742595/6318597574259508092023122900.pdf</t>
  </si>
  <si>
    <t>https://dpmzos25m8ivg.cloudfront.net/Documentos/631/85977033508/6318597703350807092023133732.pdf</t>
  </si>
  <si>
    <t>https://dpmzos25m8ivg.cloudfront.net/Documentos/631/85981032502/6318598103250211092023153350.pdf</t>
  </si>
  <si>
    <t>https://dpmzos25m8ivg.cloudfront.net/Documentos/631/85983356577/6318598335657714092023165023.pdf</t>
  </si>
  <si>
    <t>https://dpmzos25m8ivg.cloudfront.net/Documentos/631/85984059576/6318598405957614092023072016.pdf</t>
  </si>
  <si>
    <t>https://dpmzos25m8ivg.cloudfront.net/Documentos/631/85989957548/6318598995754813092023125715.pdf</t>
  </si>
  <si>
    <t>https://dpmzos25m8ivg.cloudfront.net/Documentos/631/85990138580/6318599013858011092023113002.pdf</t>
  </si>
  <si>
    <t>https://dpmzos25m8ivg.cloudfront.net/Documentos/631/85993806567/6318599380656710092023224256.pdf</t>
  </si>
  <si>
    <t>https://dpmzos25m8ivg.cloudfront.net/Documentos/631/86016815578/6318601681557813092023171345.pdf</t>
  </si>
  <si>
    <t>https://dpmzos25m8ivg.cloudfront.net/Documentos/631/86019821234/6318601982123408092023133701.pdf</t>
  </si>
  <si>
    <t>https://dpmzos25m8ivg.cloudfront.net/Documentos/631/86020794512/6318602079451211092023145038.jpeg</t>
  </si>
  <si>
    <t>https://dpmzos25m8ivg.cloudfront.net/Documentos/631/86021082575/6318602108257506092023230553.pdf</t>
  </si>
  <si>
    <t>https://dpmzos25m8ivg.cloudfront.net/Documentos/631/86031023415/6318603102341505092023141332.jpg</t>
  </si>
  <si>
    <t>https://dpmzos25m8ivg.cloudfront.net/Documentos/631/86041823570/6318604182357011092023141931.pdf</t>
  </si>
  <si>
    <t>https://dpmzos25m8ivg.cloudfront.net/Documentos/631/86074923574/6318607492357408092023214356.pdf</t>
  </si>
  <si>
    <t>https://dpmzos25m8ivg.cloudfront.net/Documentos/631/86086078599/6318608607859908092023200855.pdf</t>
  </si>
  <si>
    <t>https://dpmzos25m8ivg.cloudfront.net/Documentos/631/86091745573/6318609174557312092023194837.jpg</t>
  </si>
  <si>
    <t>https://dpmzos25m8ivg.cloudfront.net/Documentos/631/86096357598/6318609635759811092023161144.pdf</t>
  </si>
  <si>
    <t>https://dpmzos25m8ivg.cloudfront.net/Documentos/631/86097884583/6318609788458311092023165008.pdf</t>
  </si>
  <si>
    <t>https://dpmzos25m8ivg.cloudfront.net/Documentos/631/86112956500/6318611295650005092023233915.jpeg</t>
  </si>
  <si>
    <t>https://dpmzos25m8ivg.cloudfront.net/Documentos/631/86123861522/6318612386152211092023094057.pdf</t>
  </si>
  <si>
    <t>https://dpmzos25m8ivg.cloudfront.net/Documentos/631/86140008557/6318614000855711092023133717.pdf</t>
  </si>
  <si>
    <t>https://dpmzos25m8ivg.cloudfront.net/Documentos/631/86159492551/6318615949255111092023140801.pdf</t>
  </si>
  <si>
    <t>https://dpmzos25m8ivg.cloudfront.net/Documentos/631/86171975524/6318617197552409092023233216.jpg</t>
  </si>
  <si>
    <t>https://dpmzos25m8ivg.cloudfront.net/Documentos/631/86175239563/6318617523956314092023131543.jpg</t>
  </si>
  <si>
    <t>https://dpmzos25m8ivg.cloudfront.net/Documentos/631/86182540532/6318618254053211092023154012.pdf</t>
  </si>
  <si>
    <t>https://dpmzos25m8ivg.cloudfront.net/Documentos/631/86188628512/6318618862851211092023162809.jpeg</t>
  </si>
  <si>
    <t>https://dpmzos25m8ivg.cloudfront.net/Documentos/631/86196260359/6318619626035913092023153528.jpg</t>
  </si>
  <si>
    <t>https://dpmzos25m8ivg.cloudfront.net/Documentos/631/86210949592/6318621094959211092023152600.jpeg</t>
  </si>
  <si>
    <t>https://dpmzos25m8ivg.cloudfront.net/Documentos/631/86215024538/6318621502453810092023203705.pdf</t>
  </si>
  <si>
    <t>https://dpmzos25m8ivg.cloudfront.net/Documentos/631/86221540763/6318622154076310092023225912.jpg</t>
  </si>
  <si>
    <t>https://dpmzos25m8ivg.cloudfront.net/Documentos/631/86228831593/6318622883159311092023142032.pdf</t>
  </si>
  <si>
    <t>https://dpmzos25m8ivg.cloudfront.net/Documentos/631/86242145561/6318624214556106092023172318.jpg</t>
  </si>
  <si>
    <t>https://dpmzos25m8ivg.cloudfront.net/Documentos/631/86244884272/6318624488427208092023131734.jpg</t>
  </si>
  <si>
    <t>https://dpmzos25m8ivg.cloudfront.net/Documentos/631/86248774234/6318624877423406092023145303.pdf</t>
  </si>
  <si>
    <t>https://dpmzos25m8ivg.cloudfront.net/Documentos/631/86253478516/6318625347851613092023175325.pdf</t>
  </si>
  <si>
    <t>https://dpmzos25m8ivg.cloudfront.net/Documentos/631/86260804172/6318626080417209092023054922.pdf</t>
  </si>
  <si>
    <t>https://dpmzos25m8ivg.cloudfront.net/Documentos/631/86264058556/6318626405855608092023191001.pdf</t>
  </si>
  <si>
    <t>https://dpmzos25m8ivg.cloudfront.net/Documentos/631/86275778547/6318627577854705092023162136.jpeg</t>
  </si>
  <si>
    <t>https://dpmzos25m8ivg.cloudfront.net/Documentos/631/86280287220/6318628028722010092023234943.jpg</t>
  </si>
  <si>
    <t>https://dpmzos25m8ivg.cloudfront.net/Documentos/631/86282212120/6318628221212011092023071401.pdf</t>
  </si>
  <si>
    <t>https://dpmzos25m8ivg.cloudfront.net/Documentos/631/86308236586/6318630823658611092023142335.pdf</t>
  </si>
  <si>
    <t>https://dpmzos25m8ivg.cloudfront.net/Documentos/631/86321835595/6318632183559511092023100902.pdf</t>
  </si>
  <si>
    <t>https://dpmzos25m8ivg.cloudfront.net/Documentos/631/86327593291/6318632759329114092023095228.pdf</t>
  </si>
  <si>
    <t>https://dpmzos25m8ivg.cloudfront.net/Documentos/631/86336314588/6318633631458806092023123249.pdf</t>
  </si>
  <si>
    <t>https://dpmzos25m8ivg.cloudfront.net/Documentos/631/86388610528/6318638861052811092023134205.pdf</t>
  </si>
  <si>
    <t>https://dpmzos25m8ivg.cloudfront.net/Documentos/631/86409433034/6318640943303405092023104440.pdf</t>
  </si>
  <si>
    <t>https://dpmzos25m8ivg.cloudfront.net/Documentos/631/86419790000/6318641979000011092023165109.pdf</t>
  </si>
  <si>
    <t>https://dpmzos25m8ivg.cloudfront.net/Documentos/631/86421730507/6318642173050708092023213213.pdf</t>
  </si>
  <si>
    <t>https://dpmzos25m8ivg.cloudfront.net/Documentos/631/86459124574/6318645912457411092023130829.jpeg</t>
  </si>
  <si>
    <t>https://dpmzos25m8ivg.cloudfront.net/Documentos/631/86468206537/6318646820653710092023134939.pdf</t>
  </si>
  <si>
    <t>https://dpmzos25m8ivg.cloudfront.net/Documentos/631/86487450472/6318648745047206092023122846.pdf</t>
  </si>
  <si>
    <t>https://dpmzos25m8ivg.cloudfront.net/Documentos/631/86492616472/6318649261647211092023123143.jpg</t>
  </si>
  <si>
    <t>https://dpmzos25m8ivg.cloudfront.net/Documentos/631/86502414508/6318650241450810092023164103.jpeg</t>
  </si>
  <si>
    <t>https://dpmzos25m8ivg.cloudfront.net/Documentos/631/86516477434/6318651647743406092023074935.jpg</t>
  </si>
  <si>
    <t>https://dpmzos25m8ivg.cloudfront.net/Documentos/631/86535455734/6318653545573411092023140105.jpeg</t>
  </si>
  <si>
    <t>https://dpmzos25m8ivg.cloudfront.net/Documentos/631/86542312544/6318654231254411092023151800.pdf</t>
  </si>
  <si>
    <t>https://dpmzos25m8ivg.cloudfront.net/Documentos/631/86557904515/6318655790451513092023161829.pdf</t>
  </si>
  <si>
    <t>https://dpmzos25m8ivg.cloudfront.net/Documentos/631/86632884334/6318663288433406092023080229.jpeg</t>
  </si>
  <si>
    <t>https://dpmzos25m8ivg.cloudfront.net/Documentos/631/86640828553/6318664082855306092023190039.jpg</t>
  </si>
  <si>
    <t>https://dpmzos25m8ivg.cloudfront.net/Documentos/631/86660047468/6318666004746807092023222004.jpeg</t>
  </si>
  <si>
    <t>https://dpmzos25m8ivg.cloudfront.net/Documentos/631/86841190025/6318684119002511092023151321.pdf</t>
  </si>
  <si>
    <t>https://dpmzos25m8ivg.cloudfront.net/Documentos/631/86848712272/6318684871227205092023222525.pdf</t>
  </si>
  <si>
    <t>https://dpmzos25m8ivg.cloudfront.net/Documentos/631/86896652268/6318689665226805092023113900.pdf</t>
  </si>
  <si>
    <t>https://dpmzos25m8ivg.cloudfront.net/Documentos/631/86957848191/6318695784819106092023113218.pdf</t>
  </si>
  <si>
    <t>https://dpmzos25m8ivg.cloudfront.net/Documentos/631/87172100549/6318717210054905092023201349.jpeg</t>
  </si>
  <si>
    <t>https://dpmzos25m8ivg.cloudfront.net/Documentos/631/87191180153/6318719118015311092023154559.pdf</t>
  </si>
  <si>
    <t>https://dpmzos25m8ivg.cloudfront.net/Documentos/631/87243881068/6318724388106806092023112933.pdf</t>
  </si>
  <si>
    <t>https://dpmzos25m8ivg.cloudfront.net/Documentos/631/87302047715/6318730204771511092023165728.pdf</t>
  </si>
  <si>
    <t>https://dpmzos25m8ivg.cloudfront.net/Documentos/631/87310449991/6318731044999108092023132418.pdf</t>
  </si>
  <si>
    <t>https://dpmzos25m8ivg.cloudfront.net/Documentos/631/87348330215/6318734833021507092023182416.pdf</t>
  </si>
  <si>
    <t>https://dpmzos25m8ivg.cloudfront.net/Documentos/631/87432404100/6318743240410011092023162944.pdf</t>
  </si>
  <si>
    <t>https://dpmzos25m8ivg.cloudfront.net/Documentos/631/87436833200/6318743683320009092023195411.pdf</t>
  </si>
  <si>
    <t>https://dpmzos25m8ivg.cloudfront.net/Documentos/631/87441039215/6318744103921508092023160853.pdf</t>
  </si>
  <si>
    <t>https://dpmzos25m8ivg.cloudfront.net/Documentos/631/87472635553/6318747263555313092023163118.pdf</t>
  </si>
  <si>
    <t>https://dpmzos25m8ivg.cloudfront.net/Documentos/631/87559412572/6318755941257204092023213340.jpg</t>
  </si>
  <si>
    <t>https://dpmzos25m8ivg.cloudfront.net/Documentos/631/87565714968/6318756571496811092023125756.pdf</t>
  </si>
  <si>
    <t>https://dpmzos25m8ivg.cloudfront.net/Documentos/631/87609185515/6318760918551511092023115054.pdf</t>
  </si>
  <si>
    <t>https://dpmzos25m8ivg.cloudfront.net/Documentos/631/87637596249/6318763759624906092023122417.pdf</t>
  </si>
  <si>
    <t>https://dpmzos25m8ivg.cloudfront.net/Documentos/631/87686112268/6318768611226805092023022250.pdf</t>
  </si>
  <si>
    <t>https://dpmzos25m8ivg.cloudfront.net/Documentos/631/87725380400/6318772538040014092023151549.pdf</t>
  </si>
  <si>
    <t>https://dpmzos25m8ivg.cloudfront.net/Documentos/631/87767376168/6318776737616810092023223306.jpg</t>
  </si>
  <si>
    <t>https://dpmzos25m8ivg.cloudfront.net/Documentos/631/87784726104/6318778472610411092023161935.pdf</t>
  </si>
  <si>
    <t>https://dpmzos25m8ivg.cloudfront.net/Documentos/631/87852128149/6318785212814911092023164838.pdf</t>
  </si>
  <si>
    <t>https://dpmzos25m8ivg.cloudfront.net/Documentos/631/87871050478/6318787105047811092023092905.jpg</t>
  </si>
  <si>
    <t>https://dpmzos25m8ivg.cloudfront.net/Documentos/631/87903857487/6318790385748709092023022137.pdf</t>
  </si>
  <si>
    <t>https://dpmzos25m8ivg.cloudfront.net/Documentos/631/87917220982/6318791722098209092023195208.pdf</t>
  </si>
  <si>
    <t>https://dpmzos25m8ivg.cloudfront.net/Documentos/631/87964929100/6318796492910006092023210951.pdf</t>
  </si>
  <si>
    <t>https://dpmzos25m8ivg.cloudfront.net/Documentos/631/88000753120/6318800075312006092023180848.jpg</t>
  </si>
  <si>
    <t>https://dpmzos25m8ivg.cloudfront.net/Documentos/631/88014258487/6318801425848709092023100156.pdf</t>
  </si>
  <si>
    <t>https://dpmzos25m8ivg.cloudfront.net/Documentos/631/88023516515/6318802351651510092023172856.pdf</t>
  </si>
  <si>
    <t>https://dpmzos25m8ivg.cloudfront.net/Documentos/631/88048985268/6318804898526808092023231300.pdf</t>
  </si>
  <si>
    <t>https://dpmzos25m8ivg.cloudfront.net/Documentos/631/88064468949/6318806446894908092023115046.jpg</t>
  </si>
  <si>
    <t>https://dpmzos25m8ivg.cloudfront.net/Documentos/631/88130827115/6318813082711514092023091208.pdf</t>
  </si>
  <si>
    <t>https://dpmzos25m8ivg.cloudfront.net/Documentos/631/88140865320/6318814086532009092023154545.pdf</t>
  </si>
  <si>
    <t>https://dpmzos25m8ivg.cloudfront.net/Documentos/631/88167160610/6318816716061008092023194934.jpg</t>
  </si>
  <si>
    <t>https://dpmzos25m8ivg.cloudfront.net/Documentos/631/88187268700/6318818726870004092023231321.jpg</t>
  </si>
  <si>
    <t>https://dpmzos25m8ivg.cloudfront.net/Documentos/631/88311759391/6318831175939111092023151517.pdf</t>
  </si>
  <si>
    <t>https://dpmzos25m8ivg.cloudfront.net/Documentos/631/88330940144/6318833094014409092023164201.pdf</t>
  </si>
  <si>
    <t>https://dpmzos25m8ivg.cloudfront.net/Documentos/631/88369560415/6318836956041511092023154955.jpg</t>
  </si>
  <si>
    <t>https://dpmzos25m8ivg.cloudfront.net/Documentos/631/88459187268/6318845918726810092023223544.jpg</t>
  </si>
  <si>
    <t>https://dpmzos25m8ivg.cloudfront.net/Documentos/631/88478041249/6318847804124910092023213528.pdf</t>
  </si>
  <si>
    <t>https://dpmzos25m8ivg.cloudfront.net/Documentos/631/88536076615/6318853607661511092023164808.jpg</t>
  </si>
  <si>
    <t>https://dpmzos25m8ivg.cloudfront.net/Documentos/631/88568016200/6318856801620010092023204520.jpg</t>
  </si>
  <si>
    <t>https://dpmzos25m8ivg.cloudfront.net/Documentos/631/88581268315/6318858126831506092023000353.jpeg</t>
  </si>
  <si>
    <t>https://dpmzos25m8ivg.cloudfront.net/Documentos/631/88591387287/6318859138728705092023185011.pdf</t>
  </si>
  <si>
    <t>https://dpmzos25m8ivg.cloudfront.net/Documentos/631/88615049149/6318861504914906092023182700.pdf</t>
  </si>
  <si>
    <t>https://dpmzos25m8ivg.cloudfront.net/Documentos/631/88659330200/6318865933020011092023114624.pdf</t>
  </si>
  <si>
    <t>https://dpmzos25m8ivg.cloudfront.net/Documentos/631/88804810459/6318880481045911092023131300.pdf</t>
  </si>
  <si>
    <t>https://dpmzos25m8ivg.cloudfront.net/Documentos/631/88884384249/6318888438424910092023175331.jpeg</t>
  </si>
  <si>
    <t>https://dpmzos25m8ivg.cloudfront.net/Documentos/631/89255860453/6318925586045311092023153000.jpeg</t>
  </si>
  <si>
    <t>https://dpmzos25m8ivg.cloudfront.net/Documentos/631/89293347687/6318929334768713092023174120.pdf</t>
  </si>
  <si>
    <t>https://dpmzos25m8ivg.cloudfront.net/Documentos/631/89306538200/6318930653820014092023110533.pdf</t>
  </si>
  <si>
    <t>https://dpmzos25m8ivg.cloudfront.net/Documentos/631/89327993500/6318932799350007092023100016.pdf</t>
  </si>
  <si>
    <t>https://dpmzos25m8ivg.cloudfront.net/Documentos/631/89331001568/6318933100156811092023155103.jpg</t>
  </si>
  <si>
    <t>https://dpmzos25m8ivg.cloudfront.net/Documentos/631/89373324187/6318937332418705092023132739.jpg</t>
  </si>
  <si>
    <t>https://dpmzos25m8ivg.cloudfront.net/Documentos/631/89385691287/6318938569128711092023104948.pdf</t>
  </si>
  <si>
    <t>https://dpmzos25m8ivg.cloudfront.net/Documentos/631/89397193368/6318939719336810092023104712.pdf</t>
  </si>
  <si>
    <t>https://dpmzos25m8ivg.cloudfront.net/Documentos/631/89406141272/6318940614127211092023131521.pdf</t>
  </si>
  <si>
    <t>https://dpmzos25m8ivg.cloudfront.net/Documentos/631/89488032200/6318948803220005092023134421.pdf</t>
  </si>
  <si>
    <t>https://dpmzos25m8ivg.cloudfront.net/Documentos/631/89528247253/6318952824725309092023222117.pdf</t>
  </si>
  <si>
    <t>https://dpmzos25m8ivg.cloudfront.net/Documentos/631/89623266120/6318962326612011092023084205.pdf</t>
  </si>
  <si>
    <t>https://dpmzos25m8ivg.cloudfront.net/Documentos/631/89728440200/6318972844020006092023223028.pdf</t>
  </si>
  <si>
    <t>https://dpmzos25m8ivg.cloudfront.net/Documentos/631/89783549200/6318978354920011092023170445.pdf</t>
  </si>
  <si>
    <t>https://dpmzos25m8ivg.cloudfront.net/Documentos/631/89873602534/6318987360253408092023114430.jpg</t>
  </si>
  <si>
    <t>https://dpmzos25m8ivg.cloudfront.net/Documentos/631/89992377704/6318999237770413092023094156.pdf</t>
  </si>
  <si>
    <t>https://dpmzos25m8ivg.cloudfront.net/Documentos/631/90003853187/6319000385318707092023204038.jpg</t>
  </si>
  <si>
    <t>https://dpmzos25m8ivg.cloudfront.net/Documentos/631/90032195249/6319003219524911092023142632.pdf</t>
  </si>
  <si>
    <t>https://dpmzos25m8ivg.cloudfront.net/Documentos/631/90142667153/6319014266715311092023130311.pdf</t>
  </si>
  <si>
    <t>https://dpmzos25m8ivg.cloudfront.net/Documentos/631/90164911120/6319016491112008092023204225.pdf</t>
  </si>
  <si>
    <t>https://dpmzos25m8ivg.cloudfront.net/Documentos/631/90206193068/6319020619306805092023135005.pdf</t>
  </si>
  <si>
    <t>https://dpmzos25m8ivg.cloudfront.net/Documentos/631/90235096253/6319023509625306092023165620.pdf</t>
  </si>
  <si>
    <t>https://dpmzos25m8ivg.cloudfront.net/Documentos/631/90247612553/6319024761255309092023145846.pdf</t>
  </si>
  <si>
    <t>https://dpmzos25m8ivg.cloudfront.net/Documentos/631/90352157291/6319035215729110092023130947.jpg</t>
  </si>
  <si>
    <t>https://dpmzos25m8ivg.cloudfront.net/Documentos/631/90406273553/6319040627355314092023152619.pdf</t>
  </si>
  <si>
    <t>https://dpmzos25m8ivg.cloudfront.net/Documentos/631/90459490249/6319045949024911092023062947.pdf</t>
  </si>
  <si>
    <t>https://dpmzos25m8ivg.cloudfront.net/Documentos/631/90471121134/6319047112113411092023141522.pdf</t>
  </si>
  <si>
    <t>https://dpmzos25m8ivg.cloudfront.net/Documentos/631/90661613100/6319066161310007092023234059.pdf</t>
  </si>
  <si>
    <t>https://dpmzos25m8ivg.cloudfront.net/Documentos/631/90898800544/6319089880054405092023101719.pdf</t>
  </si>
  <si>
    <t>https://dpmzos25m8ivg.cloudfront.net/Documentos/631/90909917191/6319090991719111092023115020.jpg</t>
  </si>
  <si>
    <t>https://dpmzos25m8ivg.cloudfront.net/Documentos/631/90967585520/6319096758552005092023113720.pdf</t>
  </si>
  <si>
    <t>https://dpmzos25m8ivg.cloudfront.net/Documentos/631/91006350144/6319100635014411092023122336.jpg</t>
  </si>
  <si>
    <t>https://dpmzos25m8ivg.cloudfront.net/Documentos/631/91036054934/6319103605493409092023194009.pdf</t>
  </si>
  <si>
    <t>https://dpmzos25m8ivg.cloudfront.net/Documentos/631/91148901191/6319114890119110092023230548.jpg</t>
  </si>
  <si>
    <t>https://dpmzos25m8ivg.cloudfront.net/Documentos/631/91197333215/6319119733321513092023094635.pdf</t>
  </si>
  <si>
    <t>https://dpmzos25m8ivg.cloudfront.net/Documentos/631/91205921168/6319120592116811092023155951.pdf</t>
  </si>
  <si>
    <t>https://dpmzos25m8ivg.cloudfront.net/Documentos/631/91274699568/6319127469956811092023080831.pdf</t>
  </si>
  <si>
    <t>https://dpmzos25m8ivg.cloudfront.net/Documentos/631/91311748415/6319131174841507092023181706.jpg</t>
  </si>
  <si>
    <t>https://dpmzos25m8ivg.cloudfront.net/Documentos/631/91425743587/6319142574358712092023223631.jpeg</t>
  </si>
  <si>
    <t>https://dpmzos25m8ivg.cloudfront.net/Documentos/631/91475376553/6319147537655309092023104010.pdf</t>
  </si>
  <si>
    <t>https://dpmzos25m8ivg.cloudfront.net/Documentos/631/91576040615/6319157604061510092023234012.jpg</t>
  </si>
  <si>
    <t>https://dpmzos25m8ivg.cloudfront.net/Documentos/631/91589878272/6319158987827208092023203003.pdf</t>
  </si>
  <si>
    <t>https://dpmzos25m8ivg.cloudfront.net/Documentos/631/91595673768/6319159567376811092023141838.pdf</t>
  </si>
  <si>
    <t>https://dpmzos25m8ivg.cloudfront.net/Documentos/631/91638836191/6319163883619106092023150515.pdf</t>
  </si>
  <si>
    <t>https://dpmzos25m8ivg.cloudfront.net/Documentos/631/91692954334/6319169295433411092023152932.jpg</t>
  </si>
  <si>
    <t>https://dpmzos25m8ivg.cloudfront.net/Documentos/631/91747856215/6319174785621511092023145030.pdf</t>
  </si>
  <si>
    <t>https://dpmzos25m8ivg.cloudfront.net/Documentos/631/91810213215/6319181021321511092023155724.pdf</t>
  </si>
  <si>
    <t>https://dpmzos25m8ivg.cloudfront.net/Documentos/631/91903572215/6319190357221505092023085917.pdf</t>
  </si>
  <si>
    <t>https://dpmzos25m8ivg.cloudfront.net/Documentos/631/91922046515/6319192204651508092023194219.pdf</t>
  </si>
  <si>
    <t>https://dpmzos25m8ivg.cloudfront.net/Documentos/631/91959926420/6319195992642011092023163250.pdf</t>
  </si>
  <si>
    <t>https://dpmzos25m8ivg.cloudfront.net/Documentos/631/91961629534/6319196162953411092023141921.pdf</t>
  </si>
  <si>
    <t>https://dpmzos25m8ivg.cloudfront.net/Documentos/631/92000746268/6319200074626811092023101716.pdf</t>
  </si>
  <si>
    <t>https://dpmzos25m8ivg.cloudfront.net/Documentos/631/92058140672/6319205814067211092023105824.pdf</t>
  </si>
  <si>
    <t>https://dpmzos25m8ivg.cloudfront.net/Documentos/631/92060650500/6319206065050011092023104336.pdf</t>
  </si>
  <si>
    <t>https://dpmzos25m8ivg.cloudfront.net/Documentos/631/92109780568/6319210978056811092023161542.jpg</t>
  </si>
  <si>
    <t>https://dpmzos25m8ivg.cloudfront.net/Documentos/631/92297706553/6319229770655311092023123313.pdf</t>
  </si>
  <si>
    <t>https://dpmzos25m8ivg.cloudfront.net/Documentos/631/92305113587/6319230511358711092023140405.pdf</t>
  </si>
  <si>
    <t>https://dpmzos25m8ivg.cloudfront.net/Documentos/631/92311890506/6319231189050606092023175134.pdf</t>
  </si>
  <si>
    <t>https://dpmzos25m8ivg.cloudfront.net/Documentos/631/92332790578/6319233279057809092023111258.jpg</t>
  </si>
  <si>
    <t>https://dpmzos25m8ivg.cloudfront.net/Documentos/631/92345255900/6319234525590011092023113910.pdf</t>
  </si>
  <si>
    <t>https://dpmzos25m8ivg.cloudfront.net/Documentos/631/92350550249/6319235055024911092023102100.pdf</t>
  </si>
  <si>
    <t>https://dpmzos25m8ivg.cloudfront.net/Documentos/631/92379052204/6319237905220411092023114725.jpg</t>
  </si>
  <si>
    <t>https://dpmzos25m8ivg.cloudfront.net/Documentos/631/92379095191/6319237909519113092023204419.pdf</t>
  </si>
  <si>
    <t>https://dpmzos25m8ivg.cloudfront.net/Documentos/631/92398766004/6319239876600404092023213720.jpg</t>
  </si>
  <si>
    <t>https://dpmzos25m8ivg.cloudfront.net/Documentos/631/92416675400/6319241667540005092023220808.pdf</t>
  </si>
  <si>
    <t>https://dpmzos25m8ivg.cloudfront.net/Documentos/631/92485820600/6319248582060011092023152104.pdf</t>
  </si>
  <si>
    <t>https://dpmzos25m8ivg.cloudfront.net/Documentos/631/92524877434/6319252487743411092023092449.pdf</t>
  </si>
  <si>
    <t>https://dpmzos25m8ivg.cloudfront.net/Documentos/631/92538258553/6319253825855307092023103253.pdf</t>
  </si>
  <si>
    <t>https://dpmzos25m8ivg.cloudfront.net/Documentos/631/92558143387/6319255814338707092023221406.pdf</t>
  </si>
  <si>
    <t>https://dpmzos25m8ivg.cloudfront.net/Documentos/631/92595901591/6319259590159114092023151405.jpeg</t>
  </si>
  <si>
    <t>https://dpmzos25m8ivg.cloudfront.net/Documentos/631/92598463234/6319259846323411092023154109.pdf</t>
  </si>
  <si>
    <t>https://dpmzos25m8ivg.cloudfront.net/Documentos/631/92616747987/6319261674798711092023005937.pdf</t>
  </si>
  <si>
    <t>https://dpmzos25m8ivg.cloudfront.net/Documentos/631/92742831649/6319274283164911092023120953.pdf</t>
  </si>
  <si>
    <t>https://dpmzos25m8ivg.cloudfront.net/Documentos/631/92752020104/6319275202010406092023114750.pdf</t>
  </si>
  <si>
    <t>https://dpmzos25m8ivg.cloudfront.net/Documentos/631/92828400930/6319282840093011092023095100.jpg</t>
  </si>
  <si>
    <t>https://dpmzos25m8ivg.cloudfront.net/Documentos/631/92871534268/6319287153426811092023002432.jpg</t>
  </si>
  <si>
    <t>https://dpmzos25m8ivg.cloudfront.net/Documentos/631/92872751491/6319287275149111092023142102.pdf</t>
  </si>
  <si>
    <t>https://dpmzos25m8ivg.cloudfront.net/Documentos/631/92880029520/6319288002952010092023171630.pdf</t>
  </si>
  <si>
    <t>https://dpmzos25m8ivg.cloudfront.net/Documentos/631/92915116334/6319291511633406092023165441.pdf</t>
  </si>
  <si>
    <t>https://dpmzos25m8ivg.cloudfront.net/Documentos/631/92922481700/6319292248170011092023153642.jpg</t>
  </si>
  <si>
    <t>https://dpmzos25m8ivg.cloudfront.net/Documentos/631/93066791734/6319306679173405092023222946.pdf</t>
  </si>
  <si>
    <t>https://dpmzos25m8ivg.cloudfront.net/Documentos/631/93094566634/6319309456663411092023150736.pdf</t>
  </si>
  <si>
    <t>https://dpmzos25m8ivg.cloudfront.net/Documentos/631/93121644220/6319312164422005092023142525.pdf</t>
  </si>
  <si>
    <t>https://dpmzos25m8ivg.cloudfront.net/Documentos/631/93166664149/6319316666414911092023104907.pdf</t>
  </si>
  <si>
    <t>https://dpmzos25m8ivg.cloudfront.net/Documentos/631/93221061153/6319322106115308092023214759.pdf</t>
  </si>
  <si>
    <t>https://dpmzos25m8ivg.cloudfront.net/Documentos/631/93269129149/6319326912914905092023164502.pdf</t>
  </si>
  <si>
    <t>https://dpmzos25m8ivg.cloudfront.net/Documentos/631/93285744472/6319328574447207092023181323.pdf</t>
  </si>
  <si>
    <t>https://dpmzos25m8ivg.cloudfront.net/Documentos/631/93316925287/6319331692528711092023124924.pdf</t>
  </si>
  <si>
    <t>https://dpmzos25m8ivg.cloudfront.net/Documentos/631/93361432200/6319336143220005092023091412.pdf</t>
  </si>
  <si>
    <t>https://dpmzos25m8ivg.cloudfront.net/Documentos/631/93541120720/6319354112072006092023210647.pdf</t>
  </si>
  <si>
    <t>https://dpmzos25m8ivg.cloudfront.net/Documentos/631/93575980306/6319357598030609092023142308.jpg</t>
  </si>
  <si>
    <t>https://dpmzos25m8ivg.cloudfront.net/Documentos/631/93611897353/6319361189735311092023123621.pdf</t>
  </si>
  <si>
    <t>https://dpmzos25m8ivg.cloudfront.net/Documentos/631/93616368200/6319361636820011092023044538.pdf</t>
  </si>
  <si>
    <t>https://dpmzos25m8ivg.cloudfront.net/Documentos/631/93662068087/6319366206808710092023135022.pdf</t>
  </si>
  <si>
    <t>https://dpmzos25m8ivg.cloudfront.net/Documentos/631/93667337272/6319366733727211092023151344.pdf</t>
  </si>
  <si>
    <t>https://dpmzos25m8ivg.cloudfront.net/Documentos/631/93675127168/6319367512716811092023154117.jpg</t>
  </si>
  <si>
    <t>https://dpmzos25m8ivg.cloudfront.net/Documentos/631/93736320000/6319373632000011092023165434.pdf</t>
  </si>
  <si>
    <t>https://dpmzos25m8ivg.cloudfront.net/Documentos/631/93785976704/6319378597670408092023093642.pdf</t>
  </si>
  <si>
    <t>https://dpmzos25m8ivg.cloudfront.net/Documentos/631/93795637368/6319379563736811092023145515.pdf</t>
  </si>
  <si>
    <t>https://dpmzos25m8ivg.cloudfront.net/Documentos/631/93904703587/6319390470358711092023155815.pdf</t>
  </si>
  <si>
    <t>https://dpmzos25m8ivg.cloudfront.net/Documentos/631/93940114200/6319394011420011092023103816.pdf</t>
  </si>
  <si>
    <t>https://dpmzos25m8ivg.cloudfront.net/Documentos/631/93971370691/6319397137069111092023150137.pdf</t>
  </si>
  <si>
    <t>https://dpmzos25m8ivg.cloudfront.net/Documentos/631/93981295587/6319398129558712092023194653.pdf</t>
  </si>
  <si>
    <t>https://dpmzos25m8ivg.cloudfront.net/Documentos/631/94106177234/6319410617723409092023194421.pdf</t>
  </si>
  <si>
    <t>https://dpmzos25m8ivg.cloudfront.net/Documentos/631/94155372568/6319415537256808092023132433.pdf</t>
  </si>
  <si>
    <t>https://dpmzos25m8ivg.cloudfront.net/Documentos/631/94212449234/6319421244923411092023162300.pdf</t>
  </si>
  <si>
    <t>https://dpmzos25m8ivg.cloudfront.net/Documentos/631/94227438268/6319422743826810092023163505.pdf</t>
  </si>
  <si>
    <t>https://dpmzos25m8ivg.cloudfront.net/Documentos/631/94317976587/6319431797658710092023224936.pdf</t>
  </si>
  <si>
    <t>https://dpmzos25m8ivg.cloudfront.net/Documentos/631/94374635572/6319437463557205092023102958.pdf</t>
  </si>
  <si>
    <t>https://dpmzos25m8ivg.cloudfront.net/Documentos/631/94375607220/6319437560722005092023132229.pdf</t>
  </si>
  <si>
    <t>https://dpmzos25m8ivg.cloudfront.net/Documentos/631/94428140100/6319442814010006092023124339.jpeg</t>
  </si>
  <si>
    <t>https://dpmzos25m8ivg.cloudfront.net/Documentos/631/94454280568/6319445428056809092023102816.jpg</t>
  </si>
  <si>
    <t>https://dpmzos25m8ivg.cloudfront.net/Documentos/631/94525994215/6319452599421511092023115713.pdf</t>
  </si>
  <si>
    <t>https://dpmzos25m8ivg.cloudfront.net/Documentos/631/94610053268/6319461005326806092023093821.pdf</t>
  </si>
  <si>
    <t>https://dpmzos25m8ivg.cloudfront.net/Documentos/631/94666865420/6319466686542010092023152513.pdf</t>
  </si>
  <si>
    <t>https://dpmzos25m8ivg.cloudfront.net/Documentos/631/94719063691/6319471906369111092023115808.pdf</t>
  </si>
  <si>
    <t>https://dpmzos25m8ivg.cloudfront.net/Documentos/631/94750653268/6319475065326811092023161913.pdf</t>
  </si>
  <si>
    <t>https://dpmzos25m8ivg.cloudfront.net/Documentos/631/94776890259/6319477689025911092023085920.pdf</t>
  </si>
  <si>
    <t>https://dpmzos25m8ivg.cloudfront.net/Documentos/631/94840040320/6319484004032011092023114821.jpeg</t>
  </si>
  <si>
    <t>https://dpmzos25m8ivg.cloudfront.net/Documentos/631/94844674587/6319484467458708092023165407.jpg</t>
  </si>
  <si>
    <t>https://dpmzos25m8ivg.cloudfront.net/Documentos/631/94917221587/6319491722158705092023141609.jpeg</t>
  </si>
  <si>
    <t>https://dpmzos25m8ivg.cloudfront.net/Documentos/631/94929874491/6319492987449105092023115344.jpg</t>
  </si>
  <si>
    <t>https://dpmzos25m8ivg.cloudfront.net/Documentos/631/95022600315/6319502260031510092023153745.pdf</t>
  </si>
  <si>
    <t>https://dpmzos25m8ivg.cloudfront.net/Documentos/631/95034536234/6319503453623412092023185354.pdf</t>
  </si>
  <si>
    <t>https://dpmzos25m8ivg.cloudfront.net/Documentos/631/95048650034/6319504865003405092023095631.pdf</t>
  </si>
  <si>
    <t>https://dpmzos25m8ivg.cloudfront.net/Documentos/631/95080155949/6319508015594911092023144414.pdf</t>
  </si>
  <si>
    <t>https://dpmzos25m8ivg.cloudfront.net/Documentos/631/95091580549/6319509158054911092023155007.pdf</t>
  </si>
  <si>
    <t>https://dpmzos25m8ivg.cloudfront.net/Documentos/631/95154116615/6319515411661511092023113211.jpeg</t>
  </si>
  <si>
    <t>https://dpmzos25m8ivg.cloudfront.net/Documentos/631/95168087191/6319516808719110092023230054.jpg</t>
  </si>
  <si>
    <t>https://dpmzos25m8ivg.cloudfront.net/Documentos/631/95176888068/6319517688806812092023171223.pdf</t>
  </si>
  <si>
    <t>https://dpmzos25m8ivg.cloudfront.net/Documentos/631/95179194768/6319517919476811092023174119.jpg</t>
  </si>
  <si>
    <t>https://dpmzos25m8ivg.cloudfront.net/Documentos/631/95180893291/6319518089329105092023173439.jpg</t>
  </si>
  <si>
    <t>https://dpmzos25m8ivg.cloudfront.net/Documentos/631/95193790100/6319519379010011092023163052.pdf</t>
  </si>
  <si>
    <t>https://dpmzos25m8ivg.cloudfront.net/Documentos/631/95195602204/6319519560220407092023203551.jpg</t>
  </si>
  <si>
    <t>https://dpmzos25m8ivg.cloudfront.net/Documentos/631/95266399287/6319526639928712092023222017.pdf</t>
  </si>
  <si>
    <t>https://dpmzos25m8ivg.cloudfront.net/Documentos/631/95272585372/6319527258537211092023132339.jpg</t>
  </si>
  <si>
    <t>https://dpmzos25m8ivg.cloudfront.net/Documentos/631/95284761553/6319528476155306092023202801.pdf</t>
  </si>
  <si>
    <t>https://dpmzos25m8ivg.cloudfront.net/Documentos/631/95318038204/6319531803820405092023160047.pdf</t>
  </si>
  <si>
    <t>https://dpmzos25m8ivg.cloudfront.net/Documentos/631/95345817200/6319534581720014092023115037.jpg</t>
  </si>
  <si>
    <t>https://dpmzos25m8ivg.cloudfront.net/Documentos/631/95360654520/6319536065452006092023222646.jpg</t>
  </si>
  <si>
    <t>https://dpmzos25m8ivg.cloudfront.net/Documentos/631/95365036620/6319536503662011092023160935.pdf</t>
  </si>
  <si>
    <t>https://dpmzos25m8ivg.cloudfront.net/Documentos/631/95406441272/6319540644127208092023221321.pdf</t>
  </si>
  <si>
    <t>https://dpmzos25m8ivg.cloudfront.net/Documentos/631/95431527568/6319543152756811092023113843.pdf</t>
  </si>
  <si>
    <t>https://dpmzos25m8ivg.cloudfront.net/Documentos/631/95442596787/6319544259678711092023120744.pdf</t>
  </si>
  <si>
    <t>https://dpmzos25m8ivg.cloudfront.net/Documentos/631/95451145091/6319545114509111092023112008.jpg</t>
  </si>
  <si>
    <t>https://dpmzos25m8ivg.cloudfront.net/Documentos/631/95502211487/6319550221148708092023165503.pdf</t>
  </si>
  <si>
    <t>https://dpmzos25m8ivg.cloudfront.net/Documentos/631/95520309191/6319552030919111092023145814.pdf</t>
  </si>
  <si>
    <t>https://dpmzos25m8ivg.cloudfront.net/Documentos/631/95553002320/6319555300232011092023104207.pdf</t>
  </si>
  <si>
    <t>https://dpmzos25m8ivg.cloudfront.net/Documentos/631/95586229153/6319558622915311092023143044.pdf</t>
  </si>
  <si>
    <t>https://dpmzos25m8ivg.cloudfront.net/Documentos/631/95627294000/6319562729400010092023213142.pdf</t>
  </si>
  <si>
    <t>https://dpmzos25m8ivg.cloudfront.net/Documentos/631/95655824000/6319565582400005092023201115.pdf</t>
  </si>
  <si>
    <t>https://dpmzos25m8ivg.cloudfront.net/Documentos/631/95699392068/6319569939206811092023135416.jpeg</t>
  </si>
  <si>
    <t>https://dpmzos25m8ivg.cloudfront.net/Documentos/631/95712100304/6319571210030411092023165646.pdf</t>
  </si>
  <si>
    <t>https://dpmzos25m8ivg.cloudfront.net/Documentos/631/95724885204/6319572488520411092023153745.pdf</t>
  </si>
  <si>
    <t>https://dpmzos25m8ivg.cloudfront.net/Documentos/631/95735682172/6319573568217207092023004409.pdf</t>
  </si>
  <si>
    <t>https://dpmzos25m8ivg.cloudfront.net/Documentos/631/95740104068/6319574010406811092023125051.jpg</t>
  </si>
  <si>
    <t>https://dpmzos25m8ivg.cloudfront.net/Documentos/631/95772863134/6319577286313405092023164116.jpg</t>
  </si>
  <si>
    <t>https://dpmzos25m8ivg.cloudfront.net/Documentos/631/95791175434/6319579117543406092023094629.jpg</t>
  </si>
  <si>
    <t>https://dpmzos25m8ivg.cloudfront.net/Documentos/631/95806466191/6319580646619111092023123553.pdf</t>
  </si>
  <si>
    <t>https://dpmzos25m8ivg.cloudfront.net/Documentos/631/95874593268/6319587459326810092023001522.jpg</t>
  </si>
  <si>
    <t>https://dpmzos25m8ivg.cloudfront.net/Documentos/631/95877258591/6319587725859107092023222417.pdf</t>
  </si>
  <si>
    <t>https://dpmzos25m8ivg.cloudfront.net/Documentos/631/95922784587/6319592278458707092023222110.jpg</t>
  </si>
  <si>
    <t>https://dpmzos25m8ivg.cloudfront.net/Documentos/631/95939776604/6319593977660414092023163718.pdf</t>
  </si>
  <si>
    <t>https://dpmzos25m8ivg.cloudfront.net/Documentos/631/95950800125/6319595080012511092023095654.pdf</t>
  </si>
  <si>
    <t>https://dpmzos25m8ivg.cloudfront.net/Documentos/631/95967672168/6319596767216805092023205346.pdf</t>
  </si>
  <si>
    <t>https://dpmzos25m8ivg.cloudfront.net/Documentos/631/95984801515/6319598480151508092023120233.pdf</t>
  </si>
  <si>
    <t>https://dpmzos25m8ivg.cloudfront.net/Documentos/631/96000309287/6319600030928706092023135648.jpeg</t>
  </si>
  <si>
    <t>https://dpmzos25m8ivg.cloudfront.net/Documentos/631/96058030110/6319605803011014092023120341.jpeg</t>
  </si>
  <si>
    <t>https://dpmzos25m8ivg.cloudfront.net/Documentos/631/96154500572/6319615450057208092023190338.jpeg</t>
  </si>
  <si>
    <t>https://dpmzos25m8ivg.cloudfront.net/Documentos/631/96155493200/6319615549320011092023160343.pdf</t>
  </si>
  <si>
    <t>https://dpmzos25m8ivg.cloudfront.net/Documentos/631/96230541300/6319623054130010092023201800.pdf</t>
  </si>
  <si>
    <t>https://dpmzos25m8ivg.cloudfront.net/Documentos/631/96245018153/6319624501815311092023124639.pdf</t>
  </si>
  <si>
    <t>https://dpmzos25m8ivg.cloudfront.net/Documentos/631/96259329504/6319625932950407092023162049.jpeg</t>
  </si>
  <si>
    <t>https://dpmzos25m8ivg.cloudfront.net/Documentos/631/96266708353/6319626670835305092023104503.pdf</t>
  </si>
  <si>
    <t>https://dpmzos25m8ivg.cloudfront.net/Documentos/631/96278935953/6319627893595306092023214158.pdf</t>
  </si>
  <si>
    <t>https://dpmzos25m8ivg.cloudfront.net/Documentos/631/96525258120/6319652525812010092023211803.jpg</t>
  </si>
  <si>
    <t>https://dpmzos25m8ivg.cloudfront.net/Documentos/631/96555246049/6319655524604911092023111713.pdf</t>
  </si>
  <si>
    <t>https://dpmzos25m8ivg.cloudfront.net/Documentos/631/96568526134/6319656852613405092023164713.jpeg</t>
  </si>
  <si>
    <t>https://dpmzos25m8ivg.cloudfront.net/Documentos/631/96644460178/6319664446017807092023202610.jpg</t>
  </si>
  <si>
    <t>https://dpmzos25m8ivg.cloudfront.net/Documentos/631/96807865520/6319680786552005092023095059.jpg</t>
  </si>
  <si>
    <t>https://dpmzos25m8ivg.cloudfront.net/Documentos/631/96890142268/6319689014226808092023230152.pdf</t>
  </si>
  <si>
    <t>https://dpmzos25m8ivg.cloudfront.net/Documentos/631/96898739115/6319689873911511092023135727.pdf</t>
  </si>
  <si>
    <t>https://dpmzos25m8ivg.cloudfront.net/Documentos/631/96929545287/6319692954528714092023132703.pdf</t>
  </si>
  <si>
    <t>https://dpmzos25m8ivg.cloudfront.net/Documentos/631/96937920253/6319693792025312092023174208.jpg</t>
  </si>
  <si>
    <t>https://dpmzos25m8ivg.cloudfront.net/Documentos/631/97020672353/6319702067235306092023180247.pdf</t>
  </si>
  <si>
    <t>https://dpmzos25m8ivg.cloudfront.net/Documentos/631/97024198249/6319702419824910092023190918.pdf</t>
  </si>
  <si>
    <t>https://dpmzos25m8ivg.cloudfront.net/Documentos/631/97046183368/6319704618336811092023143951.pdf</t>
  </si>
  <si>
    <t>https://dpmzos25m8ivg.cloudfront.net/Documentos/631/97047929304/6319704792930408092023153530.jpg</t>
  </si>
  <si>
    <t>https://dpmzos25m8ivg.cloudfront.net/Documentos/631/97052647591/6319705264759106092023170511.pdf</t>
  </si>
  <si>
    <t>https://dpmzos25m8ivg.cloudfront.net/Documentos/631/97153826220/6319715382622012092023173101.pdf</t>
  </si>
  <si>
    <t>https://dpmzos25m8ivg.cloudfront.net/Documentos/631/97158011453/6319715801145310092023213456.jpg</t>
  </si>
  <si>
    <t>https://dpmzos25m8ivg.cloudfront.net/Documentos/631/97240087204/6319724008720410092023192635.jpg</t>
  </si>
  <si>
    <t>https://dpmzos25m8ivg.cloudfront.net/Documentos/631/97246620206/6319724662020614092023160431.jpeg</t>
  </si>
  <si>
    <t>https://dpmzos25m8ivg.cloudfront.net/Documentos/631/97280860400/6319728086040013092023195107.jpg</t>
  </si>
  <si>
    <t>https://dpmzos25m8ivg.cloudfront.net/Documentos/631/97337234287/6319733723428711092023160827.pdf</t>
  </si>
  <si>
    <t>https://dpmzos25m8ivg.cloudfront.net/Documentos/631/97352144072/6319735214407205092023144613.pdf</t>
  </si>
  <si>
    <t>https://dpmzos25m8ivg.cloudfront.net/Documentos/631/97411205320/6319741120532011092023135328.pdf</t>
  </si>
  <si>
    <t>https://dpmzos25m8ivg.cloudfront.net/Documentos/631/97421081020/6319742108102005092023114855.pdf</t>
  </si>
  <si>
    <t>https://dpmzos25m8ivg.cloudfront.net/Documentos/631/97423386049/6319742338604905092023170137.pdf</t>
  </si>
  <si>
    <t>https://dpmzos25m8ivg.cloudfront.net/Documentos/631/97452300149/6319745230014905092023154345.pdf</t>
  </si>
  <si>
    <t>https://dpmzos25m8ivg.cloudfront.net/Documentos/631/97530255568/6319753025556808092023101919.jpg</t>
  </si>
  <si>
    <t>https://dpmzos25m8ivg.cloudfront.net/Documentos/631/97532878449/6319753287844911092023124913.jpg</t>
  </si>
  <si>
    <t>https://dpmzos25m8ivg.cloudfront.net/Documentos/631/97606510172/6319760651017211092023164511.pdf</t>
  </si>
  <si>
    <t>https://dpmzos25m8ivg.cloudfront.net/Documentos/631/97680745234/6319768074523405092023114111.pdf</t>
  </si>
  <si>
    <t>https://dpmzos25m8ivg.cloudfront.net/Documentos/631/97708984300/6319770898430009092023101007.pdf</t>
  </si>
  <si>
    <t>https://dpmzos25m8ivg.cloudfront.net/Documentos/631/97739162272/6319773916227211092023133230.pdf</t>
  </si>
  <si>
    <t>https://dpmzos25m8ivg.cloudfront.net/Documentos/631/97778893215/6319777889321511092023152102.jpeg</t>
  </si>
  <si>
    <t>https://dpmzos25m8ivg.cloudfront.net/Documentos/631/97792268004/6319779226800414092023172124.jpeg</t>
  </si>
  <si>
    <t>https://dpmzos25m8ivg.cloudfront.net/Documentos/631/97810746049/6319781074604911092023164136.pdf</t>
  </si>
  <si>
    <t>https://dpmzos25m8ivg.cloudfront.net/Documentos/631/97880116249/6319788011624911092023140220.pdf</t>
  </si>
  <si>
    <t>https://dpmzos25m8ivg.cloudfront.net/Documentos/631/97991031187/6319799103118705092023214639.pdf</t>
  </si>
  <si>
    <t>https://dpmzos25m8ivg.cloudfront.net/Documentos/631/98012401568/6319801240156807092023130641.jpg</t>
  </si>
  <si>
    <t>https://dpmzos25m8ivg.cloudfront.net/Documentos/631/98039237572/6319803923757207092023233958.pdf</t>
  </si>
  <si>
    <t>https://dpmzos25m8ivg.cloudfront.net/Documentos/631/98086731120/6319808673112011092023141949.pdf</t>
  </si>
  <si>
    <t>https://dpmzos25m8ivg.cloudfront.net/Documentos/631/98148192472/6319814819247209092023143425.pdf</t>
  </si>
  <si>
    <t>https://dpmzos25m8ivg.cloudfront.net/Documentos/631/98219910259/6319821991025905092023093647.jpg</t>
  </si>
  <si>
    <t>https://dpmzos25m8ivg.cloudfront.net/Documentos/631/98221892904/6319822189290405092023191054.pdf</t>
  </si>
  <si>
    <t>https://dpmzos25m8ivg.cloudfront.net/Documentos/631/98284584204/6319828458420405092023181129.pdf</t>
  </si>
  <si>
    <t>https://dpmzos25m8ivg.cloudfront.net/Documentos/631/98357441572/6319835744157210092023214846.pdf</t>
  </si>
  <si>
    <t>https://dpmzos25m8ivg.cloudfront.net/Documentos/631/98365045168/6319836504516806092023215937.pdf</t>
  </si>
  <si>
    <t>https://dpmzos25m8ivg.cloudfront.net/Documentos/631/98366513149/6319836651314910092023230138.pdf</t>
  </si>
  <si>
    <t>https://dpmzos25m8ivg.cloudfront.net/Documentos/631/98465350230/6319846535023010092023215438.pdf</t>
  </si>
  <si>
    <t>https://dpmzos25m8ivg.cloudfront.net/Documentos/631/98479890100/6319847989010007092023130940.pdf</t>
  </si>
  <si>
    <t>https://dpmzos25m8ivg.cloudfront.net/Documentos/631/98493345334/6319849334533411092023161501.jpg</t>
  </si>
  <si>
    <t>https://dpmzos25m8ivg.cloudfront.net/Documentos/631/98615688320/6319861568832013092023193228.jpg</t>
  </si>
  <si>
    <t>https://dpmzos25m8ivg.cloudfront.net/Documentos/631/98619640453/6319861964045310092023152315.pdf</t>
  </si>
  <si>
    <t>https://dpmzos25m8ivg.cloudfront.net/Documentos/631/98628089420/6319862808942005092023150044.pdf</t>
  </si>
  <si>
    <t>https://dpmzos25m8ivg.cloudfront.net/Documentos/631/98644955187/6319864495518714092023150619.pdf</t>
  </si>
  <si>
    <t>https://dpmzos25m8ivg.cloudfront.net/Documentos/631/98668650297/6319866865029711092023121253.jpeg</t>
  </si>
  <si>
    <t>https://dpmzos25m8ivg.cloudfront.net/Documentos/631/98730843120/6319873084312011092023155734.jpg</t>
  </si>
  <si>
    <t>https://dpmzos25m8ivg.cloudfront.net/Documentos/631/98756842104/6319875684210406092023110730.pdf</t>
  </si>
  <si>
    <t>https://dpmzos25m8ivg.cloudfront.net/Documentos/631/98783980997/6319878398099705092023194048.pdf</t>
  </si>
  <si>
    <t>https://dpmzos25m8ivg.cloudfront.net/Documentos/631/98811410282/6319881141028207092023094029.pdf</t>
  </si>
  <si>
    <t>https://dpmzos25m8ivg.cloudfront.net/Documentos/631/98815784500/6319881578450005092023141205.jpg</t>
  </si>
  <si>
    <t>https://dpmzos25m8ivg.cloudfront.net/Documentos/631/98855450263/6319885545026309092023215809.pdf</t>
  </si>
  <si>
    <t>https://dpmzos25m8ivg.cloudfront.net/Documentos/631/98884476291/6319888447629109092023202153.pdf</t>
  </si>
  <si>
    <t>https://dpmzos25m8ivg.cloudfront.net/Documentos/631/98895761200/6319889576120008092023220926.jpeg</t>
  </si>
  <si>
    <t>https://dpmzos25m8ivg.cloudfront.net/Documentos/631/98932004153/6319893200415311092023155047.pdf</t>
  </si>
  <si>
    <t>https://dpmzos25m8ivg.cloudfront.net/Documentos/631/98932225249/6319893222524907092023140822.jpeg</t>
  </si>
  <si>
    <t>https://dpmzos25m8ivg.cloudfront.net/Documentos/631/98989642191/6319898964219111092023111305.pdf</t>
  </si>
  <si>
    <t>https://dpmzos25m8ivg.cloudfront.net/Documentos/631/99010917720/6319901091772011092023100225.pdf</t>
  </si>
  <si>
    <t>https://dpmzos25m8ivg.cloudfront.net/Documentos/631/99063026234/6319906302623409092023161754.pdf</t>
  </si>
  <si>
    <t>https://dpmzos25m8ivg.cloudfront.net/Documentos/631/99063913320/6319906391332011092023020226.jpeg</t>
  </si>
  <si>
    <t>https://dpmzos25m8ivg.cloudfront.net/Documentos/631/99097613353/6319909761335307092023231857.pdf</t>
  </si>
  <si>
    <t>https://dpmzos25m8ivg.cloudfront.net/Documentos/631/99254247804/6319925424780408092023110956.jpeg</t>
  </si>
  <si>
    <t>https://dpmzos25m8ivg.cloudfront.net/Documentos/631/99303760468/6319930376046809092023233834.pdf</t>
  </si>
  <si>
    <t>https://dpmzos25m8ivg.cloudfront.net/Documentos/631/99323397687/6319932339768708092023144457.jpg</t>
  </si>
  <si>
    <t>https://dpmzos25m8ivg.cloudfront.net/Documentos/631/99329751334/6319932975133408092023173258.pdf</t>
  </si>
  <si>
    <t>https://dpmzos25m8ivg.cloudfront.net/Documentos/631/99335840300/6319933584030011092023091219.pdf</t>
  </si>
  <si>
    <t>https://dpmzos25m8ivg.cloudfront.net/Documentos/631/99441810215/6319944181021514092023022040.pdf</t>
  </si>
  <si>
    <t>https://dpmzos25m8ivg.cloudfront.net/Documentos/631/99445212053/6319944521205313092023141214.pdf</t>
  </si>
  <si>
    <t>https://dpmzos25m8ivg.cloudfront.net/Documentos/631/99458365287/6319945836528714092023164233.pdf</t>
  </si>
  <si>
    <t>https://dpmzos25m8ivg.cloudfront.net/Documentos/631/99460734200/6319946073420006092023194503.pdf</t>
  </si>
  <si>
    <t>https://dpmzos25m8ivg.cloudfront.net/Documentos/631/99503654572/6319950365457213092023090413.jpeg</t>
  </si>
  <si>
    <t>https://dpmzos25m8ivg.cloudfront.net/Documentos/631/99528134300/6319952813430008092023165653.pdf</t>
  </si>
  <si>
    <t>https://dpmzos25m8ivg.cloudfront.net/Documentos/631/99565021700/6319956502170011092023151435.pdf</t>
  </si>
  <si>
    <t>https://dpmzos25m8ivg.cloudfront.net/Documentos/631/99567547572/6319956754757205092023180910.pdf</t>
  </si>
  <si>
    <t>https://dpmzos25m8ivg.cloudfront.net/Documentos/631/99695529100/6319969552910011092023152640.pdf</t>
  </si>
  <si>
    <t>https://dpmzos25m8ivg.cloudfront.net/Documentos/631/99696452500/6319969645250005092023131727.pdf</t>
  </si>
  <si>
    <t>https://dpmzos25m8ivg.cloudfront.net/Documentos/631/99730014272/6319973001427205092023092708.pdf</t>
  </si>
  <si>
    <t>https://dpmzos25m8ivg.cloudfront.net/Documentos/631/99763117020/6319976311702005092023140205.pdf</t>
  </si>
  <si>
    <t>https://dpmzos25m8ivg.cloudfront.net/Documentos/631/99765578091/6319976557809114092023093144.pdf</t>
  </si>
  <si>
    <t>https://dpmzos25m8ivg.cloudfront.net/Documentos/631/99856905400/6319985690540011092023151537.jpg</t>
  </si>
  <si>
    <t>https://dpmzos25m8ivg.cloudfront.net/Documentos/631/99941708134/6319994170813411092023164140.pdf</t>
  </si>
  <si>
    <t>https://dpmzos25m8ivg.cloudfront.net/Documentos/631/99990555320/6319999055532006092023173910.jpg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</si>
</sst>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1" xfId="1" applyFill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4" fillId="0" borderId="0" xfId="0" applyFont="1"/>
    <xf numFmtId="0" fontId="0" fillId="3" borderId="1" xfId="0" applyFill="1" applyBorder="1" applyAlignment="1">
      <alignment horizontal="left" vertical="center"/>
    </xf>
    <xf numFmtId="0" fontId="3" fillId="3" borderId="1" xfId="1" applyFill="1" applyBorder="1" applyAlignment="1">
      <alignment horizontal="left" vertical="center"/>
    </xf>
    <xf numFmtId="0" fontId="3" fillId="4" borderId="1" xfId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5" fillId="0" borderId="0" xfId="0" applyFont="1"/>
    <xf numFmtId="0" fontId="4" fillId="4" borderId="1" xfId="0" applyFont="1" applyFill="1" applyBorder="1"/>
    <xf numFmtId="0" fontId="6" fillId="4" borderId="1" xfId="1" applyFont="1" applyFill="1" applyBorder="1" applyAlignment="1">
      <alignment horizontal="left" vertical="center"/>
    </xf>
    <xf numFmtId="0" fontId="5" fillId="0" borderId="1" xfId="0" applyFont="1" applyBorder="1"/>
    <xf numFmtId="0" fontId="0" fillId="3" borderId="1" xfId="0" applyFill="1" applyBorder="1"/>
    <xf numFmtId="0" fontId="4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4" fillId="0" borderId="1" xfId="0" applyFont="1" applyBorder="1"/>
    <xf numFmtId="0" fontId="3" fillId="6" borderId="1" xfId="1" applyFill="1" applyBorder="1" applyAlignment="1">
      <alignment horizontal="left" vertical="center"/>
    </xf>
    <xf numFmtId="0" fontId="7" fillId="4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left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0"/>
  <sheetViews>
    <sheetView tabSelected="1" zoomScale="70" zoomScaleNormal="70" workbookViewId="0">
      <selection activeCell="S9" sqref="S9"/>
    </sheetView>
  </sheetViews>
  <sheetFormatPr defaultRowHeight="15" x14ac:dyDescent="0.25"/>
  <cols>
    <col min="1" max="1" width="38.85546875" customWidth="1"/>
    <col min="2" max="2" width="26.42578125" customWidth="1"/>
    <col min="3" max="4" width="23.7109375" customWidth="1"/>
    <col min="5" max="7" width="99.42578125" bestFit="1" customWidth="1"/>
    <col min="8" max="8" width="107.85546875" customWidth="1"/>
  </cols>
  <sheetData>
    <row r="1" spans="1:8" ht="4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8588</v>
      </c>
    </row>
    <row r="2" spans="1:8" x14ac:dyDescent="0.25">
      <c r="A2" s="2" t="s">
        <v>7</v>
      </c>
      <c r="B2" s="3" t="s">
        <v>8</v>
      </c>
      <c r="C2" s="3"/>
      <c r="D2" s="3"/>
      <c r="E2" s="4" t="str">
        <f>HYPERLINK("https://dpmzos25m8ivg.cloudfront.net/Documentos/631/00011625511/6310001162551108092023112457.pdf","https://dpmzos25m8ivg.cloudfront.net/Documentos/631/00011625511/6310001162551108092023112457.pdf")</f>
        <v>https://dpmzos25m8ivg.cloudfront.net/Documentos/631/00011625511/6310001162551108092023112457.pdf</v>
      </c>
      <c r="F2" s="5" t="str">
        <f>HYPERLINK("https://dpmzos25m8ivg.cloudfront.net/Documentos/631/00011625511/6310001162551108092023112522.pdf","https://dpmzos25m8ivg.cloudfront.net/Documentos/631/00011625511/6310001162551108092023112522.pdf")</f>
        <v>https://dpmzos25m8ivg.cloudfront.net/Documentos/631/00011625511/6310001162551108092023112522.pdf</v>
      </c>
      <c r="G2" s="5" t="str">
        <f>HYPERLINK("https://dpmzos25m8ivg.cloudfront.net/Documentos/631/00011625511/6310001162551108092023112547.pdf","https://dpmzos25m8ivg.cloudfront.net/Documentos/631/00011625511/6310001162551108092023112547.pdf")</f>
        <v>https://dpmzos25m8ivg.cloudfront.net/Documentos/631/00011625511/6310001162551108092023112547.pdf</v>
      </c>
      <c r="H2" s="4" t="s">
        <v>8589</v>
      </c>
    </row>
    <row r="3" spans="1:8" x14ac:dyDescent="0.25">
      <c r="A3" s="2" t="s">
        <v>9</v>
      </c>
      <c r="B3" s="3"/>
      <c r="C3" s="3"/>
      <c r="D3" s="3"/>
      <c r="E3" s="4" t="str">
        <f>HYPERLINK("https://dpmzos25m8ivg.cloudfront.net/Documentos/631/00011847255/6310001184725510092023142229.pdf","https://dpmzos25m8ivg.cloudfront.net/Documentos/631/00011847255/6310001184725510092023142229.pdf")</f>
        <v>https://dpmzos25m8ivg.cloudfront.net/Documentos/631/00011847255/6310001184725510092023142229.pdf</v>
      </c>
      <c r="F3" s="5" t="str">
        <f>HYPERLINK("https://dpmzos25m8ivg.cloudfront.net/Documentos/631/00011847255/6310001184725510092023142237.pdf","https://dpmzos25m8ivg.cloudfront.net/Documentos/631/00011847255/6310001184725510092023142237.pdf")</f>
        <v>https://dpmzos25m8ivg.cloudfront.net/Documentos/631/00011847255/6310001184725510092023142237.pdf</v>
      </c>
      <c r="G3" s="5" t="str">
        <f>HYPERLINK("https://dpmzos25m8ivg.cloudfront.net/Documentos/631/00011847255/6310001184725510092023142246.pdf","https://dpmzos25m8ivg.cloudfront.net/Documentos/631/00011847255/6310001184725510092023142246.pdf")</f>
        <v>https://dpmzos25m8ivg.cloudfront.net/Documentos/631/00011847255/6310001184725510092023142246.pdf</v>
      </c>
      <c r="H3" s="4" t="s">
        <v>8590</v>
      </c>
    </row>
    <row r="4" spans="1:8" x14ac:dyDescent="0.25">
      <c r="A4" s="2" t="s">
        <v>10</v>
      </c>
      <c r="B4" s="3"/>
      <c r="C4" s="3"/>
      <c r="D4" s="3"/>
      <c r="E4" s="4" t="str">
        <f>HYPERLINK("https://dpmzos25m8ivg.cloudfront.net/Documentos/631/00023756136/6310002375613614092023123527.jpeg","https://dpmzos25m8ivg.cloudfront.net/Documentos/631/00023756136/6310002375613614092023123527.jpeg")</f>
        <v>https://dpmzos25m8ivg.cloudfront.net/Documentos/631/00023756136/6310002375613614092023123527.jpeg</v>
      </c>
      <c r="F4" s="5" t="str">
        <f>HYPERLINK("https://dpmzos25m8ivg.cloudfront.net/Documentos/631/00023756136/6310002375613614092023123631.jpeg","https://dpmzos25m8ivg.cloudfront.net/Documentos/631/00023756136/6310002375613614092023123631.jpeg")</f>
        <v>https://dpmzos25m8ivg.cloudfront.net/Documentos/631/00023756136/6310002375613614092023123631.jpeg</v>
      </c>
      <c r="G4" s="5" t="str">
        <f>HYPERLINK("https://dpmzos25m8ivg.cloudfront.net/Documentos/631/00023756136/6310002375613614092023123708.jpeg","https://dpmzos25m8ivg.cloudfront.net/Documentos/631/00023756136/6310002375613614092023123708.jpeg")</f>
        <v>https://dpmzos25m8ivg.cloudfront.net/Documentos/631/00023756136/6310002375613614092023123708.jpeg</v>
      </c>
      <c r="H4" s="4" t="s">
        <v>8591</v>
      </c>
    </row>
    <row r="5" spans="1:8" x14ac:dyDescent="0.25">
      <c r="A5" s="2" t="s">
        <v>11</v>
      </c>
      <c r="B5" s="3"/>
      <c r="C5" s="3"/>
      <c r="D5" s="3"/>
      <c r="E5" s="4" t="str">
        <f>HYPERLINK("https://dpmzos25m8ivg.cloudfront.net/Documentos/631/00027554163/6310002755416305092023161318.pdf","https://dpmzos25m8ivg.cloudfront.net/Documentos/631/00027554163/6310002755416305092023161318.pdf")</f>
        <v>https://dpmzos25m8ivg.cloudfront.net/Documentos/631/00027554163/6310002755416305092023161318.pdf</v>
      </c>
      <c r="F5" s="5" t="str">
        <f>HYPERLINK("https://dpmzos25m8ivg.cloudfront.net/Documentos/631/00027554163/6310002755416305092023161344.pdf","https://dpmzos25m8ivg.cloudfront.net/Documentos/631/00027554163/6310002755416305092023161344.pdf")</f>
        <v>https://dpmzos25m8ivg.cloudfront.net/Documentos/631/00027554163/6310002755416305092023161344.pdf</v>
      </c>
      <c r="G5" s="5" t="str">
        <f>HYPERLINK("https://dpmzos25m8ivg.cloudfront.net/Documentos/631/00027554163/6310002755416305092023161406.pdf","https://dpmzos25m8ivg.cloudfront.net/Documentos/631/00027554163/6310002755416305092023161406.pdf")</f>
        <v>https://dpmzos25m8ivg.cloudfront.net/Documentos/631/00027554163/6310002755416305092023161406.pdf</v>
      </c>
      <c r="H5" s="4" t="s">
        <v>8592</v>
      </c>
    </row>
    <row r="6" spans="1:8" x14ac:dyDescent="0.25">
      <c r="A6" s="2" t="s">
        <v>12</v>
      </c>
      <c r="B6" s="3"/>
      <c r="C6" s="3"/>
      <c r="D6" s="3"/>
      <c r="E6" s="4" t="str">
        <f>HYPERLINK("https://dpmzos25m8ivg.cloudfront.net/Documentos/631/00031027261/6310003102726113092023110024.jpeg","https://dpmzos25m8ivg.cloudfront.net/Documentos/631/00031027261/6310003102726113092023110024.jpeg")</f>
        <v>https://dpmzos25m8ivg.cloudfront.net/Documentos/631/00031027261/6310003102726113092023110024.jpeg</v>
      </c>
      <c r="F6" s="5" t="str">
        <f>HYPERLINK("https://dpmzos25m8ivg.cloudfront.net/Documentos/631/00031027261/6310003102726113092023110031.jpeg","https://dpmzos25m8ivg.cloudfront.net/Documentos/631/00031027261/6310003102726113092023110031.jpeg")</f>
        <v>https://dpmzos25m8ivg.cloudfront.net/Documentos/631/00031027261/6310003102726113092023110031.jpeg</v>
      </c>
      <c r="G6" s="5" t="str">
        <f>HYPERLINK("https://dpmzos25m8ivg.cloudfront.net/Documentos/631/00031027261/6310003102726113092023110037.jpeg","https://dpmzos25m8ivg.cloudfront.net/Documentos/631/00031027261/6310003102726113092023110037.jpeg")</f>
        <v>https://dpmzos25m8ivg.cloudfront.net/Documentos/631/00031027261/6310003102726113092023110037.jpeg</v>
      </c>
      <c r="H6" s="4" t="s">
        <v>8593</v>
      </c>
    </row>
    <row r="7" spans="1:8" x14ac:dyDescent="0.25">
      <c r="A7" s="2" t="s">
        <v>13</v>
      </c>
      <c r="B7" s="3"/>
      <c r="C7" s="3"/>
      <c r="D7" s="3"/>
      <c r="E7" s="4" t="str">
        <f>HYPERLINK("https://dpmzos25m8ivg.cloudfront.net/Documentos/631/00031716202/6310003171620211092023123824.pdf","https://dpmzos25m8ivg.cloudfront.net/Documentos/631/00031716202/6310003171620211092023123824.pdf")</f>
        <v>https://dpmzos25m8ivg.cloudfront.net/Documentos/631/00031716202/6310003171620211092023123824.pdf</v>
      </c>
      <c r="F7" s="5" t="str">
        <f>HYPERLINK("https://dpmzos25m8ivg.cloudfront.net/Documentos/631/00031716202/6310003171620211092023123843.pdf","https://dpmzos25m8ivg.cloudfront.net/Documentos/631/00031716202/6310003171620211092023123843.pdf")</f>
        <v>https://dpmzos25m8ivg.cloudfront.net/Documentos/631/00031716202/6310003171620211092023123843.pdf</v>
      </c>
      <c r="G7" s="5" t="str">
        <f>HYPERLINK("https://dpmzos25m8ivg.cloudfront.net/Documentos/631/00031716202/6310003171620211092023123910.pdf","https://dpmzos25m8ivg.cloudfront.net/Documentos/631/00031716202/6310003171620211092023123910.pdf")</f>
        <v>https://dpmzos25m8ivg.cloudfront.net/Documentos/631/00031716202/6310003171620211092023123910.pdf</v>
      </c>
      <c r="H7" s="4" t="s">
        <v>8594</v>
      </c>
    </row>
    <row r="8" spans="1:8" x14ac:dyDescent="0.25">
      <c r="A8" s="2" t="s">
        <v>14</v>
      </c>
      <c r="B8" s="3"/>
      <c r="C8" s="3"/>
      <c r="D8" s="3"/>
      <c r="E8" s="4" t="str">
        <f>HYPERLINK("https://dpmzos25m8ivg.cloudfront.net/Documentos/631/00033369216/6310003336921611092023162529.pdf","https://dpmzos25m8ivg.cloudfront.net/Documentos/631/00033369216/6310003336921611092023162529.pdf")</f>
        <v>https://dpmzos25m8ivg.cloudfront.net/Documentos/631/00033369216/6310003336921611092023162529.pdf</v>
      </c>
      <c r="F8" s="5" t="str">
        <f>HYPERLINK("https://dpmzos25m8ivg.cloudfront.net/Documentos/631/00033369216/6310003336921611092023162600.pdf","https://dpmzos25m8ivg.cloudfront.net/Documentos/631/00033369216/6310003336921611092023162600.pdf")</f>
        <v>https://dpmzos25m8ivg.cloudfront.net/Documentos/631/00033369216/6310003336921611092023162600.pdf</v>
      </c>
      <c r="G8" s="5" t="str">
        <f>HYPERLINK("https://dpmzos25m8ivg.cloudfront.net/Documentos/631/00033369216/6310003336921611092023162712.pdf","https://dpmzos25m8ivg.cloudfront.net/Documentos/631/00033369216/6310003336921611092023162712.pdf")</f>
        <v>https://dpmzos25m8ivg.cloudfront.net/Documentos/631/00033369216/6310003336921611092023162712.pdf</v>
      </c>
      <c r="H8" s="4" t="s">
        <v>8595</v>
      </c>
    </row>
    <row r="9" spans="1:8" x14ac:dyDescent="0.25">
      <c r="A9" s="2" t="s">
        <v>15</v>
      </c>
      <c r="B9" s="3"/>
      <c r="C9" s="3"/>
      <c r="D9" s="3"/>
      <c r="E9" s="4" t="str">
        <f>HYPERLINK("https://dpmzos25m8ivg.cloudfront.net/Documentos/631/00033668396/6310003366839610092023180941.pdf","https://dpmzos25m8ivg.cloudfront.net/Documentos/631/00033668396/6310003366839610092023180941.pdf")</f>
        <v>https://dpmzos25m8ivg.cloudfront.net/Documentos/631/00033668396/6310003366839610092023180941.pdf</v>
      </c>
      <c r="F9" s="5" t="str">
        <f>HYPERLINK("https://dpmzos25m8ivg.cloudfront.net/Documentos/631/00033668396/6310003366839610092023180956.pdf","https://dpmzos25m8ivg.cloudfront.net/Documentos/631/00033668396/6310003366839610092023180956.pdf")</f>
        <v>https://dpmzos25m8ivg.cloudfront.net/Documentos/631/00033668396/6310003366839610092023180956.pdf</v>
      </c>
      <c r="G9" s="5" t="str">
        <f>HYPERLINK("https://dpmzos25m8ivg.cloudfront.net/Documentos/631/00033668396/6310003366839610092023181016.pdf","https://dpmzos25m8ivg.cloudfront.net/Documentos/631/00033668396/6310003366839610092023181016.pdf")</f>
        <v>https://dpmzos25m8ivg.cloudfront.net/Documentos/631/00033668396/6310003366839610092023181016.pdf</v>
      </c>
      <c r="H9" s="4" t="s">
        <v>8596</v>
      </c>
    </row>
    <row r="10" spans="1:8" x14ac:dyDescent="0.25">
      <c r="A10" s="2" t="s">
        <v>16</v>
      </c>
      <c r="B10" s="3"/>
      <c r="C10" s="3"/>
      <c r="D10" s="3"/>
      <c r="E10" s="4" t="str">
        <f>HYPERLINK("https://dpmzos25m8ivg.cloudfront.net/Documentos/631/00043888283/6310004388828306092023203024.jpeg","https://dpmzos25m8ivg.cloudfront.net/Documentos/631/00043888283/6310004388828306092023203024.jpeg")</f>
        <v>https://dpmzos25m8ivg.cloudfront.net/Documentos/631/00043888283/6310004388828306092023203024.jpeg</v>
      </c>
      <c r="F10" s="5" t="str">
        <f>HYPERLINK("https://dpmzos25m8ivg.cloudfront.net/Documentos/631/00043888283/6310004388828306092023203034.jpeg","https://dpmzos25m8ivg.cloudfront.net/Documentos/631/00043888283/6310004388828306092023203034.jpeg")</f>
        <v>https://dpmzos25m8ivg.cloudfront.net/Documentos/631/00043888283/6310004388828306092023203034.jpeg</v>
      </c>
      <c r="G10" s="5" t="str">
        <f>HYPERLINK("https://dpmzos25m8ivg.cloudfront.net/Documentos/631/00043888283/6310004388828306092023203043.jpeg","https://dpmzos25m8ivg.cloudfront.net/Documentos/631/00043888283/6310004388828306092023203043.jpeg")</f>
        <v>https://dpmzos25m8ivg.cloudfront.net/Documentos/631/00043888283/6310004388828306092023203043.jpeg</v>
      </c>
      <c r="H10" s="4" t="s">
        <v>8597</v>
      </c>
    </row>
    <row r="11" spans="1:8" x14ac:dyDescent="0.25">
      <c r="A11" s="2" t="s">
        <v>17</v>
      </c>
      <c r="B11" s="3" t="s">
        <v>8</v>
      </c>
      <c r="C11" s="3"/>
      <c r="D11" s="3"/>
      <c r="E11" s="4" t="str">
        <f>HYPERLINK("https://dpmzos25m8ivg.cloudfront.net/Documentos/631/00046904000/6310004690400014092023165137.jpeg","https://dpmzos25m8ivg.cloudfront.net/Documentos/631/00046904000/6310004690400014092023165137.jpeg")</f>
        <v>https://dpmzos25m8ivg.cloudfront.net/Documentos/631/00046904000/6310004690400014092023165137.jpeg</v>
      </c>
      <c r="F11" s="5" t="str">
        <f>HYPERLINK("https://dpmzos25m8ivg.cloudfront.net/Documentos/631/00046904000/6310004690400014092023165214.jpeg","https://dpmzos25m8ivg.cloudfront.net/Documentos/631/00046904000/6310004690400014092023165214.jpeg")</f>
        <v>https://dpmzos25m8ivg.cloudfront.net/Documentos/631/00046904000/6310004690400014092023165214.jpeg</v>
      </c>
      <c r="G11" s="5" t="str">
        <f>HYPERLINK("https://dpmzos25m8ivg.cloudfront.net/Documentos/631/00046904000/6310004690400014092023165233.jpeg","https://dpmzos25m8ivg.cloudfront.net/Documentos/631/00046904000/6310004690400014092023165233.jpeg")</f>
        <v>https://dpmzos25m8ivg.cloudfront.net/Documentos/631/00046904000/6310004690400014092023165233.jpeg</v>
      </c>
      <c r="H11" s="4" t="s">
        <v>8598</v>
      </c>
    </row>
    <row r="12" spans="1:8" x14ac:dyDescent="0.25">
      <c r="A12" s="2" t="s">
        <v>18</v>
      </c>
      <c r="B12" s="3"/>
      <c r="C12" s="3"/>
      <c r="D12" s="3"/>
      <c r="E12" s="4" t="str">
        <f>HYPERLINK("https://dpmzos25m8ivg.cloudfront.net/Documentos/631/00050268228/6310005026822811092023171408.pdf","https://dpmzos25m8ivg.cloudfront.net/Documentos/631/00050268228/6310005026822811092023171408.pdf")</f>
        <v>https://dpmzos25m8ivg.cloudfront.net/Documentos/631/00050268228/6310005026822811092023171408.pdf</v>
      </c>
      <c r="F12" s="5" t="str">
        <f>HYPERLINK("https://dpmzos25m8ivg.cloudfront.net/Documentos/631/00050268228/6310005026822811092023171424.pdf","https://dpmzos25m8ivg.cloudfront.net/Documentos/631/00050268228/6310005026822811092023171424.pdf")</f>
        <v>https://dpmzos25m8ivg.cloudfront.net/Documentos/631/00050268228/6310005026822811092023171424.pdf</v>
      </c>
      <c r="G12" s="5" t="str">
        <f>HYPERLINK("https://dpmzos25m8ivg.cloudfront.net/Documentos/631/00050268228/6310005026822811092023171444.pdf","https://dpmzos25m8ivg.cloudfront.net/Documentos/631/00050268228/6310005026822811092023171444.pdf")</f>
        <v>https://dpmzos25m8ivg.cloudfront.net/Documentos/631/00050268228/6310005026822811092023171444.pdf</v>
      </c>
      <c r="H12" s="4" t="s">
        <v>8599</v>
      </c>
    </row>
    <row r="13" spans="1:8" x14ac:dyDescent="0.25">
      <c r="A13" s="2" t="s">
        <v>19</v>
      </c>
      <c r="B13" s="3"/>
      <c r="C13" s="3"/>
      <c r="D13" s="3"/>
      <c r="E13" s="4" t="str">
        <f>HYPERLINK("https://dpmzos25m8ivg.cloudfront.net/Documentos/631/00050516221/6310005051622111092023151018.jpeg","https://dpmzos25m8ivg.cloudfront.net/Documentos/631/00050516221/6310005051622111092023151018.jpeg")</f>
        <v>https://dpmzos25m8ivg.cloudfront.net/Documentos/631/00050516221/6310005051622111092023151018.jpeg</v>
      </c>
      <c r="F13" s="5" t="str">
        <f>HYPERLINK("https://dpmzos25m8ivg.cloudfront.net/Documentos/631/00050516221/6310005051622111092023151135.jpeg","https://dpmzos25m8ivg.cloudfront.net/Documentos/631/00050516221/6310005051622111092023151135.jpeg")</f>
        <v>https://dpmzos25m8ivg.cloudfront.net/Documentos/631/00050516221/6310005051622111092023151135.jpeg</v>
      </c>
      <c r="G13" s="5" t="str">
        <f>HYPERLINK("https://dpmzos25m8ivg.cloudfront.net/Documentos/631/00050516221/6310005051622111092023151303.jpeg","https://dpmzos25m8ivg.cloudfront.net/Documentos/631/00050516221/6310005051622111092023151303.jpeg")</f>
        <v>https://dpmzos25m8ivg.cloudfront.net/Documentos/631/00050516221/6310005051622111092023151303.jpeg</v>
      </c>
      <c r="H13" s="4" t="s">
        <v>8600</v>
      </c>
    </row>
    <row r="14" spans="1:8" x14ac:dyDescent="0.25">
      <c r="A14" s="2" t="s">
        <v>20</v>
      </c>
      <c r="B14" s="3"/>
      <c r="C14" s="3"/>
      <c r="D14" s="3"/>
      <c r="E14" s="4" t="str">
        <f>HYPERLINK("https://dpmzos25m8ivg.cloudfront.net/Documentos/631/00053281101/6310005328110110092023161711.pdf","https://dpmzos25m8ivg.cloudfront.net/Documentos/631/00053281101/6310005328110110092023161711.pdf")</f>
        <v>https://dpmzos25m8ivg.cloudfront.net/Documentos/631/00053281101/6310005328110110092023161711.pdf</v>
      </c>
      <c r="F14" s="5" t="str">
        <f>HYPERLINK("https://dpmzos25m8ivg.cloudfront.net/Documentos/631/00053281101/6310005328110110092023161723.pdf","https://dpmzos25m8ivg.cloudfront.net/Documentos/631/00053281101/6310005328110110092023161723.pdf")</f>
        <v>https://dpmzos25m8ivg.cloudfront.net/Documentos/631/00053281101/6310005328110110092023161723.pdf</v>
      </c>
      <c r="G14" s="5" t="str">
        <f>HYPERLINK("https://dpmzos25m8ivg.cloudfront.net/Documentos/631/00053281101/6310005328110110092023161741.pdf","https://dpmzos25m8ivg.cloudfront.net/Documentos/631/00053281101/6310005328110110092023161741.pdf")</f>
        <v>https://dpmzos25m8ivg.cloudfront.net/Documentos/631/00053281101/6310005328110110092023161741.pdf</v>
      </c>
      <c r="H14" s="4" t="s">
        <v>8601</v>
      </c>
    </row>
    <row r="15" spans="1:8" x14ac:dyDescent="0.25">
      <c r="A15" s="2" t="s">
        <v>21</v>
      </c>
      <c r="B15" s="3" t="s">
        <v>8</v>
      </c>
      <c r="C15" s="3"/>
      <c r="D15" s="3"/>
      <c r="E15" s="4" t="str">
        <f>HYPERLINK("https://dpmzos25m8ivg.cloudfront.net/Documentos/631/00057358150/6310005735815011092023145541.jpg","https://dpmzos25m8ivg.cloudfront.net/Documentos/631/00057358150/6310005735815011092023145541.jpg")</f>
        <v>https://dpmzos25m8ivg.cloudfront.net/Documentos/631/00057358150/6310005735815011092023145541.jpg</v>
      </c>
      <c r="F15" s="5" t="str">
        <f>HYPERLINK("https://dpmzos25m8ivg.cloudfront.net/Documentos/631/00057358150/6310005735815011092023145557.jpg","https://dpmzos25m8ivg.cloudfront.net/Documentos/631/00057358150/6310005735815011092023145557.jpg")</f>
        <v>https://dpmzos25m8ivg.cloudfront.net/Documentos/631/00057358150/6310005735815011092023145557.jpg</v>
      </c>
      <c r="G15" s="5" t="str">
        <f>HYPERLINK("https://dpmzos25m8ivg.cloudfront.net/Documentos/631/00057358150/6310005735815011092023145614.jpg","https://dpmzos25m8ivg.cloudfront.net/Documentos/631/00057358150/6310005735815011092023145614.jpg")</f>
        <v>https://dpmzos25m8ivg.cloudfront.net/Documentos/631/00057358150/6310005735815011092023145614.jpg</v>
      </c>
      <c r="H15" s="4" t="s">
        <v>8602</v>
      </c>
    </row>
    <row r="16" spans="1:8" x14ac:dyDescent="0.25">
      <c r="A16" s="2" t="s">
        <v>22</v>
      </c>
      <c r="B16" s="3" t="s">
        <v>23</v>
      </c>
      <c r="C16" s="3"/>
      <c r="D16" s="3"/>
      <c r="E16" s="4" t="str">
        <f>HYPERLINK("https://dpmzos25m8ivg.cloudfront.net/Documentos/631/00057733180/6310005773318006092023104053.pdf","https://dpmzos25m8ivg.cloudfront.net/Documentos/631/00057733180/6310005773318006092023104053.pdf")</f>
        <v>https://dpmzos25m8ivg.cloudfront.net/Documentos/631/00057733180/6310005773318006092023104053.pdf</v>
      </c>
      <c r="F16" s="5" t="str">
        <f>HYPERLINK("https://dpmzos25m8ivg.cloudfront.net/Documentos/631/00057733180/6310005773318006092023104121.pdf","https://dpmzos25m8ivg.cloudfront.net/Documentos/631/00057733180/6310005773318006092023104121.pdf")</f>
        <v>https://dpmzos25m8ivg.cloudfront.net/Documentos/631/00057733180/6310005773318006092023104121.pdf</v>
      </c>
      <c r="G16" s="5" t="str">
        <f>HYPERLINK("https://dpmzos25m8ivg.cloudfront.net/Documentos/631/00057733180/6310005773318006092023104152.pdf","https://dpmzos25m8ivg.cloudfront.net/Documentos/631/00057733180/6310005773318006092023104152.pdf")</f>
        <v>https://dpmzos25m8ivg.cloudfront.net/Documentos/631/00057733180/6310005773318006092023104152.pdf</v>
      </c>
      <c r="H16" s="4" t="s">
        <v>8603</v>
      </c>
    </row>
    <row r="17" spans="1:8" x14ac:dyDescent="0.25">
      <c r="A17" s="2" t="s">
        <v>24</v>
      </c>
      <c r="B17" s="3"/>
      <c r="C17" s="3"/>
      <c r="D17" s="3"/>
      <c r="E17" s="4" t="str">
        <f>HYPERLINK("https://dpmzos25m8ivg.cloudfront.net/Documentos/631/00060517310/6310006051731014092023101832.pdf","https://dpmzos25m8ivg.cloudfront.net/Documentos/631/00060517310/6310006051731014092023101832.pdf")</f>
        <v>https://dpmzos25m8ivg.cloudfront.net/Documentos/631/00060517310/6310006051731014092023101832.pdf</v>
      </c>
      <c r="F17" s="5" t="str">
        <f>HYPERLINK("https://dpmzos25m8ivg.cloudfront.net/Documentos/631/00060517310/6310006051731014092023101846.pdf","https://dpmzos25m8ivg.cloudfront.net/Documentos/631/00060517310/6310006051731014092023101846.pdf")</f>
        <v>https://dpmzos25m8ivg.cloudfront.net/Documentos/631/00060517310/6310006051731014092023101846.pdf</v>
      </c>
      <c r="G17" s="5" t="str">
        <f>HYPERLINK("https://dpmzos25m8ivg.cloudfront.net/Documentos/631/00060517310/6310006051731014092023101858.pdf","https://dpmzos25m8ivg.cloudfront.net/Documentos/631/00060517310/6310006051731014092023101858.pdf")</f>
        <v>https://dpmzos25m8ivg.cloudfront.net/Documentos/631/00060517310/6310006051731014092023101858.pdf</v>
      </c>
      <c r="H17" s="4" t="s">
        <v>8604</v>
      </c>
    </row>
    <row r="18" spans="1:8" x14ac:dyDescent="0.25">
      <c r="A18" s="2" t="s">
        <v>25</v>
      </c>
      <c r="B18" s="3"/>
      <c r="C18" s="3"/>
      <c r="D18" s="3"/>
      <c r="E18" s="4" t="str">
        <f>HYPERLINK("https://dpmzos25m8ivg.cloudfront.net/Documentos/631/00062696130/6310006269613011092023130400.pdf","https://dpmzos25m8ivg.cloudfront.net/Documentos/631/00062696130/6310006269613011092023130400.pdf")</f>
        <v>https://dpmzos25m8ivg.cloudfront.net/Documentos/631/00062696130/6310006269613011092023130400.pdf</v>
      </c>
      <c r="F18" s="5" t="str">
        <f>HYPERLINK("https://dpmzos25m8ivg.cloudfront.net/Documentos/631/00062696130/6310006269613011092023130412.pdf","https://dpmzos25m8ivg.cloudfront.net/Documentos/631/00062696130/6310006269613011092023130412.pdf")</f>
        <v>https://dpmzos25m8ivg.cloudfront.net/Documentos/631/00062696130/6310006269613011092023130412.pdf</v>
      </c>
      <c r="G18" s="5" t="str">
        <f>HYPERLINK("https://dpmzos25m8ivg.cloudfront.net/Documentos/631/00062696130/6310006269613011092023130423.pdf","https://dpmzos25m8ivg.cloudfront.net/Documentos/631/00062696130/6310006269613011092023130423.pdf")</f>
        <v>https://dpmzos25m8ivg.cloudfront.net/Documentos/631/00062696130/6310006269613011092023130423.pdf</v>
      </c>
      <c r="H18" s="4" t="s">
        <v>8605</v>
      </c>
    </row>
    <row r="19" spans="1:8" x14ac:dyDescent="0.25">
      <c r="A19" s="2" t="s">
        <v>26</v>
      </c>
      <c r="B19" s="3"/>
      <c r="C19" s="3"/>
      <c r="D19" s="3"/>
      <c r="E19" s="4" t="str">
        <f>HYPERLINK("https://dpmzos25m8ivg.cloudfront.net/Documentos/631/00065050665/6310006505066505092023201248.pdf","https://dpmzos25m8ivg.cloudfront.net/Documentos/631/00065050665/6310006505066505092023201248.pdf")</f>
        <v>https://dpmzos25m8ivg.cloudfront.net/Documentos/631/00065050665/6310006505066505092023201248.pdf</v>
      </c>
      <c r="F19" s="5" t="str">
        <f>HYPERLINK("https://dpmzos25m8ivg.cloudfront.net/Documentos/631/00065050665/6310006505066505092023201258.pdf","https://dpmzos25m8ivg.cloudfront.net/Documentos/631/00065050665/6310006505066505092023201258.pdf")</f>
        <v>https://dpmzos25m8ivg.cloudfront.net/Documentos/631/00065050665/6310006505066505092023201258.pdf</v>
      </c>
      <c r="G19" s="5" t="str">
        <f>HYPERLINK("https://dpmzos25m8ivg.cloudfront.net/Documentos/631/00065050665/6310006505066505092023201305.pdf","https://dpmzos25m8ivg.cloudfront.net/Documentos/631/00065050665/6310006505066505092023201305.pdf")</f>
        <v>https://dpmzos25m8ivg.cloudfront.net/Documentos/631/00065050665/6310006505066505092023201305.pdf</v>
      </c>
      <c r="H19" s="4" t="s">
        <v>8606</v>
      </c>
    </row>
    <row r="20" spans="1:8" x14ac:dyDescent="0.25">
      <c r="A20" s="2" t="s">
        <v>27</v>
      </c>
      <c r="B20" s="3"/>
      <c r="C20" s="3"/>
      <c r="D20" s="3"/>
      <c r="E20" s="4" t="str">
        <f>HYPERLINK("https://dpmzos25m8ivg.cloudfront.net/Documentos/631/00069520119/6310006952011912092023180159.pdf","https://dpmzos25m8ivg.cloudfront.net/Documentos/631/00069520119/6310006952011912092023180159.pdf")</f>
        <v>https://dpmzos25m8ivg.cloudfront.net/Documentos/631/00069520119/6310006952011912092023180159.pdf</v>
      </c>
      <c r="F20" s="5" t="str">
        <f>HYPERLINK("https://dpmzos25m8ivg.cloudfront.net/Documentos/631/00069520119/6310006952011912092023180213.pdf","https://dpmzos25m8ivg.cloudfront.net/Documentos/631/00069520119/6310006952011912092023180213.pdf")</f>
        <v>https://dpmzos25m8ivg.cloudfront.net/Documentos/631/00069520119/6310006952011912092023180213.pdf</v>
      </c>
      <c r="G20" s="5" t="str">
        <f>HYPERLINK("https://dpmzos25m8ivg.cloudfront.net/Documentos/631/00069520119/6310006952011912092023180243.pdf","https://dpmzos25m8ivg.cloudfront.net/Documentos/631/00069520119/6310006952011912092023180243.pdf")</f>
        <v>https://dpmzos25m8ivg.cloudfront.net/Documentos/631/00069520119/6310006952011912092023180243.pdf</v>
      </c>
      <c r="H20" s="4" t="s">
        <v>8607</v>
      </c>
    </row>
    <row r="21" spans="1:8" x14ac:dyDescent="0.25">
      <c r="A21" s="2" t="s">
        <v>28</v>
      </c>
      <c r="B21" s="3"/>
      <c r="C21" s="3"/>
      <c r="D21" s="3"/>
      <c r="E21" s="4" t="str">
        <f>HYPERLINK("https://dpmzos25m8ivg.cloudfront.net/Documentos/631/00071611150/6310007161115011092023165703.pdf","https://dpmzos25m8ivg.cloudfront.net/Documentos/631/00071611150/6310007161115011092023165703.pdf")</f>
        <v>https://dpmzos25m8ivg.cloudfront.net/Documentos/631/00071611150/6310007161115011092023165703.pdf</v>
      </c>
      <c r="F21" s="5" t="str">
        <f>HYPERLINK("https://dpmzos25m8ivg.cloudfront.net/Documentos/631/00071611150/6310007161115011092023165735.pdf","https://dpmzos25m8ivg.cloudfront.net/Documentos/631/00071611150/6310007161115011092023165735.pdf")</f>
        <v>https://dpmzos25m8ivg.cloudfront.net/Documentos/631/00071611150/6310007161115011092023165735.pdf</v>
      </c>
      <c r="G21" s="5" t="str">
        <f>HYPERLINK("https://dpmzos25m8ivg.cloudfront.net/Documentos/631/00071611150/6310007161115011092023165804.pdf","https://dpmzos25m8ivg.cloudfront.net/Documentos/631/00071611150/6310007161115011092023165804.pdf")</f>
        <v>https://dpmzos25m8ivg.cloudfront.net/Documentos/631/00071611150/6310007161115011092023165804.pdf</v>
      </c>
      <c r="H21" s="4" t="s">
        <v>8608</v>
      </c>
    </row>
    <row r="22" spans="1:8" x14ac:dyDescent="0.25">
      <c r="A22" s="2" t="s">
        <v>29</v>
      </c>
      <c r="B22" s="3"/>
      <c r="C22" s="3"/>
      <c r="D22" s="3"/>
      <c r="E22" s="4" t="str">
        <f>HYPERLINK("https://dpmzos25m8ivg.cloudfront.net/Documentos/631/00074858246/6310007485824608092023191039.pdf","https://dpmzos25m8ivg.cloudfront.net/Documentos/631/00074858246/6310007485824608092023191039.pdf")</f>
        <v>https://dpmzos25m8ivg.cloudfront.net/Documentos/631/00074858246/6310007485824608092023191039.pdf</v>
      </c>
      <c r="F22" s="5" t="str">
        <f>HYPERLINK("https://dpmzos25m8ivg.cloudfront.net/Documentos/631/00074858246/6310007485824608092023191131.pdf","https://dpmzos25m8ivg.cloudfront.net/Documentos/631/00074858246/6310007485824608092023191131.pdf")</f>
        <v>https://dpmzos25m8ivg.cloudfront.net/Documentos/631/00074858246/6310007485824608092023191131.pdf</v>
      </c>
      <c r="G22" s="5" t="str">
        <f>HYPERLINK("https://dpmzos25m8ivg.cloudfront.net/Documentos/631/00074858246/6310007485824608092023191231.pdf","https://dpmzos25m8ivg.cloudfront.net/Documentos/631/00074858246/6310007485824608092023191231.pdf")</f>
        <v>https://dpmzos25m8ivg.cloudfront.net/Documentos/631/00074858246/6310007485824608092023191231.pdf</v>
      </c>
      <c r="H22" s="4" t="s">
        <v>8609</v>
      </c>
    </row>
    <row r="23" spans="1:8" x14ac:dyDescent="0.25">
      <c r="A23" s="2" t="s">
        <v>30</v>
      </c>
      <c r="B23" s="3"/>
      <c r="C23" s="3"/>
      <c r="D23" s="3"/>
      <c r="E23" s="4" t="str">
        <f>HYPERLINK("https://dpmzos25m8ivg.cloudfront.net/Documentos/631/00078319277/6310007831927711092023154239.pdf","https://dpmzos25m8ivg.cloudfront.net/Documentos/631/00078319277/6310007831927711092023154239.pdf")</f>
        <v>https://dpmzos25m8ivg.cloudfront.net/Documentos/631/00078319277/6310007831927711092023154239.pdf</v>
      </c>
      <c r="F23" s="5" t="str">
        <f>HYPERLINK("https://dpmzos25m8ivg.cloudfront.net/Documentos/631/00078319277/6310007831927711092023154404.pdf","https://dpmzos25m8ivg.cloudfront.net/Documentos/631/00078319277/6310007831927711092023154404.pdf")</f>
        <v>https://dpmzos25m8ivg.cloudfront.net/Documentos/631/00078319277/6310007831927711092023154404.pdf</v>
      </c>
      <c r="G23" s="5" t="str">
        <f>HYPERLINK("https://dpmzos25m8ivg.cloudfront.net/Documentos/631/00078319277/6310007831927711092023154533.pdf","https://dpmzos25m8ivg.cloudfront.net/Documentos/631/00078319277/6310007831927711092023154533.pdf")</f>
        <v>https://dpmzos25m8ivg.cloudfront.net/Documentos/631/00078319277/6310007831927711092023154533.pdf</v>
      </c>
      <c r="H23" s="4" t="s">
        <v>8610</v>
      </c>
    </row>
    <row r="24" spans="1:8" x14ac:dyDescent="0.25">
      <c r="A24" s="2" t="s">
        <v>31</v>
      </c>
      <c r="B24" s="3" t="s">
        <v>8</v>
      </c>
      <c r="C24" s="3"/>
      <c r="D24" s="3"/>
      <c r="E24" s="4" t="str">
        <f>HYPERLINK("https://dpmzos25m8ivg.cloudfront.net/Documentos/631/00078893569/6310007889356911092023164652.jpg","https://dpmzos25m8ivg.cloudfront.net/Documentos/631/00078893569/6310007889356911092023164652.jpg")</f>
        <v>https://dpmzos25m8ivg.cloudfront.net/Documentos/631/00078893569/6310007889356911092023164652.jpg</v>
      </c>
      <c r="F24" s="5" t="str">
        <f>HYPERLINK("https://dpmzos25m8ivg.cloudfront.net/Documentos/631/00078893569/6310007889356911092023164723.jpg","https://dpmzos25m8ivg.cloudfront.net/Documentos/631/00078893569/6310007889356911092023164723.jpg")</f>
        <v>https://dpmzos25m8ivg.cloudfront.net/Documentos/631/00078893569/6310007889356911092023164723.jpg</v>
      </c>
      <c r="G24" s="5" t="str">
        <f>HYPERLINK("https://dpmzos25m8ivg.cloudfront.net/Documentos/631/00078893569/6310007889356911092023165100.jpg","https://dpmzos25m8ivg.cloudfront.net/Documentos/631/00078893569/6310007889356911092023165100.jpg")</f>
        <v>https://dpmzos25m8ivg.cloudfront.net/Documentos/631/00078893569/6310007889356911092023165100.jpg</v>
      </c>
      <c r="H24" s="4" t="s">
        <v>8611</v>
      </c>
    </row>
    <row r="25" spans="1:8" x14ac:dyDescent="0.25">
      <c r="A25" s="2" t="s">
        <v>32</v>
      </c>
      <c r="B25" s="3"/>
      <c r="C25" s="3"/>
      <c r="D25" s="3"/>
      <c r="E25" s="4" t="str">
        <f>HYPERLINK("https://dpmzos25m8ivg.cloudfront.net/Documentos/631/00084222220/6310008422222008092023231651.pdf","https://dpmzos25m8ivg.cloudfront.net/Documentos/631/00084222220/6310008422222008092023231651.pdf")</f>
        <v>https://dpmzos25m8ivg.cloudfront.net/Documentos/631/00084222220/6310008422222008092023231651.pdf</v>
      </c>
      <c r="F25" s="5" t="str">
        <f>HYPERLINK("https://dpmzos25m8ivg.cloudfront.net/Documentos/631/00084222220/6310008422222008092023231712.pdf","https://dpmzos25m8ivg.cloudfront.net/Documentos/631/00084222220/6310008422222008092023231712.pdf")</f>
        <v>https://dpmzos25m8ivg.cloudfront.net/Documentos/631/00084222220/6310008422222008092023231712.pdf</v>
      </c>
      <c r="G25" s="5" t="str">
        <f>HYPERLINK("https://dpmzos25m8ivg.cloudfront.net/Documentos/631/00084222220/6310008422222008092023231731.pdf","https://dpmzos25m8ivg.cloudfront.net/Documentos/631/00084222220/6310008422222008092023231731.pdf")</f>
        <v>https://dpmzos25m8ivg.cloudfront.net/Documentos/631/00084222220/6310008422222008092023231731.pdf</v>
      </c>
      <c r="H25" s="4" t="s">
        <v>8612</v>
      </c>
    </row>
    <row r="26" spans="1:8" x14ac:dyDescent="0.25">
      <c r="A26" s="2" t="s">
        <v>33</v>
      </c>
      <c r="B26" s="3"/>
      <c r="C26" s="3"/>
      <c r="D26" s="3"/>
      <c r="E26" s="4" t="str">
        <f>HYPERLINK("https://dpmzos25m8ivg.cloudfront.net/Documentos/631/00085262226/6310008526222611092023092232.pdf","https://dpmzos25m8ivg.cloudfront.net/Documentos/631/00085262226/6310008526222611092023092232.pdf")</f>
        <v>https://dpmzos25m8ivg.cloudfront.net/Documentos/631/00085262226/6310008526222611092023092232.pdf</v>
      </c>
      <c r="F26" s="5" t="str">
        <f>HYPERLINK("https://dpmzos25m8ivg.cloudfront.net/Documentos/631/00085262226/6310008526222611092023092247.pdf","https://dpmzos25m8ivg.cloudfront.net/Documentos/631/00085262226/6310008526222611092023092247.pdf")</f>
        <v>https://dpmzos25m8ivg.cloudfront.net/Documentos/631/00085262226/6310008526222611092023092247.pdf</v>
      </c>
      <c r="G26" s="5" t="str">
        <f>HYPERLINK("https://dpmzos25m8ivg.cloudfront.net/Documentos/631/00085262226/6310008526222611092023092302.pdf","https://dpmzos25m8ivg.cloudfront.net/Documentos/631/00085262226/6310008526222611092023092302.pdf")</f>
        <v>https://dpmzos25m8ivg.cloudfront.net/Documentos/631/00085262226/6310008526222611092023092302.pdf</v>
      </c>
      <c r="H26" s="4" t="s">
        <v>8613</v>
      </c>
    </row>
    <row r="27" spans="1:8" x14ac:dyDescent="0.25">
      <c r="A27" s="2" t="s">
        <v>34</v>
      </c>
      <c r="B27" s="3"/>
      <c r="C27" s="3"/>
      <c r="D27" s="3"/>
      <c r="E27" s="4" t="str">
        <f>HYPERLINK("https://dpmzos25m8ivg.cloudfront.net/Documentos/631/00087587270/6310008758727011092023133925.jpeg","https://dpmzos25m8ivg.cloudfront.net/Documentos/631/00087587270/6310008758727011092023133925.jpeg")</f>
        <v>https://dpmzos25m8ivg.cloudfront.net/Documentos/631/00087587270/6310008758727011092023133925.jpeg</v>
      </c>
      <c r="F27" s="5" t="str">
        <f>HYPERLINK("https://dpmzos25m8ivg.cloudfront.net/Documentos/631/00087587270/6310008758727011092023133935.jpeg","https://dpmzos25m8ivg.cloudfront.net/Documentos/631/00087587270/6310008758727011092023133935.jpeg")</f>
        <v>https://dpmzos25m8ivg.cloudfront.net/Documentos/631/00087587270/6310008758727011092023133935.jpeg</v>
      </c>
      <c r="G27" s="5" t="str">
        <f>HYPERLINK("https://dpmzos25m8ivg.cloudfront.net/Documentos/631/00087587270/6310008758727011092023133945.jpeg","https://dpmzos25m8ivg.cloudfront.net/Documentos/631/00087587270/6310008758727011092023133945.jpeg")</f>
        <v>https://dpmzos25m8ivg.cloudfront.net/Documentos/631/00087587270/6310008758727011092023133945.jpeg</v>
      </c>
      <c r="H27" s="4" t="s">
        <v>8614</v>
      </c>
    </row>
    <row r="28" spans="1:8" x14ac:dyDescent="0.25">
      <c r="A28" s="2" t="s">
        <v>35</v>
      </c>
      <c r="B28" s="3"/>
      <c r="C28" s="3"/>
      <c r="D28" s="3"/>
      <c r="E28" s="4" t="str">
        <f>HYPERLINK("https://dpmzos25m8ivg.cloudfront.net/Documentos/631/00088333116/6310008833311611092023145533.jpg","https://dpmzos25m8ivg.cloudfront.net/Documentos/631/00088333116/6310008833311611092023145533.jpg")</f>
        <v>https://dpmzos25m8ivg.cloudfront.net/Documentos/631/00088333116/6310008833311611092023145533.jpg</v>
      </c>
      <c r="F28" s="5" t="str">
        <f>HYPERLINK("https://dpmzos25m8ivg.cloudfront.net/Documentos/631/00088333116/6310008833311611092023145634.jpg","https://dpmzos25m8ivg.cloudfront.net/Documentos/631/00088333116/6310008833311611092023145634.jpg")</f>
        <v>https://dpmzos25m8ivg.cloudfront.net/Documentos/631/00088333116/6310008833311611092023145634.jpg</v>
      </c>
      <c r="G28" s="5" t="str">
        <f>HYPERLINK("https://dpmzos25m8ivg.cloudfront.net/Documentos/631/00088333116/6310008833311611092023162849.jpg","https://dpmzos25m8ivg.cloudfront.net/Documentos/631/00088333116/6310008833311611092023162849.jpg")</f>
        <v>https://dpmzos25m8ivg.cloudfront.net/Documentos/631/00088333116/6310008833311611092023162849.jpg</v>
      </c>
      <c r="H28" s="4" t="s">
        <v>8615</v>
      </c>
    </row>
    <row r="29" spans="1:8" x14ac:dyDescent="0.25">
      <c r="A29" s="2" t="s">
        <v>36</v>
      </c>
      <c r="B29" s="3"/>
      <c r="C29" s="3"/>
      <c r="D29" s="3"/>
      <c r="E29" s="4" t="str">
        <f>HYPERLINK("https://dpmzos25m8ivg.cloudfront.net/Documentos/631/00089541278/6310008954127805092023165010.pdf","https://dpmzos25m8ivg.cloudfront.net/Documentos/631/00089541278/6310008954127805092023165010.pdf")</f>
        <v>https://dpmzos25m8ivg.cloudfront.net/Documentos/631/00089541278/6310008954127805092023165010.pdf</v>
      </c>
      <c r="F29" s="5" t="str">
        <f>HYPERLINK("https://dpmzos25m8ivg.cloudfront.net/Documentos/631/00089541278/6310008954127805092023165019.pdf","https://dpmzos25m8ivg.cloudfront.net/Documentos/631/00089541278/6310008954127805092023165019.pdf")</f>
        <v>https://dpmzos25m8ivg.cloudfront.net/Documentos/631/00089541278/6310008954127805092023165019.pdf</v>
      </c>
      <c r="G29" s="5" t="str">
        <f>HYPERLINK("https://dpmzos25m8ivg.cloudfront.net/Documentos/631/00089541278/6310008954127805092023165029.pdf","https://dpmzos25m8ivg.cloudfront.net/Documentos/631/00089541278/6310008954127805092023165029.pdf")</f>
        <v>https://dpmzos25m8ivg.cloudfront.net/Documentos/631/00089541278/6310008954127805092023165029.pdf</v>
      </c>
      <c r="H29" s="4" t="s">
        <v>8616</v>
      </c>
    </row>
    <row r="30" spans="1:8" x14ac:dyDescent="0.25">
      <c r="A30" s="2" t="s">
        <v>37</v>
      </c>
      <c r="B30" s="3"/>
      <c r="C30" s="3"/>
      <c r="D30" s="3"/>
      <c r="E30" s="4" t="str">
        <f>HYPERLINK("https://dpmzos25m8ivg.cloudfront.net/Documentos/631/00096630299/6310009663029911092023142210.jpeg","https://dpmzos25m8ivg.cloudfront.net/Documentos/631/00096630299/6310009663029911092023142210.jpeg")</f>
        <v>https://dpmzos25m8ivg.cloudfront.net/Documentos/631/00096630299/6310009663029911092023142210.jpeg</v>
      </c>
      <c r="F30" s="5" t="str">
        <f>HYPERLINK("https://dpmzos25m8ivg.cloudfront.net/Documentos/631/00096630299/6310009663029911092023142153.jpeg","https://dpmzos25m8ivg.cloudfront.net/Documentos/631/00096630299/6310009663029911092023142153.jpeg")</f>
        <v>https://dpmzos25m8ivg.cloudfront.net/Documentos/631/00096630299/6310009663029911092023142153.jpeg</v>
      </c>
      <c r="G30" s="5" t="str">
        <f>HYPERLINK("https://dpmzos25m8ivg.cloudfront.net/Documentos/631/00096630299/6310009663029911092023142140.jpeg","https://dpmzos25m8ivg.cloudfront.net/Documentos/631/00096630299/6310009663029911092023142140.jpeg")</f>
        <v>https://dpmzos25m8ivg.cloudfront.net/Documentos/631/00096630299/6310009663029911092023142140.jpeg</v>
      </c>
      <c r="H30" s="4" t="s">
        <v>8617</v>
      </c>
    </row>
    <row r="31" spans="1:8" x14ac:dyDescent="0.25">
      <c r="A31" s="2" t="s">
        <v>38</v>
      </c>
      <c r="B31" s="3"/>
      <c r="C31" s="3"/>
      <c r="D31" s="3"/>
      <c r="E31" s="4" t="str">
        <f>HYPERLINK("https://dpmzos25m8ivg.cloudfront.net/Documentos/631/00103186310/6310010318631005092023184854.pdf","https://dpmzos25m8ivg.cloudfront.net/Documentos/631/00103186310/6310010318631005092023184854.pdf")</f>
        <v>https://dpmzos25m8ivg.cloudfront.net/Documentos/631/00103186310/6310010318631005092023184854.pdf</v>
      </c>
      <c r="F31" s="5" t="str">
        <f>HYPERLINK("https://dpmzos25m8ivg.cloudfront.net/Documentos/631/00103186310/6310010318631005092023184918.pdf","https://dpmzos25m8ivg.cloudfront.net/Documentos/631/00103186310/6310010318631005092023184918.pdf")</f>
        <v>https://dpmzos25m8ivg.cloudfront.net/Documentos/631/00103186310/6310010318631005092023184918.pdf</v>
      </c>
      <c r="G31" s="5" t="str">
        <f>HYPERLINK("https://dpmzos25m8ivg.cloudfront.net/Documentos/631/00103186310/6310010318631005092023184940.pdf","https://dpmzos25m8ivg.cloudfront.net/Documentos/631/00103186310/6310010318631005092023184940.pdf")</f>
        <v>https://dpmzos25m8ivg.cloudfront.net/Documentos/631/00103186310/6310010318631005092023184940.pdf</v>
      </c>
      <c r="H31" s="4" t="s">
        <v>8618</v>
      </c>
    </row>
    <row r="32" spans="1:8" x14ac:dyDescent="0.25">
      <c r="A32" s="2" t="s">
        <v>39</v>
      </c>
      <c r="B32" s="3"/>
      <c r="C32" s="3"/>
      <c r="D32" s="3"/>
      <c r="E32" s="4" t="str">
        <f>HYPERLINK("https://dpmzos25m8ivg.cloudfront.net/Documentos/631/00106962370/6310010696237011092023101530.pdf","https://dpmzos25m8ivg.cloudfront.net/Documentos/631/00106962370/6310010696237011092023101530.pdf")</f>
        <v>https://dpmzos25m8ivg.cloudfront.net/Documentos/631/00106962370/6310010696237011092023101530.pdf</v>
      </c>
      <c r="F32" s="5" t="str">
        <f>HYPERLINK("https://dpmzos25m8ivg.cloudfront.net/Documentos/631/00106962370/6310010696237011092023101540.pdf","https://dpmzos25m8ivg.cloudfront.net/Documentos/631/00106962370/6310010696237011092023101540.pdf")</f>
        <v>https://dpmzos25m8ivg.cloudfront.net/Documentos/631/00106962370/6310010696237011092023101540.pdf</v>
      </c>
      <c r="G32" s="5" t="str">
        <f>HYPERLINK("https://dpmzos25m8ivg.cloudfront.net/Documentos/631/00106962370/6310010696237011092023101548.pdf","https://dpmzos25m8ivg.cloudfront.net/Documentos/631/00106962370/6310010696237011092023101548.pdf")</f>
        <v>https://dpmzos25m8ivg.cloudfront.net/Documentos/631/00106962370/6310010696237011092023101548.pdf</v>
      </c>
      <c r="H32" s="4" t="s">
        <v>8619</v>
      </c>
    </row>
    <row r="33" spans="1:8" x14ac:dyDescent="0.25">
      <c r="A33" s="2" t="s">
        <v>40</v>
      </c>
      <c r="B33" s="3"/>
      <c r="C33" s="3"/>
      <c r="D33" s="3"/>
      <c r="E33" s="4" t="str">
        <f>HYPERLINK("https://dpmzos25m8ivg.cloudfront.net/Documentos/631/00106997246/6310010699724610092023110343.pdf","https://dpmzos25m8ivg.cloudfront.net/Documentos/631/00106997246/6310010699724610092023110343.pdf")</f>
        <v>https://dpmzos25m8ivg.cloudfront.net/Documentos/631/00106997246/6310010699724610092023110343.pdf</v>
      </c>
      <c r="F33" s="5" t="str">
        <f>HYPERLINK("https://dpmzos25m8ivg.cloudfront.net/Documentos/631/00106997246/6310010699724610092023110505.pdf","https://dpmzos25m8ivg.cloudfront.net/Documentos/631/00106997246/6310010699724610092023110505.pdf")</f>
        <v>https://dpmzos25m8ivg.cloudfront.net/Documentos/631/00106997246/6310010699724610092023110505.pdf</v>
      </c>
      <c r="G33" s="5" t="str">
        <f>HYPERLINK("https://dpmzos25m8ivg.cloudfront.net/Documentos/631/00106997246/6310010699724610092023110525.pdf","https://dpmzos25m8ivg.cloudfront.net/Documentos/631/00106997246/6310010699724610092023110525.pdf")</f>
        <v>https://dpmzos25m8ivg.cloudfront.net/Documentos/631/00106997246/6310010699724610092023110525.pdf</v>
      </c>
      <c r="H33" s="4" t="s">
        <v>8620</v>
      </c>
    </row>
    <row r="34" spans="1:8" x14ac:dyDescent="0.25">
      <c r="A34" s="2" t="s">
        <v>41</v>
      </c>
      <c r="B34" s="3" t="s">
        <v>42</v>
      </c>
      <c r="C34" s="3"/>
      <c r="D34" s="3"/>
      <c r="E34" s="4" t="str">
        <f>HYPERLINK("https://dpmzos25m8ivg.cloudfront.net/Documentos/631/00109775627/6310010977562711092023160629.pdf","https://dpmzos25m8ivg.cloudfront.net/Documentos/631/00109775627/6310010977562711092023160629.pdf")</f>
        <v>https://dpmzos25m8ivg.cloudfront.net/Documentos/631/00109775627/6310010977562711092023160629.pdf</v>
      </c>
      <c r="F34" s="5" t="str">
        <f>HYPERLINK("https://dpmzos25m8ivg.cloudfront.net/Documentos/631/00109775627/6310010977562711092023160645.pdf","https://dpmzos25m8ivg.cloudfront.net/Documentos/631/00109775627/6310010977562711092023160645.pdf")</f>
        <v>https://dpmzos25m8ivg.cloudfront.net/Documentos/631/00109775627/6310010977562711092023160645.pdf</v>
      </c>
      <c r="G34" s="5" t="str">
        <f>HYPERLINK("https://dpmzos25m8ivg.cloudfront.net/Documentos/631/00109775627/6310010977562711092023160701.pdf","https://dpmzos25m8ivg.cloudfront.net/Documentos/631/00109775627/6310010977562711092023160701.pdf")</f>
        <v>https://dpmzos25m8ivg.cloudfront.net/Documentos/631/00109775627/6310010977562711092023160701.pdf</v>
      </c>
      <c r="H34" s="4" t="s">
        <v>8621</v>
      </c>
    </row>
    <row r="35" spans="1:8" x14ac:dyDescent="0.25">
      <c r="A35" s="2" t="s">
        <v>43</v>
      </c>
      <c r="B35" s="3"/>
      <c r="C35" s="3"/>
      <c r="D35" s="3"/>
      <c r="E35" s="4" t="str">
        <f>HYPERLINK("https://dpmzos25m8ivg.cloudfront.net/Documentos/631/00111111196/6310011111119610092023160418.pdf","https://dpmzos25m8ivg.cloudfront.net/Documentos/631/00111111196/6310011111119610092023160418.pdf")</f>
        <v>https://dpmzos25m8ivg.cloudfront.net/Documentos/631/00111111196/6310011111119610092023160418.pdf</v>
      </c>
      <c r="F35" s="5" t="str">
        <f>HYPERLINK("https://dpmzos25m8ivg.cloudfront.net/Documentos/631/00111111196/6310011111119610092023160458.pdf","https://dpmzos25m8ivg.cloudfront.net/Documentos/631/00111111196/6310011111119610092023160458.pdf")</f>
        <v>https://dpmzos25m8ivg.cloudfront.net/Documentos/631/00111111196/6310011111119610092023160458.pdf</v>
      </c>
      <c r="G35" s="5" t="str">
        <f>HYPERLINK("https://dpmzos25m8ivg.cloudfront.net/Documentos/631/00111111196/6310011111119610092023160526.pdf","https://dpmzos25m8ivg.cloudfront.net/Documentos/631/00111111196/6310011111119610092023160526.pdf")</f>
        <v>https://dpmzos25m8ivg.cloudfront.net/Documentos/631/00111111196/6310011111119610092023160526.pdf</v>
      </c>
      <c r="H35" s="4" t="s">
        <v>8622</v>
      </c>
    </row>
    <row r="36" spans="1:8" x14ac:dyDescent="0.25">
      <c r="A36" s="2" t="s">
        <v>44</v>
      </c>
      <c r="B36" s="3"/>
      <c r="C36" s="3"/>
      <c r="D36" s="3"/>
      <c r="E36" s="4" t="str">
        <f>HYPERLINK("https://dpmzos25m8ivg.cloudfront.net/Documentos/631/00112354700/6310011235470006092023211617.jpg","https://dpmzos25m8ivg.cloudfront.net/Documentos/631/00112354700/6310011235470006092023211617.jpg")</f>
        <v>https://dpmzos25m8ivg.cloudfront.net/Documentos/631/00112354700/6310011235470006092023211617.jpg</v>
      </c>
      <c r="F36" s="5" t="str">
        <f>HYPERLINK("https://dpmzos25m8ivg.cloudfront.net/Documentos/631/00112354700/6310011235470006092023211629.jpg","https://dpmzos25m8ivg.cloudfront.net/Documentos/631/00112354700/6310011235470006092023211629.jpg")</f>
        <v>https://dpmzos25m8ivg.cloudfront.net/Documentos/631/00112354700/6310011235470006092023211629.jpg</v>
      </c>
      <c r="G36" s="5" t="str">
        <f>HYPERLINK("https://dpmzos25m8ivg.cloudfront.net/Documentos/631/00112354700/6310011235470006092023211639.jpg","https://dpmzos25m8ivg.cloudfront.net/Documentos/631/00112354700/6310011235470006092023211639.jpg")</f>
        <v>https://dpmzos25m8ivg.cloudfront.net/Documentos/631/00112354700/6310011235470006092023211639.jpg</v>
      </c>
      <c r="H36" s="4" t="s">
        <v>8623</v>
      </c>
    </row>
    <row r="37" spans="1:8" x14ac:dyDescent="0.25">
      <c r="A37" s="2" t="s">
        <v>45</v>
      </c>
      <c r="B37" s="3"/>
      <c r="C37" s="3"/>
      <c r="D37" s="3"/>
      <c r="E37" s="4" t="str">
        <f>HYPERLINK("https://dpmzos25m8ivg.cloudfront.net/Documentos/631/00114072205/6310011407220511092023093010.pdf","https://dpmzos25m8ivg.cloudfront.net/Documentos/631/00114072205/6310011407220511092023093010.pdf")</f>
        <v>https://dpmzos25m8ivg.cloudfront.net/Documentos/631/00114072205/6310011407220511092023093010.pdf</v>
      </c>
      <c r="F37" s="5" t="str">
        <f>HYPERLINK("https://dpmzos25m8ivg.cloudfront.net/Documentos/631/00114072205/6310011407220511092023093021.pdf","https://dpmzos25m8ivg.cloudfront.net/Documentos/631/00114072205/6310011407220511092023093021.pdf")</f>
        <v>https://dpmzos25m8ivg.cloudfront.net/Documentos/631/00114072205/6310011407220511092023093021.pdf</v>
      </c>
      <c r="G37" s="5" t="str">
        <f>HYPERLINK("https://dpmzos25m8ivg.cloudfront.net/Documentos/631/00114072205/6310011407220511092023093031.pdf","https://dpmzos25m8ivg.cloudfront.net/Documentos/631/00114072205/6310011407220511092023093031.pdf")</f>
        <v>https://dpmzos25m8ivg.cloudfront.net/Documentos/631/00114072205/6310011407220511092023093031.pdf</v>
      </c>
      <c r="H37" s="4" t="s">
        <v>8624</v>
      </c>
    </row>
    <row r="38" spans="1:8" x14ac:dyDescent="0.25">
      <c r="A38" s="2" t="s">
        <v>46</v>
      </c>
      <c r="B38" s="3"/>
      <c r="C38" s="3"/>
      <c r="D38" s="3"/>
      <c r="E38" s="4" t="str">
        <f>HYPERLINK("https://dpmzos25m8ivg.cloudfront.net/Documentos/631/00118727214/6310011872721408092023122122.jpg","https://dpmzos25m8ivg.cloudfront.net/Documentos/631/00118727214/6310011872721408092023122122.jpg")</f>
        <v>https://dpmzos25m8ivg.cloudfront.net/Documentos/631/00118727214/6310011872721408092023122122.jpg</v>
      </c>
      <c r="F38" s="5" t="str">
        <f>HYPERLINK("https://dpmzos25m8ivg.cloudfront.net/Documentos/631/00118727214/6310011872721408092023121933.jpg","https://dpmzos25m8ivg.cloudfront.net/Documentos/631/00118727214/6310011872721408092023121933.jpg")</f>
        <v>https://dpmzos25m8ivg.cloudfront.net/Documentos/631/00118727214/6310011872721408092023121933.jpg</v>
      </c>
      <c r="G38" s="5" t="str">
        <f>HYPERLINK("https://dpmzos25m8ivg.cloudfront.net/Documentos/631/00118727214/6310011872721408092023122004.jpg","https://dpmzos25m8ivg.cloudfront.net/Documentos/631/00118727214/6310011872721408092023122004.jpg")</f>
        <v>https://dpmzos25m8ivg.cloudfront.net/Documentos/631/00118727214/6310011872721408092023122004.jpg</v>
      </c>
      <c r="H38" s="4" t="s">
        <v>8625</v>
      </c>
    </row>
    <row r="39" spans="1:8" x14ac:dyDescent="0.25">
      <c r="A39" s="2" t="s">
        <v>47</v>
      </c>
      <c r="B39" s="3"/>
      <c r="C39" s="3"/>
      <c r="D39" s="3"/>
      <c r="E39" s="4" t="str">
        <f>HYPERLINK("https://dpmzos25m8ivg.cloudfront.net/Documentos/631/00123221218/6310012322121811092023115630.pdf","https://dpmzos25m8ivg.cloudfront.net/Documentos/631/00123221218/6310012322121811092023115630.pdf")</f>
        <v>https://dpmzos25m8ivg.cloudfront.net/Documentos/631/00123221218/6310012322121811092023115630.pdf</v>
      </c>
      <c r="F39" s="5" t="str">
        <f>HYPERLINK("https://dpmzos25m8ivg.cloudfront.net/Documentos/631/00123221218/6310012322121811092023115705.pdf","https://dpmzos25m8ivg.cloudfront.net/Documentos/631/00123221218/6310012322121811092023115705.pdf")</f>
        <v>https://dpmzos25m8ivg.cloudfront.net/Documentos/631/00123221218/6310012322121811092023115705.pdf</v>
      </c>
      <c r="G39" s="5" t="str">
        <f>HYPERLINK("https://dpmzos25m8ivg.cloudfront.net/Documentos/631/00123221218/6310012322121811092023115719.pdf","https://dpmzos25m8ivg.cloudfront.net/Documentos/631/00123221218/6310012322121811092023115719.pdf")</f>
        <v>https://dpmzos25m8ivg.cloudfront.net/Documentos/631/00123221218/6310012322121811092023115719.pdf</v>
      </c>
      <c r="H39" s="4" t="s">
        <v>8626</v>
      </c>
    </row>
    <row r="40" spans="1:8" x14ac:dyDescent="0.25">
      <c r="A40" s="2" t="s">
        <v>48</v>
      </c>
      <c r="B40" s="3"/>
      <c r="C40" s="3"/>
      <c r="D40" s="3"/>
      <c r="E40" s="4" t="str">
        <f>HYPERLINK("https://dpmzos25m8ivg.cloudfront.net/Documentos/631/00129251283/6310012925128311092023134637.pdf","https://dpmzos25m8ivg.cloudfront.net/Documentos/631/00129251283/6310012925128311092023134637.pdf")</f>
        <v>https://dpmzos25m8ivg.cloudfront.net/Documentos/631/00129251283/6310012925128311092023134637.pdf</v>
      </c>
      <c r="F40" s="5" t="str">
        <f>HYPERLINK("https://dpmzos25m8ivg.cloudfront.net/Documentos/631/00129251283/6310012925128311092023134702.pdf","https://dpmzos25m8ivg.cloudfront.net/Documentos/631/00129251283/6310012925128311092023134702.pdf")</f>
        <v>https://dpmzos25m8ivg.cloudfront.net/Documentos/631/00129251283/6310012925128311092023134702.pdf</v>
      </c>
      <c r="G40" s="5" t="str">
        <f>HYPERLINK("https://dpmzos25m8ivg.cloudfront.net/Documentos/631/00129251283/6310012925128311092023134710.pdf","https://dpmzos25m8ivg.cloudfront.net/Documentos/631/00129251283/6310012925128311092023134710.pdf")</f>
        <v>https://dpmzos25m8ivg.cloudfront.net/Documentos/631/00129251283/6310012925128311092023134710.pdf</v>
      </c>
      <c r="H40" s="4" t="s">
        <v>8627</v>
      </c>
    </row>
    <row r="41" spans="1:8" x14ac:dyDescent="0.25">
      <c r="A41" s="2" t="s">
        <v>49</v>
      </c>
      <c r="B41" s="3"/>
      <c r="C41" s="3"/>
      <c r="D41" s="3"/>
      <c r="E41" s="4" t="str">
        <f>HYPERLINK("https://dpmzos25m8ivg.cloudfront.net/Documentos/631/00130262242/6310013026224211092023151712.pdf","https://dpmzos25m8ivg.cloudfront.net/Documentos/631/00130262242/6310013026224211092023151712.pdf")</f>
        <v>https://dpmzos25m8ivg.cloudfront.net/Documentos/631/00130262242/6310013026224211092023151712.pdf</v>
      </c>
      <c r="F41" s="5" t="str">
        <f>HYPERLINK("https://dpmzos25m8ivg.cloudfront.net/Documentos/631/00130262242/6310013026224211092023151725.pdf","https://dpmzos25m8ivg.cloudfront.net/Documentos/631/00130262242/6310013026224211092023151725.pdf")</f>
        <v>https://dpmzos25m8ivg.cloudfront.net/Documentos/631/00130262242/6310013026224211092023151725.pdf</v>
      </c>
      <c r="G41" s="5" t="str">
        <f>HYPERLINK("https://dpmzos25m8ivg.cloudfront.net/Documentos/631/00130262242/6310013026224211092023151736.pdf","https://dpmzos25m8ivg.cloudfront.net/Documentos/631/00130262242/6310013026224211092023151736.pdf")</f>
        <v>https://dpmzos25m8ivg.cloudfront.net/Documentos/631/00130262242/6310013026224211092023151736.pdf</v>
      </c>
      <c r="H41" s="4" t="s">
        <v>8628</v>
      </c>
    </row>
    <row r="42" spans="1:8" x14ac:dyDescent="0.25">
      <c r="A42" s="2" t="s">
        <v>50</v>
      </c>
      <c r="B42" s="3"/>
      <c r="C42" s="3"/>
      <c r="D42" s="3"/>
      <c r="E42" s="4" t="str">
        <f>HYPERLINK("https://dpmzos25m8ivg.cloudfront.net/Documentos/631/00131221000/6310013122100011092023134952.pdf","https://dpmzos25m8ivg.cloudfront.net/Documentos/631/00131221000/6310013122100011092023134952.pdf")</f>
        <v>https://dpmzos25m8ivg.cloudfront.net/Documentos/631/00131221000/6310013122100011092023134952.pdf</v>
      </c>
      <c r="F42" s="5" t="str">
        <f>HYPERLINK("https://dpmzos25m8ivg.cloudfront.net/Documentos/631/00131221000/6310013122100011092023135001.pdf","https://dpmzos25m8ivg.cloudfront.net/Documentos/631/00131221000/6310013122100011092023135001.pdf")</f>
        <v>https://dpmzos25m8ivg.cloudfront.net/Documentos/631/00131221000/6310013122100011092023135001.pdf</v>
      </c>
      <c r="G42" s="5" t="str">
        <f>HYPERLINK("https://dpmzos25m8ivg.cloudfront.net/Documentos/631/00131221000/6310013122100011092023135011.pdf","https://dpmzos25m8ivg.cloudfront.net/Documentos/631/00131221000/6310013122100011092023135011.pdf")</f>
        <v>https://dpmzos25m8ivg.cloudfront.net/Documentos/631/00131221000/6310013122100011092023135011.pdf</v>
      </c>
      <c r="H42" s="4" t="s">
        <v>8629</v>
      </c>
    </row>
    <row r="43" spans="1:8" x14ac:dyDescent="0.25">
      <c r="A43" s="2" t="s">
        <v>51</v>
      </c>
      <c r="B43" s="3"/>
      <c r="C43" s="3"/>
      <c r="D43" s="3"/>
      <c r="E43" s="4" t="str">
        <f>HYPERLINK("https://dpmzos25m8ivg.cloudfront.net/Documentos/631/00138780269/6310013878026905092023192355.pdf","https://dpmzos25m8ivg.cloudfront.net/Documentos/631/00138780269/6310013878026905092023192355.pdf")</f>
        <v>https://dpmzos25m8ivg.cloudfront.net/Documentos/631/00138780269/6310013878026905092023192355.pdf</v>
      </c>
      <c r="F43" s="5" t="str">
        <f>HYPERLINK("https://dpmzos25m8ivg.cloudfront.net/Documentos/631/00138780269/6310013878026905092023192421.pdf","https://dpmzos25m8ivg.cloudfront.net/Documentos/631/00138780269/6310013878026905092023192421.pdf")</f>
        <v>https://dpmzos25m8ivg.cloudfront.net/Documentos/631/00138780269/6310013878026905092023192421.pdf</v>
      </c>
      <c r="G43" s="5" t="str">
        <f>HYPERLINK("https://dpmzos25m8ivg.cloudfront.net/Documentos/631/00138780269/6310013878026905092023192432.pdf","https://dpmzos25m8ivg.cloudfront.net/Documentos/631/00138780269/6310013878026905092023192432.pdf")</f>
        <v>https://dpmzos25m8ivg.cloudfront.net/Documentos/631/00138780269/6310013878026905092023192432.pdf</v>
      </c>
      <c r="H43" s="4" t="s">
        <v>8630</v>
      </c>
    </row>
    <row r="44" spans="1:8" x14ac:dyDescent="0.25">
      <c r="A44" s="2" t="s">
        <v>52</v>
      </c>
      <c r="B44" s="3"/>
      <c r="C44" s="3"/>
      <c r="D44" s="3"/>
      <c r="E44" s="4" t="str">
        <f>HYPERLINK("https://dpmzos25m8ivg.cloudfront.net/Documentos/631/00139824510/6310013982451011092023103657.pdf","https://dpmzos25m8ivg.cloudfront.net/Documentos/631/00139824510/6310013982451011092023103657.pdf")</f>
        <v>https://dpmzos25m8ivg.cloudfront.net/Documentos/631/00139824510/6310013982451011092023103657.pdf</v>
      </c>
      <c r="F44" s="5" t="str">
        <f>HYPERLINK("https://dpmzos25m8ivg.cloudfront.net/Documentos/631/00139824510/6310013982451011092023103711.pdf","https://dpmzos25m8ivg.cloudfront.net/Documentos/631/00139824510/6310013982451011092023103711.pdf")</f>
        <v>https://dpmzos25m8ivg.cloudfront.net/Documentos/631/00139824510/6310013982451011092023103711.pdf</v>
      </c>
      <c r="G44" s="5" t="str">
        <f>HYPERLINK("https://dpmzos25m8ivg.cloudfront.net/Documentos/631/00139824510/6310013982451011092023103725.pdf","https://dpmzos25m8ivg.cloudfront.net/Documentos/631/00139824510/6310013982451011092023103725.pdf")</f>
        <v>https://dpmzos25m8ivg.cloudfront.net/Documentos/631/00139824510/6310013982451011092023103725.pdf</v>
      </c>
      <c r="H44" s="4" t="s">
        <v>8631</v>
      </c>
    </row>
    <row r="45" spans="1:8" x14ac:dyDescent="0.25">
      <c r="A45" s="2" t="s">
        <v>53</v>
      </c>
      <c r="B45" s="3"/>
      <c r="C45" s="3"/>
      <c r="D45" s="3"/>
      <c r="E45" s="4" t="str">
        <f>HYPERLINK("https://dpmzos25m8ivg.cloudfront.net/Documentos/631/00139977007/6310013997700714092023104132.pdf","https://dpmzos25m8ivg.cloudfront.net/Documentos/631/00139977007/6310013997700714092023104132.pdf")</f>
        <v>https://dpmzos25m8ivg.cloudfront.net/Documentos/631/00139977007/6310013997700714092023104132.pdf</v>
      </c>
      <c r="F45" s="5" t="str">
        <f>HYPERLINK("https://dpmzos25m8ivg.cloudfront.net/Documentos/631/00139977007/6310013997700714092023104147.pdf","https://dpmzos25m8ivg.cloudfront.net/Documentos/631/00139977007/6310013997700714092023104147.pdf")</f>
        <v>https://dpmzos25m8ivg.cloudfront.net/Documentos/631/00139977007/6310013997700714092023104147.pdf</v>
      </c>
      <c r="G45" s="5" t="str">
        <f>HYPERLINK("https://dpmzos25m8ivg.cloudfront.net/Documentos/631/00139977007/6310013997700714092023104159.pdf","https://dpmzos25m8ivg.cloudfront.net/Documentos/631/00139977007/6310013997700714092023104159.pdf")</f>
        <v>https://dpmzos25m8ivg.cloudfront.net/Documentos/631/00139977007/6310013997700714092023104159.pdf</v>
      </c>
      <c r="H45" s="4" t="s">
        <v>8632</v>
      </c>
    </row>
    <row r="46" spans="1:8" x14ac:dyDescent="0.25">
      <c r="A46" s="2" t="s">
        <v>54</v>
      </c>
      <c r="B46" s="3"/>
      <c r="C46" s="3"/>
      <c r="D46" s="3"/>
      <c r="E46" s="4" t="str">
        <f>HYPERLINK("https://dpmzos25m8ivg.cloudfront.net/Documentos/631/00148503624/6310014850362411092023122512.pdf","https://dpmzos25m8ivg.cloudfront.net/Documentos/631/00148503624/6310014850362411092023122512.pdf")</f>
        <v>https://dpmzos25m8ivg.cloudfront.net/Documentos/631/00148503624/6310014850362411092023122512.pdf</v>
      </c>
      <c r="F46" s="5" t="str">
        <f>HYPERLINK("https://dpmzos25m8ivg.cloudfront.net/Documentos/631/00148503624/6310014850362411092023122520.pdf","https://dpmzos25m8ivg.cloudfront.net/Documentos/631/00148503624/6310014850362411092023122520.pdf")</f>
        <v>https://dpmzos25m8ivg.cloudfront.net/Documentos/631/00148503624/6310014850362411092023122520.pdf</v>
      </c>
      <c r="G46" s="5" t="str">
        <f>HYPERLINK("https://dpmzos25m8ivg.cloudfront.net/Documentos/631/00148503624/6310014850362411092023122528.pdf","https://dpmzos25m8ivg.cloudfront.net/Documentos/631/00148503624/6310014850362411092023122528.pdf")</f>
        <v>https://dpmzos25m8ivg.cloudfront.net/Documentos/631/00148503624/6310014850362411092023122528.pdf</v>
      </c>
      <c r="H46" s="4" t="s">
        <v>8633</v>
      </c>
    </row>
    <row r="47" spans="1:8" x14ac:dyDescent="0.25">
      <c r="A47" s="2" t="s">
        <v>55</v>
      </c>
      <c r="B47" s="3"/>
      <c r="C47" s="3"/>
      <c r="D47" s="3"/>
      <c r="E47" s="4" t="str">
        <f>HYPERLINK("https://dpmzos25m8ivg.cloudfront.net/Documentos/631/00148894399/6310014889439911092023143127.pdf","https://dpmzos25m8ivg.cloudfront.net/Documentos/631/00148894399/6310014889439911092023143127.pdf")</f>
        <v>https://dpmzos25m8ivg.cloudfront.net/Documentos/631/00148894399/6310014889439911092023143127.pdf</v>
      </c>
      <c r="F47" s="5" t="str">
        <f>HYPERLINK("https://dpmzos25m8ivg.cloudfront.net/Documentos/631/00148894399/6310014889439911092023143143.pdf","https://dpmzos25m8ivg.cloudfront.net/Documentos/631/00148894399/6310014889439911092023143143.pdf")</f>
        <v>https://dpmzos25m8ivg.cloudfront.net/Documentos/631/00148894399/6310014889439911092023143143.pdf</v>
      </c>
      <c r="G47" s="5" t="str">
        <f>HYPERLINK("https://dpmzos25m8ivg.cloudfront.net/Documentos/631/00148894399/6310014889439911092023143155.pdf","https://dpmzos25m8ivg.cloudfront.net/Documentos/631/00148894399/6310014889439911092023143155.pdf")</f>
        <v>https://dpmzos25m8ivg.cloudfront.net/Documentos/631/00148894399/6310014889439911092023143155.pdf</v>
      </c>
      <c r="H47" s="4" t="s">
        <v>8634</v>
      </c>
    </row>
    <row r="48" spans="1:8" x14ac:dyDescent="0.25">
      <c r="A48" s="2" t="s">
        <v>56</v>
      </c>
      <c r="B48" s="3"/>
      <c r="C48" s="3"/>
      <c r="D48" s="3"/>
      <c r="E48" s="4" t="str">
        <f>HYPERLINK("https://dpmzos25m8ivg.cloudfront.net/Documentos/631/00149150300/6310014915030005092023151231.pdf","https://dpmzos25m8ivg.cloudfront.net/Documentos/631/00149150300/6310014915030005092023151231.pdf")</f>
        <v>https://dpmzos25m8ivg.cloudfront.net/Documentos/631/00149150300/6310014915030005092023151231.pdf</v>
      </c>
      <c r="F48" s="5" t="str">
        <f>HYPERLINK("https://dpmzos25m8ivg.cloudfront.net/Documentos/631/00149150300/6310014915030005092023151254.pdf","https://dpmzos25m8ivg.cloudfront.net/Documentos/631/00149150300/6310014915030005092023151254.pdf")</f>
        <v>https://dpmzos25m8ivg.cloudfront.net/Documentos/631/00149150300/6310014915030005092023151254.pdf</v>
      </c>
      <c r="G48" s="5" t="str">
        <f>HYPERLINK("https://dpmzos25m8ivg.cloudfront.net/Documentos/631/00149150300/6310014915030005092023151323.pdf","https://dpmzos25m8ivg.cloudfront.net/Documentos/631/00149150300/6310014915030005092023151323.pdf")</f>
        <v>https://dpmzos25m8ivg.cloudfront.net/Documentos/631/00149150300/6310014915030005092023151323.pdf</v>
      </c>
      <c r="H48" s="4" t="s">
        <v>8635</v>
      </c>
    </row>
    <row r="49" spans="1:8" x14ac:dyDescent="0.25">
      <c r="A49" s="2" t="s">
        <v>57</v>
      </c>
      <c r="B49" s="3"/>
      <c r="C49" s="3"/>
      <c r="D49" s="3"/>
      <c r="E49" s="4" t="str">
        <f>HYPERLINK("https://dpmzos25m8ivg.cloudfront.net/Documentos/631/00154832154/6310015483215411092023152208.jpeg","https://dpmzos25m8ivg.cloudfront.net/Documentos/631/00154832154/6310015483215411092023152208.jpeg")</f>
        <v>https://dpmzos25m8ivg.cloudfront.net/Documentos/631/00154832154/6310015483215411092023152208.jpeg</v>
      </c>
      <c r="F49" s="5" t="str">
        <f>HYPERLINK("https://dpmzos25m8ivg.cloudfront.net/Documentos/631/00154832154/6310015483215411092023152226.jpeg","https://dpmzos25m8ivg.cloudfront.net/Documentos/631/00154832154/6310015483215411092023152226.jpeg")</f>
        <v>https://dpmzos25m8ivg.cloudfront.net/Documentos/631/00154832154/6310015483215411092023152226.jpeg</v>
      </c>
      <c r="G49" s="5" t="str">
        <f>HYPERLINK("https://dpmzos25m8ivg.cloudfront.net/Documentos/631/00154832154/6310015483215411092023152239.jpeg","https://dpmzos25m8ivg.cloudfront.net/Documentos/631/00154832154/6310015483215411092023152239.jpeg")</f>
        <v>https://dpmzos25m8ivg.cloudfront.net/Documentos/631/00154832154/6310015483215411092023152239.jpeg</v>
      </c>
      <c r="H49" s="4" t="s">
        <v>8636</v>
      </c>
    </row>
    <row r="50" spans="1:8" x14ac:dyDescent="0.25">
      <c r="A50" s="2" t="s">
        <v>58</v>
      </c>
      <c r="B50" s="3" t="s">
        <v>23</v>
      </c>
      <c r="C50" s="3"/>
      <c r="D50" s="3"/>
      <c r="E50" s="4" t="str">
        <f>HYPERLINK("https://dpmzos25m8ivg.cloudfront.net/Documentos/631/00156002116/6310015600211605092023111109.jpg","https://dpmzos25m8ivg.cloudfront.net/Documentos/631/00156002116/6310015600211605092023111109.jpg")</f>
        <v>https://dpmzos25m8ivg.cloudfront.net/Documentos/631/00156002116/6310015600211605092023111109.jpg</v>
      </c>
      <c r="F50" s="5" t="str">
        <f>HYPERLINK("https://dpmzos25m8ivg.cloudfront.net/Documentos/631/00156002116/6310015600211605092023111159.jpg","https://dpmzos25m8ivg.cloudfront.net/Documentos/631/00156002116/6310015600211605092023111159.jpg")</f>
        <v>https://dpmzos25m8ivg.cloudfront.net/Documentos/631/00156002116/6310015600211605092023111159.jpg</v>
      </c>
      <c r="G50" s="5" t="str">
        <f>HYPERLINK("https://dpmzos25m8ivg.cloudfront.net/Documentos/631/00156002116/6310015600211605092023111235.jpg","https://dpmzos25m8ivg.cloudfront.net/Documentos/631/00156002116/6310015600211605092023111235.jpg")</f>
        <v>https://dpmzos25m8ivg.cloudfront.net/Documentos/631/00156002116/6310015600211605092023111235.jpg</v>
      </c>
      <c r="H50" s="4" t="s">
        <v>8637</v>
      </c>
    </row>
    <row r="51" spans="1:8" x14ac:dyDescent="0.25">
      <c r="A51" s="2" t="s">
        <v>59</v>
      </c>
      <c r="B51" s="3" t="s">
        <v>8</v>
      </c>
      <c r="C51" s="3"/>
      <c r="D51" s="3"/>
      <c r="E51" s="4" t="str">
        <f>HYPERLINK("https://dpmzos25m8ivg.cloudfront.net/Documentos/631/00167972804/6310016797280413092023115433.jpg","https://dpmzos25m8ivg.cloudfront.net/Documentos/631/00167972804/6310016797280413092023115433.jpg")</f>
        <v>https://dpmzos25m8ivg.cloudfront.net/Documentos/631/00167972804/6310016797280413092023115433.jpg</v>
      </c>
      <c r="F51" s="5" t="str">
        <f>HYPERLINK("https://dpmzos25m8ivg.cloudfront.net/Documentos/631/00167972804/6310016797280413092023131949.jpg","https://dpmzos25m8ivg.cloudfront.net/Documentos/631/00167972804/6310016797280413092023131949.jpg")</f>
        <v>https://dpmzos25m8ivg.cloudfront.net/Documentos/631/00167972804/6310016797280413092023131949.jpg</v>
      </c>
      <c r="G51" s="5" t="str">
        <f>HYPERLINK("https://dpmzos25m8ivg.cloudfront.net/Documentos/631/00167972804/6310016797280413092023132038.jpg","https://dpmzos25m8ivg.cloudfront.net/Documentos/631/00167972804/6310016797280413092023132038.jpg")</f>
        <v>https://dpmzos25m8ivg.cloudfront.net/Documentos/631/00167972804/6310016797280413092023132038.jpg</v>
      </c>
      <c r="H51" s="4" t="s">
        <v>8638</v>
      </c>
    </row>
    <row r="52" spans="1:8" x14ac:dyDescent="0.25">
      <c r="A52" s="2" t="s">
        <v>60</v>
      </c>
      <c r="B52" s="3"/>
      <c r="C52" s="3"/>
      <c r="D52" s="3"/>
      <c r="E52" s="4" t="str">
        <f>HYPERLINK("https://dpmzos25m8ivg.cloudfront.net/Documentos/631/00168458110/6310016845811010092023095029.pdf","https://dpmzos25m8ivg.cloudfront.net/Documentos/631/00168458110/6310016845811010092023095029.pdf")</f>
        <v>https://dpmzos25m8ivg.cloudfront.net/Documentos/631/00168458110/6310016845811010092023095029.pdf</v>
      </c>
      <c r="F52" s="5" t="str">
        <f>HYPERLINK("https://dpmzos25m8ivg.cloudfront.net/Documentos/631/00168458110/6310016845811010092023095038.pdf","https://dpmzos25m8ivg.cloudfront.net/Documentos/631/00168458110/6310016845811010092023095038.pdf")</f>
        <v>https://dpmzos25m8ivg.cloudfront.net/Documentos/631/00168458110/6310016845811010092023095038.pdf</v>
      </c>
      <c r="G52" s="5" t="str">
        <f>HYPERLINK("https://dpmzos25m8ivg.cloudfront.net/Documentos/631/00168458110/6310016845811010092023095045.pdf","https://dpmzos25m8ivg.cloudfront.net/Documentos/631/00168458110/6310016845811010092023095045.pdf")</f>
        <v>https://dpmzos25m8ivg.cloudfront.net/Documentos/631/00168458110/6310016845811010092023095045.pdf</v>
      </c>
      <c r="H52" s="4" t="s">
        <v>8639</v>
      </c>
    </row>
    <row r="53" spans="1:8" x14ac:dyDescent="0.25">
      <c r="A53" s="2" t="s">
        <v>61</v>
      </c>
      <c r="B53" s="3" t="s">
        <v>62</v>
      </c>
      <c r="C53" s="3"/>
      <c r="D53" s="3"/>
      <c r="E53" s="4" t="str">
        <f>HYPERLINK("https://dpmzos25m8ivg.cloudfront.net/Documentos/631/00176543279/6310017654327911092023163838.pdf","https://dpmzos25m8ivg.cloudfront.net/Documentos/631/00176543279/6310017654327911092023163838.pdf")</f>
        <v>https://dpmzos25m8ivg.cloudfront.net/Documentos/631/00176543279/6310017654327911092023163838.pdf</v>
      </c>
      <c r="F53" s="5" t="str">
        <f>HYPERLINK("https://dpmzos25m8ivg.cloudfront.net/Documentos/631/00176543279/6310017654327911092023163858.pdf","https://dpmzos25m8ivg.cloudfront.net/Documentos/631/00176543279/6310017654327911092023163858.pdf")</f>
        <v>https://dpmzos25m8ivg.cloudfront.net/Documentos/631/00176543279/6310017654327911092023163858.pdf</v>
      </c>
      <c r="G53" s="5" t="str">
        <f>HYPERLINK("https://dpmzos25m8ivg.cloudfront.net/Documentos/631/00176543279/6310017654327911092023163918.pdf","https://dpmzos25m8ivg.cloudfront.net/Documentos/631/00176543279/6310017654327911092023163918.pdf")</f>
        <v>https://dpmzos25m8ivg.cloudfront.net/Documentos/631/00176543279/6310017654327911092023163918.pdf</v>
      </c>
      <c r="H53" s="4" t="s">
        <v>8640</v>
      </c>
    </row>
    <row r="54" spans="1:8" x14ac:dyDescent="0.25">
      <c r="A54" s="2" t="s">
        <v>63</v>
      </c>
      <c r="B54" s="3"/>
      <c r="C54" s="3"/>
      <c r="D54" s="3"/>
      <c r="E54" s="4" t="str">
        <f>HYPERLINK("https://dpmzos25m8ivg.cloudfront.net/Documentos/631/00192616323/6310019261632308092023222525.pdf","https://dpmzos25m8ivg.cloudfront.net/Documentos/631/00192616323/6310019261632308092023222525.pdf")</f>
        <v>https://dpmzos25m8ivg.cloudfront.net/Documentos/631/00192616323/6310019261632308092023222525.pdf</v>
      </c>
      <c r="F54" s="5" t="str">
        <f>HYPERLINK("https://dpmzos25m8ivg.cloudfront.net/Documentos/631/00192616323/6310019261632308092023222516.pdf","https://dpmzos25m8ivg.cloudfront.net/Documentos/631/00192616323/6310019261632308092023222516.pdf")</f>
        <v>https://dpmzos25m8ivg.cloudfront.net/Documentos/631/00192616323/6310019261632308092023222516.pdf</v>
      </c>
      <c r="G54" s="5" t="str">
        <f>HYPERLINK("https://dpmzos25m8ivg.cloudfront.net/Documentos/631/00192616323/6310019261632308092023222507.pdf","https://dpmzos25m8ivg.cloudfront.net/Documentos/631/00192616323/6310019261632308092023222507.pdf")</f>
        <v>https://dpmzos25m8ivg.cloudfront.net/Documentos/631/00192616323/6310019261632308092023222507.pdf</v>
      </c>
      <c r="H54" s="4" t="s">
        <v>8641</v>
      </c>
    </row>
    <row r="55" spans="1:8" x14ac:dyDescent="0.25">
      <c r="A55" s="2" t="s">
        <v>64</v>
      </c>
      <c r="B55" s="3"/>
      <c r="C55" s="3"/>
      <c r="D55" s="3"/>
      <c r="E55" s="4" t="str">
        <f>HYPERLINK("https://dpmzos25m8ivg.cloudfront.net/Documentos/631/00197749151/6310019774915113092023160201.jpg","https://dpmzos25m8ivg.cloudfront.net/Documentos/631/00197749151/6310019774915113092023160201.jpg")</f>
        <v>https://dpmzos25m8ivg.cloudfront.net/Documentos/631/00197749151/6310019774915113092023160201.jpg</v>
      </c>
      <c r="F55" s="5" t="str">
        <f>HYPERLINK("https://dpmzos25m8ivg.cloudfront.net/Documentos/631/00197749151/6310019774915113092023160227.jpg","https://dpmzos25m8ivg.cloudfront.net/Documentos/631/00197749151/6310019774915113092023160227.jpg")</f>
        <v>https://dpmzos25m8ivg.cloudfront.net/Documentos/631/00197749151/6310019774915113092023160227.jpg</v>
      </c>
      <c r="G55" s="5" t="str">
        <f>HYPERLINK("https://dpmzos25m8ivg.cloudfront.net/Documentos/631/00197749151/6310019774915113092023160253.jpg","https://dpmzos25m8ivg.cloudfront.net/Documentos/631/00197749151/6310019774915113092023160253.jpg")</f>
        <v>https://dpmzos25m8ivg.cloudfront.net/Documentos/631/00197749151/6310019774915113092023160253.jpg</v>
      </c>
      <c r="H55" s="4" t="s">
        <v>8642</v>
      </c>
    </row>
    <row r="56" spans="1:8" x14ac:dyDescent="0.25">
      <c r="A56" s="2" t="s">
        <v>65</v>
      </c>
      <c r="B56" s="3"/>
      <c r="C56" s="3"/>
      <c r="D56" s="3"/>
      <c r="E56" s="4" t="str">
        <f>HYPERLINK("https://dpmzos25m8ivg.cloudfront.net/Documentos/631/00200313274/6310020031327411092023125853.pdf","https://dpmzos25m8ivg.cloudfront.net/Documentos/631/00200313274/6310020031327411092023125853.pdf")</f>
        <v>https://dpmzos25m8ivg.cloudfront.net/Documentos/631/00200313274/6310020031327411092023125853.pdf</v>
      </c>
      <c r="F56" s="5" t="str">
        <f>HYPERLINK("https://dpmzos25m8ivg.cloudfront.net/Documentos/631/00200313274/6310020031327411092023125921.pdf","https://dpmzos25m8ivg.cloudfront.net/Documentos/631/00200313274/6310020031327411092023125921.pdf")</f>
        <v>https://dpmzos25m8ivg.cloudfront.net/Documentos/631/00200313274/6310020031327411092023125921.pdf</v>
      </c>
      <c r="G56" s="5" t="str">
        <f>HYPERLINK("https://dpmzos25m8ivg.cloudfront.net/Documentos/631/00200313274/6310020031327411092023130105.pdf","https://dpmzos25m8ivg.cloudfront.net/Documentos/631/00200313274/6310020031327411092023130105.pdf")</f>
        <v>https://dpmzos25m8ivg.cloudfront.net/Documentos/631/00200313274/6310020031327411092023130105.pdf</v>
      </c>
      <c r="H56" s="4" t="s">
        <v>8643</v>
      </c>
    </row>
    <row r="57" spans="1:8" x14ac:dyDescent="0.25">
      <c r="A57" s="2" t="s">
        <v>66</v>
      </c>
      <c r="B57" s="3"/>
      <c r="C57" s="3"/>
      <c r="D57" s="3"/>
      <c r="E57" s="4" t="str">
        <f>HYPERLINK("https://dpmzos25m8ivg.cloudfront.net/Documentos/631/00202671500/6310020267150005092023180852.pdf","https://dpmzos25m8ivg.cloudfront.net/Documentos/631/00202671500/6310020267150005092023180852.pdf")</f>
        <v>https://dpmzos25m8ivg.cloudfront.net/Documentos/631/00202671500/6310020267150005092023180852.pdf</v>
      </c>
      <c r="F57" s="5" t="str">
        <f>HYPERLINK("https://dpmzos25m8ivg.cloudfront.net/Documentos/631/00202671500/6310020267150005092023180916.pdf","https://dpmzos25m8ivg.cloudfront.net/Documentos/631/00202671500/6310020267150005092023180916.pdf")</f>
        <v>https://dpmzos25m8ivg.cloudfront.net/Documentos/631/00202671500/6310020267150005092023180916.pdf</v>
      </c>
      <c r="G57" s="5" t="str">
        <f>HYPERLINK("https://dpmzos25m8ivg.cloudfront.net/Documentos/631/00202671500/6310020267150005092023180934.pdf","https://dpmzos25m8ivg.cloudfront.net/Documentos/631/00202671500/6310020267150005092023180934.pdf")</f>
        <v>https://dpmzos25m8ivg.cloudfront.net/Documentos/631/00202671500/6310020267150005092023180934.pdf</v>
      </c>
      <c r="H57" s="4" t="s">
        <v>8644</v>
      </c>
    </row>
    <row r="58" spans="1:8" x14ac:dyDescent="0.25">
      <c r="A58" s="2" t="s">
        <v>67</v>
      </c>
      <c r="B58" s="3"/>
      <c r="C58" s="3"/>
      <c r="D58" s="3"/>
      <c r="E58" s="4" t="str">
        <f>HYPERLINK("https://dpmzos25m8ivg.cloudfront.net/Documentos/631/00207782288/6310020778228807092023212113.pdf","https://dpmzos25m8ivg.cloudfront.net/Documentos/631/00207782288/6310020778228807092023212113.pdf")</f>
        <v>https://dpmzos25m8ivg.cloudfront.net/Documentos/631/00207782288/6310020778228807092023212113.pdf</v>
      </c>
      <c r="F58" s="5" t="str">
        <f>HYPERLINK("https://dpmzos25m8ivg.cloudfront.net/Documentos/631/00207782288/6310020778228807092023212220.pdf","https://dpmzos25m8ivg.cloudfront.net/Documentos/631/00207782288/6310020778228807092023212220.pdf")</f>
        <v>https://dpmzos25m8ivg.cloudfront.net/Documentos/631/00207782288/6310020778228807092023212220.pdf</v>
      </c>
      <c r="G58" s="5" t="str">
        <f>HYPERLINK("https://dpmzos25m8ivg.cloudfront.net/Documentos/631/00207782288/6310020778228807092023212303.pdf","https://dpmzos25m8ivg.cloudfront.net/Documentos/631/00207782288/6310020778228807092023212303.pdf")</f>
        <v>https://dpmzos25m8ivg.cloudfront.net/Documentos/631/00207782288/6310020778228807092023212303.pdf</v>
      </c>
      <c r="H58" s="4" t="s">
        <v>8645</v>
      </c>
    </row>
    <row r="59" spans="1:8" x14ac:dyDescent="0.25">
      <c r="A59" s="2" t="s">
        <v>68</v>
      </c>
      <c r="B59" s="3"/>
      <c r="C59" s="3"/>
      <c r="D59" s="3"/>
      <c r="E59" s="4" t="str">
        <f>HYPERLINK("https://dpmzos25m8ivg.cloudfront.net/Documentos/631/00215735226/6310021573522611092023133035.pdf","https://dpmzos25m8ivg.cloudfront.net/Documentos/631/00215735226/6310021573522611092023133035.pdf")</f>
        <v>https://dpmzos25m8ivg.cloudfront.net/Documentos/631/00215735226/6310021573522611092023133035.pdf</v>
      </c>
      <c r="F59" s="5" t="str">
        <f>HYPERLINK("https://dpmzos25m8ivg.cloudfront.net/Documentos/631/00215735226/6310021573522611092023133051.pdf","https://dpmzos25m8ivg.cloudfront.net/Documentos/631/00215735226/6310021573522611092023133051.pdf")</f>
        <v>https://dpmzos25m8ivg.cloudfront.net/Documentos/631/00215735226/6310021573522611092023133051.pdf</v>
      </c>
      <c r="G59" s="5" t="str">
        <f>HYPERLINK("https://dpmzos25m8ivg.cloudfront.net/Documentos/631/00215735226/6310021573522611092023133106.pdf","https://dpmzos25m8ivg.cloudfront.net/Documentos/631/00215735226/6310021573522611092023133106.pdf")</f>
        <v>https://dpmzos25m8ivg.cloudfront.net/Documentos/631/00215735226/6310021573522611092023133106.pdf</v>
      </c>
      <c r="H59" s="4" t="s">
        <v>8646</v>
      </c>
    </row>
    <row r="60" spans="1:8" x14ac:dyDescent="0.25">
      <c r="A60" s="2" t="s">
        <v>69</v>
      </c>
      <c r="B60" s="3"/>
      <c r="C60" s="3"/>
      <c r="D60" s="3"/>
      <c r="E60" s="4" t="str">
        <f>HYPERLINK("https://dpmzos25m8ivg.cloudfront.net/Documentos/631/00217516335/6310021751633511092023163104.pdf","https://dpmzos25m8ivg.cloudfront.net/Documentos/631/00217516335/6310021751633511092023163104.pdf")</f>
        <v>https://dpmzos25m8ivg.cloudfront.net/Documentos/631/00217516335/6310021751633511092023163104.pdf</v>
      </c>
      <c r="F60" s="5" t="str">
        <f>HYPERLINK("https://dpmzos25m8ivg.cloudfront.net/Documentos/631/00217516335/6310021751633511092023163117.pdf","https://dpmzos25m8ivg.cloudfront.net/Documentos/631/00217516335/6310021751633511092023163117.pdf")</f>
        <v>https://dpmzos25m8ivg.cloudfront.net/Documentos/631/00217516335/6310021751633511092023163117.pdf</v>
      </c>
      <c r="G60" s="5" t="str">
        <f>HYPERLINK("https://dpmzos25m8ivg.cloudfront.net/Documentos/631/00217516335/6310021751633511092023163150.pdf","https://dpmzos25m8ivg.cloudfront.net/Documentos/631/00217516335/6310021751633511092023163150.pdf")</f>
        <v>https://dpmzos25m8ivg.cloudfront.net/Documentos/631/00217516335/6310021751633511092023163150.pdf</v>
      </c>
      <c r="H60" s="4" t="s">
        <v>8647</v>
      </c>
    </row>
    <row r="61" spans="1:8" x14ac:dyDescent="0.25">
      <c r="A61" s="2" t="s">
        <v>70</v>
      </c>
      <c r="B61" s="3"/>
      <c r="C61" s="3"/>
      <c r="D61" s="3"/>
      <c r="E61" s="4" t="str">
        <f>HYPERLINK("https://dpmzos25m8ivg.cloudfront.net/Documentos/631/00221154558/6310022115455813092023114818.jpg","https://dpmzos25m8ivg.cloudfront.net/Documentos/631/00221154558/6310022115455813092023114818.jpg")</f>
        <v>https://dpmzos25m8ivg.cloudfront.net/Documentos/631/00221154558/6310022115455813092023114818.jpg</v>
      </c>
      <c r="F61" s="5" t="str">
        <f>HYPERLINK("https://dpmzos25m8ivg.cloudfront.net/Documentos/631/00221154558/6310022115455813092023114832.jpg","https://dpmzos25m8ivg.cloudfront.net/Documentos/631/00221154558/6310022115455813092023114832.jpg")</f>
        <v>https://dpmzos25m8ivg.cloudfront.net/Documentos/631/00221154558/6310022115455813092023114832.jpg</v>
      </c>
      <c r="G61" s="5" t="str">
        <f>HYPERLINK("https://dpmzos25m8ivg.cloudfront.net/Documentos/631/00221154558/6310022115455813092023114858.jpg","https://dpmzos25m8ivg.cloudfront.net/Documentos/631/00221154558/6310022115455813092023114858.jpg")</f>
        <v>https://dpmzos25m8ivg.cloudfront.net/Documentos/631/00221154558/6310022115455813092023114858.jpg</v>
      </c>
      <c r="H61" s="4" t="s">
        <v>8648</v>
      </c>
    </row>
    <row r="62" spans="1:8" x14ac:dyDescent="0.25">
      <c r="A62" s="2" t="s">
        <v>71</v>
      </c>
      <c r="B62" s="3"/>
      <c r="C62" s="3"/>
      <c r="D62" s="3"/>
      <c r="E62" s="4" t="str">
        <f>HYPERLINK("https://dpmzos25m8ivg.cloudfront.net/Documentos/631/00229310230/6310022931023014092023145607.pdf","https://dpmzos25m8ivg.cloudfront.net/Documentos/631/00229310230/6310022931023014092023145607.pdf")</f>
        <v>https://dpmzos25m8ivg.cloudfront.net/Documentos/631/00229310230/6310022931023014092023145607.pdf</v>
      </c>
      <c r="F62" s="5" t="str">
        <f>HYPERLINK("https://dpmzos25m8ivg.cloudfront.net/Documentos/631/00229310230/6310022931023014092023145626.pdf","https://dpmzos25m8ivg.cloudfront.net/Documentos/631/00229310230/6310022931023014092023145626.pdf")</f>
        <v>https://dpmzos25m8ivg.cloudfront.net/Documentos/631/00229310230/6310022931023014092023145626.pdf</v>
      </c>
      <c r="G62" s="5" t="str">
        <f>HYPERLINK("https://dpmzos25m8ivg.cloudfront.net/Documentos/631/00229310230/6310022931023014092023145642.pdf","https://dpmzos25m8ivg.cloudfront.net/Documentos/631/00229310230/6310022931023014092023145642.pdf")</f>
        <v>https://dpmzos25m8ivg.cloudfront.net/Documentos/631/00229310230/6310022931023014092023145642.pdf</v>
      </c>
      <c r="H62" s="4" t="s">
        <v>8649</v>
      </c>
    </row>
    <row r="63" spans="1:8" x14ac:dyDescent="0.25">
      <c r="A63" s="2" t="s">
        <v>72</v>
      </c>
      <c r="B63" s="3"/>
      <c r="C63" s="3"/>
      <c r="D63" s="3"/>
      <c r="E63" s="4" t="str">
        <f>HYPERLINK("https://dpmzos25m8ivg.cloudfront.net/Documentos/631/00230044441/6310023004444106092023201839.jpg","https://dpmzos25m8ivg.cloudfront.net/Documentos/631/00230044441/6310023004444106092023201839.jpg")</f>
        <v>https://dpmzos25m8ivg.cloudfront.net/Documentos/631/00230044441/6310023004444106092023201839.jpg</v>
      </c>
      <c r="F63" s="5" t="str">
        <f>HYPERLINK("https://dpmzos25m8ivg.cloudfront.net/Documentos/631/00230044441/6310023004444106092023201749.jpg","https://dpmzos25m8ivg.cloudfront.net/Documentos/631/00230044441/6310023004444106092023201749.jpg")</f>
        <v>https://dpmzos25m8ivg.cloudfront.net/Documentos/631/00230044441/6310023004444106092023201749.jpg</v>
      </c>
      <c r="G63" s="5" t="str">
        <f>HYPERLINK("https://dpmzos25m8ivg.cloudfront.net/Documentos/631/00230044441/6310023004444106092023201657.jpg","https://dpmzos25m8ivg.cloudfront.net/Documentos/631/00230044441/6310023004444106092023201657.jpg")</f>
        <v>https://dpmzos25m8ivg.cloudfront.net/Documentos/631/00230044441/6310023004444106092023201657.jpg</v>
      </c>
      <c r="H63" s="4" t="s">
        <v>8650</v>
      </c>
    </row>
    <row r="64" spans="1:8" x14ac:dyDescent="0.25">
      <c r="A64" s="2" t="s">
        <v>73</v>
      </c>
      <c r="B64" s="3"/>
      <c r="C64" s="3"/>
      <c r="D64" s="3"/>
      <c r="E64" s="4" t="str">
        <f>HYPERLINK("https://dpmzos25m8ivg.cloudfront.net/Documentos/631/00234024747/6310023402474705092023164049.pdf","https://dpmzos25m8ivg.cloudfront.net/Documentos/631/00234024747/6310023402474705092023164049.pdf")</f>
        <v>https://dpmzos25m8ivg.cloudfront.net/Documentos/631/00234024747/6310023402474705092023164049.pdf</v>
      </c>
      <c r="F64" s="5" t="str">
        <f>HYPERLINK("https://dpmzos25m8ivg.cloudfront.net/Documentos/631/00234024747/6310023402474705092023164102.pdf","https://dpmzos25m8ivg.cloudfront.net/Documentos/631/00234024747/6310023402474705092023164102.pdf")</f>
        <v>https://dpmzos25m8ivg.cloudfront.net/Documentos/631/00234024747/6310023402474705092023164102.pdf</v>
      </c>
      <c r="G64" s="5" t="str">
        <f>HYPERLINK("https://dpmzos25m8ivg.cloudfront.net/Documentos/631/00234024747/6310023402474705092023164117.pdf","https://dpmzos25m8ivg.cloudfront.net/Documentos/631/00234024747/6310023402474705092023164117.pdf")</f>
        <v>https://dpmzos25m8ivg.cloudfront.net/Documentos/631/00234024747/6310023402474705092023164117.pdf</v>
      </c>
      <c r="H64" s="4" t="s">
        <v>8651</v>
      </c>
    </row>
    <row r="65" spans="1:8" x14ac:dyDescent="0.25">
      <c r="A65" s="2" t="s">
        <v>74</v>
      </c>
      <c r="B65" s="3"/>
      <c r="C65" s="3"/>
      <c r="D65" s="3"/>
      <c r="E65" s="4" t="str">
        <f>HYPERLINK("https://dpmzos25m8ivg.cloudfront.net/Documentos/631/00234410701/6310023441070114092023155455.pdf","https://dpmzos25m8ivg.cloudfront.net/Documentos/631/00234410701/6310023441070114092023155455.pdf")</f>
        <v>https://dpmzos25m8ivg.cloudfront.net/Documentos/631/00234410701/6310023441070114092023155455.pdf</v>
      </c>
      <c r="F65" s="5" t="str">
        <f>HYPERLINK("https://dpmzos25m8ivg.cloudfront.net/Documentos/631/00234410701/6310023441070114092023155512.pdf","https://dpmzos25m8ivg.cloudfront.net/Documentos/631/00234410701/6310023441070114092023155512.pdf")</f>
        <v>https://dpmzos25m8ivg.cloudfront.net/Documentos/631/00234410701/6310023441070114092023155512.pdf</v>
      </c>
      <c r="G65" s="5" t="str">
        <f>HYPERLINK("https://dpmzos25m8ivg.cloudfront.net/Documentos/631/00234410701/6310023441070114092023155520.pdf","https://dpmzos25m8ivg.cloudfront.net/Documentos/631/00234410701/6310023441070114092023155520.pdf")</f>
        <v>https://dpmzos25m8ivg.cloudfront.net/Documentos/631/00234410701/6310023441070114092023155520.pdf</v>
      </c>
      <c r="H65" s="4" t="s">
        <v>8652</v>
      </c>
    </row>
    <row r="66" spans="1:8" x14ac:dyDescent="0.25">
      <c r="A66" s="2" t="s">
        <v>75</v>
      </c>
      <c r="B66" s="3"/>
      <c r="C66" s="3"/>
      <c r="D66" s="3"/>
      <c r="E66" s="4" t="str">
        <f>HYPERLINK("https://dpmzos25m8ivg.cloudfront.net/Documentos/631/00237373289/6310023737328908092023192248.pdf","https://dpmzos25m8ivg.cloudfront.net/Documentos/631/00237373289/6310023737328908092023192248.pdf")</f>
        <v>https://dpmzos25m8ivg.cloudfront.net/Documentos/631/00237373289/6310023737328908092023192248.pdf</v>
      </c>
      <c r="F66" s="5" t="str">
        <f>HYPERLINK("https://dpmzos25m8ivg.cloudfront.net/Documentos/631/00237373289/6310023737328908092023192344.pdf","https://dpmzos25m8ivg.cloudfront.net/Documentos/631/00237373289/6310023737328908092023192344.pdf")</f>
        <v>https://dpmzos25m8ivg.cloudfront.net/Documentos/631/00237373289/6310023737328908092023192344.pdf</v>
      </c>
      <c r="G66" s="5" t="str">
        <f>HYPERLINK("https://dpmzos25m8ivg.cloudfront.net/Documentos/631/00237373289/6310023737328908092023192416.pdf","https://dpmzos25m8ivg.cloudfront.net/Documentos/631/00237373289/6310023737328908092023192416.pdf")</f>
        <v>https://dpmzos25m8ivg.cloudfront.net/Documentos/631/00237373289/6310023737328908092023192416.pdf</v>
      </c>
      <c r="H66" s="4" t="s">
        <v>8653</v>
      </c>
    </row>
    <row r="67" spans="1:8" x14ac:dyDescent="0.25">
      <c r="A67" s="2" t="s">
        <v>76</v>
      </c>
      <c r="B67" s="3" t="s">
        <v>42</v>
      </c>
      <c r="C67" s="3"/>
      <c r="D67" s="3"/>
      <c r="E67" s="4" t="str">
        <f>HYPERLINK("https://dpmzos25m8ivg.cloudfront.net/Documentos/631/00238124274/6310023812427412092023184038.jpeg","https://dpmzos25m8ivg.cloudfront.net/Documentos/631/00238124274/6310023812427412092023184038.jpeg")</f>
        <v>https://dpmzos25m8ivg.cloudfront.net/Documentos/631/00238124274/6310023812427412092023184038.jpeg</v>
      </c>
      <c r="F67" s="5" t="str">
        <f>HYPERLINK("https://dpmzos25m8ivg.cloudfront.net/Documentos/631/00238124274/6310023812427412092023184104.jpeg","https://dpmzos25m8ivg.cloudfront.net/Documentos/631/00238124274/6310023812427412092023184104.jpeg")</f>
        <v>https://dpmzos25m8ivg.cloudfront.net/Documentos/631/00238124274/6310023812427412092023184104.jpeg</v>
      </c>
      <c r="G67" s="5" t="str">
        <f>HYPERLINK("https://dpmzos25m8ivg.cloudfront.net/Documentos/631/00238124274/6310023812427412092023184133.jpeg","https://dpmzos25m8ivg.cloudfront.net/Documentos/631/00238124274/6310023812427412092023184133.jpeg")</f>
        <v>https://dpmzos25m8ivg.cloudfront.net/Documentos/631/00238124274/6310023812427412092023184133.jpeg</v>
      </c>
      <c r="H67" s="4" t="s">
        <v>8654</v>
      </c>
    </row>
    <row r="68" spans="1:8" x14ac:dyDescent="0.25">
      <c r="A68" s="2" t="s">
        <v>77</v>
      </c>
      <c r="B68" s="3" t="s">
        <v>8</v>
      </c>
      <c r="C68" s="3"/>
      <c r="D68" s="3"/>
      <c r="E68" s="4" t="str">
        <f>HYPERLINK("https://dpmzos25m8ivg.cloudfront.net/Documentos/631/00241901529/6310024190152911092023002306.pdf","https://dpmzos25m8ivg.cloudfront.net/Documentos/631/00241901529/6310024190152911092023002306.pdf")</f>
        <v>https://dpmzos25m8ivg.cloudfront.net/Documentos/631/00241901529/6310024190152911092023002306.pdf</v>
      </c>
      <c r="F68" s="5" t="str">
        <f>HYPERLINK("https://dpmzos25m8ivg.cloudfront.net/Documentos/631/00241901529/6310024190152911092023002544.pdf","https://dpmzos25m8ivg.cloudfront.net/Documentos/631/00241901529/6310024190152911092023002544.pdf")</f>
        <v>https://dpmzos25m8ivg.cloudfront.net/Documentos/631/00241901529/6310024190152911092023002544.pdf</v>
      </c>
      <c r="G68" s="5" t="str">
        <f>HYPERLINK("https://dpmzos25m8ivg.cloudfront.net/Documentos/631/00241901529/6310024190152911092023002817.pdf","https://dpmzos25m8ivg.cloudfront.net/Documentos/631/00241901529/6310024190152911092023002817.pdf")</f>
        <v>https://dpmzos25m8ivg.cloudfront.net/Documentos/631/00241901529/6310024190152911092023002817.pdf</v>
      </c>
      <c r="H68" s="4" t="s">
        <v>8655</v>
      </c>
    </row>
    <row r="69" spans="1:8" x14ac:dyDescent="0.25">
      <c r="A69" s="2" t="s">
        <v>78</v>
      </c>
      <c r="B69" s="3"/>
      <c r="C69" s="3"/>
      <c r="D69" s="3"/>
      <c r="E69" s="4" t="str">
        <f>HYPERLINK("https://dpmzos25m8ivg.cloudfront.net/Documentos/631/00244011290/6310024401129011092023094623.jpg","https://dpmzos25m8ivg.cloudfront.net/Documentos/631/00244011290/6310024401129011092023094623.jpg")</f>
        <v>https://dpmzos25m8ivg.cloudfront.net/Documentos/631/00244011290/6310024401129011092023094623.jpg</v>
      </c>
      <c r="F69" s="5" t="str">
        <f>HYPERLINK("https://dpmzos25m8ivg.cloudfront.net/Documentos/631/00244011290/6310024401129011092023094701.jpg","https://dpmzos25m8ivg.cloudfront.net/Documentos/631/00244011290/6310024401129011092023094701.jpg")</f>
        <v>https://dpmzos25m8ivg.cloudfront.net/Documentos/631/00244011290/6310024401129011092023094701.jpg</v>
      </c>
      <c r="G69" s="5" t="str">
        <f>HYPERLINK("https://dpmzos25m8ivg.cloudfront.net/Documentos/631/00244011290/6310024401129011092023094723.jpg","https://dpmzos25m8ivg.cloudfront.net/Documentos/631/00244011290/6310024401129011092023094723.jpg")</f>
        <v>https://dpmzos25m8ivg.cloudfront.net/Documentos/631/00244011290/6310024401129011092023094723.jpg</v>
      </c>
      <c r="H69" s="4" t="s">
        <v>8656</v>
      </c>
    </row>
    <row r="70" spans="1:8" x14ac:dyDescent="0.25">
      <c r="A70" s="2" t="s">
        <v>79</v>
      </c>
      <c r="B70" s="3"/>
      <c r="C70" s="3"/>
      <c r="D70" s="3"/>
      <c r="E70" s="4" t="str">
        <f>HYPERLINK("https://dpmzos25m8ivg.cloudfront.net/Documentos/631/00256364133/6310025636413311092023151745.pdf","https://dpmzos25m8ivg.cloudfront.net/Documentos/631/00256364133/6310025636413311092023151745.pdf")</f>
        <v>https://dpmzos25m8ivg.cloudfront.net/Documentos/631/00256364133/6310025636413311092023151745.pdf</v>
      </c>
      <c r="F70" s="5" t="str">
        <f>HYPERLINK("https://dpmzos25m8ivg.cloudfront.net/Documentos/631/00256364133/6310025636413311092023151807.pdf","https://dpmzos25m8ivg.cloudfront.net/Documentos/631/00256364133/6310025636413311092023151807.pdf")</f>
        <v>https://dpmzos25m8ivg.cloudfront.net/Documentos/631/00256364133/6310025636413311092023151807.pdf</v>
      </c>
      <c r="G70" s="5" t="str">
        <f>HYPERLINK("https://dpmzos25m8ivg.cloudfront.net/Documentos/631/00256364133/6310025636413311092023151819.pdf","https://dpmzos25m8ivg.cloudfront.net/Documentos/631/00256364133/6310025636413311092023151819.pdf")</f>
        <v>https://dpmzos25m8ivg.cloudfront.net/Documentos/631/00256364133/6310025636413311092023151819.pdf</v>
      </c>
      <c r="H70" s="4" t="s">
        <v>8657</v>
      </c>
    </row>
    <row r="71" spans="1:8" x14ac:dyDescent="0.25">
      <c r="A71" s="2" t="s">
        <v>80</v>
      </c>
      <c r="B71" s="3"/>
      <c r="C71" s="3"/>
      <c r="D71" s="3"/>
      <c r="E71" s="4" t="str">
        <f>HYPERLINK("https://dpmzos25m8ivg.cloudfront.net/Documentos/631/00256410267/6310025641026705092023110813.pdf","https://dpmzos25m8ivg.cloudfront.net/Documentos/631/00256410267/6310025641026705092023110813.pdf")</f>
        <v>https://dpmzos25m8ivg.cloudfront.net/Documentos/631/00256410267/6310025641026705092023110813.pdf</v>
      </c>
      <c r="F71" s="5" t="str">
        <f>HYPERLINK("https://dpmzos25m8ivg.cloudfront.net/Documentos/631/00256410267/6310025641026705092023110824.pdf","https://dpmzos25m8ivg.cloudfront.net/Documentos/631/00256410267/6310025641026705092023110824.pdf")</f>
        <v>https://dpmzos25m8ivg.cloudfront.net/Documentos/631/00256410267/6310025641026705092023110824.pdf</v>
      </c>
      <c r="G71" s="5" t="str">
        <f>HYPERLINK("https://dpmzos25m8ivg.cloudfront.net/Documentos/631/00256410267/6310025641026705092023110837.pdf","https://dpmzos25m8ivg.cloudfront.net/Documentos/631/00256410267/6310025641026705092023110837.pdf")</f>
        <v>https://dpmzos25m8ivg.cloudfront.net/Documentos/631/00256410267/6310025641026705092023110837.pdf</v>
      </c>
      <c r="H71" s="4" t="s">
        <v>8658</v>
      </c>
    </row>
    <row r="72" spans="1:8" x14ac:dyDescent="0.25">
      <c r="A72" s="2" t="s">
        <v>81</v>
      </c>
      <c r="B72" s="3"/>
      <c r="C72" s="3"/>
      <c r="D72" s="3"/>
      <c r="E72" s="4" t="str">
        <f>HYPERLINK("https://dpmzos25m8ivg.cloudfront.net/Documentos/631/00256559228/6310025655922810092023220425.jpg","https://dpmzos25m8ivg.cloudfront.net/Documentos/631/00256559228/6310025655922810092023220425.jpg")</f>
        <v>https://dpmzos25m8ivg.cloudfront.net/Documentos/631/00256559228/6310025655922810092023220425.jpg</v>
      </c>
      <c r="F72" s="5" t="str">
        <f>HYPERLINK("https://dpmzos25m8ivg.cloudfront.net/Documentos/631/00256559228/6310025655922810092023220752.jpeg","https://dpmzos25m8ivg.cloudfront.net/Documentos/631/00256559228/6310025655922810092023220752.jpeg")</f>
        <v>https://dpmzos25m8ivg.cloudfront.net/Documentos/631/00256559228/6310025655922810092023220752.jpeg</v>
      </c>
      <c r="G72" s="5" t="str">
        <f>HYPERLINK("https://dpmzos25m8ivg.cloudfront.net/Documentos/631/00256559228/6310025655922810092023220810.jpeg","https://dpmzos25m8ivg.cloudfront.net/Documentos/631/00256559228/6310025655922810092023220810.jpeg")</f>
        <v>https://dpmzos25m8ivg.cloudfront.net/Documentos/631/00256559228/6310025655922810092023220810.jpeg</v>
      </c>
      <c r="H72" s="4" t="s">
        <v>8659</v>
      </c>
    </row>
    <row r="73" spans="1:8" x14ac:dyDescent="0.25">
      <c r="A73" s="2" t="s">
        <v>82</v>
      </c>
      <c r="B73" s="3"/>
      <c r="C73" s="3"/>
      <c r="D73" s="3"/>
      <c r="E73" s="4" t="str">
        <f>HYPERLINK("https://dpmzos25m8ivg.cloudfront.net/Documentos/631/00258921501/6310025892150105092023105320.pdf","https://dpmzos25m8ivg.cloudfront.net/Documentos/631/00258921501/6310025892150105092023105320.pdf")</f>
        <v>https://dpmzos25m8ivg.cloudfront.net/Documentos/631/00258921501/6310025892150105092023105320.pdf</v>
      </c>
      <c r="F73" s="5" t="str">
        <f>HYPERLINK("https://dpmzos25m8ivg.cloudfront.net/Documentos/631/00258921501/6310025892150105092023105346.pdf","https://dpmzos25m8ivg.cloudfront.net/Documentos/631/00258921501/6310025892150105092023105346.pdf")</f>
        <v>https://dpmzos25m8ivg.cloudfront.net/Documentos/631/00258921501/6310025892150105092023105346.pdf</v>
      </c>
      <c r="G73" s="5" t="str">
        <f>HYPERLINK("https://dpmzos25m8ivg.cloudfront.net/Documentos/631/00258921501/6310025892150105092023105409.pdf","https://dpmzos25m8ivg.cloudfront.net/Documentos/631/00258921501/6310025892150105092023105409.pdf")</f>
        <v>https://dpmzos25m8ivg.cloudfront.net/Documentos/631/00258921501/6310025892150105092023105409.pdf</v>
      </c>
      <c r="H73" s="4" t="s">
        <v>8660</v>
      </c>
    </row>
    <row r="74" spans="1:8" x14ac:dyDescent="0.25">
      <c r="A74" s="2" t="s">
        <v>83</v>
      </c>
      <c r="B74" s="3"/>
      <c r="C74" s="3"/>
      <c r="D74" s="3"/>
      <c r="E74" s="4" t="str">
        <f>HYPERLINK("https://dpmzos25m8ivg.cloudfront.net/Documentos/631/00265889197/6310026588919714092023105444.pdf","https://dpmzos25m8ivg.cloudfront.net/Documentos/631/00265889197/6310026588919714092023105444.pdf")</f>
        <v>https://dpmzos25m8ivg.cloudfront.net/Documentos/631/00265889197/6310026588919714092023105444.pdf</v>
      </c>
      <c r="F74" s="5" t="str">
        <f>HYPERLINK("https://dpmzos25m8ivg.cloudfront.net/Documentos/631/00265889197/6310026588919714092023105553.pdf","https://dpmzos25m8ivg.cloudfront.net/Documentos/631/00265889197/6310026588919714092023105553.pdf")</f>
        <v>https://dpmzos25m8ivg.cloudfront.net/Documentos/631/00265889197/6310026588919714092023105553.pdf</v>
      </c>
      <c r="G74" s="5" t="str">
        <f>HYPERLINK("https://dpmzos25m8ivg.cloudfront.net/Documentos/631/00265889197/6310026588919714092023105615.pdf","https://dpmzos25m8ivg.cloudfront.net/Documentos/631/00265889197/6310026588919714092023105615.pdf")</f>
        <v>https://dpmzos25m8ivg.cloudfront.net/Documentos/631/00265889197/6310026588919714092023105615.pdf</v>
      </c>
      <c r="H74" s="4" t="s">
        <v>8661</v>
      </c>
    </row>
    <row r="75" spans="1:8" x14ac:dyDescent="0.25">
      <c r="A75" s="2" t="s">
        <v>84</v>
      </c>
      <c r="B75" s="3"/>
      <c r="C75" s="3"/>
      <c r="D75" s="3"/>
      <c r="E75" s="4" t="str">
        <f>HYPERLINK("https://dpmzos25m8ivg.cloudfront.net/Documentos/631/00268605114/6310026860511408092023223809.pdf","https://dpmzos25m8ivg.cloudfront.net/Documentos/631/00268605114/6310026860511408092023223809.pdf")</f>
        <v>https://dpmzos25m8ivg.cloudfront.net/Documentos/631/00268605114/6310026860511408092023223809.pdf</v>
      </c>
      <c r="F75" s="5" t="str">
        <f>HYPERLINK("https://dpmzos25m8ivg.cloudfront.net/Documentos/631/00268605114/6310026860511408092023223830.pdf","https://dpmzos25m8ivg.cloudfront.net/Documentos/631/00268605114/6310026860511408092023223830.pdf")</f>
        <v>https://dpmzos25m8ivg.cloudfront.net/Documentos/631/00268605114/6310026860511408092023223830.pdf</v>
      </c>
      <c r="G75" s="5" t="str">
        <f>HYPERLINK("https://dpmzos25m8ivg.cloudfront.net/Documentos/631/00268605114/6310026860511408092023223852.pdf","https://dpmzos25m8ivg.cloudfront.net/Documentos/631/00268605114/6310026860511408092023223852.pdf")</f>
        <v>https://dpmzos25m8ivg.cloudfront.net/Documentos/631/00268605114/6310026860511408092023223852.pdf</v>
      </c>
      <c r="H75" s="4" t="s">
        <v>8662</v>
      </c>
    </row>
    <row r="76" spans="1:8" x14ac:dyDescent="0.25">
      <c r="A76" s="2" t="s">
        <v>85</v>
      </c>
      <c r="B76" s="3"/>
      <c r="C76" s="3"/>
      <c r="D76" s="3"/>
      <c r="E76" s="4" t="str">
        <f>HYPERLINK("https://dpmzos25m8ivg.cloudfront.net/Documentos/631/00269314199/6310026931419906092023205002.pdf","https://dpmzos25m8ivg.cloudfront.net/Documentos/631/00269314199/6310026931419906092023205002.pdf")</f>
        <v>https://dpmzos25m8ivg.cloudfront.net/Documentos/631/00269314199/6310026931419906092023205002.pdf</v>
      </c>
      <c r="F76" s="5" t="str">
        <f>HYPERLINK("https://dpmzos25m8ivg.cloudfront.net/Documentos/631/00269314199/6310026931419906092023205013.pdf","https://dpmzos25m8ivg.cloudfront.net/Documentos/631/00269314199/6310026931419906092023205013.pdf")</f>
        <v>https://dpmzos25m8ivg.cloudfront.net/Documentos/631/00269314199/6310026931419906092023205013.pdf</v>
      </c>
      <c r="G76" s="5" t="str">
        <f>HYPERLINK("https://dpmzos25m8ivg.cloudfront.net/Documentos/631/00269314199/6310026931419906092023205027.pdf","https://dpmzos25m8ivg.cloudfront.net/Documentos/631/00269314199/6310026931419906092023205027.pdf")</f>
        <v>https://dpmzos25m8ivg.cloudfront.net/Documentos/631/00269314199/6310026931419906092023205027.pdf</v>
      </c>
      <c r="H76" s="4" t="s">
        <v>8663</v>
      </c>
    </row>
    <row r="77" spans="1:8" x14ac:dyDescent="0.25">
      <c r="A77" s="2" t="s">
        <v>86</v>
      </c>
      <c r="B77" s="3"/>
      <c r="C77" s="3"/>
      <c r="D77" s="3"/>
      <c r="E77" s="4" t="str">
        <f>HYPERLINK("https://dpmzos25m8ivg.cloudfront.net/Documentos/631/00275272559/6310027527255909092023215600.pdf","https://dpmzos25m8ivg.cloudfront.net/Documentos/631/00275272559/6310027527255909092023215600.pdf")</f>
        <v>https://dpmzos25m8ivg.cloudfront.net/Documentos/631/00275272559/6310027527255909092023215600.pdf</v>
      </c>
      <c r="F77" s="5" t="str">
        <f>HYPERLINK("https://dpmzos25m8ivg.cloudfront.net/Documentos/631/00275272559/6310027527255909092023215614.pdf","https://dpmzos25m8ivg.cloudfront.net/Documentos/631/00275272559/6310027527255909092023215614.pdf")</f>
        <v>https://dpmzos25m8ivg.cloudfront.net/Documentos/631/00275272559/6310027527255909092023215614.pdf</v>
      </c>
      <c r="G77" s="5" t="str">
        <f>HYPERLINK("https://dpmzos25m8ivg.cloudfront.net/Documentos/631/00275272559/6310027527255909092023215628.pdf","https://dpmzos25m8ivg.cloudfront.net/Documentos/631/00275272559/6310027527255909092023215628.pdf")</f>
        <v>https://dpmzos25m8ivg.cloudfront.net/Documentos/631/00275272559/6310027527255909092023215628.pdf</v>
      </c>
      <c r="H77" s="4" t="s">
        <v>8664</v>
      </c>
    </row>
    <row r="78" spans="1:8" x14ac:dyDescent="0.25">
      <c r="A78" s="2" t="s">
        <v>87</v>
      </c>
      <c r="B78" s="3"/>
      <c r="C78" s="3"/>
      <c r="D78" s="3"/>
      <c r="E78" s="4" t="str">
        <f>HYPERLINK("https://dpmzos25m8ivg.cloudfront.net/Documentos/631/00281888299/6310028188829909092023081356.pdf","https://dpmzos25m8ivg.cloudfront.net/Documentos/631/00281888299/6310028188829909092023081356.pdf")</f>
        <v>https://dpmzos25m8ivg.cloudfront.net/Documentos/631/00281888299/6310028188829909092023081356.pdf</v>
      </c>
      <c r="F78" s="5" t="str">
        <f>HYPERLINK("https://dpmzos25m8ivg.cloudfront.net/Documentos/631/00281888299/6310028188829909092023081634.pdf","https://dpmzos25m8ivg.cloudfront.net/Documentos/631/00281888299/6310028188829909092023081634.pdf")</f>
        <v>https://dpmzos25m8ivg.cloudfront.net/Documentos/631/00281888299/6310028188829909092023081634.pdf</v>
      </c>
      <c r="G78" s="5" t="str">
        <f>HYPERLINK("https://dpmzos25m8ivg.cloudfront.net/Documentos/631/00281888299/6310028188829909092023081821.pdf","https://dpmzos25m8ivg.cloudfront.net/Documentos/631/00281888299/6310028188829909092023081821.pdf")</f>
        <v>https://dpmzos25m8ivg.cloudfront.net/Documentos/631/00281888299/6310028188829909092023081821.pdf</v>
      </c>
      <c r="H78" s="4" t="s">
        <v>8665</v>
      </c>
    </row>
    <row r="79" spans="1:8" x14ac:dyDescent="0.25">
      <c r="A79" s="2" t="s">
        <v>88</v>
      </c>
      <c r="B79" s="3"/>
      <c r="C79" s="3"/>
      <c r="D79" s="3"/>
      <c r="E79" s="4" t="str">
        <f>HYPERLINK("https://dpmzos25m8ivg.cloudfront.net/Documentos/631/00286911213/6310028691121311092023141613.jpeg","https://dpmzos25m8ivg.cloudfront.net/Documentos/631/00286911213/6310028691121311092023141613.jpeg")</f>
        <v>https://dpmzos25m8ivg.cloudfront.net/Documentos/631/00286911213/6310028691121311092023141613.jpeg</v>
      </c>
      <c r="F79" s="5" t="str">
        <f>HYPERLINK("https://dpmzos25m8ivg.cloudfront.net/Documentos/631/00286911213/6310028691121311092023141626.jpeg","https://dpmzos25m8ivg.cloudfront.net/Documentos/631/00286911213/6310028691121311092023141626.jpeg")</f>
        <v>https://dpmzos25m8ivg.cloudfront.net/Documentos/631/00286911213/6310028691121311092023141626.jpeg</v>
      </c>
      <c r="G79" s="5" t="str">
        <f>HYPERLINK("https://dpmzos25m8ivg.cloudfront.net/Documentos/631/00286911213/6310028691121311092023141641.jpeg","https://dpmzos25m8ivg.cloudfront.net/Documentos/631/00286911213/6310028691121311092023141641.jpeg")</f>
        <v>https://dpmzos25m8ivg.cloudfront.net/Documentos/631/00286911213/6310028691121311092023141641.jpeg</v>
      </c>
      <c r="H79" s="4" t="s">
        <v>8666</v>
      </c>
    </row>
    <row r="80" spans="1:8" x14ac:dyDescent="0.25">
      <c r="A80" s="2" t="s">
        <v>89</v>
      </c>
      <c r="B80" s="3" t="s">
        <v>90</v>
      </c>
      <c r="C80" s="3"/>
      <c r="D80" s="3"/>
      <c r="E80" s="4" t="str">
        <f>HYPERLINK("https://dpmzos25m8ivg.cloudfront.net/Documentos/631/00287941256/6310028794125606092023084712.pdf","https://dpmzos25m8ivg.cloudfront.net/Documentos/631/00287941256/6310028794125606092023084712.pdf")</f>
        <v>https://dpmzos25m8ivg.cloudfront.net/Documentos/631/00287941256/6310028794125606092023084712.pdf</v>
      </c>
      <c r="F80" s="5" t="str">
        <f>HYPERLINK("https://dpmzos25m8ivg.cloudfront.net/Documentos/631/00287941256/6310028794125606092023084726.jpg","https://dpmzos25m8ivg.cloudfront.net/Documentos/631/00287941256/6310028794125606092023084726.jpg")</f>
        <v>https://dpmzos25m8ivg.cloudfront.net/Documentos/631/00287941256/6310028794125606092023084726.jpg</v>
      </c>
      <c r="G80" s="5" t="str">
        <f>HYPERLINK("https://dpmzos25m8ivg.cloudfront.net/Documentos/631/00287941256/6310028794125606092023084748.pdf","https://dpmzos25m8ivg.cloudfront.net/Documentos/631/00287941256/6310028794125606092023084748.pdf")</f>
        <v>https://dpmzos25m8ivg.cloudfront.net/Documentos/631/00287941256/6310028794125606092023084748.pdf</v>
      </c>
      <c r="H80" s="4" t="s">
        <v>8667</v>
      </c>
    </row>
    <row r="81" spans="1:8" x14ac:dyDescent="0.25">
      <c r="A81" s="2" t="s">
        <v>91</v>
      </c>
      <c r="B81" s="3"/>
      <c r="C81" s="3"/>
      <c r="D81" s="3"/>
      <c r="E81" s="4" t="str">
        <f>HYPERLINK("https://dpmzos25m8ivg.cloudfront.net/Documentos/631/00290808197/6310029080819711092023001842.pdf","https://dpmzos25m8ivg.cloudfront.net/Documentos/631/00290808197/6310029080819711092023001842.pdf")</f>
        <v>https://dpmzos25m8ivg.cloudfront.net/Documentos/631/00290808197/6310029080819711092023001842.pdf</v>
      </c>
      <c r="F81" s="5" t="str">
        <f>HYPERLINK("https://dpmzos25m8ivg.cloudfront.net/Documentos/631/00290808197/6310029080819711092023001826.pdf","https://dpmzos25m8ivg.cloudfront.net/Documentos/631/00290808197/6310029080819711092023001826.pdf")</f>
        <v>https://dpmzos25m8ivg.cloudfront.net/Documentos/631/00290808197/6310029080819711092023001826.pdf</v>
      </c>
      <c r="G81" s="5" t="str">
        <f>HYPERLINK("https://dpmzos25m8ivg.cloudfront.net/Documentos/631/00290808197/6310029080819711092023001811.pdf","https://dpmzos25m8ivg.cloudfront.net/Documentos/631/00290808197/6310029080819711092023001811.pdf")</f>
        <v>https://dpmzos25m8ivg.cloudfront.net/Documentos/631/00290808197/6310029080819711092023001811.pdf</v>
      </c>
      <c r="H81" s="4" t="s">
        <v>8668</v>
      </c>
    </row>
    <row r="82" spans="1:8" x14ac:dyDescent="0.25">
      <c r="A82" s="2" t="s">
        <v>92</v>
      </c>
      <c r="B82" s="3"/>
      <c r="C82" s="3"/>
      <c r="D82" s="3"/>
      <c r="E82" s="4" t="str">
        <f>HYPERLINK("https://dpmzos25m8ivg.cloudfront.net/Documentos/631/00302607366/6310030260736614092023151251.jpg","https://dpmzos25m8ivg.cloudfront.net/Documentos/631/00302607366/6310030260736614092023151251.jpg")</f>
        <v>https://dpmzos25m8ivg.cloudfront.net/Documentos/631/00302607366/6310030260736614092023151251.jpg</v>
      </c>
      <c r="F82" s="5" t="str">
        <f>HYPERLINK("https://dpmzos25m8ivg.cloudfront.net/Documentos/631/00302607366/6310030260736614092023151318.jpg","https://dpmzos25m8ivg.cloudfront.net/Documentos/631/00302607366/6310030260736614092023151318.jpg")</f>
        <v>https://dpmzos25m8ivg.cloudfront.net/Documentos/631/00302607366/6310030260736614092023151318.jpg</v>
      </c>
      <c r="G82" s="5" t="str">
        <f>HYPERLINK("https://dpmzos25m8ivg.cloudfront.net/Documentos/631/00302607366/6310030260736614092023151341.jpg","https://dpmzos25m8ivg.cloudfront.net/Documentos/631/00302607366/6310030260736614092023151341.jpg")</f>
        <v>https://dpmzos25m8ivg.cloudfront.net/Documentos/631/00302607366/6310030260736614092023151341.jpg</v>
      </c>
      <c r="H82" s="4" t="s">
        <v>8669</v>
      </c>
    </row>
    <row r="83" spans="1:8" x14ac:dyDescent="0.25">
      <c r="A83" s="2" t="s">
        <v>93</v>
      </c>
      <c r="B83" s="3"/>
      <c r="C83" s="3"/>
      <c r="D83" s="3"/>
      <c r="E83" s="4" t="str">
        <f>HYPERLINK("https://dpmzos25m8ivg.cloudfront.net/Documentos/631/00303333189/6310030333318905092023181121.jpg","https://dpmzos25m8ivg.cloudfront.net/Documentos/631/00303333189/6310030333318905092023181121.jpg")</f>
        <v>https://dpmzos25m8ivg.cloudfront.net/Documentos/631/00303333189/6310030333318905092023181121.jpg</v>
      </c>
      <c r="F83" s="5" t="str">
        <f>HYPERLINK("https://dpmzos25m8ivg.cloudfront.net/Documentos/631/00303333189/6310030333318905092023181130.jpg","https://dpmzos25m8ivg.cloudfront.net/Documentos/631/00303333189/6310030333318905092023181130.jpg")</f>
        <v>https://dpmzos25m8ivg.cloudfront.net/Documentos/631/00303333189/6310030333318905092023181130.jpg</v>
      </c>
      <c r="G83" s="5" t="str">
        <f>HYPERLINK("https://dpmzos25m8ivg.cloudfront.net/Documentos/631/00303333189/6310030333318905092023181142.jpg","https://dpmzos25m8ivg.cloudfront.net/Documentos/631/00303333189/6310030333318905092023181142.jpg")</f>
        <v>https://dpmzos25m8ivg.cloudfront.net/Documentos/631/00303333189/6310030333318905092023181142.jpg</v>
      </c>
      <c r="H83" s="4" t="s">
        <v>8670</v>
      </c>
    </row>
    <row r="84" spans="1:8" x14ac:dyDescent="0.25">
      <c r="A84" s="2" t="s">
        <v>94</v>
      </c>
      <c r="B84" s="3"/>
      <c r="C84" s="3"/>
      <c r="D84" s="3"/>
      <c r="E84" s="4" t="str">
        <f>HYPERLINK("https://dpmzos25m8ivg.cloudfront.net/Documentos/631/00309114276/6310030911427604092023195748.pdf","https://dpmzos25m8ivg.cloudfront.net/Documentos/631/00309114276/6310030911427604092023195748.pdf")</f>
        <v>https://dpmzos25m8ivg.cloudfront.net/Documentos/631/00309114276/6310030911427604092023195748.pdf</v>
      </c>
      <c r="F84" s="5" t="str">
        <f>HYPERLINK("https://dpmzos25m8ivg.cloudfront.net/Documentos/631/00309114276/6310030911427604092023200014.pdf","https://dpmzos25m8ivg.cloudfront.net/Documentos/631/00309114276/6310030911427604092023200014.pdf")</f>
        <v>https://dpmzos25m8ivg.cloudfront.net/Documentos/631/00309114276/6310030911427604092023200014.pdf</v>
      </c>
      <c r="G84" s="5" t="str">
        <f>HYPERLINK("https://dpmzos25m8ivg.cloudfront.net/Documentos/631/00309114276/6310030911427604092023200523.pdf","https://dpmzos25m8ivg.cloudfront.net/Documentos/631/00309114276/6310030911427604092023200523.pdf")</f>
        <v>https://dpmzos25m8ivg.cloudfront.net/Documentos/631/00309114276/6310030911427604092023200523.pdf</v>
      </c>
      <c r="H84" s="4" t="s">
        <v>8671</v>
      </c>
    </row>
    <row r="85" spans="1:8" x14ac:dyDescent="0.25">
      <c r="A85" s="2" t="s">
        <v>95</v>
      </c>
      <c r="B85" s="3"/>
      <c r="C85" s="3"/>
      <c r="D85" s="3"/>
      <c r="E85" s="4" t="str">
        <f>HYPERLINK("https://dpmzos25m8ivg.cloudfront.net/Documentos/631/00316845566/6310031684556611092023145132.pdf","https://dpmzos25m8ivg.cloudfront.net/Documentos/631/00316845566/6310031684556611092023145132.pdf")</f>
        <v>https://dpmzos25m8ivg.cloudfront.net/Documentos/631/00316845566/6310031684556611092023145132.pdf</v>
      </c>
      <c r="F85" s="5" t="str">
        <f>HYPERLINK("https://dpmzos25m8ivg.cloudfront.net/Documentos/631/00316845566/6310031684556611092023145158.pdf","https://dpmzos25m8ivg.cloudfront.net/Documentos/631/00316845566/6310031684556611092023145158.pdf")</f>
        <v>https://dpmzos25m8ivg.cloudfront.net/Documentos/631/00316845566/6310031684556611092023145158.pdf</v>
      </c>
      <c r="G85" s="5" t="str">
        <f>HYPERLINK("https://dpmzos25m8ivg.cloudfront.net/Documentos/631/00316845566/6310031684556611092023145223.pdf","https://dpmzos25m8ivg.cloudfront.net/Documentos/631/00316845566/6310031684556611092023145223.pdf")</f>
        <v>https://dpmzos25m8ivg.cloudfront.net/Documentos/631/00316845566/6310031684556611092023145223.pdf</v>
      </c>
      <c r="H85" s="4" t="s">
        <v>8672</v>
      </c>
    </row>
    <row r="86" spans="1:8" x14ac:dyDescent="0.25">
      <c r="A86" s="2" t="s">
        <v>96</v>
      </c>
      <c r="B86" s="3"/>
      <c r="C86" s="3"/>
      <c r="D86" s="3"/>
      <c r="E86" s="4" t="str">
        <f>HYPERLINK("https://dpmzos25m8ivg.cloudfront.net/Documentos/631/00318662043/6310031866204310092023221754.pdf","https://dpmzos25m8ivg.cloudfront.net/Documentos/631/00318662043/6310031866204310092023221754.pdf")</f>
        <v>https://dpmzos25m8ivg.cloudfront.net/Documentos/631/00318662043/6310031866204310092023221754.pdf</v>
      </c>
      <c r="F86" s="5" t="str">
        <f>HYPERLINK("https://dpmzos25m8ivg.cloudfront.net/Documentos/631/00318662043/6310031866204310092023223939.pdf","https://dpmzos25m8ivg.cloudfront.net/Documentos/631/00318662043/6310031866204310092023223939.pdf")</f>
        <v>https://dpmzos25m8ivg.cloudfront.net/Documentos/631/00318662043/6310031866204310092023223939.pdf</v>
      </c>
      <c r="G86" s="5" t="str">
        <f>HYPERLINK("https://dpmzos25m8ivg.cloudfront.net/Documentos/631/00318662043/6310031866204310092023224133.pdf","https://dpmzos25m8ivg.cloudfront.net/Documentos/631/00318662043/6310031866204310092023224133.pdf")</f>
        <v>https://dpmzos25m8ivg.cloudfront.net/Documentos/631/00318662043/6310031866204310092023224133.pdf</v>
      </c>
      <c r="H86" s="4" t="s">
        <v>8673</v>
      </c>
    </row>
    <row r="87" spans="1:8" x14ac:dyDescent="0.25">
      <c r="A87" s="2" t="s">
        <v>97</v>
      </c>
      <c r="B87" s="3"/>
      <c r="C87" s="3"/>
      <c r="D87" s="3"/>
      <c r="E87" s="4" t="str">
        <f>HYPERLINK("https://dpmzos25m8ivg.cloudfront.net/Documentos/631/00321947223/6310032194722311092023154913.jpeg","https://dpmzos25m8ivg.cloudfront.net/Documentos/631/00321947223/6310032194722311092023154913.jpeg")</f>
        <v>https://dpmzos25m8ivg.cloudfront.net/Documentos/631/00321947223/6310032194722311092023154913.jpeg</v>
      </c>
      <c r="F87" s="5" t="str">
        <f>HYPERLINK("https://dpmzos25m8ivg.cloudfront.net/Documentos/631/00321947223/6310032194722311092023154945.jpeg","https://dpmzos25m8ivg.cloudfront.net/Documentos/631/00321947223/6310032194722311092023154945.jpeg")</f>
        <v>https://dpmzos25m8ivg.cloudfront.net/Documentos/631/00321947223/6310032194722311092023154945.jpeg</v>
      </c>
      <c r="G87" s="5" t="str">
        <f>HYPERLINK("https://dpmzos25m8ivg.cloudfront.net/Documentos/631/00321947223/6310032194722311092023155005.jpeg","https://dpmzos25m8ivg.cloudfront.net/Documentos/631/00321947223/6310032194722311092023155005.jpeg")</f>
        <v>https://dpmzos25m8ivg.cloudfront.net/Documentos/631/00321947223/6310032194722311092023155005.jpeg</v>
      </c>
      <c r="H87" s="4" t="s">
        <v>8674</v>
      </c>
    </row>
    <row r="88" spans="1:8" x14ac:dyDescent="0.25">
      <c r="A88" s="2" t="s">
        <v>98</v>
      </c>
      <c r="B88" s="3"/>
      <c r="C88" s="3"/>
      <c r="D88" s="3"/>
      <c r="E88" s="4" t="str">
        <f>HYPERLINK("https://dpmzos25m8ivg.cloudfront.net/Documentos/631/00323532004/6310032353200411092023150834.pdf","https://dpmzos25m8ivg.cloudfront.net/Documentos/631/00323532004/6310032353200411092023150834.pdf")</f>
        <v>https://dpmzos25m8ivg.cloudfront.net/Documentos/631/00323532004/6310032353200411092023150834.pdf</v>
      </c>
      <c r="F88" s="5" t="str">
        <f>HYPERLINK("https://dpmzos25m8ivg.cloudfront.net/Documentos/631/00323532004/6310032353200411092023150851.pdf","https://dpmzos25m8ivg.cloudfront.net/Documentos/631/00323532004/6310032353200411092023150851.pdf")</f>
        <v>https://dpmzos25m8ivg.cloudfront.net/Documentos/631/00323532004/6310032353200411092023150851.pdf</v>
      </c>
      <c r="G88" s="5" t="str">
        <f>HYPERLINK("https://dpmzos25m8ivg.cloudfront.net/Documentos/631/00323532004/6310032353200411092023150922.pdf","https://dpmzos25m8ivg.cloudfront.net/Documentos/631/00323532004/6310032353200411092023150922.pdf")</f>
        <v>https://dpmzos25m8ivg.cloudfront.net/Documentos/631/00323532004/6310032353200411092023150922.pdf</v>
      </c>
      <c r="H88" s="4" t="s">
        <v>8675</v>
      </c>
    </row>
    <row r="89" spans="1:8" x14ac:dyDescent="0.25">
      <c r="A89" s="2" t="s">
        <v>99</v>
      </c>
      <c r="B89" s="3"/>
      <c r="C89" s="3"/>
      <c r="D89" s="3"/>
      <c r="E89" s="4" t="str">
        <f>HYPERLINK("https://dpmzos25m8ivg.cloudfront.net/Documentos/631/00327533145/6310032753314510092023170435.pdf","https://dpmzos25m8ivg.cloudfront.net/Documentos/631/00327533145/6310032753314510092023170435.pdf")</f>
        <v>https://dpmzos25m8ivg.cloudfront.net/Documentos/631/00327533145/6310032753314510092023170435.pdf</v>
      </c>
      <c r="F89" s="5" t="str">
        <f>HYPERLINK("https://dpmzos25m8ivg.cloudfront.net/Documentos/631/00327533145/6310032753314510092023170521.pdf","https://dpmzos25m8ivg.cloudfront.net/Documentos/631/00327533145/6310032753314510092023170521.pdf")</f>
        <v>https://dpmzos25m8ivg.cloudfront.net/Documentos/631/00327533145/6310032753314510092023170521.pdf</v>
      </c>
      <c r="G89" s="5" t="str">
        <f>HYPERLINK("https://dpmzos25m8ivg.cloudfront.net/Documentos/631/00327533145/6310032753314510092023170546.pdf","https://dpmzos25m8ivg.cloudfront.net/Documentos/631/00327533145/6310032753314510092023170546.pdf")</f>
        <v>https://dpmzos25m8ivg.cloudfront.net/Documentos/631/00327533145/6310032753314510092023170546.pdf</v>
      </c>
      <c r="H89" s="4" t="s">
        <v>8676</v>
      </c>
    </row>
    <row r="90" spans="1:8" x14ac:dyDescent="0.25">
      <c r="A90" s="2" t="s">
        <v>100</v>
      </c>
      <c r="B90" s="3" t="s">
        <v>8</v>
      </c>
      <c r="C90" s="3"/>
      <c r="D90" s="3"/>
      <c r="E90" s="4" t="str">
        <f>HYPERLINK("https://dpmzos25m8ivg.cloudfront.net/Documentos/631/00331723581/6310033172358106092023184436.pdf","https://dpmzos25m8ivg.cloudfront.net/Documentos/631/00331723581/6310033172358106092023184436.pdf")</f>
        <v>https://dpmzos25m8ivg.cloudfront.net/Documentos/631/00331723581/6310033172358106092023184436.pdf</v>
      </c>
      <c r="F90" s="5" t="str">
        <f>HYPERLINK("https://dpmzos25m8ivg.cloudfront.net/Documentos/631/00331723581/6310033172358106092023184445.pdf","https://dpmzos25m8ivg.cloudfront.net/Documentos/631/00331723581/6310033172358106092023184445.pdf")</f>
        <v>https://dpmzos25m8ivg.cloudfront.net/Documentos/631/00331723581/6310033172358106092023184445.pdf</v>
      </c>
      <c r="G90" s="5" t="str">
        <f>HYPERLINK("https://dpmzos25m8ivg.cloudfront.net/Documentos/631/00331723581/6310033172358106092023184453.pdf","https://dpmzos25m8ivg.cloudfront.net/Documentos/631/00331723581/6310033172358106092023184453.pdf")</f>
        <v>https://dpmzos25m8ivg.cloudfront.net/Documentos/631/00331723581/6310033172358106092023184453.pdf</v>
      </c>
      <c r="H90" s="4" t="s">
        <v>8677</v>
      </c>
    </row>
    <row r="91" spans="1:8" x14ac:dyDescent="0.25">
      <c r="A91" s="2" t="s">
        <v>101</v>
      </c>
      <c r="B91" s="3"/>
      <c r="C91" s="3"/>
      <c r="D91" s="3"/>
      <c r="E91" s="4" t="str">
        <f>HYPERLINK("https://dpmzos25m8ivg.cloudfront.net/Documentos/631/00331818370/6310033181837009092023131411.pdf","https://dpmzos25m8ivg.cloudfront.net/Documentos/631/00331818370/6310033181837009092023131411.pdf")</f>
        <v>https://dpmzos25m8ivg.cloudfront.net/Documentos/631/00331818370/6310033181837009092023131411.pdf</v>
      </c>
      <c r="F91" s="5" t="str">
        <f>HYPERLINK("https://dpmzos25m8ivg.cloudfront.net/Documentos/631/00331818370/6310033181837009092023131431.pdf","https://dpmzos25m8ivg.cloudfront.net/Documentos/631/00331818370/6310033181837009092023131431.pdf")</f>
        <v>https://dpmzos25m8ivg.cloudfront.net/Documentos/631/00331818370/6310033181837009092023131431.pdf</v>
      </c>
      <c r="G91" s="5" t="str">
        <f>HYPERLINK("https://dpmzos25m8ivg.cloudfront.net/Documentos/631/00331818370/6310033181837009092023131444.pdf","https://dpmzos25m8ivg.cloudfront.net/Documentos/631/00331818370/6310033181837009092023131444.pdf")</f>
        <v>https://dpmzos25m8ivg.cloudfront.net/Documentos/631/00331818370/6310033181837009092023131444.pdf</v>
      </c>
      <c r="H91" s="4" t="s">
        <v>8678</v>
      </c>
    </row>
    <row r="92" spans="1:8" x14ac:dyDescent="0.25">
      <c r="A92" s="2" t="s">
        <v>102</v>
      </c>
      <c r="B92" s="3"/>
      <c r="C92" s="3"/>
      <c r="D92" s="3"/>
      <c r="E92" s="4" t="str">
        <f>HYPERLINK("https://dpmzos25m8ivg.cloudfront.net/Documentos/631/00339799102/6310033979910211092023143830.pdf","https://dpmzos25m8ivg.cloudfront.net/Documentos/631/00339799102/6310033979910211092023143830.pdf")</f>
        <v>https://dpmzos25m8ivg.cloudfront.net/Documentos/631/00339799102/6310033979910211092023143830.pdf</v>
      </c>
      <c r="F92" s="5" t="str">
        <f>HYPERLINK("https://dpmzos25m8ivg.cloudfront.net/Documentos/631/00339799102/6310033979910211092023143845.pdf","https://dpmzos25m8ivg.cloudfront.net/Documentos/631/00339799102/6310033979910211092023143845.pdf")</f>
        <v>https://dpmzos25m8ivg.cloudfront.net/Documentos/631/00339799102/6310033979910211092023143845.pdf</v>
      </c>
      <c r="G92" s="5" t="str">
        <f>HYPERLINK("https://dpmzos25m8ivg.cloudfront.net/Documentos/631/00339799102/6310033979910211092023143854.pdf","https://dpmzos25m8ivg.cloudfront.net/Documentos/631/00339799102/6310033979910211092023143854.pdf")</f>
        <v>https://dpmzos25m8ivg.cloudfront.net/Documentos/631/00339799102/6310033979910211092023143854.pdf</v>
      </c>
      <c r="H92" s="4" t="s">
        <v>8679</v>
      </c>
    </row>
    <row r="93" spans="1:8" x14ac:dyDescent="0.25">
      <c r="A93" s="2" t="s">
        <v>103</v>
      </c>
      <c r="B93" s="3"/>
      <c r="C93" s="3"/>
      <c r="D93" s="3"/>
      <c r="E93" s="4" t="str">
        <f>HYPERLINK("https://dpmzos25m8ivg.cloudfront.net/Documentos/631/00350259569/6310035025956909092023201940.pdf","https://dpmzos25m8ivg.cloudfront.net/Documentos/631/00350259569/6310035025956909092023201940.pdf")</f>
        <v>https://dpmzos25m8ivg.cloudfront.net/Documentos/631/00350259569/6310035025956909092023201940.pdf</v>
      </c>
      <c r="F93" s="5" t="str">
        <f>HYPERLINK("https://dpmzos25m8ivg.cloudfront.net/Documentos/631/00350259569/6310035025956909092023201955.pdf","https://dpmzos25m8ivg.cloudfront.net/Documentos/631/00350259569/6310035025956909092023201955.pdf")</f>
        <v>https://dpmzos25m8ivg.cloudfront.net/Documentos/631/00350259569/6310035025956909092023201955.pdf</v>
      </c>
      <c r="G93" s="5" t="str">
        <f>HYPERLINK("https://dpmzos25m8ivg.cloudfront.net/Documentos/631/00350259569/6310035025956909092023202011.pdf","https://dpmzos25m8ivg.cloudfront.net/Documentos/631/00350259569/6310035025956909092023202011.pdf")</f>
        <v>https://dpmzos25m8ivg.cloudfront.net/Documentos/631/00350259569/6310035025956909092023202011.pdf</v>
      </c>
      <c r="H93" s="4" t="s">
        <v>8680</v>
      </c>
    </row>
    <row r="94" spans="1:8" x14ac:dyDescent="0.25">
      <c r="A94" s="2" t="s">
        <v>104</v>
      </c>
      <c r="B94" s="3"/>
      <c r="C94" s="3"/>
      <c r="D94" s="3"/>
      <c r="E94" s="4" t="str">
        <f>HYPERLINK("https://dpmzos25m8ivg.cloudfront.net/Documentos/631/00352601140/6310035260114011092023150358.pdf","https://dpmzos25m8ivg.cloudfront.net/Documentos/631/00352601140/6310035260114011092023150358.pdf")</f>
        <v>https://dpmzos25m8ivg.cloudfront.net/Documentos/631/00352601140/6310035260114011092023150358.pdf</v>
      </c>
      <c r="F94" s="5" t="str">
        <f>HYPERLINK("https://dpmzos25m8ivg.cloudfront.net/Documentos/631/00352601140/6310035260114011092023150404.pdf","https://dpmzos25m8ivg.cloudfront.net/Documentos/631/00352601140/6310035260114011092023150404.pdf")</f>
        <v>https://dpmzos25m8ivg.cloudfront.net/Documentos/631/00352601140/6310035260114011092023150404.pdf</v>
      </c>
      <c r="G94" s="5" t="str">
        <f>HYPERLINK("https://dpmzos25m8ivg.cloudfront.net/Documentos/631/00352601140/6310035260114011092023150410.pdf","https://dpmzos25m8ivg.cloudfront.net/Documentos/631/00352601140/6310035260114011092023150410.pdf")</f>
        <v>https://dpmzos25m8ivg.cloudfront.net/Documentos/631/00352601140/6310035260114011092023150410.pdf</v>
      </c>
      <c r="H94" s="4" t="s">
        <v>8681</v>
      </c>
    </row>
    <row r="95" spans="1:8" x14ac:dyDescent="0.25">
      <c r="A95" s="2" t="s">
        <v>105</v>
      </c>
      <c r="B95" s="3"/>
      <c r="C95" s="3"/>
      <c r="D95" s="3"/>
      <c r="E95" s="4" t="str">
        <f>HYPERLINK("https://dpmzos25m8ivg.cloudfront.net/Documentos/631/00358875323/6310035887532307092023173034.pdf","https://dpmzos25m8ivg.cloudfront.net/Documentos/631/00358875323/6310035887532307092023173034.pdf")</f>
        <v>https://dpmzos25m8ivg.cloudfront.net/Documentos/631/00358875323/6310035887532307092023173034.pdf</v>
      </c>
      <c r="F95" s="5" t="str">
        <f>HYPERLINK("https://dpmzos25m8ivg.cloudfront.net/Documentos/631/00358875323/6310035887532307092023173047.pdf","https://dpmzos25m8ivg.cloudfront.net/Documentos/631/00358875323/6310035887532307092023173047.pdf")</f>
        <v>https://dpmzos25m8ivg.cloudfront.net/Documentos/631/00358875323/6310035887532307092023173047.pdf</v>
      </c>
      <c r="G95" s="5" t="str">
        <f>HYPERLINK("https://dpmzos25m8ivg.cloudfront.net/Documentos/631/00358875323/6310035887532307092023173059.pdf","https://dpmzos25m8ivg.cloudfront.net/Documentos/631/00358875323/6310035887532307092023173059.pdf")</f>
        <v>https://dpmzos25m8ivg.cloudfront.net/Documentos/631/00358875323/6310035887532307092023173059.pdf</v>
      </c>
      <c r="H95" s="4" t="s">
        <v>8682</v>
      </c>
    </row>
    <row r="96" spans="1:8" x14ac:dyDescent="0.25">
      <c r="A96" s="2" t="s">
        <v>106</v>
      </c>
      <c r="B96" s="3"/>
      <c r="C96" s="3"/>
      <c r="D96" s="3"/>
      <c r="E96" s="4" t="str">
        <f>HYPERLINK("https://dpmzos25m8ivg.cloudfront.net/Documentos/631/00363262164/6310036326216414092023154901.pdf","https://dpmzos25m8ivg.cloudfront.net/Documentos/631/00363262164/6310036326216414092023154901.pdf")</f>
        <v>https://dpmzos25m8ivg.cloudfront.net/Documentos/631/00363262164/6310036326216414092023154901.pdf</v>
      </c>
      <c r="F96" s="5" t="str">
        <f>HYPERLINK("https://dpmzos25m8ivg.cloudfront.net/Documentos/631/00363262164/6310036326216414092023155213.pdf","https://dpmzos25m8ivg.cloudfront.net/Documentos/631/00363262164/6310036326216414092023155213.pdf")</f>
        <v>https://dpmzos25m8ivg.cloudfront.net/Documentos/631/00363262164/6310036326216414092023155213.pdf</v>
      </c>
      <c r="G96" s="5" t="str">
        <f>HYPERLINK("https://dpmzos25m8ivg.cloudfront.net/Documentos/631/00363262164/6310036326216414092023155332.pdf","https://dpmzos25m8ivg.cloudfront.net/Documentos/631/00363262164/6310036326216414092023155332.pdf")</f>
        <v>https://dpmzos25m8ivg.cloudfront.net/Documentos/631/00363262164/6310036326216414092023155332.pdf</v>
      </c>
      <c r="H96" s="4" t="s">
        <v>8683</v>
      </c>
    </row>
    <row r="97" spans="1:8" x14ac:dyDescent="0.25">
      <c r="A97" s="2" t="s">
        <v>107</v>
      </c>
      <c r="B97" s="3"/>
      <c r="C97" s="3"/>
      <c r="D97" s="3"/>
      <c r="E97" s="4" t="str">
        <f>HYPERLINK("https://dpmzos25m8ivg.cloudfront.net/Documentos/631/00363575618/6310036357561805092023193149.pdf","https://dpmzos25m8ivg.cloudfront.net/Documentos/631/00363575618/6310036357561805092023193149.pdf")</f>
        <v>https://dpmzos25m8ivg.cloudfront.net/Documentos/631/00363575618/6310036357561805092023193149.pdf</v>
      </c>
      <c r="F97" s="5" t="str">
        <f>HYPERLINK("https://dpmzos25m8ivg.cloudfront.net/Documentos/631/00363575618/6310036357561805092023193203.pdf","https://dpmzos25m8ivg.cloudfront.net/Documentos/631/00363575618/6310036357561805092023193203.pdf")</f>
        <v>https://dpmzos25m8ivg.cloudfront.net/Documentos/631/00363575618/6310036357561805092023193203.pdf</v>
      </c>
      <c r="G97" s="5" t="str">
        <f>HYPERLINK("https://dpmzos25m8ivg.cloudfront.net/Documentos/631/00363575618/6310036357561805092023193219.pdf","https://dpmzos25m8ivg.cloudfront.net/Documentos/631/00363575618/6310036357561805092023193219.pdf")</f>
        <v>https://dpmzos25m8ivg.cloudfront.net/Documentos/631/00363575618/6310036357561805092023193219.pdf</v>
      </c>
      <c r="H97" s="4" t="s">
        <v>8684</v>
      </c>
    </row>
    <row r="98" spans="1:8" x14ac:dyDescent="0.25">
      <c r="A98" s="2" t="s">
        <v>108</v>
      </c>
      <c r="B98" s="3"/>
      <c r="C98" s="3"/>
      <c r="D98" s="3"/>
      <c r="E98" s="4" t="str">
        <f>HYPERLINK("https://dpmzos25m8ivg.cloudfront.net/Documentos/631/00365209180/6310036520918009092023144709.pdf","https://dpmzos25m8ivg.cloudfront.net/Documentos/631/00365209180/6310036520918009092023144709.pdf")</f>
        <v>https://dpmzos25m8ivg.cloudfront.net/Documentos/631/00365209180/6310036520918009092023144709.pdf</v>
      </c>
      <c r="F98" s="5" t="str">
        <f>HYPERLINK("https://dpmzos25m8ivg.cloudfront.net/Documentos/631/00365209180/6310036520918009092023144757.pdf","https://dpmzos25m8ivg.cloudfront.net/Documentos/631/00365209180/6310036520918009092023144757.pdf")</f>
        <v>https://dpmzos25m8ivg.cloudfront.net/Documentos/631/00365209180/6310036520918009092023144757.pdf</v>
      </c>
      <c r="G98" s="5" t="str">
        <f>HYPERLINK("https://dpmzos25m8ivg.cloudfront.net/Documentos/631/00365209180/6310036520918009092023144817.pdf","https://dpmzos25m8ivg.cloudfront.net/Documentos/631/00365209180/6310036520918009092023144817.pdf")</f>
        <v>https://dpmzos25m8ivg.cloudfront.net/Documentos/631/00365209180/6310036520918009092023144817.pdf</v>
      </c>
      <c r="H98" s="4" t="s">
        <v>8685</v>
      </c>
    </row>
    <row r="99" spans="1:8" x14ac:dyDescent="0.25">
      <c r="A99" s="2" t="s">
        <v>109</v>
      </c>
      <c r="B99" s="3"/>
      <c r="C99" s="3"/>
      <c r="D99" s="3"/>
      <c r="E99" s="4" t="str">
        <f>HYPERLINK("https://dpmzos25m8ivg.cloudfront.net/Documentos/631/00367914581/6310036791458109092023144710.pdf","https://dpmzos25m8ivg.cloudfront.net/Documentos/631/00367914581/6310036791458109092023144710.pdf")</f>
        <v>https://dpmzos25m8ivg.cloudfront.net/Documentos/631/00367914581/6310036791458109092023144710.pdf</v>
      </c>
      <c r="F99" s="5" t="str">
        <f>HYPERLINK("https://dpmzos25m8ivg.cloudfront.net/Documentos/631/00367914581/6310036791458109092023144726.pdf","https://dpmzos25m8ivg.cloudfront.net/Documentos/631/00367914581/6310036791458109092023144726.pdf")</f>
        <v>https://dpmzos25m8ivg.cloudfront.net/Documentos/631/00367914581/6310036791458109092023144726.pdf</v>
      </c>
      <c r="G99" s="5" t="str">
        <f>HYPERLINK("https://dpmzos25m8ivg.cloudfront.net/Documentos/631/00367914581/6310036791458109092023144739.pdf","https://dpmzos25m8ivg.cloudfront.net/Documentos/631/00367914581/6310036791458109092023144739.pdf")</f>
        <v>https://dpmzos25m8ivg.cloudfront.net/Documentos/631/00367914581/6310036791458109092023144739.pdf</v>
      </c>
      <c r="H99" s="4" t="s">
        <v>8686</v>
      </c>
    </row>
    <row r="100" spans="1:8" x14ac:dyDescent="0.25">
      <c r="A100" s="2" t="s">
        <v>110</v>
      </c>
      <c r="B100" s="3"/>
      <c r="C100" s="3"/>
      <c r="D100" s="3"/>
      <c r="E100" s="4" t="str">
        <f>HYPERLINK("https://dpmzos25m8ivg.cloudfront.net/Documentos/631/00373908806/6310037390880605092023185611.pdf","https://dpmzos25m8ivg.cloudfront.net/Documentos/631/00373908806/6310037390880605092023185611.pdf")</f>
        <v>https://dpmzos25m8ivg.cloudfront.net/Documentos/631/00373908806/6310037390880605092023185611.pdf</v>
      </c>
      <c r="F100" s="5" t="str">
        <f>HYPERLINK("https://dpmzos25m8ivg.cloudfront.net/Documentos/631/00373908806/6310037390880605092023185730.pdf","https://dpmzos25m8ivg.cloudfront.net/Documentos/631/00373908806/6310037390880605092023185730.pdf")</f>
        <v>https://dpmzos25m8ivg.cloudfront.net/Documentos/631/00373908806/6310037390880605092023185730.pdf</v>
      </c>
      <c r="G100" s="5" t="str">
        <f>HYPERLINK("https://dpmzos25m8ivg.cloudfront.net/Documentos/631/00373908806/6310037390880605092023185805.pdf","https://dpmzos25m8ivg.cloudfront.net/Documentos/631/00373908806/6310037390880605092023185805.pdf")</f>
        <v>https://dpmzos25m8ivg.cloudfront.net/Documentos/631/00373908806/6310037390880605092023185805.pdf</v>
      </c>
      <c r="H100" s="4" t="s">
        <v>8687</v>
      </c>
    </row>
    <row r="101" spans="1:8" x14ac:dyDescent="0.25">
      <c r="A101" s="2" t="s">
        <v>111</v>
      </c>
      <c r="B101" s="3"/>
      <c r="C101" s="3"/>
      <c r="D101" s="3"/>
      <c r="E101" s="4" t="str">
        <f>HYPERLINK("https://dpmzos25m8ivg.cloudfront.net/Documentos/631/00380838176/6310038083817609092023134444.jpg","https://dpmzos25m8ivg.cloudfront.net/Documentos/631/00380838176/6310038083817609092023134444.jpg")</f>
        <v>https://dpmzos25m8ivg.cloudfront.net/Documentos/631/00380838176/6310038083817609092023134444.jpg</v>
      </c>
      <c r="F101" s="5" t="str">
        <f>HYPERLINK("https://dpmzos25m8ivg.cloudfront.net/Documentos/631/00380838176/6310038083817609092023134520.jpg","https://dpmzos25m8ivg.cloudfront.net/Documentos/631/00380838176/6310038083817609092023134520.jpg")</f>
        <v>https://dpmzos25m8ivg.cloudfront.net/Documentos/631/00380838176/6310038083817609092023134520.jpg</v>
      </c>
      <c r="G101" s="5" t="str">
        <f>HYPERLINK("https://dpmzos25m8ivg.cloudfront.net/Documentos/631/00380838176/6310038083817609092023134552.jpg","https://dpmzos25m8ivg.cloudfront.net/Documentos/631/00380838176/6310038083817609092023134552.jpg")</f>
        <v>https://dpmzos25m8ivg.cloudfront.net/Documentos/631/00380838176/6310038083817609092023134552.jpg</v>
      </c>
      <c r="H101" s="4" t="s">
        <v>8688</v>
      </c>
    </row>
    <row r="102" spans="1:8" x14ac:dyDescent="0.25">
      <c r="A102" s="2" t="s">
        <v>112</v>
      </c>
      <c r="B102" s="3"/>
      <c r="C102" s="3"/>
      <c r="D102" s="3"/>
      <c r="E102" s="4" t="str">
        <f>HYPERLINK("https://dpmzos25m8ivg.cloudfront.net/Documentos/631/00384617301/6310038461730111092023080056.pdf","https://dpmzos25m8ivg.cloudfront.net/Documentos/631/00384617301/6310038461730111092023080056.pdf")</f>
        <v>https://dpmzos25m8ivg.cloudfront.net/Documentos/631/00384617301/6310038461730111092023080056.pdf</v>
      </c>
      <c r="F102" s="5" t="str">
        <f>HYPERLINK("https://dpmzos25m8ivg.cloudfront.net/Documentos/631/00384617301/6310038461730111092023080154.pdf","https://dpmzos25m8ivg.cloudfront.net/Documentos/631/00384617301/6310038461730111092023080154.pdf")</f>
        <v>https://dpmzos25m8ivg.cloudfront.net/Documentos/631/00384617301/6310038461730111092023080154.pdf</v>
      </c>
      <c r="G102" s="5" t="str">
        <f>HYPERLINK("https://dpmzos25m8ivg.cloudfront.net/Documentos/631/00384617301/6310038461730111092023080307.pdf","https://dpmzos25m8ivg.cloudfront.net/Documentos/631/00384617301/6310038461730111092023080307.pdf")</f>
        <v>https://dpmzos25m8ivg.cloudfront.net/Documentos/631/00384617301/6310038461730111092023080307.pdf</v>
      </c>
      <c r="H102" s="4" t="s">
        <v>8689</v>
      </c>
    </row>
    <row r="103" spans="1:8" x14ac:dyDescent="0.25">
      <c r="A103" s="2" t="s">
        <v>113</v>
      </c>
      <c r="B103" s="3"/>
      <c r="C103" s="3"/>
      <c r="D103" s="3"/>
      <c r="E103" s="4" t="str">
        <f>HYPERLINK("https://dpmzos25m8ivg.cloudfront.net/Documentos/631/00386769230/6310038676923011092023141733.jpg","https://dpmzos25m8ivg.cloudfront.net/Documentos/631/00386769230/6310038676923011092023141733.jpg")</f>
        <v>https://dpmzos25m8ivg.cloudfront.net/Documentos/631/00386769230/6310038676923011092023141733.jpg</v>
      </c>
      <c r="F103" s="5" t="str">
        <f>HYPERLINK("https://dpmzos25m8ivg.cloudfront.net/Documentos/631/00386769230/6310038676923011092023141723.jpg","https://dpmzos25m8ivg.cloudfront.net/Documentos/631/00386769230/6310038676923011092023141723.jpg")</f>
        <v>https://dpmzos25m8ivg.cloudfront.net/Documentos/631/00386769230/6310038676923011092023141723.jpg</v>
      </c>
      <c r="G103" s="5" t="str">
        <f>HYPERLINK("https://dpmzos25m8ivg.cloudfront.net/Documentos/631/00386769230/6310038676923011092023141710.jpg","https://dpmzos25m8ivg.cloudfront.net/Documentos/631/00386769230/6310038676923011092023141710.jpg")</f>
        <v>https://dpmzos25m8ivg.cloudfront.net/Documentos/631/00386769230/6310038676923011092023141710.jpg</v>
      </c>
      <c r="H103" s="4" t="s">
        <v>8690</v>
      </c>
    </row>
    <row r="104" spans="1:8" x14ac:dyDescent="0.25">
      <c r="A104" s="2" t="s">
        <v>114</v>
      </c>
      <c r="B104" s="3"/>
      <c r="C104" s="3"/>
      <c r="D104" s="3"/>
      <c r="E104" s="4" t="str">
        <f>HYPERLINK("https://dpmzos25m8ivg.cloudfront.net/Documentos/631/00387151125/6310038715112506092023204700.pdf","https://dpmzos25m8ivg.cloudfront.net/Documentos/631/00387151125/6310038715112506092023204700.pdf")</f>
        <v>https://dpmzos25m8ivg.cloudfront.net/Documentos/631/00387151125/6310038715112506092023204700.pdf</v>
      </c>
      <c r="F104" s="5" t="str">
        <f>HYPERLINK("https://dpmzos25m8ivg.cloudfront.net/Documentos/631/00387151125/6310038715112506092023204942.pdf","https://dpmzos25m8ivg.cloudfront.net/Documentos/631/00387151125/6310038715112506092023204942.pdf")</f>
        <v>https://dpmzos25m8ivg.cloudfront.net/Documentos/631/00387151125/6310038715112506092023204942.pdf</v>
      </c>
      <c r="G104" s="5" t="str">
        <f>HYPERLINK("https://dpmzos25m8ivg.cloudfront.net/Documentos/631/00387151125/6310038715112506092023205048.pdf","https://dpmzos25m8ivg.cloudfront.net/Documentos/631/00387151125/6310038715112506092023205048.pdf")</f>
        <v>https://dpmzos25m8ivg.cloudfront.net/Documentos/631/00387151125/6310038715112506092023205048.pdf</v>
      </c>
      <c r="H104" s="4" t="s">
        <v>8691</v>
      </c>
    </row>
    <row r="105" spans="1:8" x14ac:dyDescent="0.25">
      <c r="A105" s="2" t="s">
        <v>115</v>
      </c>
      <c r="B105" s="3"/>
      <c r="C105" s="3"/>
      <c r="D105" s="3"/>
      <c r="E105" s="4" t="str">
        <f>HYPERLINK("https://dpmzos25m8ivg.cloudfront.net/Documentos/631/00387337148/6310038733714811092023140157.jpeg","https://dpmzos25m8ivg.cloudfront.net/Documentos/631/00387337148/6310038733714811092023140157.jpeg")</f>
        <v>https://dpmzos25m8ivg.cloudfront.net/Documentos/631/00387337148/6310038733714811092023140157.jpeg</v>
      </c>
      <c r="F105" s="5" t="str">
        <f>HYPERLINK("https://dpmzos25m8ivg.cloudfront.net/Documentos/631/00387337148/6310038733714811092023140205.jpeg","https://dpmzos25m8ivg.cloudfront.net/Documentos/631/00387337148/6310038733714811092023140205.jpeg")</f>
        <v>https://dpmzos25m8ivg.cloudfront.net/Documentos/631/00387337148/6310038733714811092023140205.jpeg</v>
      </c>
      <c r="G105" s="5" t="str">
        <f>HYPERLINK("https://dpmzos25m8ivg.cloudfront.net/Documentos/631/00387337148/6310038733714811092023140215.jpeg","https://dpmzos25m8ivg.cloudfront.net/Documentos/631/00387337148/6310038733714811092023140215.jpeg")</f>
        <v>https://dpmzos25m8ivg.cloudfront.net/Documentos/631/00387337148/6310038733714811092023140215.jpeg</v>
      </c>
      <c r="H105" s="4" t="s">
        <v>8692</v>
      </c>
    </row>
    <row r="106" spans="1:8" x14ac:dyDescent="0.25">
      <c r="A106" s="2" t="s">
        <v>116</v>
      </c>
      <c r="B106" s="3"/>
      <c r="C106" s="3"/>
      <c r="D106" s="3"/>
      <c r="E106" s="4" t="str">
        <f>HYPERLINK("https://dpmzos25m8ivg.cloudfront.net/Documentos/631/00399504338/6310039950433814092023023902.pdf","https://dpmzos25m8ivg.cloudfront.net/Documentos/631/00399504338/6310039950433814092023023902.pdf")</f>
        <v>https://dpmzos25m8ivg.cloudfront.net/Documentos/631/00399504338/6310039950433814092023023902.pdf</v>
      </c>
      <c r="F106" s="5" t="str">
        <f>HYPERLINK("https://dpmzos25m8ivg.cloudfront.net/Documentos/631/00399504338/6310039950433814092023024019.pdf","https://dpmzos25m8ivg.cloudfront.net/Documentos/631/00399504338/6310039950433814092023024019.pdf")</f>
        <v>https://dpmzos25m8ivg.cloudfront.net/Documentos/631/00399504338/6310039950433814092023024019.pdf</v>
      </c>
      <c r="G106" s="5" t="str">
        <f>HYPERLINK("https://dpmzos25m8ivg.cloudfront.net/Documentos/631/00399504338/6310039950433814092023024227.pdf","https://dpmzos25m8ivg.cloudfront.net/Documentos/631/00399504338/6310039950433814092023024227.pdf")</f>
        <v>https://dpmzos25m8ivg.cloudfront.net/Documentos/631/00399504338/6310039950433814092023024227.pdf</v>
      </c>
      <c r="H106" s="4" t="s">
        <v>8693</v>
      </c>
    </row>
    <row r="107" spans="1:8" x14ac:dyDescent="0.25">
      <c r="A107" s="2" t="s">
        <v>117</v>
      </c>
      <c r="B107" s="3"/>
      <c r="C107" s="3"/>
      <c r="D107" s="3"/>
      <c r="E107" s="4" t="str">
        <f>HYPERLINK("https://dpmzos25m8ivg.cloudfront.net/Documentos/631/00406395926/6310040639592611092023164400.pdf","https://dpmzos25m8ivg.cloudfront.net/Documentos/631/00406395926/6310040639592611092023164400.pdf")</f>
        <v>https://dpmzos25m8ivg.cloudfront.net/Documentos/631/00406395926/6310040639592611092023164400.pdf</v>
      </c>
      <c r="F107" s="5" t="str">
        <f>HYPERLINK("https://dpmzos25m8ivg.cloudfront.net/Documentos/631/00406395926/6310040639592611092023164414.pdf","https://dpmzos25m8ivg.cloudfront.net/Documentos/631/00406395926/6310040639592611092023164414.pdf")</f>
        <v>https://dpmzos25m8ivg.cloudfront.net/Documentos/631/00406395926/6310040639592611092023164414.pdf</v>
      </c>
      <c r="G107" s="5" t="str">
        <f>HYPERLINK("https://dpmzos25m8ivg.cloudfront.net/Documentos/631/00406395926/6310040639592611092023164424.pdf","https://dpmzos25m8ivg.cloudfront.net/Documentos/631/00406395926/6310040639592611092023164424.pdf")</f>
        <v>https://dpmzos25m8ivg.cloudfront.net/Documentos/631/00406395926/6310040639592611092023164424.pdf</v>
      </c>
      <c r="H107" s="4" t="s">
        <v>8694</v>
      </c>
    </row>
    <row r="108" spans="1:8" x14ac:dyDescent="0.25">
      <c r="A108" s="2" t="s">
        <v>118</v>
      </c>
      <c r="B108" s="3"/>
      <c r="C108" s="3"/>
      <c r="D108" s="3"/>
      <c r="E108" s="4" t="str">
        <f>HYPERLINK("https://dpmzos25m8ivg.cloudfront.net/Documentos/631/00408708204/6310040870820411092023155056.pdf","https://dpmzos25m8ivg.cloudfront.net/Documentos/631/00408708204/6310040870820411092023155056.pdf")</f>
        <v>https://dpmzos25m8ivg.cloudfront.net/Documentos/631/00408708204/6310040870820411092023155056.pdf</v>
      </c>
      <c r="F108" s="5" t="str">
        <f>HYPERLINK("https://dpmzos25m8ivg.cloudfront.net/Documentos/631/00408708204/6310040870820411092023155109.pdf","https://dpmzos25m8ivg.cloudfront.net/Documentos/631/00408708204/6310040870820411092023155109.pdf")</f>
        <v>https://dpmzos25m8ivg.cloudfront.net/Documentos/631/00408708204/6310040870820411092023155109.pdf</v>
      </c>
      <c r="G108" s="5" t="str">
        <f>HYPERLINK("https://dpmzos25m8ivg.cloudfront.net/Documentos/631/00408708204/6310040870820411092023155121.pdf","https://dpmzos25m8ivg.cloudfront.net/Documentos/631/00408708204/6310040870820411092023155121.pdf")</f>
        <v>https://dpmzos25m8ivg.cloudfront.net/Documentos/631/00408708204/6310040870820411092023155121.pdf</v>
      </c>
      <c r="H108" s="4" t="s">
        <v>8695</v>
      </c>
    </row>
    <row r="109" spans="1:8" x14ac:dyDescent="0.25">
      <c r="A109" s="2" t="s">
        <v>119</v>
      </c>
      <c r="B109" s="3"/>
      <c r="C109" s="3"/>
      <c r="D109" s="3"/>
      <c r="E109" s="4" t="str">
        <f>HYPERLINK("https://dpmzos25m8ivg.cloudfront.net/Documentos/631/00409301221/6310040930122105092023133446.pdf","https://dpmzos25m8ivg.cloudfront.net/Documentos/631/00409301221/6310040930122105092023133446.pdf")</f>
        <v>https://dpmzos25m8ivg.cloudfront.net/Documentos/631/00409301221/6310040930122105092023133446.pdf</v>
      </c>
      <c r="F109" s="5" t="str">
        <f>HYPERLINK("https://dpmzos25m8ivg.cloudfront.net/Documentos/631/00409301221/6310040930122105092023133540.pdf","https://dpmzos25m8ivg.cloudfront.net/Documentos/631/00409301221/6310040930122105092023133540.pdf")</f>
        <v>https://dpmzos25m8ivg.cloudfront.net/Documentos/631/00409301221/6310040930122105092023133540.pdf</v>
      </c>
      <c r="G109" s="5" t="str">
        <f>HYPERLINK("https://dpmzos25m8ivg.cloudfront.net/Documentos/631/00409301221/6310040930122105092023133557.pdf","https://dpmzos25m8ivg.cloudfront.net/Documentos/631/00409301221/6310040930122105092023133557.pdf")</f>
        <v>https://dpmzos25m8ivg.cloudfront.net/Documentos/631/00409301221/6310040930122105092023133557.pdf</v>
      </c>
      <c r="H109" s="4" t="s">
        <v>8696</v>
      </c>
    </row>
    <row r="110" spans="1:8" x14ac:dyDescent="0.25">
      <c r="A110" s="2" t="s">
        <v>120</v>
      </c>
      <c r="B110" s="3"/>
      <c r="C110" s="3"/>
      <c r="D110" s="3"/>
      <c r="E110" s="4" t="str">
        <f>HYPERLINK("https://dpmzos25m8ivg.cloudfront.net/Documentos/631/00409317144/6310040931714411092023162455.jpeg","https://dpmzos25m8ivg.cloudfront.net/Documentos/631/00409317144/6310040931714411092023162455.jpeg")</f>
        <v>https://dpmzos25m8ivg.cloudfront.net/Documentos/631/00409317144/6310040931714411092023162455.jpeg</v>
      </c>
      <c r="F110" s="5" t="str">
        <f>HYPERLINK("https://dpmzos25m8ivg.cloudfront.net/Documentos/631/00409317144/6310040931714411092023162500.jpeg","https://dpmzos25m8ivg.cloudfront.net/Documentos/631/00409317144/6310040931714411092023162500.jpeg")</f>
        <v>https://dpmzos25m8ivg.cloudfront.net/Documentos/631/00409317144/6310040931714411092023162500.jpeg</v>
      </c>
      <c r="G110" s="5" t="str">
        <f>HYPERLINK("https://dpmzos25m8ivg.cloudfront.net/Documentos/631/00409317144/6310040931714411092023162507.jpeg","https://dpmzos25m8ivg.cloudfront.net/Documentos/631/00409317144/6310040931714411092023162507.jpeg")</f>
        <v>https://dpmzos25m8ivg.cloudfront.net/Documentos/631/00409317144/6310040931714411092023162507.jpeg</v>
      </c>
      <c r="H110" s="4" t="s">
        <v>8697</v>
      </c>
    </row>
    <row r="111" spans="1:8" x14ac:dyDescent="0.25">
      <c r="A111" s="2" t="s">
        <v>121</v>
      </c>
      <c r="B111" s="3" t="s">
        <v>23</v>
      </c>
      <c r="C111" s="3"/>
      <c r="D111" s="3"/>
      <c r="E111" s="4" t="str">
        <f>HYPERLINK("https://dpmzos25m8ivg.cloudfront.net/Documentos/631/00417339240/6310041733924005092023100030.jpg","https://dpmzos25m8ivg.cloudfront.net/Documentos/631/00417339240/6310041733924005092023100030.jpg")</f>
        <v>https://dpmzos25m8ivg.cloudfront.net/Documentos/631/00417339240/6310041733924005092023100030.jpg</v>
      </c>
      <c r="F111" s="5" t="str">
        <f>HYPERLINK("https://dpmzos25m8ivg.cloudfront.net/Documentos/631/00417339240/6310041733924005092023100050.jpg","https://dpmzos25m8ivg.cloudfront.net/Documentos/631/00417339240/6310041733924005092023100050.jpg")</f>
        <v>https://dpmzos25m8ivg.cloudfront.net/Documentos/631/00417339240/6310041733924005092023100050.jpg</v>
      </c>
      <c r="G111" s="5" t="str">
        <f>HYPERLINK("https://dpmzos25m8ivg.cloudfront.net/Documentos/631/00417339240/6310041733924005092023100118.jpg","https://dpmzos25m8ivg.cloudfront.net/Documentos/631/00417339240/6310041733924005092023100118.jpg")</f>
        <v>https://dpmzos25m8ivg.cloudfront.net/Documentos/631/00417339240/6310041733924005092023100118.jpg</v>
      </c>
      <c r="H111" s="4" t="s">
        <v>8698</v>
      </c>
    </row>
    <row r="112" spans="1:8" x14ac:dyDescent="0.25">
      <c r="A112" s="2" t="s">
        <v>122</v>
      </c>
      <c r="B112" s="3"/>
      <c r="C112" s="3"/>
      <c r="D112" s="3"/>
      <c r="E112" s="4" t="str">
        <f>HYPERLINK("https://dpmzos25m8ivg.cloudfront.net/Documentos/631/00419231200/6310041923120010092023202513.pdf","https://dpmzos25m8ivg.cloudfront.net/Documentos/631/00419231200/6310041923120010092023202513.pdf")</f>
        <v>https://dpmzos25m8ivg.cloudfront.net/Documentos/631/00419231200/6310041923120010092023202513.pdf</v>
      </c>
      <c r="F112" s="5" t="str">
        <f>HYPERLINK("https://dpmzos25m8ivg.cloudfront.net/Documentos/631/00419231200/6310041923120010092023202524.pdf","https://dpmzos25m8ivg.cloudfront.net/Documentos/631/00419231200/6310041923120010092023202524.pdf")</f>
        <v>https://dpmzos25m8ivg.cloudfront.net/Documentos/631/00419231200/6310041923120010092023202524.pdf</v>
      </c>
      <c r="G112" s="5" t="str">
        <f>HYPERLINK("https://dpmzos25m8ivg.cloudfront.net/Documentos/631/00419231200/6310041923120010092023202534.pdf","https://dpmzos25m8ivg.cloudfront.net/Documentos/631/00419231200/6310041923120010092023202534.pdf")</f>
        <v>https://dpmzos25m8ivg.cloudfront.net/Documentos/631/00419231200/6310041923120010092023202534.pdf</v>
      </c>
      <c r="H112" s="4" t="s">
        <v>8699</v>
      </c>
    </row>
    <row r="113" spans="1:8" x14ac:dyDescent="0.25">
      <c r="A113" s="2" t="s">
        <v>123</v>
      </c>
      <c r="B113" s="3"/>
      <c r="C113" s="3"/>
      <c r="D113" s="3"/>
      <c r="E113" s="4" t="str">
        <f>HYPERLINK("https://dpmzos25m8ivg.cloudfront.net/Documentos/631/00419883290/6310041988329011092023155733.pdf","https://dpmzos25m8ivg.cloudfront.net/Documentos/631/00419883290/6310041988329011092023155733.pdf")</f>
        <v>https://dpmzos25m8ivg.cloudfront.net/Documentos/631/00419883290/6310041988329011092023155733.pdf</v>
      </c>
      <c r="F113" s="5" t="str">
        <f>HYPERLINK("https://dpmzos25m8ivg.cloudfront.net/Documentos/631/00419883290/6310041988329011092023155749.pdf","https://dpmzos25m8ivg.cloudfront.net/Documentos/631/00419883290/6310041988329011092023155749.pdf")</f>
        <v>https://dpmzos25m8ivg.cloudfront.net/Documentos/631/00419883290/6310041988329011092023155749.pdf</v>
      </c>
      <c r="G113" s="5" t="str">
        <f>HYPERLINK("https://dpmzos25m8ivg.cloudfront.net/Documentos/631/00419883290/6310041988329011092023155827.pdf","https://dpmzos25m8ivg.cloudfront.net/Documentos/631/00419883290/6310041988329011092023155827.pdf")</f>
        <v>https://dpmzos25m8ivg.cloudfront.net/Documentos/631/00419883290/6310041988329011092023155827.pdf</v>
      </c>
      <c r="H113" s="4" t="s">
        <v>8700</v>
      </c>
    </row>
    <row r="114" spans="1:8" x14ac:dyDescent="0.25">
      <c r="A114" s="2" t="s">
        <v>124</v>
      </c>
      <c r="B114" s="3"/>
      <c r="C114" s="3"/>
      <c r="D114" s="3"/>
      <c r="E114" s="4" t="str">
        <f>HYPERLINK("https://dpmzos25m8ivg.cloudfront.net/Documentos/631/00423216112/6310042321611214092023135447.jpeg","https://dpmzos25m8ivg.cloudfront.net/Documentos/631/00423216112/6310042321611214092023135447.jpeg")</f>
        <v>https://dpmzos25m8ivg.cloudfront.net/Documentos/631/00423216112/6310042321611214092023135447.jpeg</v>
      </c>
      <c r="F114" s="5" t="str">
        <f>HYPERLINK("https://dpmzos25m8ivg.cloudfront.net/Documentos/631/00423216112/6310042321611214092023135514.jpeg","https://dpmzos25m8ivg.cloudfront.net/Documentos/631/00423216112/6310042321611214092023135514.jpeg")</f>
        <v>https://dpmzos25m8ivg.cloudfront.net/Documentos/631/00423216112/6310042321611214092023135514.jpeg</v>
      </c>
      <c r="G114" s="5" t="str">
        <f>HYPERLINK("https://dpmzos25m8ivg.cloudfront.net/Documentos/631/00423216112/6310042321611214092023135533.jpeg","https://dpmzos25m8ivg.cloudfront.net/Documentos/631/00423216112/6310042321611214092023135533.jpeg")</f>
        <v>https://dpmzos25m8ivg.cloudfront.net/Documentos/631/00423216112/6310042321611214092023135533.jpeg</v>
      </c>
      <c r="H114" s="4" t="s">
        <v>8701</v>
      </c>
    </row>
    <row r="115" spans="1:8" x14ac:dyDescent="0.25">
      <c r="A115" s="2" t="s">
        <v>125</v>
      </c>
      <c r="B115" s="3" t="s">
        <v>42</v>
      </c>
      <c r="C115" s="3"/>
      <c r="D115" s="3"/>
      <c r="E115" s="4" t="str">
        <f>HYPERLINK("https://dpmzos25m8ivg.cloudfront.net/Documentos/631/00426578228/6310042657822805092023171017.pdf","https://dpmzos25m8ivg.cloudfront.net/Documentos/631/00426578228/6310042657822805092023171017.pdf")</f>
        <v>https://dpmzos25m8ivg.cloudfront.net/Documentos/631/00426578228/6310042657822805092023171017.pdf</v>
      </c>
      <c r="F115" s="5" t="str">
        <f>HYPERLINK("https://dpmzos25m8ivg.cloudfront.net/Documentos/631/00426578228/6310042657822805092023171034.pdf","https://dpmzos25m8ivg.cloudfront.net/Documentos/631/00426578228/6310042657822805092023171034.pdf")</f>
        <v>https://dpmzos25m8ivg.cloudfront.net/Documentos/631/00426578228/6310042657822805092023171034.pdf</v>
      </c>
      <c r="G115" s="5" t="str">
        <f>HYPERLINK("https://dpmzos25m8ivg.cloudfront.net/Documentos/631/00426578228/6310042657822805092023171051.pdf","https://dpmzos25m8ivg.cloudfront.net/Documentos/631/00426578228/6310042657822805092023171051.pdf")</f>
        <v>https://dpmzos25m8ivg.cloudfront.net/Documentos/631/00426578228/6310042657822805092023171051.pdf</v>
      </c>
      <c r="H115" s="4" t="s">
        <v>8702</v>
      </c>
    </row>
    <row r="116" spans="1:8" x14ac:dyDescent="0.25">
      <c r="A116" s="2" t="s">
        <v>126</v>
      </c>
      <c r="B116" s="3"/>
      <c r="C116" s="3"/>
      <c r="D116" s="3"/>
      <c r="E116" s="4" t="str">
        <f>HYPERLINK("https://dpmzos25m8ivg.cloudfront.net/Documentos/631/00430635273/6310043063527311092023105115.jpeg","https://dpmzos25m8ivg.cloudfront.net/Documentos/631/00430635273/6310043063527311092023105115.jpeg")</f>
        <v>https://dpmzos25m8ivg.cloudfront.net/Documentos/631/00430635273/6310043063527311092023105115.jpeg</v>
      </c>
      <c r="F116" s="5" t="str">
        <f>HYPERLINK("https://dpmzos25m8ivg.cloudfront.net/Documentos/631/00430635273/6310043063527311092023105127.jpeg","https://dpmzos25m8ivg.cloudfront.net/Documentos/631/00430635273/6310043063527311092023105127.jpeg")</f>
        <v>https://dpmzos25m8ivg.cloudfront.net/Documentos/631/00430635273/6310043063527311092023105127.jpeg</v>
      </c>
      <c r="G116" s="5" t="str">
        <f>HYPERLINK("https://dpmzos25m8ivg.cloudfront.net/Documentos/631/00430635273/6310043063527311092023105139.jpeg","https://dpmzos25m8ivg.cloudfront.net/Documentos/631/00430635273/6310043063527311092023105139.jpeg")</f>
        <v>https://dpmzos25m8ivg.cloudfront.net/Documentos/631/00430635273/6310043063527311092023105139.jpeg</v>
      </c>
      <c r="H116" s="4" t="s">
        <v>8703</v>
      </c>
    </row>
    <row r="117" spans="1:8" x14ac:dyDescent="0.25">
      <c r="A117" s="2" t="s">
        <v>127</v>
      </c>
      <c r="B117" s="3"/>
      <c r="C117" s="3"/>
      <c r="D117" s="3"/>
      <c r="E117" s="4" t="str">
        <f>HYPERLINK("https://dpmzos25m8ivg.cloudfront.net/Documentos/631/00431582181/6310043158218111092023151839.pdf","https://dpmzos25m8ivg.cloudfront.net/Documentos/631/00431582181/6310043158218111092023151839.pdf")</f>
        <v>https://dpmzos25m8ivg.cloudfront.net/Documentos/631/00431582181/6310043158218111092023151839.pdf</v>
      </c>
      <c r="F117" s="5" t="str">
        <f>HYPERLINK("https://dpmzos25m8ivg.cloudfront.net/Documentos/631/00431582181/6310043158218111092023152540.pdf","https://dpmzos25m8ivg.cloudfront.net/Documentos/631/00431582181/6310043158218111092023152540.pdf")</f>
        <v>https://dpmzos25m8ivg.cloudfront.net/Documentos/631/00431582181/6310043158218111092023152540.pdf</v>
      </c>
      <c r="G117" s="5" t="str">
        <f>HYPERLINK("https://dpmzos25m8ivg.cloudfront.net/Documentos/631/00431582181/6310043158218111092023151920.pdf","https://dpmzos25m8ivg.cloudfront.net/Documentos/631/00431582181/6310043158218111092023151920.pdf")</f>
        <v>https://dpmzos25m8ivg.cloudfront.net/Documentos/631/00431582181/6310043158218111092023151920.pdf</v>
      </c>
      <c r="H117" s="4" t="s">
        <v>8704</v>
      </c>
    </row>
    <row r="118" spans="1:8" x14ac:dyDescent="0.25">
      <c r="A118" s="2" t="s">
        <v>128</v>
      </c>
      <c r="B118" s="3"/>
      <c r="C118" s="3"/>
      <c r="D118" s="3"/>
      <c r="E118" s="4" t="str">
        <f>HYPERLINK("https://dpmzos25m8ivg.cloudfront.net/Documentos/631/00432406077/6310043240607705092023225801.jpeg","https://dpmzos25m8ivg.cloudfront.net/Documentos/631/00432406077/6310043240607705092023225801.jpeg")</f>
        <v>https://dpmzos25m8ivg.cloudfront.net/Documentos/631/00432406077/6310043240607705092023225801.jpeg</v>
      </c>
      <c r="F118" s="5" t="str">
        <f>HYPERLINK("https://dpmzos25m8ivg.cloudfront.net/Documentos/631/00432406077/6310043240607705092023230055.jpeg","https://dpmzos25m8ivg.cloudfront.net/Documentos/631/00432406077/6310043240607705092023230055.jpeg")</f>
        <v>https://dpmzos25m8ivg.cloudfront.net/Documentos/631/00432406077/6310043240607705092023230055.jpeg</v>
      </c>
      <c r="G118" s="5" t="str">
        <f>HYPERLINK("https://dpmzos25m8ivg.cloudfront.net/Documentos/631/00432406077/6310043240607705092023230126.jpeg","https://dpmzos25m8ivg.cloudfront.net/Documentos/631/00432406077/6310043240607705092023230126.jpeg")</f>
        <v>https://dpmzos25m8ivg.cloudfront.net/Documentos/631/00432406077/6310043240607705092023230126.jpeg</v>
      </c>
      <c r="H118" s="4" t="s">
        <v>8705</v>
      </c>
    </row>
    <row r="119" spans="1:8" x14ac:dyDescent="0.25">
      <c r="A119" s="2" t="s">
        <v>129</v>
      </c>
      <c r="B119" s="3" t="s">
        <v>23</v>
      </c>
      <c r="C119" s="3"/>
      <c r="D119" s="3"/>
      <c r="E119" s="4" t="str">
        <f>HYPERLINK("https://dpmzos25m8ivg.cloudfront.net/Documentos/631/00432543228/6310043254322811092023153206.jpeg","https://dpmzos25m8ivg.cloudfront.net/Documentos/631/00432543228/6310043254322811092023153206.jpeg")</f>
        <v>https://dpmzos25m8ivg.cloudfront.net/Documentos/631/00432543228/6310043254322811092023153206.jpeg</v>
      </c>
      <c r="F119" s="5" t="str">
        <f>HYPERLINK("https://dpmzos25m8ivg.cloudfront.net/Documentos/631/00432543228/6310043254322811092023153232.jpeg","https://dpmzos25m8ivg.cloudfront.net/Documentos/631/00432543228/6310043254322811092023153232.jpeg")</f>
        <v>https://dpmzos25m8ivg.cloudfront.net/Documentos/631/00432543228/6310043254322811092023153232.jpeg</v>
      </c>
      <c r="G119" s="5" t="str">
        <f>HYPERLINK("https://dpmzos25m8ivg.cloudfront.net/Documentos/631/00432543228/6310043254322811092023153251.jpeg","https://dpmzos25m8ivg.cloudfront.net/Documentos/631/00432543228/6310043254322811092023153251.jpeg")</f>
        <v>https://dpmzos25m8ivg.cloudfront.net/Documentos/631/00432543228/6310043254322811092023153251.jpeg</v>
      </c>
      <c r="H119" s="4" t="s">
        <v>8706</v>
      </c>
    </row>
    <row r="120" spans="1:8" x14ac:dyDescent="0.25">
      <c r="A120" s="2" t="s">
        <v>130</v>
      </c>
      <c r="B120" s="3"/>
      <c r="C120" s="3"/>
      <c r="D120" s="3"/>
      <c r="E120" s="4" t="str">
        <f>HYPERLINK("https://dpmzos25m8ivg.cloudfront.net/Documentos/631/00443030332/6310044303033205092023155059.pdf","https://dpmzos25m8ivg.cloudfront.net/Documentos/631/00443030332/6310044303033205092023155059.pdf")</f>
        <v>https://dpmzos25m8ivg.cloudfront.net/Documentos/631/00443030332/6310044303033205092023155059.pdf</v>
      </c>
      <c r="F120" s="5" t="str">
        <f>HYPERLINK("https://dpmzos25m8ivg.cloudfront.net/Documentos/631/00443030332/6310044303033205092023155109.pdf","https://dpmzos25m8ivg.cloudfront.net/Documentos/631/00443030332/6310044303033205092023155109.pdf")</f>
        <v>https://dpmzos25m8ivg.cloudfront.net/Documentos/631/00443030332/6310044303033205092023155109.pdf</v>
      </c>
      <c r="G120" s="5" t="str">
        <f>HYPERLINK("https://dpmzos25m8ivg.cloudfront.net/Documentos/631/00443030332/6310044303033205092023155117.pdf","https://dpmzos25m8ivg.cloudfront.net/Documentos/631/00443030332/6310044303033205092023155117.pdf")</f>
        <v>https://dpmzos25m8ivg.cloudfront.net/Documentos/631/00443030332/6310044303033205092023155117.pdf</v>
      </c>
      <c r="H120" s="4" t="s">
        <v>8707</v>
      </c>
    </row>
    <row r="121" spans="1:8" x14ac:dyDescent="0.25">
      <c r="A121" s="2" t="s">
        <v>131</v>
      </c>
      <c r="B121" s="3"/>
      <c r="C121" s="3"/>
      <c r="D121" s="3"/>
      <c r="E121" s="4" t="str">
        <f>HYPERLINK("https://dpmzos25m8ivg.cloudfront.net/Documentos/631/00448247267/6310044824726705092023114929.pdf","https://dpmzos25m8ivg.cloudfront.net/Documentos/631/00448247267/6310044824726705092023114929.pdf")</f>
        <v>https://dpmzos25m8ivg.cloudfront.net/Documentos/631/00448247267/6310044824726705092023114929.pdf</v>
      </c>
      <c r="F121" s="5" t="str">
        <f>HYPERLINK("https://dpmzos25m8ivg.cloudfront.net/Documentos/631/00448247267/6310044824726705092023114949.pdf","https://dpmzos25m8ivg.cloudfront.net/Documentos/631/00448247267/6310044824726705092023114949.pdf")</f>
        <v>https://dpmzos25m8ivg.cloudfront.net/Documentos/631/00448247267/6310044824726705092023114949.pdf</v>
      </c>
      <c r="G121" s="5" t="str">
        <f>HYPERLINK("https://dpmzos25m8ivg.cloudfront.net/Documentos/631/00448247267/6310044824726705092023115006.pdf","https://dpmzos25m8ivg.cloudfront.net/Documentos/631/00448247267/6310044824726705092023115006.pdf")</f>
        <v>https://dpmzos25m8ivg.cloudfront.net/Documentos/631/00448247267/6310044824726705092023115006.pdf</v>
      </c>
      <c r="H121" s="4" t="s">
        <v>8708</v>
      </c>
    </row>
    <row r="122" spans="1:8" x14ac:dyDescent="0.25">
      <c r="A122" s="2" t="s">
        <v>132</v>
      </c>
      <c r="B122" s="3"/>
      <c r="C122" s="3"/>
      <c r="D122" s="3"/>
      <c r="E122" s="4" t="str">
        <f>HYPERLINK("https://dpmzos25m8ivg.cloudfront.net/Documentos/631/00450354075/6310045035407511092023155812.jpg","https://dpmzos25m8ivg.cloudfront.net/Documentos/631/00450354075/6310045035407511092023155812.jpg")</f>
        <v>https://dpmzos25m8ivg.cloudfront.net/Documentos/631/00450354075/6310045035407511092023155812.jpg</v>
      </c>
      <c r="F122" s="5" t="str">
        <f>HYPERLINK("https://dpmzos25m8ivg.cloudfront.net/Documentos/631/00450354075/6310045035407511092023155834.jpg","https://dpmzos25m8ivg.cloudfront.net/Documentos/631/00450354075/6310045035407511092023155834.jpg")</f>
        <v>https://dpmzos25m8ivg.cloudfront.net/Documentos/631/00450354075/6310045035407511092023155834.jpg</v>
      </c>
      <c r="G122" s="5" t="str">
        <f>HYPERLINK("https://dpmzos25m8ivg.cloudfront.net/Documentos/631/00450354075/6310045035407511092023155848.jpg","https://dpmzos25m8ivg.cloudfront.net/Documentos/631/00450354075/6310045035407511092023155848.jpg")</f>
        <v>https://dpmzos25m8ivg.cloudfront.net/Documentos/631/00450354075/6310045035407511092023155848.jpg</v>
      </c>
      <c r="H122" s="4" t="s">
        <v>8709</v>
      </c>
    </row>
    <row r="123" spans="1:8" x14ac:dyDescent="0.25">
      <c r="A123" s="2" t="s">
        <v>133</v>
      </c>
      <c r="B123" s="3"/>
      <c r="C123" s="3"/>
      <c r="D123" s="3"/>
      <c r="E123" s="4" t="str">
        <f>HYPERLINK("https://dpmzos25m8ivg.cloudfront.net/Documentos/631/00469911158/6310046991115811092023162003.pdf","https://dpmzos25m8ivg.cloudfront.net/Documentos/631/00469911158/6310046991115811092023162003.pdf")</f>
        <v>https://dpmzos25m8ivg.cloudfront.net/Documentos/631/00469911158/6310046991115811092023162003.pdf</v>
      </c>
      <c r="F123" s="5" t="str">
        <f>HYPERLINK("https://dpmzos25m8ivg.cloudfront.net/Documentos/631/00469911158/6310046991115811092023162012.pdf","https://dpmzos25m8ivg.cloudfront.net/Documentos/631/00469911158/6310046991115811092023162012.pdf")</f>
        <v>https://dpmzos25m8ivg.cloudfront.net/Documentos/631/00469911158/6310046991115811092023162012.pdf</v>
      </c>
      <c r="G123" s="5" t="str">
        <f>HYPERLINK("https://dpmzos25m8ivg.cloudfront.net/Documentos/631/00469911158/6310046991115811092023162021.pdf","https://dpmzos25m8ivg.cloudfront.net/Documentos/631/00469911158/6310046991115811092023162021.pdf")</f>
        <v>https://dpmzos25m8ivg.cloudfront.net/Documentos/631/00469911158/6310046991115811092023162021.pdf</v>
      </c>
      <c r="H123" s="4" t="s">
        <v>8710</v>
      </c>
    </row>
    <row r="124" spans="1:8" x14ac:dyDescent="0.25">
      <c r="A124" s="2" t="s">
        <v>134</v>
      </c>
      <c r="B124" s="3"/>
      <c r="C124" s="3"/>
      <c r="D124" s="3"/>
      <c r="E124" s="4" t="str">
        <f>HYPERLINK("https://dpmzos25m8ivg.cloudfront.net/Documentos/631/00476267200/6310047626720009092023205044.jpg","https://dpmzos25m8ivg.cloudfront.net/Documentos/631/00476267200/6310047626720009092023205044.jpg")</f>
        <v>https://dpmzos25m8ivg.cloudfront.net/Documentos/631/00476267200/6310047626720009092023205044.jpg</v>
      </c>
      <c r="F124" s="5" t="str">
        <f>HYPERLINK("https://dpmzos25m8ivg.cloudfront.net/Documentos/631/00476267200/6310047626720009092023205103.jpg","https://dpmzos25m8ivg.cloudfront.net/Documentos/631/00476267200/6310047626720009092023205103.jpg")</f>
        <v>https://dpmzos25m8ivg.cloudfront.net/Documentos/631/00476267200/6310047626720009092023205103.jpg</v>
      </c>
      <c r="G124" s="5" t="str">
        <f>HYPERLINK("https://dpmzos25m8ivg.cloudfront.net/Documentos/631/00476267200/6310047626720009092023205121.jpg","https://dpmzos25m8ivg.cloudfront.net/Documentos/631/00476267200/6310047626720009092023205121.jpg")</f>
        <v>https://dpmzos25m8ivg.cloudfront.net/Documentos/631/00476267200/6310047626720009092023205121.jpg</v>
      </c>
      <c r="H124" s="4" t="s">
        <v>8711</v>
      </c>
    </row>
    <row r="125" spans="1:8" x14ac:dyDescent="0.25">
      <c r="A125" s="2" t="s">
        <v>135</v>
      </c>
      <c r="B125" s="3"/>
      <c r="C125" s="3"/>
      <c r="D125" s="3"/>
      <c r="E125" s="4" t="str">
        <f>HYPERLINK("https://dpmzos25m8ivg.cloudfront.net/Documentos/631/00479044619/6310047904461905092023122426.jpg","https://dpmzos25m8ivg.cloudfront.net/Documentos/631/00479044619/6310047904461905092023122426.jpg")</f>
        <v>https://dpmzos25m8ivg.cloudfront.net/Documentos/631/00479044619/6310047904461905092023122426.jpg</v>
      </c>
      <c r="F125" s="5" t="str">
        <f>HYPERLINK("https://dpmzos25m8ivg.cloudfront.net/Documentos/631/00479044619/6310047904461905092023122502.jpg","https://dpmzos25m8ivg.cloudfront.net/Documentos/631/00479044619/6310047904461905092023122502.jpg")</f>
        <v>https://dpmzos25m8ivg.cloudfront.net/Documentos/631/00479044619/6310047904461905092023122502.jpg</v>
      </c>
      <c r="G125" s="5" t="str">
        <f>HYPERLINK("https://dpmzos25m8ivg.cloudfront.net/Documentos/631/00479044619/6310047904461905092023122520.jpg","https://dpmzos25m8ivg.cloudfront.net/Documentos/631/00479044619/6310047904461905092023122520.jpg")</f>
        <v>https://dpmzos25m8ivg.cloudfront.net/Documentos/631/00479044619/6310047904461905092023122520.jpg</v>
      </c>
      <c r="H125" s="4" t="s">
        <v>8712</v>
      </c>
    </row>
    <row r="126" spans="1:8" x14ac:dyDescent="0.25">
      <c r="A126" s="2" t="s">
        <v>136</v>
      </c>
      <c r="B126" s="3"/>
      <c r="C126" s="3"/>
      <c r="D126" s="3"/>
      <c r="E126" s="4" t="str">
        <f>HYPERLINK("https://dpmzos25m8ivg.cloudfront.net/Documentos/631/00480195188/6310048019518811092023151505.pdf","https://dpmzos25m8ivg.cloudfront.net/Documentos/631/00480195188/6310048019518811092023151505.pdf")</f>
        <v>https://dpmzos25m8ivg.cloudfront.net/Documentos/631/00480195188/6310048019518811092023151505.pdf</v>
      </c>
      <c r="F126" s="5" t="str">
        <f>HYPERLINK("https://dpmzos25m8ivg.cloudfront.net/Documentos/631/00480195188/6310048019518811092023151520.pdf","https://dpmzos25m8ivg.cloudfront.net/Documentos/631/00480195188/6310048019518811092023151520.pdf")</f>
        <v>https://dpmzos25m8ivg.cloudfront.net/Documentos/631/00480195188/6310048019518811092023151520.pdf</v>
      </c>
      <c r="G126" s="5" t="str">
        <f>HYPERLINK("https://dpmzos25m8ivg.cloudfront.net/Documentos/631/00480195188/6310048019518811092023151532.pdf","https://dpmzos25m8ivg.cloudfront.net/Documentos/631/00480195188/6310048019518811092023151532.pdf")</f>
        <v>https://dpmzos25m8ivg.cloudfront.net/Documentos/631/00480195188/6310048019518811092023151532.pdf</v>
      </c>
      <c r="H126" s="4" t="s">
        <v>8713</v>
      </c>
    </row>
    <row r="127" spans="1:8" x14ac:dyDescent="0.25">
      <c r="A127" s="2" t="s">
        <v>137</v>
      </c>
      <c r="B127" s="3"/>
      <c r="C127" s="3"/>
      <c r="D127" s="3"/>
      <c r="E127" s="4" t="str">
        <f>HYPERLINK("https://dpmzos25m8ivg.cloudfront.net/Documentos/631/00483811289/6310048381128907092023230212.jpg","https://dpmzos25m8ivg.cloudfront.net/Documentos/631/00483811289/6310048381128907092023230212.jpg")</f>
        <v>https://dpmzos25m8ivg.cloudfront.net/Documentos/631/00483811289/6310048381128907092023230212.jpg</v>
      </c>
      <c r="F127" s="5" t="str">
        <f>HYPERLINK("https://dpmzos25m8ivg.cloudfront.net/Documentos/631/00483811289/6310048381128907092023230232.jpg","https://dpmzos25m8ivg.cloudfront.net/Documentos/631/00483811289/6310048381128907092023230232.jpg")</f>
        <v>https://dpmzos25m8ivg.cloudfront.net/Documentos/631/00483811289/6310048381128907092023230232.jpg</v>
      </c>
      <c r="G127" s="5" t="str">
        <f>HYPERLINK("https://dpmzos25m8ivg.cloudfront.net/Documentos/631/00483811289/6310048381128907092023230244.jpg","https://dpmzos25m8ivg.cloudfront.net/Documentos/631/00483811289/6310048381128907092023230244.jpg")</f>
        <v>https://dpmzos25m8ivg.cloudfront.net/Documentos/631/00483811289/6310048381128907092023230244.jpg</v>
      </c>
      <c r="H127" s="4" t="s">
        <v>8714</v>
      </c>
    </row>
    <row r="128" spans="1:8" x14ac:dyDescent="0.25">
      <c r="A128" s="2" t="s">
        <v>138</v>
      </c>
      <c r="B128" s="3"/>
      <c r="C128" s="3"/>
      <c r="D128" s="3"/>
      <c r="E128" s="4" t="str">
        <f>HYPERLINK("https://dpmzos25m8ivg.cloudfront.net/Documentos/631/00489661262/6310048966126209092023174736.pdf","https://dpmzos25m8ivg.cloudfront.net/Documentos/631/00489661262/6310048966126209092023174736.pdf")</f>
        <v>https://dpmzos25m8ivg.cloudfront.net/Documentos/631/00489661262/6310048966126209092023174736.pdf</v>
      </c>
      <c r="F128" s="5" t="str">
        <f>HYPERLINK("https://dpmzos25m8ivg.cloudfront.net/Documentos/631/00489661262/6310048966126209092023174749.pdf","https://dpmzos25m8ivg.cloudfront.net/Documentos/631/00489661262/6310048966126209092023174749.pdf")</f>
        <v>https://dpmzos25m8ivg.cloudfront.net/Documentos/631/00489661262/6310048966126209092023174749.pdf</v>
      </c>
      <c r="G128" s="5" t="str">
        <f>HYPERLINK("https://dpmzos25m8ivg.cloudfront.net/Documentos/631/00489661262/6310048966126209092023174804.pdf","https://dpmzos25m8ivg.cloudfront.net/Documentos/631/00489661262/6310048966126209092023174804.pdf")</f>
        <v>https://dpmzos25m8ivg.cloudfront.net/Documentos/631/00489661262/6310048966126209092023174804.pdf</v>
      </c>
      <c r="H128" s="4" t="s">
        <v>8715</v>
      </c>
    </row>
    <row r="129" spans="1:8" x14ac:dyDescent="0.25">
      <c r="A129" s="2" t="s">
        <v>139</v>
      </c>
      <c r="B129" s="3"/>
      <c r="C129" s="3"/>
      <c r="D129" s="3"/>
      <c r="E129" s="4" t="str">
        <f>HYPERLINK("https://dpmzos25m8ivg.cloudfront.net/Documentos/631/00495707147/6310049570714705092023183750.pdf","https://dpmzos25m8ivg.cloudfront.net/Documentos/631/00495707147/6310049570714705092023183750.pdf")</f>
        <v>https://dpmzos25m8ivg.cloudfront.net/Documentos/631/00495707147/6310049570714705092023183750.pdf</v>
      </c>
      <c r="F129" s="5" t="str">
        <f>HYPERLINK("https://dpmzos25m8ivg.cloudfront.net/Documentos/631/00495707147/6310049570714705092023183756.pdf","https://dpmzos25m8ivg.cloudfront.net/Documentos/631/00495707147/6310049570714705092023183756.pdf")</f>
        <v>https://dpmzos25m8ivg.cloudfront.net/Documentos/631/00495707147/6310049570714705092023183756.pdf</v>
      </c>
      <c r="G129" s="5" t="str">
        <f>HYPERLINK("https://dpmzos25m8ivg.cloudfront.net/Documentos/631/00495707147/6310049570714705092023183801.pdf","https://dpmzos25m8ivg.cloudfront.net/Documentos/631/00495707147/6310049570714705092023183801.pdf")</f>
        <v>https://dpmzos25m8ivg.cloudfront.net/Documentos/631/00495707147/6310049570714705092023183801.pdf</v>
      </c>
      <c r="H129" s="4" t="s">
        <v>8716</v>
      </c>
    </row>
    <row r="130" spans="1:8" x14ac:dyDescent="0.25">
      <c r="A130" s="2" t="s">
        <v>140</v>
      </c>
      <c r="B130" s="3"/>
      <c r="C130" s="3"/>
      <c r="D130" s="3"/>
      <c r="E130" s="4" t="str">
        <f>HYPERLINK("https://dpmzos25m8ivg.cloudfront.net/Documentos/631/00501227385/6310050122738510092023223158.pdf","https://dpmzos25m8ivg.cloudfront.net/Documentos/631/00501227385/6310050122738510092023223158.pdf")</f>
        <v>https://dpmzos25m8ivg.cloudfront.net/Documentos/631/00501227385/6310050122738510092023223158.pdf</v>
      </c>
      <c r="F130" s="5" t="str">
        <f>HYPERLINK("https://dpmzos25m8ivg.cloudfront.net/Documentos/631/00501227385/6310050122738510092023223238.pdf","https://dpmzos25m8ivg.cloudfront.net/Documentos/631/00501227385/6310050122738510092023223238.pdf")</f>
        <v>https://dpmzos25m8ivg.cloudfront.net/Documentos/631/00501227385/6310050122738510092023223238.pdf</v>
      </c>
      <c r="G130" s="5" t="str">
        <f>HYPERLINK("https://dpmzos25m8ivg.cloudfront.net/Documentos/631/00501227385/6310050122738510092023223255.pdf","https://dpmzos25m8ivg.cloudfront.net/Documentos/631/00501227385/6310050122738510092023223255.pdf")</f>
        <v>https://dpmzos25m8ivg.cloudfront.net/Documentos/631/00501227385/6310050122738510092023223255.pdf</v>
      </c>
      <c r="H130" s="4" t="s">
        <v>8717</v>
      </c>
    </row>
    <row r="131" spans="1:8" x14ac:dyDescent="0.25">
      <c r="A131" s="2" t="s">
        <v>141</v>
      </c>
      <c r="B131" s="3"/>
      <c r="C131" s="3"/>
      <c r="D131" s="3"/>
      <c r="E131" s="4" t="str">
        <f>HYPERLINK("https://dpmzos25m8ivg.cloudfront.net/Documentos/631/00501586946/6310050158694611092023113022.pdf","https://dpmzos25m8ivg.cloudfront.net/Documentos/631/00501586946/6310050158694611092023113022.pdf")</f>
        <v>https://dpmzos25m8ivg.cloudfront.net/Documentos/631/00501586946/6310050158694611092023113022.pdf</v>
      </c>
      <c r="F131" s="5" t="str">
        <f>HYPERLINK("https://dpmzos25m8ivg.cloudfront.net/Documentos/631/00501586946/6310050158694611092023113036.pdf","https://dpmzos25m8ivg.cloudfront.net/Documentos/631/00501586946/6310050158694611092023113036.pdf")</f>
        <v>https://dpmzos25m8ivg.cloudfront.net/Documentos/631/00501586946/6310050158694611092023113036.pdf</v>
      </c>
      <c r="G131" s="5" t="str">
        <f>HYPERLINK("https://dpmzos25m8ivg.cloudfront.net/Documentos/631/00501586946/6310050158694611092023113054.pdf","https://dpmzos25m8ivg.cloudfront.net/Documentos/631/00501586946/6310050158694611092023113054.pdf")</f>
        <v>https://dpmzos25m8ivg.cloudfront.net/Documentos/631/00501586946/6310050158694611092023113054.pdf</v>
      </c>
      <c r="H131" s="4" t="s">
        <v>8718</v>
      </c>
    </row>
    <row r="132" spans="1:8" x14ac:dyDescent="0.25">
      <c r="A132" s="2" t="s">
        <v>142</v>
      </c>
      <c r="B132" s="3"/>
      <c r="C132" s="3"/>
      <c r="D132" s="3"/>
      <c r="E132" s="4" t="str">
        <f>HYPERLINK("https://dpmzos25m8ivg.cloudfront.net/Documentos/631/00517834286/6310051783428611092023153745.pdf","https://dpmzos25m8ivg.cloudfront.net/Documentos/631/00517834286/6310051783428611092023153745.pdf")</f>
        <v>https://dpmzos25m8ivg.cloudfront.net/Documentos/631/00517834286/6310051783428611092023153745.pdf</v>
      </c>
      <c r="F132" s="5" t="str">
        <f>HYPERLINK("https://dpmzos25m8ivg.cloudfront.net/Documentos/631/00517834286/6310051783428611092023153807.pdf","https://dpmzos25m8ivg.cloudfront.net/Documentos/631/00517834286/6310051783428611092023153807.pdf")</f>
        <v>https://dpmzos25m8ivg.cloudfront.net/Documentos/631/00517834286/6310051783428611092023153807.pdf</v>
      </c>
      <c r="G132" s="5" t="str">
        <f>HYPERLINK("https://dpmzos25m8ivg.cloudfront.net/Documentos/631/00517834286/6310051783428611092023153828.pdf","https://dpmzos25m8ivg.cloudfront.net/Documentos/631/00517834286/6310051783428611092023153828.pdf")</f>
        <v>https://dpmzos25m8ivg.cloudfront.net/Documentos/631/00517834286/6310051783428611092023153828.pdf</v>
      </c>
      <c r="H132" s="4" t="s">
        <v>8719</v>
      </c>
    </row>
    <row r="133" spans="1:8" x14ac:dyDescent="0.25">
      <c r="A133" s="2" t="s">
        <v>143</v>
      </c>
      <c r="B133" s="3"/>
      <c r="C133" s="3"/>
      <c r="D133" s="3"/>
      <c r="E133" s="4" t="str">
        <f>HYPERLINK("https://dpmzos25m8ivg.cloudfront.net/Documentos/631/00520700260/6310052070026011092023151807.jpg","https://dpmzos25m8ivg.cloudfront.net/Documentos/631/00520700260/6310052070026011092023151807.jpg")</f>
        <v>https://dpmzos25m8ivg.cloudfront.net/Documentos/631/00520700260/6310052070026011092023151807.jpg</v>
      </c>
      <c r="F133" s="5" t="str">
        <f>HYPERLINK("https://dpmzos25m8ivg.cloudfront.net/Documentos/631/00520700260/6310052070026011092023151818.jpg","https://dpmzos25m8ivg.cloudfront.net/Documentos/631/00520700260/6310052070026011092023151818.jpg")</f>
        <v>https://dpmzos25m8ivg.cloudfront.net/Documentos/631/00520700260/6310052070026011092023151818.jpg</v>
      </c>
      <c r="G133" s="5" t="str">
        <f>HYPERLINK("https://dpmzos25m8ivg.cloudfront.net/Documentos/631/00520700260/6310052070026011092023151832.jpg","https://dpmzos25m8ivg.cloudfront.net/Documentos/631/00520700260/6310052070026011092023151832.jpg")</f>
        <v>https://dpmzos25m8ivg.cloudfront.net/Documentos/631/00520700260/6310052070026011092023151832.jpg</v>
      </c>
      <c r="H133" s="4" t="s">
        <v>8720</v>
      </c>
    </row>
    <row r="134" spans="1:8" x14ac:dyDescent="0.25">
      <c r="A134" s="2" t="s">
        <v>144</v>
      </c>
      <c r="B134" s="3"/>
      <c r="C134" s="3"/>
      <c r="D134" s="3"/>
      <c r="E134" s="4" t="str">
        <f>HYPERLINK("https://dpmzos25m8ivg.cloudfront.net/Documentos/631/00527596280/6310052759628010092023224207.pdf","https://dpmzos25m8ivg.cloudfront.net/Documentos/631/00527596280/6310052759628010092023224207.pdf")</f>
        <v>https://dpmzos25m8ivg.cloudfront.net/Documentos/631/00527596280/6310052759628010092023224207.pdf</v>
      </c>
      <c r="F134" s="5" t="str">
        <f>HYPERLINK("https://dpmzos25m8ivg.cloudfront.net/Documentos/631/00527596280/6310052759628010092023224242.pdf","https://dpmzos25m8ivg.cloudfront.net/Documentos/631/00527596280/6310052759628010092023224242.pdf")</f>
        <v>https://dpmzos25m8ivg.cloudfront.net/Documentos/631/00527596280/6310052759628010092023224242.pdf</v>
      </c>
      <c r="G134" s="5" t="str">
        <f>HYPERLINK("https://dpmzos25m8ivg.cloudfront.net/Documentos/631/00527596280/6310052759628010092023224300.pdf","https://dpmzos25m8ivg.cloudfront.net/Documentos/631/00527596280/6310052759628010092023224300.pdf")</f>
        <v>https://dpmzos25m8ivg.cloudfront.net/Documentos/631/00527596280/6310052759628010092023224300.pdf</v>
      </c>
      <c r="H134" s="4" t="s">
        <v>8721</v>
      </c>
    </row>
    <row r="135" spans="1:8" x14ac:dyDescent="0.25">
      <c r="A135" s="2" t="s">
        <v>145</v>
      </c>
      <c r="B135" s="3"/>
      <c r="C135" s="3"/>
      <c r="D135" s="3"/>
      <c r="E135" s="4" t="str">
        <f>HYPERLINK("https://dpmzos25m8ivg.cloudfront.net/Documentos/631/00530675765/6310053067576506092023144834.pdf","https://dpmzos25m8ivg.cloudfront.net/Documentos/631/00530675765/6310053067576506092023144834.pdf")</f>
        <v>https://dpmzos25m8ivg.cloudfront.net/Documentos/631/00530675765/6310053067576506092023144834.pdf</v>
      </c>
      <c r="F135" s="5" t="str">
        <f>HYPERLINK("https://dpmzos25m8ivg.cloudfront.net/Documentos/631/00530675765/6310053067576506092023144848.pdf","https://dpmzos25m8ivg.cloudfront.net/Documentos/631/00530675765/6310053067576506092023144848.pdf")</f>
        <v>https://dpmzos25m8ivg.cloudfront.net/Documentos/631/00530675765/6310053067576506092023144848.pdf</v>
      </c>
      <c r="G135" s="5" t="str">
        <f>HYPERLINK("https://dpmzos25m8ivg.cloudfront.net/Documentos/631/00530675765/6310053067576506092023144858.pdf","https://dpmzos25m8ivg.cloudfront.net/Documentos/631/00530675765/6310053067576506092023144858.pdf")</f>
        <v>https://dpmzos25m8ivg.cloudfront.net/Documentos/631/00530675765/6310053067576506092023144858.pdf</v>
      </c>
      <c r="H135" s="4" t="s">
        <v>8722</v>
      </c>
    </row>
    <row r="136" spans="1:8" x14ac:dyDescent="0.25">
      <c r="A136" s="2" t="s">
        <v>146</v>
      </c>
      <c r="B136" s="3"/>
      <c r="C136" s="3"/>
      <c r="D136" s="3"/>
      <c r="E136" s="4" t="str">
        <f>HYPERLINK("https://dpmzos25m8ivg.cloudfront.net/Documentos/631/00534597254/6310053459725409092023205721.jpg","https://dpmzos25m8ivg.cloudfront.net/Documentos/631/00534597254/6310053459725409092023205721.jpg")</f>
        <v>https://dpmzos25m8ivg.cloudfront.net/Documentos/631/00534597254/6310053459725409092023205721.jpg</v>
      </c>
      <c r="F136" s="5" t="str">
        <f>HYPERLINK("https://dpmzos25m8ivg.cloudfront.net/Documentos/631/00534597254/6310053459725409092023205751.jpg","https://dpmzos25m8ivg.cloudfront.net/Documentos/631/00534597254/6310053459725409092023205751.jpg")</f>
        <v>https://dpmzos25m8ivg.cloudfront.net/Documentos/631/00534597254/6310053459725409092023205751.jpg</v>
      </c>
      <c r="G136" s="5" t="str">
        <f>HYPERLINK("https://dpmzos25m8ivg.cloudfront.net/Documentos/631/00534597254/6310053459725409092023205823.jpg","https://dpmzos25m8ivg.cloudfront.net/Documentos/631/00534597254/6310053459725409092023205823.jpg")</f>
        <v>https://dpmzos25m8ivg.cloudfront.net/Documentos/631/00534597254/6310053459725409092023205823.jpg</v>
      </c>
      <c r="H136" s="4" t="s">
        <v>8723</v>
      </c>
    </row>
    <row r="137" spans="1:8" x14ac:dyDescent="0.25">
      <c r="A137" s="2" t="s">
        <v>147</v>
      </c>
      <c r="B137" s="3" t="s">
        <v>23</v>
      </c>
      <c r="C137" s="3"/>
      <c r="D137" s="3"/>
      <c r="E137" s="4" t="str">
        <f>HYPERLINK("https://dpmzos25m8ivg.cloudfront.net/Documentos/631/00535769504/6310053576950405092023233850.jpeg","https://dpmzos25m8ivg.cloudfront.net/Documentos/631/00535769504/6310053576950405092023233850.jpeg")</f>
        <v>https://dpmzos25m8ivg.cloudfront.net/Documentos/631/00535769504/6310053576950405092023233850.jpeg</v>
      </c>
      <c r="F137" s="5" t="str">
        <f>HYPERLINK("https://dpmzos25m8ivg.cloudfront.net/Documentos/631/00535769504/6310053576950405092023234003.jpeg","https://dpmzos25m8ivg.cloudfront.net/Documentos/631/00535769504/6310053576950405092023234003.jpeg")</f>
        <v>https://dpmzos25m8ivg.cloudfront.net/Documentos/631/00535769504/6310053576950405092023234003.jpeg</v>
      </c>
      <c r="G137" s="5" t="str">
        <f>HYPERLINK("https://dpmzos25m8ivg.cloudfront.net/Documentos/631/00535769504/6310053576950405092023234217.jpeg","https://dpmzos25m8ivg.cloudfront.net/Documentos/631/00535769504/6310053576950405092023234217.jpeg")</f>
        <v>https://dpmzos25m8ivg.cloudfront.net/Documentos/631/00535769504/6310053576950405092023234217.jpeg</v>
      </c>
      <c r="H137" s="4" t="s">
        <v>8724</v>
      </c>
    </row>
    <row r="138" spans="1:8" x14ac:dyDescent="0.25">
      <c r="A138" s="2" t="s">
        <v>148</v>
      </c>
      <c r="B138" s="3"/>
      <c r="C138" s="3"/>
      <c r="D138" s="3"/>
      <c r="E138" s="4" t="str">
        <f>HYPERLINK("https://dpmzos25m8ivg.cloudfront.net/Documentos/631/00537436103/6310053743610310092023153513.jpg","https://dpmzos25m8ivg.cloudfront.net/Documentos/631/00537436103/6310053743610310092023153513.jpg")</f>
        <v>https://dpmzos25m8ivg.cloudfront.net/Documentos/631/00537436103/6310053743610310092023153513.jpg</v>
      </c>
      <c r="F138" s="5" t="str">
        <f>HYPERLINK("https://dpmzos25m8ivg.cloudfront.net/Documentos/631/00537436103/6310053743610310092023153535.jpg","https://dpmzos25m8ivg.cloudfront.net/Documentos/631/00537436103/6310053743610310092023153535.jpg")</f>
        <v>https://dpmzos25m8ivg.cloudfront.net/Documentos/631/00537436103/6310053743610310092023153535.jpg</v>
      </c>
      <c r="G138" s="5" t="str">
        <f>HYPERLINK("https://dpmzos25m8ivg.cloudfront.net/Documentos/631/00537436103/6310053743610310092023153545.jpg","https://dpmzos25m8ivg.cloudfront.net/Documentos/631/00537436103/6310053743610310092023153545.jpg")</f>
        <v>https://dpmzos25m8ivg.cloudfront.net/Documentos/631/00537436103/6310053743610310092023153545.jpg</v>
      </c>
      <c r="H138" s="4" t="s">
        <v>8725</v>
      </c>
    </row>
    <row r="139" spans="1:8" x14ac:dyDescent="0.25">
      <c r="A139" s="2" t="s">
        <v>149</v>
      </c>
      <c r="B139" s="3"/>
      <c r="C139" s="3"/>
      <c r="D139" s="3"/>
      <c r="E139" s="4" t="str">
        <f>HYPERLINK("https://dpmzos25m8ivg.cloudfront.net/Documentos/631/00543283305/6310054328330511092023152123.pdf","https://dpmzos25m8ivg.cloudfront.net/Documentos/631/00543283305/6310054328330511092023152123.pdf")</f>
        <v>https://dpmzos25m8ivg.cloudfront.net/Documentos/631/00543283305/6310054328330511092023152123.pdf</v>
      </c>
      <c r="F139" s="5" t="str">
        <f>HYPERLINK("https://dpmzos25m8ivg.cloudfront.net/Documentos/631/00543283305/6310054328330511092023152138.pdf","https://dpmzos25m8ivg.cloudfront.net/Documentos/631/00543283305/6310054328330511092023152138.pdf")</f>
        <v>https://dpmzos25m8ivg.cloudfront.net/Documentos/631/00543283305/6310054328330511092023152138.pdf</v>
      </c>
      <c r="G139" s="5" t="str">
        <f>HYPERLINK("https://dpmzos25m8ivg.cloudfront.net/Documentos/631/00543283305/6310054328330511092023152151.pdf","https://dpmzos25m8ivg.cloudfront.net/Documentos/631/00543283305/6310054328330511092023152151.pdf")</f>
        <v>https://dpmzos25m8ivg.cloudfront.net/Documentos/631/00543283305/6310054328330511092023152151.pdf</v>
      </c>
      <c r="H139" s="4" t="s">
        <v>8726</v>
      </c>
    </row>
    <row r="140" spans="1:8" x14ac:dyDescent="0.25">
      <c r="A140" s="2" t="s">
        <v>150</v>
      </c>
      <c r="B140" s="3"/>
      <c r="C140" s="3"/>
      <c r="D140" s="3"/>
      <c r="E140" s="4" t="str">
        <f>HYPERLINK("https://dpmzos25m8ivg.cloudfront.net/Documentos/631/00543955184/6310054395518405092023104553.pdf","https://dpmzos25m8ivg.cloudfront.net/Documentos/631/00543955184/6310054395518405092023104553.pdf")</f>
        <v>https://dpmzos25m8ivg.cloudfront.net/Documentos/631/00543955184/6310054395518405092023104553.pdf</v>
      </c>
      <c r="F140" s="5" t="str">
        <f>HYPERLINK("https://dpmzos25m8ivg.cloudfront.net/Documentos/631/00543955184/6310054395518405092023104619.pdf","https://dpmzos25m8ivg.cloudfront.net/Documentos/631/00543955184/6310054395518405092023104619.pdf")</f>
        <v>https://dpmzos25m8ivg.cloudfront.net/Documentos/631/00543955184/6310054395518405092023104619.pdf</v>
      </c>
      <c r="G140" s="5" t="str">
        <f>HYPERLINK("https://dpmzos25m8ivg.cloudfront.net/Documentos/631/00543955184/6310054395518405092023104650.pdf","https://dpmzos25m8ivg.cloudfront.net/Documentos/631/00543955184/6310054395518405092023104650.pdf")</f>
        <v>https://dpmzos25m8ivg.cloudfront.net/Documentos/631/00543955184/6310054395518405092023104650.pdf</v>
      </c>
      <c r="H140" s="4" t="s">
        <v>8727</v>
      </c>
    </row>
    <row r="141" spans="1:8" x14ac:dyDescent="0.25">
      <c r="A141" s="2" t="s">
        <v>151</v>
      </c>
      <c r="B141" s="3"/>
      <c r="C141" s="3"/>
      <c r="D141" s="3"/>
      <c r="E141" s="4" t="str">
        <f>HYPERLINK("https://dpmzos25m8ivg.cloudfront.net/Documentos/631/00549056211/6310054905621106092023195153.pdf","https://dpmzos25m8ivg.cloudfront.net/Documentos/631/00549056211/6310054905621106092023195153.pdf")</f>
        <v>https://dpmzos25m8ivg.cloudfront.net/Documentos/631/00549056211/6310054905621106092023195153.pdf</v>
      </c>
      <c r="F141" s="5" t="str">
        <f>HYPERLINK("https://dpmzos25m8ivg.cloudfront.net/Documentos/631/00549056211/6310054905621106092023195210.pdf","https://dpmzos25m8ivg.cloudfront.net/Documentos/631/00549056211/6310054905621106092023195210.pdf")</f>
        <v>https://dpmzos25m8ivg.cloudfront.net/Documentos/631/00549056211/6310054905621106092023195210.pdf</v>
      </c>
      <c r="G141" s="5" t="str">
        <f>HYPERLINK("https://dpmzos25m8ivg.cloudfront.net/Documentos/631/00549056211/6310054905621106092023195228.pdf","https://dpmzos25m8ivg.cloudfront.net/Documentos/631/00549056211/6310054905621106092023195228.pdf")</f>
        <v>https://dpmzos25m8ivg.cloudfront.net/Documentos/631/00549056211/6310054905621106092023195228.pdf</v>
      </c>
      <c r="H141" s="4" t="s">
        <v>8728</v>
      </c>
    </row>
    <row r="142" spans="1:8" x14ac:dyDescent="0.25">
      <c r="A142" s="2" t="s">
        <v>152</v>
      </c>
      <c r="B142" s="3" t="s">
        <v>90</v>
      </c>
      <c r="C142" s="3"/>
      <c r="D142" s="3"/>
      <c r="E142" s="4" t="str">
        <f>HYPERLINK("https://dpmzos25m8ivg.cloudfront.net/Documentos/631/00572676000/6310057267600005092023104226.pdf","https://dpmzos25m8ivg.cloudfront.net/Documentos/631/00572676000/6310057267600005092023104226.pdf")</f>
        <v>https://dpmzos25m8ivg.cloudfront.net/Documentos/631/00572676000/6310057267600005092023104226.pdf</v>
      </c>
      <c r="F142" s="5" t="str">
        <f>HYPERLINK("https://dpmzos25m8ivg.cloudfront.net/Documentos/631/00572676000/6310057267600005092023104234.pdf","https://dpmzos25m8ivg.cloudfront.net/Documentos/631/00572676000/6310057267600005092023104234.pdf")</f>
        <v>https://dpmzos25m8ivg.cloudfront.net/Documentos/631/00572676000/6310057267600005092023104234.pdf</v>
      </c>
      <c r="G142" s="5" t="str">
        <f>HYPERLINK("https://dpmzos25m8ivg.cloudfront.net/Documentos/631/00572676000/6310057267600005092023104241.pdf","https://dpmzos25m8ivg.cloudfront.net/Documentos/631/00572676000/6310057267600005092023104241.pdf")</f>
        <v>https://dpmzos25m8ivg.cloudfront.net/Documentos/631/00572676000/6310057267600005092023104241.pdf</v>
      </c>
      <c r="H142" s="4" t="s">
        <v>8729</v>
      </c>
    </row>
    <row r="143" spans="1:8" x14ac:dyDescent="0.25">
      <c r="A143" s="2" t="s">
        <v>153</v>
      </c>
      <c r="B143" s="3"/>
      <c r="C143" s="3"/>
      <c r="D143" s="3"/>
      <c r="E143" s="4" t="str">
        <f>HYPERLINK("https://dpmzos25m8ivg.cloudfront.net/Documentos/631/00576228508/6310057622850807092023084144.jpg","https://dpmzos25m8ivg.cloudfront.net/Documentos/631/00576228508/6310057622850807092023084144.jpg")</f>
        <v>https://dpmzos25m8ivg.cloudfront.net/Documentos/631/00576228508/6310057622850807092023084144.jpg</v>
      </c>
      <c r="F143" s="5" t="str">
        <f>HYPERLINK("https://dpmzos25m8ivg.cloudfront.net/Documentos/631/00576228508/6310057622850807092023084422.jpg","https://dpmzos25m8ivg.cloudfront.net/Documentos/631/00576228508/6310057622850807092023084422.jpg")</f>
        <v>https://dpmzos25m8ivg.cloudfront.net/Documentos/631/00576228508/6310057622850807092023084422.jpg</v>
      </c>
      <c r="G143" s="5" t="str">
        <f>HYPERLINK("https://dpmzos25m8ivg.cloudfront.net/Documentos/631/00576228508/6310057622850807092023084839.jpg","https://dpmzos25m8ivg.cloudfront.net/Documentos/631/00576228508/6310057622850807092023084839.jpg")</f>
        <v>https://dpmzos25m8ivg.cloudfront.net/Documentos/631/00576228508/6310057622850807092023084839.jpg</v>
      </c>
      <c r="H143" s="4" t="s">
        <v>8730</v>
      </c>
    </row>
    <row r="144" spans="1:8" x14ac:dyDescent="0.25">
      <c r="A144" s="2" t="s">
        <v>154</v>
      </c>
      <c r="B144" s="3"/>
      <c r="C144" s="3"/>
      <c r="D144" s="3"/>
      <c r="E144" s="4" t="str">
        <f>HYPERLINK("https://dpmzos25m8ivg.cloudfront.net/Documentos/631/00581320158/6310058132015808092023134206.pdf","https://dpmzos25m8ivg.cloudfront.net/Documentos/631/00581320158/6310058132015808092023134206.pdf")</f>
        <v>https://dpmzos25m8ivg.cloudfront.net/Documentos/631/00581320158/6310058132015808092023134206.pdf</v>
      </c>
      <c r="F144" s="5" t="str">
        <f>HYPERLINK("https://dpmzos25m8ivg.cloudfront.net/Documentos/631/00581320158/6310058132015808092023134303.pdf","https://dpmzos25m8ivg.cloudfront.net/Documentos/631/00581320158/6310058132015808092023134303.pdf")</f>
        <v>https://dpmzos25m8ivg.cloudfront.net/Documentos/631/00581320158/6310058132015808092023134303.pdf</v>
      </c>
      <c r="G144" s="5" t="str">
        <f>HYPERLINK("https://dpmzos25m8ivg.cloudfront.net/Documentos/631/00581320158/6310058132015808092023134400.pdf","https://dpmzos25m8ivg.cloudfront.net/Documentos/631/00581320158/6310058132015808092023134400.pdf")</f>
        <v>https://dpmzos25m8ivg.cloudfront.net/Documentos/631/00581320158/6310058132015808092023134400.pdf</v>
      </c>
      <c r="H144" s="4" t="s">
        <v>8731</v>
      </c>
    </row>
    <row r="145" spans="1:8" x14ac:dyDescent="0.25">
      <c r="A145" s="2" t="s">
        <v>155</v>
      </c>
      <c r="B145" s="3"/>
      <c r="C145" s="3"/>
      <c r="D145" s="3"/>
      <c r="E145" s="4" t="str">
        <f>HYPERLINK("https://dpmzos25m8ivg.cloudfront.net/Documentos/631/00586996273/6310058699627311092023095516.pdf","https://dpmzos25m8ivg.cloudfront.net/Documentos/631/00586996273/6310058699627311092023095516.pdf")</f>
        <v>https://dpmzos25m8ivg.cloudfront.net/Documentos/631/00586996273/6310058699627311092023095516.pdf</v>
      </c>
      <c r="F145" s="5" t="str">
        <f>HYPERLINK("https://dpmzos25m8ivg.cloudfront.net/Documentos/631/00586996273/6310058699627311092023095526.pdf","https://dpmzos25m8ivg.cloudfront.net/Documentos/631/00586996273/6310058699627311092023095526.pdf")</f>
        <v>https://dpmzos25m8ivg.cloudfront.net/Documentos/631/00586996273/6310058699627311092023095526.pdf</v>
      </c>
      <c r="G145" s="5" t="str">
        <f>HYPERLINK("https://dpmzos25m8ivg.cloudfront.net/Documentos/631/00586996273/6310058699627311092023095533.pdf","https://dpmzos25m8ivg.cloudfront.net/Documentos/631/00586996273/6310058699627311092023095533.pdf")</f>
        <v>https://dpmzos25m8ivg.cloudfront.net/Documentos/631/00586996273/6310058699627311092023095533.pdf</v>
      </c>
      <c r="H145" s="4" t="s">
        <v>8732</v>
      </c>
    </row>
    <row r="146" spans="1:8" x14ac:dyDescent="0.25">
      <c r="A146" s="2" t="s">
        <v>156</v>
      </c>
      <c r="B146" s="3"/>
      <c r="C146" s="3"/>
      <c r="D146" s="3"/>
      <c r="E146" s="4" t="str">
        <f>HYPERLINK("https://dpmzos25m8ivg.cloudfront.net/Documentos/631/00595509290/6310059550929005092023210217.jpg","https://dpmzos25m8ivg.cloudfront.net/Documentos/631/00595509290/6310059550929005092023210217.jpg")</f>
        <v>https://dpmzos25m8ivg.cloudfront.net/Documentos/631/00595509290/6310059550929005092023210217.jpg</v>
      </c>
      <c r="F146" s="5" t="str">
        <f>HYPERLINK("https://dpmzos25m8ivg.cloudfront.net/Documentos/631/00595509290/6310059550929005092023210233.jpg","https://dpmzos25m8ivg.cloudfront.net/Documentos/631/00595509290/6310059550929005092023210233.jpg")</f>
        <v>https://dpmzos25m8ivg.cloudfront.net/Documentos/631/00595509290/6310059550929005092023210233.jpg</v>
      </c>
      <c r="G146" s="5" t="str">
        <f>HYPERLINK("https://dpmzos25m8ivg.cloudfront.net/Documentos/631/00595509290/6310059550929005092023210304.jpg","https://dpmzos25m8ivg.cloudfront.net/Documentos/631/00595509290/6310059550929005092023210304.jpg")</f>
        <v>https://dpmzos25m8ivg.cloudfront.net/Documentos/631/00595509290/6310059550929005092023210304.jpg</v>
      </c>
      <c r="H146" s="4" t="s">
        <v>8733</v>
      </c>
    </row>
    <row r="147" spans="1:8" x14ac:dyDescent="0.25">
      <c r="A147" s="2" t="s">
        <v>157</v>
      </c>
      <c r="B147" s="3"/>
      <c r="C147" s="3"/>
      <c r="D147" s="3"/>
      <c r="E147" s="4" t="str">
        <f>HYPERLINK("https://dpmzos25m8ivg.cloudfront.net/Documentos/631/00597557764/6310059755776407092023103247.jpg","https://dpmzos25m8ivg.cloudfront.net/Documentos/631/00597557764/6310059755776407092023103247.jpg")</f>
        <v>https://dpmzos25m8ivg.cloudfront.net/Documentos/631/00597557764/6310059755776407092023103247.jpg</v>
      </c>
      <c r="F147" s="5" t="str">
        <f>HYPERLINK("https://dpmzos25m8ivg.cloudfront.net/Documentos/631/00597557764/6310059755776407092023103300.jpg","https://dpmzos25m8ivg.cloudfront.net/Documentos/631/00597557764/6310059755776407092023103300.jpg")</f>
        <v>https://dpmzos25m8ivg.cloudfront.net/Documentos/631/00597557764/6310059755776407092023103300.jpg</v>
      </c>
      <c r="G147" s="5" t="str">
        <f>HYPERLINK("https://dpmzos25m8ivg.cloudfront.net/Documentos/631/00597557764/6310059755776407092023105109.jpg","https://dpmzos25m8ivg.cloudfront.net/Documentos/631/00597557764/6310059755776407092023105109.jpg")</f>
        <v>https://dpmzos25m8ivg.cloudfront.net/Documentos/631/00597557764/6310059755776407092023105109.jpg</v>
      </c>
      <c r="H147" s="4" t="s">
        <v>8734</v>
      </c>
    </row>
    <row r="148" spans="1:8" x14ac:dyDescent="0.25">
      <c r="A148" s="2" t="s">
        <v>158</v>
      </c>
      <c r="B148" s="3"/>
      <c r="C148" s="3"/>
      <c r="D148" s="3"/>
      <c r="E148" s="4" t="str">
        <f>HYPERLINK("https://dpmzos25m8ivg.cloudfront.net/Documentos/631/00600323595/6310060032359511092023152256.jpg","https://dpmzos25m8ivg.cloudfront.net/Documentos/631/00600323595/6310060032359511092023152256.jpg")</f>
        <v>https://dpmzos25m8ivg.cloudfront.net/Documentos/631/00600323595/6310060032359511092023152256.jpg</v>
      </c>
      <c r="F148" s="5" t="str">
        <f>HYPERLINK("https://dpmzos25m8ivg.cloudfront.net/Documentos/631/00600323595/6310060032359511092023152322.jpg","https://dpmzos25m8ivg.cloudfront.net/Documentos/631/00600323595/6310060032359511092023152322.jpg")</f>
        <v>https://dpmzos25m8ivg.cloudfront.net/Documentos/631/00600323595/6310060032359511092023152322.jpg</v>
      </c>
      <c r="G148" s="5" t="str">
        <f>HYPERLINK("https://dpmzos25m8ivg.cloudfront.net/Documentos/631/00600323595/6310060032359511092023152347.jpg","https://dpmzos25m8ivg.cloudfront.net/Documentos/631/00600323595/6310060032359511092023152347.jpg")</f>
        <v>https://dpmzos25m8ivg.cloudfront.net/Documentos/631/00600323595/6310060032359511092023152347.jpg</v>
      </c>
      <c r="H148" s="4" t="s">
        <v>8735</v>
      </c>
    </row>
    <row r="149" spans="1:8" x14ac:dyDescent="0.25">
      <c r="A149" s="2" t="s">
        <v>159</v>
      </c>
      <c r="B149" s="3"/>
      <c r="C149" s="3"/>
      <c r="D149" s="3"/>
      <c r="E149" s="4" t="str">
        <f>HYPERLINK("https://dpmzos25m8ivg.cloudfront.net/Documentos/631/00606691286/6310060669128605092023141819.jpg","https://dpmzos25m8ivg.cloudfront.net/Documentos/631/00606691286/6310060669128605092023141819.jpg")</f>
        <v>https://dpmzos25m8ivg.cloudfront.net/Documentos/631/00606691286/6310060669128605092023141819.jpg</v>
      </c>
      <c r="F149" s="5" t="str">
        <f>HYPERLINK("https://dpmzos25m8ivg.cloudfront.net/Documentos/631/00606691286/6310060669128605092023141828.jpg","https://dpmzos25m8ivg.cloudfront.net/Documentos/631/00606691286/6310060669128605092023141828.jpg")</f>
        <v>https://dpmzos25m8ivg.cloudfront.net/Documentos/631/00606691286/6310060669128605092023141828.jpg</v>
      </c>
      <c r="G149" s="5" t="str">
        <f>HYPERLINK("https://dpmzos25m8ivg.cloudfront.net/Documentos/631/00606691286/6310060669128605092023141833.jpg","https://dpmzos25m8ivg.cloudfront.net/Documentos/631/00606691286/6310060669128605092023141833.jpg")</f>
        <v>https://dpmzos25m8ivg.cloudfront.net/Documentos/631/00606691286/6310060669128605092023141833.jpg</v>
      </c>
      <c r="H149" s="4" t="s">
        <v>8736</v>
      </c>
    </row>
    <row r="150" spans="1:8" x14ac:dyDescent="0.25">
      <c r="A150" s="2" t="s">
        <v>160</v>
      </c>
      <c r="B150" s="3"/>
      <c r="C150" s="3"/>
      <c r="D150" s="3"/>
      <c r="E150" s="4" t="str">
        <f>HYPERLINK("https://dpmzos25m8ivg.cloudfront.net/Documentos/631/00611262258/6310061126225811092023095041.pdf","https://dpmzos25m8ivg.cloudfront.net/Documentos/631/00611262258/6310061126225811092023095041.pdf")</f>
        <v>https://dpmzos25m8ivg.cloudfront.net/Documentos/631/00611262258/6310061126225811092023095041.pdf</v>
      </c>
      <c r="F150" s="5" t="str">
        <f>HYPERLINK("https://dpmzos25m8ivg.cloudfront.net/Documentos/631/00611262258/6310061126225811092023095050.pdf","https://dpmzos25m8ivg.cloudfront.net/Documentos/631/00611262258/6310061126225811092023095050.pdf")</f>
        <v>https://dpmzos25m8ivg.cloudfront.net/Documentos/631/00611262258/6310061126225811092023095050.pdf</v>
      </c>
      <c r="G150" s="5" t="str">
        <f>HYPERLINK("https://dpmzos25m8ivg.cloudfront.net/Documentos/631/00611262258/6310061126225811092023095103.pdf","https://dpmzos25m8ivg.cloudfront.net/Documentos/631/00611262258/6310061126225811092023095103.pdf")</f>
        <v>https://dpmzos25m8ivg.cloudfront.net/Documentos/631/00611262258/6310061126225811092023095103.pdf</v>
      </c>
      <c r="H150" s="4" t="s">
        <v>8737</v>
      </c>
    </row>
    <row r="151" spans="1:8" x14ac:dyDescent="0.25">
      <c r="A151" s="2" t="s">
        <v>161</v>
      </c>
      <c r="B151" s="3"/>
      <c r="C151" s="3"/>
      <c r="D151" s="3"/>
      <c r="E151" s="4" t="str">
        <f>HYPERLINK("https://dpmzos25m8ivg.cloudfront.net/Documentos/631/00613138589/6310061313858906092023181803.jpg","https://dpmzos25m8ivg.cloudfront.net/Documentos/631/00613138589/6310061313858906092023181803.jpg")</f>
        <v>https://dpmzos25m8ivg.cloudfront.net/Documentos/631/00613138589/6310061313858906092023181803.jpg</v>
      </c>
      <c r="F151" s="5" t="str">
        <f>HYPERLINK("https://dpmzos25m8ivg.cloudfront.net/Documentos/631/00613138589/6310061313858906092023181917.jpg","https://dpmzos25m8ivg.cloudfront.net/Documentos/631/00613138589/6310061313858906092023181917.jpg")</f>
        <v>https://dpmzos25m8ivg.cloudfront.net/Documentos/631/00613138589/6310061313858906092023181917.jpg</v>
      </c>
      <c r="G151" s="5" t="str">
        <f>HYPERLINK("https://dpmzos25m8ivg.cloudfront.net/Documentos/631/00613138589/6310061313858906092023182011.jpg","https://dpmzos25m8ivg.cloudfront.net/Documentos/631/00613138589/6310061313858906092023182011.jpg")</f>
        <v>https://dpmzos25m8ivg.cloudfront.net/Documentos/631/00613138589/6310061313858906092023182011.jpg</v>
      </c>
      <c r="H151" s="4" t="s">
        <v>8738</v>
      </c>
    </row>
    <row r="152" spans="1:8" x14ac:dyDescent="0.25">
      <c r="A152" s="2" t="s">
        <v>162</v>
      </c>
      <c r="B152" s="3"/>
      <c r="C152" s="3"/>
      <c r="D152" s="3"/>
      <c r="E152" s="4" t="str">
        <f>HYPERLINK("https://dpmzos25m8ivg.cloudfront.net/Documentos/631/00615451128/6310061545112808092023172613.pdf","https://dpmzos25m8ivg.cloudfront.net/Documentos/631/00615451128/6310061545112808092023172613.pdf")</f>
        <v>https://dpmzos25m8ivg.cloudfront.net/Documentos/631/00615451128/6310061545112808092023172613.pdf</v>
      </c>
      <c r="F152" s="5" t="str">
        <f>HYPERLINK("https://dpmzos25m8ivg.cloudfront.net/Documentos/631/00615451128/6310061545112808092023172625.pdf","https://dpmzos25m8ivg.cloudfront.net/Documentos/631/00615451128/6310061545112808092023172625.pdf")</f>
        <v>https://dpmzos25m8ivg.cloudfront.net/Documentos/631/00615451128/6310061545112808092023172625.pdf</v>
      </c>
      <c r="G152" s="5" t="str">
        <f>HYPERLINK("https://dpmzos25m8ivg.cloudfront.net/Documentos/631/00615451128/6310061545112808092023172636.pdf","https://dpmzos25m8ivg.cloudfront.net/Documentos/631/00615451128/6310061545112808092023172636.pdf")</f>
        <v>https://dpmzos25m8ivg.cloudfront.net/Documentos/631/00615451128/6310061545112808092023172636.pdf</v>
      </c>
      <c r="H152" s="4" t="s">
        <v>8739</v>
      </c>
    </row>
    <row r="153" spans="1:8" x14ac:dyDescent="0.25">
      <c r="A153" s="2" t="s">
        <v>163</v>
      </c>
      <c r="B153" s="3"/>
      <c r="C153" s="3"/>
      <c r="D153" s="3"/>
      <c r="E153" s="4" t="str">
        <f>HYPERLINK("https://dpmzos25m8ivg.cloudfront.net/Documentos/631/00615980031/6310061598003111092023115702.jpeg","https://dpmzos25m8ivg.cloudfront.net/Documentos/631/00615980031/6310061598003111092023115702.jpeg")</f>
        <v>https://dpmzos25m8ivg.cloudfront.net/Documentos/631/00615980031/6310061598003111092023115702.jpeg</v>
      </c>
      <c r="F153" s="5" t="str">
        <f>HYPERLINK("https://dpmzos25m8ivg.cloudfront.net/Documentos/631/00615980031/6310061598003111092023115714.jpeg","https://dpmzos25m8ivg.cloudfront.net/Documentos/631/00615980031/6310061598003111092023115714.jpeg")</f>
        <v>https://dpmzos25m8ivg.cloudfront.net/Documentos/631/00615980031/6310061598003111092023115714.jpeg</v>
      </c>
      <c r="G153" s="5" t="str">
        <f>HYPERLINK("https://dpmzos25m8ivg.cloudfront.net/Documentos/631/00615980031/6310061598003111092023115726.jpeg","https://dpmzos25m8ivg.cloudfront.net/Documentos/631/00615980031/6310061598003111092023115726.jpeg")</f>
        <v>https://dpmzos25m8ivg.cloudfront.net/Documentos/631/00615980031/6310061598003111092023115726.jpeg</v>
      </c>
      <c r="H153" s="4" t="s">
        <v>8740</v>
      </c>
    </row>
    <row r="154" spans="1:8" x14ac:dyDescent="0.25">
      <c r="A154" s="2" t="s">
        <v>164</v>
      </c>
      <c r="B154" s="3"/>
      <c r="C154" s="3"/>
      <c r="D154" s="3"/>
      <c r="E154" s="4" t="str">
        <f>HYPERLINK("https://dpmzos25m8ivg.cloudfront.net/Documentos/631/00618481079/6310061848107908092023163302.pdf","https://dpmzos25m8ivg.cloudfront.net/Documentos/631/00618481079/6310061848107908092023163302.pdf")</f>
        <v>https://dpmzos25m8ivg.cloudfront.net/Documentos/631/00618481079/6310061848107908092023163302.pdf</v>
      </c>
      <c r="F154" s="5" t="str">
        <f>HYPERLINK("https://dpmzos25m8ivg.cloudfront.net/Documentos/631/00618481079/6310061848107908092023163312.pdf","https://dpmzos25m8ivg.cloudfront.net/Documentos/631/00618481079/6310061848107908092023163312.pdf")</f>
        <v>https://dpmzos25m8ivg.cloudfront.net/Documentos/631/00618481079/6310061848107908092023163312.pdf</v>
      </c>
      <c r="G154" s="5" t="str">
        <f>HYPERLINK("https://dpmzos25m8ivg.cloudfront.net/Documentos/631/00618481079/6310061848107908092023163323.pdf","https://dpmzos25m8ivg.cloudfront.net/Documentos/631/00618481079/6310061848107908092023163323.pdf")</f>
        <v>https://dpmzos25m8ivg.cloudfront.net/Documentos/631/00618481079/6310061848107908092023163323.pdf</v>
      </c>
      <c r="H154" s="4" t="s">
        <v>8741</v>
      </c>
    </row>
    <row r="155" spans="1:8" x14ac:dyDescent="0.25">
      <c r="A155" s="2" t="s">
        <v>165</v>
      </c>
      <c r="B155" s="3"/>
      <c r="C155" s="3"/>
      <c r="D155" s="3"/>
      <c r="E155" s="4" t="str">
        <f>HYPERLINK("https://dpmzos25m8ivg.cloudfront.net/Documentos/631/00618874550/6310061887455011092023153532.pdf","https://dpmzos25m8ivg.cloudfront.net/Documentos/631/00618874550/6310061887455011092023153532.pdf")</f>
        <v>https://dpmzos25m8ivg.cloudfront.net/Documentos/631/00618874550/6310061887455011092023153532.pdf</v>
      </c>
      <c r="F155" s="5" t="str">
        <f>HYPERLINK("https://dpmzos25m8ivg.cloudfront.net/Documentos/631/00618874550/6310061887455011092023153556.pdf","https://dpmzos25m8ivg.cloudfront.net/Documentos/631/00618874550/6310061887455011092023153556.pdf")</f>
        <v>https://dpmzos25m8ivg.cloudfront.net/Documentos/631/00618874550/6310061887455011092023153556.pdf</v>
      </c>
      <c r="G155" s="5" t="str">
        <f>HYPERLINK("https://dpmzos25m8ivg.cloudfront.net/Documentos/631/00618874550/6310061887455011092023153615.pdf","https://dpmzos25m8ivg.cloudfront.net/Documentos/631/00618874550/6310061887455011092023153615.pdf")</f>
        <v>https://dpmzos25m8ivg.cloudfront.net/Documentos/631/00618874550/6310061887455011092023153615.pdf</v>
      </c>
      <c r="H155" s="4" t="s">
        <v>8742</v>
      </c>
    </row>
    <row r="156" spans="1:8" x14ac:dyDescent="0.25">
      <c r="A156" s="2" t="s">
        <v>166</v>
      </c>
      <c r="B156" s="3"/>
      <c r="C156" s="3"/>
      <c r="D156" s="3"/>
      <c r="E156" s="4" t="str">
        <f>HYPERLINK("https://dpmzos25m8ivg.cloudfront.net/Documentos/631/00623752883/6310062375288311092023132631.pdf","https://dpmzos25m8ivg.cloudfront.net/Documentos/631/00623752883/6310062375288311092023132631.pdf")</f>
        <v>https://dpmzos25m8ivg.cloudfront.net/Documentos/631/00623752883/6310062375288311092023132631.pdf</v>
      </c>
      <c r="F156" s="5" t="str">
        <f>HYPERLINK("https://dpmzos25m8ivg.cloudfront.net/Documentos/631/00623752883/6310062375288311092023132640.pdf","https://dpmzos25m8ivg.cloudfront.net/Documentos/631/00623752883/6310062375288311092023132640.pdf")</f>
        <v>https://dpmzos25m8ivg.cloudfront.net/Documentos/631/00623752883/6310062375288311092023132640.pdf</v>
      </c>
      <c r="G156" s="5" t="str">
        <f>HYPERLINK("https://dpmzos25m8ivg.cloudfront.net/Documentos/631/00623752883/6310062375288311092023132648.pdf","https://dpmzos25m8ivg.cloudfront.net/Documentos/631/00623752883/6310062375288311092023132648.pdf")</f>
        <v>https://dpmzos25m8ivg.cloudfront.net/Documentos/631/00623752883/6310062375288311092023132648.pdf</v>
      </c>
      <c r="H156" s="4" t="s">
        <v>8743</v>
      </c>
    </row>
    <row r="157" spans="1:8" x14ac:dyDescent="0.25">
      <c r="A157" s="2" t="s">
        <v>167</v>
      </c>
      <c r="B157" s="3" t="s">
        <v>168</v>
      </c>
      <c r="C157" s="3"/>
      <c r="D157" s="3"/>
      <c r="E157" s="4" t="str">
        <f>HYPERLINK("https://dpmzos25m8ivg.cloudfront.net/Documentos/631/00634521110/6310063452111011092023165926.jpeg","https://dpmzos25m8ivg.cloudfront.net/Documentos/631/00634521110/6310063452111011092023165926.jpeg")</f>
        <v>https://dpmzos25m8ivg.cloudfront.net/Documentos/631/00634521110/6310063452111011092023165926.jpeg</v>
      </c>
      <c r="F157" s="5" t="str">
        <f>HYPERLINK("https://dpmzos25m8ivg.cloudfront.net/Documentos/631/00634521110/6310063452111011092023165938.jpeg","https://dpmzos25m8ivg.cloudfront.net/Documentos/631/00634521110/6310063452111011092023165938.jpeg")</f>
        <v>https://dpmzos25m8ivg.cloudfront.net/Documentos/631/00634521110/6310063452111011092023165938.jpeg</v>
      </c>
      <c r="G157" s="5" t="str">
        <f>HYPERLINK("https://dpmzos25m8ivg.cloudfront.net/Documentos/631/00634521110/6310063452111011092023165950.jpeg","https://dpmzos25m8ivg.cloudfront.net/Documentos/631/00634521110/6310063452111011092023165950.jpeg")</f>
        <v>https://dpmzos25m8ivg.cloudfront.net/Documentos/631/00634521110/6310063452111011092023165950.jpeg</v>
      </c>
      <c r="H157" s="4" t="s">
        <v>8744</v>
      </c>
    </row>
    <row r="158" spans="1:8" x14ac:dyDescent="0.25">
      <c r="A158" s="2" t="s">
        <v>169</v>
      </c>
      <c r="B158" s="3"/>
      <c r="C158" s="3"/>
      <c r="D158" s="3"/>
      <c r="E158" s="4" t="str">
        <f>HYPERLINK("https://dpmzos25m8ivg.cloudfront.net/Documentos/631/00636362396/6310063636239606092023160920.pdf","https://dpmzos25m8ivg.cloudfront.net/Documentos/631/00636362396/6310063636239606092023160920.pdf")</f>
        <v>https://dpmzos25m8ivg.cloudfront.net/Documentos/631/00636362396/6310063636239606092023160920.pdf</v>
      </c>
      <c r="F158" s="5" t="str">
        <f>HYPERLINK("https://dpmzos25m8ivg.cloudfront.net/Documentos/631/00636362396/6310063636239606092023161102.pdf","https://dpmzos25m8ivg.cloudfront.net/Documentos/631/00636362396/6310063636239606092023161102.pdf")</f>
        <v>https://dpmzos25m8ivg.cloudfront.net/Documentos/631/00636362396/6310063636239606092023161102.pdf</v>
      </c>
      <c r="G158" s="5" t="str">
        <f>HYPERLINK("https://dpmzos25m8ivg.cloudfront.net/Documentos/631/00636362396/6310063636239606092023161259.pdf","https://dpmzos25m8ivg.cloudfront.net/Documentos/631/00636362396/6310063636239606092023161259.pdf")</f>
        <v>https://dpmzos25m8ivg.cloudfront.net/Documentos/631/00636362396/6310063636239606092023161259.pdf</v>
      </c>
      <c r="H158" s="4" t="s">
        <v>8745</v>
      </c>
    </row>
    <row r="159" spans="1:8" x14ac:dyDescent="0.25">
      <c r="A159" s="2" t="s">
        <v>170</v>
      </c>
      <c r="B159" s="3"/>
      <c r="C159" s="3"/>
      <c r="D159" s="3"/>
      <c r="E159" s="4" t="str">
        <f>HYPERLINK("https://dpmzos25m8ivg.cloudfront.net/Documentos/631/00636743519/6310063674351911092023164707.pdf","https://dpmzos25m8ivg.cloudfront.net/Documentos/631/00636743519/6310063674351911092023164707.pdf")</f>
        <v>https://dpmzos25m8ivg.cloudfront.net/Documentos/631/00636743519/6310063674351911092023164707.pdf</v>
      </c>
      <c r="F159" s="5" t="str">
        <f>HYPERLINK("https://dpmzos25m8ivg.cloudfront.net/Documentos/631/00636743519/6310063674351911092023164718.pdf","https://dpmzos25m8ivg.cloudfront.net/Documentos/631/00636743519/6310063674351911092023164718.pdf")</f>
        <v>https://dpmzos25m8ivg.cloudfront.net/Documentos/631/00636743519/6310063674351911092023164718.pdf</v>
      </c>
      <c r="G159" s="5" t="str">
        <f>HYPERLINK("https://dpmzos25m8ivg.cloudfront.net/Documentos/631/00636743519/6310063674351911092023164729.pdf","https://dpmzos25m8ivg.cloudfront.net/Documentos/631/00636743519/6310063674351911092023164729.pdf")</f>
        <v>https://dpmzos25m8ivg.cloudfront.net/Documentos/631/00636743519/6310063674351911092023164729.pdf</v>
      </c>
      <c r="H159" s="4" t="s">
        <v>8746</v>
      </c>
    </row>
    <row r="160" spans="1:8" x14ac:dyDescent="0.25">
      <c r="A160" s="2" t="s">
        <v>171</v>
      </c>
      <c r="B160" s="3"/>
      <c r="C160" s="3"/>
      <c r="D160" s="3"/>
      <c r="E160" s="4" t="str">
        <f>HYPERLINK("https://dpmzos25m8ivg.cloudfront.net/Documentos/631/00636793290/6310063679329006092023174053.pdf","https://dpmzos25m8ivg.cloudfront.net/Documentos/631/00636793290/6310063679329006092023174053.pdf")</f>
        <v>https://dpmzos25m8ivg.cloudfront.net/Documentos/631/00636793290/6310063679329006092023174053.pdf</v>
      </c>
      <c r="F160" s="5" t="str">
        <f>HYPERLINK("https://dpmzos25m8ivg.cloudfront.net/Documentos/631/00636793290/6310063679329006092023174112.pdf","https://dpmzos25m8ivg.cloudfront.net/Documentos/631/00636793290/6310063679329006092023174112.pdf")</f>
        <v>https://dpmzos25m8ivg.cloudfront.net/Documentos/631/00636793290/6310063679329006092023174112.pdf</v>
      </c>
      <c r="G160" s="5" t="str">
        <f>HYPERLINK("https://dpmzos25m8ivg.cloudfront.net/Documentos/631/00636793290/6310063679329006092023174125.pdf","https://dpmzos25m8ivg.cloudfront.net/Documentos/631/00636793290/6310063679329006092023174125.pdf")</f>
        <v>https://dpmzos25m8ivg.cloudfront.net/Documentos/631/00636793290/6310063679329006092023174125.pdf</v>
      </c>
      <c r="H160" s="4" t="s">
        <v>8747</v>
      </c>
    </row>
    <row r="161" spans="1:8" x14ac:dyDescent="0.25">
      <c r="A161" s="2" t="s">
        <v>172</v>
      </c>
      <c r="B161" s="3"/>
      <c r="C161" s="3"/>
      <c r="D161" s="3"/>
      <c r="E161" s="4" t="str">
        <f>HYPERLINK("https://dpmzos25m8ivg.cloudfront.net/Documentos/631/00637275365/6310063727536511092023154337.pdf","https://dpmzos25m8ivg.cloudfront.net/Documentos/631/00637275365/6310063727536511092023154337.pdf")</f>
        <v>https://dpmzos25m8ivg.cloudfront.net/Documentos/631/00637275365/6310063727536511092023154337.pdf</v>
      </c>
      <c r="F161" s="5" t="str">
        <f>HYPERLINK("https://dpmzos25m8ivg.cloudfront.net/Documentos/631/00637275365/6310063727536511092023154409.pdf","https://dpmzos25m8ivg.cloudfront.net/Documentos/631/00637275365/6310063727536511092023154409.pdf")</f>
        <v>https://dpmzos25m8ivg.cloudfront.net/Documentos/631/00637275365/6310063727536511092023154409.pdf</v>
      </c>
      <c r="G161" s="5" t="str">
        <f>HYPERLINK("https://dpmzos25m8ivg.cloudfront.net/Documentos/631/00637275365/6310063727536511092023154425.pdf","https://dpmzos25m8ivg.cloudfront.net/Documentos/631/00637275365/6310063727536511092023154425.pdf")</f>
        <v>https://dpmzos25m8ivg.cloudfront.net/Documentos/631/00637275365/6310063727536511092023154425.pdf</v>
      </c>
      <c r="H161" s="4" t="s">
        <v>8748</v>
      </c>
    </row>
    <row r="162" spans="1:8" x14ac:dyDescent="0.25">
      <c r="A162" s="2" t="s">
        <v>173</v>
      </c>
      <c r="B162" s="3"/>
      <c r="C162" s="3"/>
      <c r="D162" s="3"/>
      <c r="E162" s="4" t="str">
        <f>HYPERLINK("https://dpmzos25m8ivg.cloudfront.net/Documentos/631/00638516285/6310063851628505092023162550.pdf","https://dpmzos25m8ivg.cloudfront.net/Documentos/631/00638516285/6310063851628505092023162550.pdf")</f>
        <v>https://dpmzos25m8ivg.cloudfront.net/Documentos/631/00638516285/6310063851628505092023162550.pdf</v>
      </c>
      <c r="F162" s="5" t="str">
        <f>HYPERLINK("https://dpmzos25m8ivg.cloudfront.net/Documentos/631/00638516285/6310063851628505092023162600.pdf","https://dpmzos25m8ivg.cloudfront.net/Documentos/631/00638516285/6310063851628505092023162600.pdf")</f>
        <v>https://dpmzos25m8ivg.cloudfront.net/Documentos/631/00638516285/6310063851628505092023162600.pdf</v>
      </c>
      <c r="G162" s="5" t="str">
        <f>HYPERLINK("https://dpmzos25m8ivg.cloudfront.net/Documentos/631/00638516285/6310063851628505092023162613.pdf","https://dpmzos25m8ivg.cloudfront.net/Documentos/631/00638516285/6310063851628505092023162613.pdf")</f>
        <v>https://dpmzos25m8ivg.cloudfront.net/Documentos/631/00638516285/6310063851628505092023162613.pdf</v>
      </c>
      <c r="H162" s="4" t="s">
        <v>8749</v>
      </c>
    </row>
    <row r="163" spans="1:8" x14ac:dyDescent="0.25">
      <c r="A163" s="2" t="s">
        <v>174</v>
      </c>
      <c r="B163" s="3"/>
      <c r="C163" s="3"/>
      <c r="D163" s="3"/>
      <c r="E163" s="4" t="str">
        <f>HYPERLINK("https://dpmzos25m8ivg.cloudfront.net/Documentos/631/00639016502/6310063901650210092023160024.pdf","https://dpmzos25m8ivg.cloudfront.net/Documentos/631/00639016502/6310063901650210092023160024.pdf")</f>
        <v>https://dpmzos25m8ivg.cloudfront.net/Documentos/631/00639016502/6310063901650210092023160024.pdf</v>
      </c>
      <c r="F163" s="5" t="str">
        <f>HYPERLINK("https://dpmzos25m8ivg.cloudfront.net/Documentos/631/00639016502/6310063901650210092023162257.pdf","https://dpmzos25m8ivg.cloudfront.net/Documentos/631/00639016502/6310063901650210092023162257.pdf")</f>
        <v>https://dpmzos25m8ivg.cloudfront.net/Documentos/631/00639016502/6310063901650210092023162257.pdf</v>
      </c>
      <c r="G163" s="5" t="str">
        <f>HYPERLINK("https://dpmzos25m8ivg.cloudfront.net/Documentos/631/00639016502/6310063901650210092023162328.pdf","https://dpmzos25m8ivg.cloudfront.net/Documentos/631/00639016502/6310063901650210092023162328.pdf")</f>
        <v>https://dpmzos25m8ivg.cloudfront.net/Documentos/631/00639016502/6310063901650210092023162328.pdf</v>
      </c>
      <c r="H163" s="4" t="s">
        <v>8750</v>
      </c>
    </row>
    <row r="164" spans="1:8" x14ac:dyDescent="0.25">
      <c r="A164" s="2" t="s">
        <v>175</v>
      </c>
      <c r="B164" s="3"/>
      <c r="C164" s="3"/>
      <c r="D164" s="3"/>
      <c r="E164" s="4" t="str">
        <f>HYPERLINK("https://dpmzos25m8ivg.cloudfront.net/Documentos/631/00640826369/6310064082636905092023140231.pdf","https://dpmzos25m8ivg.cloudfront.net/Documentos/631/00640826369/6310064082636905092023140231.pdf")</f>
        <v>https://dpmzos25m8ivg.cloudfront.net/Documentos/631/00640826369/6310064082636905092023140231.pdf</v>
      </c>
      <c r="F164" s="5" t="str">
        <f>HYPERLINK("https://dpmzos25m8ivg.cloudfront.net/Documentos/631/00640826369/6310064082636905092023140241.pdf","https://dpmzos25m8ivg.cloudfront.net/Documentos/631/00640826369/6310064082636905092023140241.pdf")</f>
        <v>https://dpmzos25m8ivg.cloudfront.net/Documentos/631/00640826369/6310064082636905092023140241.pdf</v>
      </c>
      <c r="G164" s="5" t="str">
        <f>HYPERLINK("https://dpmzos25m8ivg.cloudfront.net/Documentos/631/00640826369/6310064082636905092023140251.pdf","https://dpmzos25m8ivg.cloudfront.net/Documentos/631/00640826369/6310064082636905092023140251.pdf")</f>
        <v>https://dpmzos25m8ivg.cloudfront.net/Documentos/631/00640826369/6310064082636905092023140251.pdf</v>
      </c>
      <c r="H164" s="4" t="s">
        <v>8751</v>
      </c>
    </row>
    <row r="165" spans="1:8" x14ac:dyDescent="0.25">
      <c r="A165" s="2" t="s">
        <v>176</v>
      </c>
      <c r="B165" s="3"/>
      <c r="C165" s="3"/>
      <c r="D165" s="3"/>
      <c r="E165" s="4" t="str">
        <f>HYPERLINK("https://dpmzos25m8ivg.cloudfront.net/Documentos/631/00653234163/6310065323416309092023004347.pdf","https://dpmzos25m8ivg.cloudfront.net/Documentos/631/00653234163/6310065323416309092023004347.pdf")</f>
        <v>https://dpmzos25m8ivg.cloudfront.net/Documentos/631/00653234163/6310065323416309092023004347.pdf</v>
      </c>
      <c r="F165" s="5" t="str">
        <f>HYPERLINK("https://dpmzos25m8ivg.cloudfront.net/Documentos/631/00653234163/6310065323416309092023004426.pdf","https://dpmzos25m8ivg.cloudfront.net/Documentos/631/00653234163/6310065323416309092023004426.pdf")</f>
        <v>https://dpmzos25m8ivg.cloudfront.net/Documentos/631/00653234163/6310065323416309092023004426.pdf</v>
      </c>
      <c r="G165" s="5" t="str">
        <f>HYPERLINK("https://dpmzos25m8ivg.cloudfront.net/Documentos/631/00653234163/6310065323416309092023004438.pdf","https://dpmzos25m8ivg.cloudfront.net/Documentos/631/00653234163/6310065323416309092023004438.pdf")</f>
        <v>https://dpmzos25m8ivg.cloudfront.net/Documentos/631/00653234163/6310065323416309092023004438.pdf</v>
      </c>
      <c r="H165" s="4" t="s">
        <v>8752</v>
      </c>
    </row>
    <row r="166" spans="1:8" x14ac:dyDescent="0.25">
      <c r="A166" s="2" t="s">
        <v>177</v>
      </c>
      <c r="B166" s="6" t="s">
        <v>8</v>
      </c>
      <c r="C166" s="3"/>
      <c r="D166" s="3"/>
      <c r="E166" s="4" t="str">
        <f>HYPERLINK("https://dpmzos25m8ivg.cloudfront.net/Documentos/631/00653528159/6310065352815905092023141431.pdf","https://dpmzos25m8ivg.cloudfront.net/Documentos/631/00653528159/6310065352815905092023141431.pdf")</f>
        <v>https://dpmzos25m8ivg.cloudfront.net/Documentos/631/00653528159/6310065352815905092023141431.pdf</v>
      </c>
      <c r="F166" s="5" t="str">
        <f>HYPERLINK("https://dpmzos25m8ivg.cloudfront.net/Documentos/631/00653528159/6310065352815905092023141438.pdf","https://dpmzos25m8ivg.cloudfront.net/Documentos/631/00653528159/6310065352815905092023141438.pdf")</f>
        <v>https://dpmzos25m8ivg.cloudfront.net/Documentos/631/00653528159/6310065352815905092023141438.pdf</v>
      </c>
      <c r="G166" s="5" t="str">
        <f>HYPERLINK("https://dpmzos25m8ivg.cloudfront.net/Documentos/631/00653528159/6310065352815905092023141445.pdf","https://dpmzos25m8ivg.cloudfront.net/Documentos/631/00653528159/6310065352815905092023141445.pdf")</f>
        <v>https://dpmzos25m8ivg.cloudfront.net/Documentos/631/00653528159/6310065352815905092023141445.pdf</v>
      </c>
      <c r="H166" s="4" t="s">
        <v>8753</v>
      </c>
    </row>
    <row r="167" spans="1:8" x14ac:dyDescent="0.25">
      <c r="A167" s="2" t="s">
        <v>178</v>
      </c>
      <c r="B167" s="3"/>
      <c r="C167" s="3"/>
      <c r="D167" s="3"/>
      <c r="E167" s="4" t="str">
        <f>HYPERLINK("https://dpmzos25m8ivg.cloudfront.net/Documentos/631/00653779232/6310065377923208092023141950.pdf","https://dpmzos25m8ivg.cloudfront.net/Documentos/631/00653779232/6310065377923208092023141950.pdf")</f>
        <v>https://dpmzos25m8ivg.cloudfront.net/Documentos/631/00653779232/6310065377923208092023141950.pdf</v>
      </c>
      <c r="F167" s="5" t="str">
        <f>HYPERLINK("https://dpmzos25m8ivg.cloudfront.net/Documentos/631/00653779232/6310065377923208092023142003.pdf","https://dpmzos25m8ivg.cloudfront.net/Documentos/631/00653779232/6310065377923208092023142003.pdf")</f>
        <v>https://dpmzos25m8ivg.cloudfront.net/Documentos/631/00653779232/6310065377923208092023142003.pdf</v>
      </c>
      <c r="G167" s="5" t="str">
        <f>HYPERLINK("https://dpmzos25m8ivg.cloudfront.net/Documentos/631/00653779232/6310065377923208092023142015.pdf","https://dpmzos25m8ivg.cloudfront.net/Documentos/631/00653779232/6310065377923208092023142015.pdf")</f>
        <v>https://dpmzos25m8ivg.cloudfront.net/Documentos/631/00653779232/6310065377923208092023142015.pdf</v>
      </c>
      <c r="H167" s="4" t="s">
        <v>8754</v>
      </c>
    </row>
    <row r="168" spans="1:8" x14ac:dyDescent="0.25">
      <c r="A168" s="2" t="s">
        <v>179</v>
      </c>
      <c r="B168" s="3"/>
      <c r="C168" s="3"/>
      <c r="D168" s="3"/>
      <c r="E168" s="4" t="str">
        <f>HYPERLINK("https://dpmzos25m8ivg.cloudfront.net/Documentos/631/00656155060/6310065615506009092023090743.jpeg","https://dpmzos25m8ivg.cloudfront.net/Documentos/631/00656155060/6310065615506009092023090743.jpeg")</f>
        <v>https://dpmzos25m8ivg.cloudfront.net/Documentos/631/00656155060/6310065615506009092023090743.jpeg</v>
      </c>
      <c r="F168" s="5" t="str">
        <f>HYPERLINK("https://dpmzos25m8ivg.cloudfront.net/Documentos/631/00656155060/6310065615506009092023090816.jpeg","https://dpmzos25m8ivg.cloudfront.net/Documentos/631/00656155060/6310065615506009092023090816.jpeg")</f>
        <v>https://dpmzos25m8ivg.cloudfront.net/Documentos/631/00656155060/6310065615506009092023090816.jpeg</v>
      </c>
      <c r="G168" s="5" t="str">
        <f>HYPERLINK("https://dpmzos25m8ivg.cloudfront.net/Documentos/631/00656155060/6310065615506009092023090858.jpeg","https://dpmzos25m8ivg.cloudfront.net/Documentos/631/00656155060/6310065615506009092023090858.jpeg")</f>
        <v>https://dpmzos25m8ivg.cloudfront.net/Documentos/631/00656155060/6310065615506009092023090858.jpeg</v>
      </c>
      <c r="H168" s="4" t="s">
        <v>8755</v>
      </c>
    </row>
    <row r="169" spans="1:8" x14ac:dyDescent="0.25">
      <c r="A169" s="2" t="s">
        <v>180</v>
      </c>
      <c r="B169" s="3"/>
      <c r="C169" s="3"/>
      <c r="D169" s="3"/>
      <c r="E169" s="4" t="str">
        <f>HYPERLINK("https://dpmzos25m8ivg.cloudfront.net/Documentos/631/00663463041/6310066346304114092023164002.pdf","https://dpmzos25m8ivg.cloudfront.net/Documentos/631/00663463041/6310066346304114092023164002.pdf")</f>
        <v>https://dpmzos25m8ivg.cloudfront.net/Documentos/631/00663463041/6310066346304114092023164002.pdf</v>
      </c>
      <c r="F169" s="5" t="str">
        <f>HYPERLINK("https://dpmzos25m8ivg.cloudfront.net/Documentos/631/00663463041/6310066346304114092023164010.pdf","https://dpmzos25m8ivg.cloudfront.net/Documentos/631/00663463041/6310066346304114092023164010.pdf")</f>
        <v>https://dpmzos25m8ivg.cloudfront.net/Documentos/631/00663463041/6310066346304114092023164010.pdf</v>
      </c>
      <c r="G169" s="5" t="str">
        <f>HYPERLINK("https://dpmzos25m8ivg.cloudfront.net/Documentos/631/00663463041/6310066346304114092023164018.pdf","https://dpmzos25m8ivg.cloudfront.net/Documentos/631/00663463041/6310066346304114092023164018.pdf")</f>
        <v>https://dpmzos25m8ivg.cloudfront.net/Documentos/631/00663463041/6310066346304114092023164018.pdf</v>
      </c>
      <c r="H169" s="4" t="s">
        <v>8756</v>
      </c>
    </row>
    <row r="170" spans="1:8" x14ac:dyDescent="0.25">
      <c r="A170" s="2" t="s">
        <v>181</v>
      </c>
      <c r="B170" s="3"/>
      <c r="C170" s="3"/>
      <c r="D170" s="3"/>
      <c r="E170" s="4" t="str">
        <f>HYPERLINK("https://dpmzos25m8ivg.cloudfront.net/Documentos/631/00663860202/6310066386020213092023140612.jpeg","https://dpmzos25m8ivg.cloudfront.net/Documentos/631/00663860202/6310066386020213092023140612.jpeg")</f>
        <v>https://dpmzos25m8ivg.cloudfront.net/Documentos/631/00663860202/6310066386020213092023140612.jpeg</v>
      </c>
      <c r="F170" s="5" t="str">
        <f>HYPERLINK("https://dpmzos25m8ivg.cloudfront.net/Documentos/631/00663860202/6310066386020213092023140632.jpeg","https://dpmzos25m8ivg.cloudfront.net/Documentos/631/00663860202/6310066386020213092023140632.jpeg")</f>
        <v>https://dpmzos25m8ivg.cloudfront.net/Documentos/631/00663860202/6310066386020213092023140632.jpeg</v>
      </c>
      <c r="G170" s="5" t="str">
        <f>HYPERLINK("https://dpmzos25m8ivg.cloudfront.net/Documentos/631/00663860202/6310066386020213092023140647.jpeg","https://dpmzos25m8ivg.cloudfront.net/Documentos/631/00663860202/6310066386020213092023140647.jpeg")</f>
        <v>https://dpmzos25m8ivg.cloudfront.net/Documentos/631/00663860202/6310066386020213092023140647.jpeg</v>
      </c>
      <c r="H170" s="4" t="s">
        <v>8757</v>
      </c>
    </row>
    <row r="171" spans="1:8" x14ac:dyDescent="0.25">
      <c r="A171" s="2" t="s">
        <v>182</v>
      </c>
      <c r="B171" s="3"/>
      <c r="C171" s="3"/>
      <c r="D171" s="3"/>
      <c r="E171" s="4" t="str">
        <f>HYPERLINK("https://dpmzos25m8ivg.cloudfront.net/Documentos/631/00663912539/6310066391253909092023115811.pdf","https://dpmzos25m8ivg.cloudfront.net/Documentos/631/00663912539/6310066391253909092023115811.pdf")</f>
        <v>https://dpmzos25m8ivg.cloudfront.net/Documentos/631/00663912539/6310066391253909092023115811.pdf</v>
      </c>
      <c r="F171" s="5" t="str">
        <f>HYPERLINK("https://dpmzos25m8ivg.cloudfront.net/Documentos/631/00663912539/6310066391253909092023115751.pdf","https://dpmzos25m8ivg.cloudfront.net/Documentos/631/00663912539/6310066391253909092023115751.pdf")</f>
        <v>https://dpmzos25m8ivg.cloudfront.net/Documentos/631/00663912539/6310066391253909092023115751.pdf</v>
      </c>
      <c r="G171" s="5" t="str">
        <f>HYPERLINK("https://dpmzos25m8ivg.cloudfront.net/Documentos/631/00663912539/6310066391253909092023115741.pdf","https://dpmzos25m8ivg.cloudfront.net/Documentos/631/00663912539/6310066391253909092023115741.pdf")</f>
        <v>https://dpmzos25m8ivg.cloudfront.net/Documentos/631/00663912539/6310066391253909092023115741.pdf</v>
      </c>
      <c r="H171" s="4" t="s">
        <v>8758</v>
      </c>
    </row>
    <row r="172" spans="1:8" x14ac:dyDescent="0.25">
      <c r="A172" s="2" t="s">
        <v>183</v>
      </c>
      <c r="B172" s="3"/>
      <c r="C172" s="3"/>
      <c r="D172" s="3"/>
      <c r="E172" s="4" t="str">
        <f>HYPERLINK("https://dpmzos25m8ivg.cloudfront.net/Documentos/631/00667320180/6310066732018011092023155144.jpg","https://dpmzos25m8ivg.cloudfront.net/Documentos/631/00667320180/6310066732018011092023155144.jpg")</f>
        <v>https://dpmzos25m8ivg.cloudfront.net/Documentos/631/00667320180/6310066732018011092023155144.jpg</v>
      </c>
      <c r="F172" s="5" t="str">
        <f>HYPERLINK("https://dpmzos25m8ivg.cloudfront.net/Documentos/631/00667320180/6310066732018011092023155226.jpg","https://dpmzos25m8ivg.cloudfront.net/Documentos/631/00667320180/6310066732018011092023155226.jpg")</f>
        <v>https://dpmzos25m8ivg.cloudfront.net/Documentos/631/00667320180/6310066732018011092023155226.jpg</v>
      </c>
      <c r="G172" s="5" t="str">
        <f>HYPERLINK("https://dpmzos25m8ivg.cloudfront.net/Documentos/631/00667320180/6310066732018011092023155253.jpg","https://dpmzos25m8ivg.cloudfront.net/Documentos/631/00667320180/6310066732018011092023155253.jpg")</f>
        <v>https://dpmzos25m8ivg.cloudfront.net/Documentos/631/00667320180/6310066732018011092023155253.jpg</v>
      </c>
      <c r="H172" s="4" t="s">
        <v>8759</v>
      </c>
    </row>
    <row r="173" spans="1:8" x14ac:dyDescent="0.25">
      <c r="A173" s="2" t="s">
        <v>184</v>
      </c>
      <c r="B173" s="3"/>
      <c r="C173" s="3"/>
      <c r="D173" s="3"/>
      <c r="E173" s="4" t="str">
        <f>HYPERLINK("https://dpmzos25m8ivg.cloudfront.net/Documentos/631/00669650390/6310066965039009092023233744.pdf","https://dpmzos25m8ivg.cloudfront.net/Documentos/631/00669650390/6310066965039009092023233744.pdf")</f>
        <v>https://dpmzos25m8ivg.cloudfront.net/Documentos/631/00669650390/6310066965039009092023233744.pdf</v>
      </c>
      <c r="F173" s="5" t="str">
        <f>HYPERLINK("https://dpmzos25m8ivg.cloudfront.net/Documentos/631/00669650390/6310066965039009092023233758.pdf","https://dpmzos25m8ivg.cloudfront.net/Documentos/631/00669650390/6310066965039009092023233758.pdf")</f>
        <v>https://dpmzos25m8ivg.cloudfront.net/Documentos/631/00669650390/6310066965039009092023233758.pdf</v>
      </c>
      <c r="G173" s="5" t="str">
        <f>HYPERLINK("https://dpmzos25m8ivg.cloudfront.net/Documentos/631/00669650390/6310066965039009092023233812.pdf","https://dpmzos25m8ivg.cloudfront.net/Documentos/631/00669650390/6310066965039009092023233812.pdf")</f>
        <v>https://dpmzos25m8ivg.cloudfront.net/Documentos/631/00669650390/6310066965039009092023233812.pdf</v>
      </c>
      <c r="H173" s="4" t="s">
        <v>8760</v>
      </c>
    </row>
    <row r="174" spans="1:8" x14ac:dyDescent="0.25">
      <c r="A174" s="2" t="s">
        <v>185</v>
      </c>
      <c r="B174" s="3"/>
      <c r="C174" s="3"/>
      <c r="D174" s="3"/>
      <c r="E174" s="4" t="str">
        <f>HYPERLINK("https://dpmzos25m8ivg.cloudfront.net/Documentos/631/00670213101/6310067021310111092023144801.pdf","https://dpmzos25m8ivg.cloudfront.net/Documentos/631/00670213101/6310067021310111092023144801.pdf")</f>
        <v>https://dpmzos25m8ivg.cloudfront.net/Documentos/631/00670213101/6310067021310111092023144801.pdf</v>
      </c>
      <c r="F174" s="5" t="str">
        <f>HYPERLINK("https://dpmzos25m8ivg.cloudfront.net/Documentos/631/00670213101/6310067021310111092023144824.pdf","https://dpmzos25m8ivg.cloudfront.net/Documentos/631/00670213101/6310067021310111092023144824.pdf")</f>
        <v>https://dpmzos25m8ivg.cloudfront.net/Documentos/631/00670213101/6310067021310111092023144824.pdf</v>
      </c>
      <c r="G174" s="5" t="str">
        <f>HYPERLINK("https://dpmzos25m8ivg.cloudfront.net/Documentos/631/00670213101/6310067021310111092023144837.pdf","https://dpmzos25m8ivg.cloudfront.net/Documentos/631/00670213101/6310067021310111092023144837.pdf")</f>
        <v>https://dpmzos25m8ivg.cloudfront.net/Documentos/631/00670213101/6310067021310111092023144837.pdf</v>
      </c>
      <c r="H174" s="4" t="s">
        <v>8761</v>
      </c>
    </row>
    <row r="175" spans="1:8" x14ac:dyDescent="0.25">
      <c r="A175" s="2" t="s">
        <v>186</v>
      </c>
      <c r="B175" s="3"/>
      <c r="C175" s="3"/>
      <c r="D175" s="3"/>
      <c r="E175" s="4" t="str">
        <f>HYPERLINK("https://dpmzos25m8ivg.cloudfront.net/Documentos/631/00673396622/6310067339662205092023170832.pdf","https://dpmzos25m8ivg.cloudfront.net/Documentos/631/00673396622/6310067339662205092023170832.pdf")</f>
        <v>https://dpmzos25m8ivg.cloudfront.net/Documentos/631/00673396622/6310067339662205092023170832.pdf</v>
      </c>
      <c r="F175" s="5" t="str">
        <f>HYPERLINK("https://dpmzos25m8ivg.cloudfront.net/Documentos/631/00673396622/6310067339662205092023170859.pdf","https://dpmzos25m8ivg.cloudfront.net/Documentos/631/00673396622/6310067339662205092023170859.pdf")</f>
        <v>https://dpmzos25m8ivg.cloudfront.net/Documentos/631/00673396622/6310067339662205092023170859.pdf</v>
      </c>
      <c r="G175" s="5" t="str">
        <f>HYPERLINK("https://dpmzos25m8ivg.cloudfront.net/Documentos/631/00673396622/6310067339662205092023001920.pdf","https://dpmzos25m8ivg.cloudfront.net/Documentos/631/00673396622/6310067339662205092023001920.pdf")</f>
        <v>https://dpmzos25m8ivg.cloudfront.net/Documentos/631/00673396622/6310067339662205092023001920.pdf</v>
      </c>
      <c r="H175" s="4" t="s">
        <v>8762</v>
      </c>
    </row>
    <row r="176" spans="1:8" x14ac:dyDescent="0.25">
      <c r="A176" s="2" t="s">
        <v>187</v>
      </c>
      <c r="B176" s="3"/>
      <c r="C176" s="3"/>
      <c r="D176" s="3"/>
      <c r="E176" s="4" t="str">
        <f>HYPERLINK("https://dpmzos25m8ivg.cloudfront.net/Documentos/631/00676626173/6310067662617308092023160942.pdf","https://dpmzos25m8ivg.cloudfront.net/Documentos/631/00676626173/6310067662617308092023160942.pdf")</f>
        <v>https://dpmzos25m8ivg.cloudfront.net/Documentos/631/00676626173/6310067662617308092023160942.pdf</v>
      </c>
      <c r="F176" s="5" t="str">
        <f>HYPERLINK("https://dpmzos25m8ivg.cloudfront.net/Documentos/631/00676626173/6310067662617308092023160950.pdf","https://dpmzos25m8ivg.cloudfront.net/Documentos/631/00676626173/6310067662617308092023160950.pdf")</f>
        <v>https://dpmzos25m8ivg.cloudfront.net/Documentos/631/00676626173/6310067662617308092023160950.pdf</v>
      </c>
      <c r="G176" s="5" t="str">
        <f>HYPERLINK("https://dpmzos25m8ivg.cloudfront.net/Documentos/631/00676626173/6310067662617308092023161001.pdf","https://dpmzos25m8ivg.cloudfront.net/Documentos/631/00676626173/6310067662617308092023161001.pdf")</f>
        <v>https://dpmzos25m8ivg.cloudfront.net/Documentos/631/00676626173/6310067662617308092023161001.pdf</v>
      </c>
      <c r="H176" s="4" t="s">
        <v>8763</v>
      </c>
    </row>
    <row r="177" spans="1:8" x14ac:dyDescent="0.25">
      <c r="A177" s="2" t="s">
        <v>188</v>
      </c>
      <c r="B177" s="3"/>
      <c r="C177" s="3"/>
      <c r="D177" s="3"/>
      <c r="E177" s="4" t="str">
        <f>HYPERLINK("https://dpmzos25m8ivg.cloudfront.net/Documentos/631/00680686703/6310068068670310092023135809.pdf","https://dpmzos25m8ivg.cloudfront.net/Documentos/631/00680686703/6310068068670310092023135809.pdf")</f>
        <v>https://dpmzos25m8ivg.cloudfront.net/Documentos/631/00680686703/6310068068670310092023135809.pdf</v>
      </c>
      <c r="F177" s="5" t="str">
        <f>HYPERLINK("https://dpmzos25m8ivg.cloudfront.net/Documentos/631/00680686703/6310068068670310092023135838.pdf","https://dpmzos25m8ivg.cloudfront.net/Documentos/631/00680686703/6310068068670310092023135838.pdf")</f>
        <v>https://dpmzos25m8ivg.cloudfront.net/Documentos/631/00680686703/6310068068670310092023135838.pdf</v>
      </c>
      <c r="G177" s="5" t="str">
        <f>HYPERLINK("https://dpmzos25m8ivg.cloudfront.net/Documentos/631/00680686703/6310068068670310092023135917.pdf","https://dpmzos25m8ivg.cloudfront.net/Documentos/631/00680686703/6310068068670310092023135917.pdf")</f>
        <v>https://dpmzos25m8ivg.cloudfront.net/Documentos/631/00680686703/6310068068670310092023135917.pdf</v>
      </c>
      <c r="H177" s="4" t="s">
        <v>8764</v>
      </c>
    </row>
    <row r="178" spans="1:8" x14ac:dyDescent="0.25">
      <c r="A178" s="2" t="s">
        <v>189</v>
      </c>
      <c r="B178" s="3"/>
      <c r="C178" s="3"/>
      <c r="D178" s="3"/>
      <c r="E178" s="4" t="str">
        <f>HYPERLINK("https://dpmzos25m8ivg.cloudfront.net/Documentos/631/00689486030/6310068948603011092023092612.jpg","https://dpmzos25m8ivg.cloudfront.net/Documentos/631/00689486030/6310068948603011092023092612.jpg")</f>
        <v>https://dpmzos25m8ivg.cloudfront.net/Documentos/631/00689486030/6310068948603011092023092612.jpg</v>
      </c>
      <c r="F178" s="5" t="str">
        <f>HYPERLINK("https://dpmzos25m8ivg.cloudfront.net/Documentos/631/00689486030/6310068948603011092023092621.jpg","https://dpmzos25m8ivg.cloudfront.net/Documentos/631/00689486030/6310068948603011092023092621.jpg")</f>
        <v>https://dpmzos25m8ivg.cloudfront.net/Documentos/631/00689486030/6310068948603011092023092621.jpg</v>
      </c>
      <c r="G178" s="5" t="str">
        <f>HYPERLINK("https://dpmzos25m8ivg.cloudfront.net/Documentos/631/00689486030/6310068948603011092023092631.jpg","https://dpmzos25m8ivg.cloudfront.net/Documentos/631/00689486030/6310068948603011092023092631.jpg")</f>
        <v>https://dpmzos25m8ivg.cloudfront.net/Documentos/631/00689486030/6310068948603011092023092631.jpg</v>
      </c>
      <c r="H178" s="4" t="s">
        <v>8765</v>
      </c>
    </row>
    <row r="179" spans="1:8" x14ac:dyDescent="0.25">
      <c r="A179" s="2" t="s">
        <v>190</v>
      </c>
      <c r="B179" s="3"/>
      <c r="C179" s="3"/>
      <c r="D179" s="3"/>
      <c r="E179" s="4" t="str">
        <f>HYPERLINK("https://dpmzos25m8ivg.cloudfront.net/Documentos/631/00689546114/6310068954611414092023144629.jpg","https://dpmzos25m8ivg.cloudfront.net/Documentos/631/00689546114/6310068954611414092023144629.jpg")</f>
        <v>https://dpmzos25m8ivg.cloudfront.net/Documentos/631/00689546114/6310068954611414092023144629.jpg</v>
      </c>
      <c r="F179" s="5" t="str">
        <f>HYPERLINK("https://dpmzos25m8ivg.cloudfront.net/Documentos/631/00689546114/6310068954611414092023144713.jpg","https://dpmzos25m8ivg.cloudfront.net/Documentos/631/00689546114/6310068954611414092023144713.jpg")</f>
        <v>https://dpmzos25m8ivg.cloudfront.net/Documentos/631/00689546114/6310068954611414092023144713.jpg</v>
      </c>
      <c r="G179" s="5" t="str">
        <f>HYPERLINK("https://dpmzos25m8ivg.cloudfront.net/Documentos/631/00689546114/6310068954611414092023144739.jpg","https://dpmzos25m8ivg.cloudfront.net/Documentos/631/00689546114/6310068954611414092023144739.jpg")</f>
        <v>https://dpmzos25m8ivg.cloudfront.net/Documentos/631/00689546114/6310068954611414092023144739.jpg</v>
      </c>
      <c r="H179" s="4" t="s">
        <v>8766</v>
      </c>
    </row>
    <row r="180" spans="1:8" x14ac:dyDescent="0.25">
      <c r="A180" s="2" t="s">
        <v>191</v>
      </c>
      <c r="B180" s="3"/>
      <c r="C180" s="3"/>
      <c r="D180" s="3"/>
      <c r="E180" s="4" t="str">
        <f>HYPERLINK("https://dpmzos25m8ivg.cloudfront.net/Documentos/631/00691195110/6310069119511006092023145740.pdf","https://dpmzos25m8ivg.cloudfront.net/Documentos/631/00691195110/6310069119511006092023145740.pdf")</f>
        <v>https://dpmzos25m8ivg.cloudfront.net/Documentos/631/00691195110/6310069119511006092023145740.pdf</v>
      </c>
      <c r="F180" s="5" t="str">
        <f>HYPERLINK("https://dpmzos25m8ivg.cloudfront.net/Documentos/631/00691195110/6310069119511006092023145748.pdf","https://dpmzos25m8ivg.cloudfront.net/Documentos/631/00691195110/6310069119511006092023145748.pdf")</f>
        <v>https://dpmzos25m8ivg.cloudfront.net/Documentos/631/00691195110/6310069119511006092023145748.pdf</v>
      </c>
      <c r="G180" s="5" t="str">
        <f>HYPERLINK("https://dpmzos25m8ivg.cloudfront.net/Documentos/631/00691195110/6310069119511006092023145756.pdf","https://dpmzos25m8ivg.cloudfront.net/Documentos/631/00691195110/6310069119511006092023145756.pdf")</f>
        <v>https://dpmzos25m8ivg.cloudfront.net/Documentos/631/00691195110/6310069119511006092023145756.pdf</v>
      </c>
      <c r="H180" s="4" t="s">
        <v>8767</v>
      </c>
    </row>
    <row r="181" spans="1:8" x14ac:dyDescent="0.25">
      <c r="A181" s="2" t="s">
        <v>192</v>
      </c>
      <c r="B181" s="3" t="s">
        <v>8</v>
      </c>
      <c r="C181" s="3"/>
      <c r="D181" s="3"/>
      <c r="E181" s="4" t="str">
        <f>HYPERLINK("https://dpmzos25m8ivg.cloudfront.net/Documentos/631/00692645977/6310069264597708092023122201.pdf","https://dpmzos25m8ivg.cloudfront.net/Documentos/631/00692645977/6310069264597708092023122201.pdf")</f>
        <v>https://dpmzos25m8ivg.cloudfront.net/Documentos/631/00692645977/6310069264597708092023122201.pdf</v>
      </c>
      <c r="F181" s="5" t="str">
        <f>HYPERLINK("https://dpmzos25m8ivg.cloudfront.net/Documentos/631/00692645977/6310069264597708092023121945.pdf","https://dpmzos25m8ivg.cloudfront.net/Documentos/631/00692645977/6310069264597708092023121945.pdf")</f>
        <v>https://dpmzos25m8ivg.cloudfront.net/Documentos/631/00692645977/6310069264597708092023121945.pdf</v>
      </c>
      <c r="G181" s="5" t="str">
        <f>HYPERLINK("https://dpmzos25m8ivg.cloudfront.net/Documentos/631/00692645977/6310069264597708092023122007.pdf","https://dpmzos25m8ivg.cloudfront.net/Documentos/631/00692645977/6310069264597708092023122007.pdf")</f>
        <v>https://dpmzos25m8ivg.cloudfront.net/Documentos/631/00692645977/6310069264597708092023122007.pdf</v>
      </c>
      <c r="H181" s="4" t="s">
        <v>8768</v>
      </c>
    </row>
    <row r="182" spans="1:8" x14ac:dyDescent="0.25">
      <c r="A182" s="2" t="s">
        <v>193</v>
      </c>
      <c r="B182" s="3"/>
      <c r="C182" s="3"/>
      <c r="D182" s="3"/>
      <c r="E182" s="4" t="str">
        <f>HYPERLINK("https://dpmzos25m8ivg.cloudfront.net/Documentos/631/00693457244/6310069345724408092023113832.jpg","https://dpmzos25m8ivg.cloudfront.net/Documentos/631/00693457244/6310069345724408092023113832.jpg")</f>
        <v>https://dpmzos25m8ivg.cloudfront.net/Documentos/631/00693457244/6310069345724408092023113832.jpg</v>
      </c>
      <c r="F182" s="5" t="str">
        <f>HYPERLINK("https://dpmzos25m8ivg.cloudfront.net/Documentos/631/00693457244/6310069345724408092023113847.jpg","https://dpmzos25m8ivg.cloudfront.net/Documentos/631/00693457244/6310069345724408092023113847.jpg")</f>
        <v>https://dpmzos25m8ivg.cloudfront.net/Documentos/631/00693457244/6310069345724408092023113847.jpg</v>
      </c>
      <c r="G182" s="5" t="str">
        <f>HYPERLINK("https://dpmzos25m8ivg.cloudfront.net/Documentos/631/00693457244/6310069345724408092023113906.jpg","https://dpmzos25m8ivg.cloudfront.net/Documentos/631/00693457244/6310069345724408092023113906.jpg")</f>
        <v>https://dpmzos25m8ivg.cloudfront.net/Documentos/631/00693457244/6310069345724408092023113906.jpg</v>
      </c>
      <c r="H182" s="4" t="s">
        <v>8769</v>
      </c>
    </row>
    <row r="183" spans="1:8" x14ac:dyDescent="0.25">
      <c r="A183" s="2" t="s">
        <v>194</v>
      </c>
      <c r="B183" s="3"/>
      <c r="C183" s="3"/>
      <c r="D183" s="3"/>
      <c r="E183" s="4" t="str">
        <f>HYPERLINK("https://dpmzos25m8ivg.cloudfront.net/Documentos/631/00693562382/6310069356238208092023181846.pdf","https://dpmzos25m8ivg.cloudfront.net/Documentos/631/00693562382/6310069356238208092023181846.pdf")</f>
        <v>https://dpmzos25m8ivg.cloudfront.net/Documentos/631/00693562382/6310069356238208092023181846.pdf</v>
      </c>
      <c r="F183" s="5" t="str">
        <f>HYPERLINK("https://dpmzos25m8ivg.cloudfront.net/Documentos/631/00693562382/6310069356238208092023181904.pdf","https://dpmzos25m8ivg.cloudfront.net/Documentos/631/00693562382/6310069356238208092023181904.pdf")</f>
        <v>https://dpmzos25m8ivg.cloudfront.net/Documentos/631/00693562382/6310069356238208092023181904.pdf</v>
      </c>
      <c r="G183" s="5" t="str">
        <f>HYPERLINK("https://dpmzos25m8ivg.cloudfront.net/Documentos/631/00693562382/6310069356238208092023181925.pdf","https://dpmzos25m8ivg.cloudfront.net/Documentos/631/00693562382/6310069356238208092023181925.pdf")</f>
        <v>https://dpmzos25m8ivg.cloudfront.net/Documentos/631/00693562382/6310069356238208092023181925.pdf</v>
      </c>
      <c r="H183" s="4" t="s">
        <v>8770</v>
      </c>
    </row>
    <row r="184" spans="1:8" x14ac:dyDescent="0.25">
      <c r="A184" s="2" t="s">
        <v>195</v>
      </c>
      <c r="B184" s="3"/>
      <c r="C184" s="3"/>
      <c r="D184" s="3"/>
      <c r="E184" s="4" t="str">
        <f>HYPERLINK("https://dpmzos25m8ivg.cloudfront.net/Documentos/631/00704182173/6310070418217309092023090946.pdf","https://dpmzos25m8ivg.cloudfront.net/Documentos/631/00704182173/6310070418217309092023090946.pdf")</f>
        <v>https://dpmzos25m8ivg.cloudfront.net/Documentos/631/00704182173/6310070418217309092023090946.pdf</v>
      </c>
      <c r="F184" s="5" t="str">
        <f>HYPERLINK("https://dpmzos25m8ivg.cloudfront.net/Documentos/631/00704182173/6310070418217309092023090957.pdf","https://dpmzos25m8ivg.cloudfront.net/Documentos/631/00704182173/6310070418217309092023090957.pdf")</f>
        <v>https://dpmzos25m8ivg.cloudfront.net/Documentos/631/00704182173/6310070418217309092023090957.pdf</v>
      </c>
      <c r="G184" s="5" t="str">
        <f>HYPERLINK("https://dpmzos25m8ivg.cloudfront.net/Documentos/631/00704182173/6310070418217309092023091021.pdf","https://dpmzos25m8ivg.cloudfront.net/Documentos/631/00704182173/6310070418217309092023091021.pdf")</f>
        <v>https://dpmzos25m8ivg.cloudfront.net/Documentos/631/00704182173/6310070418217309092023091021.pdf</v>
      </c>
      <c r="H184" s="4" t="s">
        <v>8771</v>
      </c>
    </row>
    <row r="185" spans="1:8" x14ac:dyDescent="0.25">
      <c r="A185" s="2" t="s">
        <v>196</v>
      </c>
      <c r="B185" s="3" t="s">
        <v>197</v>
      </c>
      <c r="C185" s="3"/>
      <c r="D185" s="3"/>
      <c r="E185" s="4" t="str">
        <f>HYPERLINK("https://dpmzos25m8ivg.cloudfront.net/Documentos/631/00706097130/6310070609713010092023214343.pdf","https://dpmzos25m8ivg.cloudfront.net/Documentos/631/00706097130/6310070609713010092023214343.pdf")</f>
        <v>https://dpmzos25m8ivg.cloudfront.net/Documentos/631/00706097130/6310070609713010092023214343.pdf</v>
      </c>
      <c r="F185" s="5" t="str">
        <f>HYPERLINK("https://dpmzos25m8ivg.cloudfront.net/Documentos/631/00706097130/6310070609713010092023214359.pdf","https://dpmzos25m8ivg.cloudfront.net/Documentos/631/00706097130/6310070609713010092023214359.pdf")</f>
        <v>https://dpmzos25m8ivg.cloudfront.net/Documentos/631/00706097130/6310070609713010092023214359.pdf</v>
      </c>
      <c r="G185" s="5" t="str">
        <f>HYPERLINK("https://dpmzos25m8ivg.cloudfront.net/Documentos/631/00706097130/6310070609713010092023214414.pdf","https://dpmzos25m8ivg.cloudfront.net/Documentos/631/00706097130/6310070609713010092023214414.pdf")</f>
        <v>https://dpmzos25m8ivg.cloudfront.net/Documentos/631/00706097130/6310070609713010092023214414.pdf</v>
      </c>
      <c r="H185" s="4" t="s">
        <v>8772</v>
      </c>
    </row>
    <row r="186" spans="1:8" x14ac:dyDescent="0.25">
      <c r="A186" s="2" t="s">
        <v>198</v>
      </c>
      <c r="B186" s="3" t="s">
        <v>8</v>
      </c>
      <c r="C186" s="3"/>
      <c r="D186" s="3"/>
      <c r="E186" s="4" t="str">
        <f>HYPERLINK("https://dpmzos25m8ivg.cloudfront.net/Documentos/631/00707017920/6310070701792010092023161036.pdf","https://dpmzos25m8ivg.cloudfront.net/Documentos/631/00707017920/6310070701792010092023161036.pdf")</f>
        <v>https://dpmzos25m8ivg.cloudfront.net/Documentos/631/00707017920/6310070701792010092023161036.pdf</v>
      </c>
      <c r="F186" s="5" t="str">
        <f>HYPERLINK("https://dpmzos25m8ivg.cloudfront.net/Documentos/631/00707017920/6310070701792010092023161055.pdf","https://dpmzos25m8ivg.cloudfront.net/Documentos/631/00707017920/6310070701792010092023161055.pdf")</f>
        <v>https://dpmzos25m8ivg.cloudfront.net/Documentos/631/00707017920/6310070701792010092023161055.pdf</v>
      </c>
      <c r="G186" s="5" t="str">
        <f>HYPERLINK("https://dpmzos25m8ivg.cloudfront.net/Documentos/631/00707017920/6310070701792010092023161128.pdf","https://dpmzos25m8ivg.cloudfront.net/Documentos/631/00707017920/6310070701792010092023161128.pdf")</f>
        <v>https://dpmzos25m8ivg.cloudfront.net/Documentos/631/00707017920/6310070701792010092023161128.pdf</v>
      </c>
      <c r="H186" s="4" t="s">
        <v>8773</v>
      </c>
    </row>
    <row r="187" spans="1:8" x14ac:dyDescent="0.25">
      <c r="A187" s="2" t="s">
        <v>199</v>
      </c>
      <c r="B187" s="3"/>
      <c r="C187" s="3"/>
      <c r="D187" s="3"/>
      <c r="E187" s="4" t="str">
        <f>HYPERLINK("https://dpmzos25m8ivg.cloudfront.net/Documentos/631/00707386292/6310070738629211092023151141.pdf","https://dpmzos25m8ivg.cloudfront.net/Documentos/631/00707386292/6310070738629211092023151141.pdf")</f>
        <v>https://dpmzos25m8ivg.cloudfront.net/Documentos/631/00707386292/6310070738629211092023151141.pdf</v>
      </c>
      <c r="F187" s="5" t="str">
        <f>HYPERLINK("https://dpmzos25m8ivg.cloudfront.net/Documentos/631/00707386292/6310070738629211092023151100.pdf","https://dpmzos25m8ivg.cloudfront.net/Documentos/631/00707386292/6310070738629211092023151100.pdf")</f>
        <v>https://dpmzos25m8ivg.cloudfront.net/Documentos/631/00707386292/6310070738629211092023151100.pdf</v>
      </c>
      <c r="G187" s="5" t="str">
        <f>HYPERLINK("https://dpmzos25m8ivg.cloudfront.net/Documentos/631/00707386292/6310070738629211092023145647.pdf","https://dpmzos25m8ivg.cloudfront.net/Documentos/631/00707386292/6310070738629211092023145647.pdf")</f>
        <v>https://dpmzos25m8ivg.cloudfront.net/Documentos/631/00707386292/6310070738629211092023145647.pdf</v>
      </c>
      <c r="H187" s="4" t="s">
        <v>8774</v>
      </c>
    </row>
    <row r="188" spans="1:8" x14ac:dyDescent="0.25">
      <c r="A188" s="2" t="s">
        <v>200</v>
      </c>
      <c r="B188" s="3"/>
      <c r="C188" s="3"/>
      <c r="D188" s="3"/>
      <c r="E188" s="4" t="str">
        <f>HYPERLINK("https://dpmzos25m8ivg.cloudfront.net/Documentos/631/00717615510/6310071761551005092023221643.pdf","https://dpmzos25m8ivg.cloudfront.net/Documentos/631/00717615510/6310071761551005092023221643.pdf")</f>
        <v>https://dpmzos25m8ivg.cloudfront.net/Documentos/631/00717615510/6310071761551005092023221643.pdf</v>
      </c>
      <c r="F188" s="5" t="str">
        <f>HYPERLINK("https://dpmzos25m8ivg.cloudfront.net/Documentos/631/00717615510/6310071761551005092023221702.pdf","https://dpmzos25m8ivg.cloudfront.net/Documentos/631/00717615510/6310071761551005092023221702.pdf")</f>
        <v>https://dpmzos25m8ivg.cloudfront.net/Documentos/631/00717615510/6310071761551005092023221702.pdf</v>
      </c>
      <c r="G188" s="5" t="str">
        <f>HYPERLINK("https://dpmzos25m8ivg.cloudfront.net/Documentos/631/00717615510/6310071761551005092023221714.pdf","https://dpmzos25m8ivg.cloudfront.net/Documentos/631/00717615510/6310071761551005092023221714.pdf")</f>
        <v>https://dpmzos25m8ivg.cloudfront.net/Documentos/631/00717615510/6310071761551005092023221714.pdf</v>
      </c>
      <c r="H188" s="4" t="s">
        <v>8775</v>
      </c>
    </row>
    <row r="189" spans="1:8" x14ac:dyDescent="0.25">
      <c r="A189" s="2" t="s">
        <v>201</v>
      </c>
      <c r="B189" s="3"/>
      <c r="C189" s="3"/>
      <c r="D189" s="3"/>
      <c r="E189" s="4" t="str">
        <f>HYPERLINK("https://dpmzos25m8ivg.cloudfront.net/Documentos/631/00718264320/6310071826432011092023071342.jpg","https://dpmzos25m8ivg.cloudfront.net/Documentos/631/00718264320/6310071826432011092023071342.jpg")</f>
        <v>https://dpmzos25m8ivg.cloudfront.net/Documentos/631/00718264320/6310071826432011092023071342.jpg</v>
      </c>
      <c r="F189" s="5" t="str">
        <f>HYPERLINK("https://dpmzos25m8ivg.cloudfront.net/Documentos/631/00718264320/6310071826432011092023071426.jpg","https://dpmzos25m8ivg.cloudfront.net/Documentos/631/00718264320/6310071826432011092023071426.jpg")</f>
        <v>https://dpmzos25m8ivg.cloudfront.net/Documentos/631/00718264320/6310071826432011092023071426.jpg</v>
      </c>
      <c r="G189" s="5" t="str">
        <f>HYPERLINK("https://dpmzos25m8ivg.cloudfront.net/Documentos/631/00718264320/6310071826432011092023071455.jpg","https://dpmzos25m8ivg.cloudfront.net/Documentos/631/00718264320/6310071826432011092023071455.jpg")</f>
        <v>https://dpmzos25m8ivg.cloudfront.net/Documentos/631/00718264320/6310071826432011092023071455.jpg</v>
      </c>
      <c r="H189" s="4" t="s">
        <v>8776</v>
      </c>
    </row>
    <row r="190" spans="1:8" x14ac:dyDescent="0.25">
      <c r="A190" s="2" t="s">
        <v>202</v>
      </c>
      <c r="B190" s="3"/>
      <c r="C190" s="3"/>
      <c r="D190" s="3"/>
      <c r="E190" s="4" t="str">
        <f>HYPERLINK("https://dpmzos25m8ivg.cloudfront.net/Documentos/631/00723854130/6310072385413011092023142303.pdf","https://dpmzos25m8ivg.cloudfront.net/Documentos/631/00723854130/6310072385413011092023142303.pdf")</f>
        <v>https://dpmzos25m8ivg.cloudfront.net/Documentos/631/00723854130/6310072385413011092023142303.pdf</v>
      </c>
      <c r="F190" s="5" t="str">
        <f>HYPERLINK("https://dpmzos25m8ivg.cloudfront.net/Documentos/631/00723854130/6310072385413011092023142311.pdf","https://dpmzos25m8ivg.cloudfront.net/Documentos/631/00723854130/6310072385413011092023142311.pdf")</f>
        <v>https://dpmzos25m8ivg.cloudfront.net/Documentos/631/00723854130/6310072385413011092023142311.pdf</v>
      </c>
      <c r="G190" s="5" t="str">
        <f>HYPERLINK("https://dpmzos25m8ivg.cloudfront.net/Documentos/631/00723854130/6310072385413011092023142317.pdf","https://dpmzos25m8ivg.cloudfront.net/Documentos/631/00723854130/6310072385413011092023142317.pdf")</f>
        <v>https://dpmzos25m8ivg.cloudfront.net/Documentos/631/00723854130/6310072385413011092023142317.pdf</v>
      </c>
      <c r="H190" s="4" t="s">
        <v>8777</v>
      </c>
    </row>
    <row r="191" spans="1:8" x14ac:dyDescent="0.25">
      <c r="A191" s="2" t="s">
        <v>203</v>
      </c>
      <c r="B191" s="3" t="s">
        <v>42</v>
      </c>
      <c r="C191" s="3"/>
      <c r="D191" s="3"/>
      <c r="E191" s="4" t="str">
        <f>HYPERLINK("https://dpmzos25m8ivg.cloudfront.net/Documentos/631/00728124009/6310072812400911092023165238.pdf","https://dpmzos25m8ivg.cloudfront.net/Documentos/631/00728124009/6310072812400911092023165238.pdf")</f>
        <v>https://dpmzos25m8ivg.cloudfront.net/Documentos/631/00728124009/6310072812400911092023165238.pdf</v>
      </c>
      <c r="F191" s="5" t="str">
        <f>HYPERLINK("https://dpmzos25m8ivg.cloudfront.net/Documentos/631/00728124009/6310072812400911092023165223.pdf","https://dpmzos25m8ivg.cloudfront.net/Documentos/631/00728124009/6310072812400911092023165223.pdf")</f>
        <v>https://dpmzos25m8ivg.cloudfront.net/Documentos/631/00728124009/6310072812400911092023165223.pdf</v>
      </c>
      <c r="G191" s="5" t="str">
        <f>HYPERLINK("https://dpmzos25m8ivg.cloudfront.net/Documentos/631/00728124009/6310072812400911092023165209.pdf","https://dpmzos25m8ivg.cloudfront.net/Documentos/631/00728124009/6310072812400911092023165209.pdf")</f>
        <v>https://dpmzos25m8ivg.cloudfront.net/Documentos/631/00728124009/6310072812400911092023165209.pdf</v>
      </c>
      <c r="H191" s="4" t="s">
        <v>8778</v>
      </c>
    </row>
    <row r="192" spans="1:8" x14ac:dyDescent="0.25">
      <c r="A192" s="2" t="s">
        <v>204</v>
      </c>
      <c r="B192" s="3"/>
      <c r="C192" s="3"/>
      <c r="D192" s="3"/>
      <c r="E192" s="4" t="str">
        <f>HYPERLINK("https://dpmzos25m8ivg.cloudfront.net/Documentos/631/00730037940/6310073003794006092023113456.pdf","https://dpmzos25m8ivg.cloudfront.net/Documentos/631/00730037940/6310073003794006092023113456.pdf")</f>
        <v>https://dpmzos25m8ivg.cloudfront.net/Documentos/631/00730037940/6310073003794006092023113456.pdf</v>
      </c>
      <c r="F192" s="5" t="str">
        <f>HYPERLINK("https://dpmzos25m8ivg.cloudfront.net/Documentos/631/00730037940/6310073003794006092023113539.pdf","https://dpmzos25m8ivg.cloudfront.net/Documentos/631/00730037940/6310073003794006092023113539.pdf")</f>
        <v>https://dpmzos25m8ivg.cloudfront.net/Documentos/631/00730037940/6310073003794006092023113539.pdf</v>
      </c>
      <c r="G192" s="5" t="str">
        <f>HYPERLINK("https://dpmzos25m8ivg.cloudfront.net/Documentos/631/00730037940/6310073003794006092023113614.pdf","https://dpmzos25m8ivg.cloudfront.net/Documentos/631/00730037940/6310073003794006092023113614.pdf")</f>
        <v>https://dpmzos25m8ivg.cloudfront.net/Documentos/631/00730037940/6310073003794006092023113614.pdf</v>
      </c>
      <c r="H192" s="4" t="s">
        <v>8779</v>
      </c>
    </row>
    <row r="193" spans="1:8" x14ac:dyDescent="0.25">
      <c r="A193" s="2" t="s">
        <v>205</v>
      </c>
      <c r="B193" s="6" t="s">
        <v>8</v>
      </c>
      <c r="C193" s="3"/>
      <c r="D193" s="3"/>
      <c r="E193" s="4" t="str">
        <f>HYPERLINK("https://dpmzos25m8ivg.cloudfront.net/Documentos/631/00730379230/6310073037923011092023085812.pdf","https://dpmzos25m8ivg.cloudfront.net/Documentos/631/00730379230/6310073037923011092023085812.pdf")</f>
        <v>https://dpmzos25m8ivg.cloudfront.net/Documentos/631/00730379230/6310073037923011092023085812.pdf</v>
      </c>
      <c r="F193" s="5" t="str">
        <f>HYPERLINK("https://dpmzos25m8ivg.cloudfront.net/Documentos/631/00730379230/6310073037923011092023085821.pdf","https://dpmzos25m8ivg.cloudfront.net/Documentos/631/00730379230/6310073037923011092023085821.pdf")</f>
        <v>https://dpmzos25m8ivg.cloudfront.net/Documentos/631/00730379230/6310073037923011092023085821.pdf</v>
      </c>
      <c r="G193" s="5" t="str">
        <f>HYPERLINK("https://dpmzos25m8ivg.cloudfront.net/Documentos/631/00730379230/6310073037923011092023085828.pdf","https://dpmzos25m8ivg.cloudfront.net/Documentos/631/00730379230/6310073037923011092023085828.pdf")</f>
        <v>https://dpmzos25m8ivg.cloudfront.net/Documentos/631/00730379230/6310073037923011092023085828.pdf</v>
      </c>
      <c r="H193" s="4" t="s">
        <v>8780</v>
      </c>
    </row>
    <row r="194" spans="1:8" x14ac:dyDescent="0.25">
      <c r="A194" s="2" t="s">
        <v>206</v>
      </c>
      <c r="B194" s="6" t="s">
        <v>8</v>
      </c>
      <c r="C194" s="3"/>
      <c r="D194" s="3"/>
      <c r="E194" s="4" t="str">
        <f>HYPERLINK("https://dpmzos25m8ivg.cloudfront.net/Documentos/631/00733572197/6310073357219705092023135943.pdf","https://dpmzos25m8ivg.cloudfront.net/Documentos/631/00733572197/6310073357219705092023135943.pdf")</f>
        <v>https://dpmzos25m8ivg.cloudfront.net/Documentos/631/00733572197/6310073357219705092023135943.pdf</v>
      </c>
      <c r="F194" s="5" t="str">
        <f>HYPERLINK("https://dpmzos25m8ivg.cloudfront.net/Documentos/631/00733572197/6310073357219705092023140002.pdf","https://dpmzos25m8ivg.cloudfront.net/Documentos/631/00733572197/6310073357219705092023140002.pdf")</f>
        <v>https://dpmzos25m8ivg.cloudfront.net/Documentos/631/00733572197/6310073357219705092023140002.pdf</v>
      </c>
      <c r="G194" s="5" t="str">
        <f>HYPERLINK("https://dpmzos25m8ivg.cloudfront.net/Documentos/631/00733572197/6310073357219705092023140017.pdf","https://dpmzos25m8ivg.cloudfront.net/Documentos/631/00733572197/6310073357219705092023140017.pdf")</f>
        <v>https://dpmzos25m8ivg.cloudfront.net/Documentos/631/00733572197/6310073357219705092023140017.pdf</v>
      </c>
      <c r="H194" s="4" t="s">
        <v>8781</v>
      </c>
    </row>
    <row r="195" spans="1:8" x14ac:dyDescent="0.25">
      <c r="A195" s="2" t="s">
        <v>207</v>
      </c>
      <c r="B195" s="3"/>
      <c r="C195" s="3"/>
      <c r="D195" s="3"/>
      <c r="E195" s="4" t="str">
        <f>HYPERLINK("https://dpmzos25m8ivg.cloudfront.net/Documentos/631/00734899564/6310073489956411092023152031.pdf","https://dpmzos25m8ivg.cloudfront.net/Documentos/631/00734899564/6310073489956411092023152031.pdf")</f>
        <v>https://dpmzos25m8ivg.cloudfront.net/Documentos/631/00734899564/6310073489956411092023152031.pdf</v>
      </c>
      <c r="F195" s="5" t="str">
        <f>HYPERLINK("https://dpmzos25m8ivg.cloudfront.net/Documentos/631/00734899564/6310073489956411092023152047.pdf","https://dpmzos25m8ivg.cloudfront.net/Documentos/631/00734899564/6310073489956411092023152047.pdf")</f>
        <v>https://dpmzos25m8ivg.cloudfront.net/Documentos/631/00734899564/6310073489956411092023152047.pdf</v>
      </c>
      <c r="G195" s="5" t="str">
        <f>HYPERLINK("https://dpmzos25m8ivg.cloudfront.net/Documentos/631/00734899564/6310073489956411092023152124.pdf","https://dpmzos25m8ivg.cloudfront.net/Documentos/631/00734899564/6310073489956411092023152124.pdf")</f>
        <v>https://dpmzos25m8ivg.cloudfront.net/Documentos/631/00734899564/6310073489956411092023152124.pdf</v>
      </c>
      <c r="H195" s="4" t="s">
        <v>8782</v>
      </c>
    </row>
    <row r="196" spans="1:8" x14ac:dyDescent="0.25">
      <c r="A196" s="2" t="s">
        <v>208</v>
      </c>
      <c r="B196" s="3"/>
      <c r="C196" s="3"/>
      <c r="D196" s="3"/>
      <c r="E196" s="4" t="str">
        <f>HYPERLINK("https://dpmzos25m8ivg.cloudfront.net/Documentos/631/00739201182/6310073920118210092023212823.pdf","https://dpmzos25m8ivg.cloudfront.net/Documentos/631/00739201182/6310073920118210092023212823.pdf")</f>
        <v>https://dpmzos25m8ivg.cloudfront.net/Documentos/631/00739201182/6310073920118210092023212823.pdf</v>
      </c>
      <c r="F196" s="5" t="str">
        <f>HYPERLINK("https://dpmzos25m8ivg.cloudfront.net/Documentos/631/00739201182/6310073920118210092023212836.pdf","https://dpmzos25m8ivg.cloudfront.net/Documentos/631/00739201182/6310073920118210092023212836.pdf")</f>
        <v>https://dpmzos25m8ivg.cloudfront.net/Documentos/631/00739201182/6310073920118210092023212836.pdf</v>
      </c>
      <c r="G196" s="5" t="str">
        <f>HYPERLINK("https://dpmzos25m8ivg.cloudfront.net/Documentos/631/00739201182/6310073920118210092023212844.pdf","https://dpmzos25m8ivg.cloudfront.net/Documentos/631/00739201182/6310073920118210092023212844.pdf")</f>
        <v>https://dpmzos25m8ivg.cloudfront.net/Documentos/631/00739201182/6310073920118210092023212844.pdf</v>
      </c>
      <c r="H196" s="4" t="s">
        <v>8783</v>
      </c>
    </row>
    <row r="197" spans="1:8" x14ac:dyDescent="0.25">
      <c r="A197" s="2" t="s">
        <v>209</v>
      </c>
      <c r="B197" s="3" t="s">
        <v>8</v>
      </c>
      <c r="C197" s="3"/>
      <c r="D197" s="3"/>
      <c r="E197" s="4" t="str">
        <f>HYPERLINK("https://dpmzos25m8ivg.cloudfront.net/Documentos/631/00741315327/6310074131532711092023094824.jpg","https://dpmzos25m8ivg.cloudfront.net/Documentos/631/00741315327/6310074131532711092023094824.jpg")</f>
        <v>https://dpmzos25m8ivg.cloudfront.net/Documentos/631/00741315327/6310074131532711092023094824.jpg</v>
      </c>
      <c r="F197" s="5" t="str">
        <f>HYPERLINK("https://dpmzos25m8ivg.cloudfront.net/Documentos/631/00741315327/6310074131532711092023094843.jpg","https://dpmzos25m8ivg.cloudfront.net/Documentos/631/00741315327/6310074131532711092023094843.jpg")</f>
        <v>https://dpmzos25m8ivg.cloudfront.net/Documentos/631/00741315327/6310074131532711092023094843.jpg</v>
      </c>
      <c r="G197" s="5" t="str">
        <f>HYPERLINK("https://dpmzos25m8ivg.cloudfront.net/Documentos/631/00741315327/6310074131532711092023094902.jpg","https://dpmzos25m8ivg.cloudfront.net/Documentos/631/00741315327/6310074131532711092023094902.jpg")</f>
        <v>https://dpmzos25m8ivg.cloudfront.net/Documentos/631/00741315327/6310074131532711092023094902.jpg</v>
      </c>
      <c r="H197" s="4" t="s">
        <v>8784</v>
      </c>
    </row>
    <row r="198" spans="1:8" x14ac:dyDescent="0.25">
      <c r="A198" s="2" t="s">
        <v>210</v>
      </c>
      <c r="B198" s="3"/>
      <c r="C198" s="3"/>
      <c r="D198" s="3"/>
      <c r="E198" s="4" t="str">
        <f>HYPERLINK("https://dpmzos25m8ivg.cloudfront.net/Documentos/631/00741522110/6310074152211014092023123311.pdf","https://dpmzos25m8ivg.cloudfront.net/Documentos/631/00741522110/6310074152211014092023123311.pdf")</f>
        <v>https://dpmzos25m8ivg.cloudfront.net/Documentos/631/00741522110/6310074152211014092023123311.pdf</v>
      </c>
      <c r="F198" s="5" t="str">
        <f>HYPERLINK("https://dpmzos25m8ivg.cloudfront.net/Documentos/631/00741522110/6310074152211014092023123338.pdf","https://dpmzos25m8ivg.cloudfront.net/Documentos/631/00741522110/6310074152211014092023123338.pdf")</f>
        <v>https://dpmzos25m8ivg.cloudfront.net/Documentos/631/00741522110/6310074152211014092023123338.pdf</v>
      </c>
      <c r="G198" s="5" t="str">
        <f>HYPERLINK("https://dpmzos25m8ivg.cloudfront.net/Documentos/631/00741522110/6310074152211014092023123414.pdf","https://dpmzos25m8ivg.cloudfront.net/Documentos/631/00741522110/6310074152211014092023123414.pdf")</f>
        <v>https://dpmzos25m8ivg.cloudfront.net/Documentos/631/00741522110/6310074152211014092023123414.pdf</v>
      </c>
      <c r="H198" s="4" t="s">
        <v>8785</v>
      </c>
    </row>
    <row r="199" spans="1:8" x14ac:dyDescent="0.25">
      <c r="A199" s="2" t="s">
        <v>211</v>
      </c>
      <c r="B199" s="3" t="s">
        <v>90</v>
      </c>
      <c r="C199" s="3"/>
      <c r="D199" s="3"/>
      <c r="E199" s="4" t="str">
        <f>HYPERLINK("https://dpmzos25m8ivg.cloudfront.net/Documentos/631/00742620174/6310074262017411092023165240.jpeg","https://dpmzos25m8ivg.cloudfront.net/Documentos/631/00742620174/6310074262017411092023165240.jpeg")</f>
        <v>https://dpmzos25m8ivg.cloudfront.net/Documentos/631/00742620174/6310074262017411092023165240.jpeg</v>
      </c>
      <c r="F199" s="5" t="str">
        <f>HYPERLINK("https://dpmzos25m8ivg.cloudfront.net/Documentos/631/00742620174/6310074262017411092023165253.jpeg","https://dpmzos25m8ivg.cloudfront.net/Documentos/631/00742620174/6310074262017411092023165253.jpeg")</f>
        <v>https://dpmzos25m8ivg.cloudfront.net/Documentos/631/00742620174/6310074262017411092023165253.jpeg</v>
      </c>
      <c r="G199" s="5" t="str">
        <f>HYPERLINK("https://dpmzos25m8ivg.cloudfront.net/Documentos/631/00742620174/6310074262017411092023165302.jpeg","https://dpmzos25m8ivg.cloudfront.net/Documentos/631/00742620174/6310074262017411092023165302.jpeg")</f>
        <v>https://dpmzos25m8ivg.cloudfront.net/Documentos/631/00742620174/6310074262017411092023165302.jpeg</v>
      </c>
      <c r="H199" s="4" t="s">
        <v>8786</v>
      </c>
    </row>
    <row r="200" spans="1:8" x14ac:dyDescent="0.25">
      <c r="A200" s="2" t="s">
        <v>212</v>
      </c>
      <c r="B200" s="3"/>
      <c r="C200" s="3"/>
      <c r="D200" s="3"/>
      <c r="E200" s="4" t="str">
        <f>HYPERLINK("https://dpmzos25m8ivg.cloudfront.net/Documentos/631/00743821360/6310074382136006092023103724.pdf","https://dpmzos25m8ivg.cloudfront.net/Documentos/631/00743821360/6310074382136006092023103724.pdf")</f>
        <v>https://dpmzos25m8ivg.cloudfront.net/Documentos/631/00743821360/6310074382136006092023103724.pdf</v>
      </c>
      <c r="F200" s="5" t="str">
        <f>HYPERLINK("https://dpmzos25m8ivg.cloudfront.net/Documentos/631/00743821360/6310074382136006092023103741.pdf","https://dpmzos25m8ivg.cloudfront.net/Documentos/631/00743821360/6310074382136006092023103741.pdf")</f>
        <v>https://dpmzos25m8ivg.cloudfront.net/Documentos/631/00743821360/6310074382136006092023103741.pdf</v>
      </c>
      <c r="G200" s="5" t="str">
        <f>HYPERLINK("https://dpmzos25m8ivg.cloudfront.net/Documentos/631/00743821360/6310074382136006092023103759.pdf","https://dpmzos25m8ivg.cloudfront.net/Documentos/631/00743821360/6310074382136006092023103759.pdf")</f>
        <v>https://dpmzos25m8ivg.cloudfront.net/Documentos/631/00743821360/6310074382136006092023103759.pdf</v>
      </c>
      <c r="H200" s="4" t="s">
        <v>8787</v>
      </c>
    </row>
    <row r="201" spans="1:8" x14ac:dyDescent="0.25">
      <c r="A201" s="2" t="s">
        <v>213</v>
      </c>
      <c r="B201" s="3"/>
      <c r="C201" s="3"/>
      <c r="D201" s="3"/>
      <c r="E201" s="4" t="str">
        <f>HYPERLINK("https://dpmzos25m8ivg.cloudfront.net/Documentos/631/00746288018/6310074628801805092023163434.pdf","https://dpmzos25m8ivg.cloudfront.net/Documentos/631/00746288018/6310074628801805092023163434.pdf")</f>
        <v>https://dpmzos25m8ivg.cloudfront.net/Documentos/631/00746288018/6310074628801805092023163434.pdf</v>
      </c>
      <c r="F201" s="5" t="str">
        <f>HYPERLINK("https://dpmzos25m8ivg.cloudfront.net/Documentos/631/00746288018/6310074628801805092023163445.pdf","https://dpmzos25m8ivg.cloudfront.net/Documentos/631/00746288018/6310074628801805092023163445.pdf")</f>
        <v>https://dpmzos25m8ivg.cloudfront.net/Documentos/631/00746288018/6310074628801805092023163445.pdf</v>
      </c>
      <c r="G201" s="5" t="str">
        <f>HYPERLINK("https://dpmzos25m8ivg.cloudfront.net/Documentos/631/00746288018/6310074628801805092023163454.pdf","https://dpmzos25m8ivg.cloudfront.net/Documentos/631/00746288018/6310074628801805092023163454.pdf")</f>
        <v>https://dpmzos25m8ivg.cloudfront.net/Documentos/631/00746288018/6310074628801805092023163454.pdf</v>
      </c>
      <c r="H201" s="4" t="s">
        <v>8788</v>
      </c>
    </row>
    <row r="202" spans="1:8" x14ac:dyDescent="0.25">
      <c r="A202" s="2" t="s">
        <v>214</v>
      </c>
      <c r="B202" s="3"/>
      <c r="C202" s="3"/>
      <c r="D202" s="3"/>
      <c r="E202" s="4" t="str">
        <f>HYPERLINK("https://dpmzos25m8ivg.cloudfront.net/Documentos/631/00747618119/6310074761811911092023163244.jpeg","https://dpmzos25m8ivg.cloudfront.net/Documentos/631/00747618119/6310074761811911092023163244.jpeg")</f>
        <v>https://dpmzos25m8ivg.cloudfront.net/Documentos/631/00747618119/6310074761811911092023163244.jpeg</v>
      </c>
      <c r="F202" s="5" t="str">
        <f>HYPERLINK("https://dpmzos25m8ivg.cloudfront.net/Documentos/631/00747618119/6310074761811911092023163258.jpeg","https://dpmzos25m8ivg.cloudfront.net/Documentos/631/00747618119/6310074761811911092023163258.jpeg")</f>
        <v>https://dpmzos25m8ivg.cloudfront.net/Documentos/631/00747618119/6310074761811911092023163258.jpeg</v>
      </c>
      <c r="G202" s="5" t="str">
        <f>HYPERLINK("https://dpmzos25m8ivg.cloudfront.net/Documentos/631/00747618119/6310074761811911092023163313.jpeg","https://dpmzos25m8ivg.cloudfront.net/Documentos/631/00747618119/6310074761811911092023163313.jpeg")</f>
        <v>https://dpmzos25m8ivg.cloudfront.net/Documentos/631/00747618119/6310074761811911092023163313.jpeg</v>
      </c>
      <c r="H202" s="4" t="s">
        <v>8789</v>
      </c>
    </row>
    <row r="203" spans="1:8" x14ac:dyDescent="0.25">
      <c r="A203" s="2" t="s">
        <v>215</v>
      </c>
      <c r="B203" s="3"/>
      <c r="C203" s="3"/>
      <c r="D203" s="3"/>
      <c r="E203" s="4" t="str">
        <f>HYPERLINK("https://dpmzos25m8ivg.cloudfront.net/Documentos/631/00750489227/6310075048922705092023194336.pdf","https://dpmzos25m8ivg.cloudfront.net/Documentos/631/00750489227/6310075048922705092023194336.pdf")</f>
        <v>https://dpmzos25m8ivg.cloudfront.net/Documentos/631/00750489227/6310075048922705092023194336.pdf</v>
      </c>
      <c r="F203" s="5" t="str">
        <f>HYPERLINK("https://dpmzos25m8ivg.cloudfront.net/Documentos/631/00750489227/6310075048922705092023194355.pdf","https://dpmzos25m8ivg.cloudfront.net/Documentos/631/00750489227/6310075048922705092023194355.pdf")</f>
        <v>https://dpmzos25m8ivg.cloudfront.net/Documentos/631/00750489227/6310075048922705092023194355.pdf</v>
      </c>
      <c r="G203" s="5" t="str">
        <f>HYPERLINK("https://dpmzos25m8ivg.cloudfront.net/Documentos/631/00750489227/6310075048922705092023194413.pdf","https://dpmzos25m8ivg.cloudfront.net/Documentos/631/00750489227/6310075048922705092023194413.pdf")</f>
        <v>https://dpmzos25m8ivg.cloudfront.net/Documentos/631/00750489227/6310075048922705092023194413.pdf</v>
      </c>
      <c r="H203" s="4" t="s">
        <v>8790</v>
      </c>
    </row>
    <row r="204" spans="1:8" x14ac:dyDescent="0.25">
      <c r="A204" s="2" t="s">
        <v>216</v>
      </c>
      <c r="B204" s="3"/>
      <c r="C204" s="3"/>
      <c r="D204" s="3"/>
      <c r="E204" s="4" t="str">
        <f>HYPERLINK("https://dpmzos25m8ivg.cloudfront.net/Documentos/631/00751062219/6310075106221914092023155015.pdf","https://dpmzos25m8ivg.cloudfront.net/Documentos/631/00751062219/6310075106221914092023155015.pdf")</f>
        <v>https://dpmzos25m8ivg.cloudfront.net/Documentos/631/00751062219/6310075106221914092023155015.pdf</v>
      </c>
      <c r="F204" s="5" t="str">
        <f>HYPERLINK("https://dpmzos25m8ivg.cloudfront.net/Documentos/631/00751062219/6310075106221914092023155027.pdf","https://dpmzos25m8ivg.cloudfront.net/Documentos/631/00751062219/6310075106221914092023155027.pdf")</f>
        <v>https://dpmzos25m8ivg.cloudfront.net/Documentos/631/00751062219/6310075106221914092023155027.pdf</v>
      </c>
      <c r="G204" s="5" t="str">
        <f>HYPERLINK("https://dpmzos25m8ivg.cloudfront.net/Documentos/631/00751062219/6310075106221914092023155039.pdf","https://dpmzos25m8ivg.cloudfront.net/Documentos/631/00751062219/6310075106221914092023155039.pdf")</f>
        <v>https://dpmzos25m8ivg.cloudfront.net/Documentos/631/00751062219/6310075106221914092023155039.pdf</v>
      </c>
      <c r="H204" s="4" t="s">
        <v>8791</v>
      </c>
    </row>
    <row r="205" spans="1:8" x14ac:dyDescent="0.25">
      <c r="A205" s="2" t="s">
        <v>217</v>
      </c>
      <c r="B205" s="3"/>
      <c r="C205" s="3"/>
      <c r="D205" s="3"/>
      <c r="E205" s="4" t="str">
        <f>HYPERLINK("https://dpmzos25m8ivg.cloudfront.net/Documentos/631/00757590209/6310075759020906092023152725.pdf","https://dpmzos25m8ivg.cloudfront.net/Documentos/631/00757590209/6310075759020906092023152725.pdf")</f>
        <v>https://dpmzos25m8ivg.cloudfront.net/Documentos/631/00757590209/6310075759020906092023152725.pdf</v>
      </c>
      <c r="F205" s="5" t="str">
        <f>HYPERLINK("https://dpmzos25m8ivg.cloudfront.net/Documentos/631/00757590209/6310075759020906092023154311.pdf","https://dpmzos25m8ivg.cloudfront.net/Documentos/631/00757590209/6310075759020906092023154311.pdf")</f>
        <v>https://dpmzos25m8ivg.cloudfront.net/Documentos/631/00757590209/6310075759020906092023154311.pdf</v>
      </c>
      <c r="G205" s="5" t="str">
        <f>HYPERLINK("https://dpmzos25m8ivg.cloudfront.net/Documentos/631/00757590209/6310075759020906092023154330.pdf","https://dpmzos25m8ivg.cloudfront.net/Documentos/631/00757590209/6310075759020906092023154330.pdf")</f>
        <v>https://dpmzos25m8ivg.cloudfront.net/Documentos/631/00757590209/6310075759020906092023154330.pdf</v>
      </c>
      <c r="H205" s="4" t="s">
        <v>8792</v>
      </c>
    </row>
    <row r="206" spans="1:8" x14ac:dyDescent="0.25">
      <c r="A206" s="2" t="s">
        <v>218</v>
      </c>
      <c r="B206" s="3"/>
      <c r="C206" s="3"/>
      <c r="D206" s="3"/>
      <c r="E206" s="4" t="str">
        <f>HYPERLINK("https://dpmzos25m8ivg.cloudfront.net/Documentos/631/00765337193/6310076533719307092023234630.pdf","https://dpmzos25m8ivg.cloudfront.net/Documentos/631/00765337193/6310076533719307092023234630.pdf")</f>
        <v>https://dpmzos25m8ivg.cloudfront.net/Documentos/631/00765337193/6310076533719307092023234630.pdf</v>
      </c>
      <c r="F206" s="5" t="str">
        <f>HYPERLINK("https://dpmzos25m8ivg.cloudfront.net/Documentos/631/00765337193/6310076533719307092023234643.pdf","https://dpmzos25m8ivg.cloudfront.net/Documentos/631/00765337193/6310076533719307092023234643.pdf")</f>
        <v>https://dpmzos25m8ivg.cloudfront.net/Documentos/631/00765337193/6310076533719307092023234643.pdf</v>
      </c>
      <c r="G206" s="5" t="str">
        <f>HYPERLINK("https://dpmzos25m8ivg.cloudfront.net/Documentos/631/00765337193/6310076533719307092023234701.pdf","https://dpmzos25m8ivg.cloudfront.net/Documentos/631/00765337193/6310076533719307092023234701.pdf")</f>
        <v>https://dpmzos25m8ivg.cloudfront.net/Documentos/631/00765337193/6310076533719307092023234701.pdf</v>
      </c>
      <c r="H206" s="4" t="s">
        <v>8793</v>
      </c>
    </row>
    <row r="207" spans="1:8" x14ac:dyDescent="0.25">
      <c r="A207" s="2" t="s">
        <v>219</v>
      </c>
      <c r="B207" s="3"/>
      <c r="C207" s="3"/>
      <c r="D207" s="3"/>
      <c r="E207" s="4" t="str">
        <f>HYPERLINK("https://dpmzos25m8ivg.cloudfront.net/Documentos/631/00766064301/6310076606430114092023135609.pdf","https://dpmzos25m8ivg.cloudfront.net/Documentos/631/00766064301/6310076606430114092023135609.pdf")</f>
        <v>https://dpmzos25m8ivg.cloudfront.net/Documentos/631/00766064301/6310076606430114092023135609.pdf</v>
      </c>
      <c r="F207" s="5" t="str">
        <f>HYPERLINK("https://dpmzos25m8ivg.cloudfront.net/Documentos/631/00766064301/6310076606430114092023135625.pdf","https://dpmzos25m8ivg.cloudfront.net/Documentos/631/00766064301/6310076606430114092023135625.pdf")</f>
        <v>https://dpmzos25m8ivg.cloudfront.net/Documentos/631/00766064301/6310076606430114092023135625.pdf</v>
      </c>
      <c r="G207" s="5" t="str">
        <f>HYPERLINK("https://dpmzos25m8ivg.cloudfront.net/Documentos/631/00766064301/6310076606430114092023135655.pdf","https://dpmzos25m8ivg.cloudfront.net/Documentos/631/00766064301/6310076606430114092023135655.pdf")</f>
        <v>https://dpmzos25m8ivg.cloudfront.net/Documentos/631/00766064301/6310076606430114092023135655.pdf</v>
      </c>
      <c r="H207" s="4" t="s">
        <v>8794</v>
      </c>
    </row>
    <row r="208" spans="1:8" x14ac:dyDescent="0.25">
      <c r="A208" s="2" t="s">
        <v>220</v>
      </c>
      <c r="B208" s="3"/>
      <c r="C208" s="3"/>
      <c r="D208" s="3"/>
      <c r="E208" s="4" t="str">
        <f>HYPERLINK("https://dpmzos25m8ivg.cloudfront.net/Documentos/631/00777178990/6310077717899007092023193405.pdf","https://dpmzos25m8ivg.cloudfront.net/Documentos/631/00777178990/6310077717899007092023193405.pdf")</f>
        <v>https://dpmzos25m8ivg.cloudfront.net/Documentos/631/00777178990/6310077717899007092023193405.pdf</v>
      </c>
      <c r="F208" s="5" t="str">
        <f>HYPERLINK("https://dpmzos25m8ivg.cloudfront.net/Documentos/631/00777178990/6310077717899007092023193427.pdf","https://dpmzos25m8ivg.cloudfront.net/Documentos/631/00777178990/6310077717899007092023193427.pdf")</f>
        <v>https://dpmzos25m8ivg.cloudfront.net/Documentos/631/00777178990/6310077717899007092023193427.pdf</v>
      </c>
      <c r="G208" s="5" t="str">
        <f>HYPERLINK("https://dpmzos25m8ivg.cloudfront.net/Documentos/631/00777178990/6310077717899007092023193449.pdf","https://dpmzos25m8ivg.cloudfront.net/Documentos/631/00777178990/6310077717899007092023193449.pdf")</f>
        <v>https://dpmzos25m8ivg.cloudfront.net/Documentos/631/00777178990/6310077717899007092023193449.pdf</v>
      </c>
      <c r="H208" s="4" t="s">
        <v>8795</v>
      </c>
    </row>
    <row r="209" spans="1:8" x14ac:dyDescent="0.25">
      <c r="A209" s="2" t="s">
        <v>221</v>
      </c>
      <c r="B209" s="3"/>
      <c r="C209" s="3"/>
      <c r="D209" s="3"/>
      <c r="E209" s="4" t="str">
        <f>HYPERLINK("https://dpmzos25m8ivg.cloudfront.net/Documentos/631/00779182588/6310077918258811092023125010.pdf","https://dpmzos25m8ivg.cloudfront.net/Documentos/631/00779182588/6310077918258811092023125010.pdf")</f>
        <v>https://dpmzos25m8ivg.cloudfront.net/Documentos/631/00779182588/6310077918258811092023125010.pdf</v>
      </c>
      <c r="F209" s="5" t="str">
        <f>HYPERLINK("https://dpmzos25m8ivg.cloudfront.net/Documentos/631/00779182588/6310077918258811092023125036.pdf","https://dpmzos25m8ivg.cloudfront.net/Documentos/631/00779182588/6310077918258811092023125036.pdf")</f>
        <v>https://dpmzos25m8ivg.cloudfront.net/Documentos/631/00779182588/6310077918258811092023125036.pdf</v>
      </c>
      <c r="G209" s="5" t="str">
        <f>HYPERLINK("https://dpmzos25m8ivg.cloudfront.net/Documentos/631/00779182588/6310077918258811092023125053.pdf","https://dpmzos25m8ivg.cloudfront.net/Documentos/631/00779182588/6310077918258811092023125053.pdf")</f>
        <v>https://dpmzos25m8ivg.cloudfront.net/Documentos/631/00779182588/6310077918258811092023125053.pdf</v>
      </c>
      <c r="H209" s="4" t="s">
        <v>8796</v>
      </c>
    </row>
    <row r="210" spans="1:8" x14ac:dyDescent="0.25">
      <c r="A210" s="2" t="s">
        <v>222</v>
      </c>
      <c r="B210" s="3"/>
      <c r="C210" s="3"/>
      <c r="D210" s="3"/>
      <c r="E210" s="4" t="str">
        <f>HYPERLINK("https://dpmzos25m8ivg.cloudfront.net/Documentos/631/00786103205/6310078610320505092023104358.pdf","https://dpmzos25m8ivg.cloudfront.net/Documentos/631/00786103205/6310078610320505092023104358.pdf")</f>
        <v>https://dpmzos25m8ivg.cloudfront.net/Documentos/631/00786103205/6310078610320505092023104358.pdf</v>
      </c>
      <c r="F210" s="5" t="str">
        <f>HYPERLINK("https://dpmzos25m8ivg.cloudfront.net/Documentos/631/00786103205/6310078610320505092023104420.pdf","https://dpmzos25m8ivg.cloudfront.net/Documentos/631/00786103205/6310078610320505092023104420.pdf")</f>
        <v>https://dpmzos25m8ivg.cloudfront.net/Documentos/631/00786103205/6310078610320505092023104420.pdf</v>
      </c>
      <c r="G210" s="5" t="str">
        <f>HYPERLINK("https://dpmzos25m8ivg.cloudfront.net/Documentos/631/00786103205/6310078610320505092023104446.pdf","https://dpmzos25m8ivg.cloudfront.net/Documentos/631/00786103205/6310078610320505092023104446.pdf")</f>
        <v>https://dpmzos25m8ivg.cloudfront.net/Documentos/631/00786103205/6310078610320505092023104446.pdf</v>
      </c>
      <c r="H210" s="4" t="s">
        <v>8797</v>
      </c>
    </row>
    <row r="211" spans="1:8" x14ac:dyDescent="0.25">
      <c r="A211" s="2" t="s">
        <v>223</v>
      </c>
      <c r="B211" s="3"/>
      <c r="C211" s="3"/>
      <c r="D211" s="3"/>
      <c r="E211" s="4" t="str">
        <f>HYPERLINK("https://dpmzos25m8ivg.cloudfront.net/Documentos/631/00788710265/6310078871026507092023173657.pdf","https://dpmzos25m8ivg.cloudfront.net/Documentos/631/00788710265/6310078871026507092023173657.pdf")</f>
        <v>https://dpmzos25m8ivg.cloudfront.net/Documentos/631/00788710265/6310078871026507092023173657.pdf</v>
      </c>
      <c r="F211" s="5" t="str">
        <f>HYPERLINK("https://dpmzos25m8ivg.cloudfront.net/Documentos/631/00788710265/6310078871026507092023173711.pdf","https://dpmzos25m8ivg.cloudfront.net/Documentos/631/00788710265/6310078871026507092023173711.pdf")</f>
        <v>https://dpmzos25m8ivg.cloudfront.net/Documentos/631/00788710265/6310078871026507092023173711.pdf</v>
      </c>
      <c r="G211" s="5" t="str">
        <f>HYPERLINK("https://dpmzos25m8ivg.cloudfront.net/Documentos/631/00788710265/6310078871026507092023173721.pdf","https://dpmzos25m8ivg.cloudfront.net/Documentos/631/00788710265/6310078871026507092023173721.pdf")</f>
        <v>https://dpmzos25m8ivg.cloudfront.net/Documentos/631/00788710265/6310078871026507092023173721.pdf</v>
      </c>
      <c r="H211" s="4" t="s">
        <v>8798</v>
      </c>
    </row>
    <row r="212" spans="1:8" x14ac:dyDescent="0.25">
      <c r="A212" s="2" t="s">
        <v>224</v>
      </c>
      <c r="B212" s="3" t="s">
        <v>8</v>
      </c>
      <c r="C212" s="3"/>
      <c r="D212" s="3"/>
      <c r="E212" s="4" t="str">
        <f>HYPERLINK("https://dpmzos25m8ivg.cloudfront.net/Documentos/631/00790326485/6310079032648506092023143942.pdf","https://dpmzos25m8ivg.cloudfront.net/Documentos/631/00790326485/6310079032648506092023143942.pdf")</f>
        <v>https://dpmzos25m8ivg.cloudfront.net/Documentos/631/00790326485/6310079032648506092023143942.pdf</v>
      </c>
      <c r="F212" s="5" t="str">
        <f>HYPERLINK("https://dpmzos25m8ivg.cloudfront.net/Documentos/631/00790326485/6310079032648506092023143951.pdf","https://dpmzos25m8ivg.cloudfront.net/Documentos/631/00790326485/6310079032648506092023143951.pdf")</f>
        <v>https://dpmzos25m8ivg.cloudfront.net/Documentos/631/00790326485/6310079032648506092023143951.pdf</v>
      </c>
      <c r="G212" s="5" t="str">
        <f>HYPERLINK("https://dpmzos25m8ivg.cloudfront.net/Documentos/631/00790326485/6310079032648506092023144000.pdf","https://dpmzos25m8ivg.cloudfront.net/Documentos/631/00790326485/6310079032648506092023144000.pdf")</f>
        <v>https://dpmzos25m8ivg.cloudfront.net/Documentos/631/00790326485/6310079032648506092023144000.pdf</v>
      </c>
      <c r="H212" s="4" t="s">
        <v>8799</v>
      </c>
    </row>
    <row r="213" spans="1:8" x14ac:dyDescent="0.25">
      <c r="A213" s="2" t="s">
        <v>225</v>
      </c>
      <c r="B213" s="3"/>
      <c r="C213" s="3"/>
      <c r="D213" s="3"/>
      <c r="E213" s="4" t="str">
        <f>HYPERLINK("https://dpmzos25m8ivg.cloudfront.net/Documentos/631/00793618207/6310079361820705092023184039.pdf","https://dpmzos25m8ivg.cloudfront.net/Documentos/631/00793618207/6310079361820705092023184039.pdf")</f>
        <v>https://dpmzos25m8ivg.cloudfront.net/Documentos/631/00793618207/6310079361820705092023184039.pdf</v>
      </c>
      <c r="F213" s="5" t="str">
        <f>HYPERLINK("https://dpmzos25m8ivg.cloudfront.net/Documentos/631/00793618207/6310079361820705092023184052.pdf","https://dpmzos25m8ivg.cloudfront.net/Documentos/631/00793618207/6310079361820705092023184052.pdf")</f>
        <v>https://dpmzos25m8ivg.cloudfront.net/Documentos/631/00793618207/6310079361820705092023184052.pdf</v>
      </c>
      <c r="G213" s="5" t="str">
        <f>HYPERLINK("https://dpmzos25m8ivg.cloudfront.net/Documentos/631/00793618207/6310079361820705092023184126.pdf","https://dpmzos25m8ivg.cloudfront.net/Documentos/631/00793618207/6310079361820705092023184126.pdf")</f>
        <v>https://dpmzos25m8ivg.cloudfront.net/Documentos/631/00793618207/6310079361820705092023184126.pdf</v>
      </c>
      <c r="H213" s="4" t="s">
        <v>8800</v>
      </c>
    </row>
    <row r="214" spans="1:8" x14ac:dyDescent="0.25">
      <c r="A214" s="2" t="s">
        <v>226</v>
      </c>
      <c r="B214" s="3"/>
      <c r="C214" s="3"/>
      <c r="D214" s="3"/>
      <c r="E214" s="4" t="str">
        <f>HYPERLINK("https://dpmzos25m8ivg.cloudfront.net/Documentos/631/00794136257/6310079413625710092023225354.jpg","https://dpmzos25m8ivg.cloudfront.net/Documentos/631/00794136257/6310079413625710092023225354.jpg")</f>
        <v>https://dpmzos25m8ivg.cloudfront.net/Documentos/631/00794136257/6310079413625710092023225354.jpg</v>
      </c>
      <c r="F214" s="5" t="str">
        <f>HYPERLINK("https://dpmzos25m8ivg.cloudfront.net/Documentos/631/00794136257/6310079413625710092023225406.jpg","https://dpmzos25m8ivg.cloudfront.net/Documentos/631/00794136257/6310079413625710092023225406.jpg")</f>
        <v>https://dpmzos25m8ivg.cloudfront.net/Documentos/631/00794136257/6310079413625710092023225406.jpg</v>
      </c>
      <c r="G214" s="5" t="str">
        <f>HYPERLINK("https://dpmzos25m8ivg.cloudfront.net/Documentos/631/00794136257/6310079413625710092023225419.jpg","https://dpmzos25m8ivg.cloudfront.net/Documentos/631/00794136257/6310079413625710092023225419.jpg")</f>
        <v>https://dpmzos25m8ivg.cloudfront.net/Documentos/631/00794136257/6310079413625710092023225419.jpg</v>
      </c>
      <c r="H214" s="4" t="s">
        <v>8801</v>
      </c>
    </row>
    <row r="215" spans="1:8" x14ac:dyDescent="0.25">
      <c r="A215" s="2" t="s">
        <v>227</v>
      </c>
      <c r="B215" s="3"/>
      <c r="C215" s="3"/>
      <c r="D215" s="3"/>
      <c r="E215" s="4" t="str">
        <f>HYPERLINK("https://dpmzos25m8ivg.cloudfront.net/Documentos/631/00795150296/6310079515029610092023214328.jpeg","https://dpmzos25m8ivg.cloudfront.net/Documentos/631/00795150296/6310079515029610092023214328.jpeg")</f>
        <v>https://dpmzos25m8ivg.cloudfront.net/Documentos/631/00795150296/6310079515029610092023214328.jpeg</v>
      </c>
      <c r="F215" s="5" t="str">
        <f>HYPERLINK("https://dpmzos25m8ivg.cloudfront.net/Documentos/631/00795150296/6310079515029610092023214343.jpeg","https://dpmzos25m8ivg.cloudfront.net/Documentos/631/00795150296/6310079515029610092023214343.jpeg")</f>
        <v>https://dpmzos25m8ivg.cloudfront.net/Documentos/631/00795150296/6310079515029610092023214343.jpeg</v>
      </c>
      <c r="G215" s="5" t="str">
        <f>HYPERLINK("https://dpmzos25m8ivg.cloudfront.net/Documentos/631/00795150296/6310079515029610092023214359.jpeg","https://dpmzos25m8ivg.cloudfront.net/Documentos/631/00795150296/6310079515029610092023214359.jpeg")</f>
        <v>https://dpmzos25m8ivg.cloudfront.net/Documentos/631/00795150296/6310079515029610092023214359.jpeg</v>
      </c>
      <c r="H215" s="4" t="s">
        <v>8802</v>
      </c>
    </row>
    <row r="216" spans="1:8" x14ac:dyDescent="0.25">
      <c r="A216" s="2" t="s">
        <v>228</v>
      </c>
      <c r="B216" s="3"/>
      <c r="C216" s="3"/>
      <c r="D216" s="3"/>
      <c r="E216" s="4" t="str">
        <f>HYPERLINK("https://dpmzos25m8ivg.cloudfront.net/Documentos/631/00800733444/6310080073344410092023222941.pdf","https://dpmzos25m8ivg.cloudfront.net/Documentos/631/00800733444/6310080073344410092023222941.pdf")</f>
        <v>https://dpmzos25m8ivg.cloudfront.net/Documentos/631/00800733444/6310080073344410092023222941.pdf</v>
      </c>
      <c r="F216" s="5" t="str">
        <f>HYPERLINK("https://dpmzos25m8ivg.cloudfront.net/Documentos/631/00800733444/6310080073344410092023222956.pdf","https://dpmzos25m8ivg.cloudfront.net/Documentos/631/00800733444/6310080073344410092023222956.pdf")</f>
        <v>https://dpmzos25m8ivg.cloudfront.net/Documentos/631/00800733444/6310080073344410092023222956.pdf</v>
      </c>
      <c r="G216" s="5" t="str">
        <f>HYPERLINK("https://dpmzos25m8ivg.cloudfront.net/Documentos/631/00800733444/6310080073344410092023223013.pdf","https://dpmzos25m8ivg.cloudfront.net/Documentos/631/00800733444/6310080073344410092023223013.pdf")</f>
        <v>https://dpmzos25m8ivg.cloudfront.net/Documentos/631/00800733444/6310080073344410092023223013.pdf</v>
      </c>
      <c r="H216" s="4" t="s">
        <v>8803</v>
      </c>
    </row>
    <row r="217" spans="1:8" x14ac:dyDescent="0.25">
      <c r="A217" s="2" t="s">
        <v>229</v>
      </c>
      <c r="B217" s="3"/>
      <c r="C217" s="3"/>
      <c r="D217" s="3"/>
      <c r="E217" s="4" t="str">
        <f>HYPERLINK("https://dpmzos25m8ivg.cloudfront.net/Documentos/631/00804012954/6310080401295411092023114125.pdf","https://dpmzos25m8ivg.cloudfront.net/Documentos/631/00804012954/6310080401295411092023114125.pdf")</f>
        <v>https://dpmzos25m8ivg.cloudfront.net/Documentos/631/00804012954/6310080401295411092023114125.pdf</v>
      </c>
      <c r="F217" s="5" t="str">
        <f>HYPERLINK("https://dpmzos25m8ivg.cloudfront.net/Documentos/631/00804012954/6310080401295411092023114246.pdf","https://dpmzos25m8ivg.cloudfront.net/Documentos/631/00804012954/6310080401295411092023114246.pdf")</f>
        <v>https://dpmzos25m8ivg.cloudfront.net/Documentos/631/00804012954/6310080401295411092023114246.pdf</v>
      </c>
      <c r="G217" s="5" t="str">
        <f>HYPERLINK("https://dpmzos25m8ivg.cloudfront.net/Documentos/631/00804012954/6310080401295411092023114445.pdf","https://dpmzos25m8ivg.cloudfront.net/Documentos/631/00804012954/6310080401295411092023114445.pdf")</f>
        <v>https://dpmzos25m8ivg.cloudfront.net/Documentos/631/00804012954/6310080401295411092023114445.pdf</v>
      </c>
      <c r="H217" s="4" t="s">
        <v>8804</v>
      </c>
    </row>
    <row r="218" spans="1:8" x14ac:dyDescent="0.25">
      <c r="A218" s="2" t="s">
        <v>230</v>
      </c>
      <c r="B218" s="3"/>
      <c r="C218" s="3"/>
      <c r="D218" s="3"/>
      <c r="E218" s="4" t="str">
        <f>HYPERLINK("https://dpmzos25m8ivg.cloudfront.net/Documentos/631/00805902767/6310080590276711092023151838.pdf","https://dpmzos25m8ivg.cloudfront.net/Documentos/631/00805902767/6310080590276711092023151838.pdf")</f>
        <v>https://dpmzos25m8ivg.cloudfront.net/Documentos/631/00805902767/6310080590276711092023151838.pdf</v>
      </c>
      <c r="F218" s="5" t="str">
        <f>HYPERLINK("https://dpmzos25m8ivg.cloudfront.net/Documentos/631/00805902767/6310080590276711092023151851.pdf","https://dpmzos25m8ivg.cloudfront.net/Documentos/631/00805902767/6310080590276711092023151851.pdf")</f>
        <v>https://dpmzos25m8ivg.cloudfront.net/Documentos/631/00805902767/6310080590276711092023151851.pdf</v>
      </c>
      <c r="G218" s="5" t="str">
        <f>HYPERLINK("https://dpmzos25m8ivg.cloudfront.net/Documentos/631/00805902767/6310080590276711092023151858.pdf","https://dpmzos25m8ivg.cloudfront.net/Documentos/631/00805902767/6310080590276711092023151858.pdf")</f>
        <v>https://dpmzos25m8ivg.cloudfront.net/Documentos/631/00805902767/6310080590276711092023151858.pdf</v>
      </c>
      <c r="H218" s="4" t="s">
        <v>8805</v>
      </c>
    </row>
    <row r="219" spans="1:8" x14ac:dyDescent="0.25">
      <c r="A219" s="2" t="s">
        <v>231</v>
      </c>
      <c r="B219" s="3"/>
      <c r="C219" s="3"/>
      <c r="D219" s="3"/>
      <c r="E219" s="4" t="str">
        <f>HYPERLINK("https://dpmzos25m8ivg.cloudfront.net/Documentos/631/00806660783/6310080666078311092023141921.pdf","https://dpmzos25m8ivg.cloudfront.net/Documentos/631/00806660783/6310080666078311092023141921.pdf")</f>
        <v>https://dpmzos25m8ivg.cloudfront.net/Documentos/631/00806660783/6310080666078311092023141921.pdf</v>
      </c>
      <c r="F219" s="5" t="str">
        <f>HYPERLINK("https://dpmzos25m8ivg.cloudfront.net/Documentos/631/00806660783/6310080666078311092023142047.pdf","https://dpmzos25m8ivg.cloudfront.net/Documentos/631/00806660783/6310080666078311092023142047.pdf")</f>
        <v>https://dpmzos25m8ivg.cloudfront.net/Documentos/631/00806660783/6310080666078311092023142047.pdf</v>
      </c>
      <c r="G219" s="5" t="str">
        <f>HYPERLINK("https://dpmzos25m8ivg.cloudfront.net/Documentos/631/00806660783/6310080666078311092023142103.pdf","https://dpmzos25m8ivg.cloudfront.net/Documentos/631/00806660783/6310080666078311092023142103.pdf")</f>
        <v>https://dpmzos25m8ivg.cloudfront.net/Documentos/631/00806660783/6310080666078311092023142103.pdf</v>
      </c>
      <c r="H219" s="4" t="s">
        <v>8806</v>
      </c>
    </row>
    <row r="220" spans="1:8" x14ac:dyDescent="0.25">
      <c r="A220" s="2" t="s">
        <v>232</v>
      </c>
      <c r="B220" s="3"/>
      <c r="C220" s="3"/>
      <c r="D220" s="3"/>
      <c r="E220" s="4" t="str">
        <f>HYPERLINK("https://dpmzos25m8ivg.cloudfront.net/Documentos/631/00807682292/6310080768229214092023122201.jpg","https://dpmzos25m8ivg.cloudfront.net/Documentos/631/00807682292/6310080768229214092023122201.jpg")</f>
        <v>https://dpmzos25m8ivg.cloudfront.net/Documentos/631/00807682292/6310080768229214092023122201.jpg</v>
      </c>
      <c r="F220" s="5" t="str">
        <f>HYPERLINK("https://dpmzos25m8ivg.cloudfront.net/Documentos/631/00807682292/6310080768229214092023122210.jpg","https://dpmzos25m8ivg.cloudfront.net/Documentos/631/00807682292/6310080768229214092023122210.jpg")</f>
        <v>https://dpmzos25m8ivg.cloudfront.net/Documentos/631/00807682292/6310080768229214092023122210.jpg</v>
      </c>
      <c r="G220" s="5" t="str">
        <f>HYPERLINK("https://dpmzos25m8ivg.cloudfront.net/Documentos/631/00807682292/6310080768229214092023122219.jpg","https://dpmzos25m8ivg.cloudfront.net/Documentos/631/00807682292/6310080768229214092023122219.jpg")</f>
        <v>https://dpmzos25m8ivg.cloudfront.net/Documentos/631/00807682292/6310080768229214092023122219.jpg</v>
      </c>
      <c r="H220" s="4" t="s">
        <v>8807</v>
      </c>
    </row>
    <row r="221" spans="1:8" x14ac:dyDescent="0.25">
      <c r="A221" s="2" t="s">
        <v>233</v>
      </c>
      <c r="B221" s="3"/>
      <c r="C221" s="3"/>
      <c r="D221" s="3"/>
      <c r="E221" s="4" t="str">
        <f>HYPERLINK("https://dpmzos25m8ivg.cloudfront.net/Documentos/631/00811144194/6310081114419406092023143536.pdf","https://dpmzos25m8ivg.cloudfront.net/Documentos/631/00811144194/6310081114419406092023143536.pdf")</f>
        <v>https://dpmzos25m8ivg.cloudfront.net/Documentos/631/00811144194/6310081114419406092023143536.pdf</v>
      </c>
      <c r="F221" s="5" t="str">
        <f>HYPERLINK("https://dpmzos25m8ivg.cloudfront.net/Documentos/631/00811144194/6310081114419406092023150317.pdf","https://dpmzos25m8ivg.cloudfront.net/Documentos/631/00811144194/6310081114419406092023150317.pdf")</f>
        <v>https://dpmzos25m8ivg.cloudfront.net/Documentos/631/00811144194/6310081114419406092023150317.pdf</v>
      </c>
      <c r="G221" s="5" t="str">
        <f>HYPERLINK("https://dpmzos25m8ivg.cloudfront.net/Documentos/631/00811144194/6310081114419406092023150451.pdf","https://dpmzos25m8ivg.cloudfront.net/Documentos/631/00811144194/6310081114419406092023150451.pdf")</f>
        <v>https://dpmzos25m8ivg.cloudfront.net/Documentos/631/00811144194/6310081114419406092023150451.pdf</v>
      </c>
      <c r="H221" s="4" t="s">
        <v>8808</v>
      </c>
    </row>
    <row r="222" spans="1:8" x14ac:dyDescent="0.25">
      <c r="A222" s="2" t="s">
        <v>234</v>
      </c>
      <c r="B222" s="3"/>
      <c r="C222" s="3"/>
      <c r="D222" s="3"/>
      <c r="E222" s="4" t="str">
        <f>HYPERLINK("https://dpmzos25m8ivg.cloudfront.net/Documentos/631/00812485203/6310081248520311092023131208.pdf","https://dpmzos25m8ivg.cloudfront.net/Documentos/631/00812485203/6310081248520311092023131208.pdf")</f>
        <v>https://dpmzos25m8ivg.cloudfront.net/Documentos/631/00812485203/6310081248520311092023131208.pdf</v>
      </c>
      <c r="F222" s="5" t="str">
        <f>HYPERLINK("https://dpmzos25m8ivg.cloudfront.net/Documentos/631/00812485203/6310081248520311092023131331.pdf","https://dpmzos25m8ivg.cloudfront.net/Documentos/631/00812485203/6310081248520311092023131331.pdf")</f>
        <v>https://dpmzos25m8ivg.cloudfront.net/Documentos/631/00812485203/6310081248520311092023131331.pdf</v>
      </c>
      <c r="G222" s="5" t="str">
        <f>HYPERLINK("https://dpmzos25m8ivg.cloudfront.net/Documentos/631/00812485203/6310081248520311092023131354.pdf","https://dpmzos25m8ivg.cloudfront.net/Documentos/631/00812485203/6310081248520311092023131354.pdf")</f>
        <v>https://dpmzos25m8ivg.cloudfront.net/Documentos/631/00812485203/6310081248520311092023131354.pdf</v>
      </c>
      <c r="H222" s="4" t="s">
        <v>8809</v>
      </c>
    </row>
    <row r="223" spans="1:8" x14ac:dyDescent="0.25">
      <c r="A223" s="2" t="s">
        <v>235</v>
      </c>
      <c r="B223" s="3"/>
      <c r="C223" s="3"/>
      <c r="D223" s="3"/>
      <c r="E223" s="4" t="str">
        <f>HYPERLINK("https://dpmzos25m8ivg.cloudfront.net/Documentos/631/00815622252/6310081562225208092023161653.pdf","https://dpmzos25m8ivg.cloudfront.net/Documentos/631/00815622252/6310081562225208092023161653.pdf")</f>
        <v>https://dpmzos25m8ivg.cloudfront.net/Documentos/631/00815622252/6310081562225208092023161653.pdf</v>
      </c>
      <c r="F223" s="5" t="str">
        <f>HYPERLINK("https://dpmzos25m8ivg.cloudfront.net/Documentos/631/00815622252/6310081562225208092023161645.pdf","https://dpmzos25m8ivg.cloudfront.net/Documentos/631/00815622252/6310081562225208092023161645.pdf")</f>
        <v>https://dpmzos25m8ivg.cloudfront.net/Documentos/631/00815622252/6310081562225208092023161645.pdf</v>
      </c>
      <c r="G223" s="5" t="str">
        <f>HYPERLINK("https://dpmzos25m8ivg.cloudfront.net/Documentos/631/00815622252/6310081562225208092023161639.pdf","https://dpmzos25m8ivg.cloudfront.net/Documentos/631/00815622252/6310081562225208092023161639.pdf")</f>
        <v>https://dpmzos25m8ivg.cloudfront.net/Documentos/631/00815622252/6310081562225208092023161639.pdf</v>
      </c>
      <c r="H223" s="4" t="s">
        <v>8810</v>
      </c>
    </row>
    <row r="224" spans="1:8" x14ac:dyDescent="0.25">
      <c r="A224" s="2" t="s">
        <v>236</v>
      </c>
      <c r="B224" s="3"/>
      <c r="C224" s="3"/>
      <c r="D224" s="3"/>
      <c r="E224" s="4" t="str">
        <f>HYPERLINK("https://dpmzos25m8ivg.cloudfront.net/Documentos/631/00817077200/6310081707720011092023093130.pdf","https://dpmzos25m8ivg.cloudfront.net/Documentos/631/00817077200/6310081707720011092023093130.pdf")</f>
        <v>https://dpmzos25m8ivg.cloudfront.net/Documentos/631/00817077200/6310081707720011092023093130.pdf</v>
      </c>
      <c r="F224" s="5" t="str">
        <f>HYPERLINK("https://dpmzos25m8ivg.cloudfront.net/Documentos/631/00817077200/6310081707720011092023093138.pdf","https://dpmzos25m8ivg.cloudfront.net/Documentos/631/00817077200/6310081707720011092023093138.pdf")</f>
        <v>https://dpmzos25m8ivg.cloudfront.net/Documentos/631/00817077200/6310081707720011092023093138.pdf</v>
      </c>
      <c r="G224" s="5" t="str">
        <f>HYPERLINK("https://dpmzos25m8ivg.cloudfront.net/Documentos/631/00817077200/6310081707720011092023093145.pdf","https://dpmzos25m8ivg.cloudfront.net/Documentos/631/00817077200/6310081707720011092023093145.pdf")</f>
        <v>https://dpmzos25m8ivg.cloudfront.net/Documentos/631/00817077200/6310081707720011092023093145.pdf</v>
      </c>
      <c r="H224" s="4" t="s">
        <v>8811</v>
      </c>
    </row>
    <row r="225" spans="1:8" x14ac:dyDescent="0.25">
      <c r="A225" s="2" t="s">
        <v>237</v>
      </c>
      <c r="B225" s="3" t="s">
        <v>42</v>
      </c>
      <c r="C225" s="3"/>
      <c r="D225" s="3"/>
      <c r="E225" s="4" t="str">
        <f>HYPERLINK("https://dpmzos25m8ivg.cloudfront.net/Documentos/631/00817707239/6310081770723914092023131535.pdf","https://dpmzos25m8ivg.cloudfront.net/Documentos/631/00817707239/6310081770723914092023131535.pdf")</f>
        <v>https://dpmzos25m8ivg.cloudfront.net/Documentos/631/00817707239/6310081770723914092023131535.pdf</v>
      </c>
      <c r="F225" s="5" t="str">
        <f>HYPERLINK("https://dpmzos25m8ivg.cloudfront.net/Documentos/631/00817707239/6310081770723914092023131555.pdf","https://dpmzos25m8ivg.cloudfront.net/Documentos/631/00817707239/6310081770723914092023131555.pdf")</f>
        <v>https://dpmzos25m8ivg.cloudfront.net/Documentos/631/00817707239/6310081770723914092023131555.pdf</v>
      </c>
      <c r="G225" s="5" t="str">
        <f>HYPERLINK("https://dpmzos25m8ivg.cloudfront.net/Documentos/631/00817707239/6310081770723914092023131613.pdf","https://dpmzos25m8ivg.cloudfront.net/Documentos/631/00817707239/6310081770723914092023131613.pdf")</f>
        <v>https://dpmzos25m8ivg.cloudfront.net/Documentos/631/00817707239/6310081770723914092023131613.pdf</v>
      </c>
      <c r="H225" s="4" t="s">
        <v>8812</v>
      </c>
    </row>
    <row r="226" spans="1:8" x14ac:dyDescent="0.25">
      <c r="A226" s="2" t="s">
        <v>238</v>
      </c>
      <c r="B226" s="3"/>
      <c r="C226" s="3"/>
      <c r="D226" s="3"/>
      <c r="E226" s="4" t="str">
        <f>HYPERLINK("https://dpmzos25m8ivg.cloudfront.net/Documentos/631/00817881506/6310081788150606092023103102.jpg","https://dpmzos25m8ivg.cloudfront.net/Documentos/631/00817881506/6310081788150606092023103102.jpg")</f>
        <v>https://dpmzos25m8ivg.cloudfront.net/Documentos/631/00817881506/6310081788150606092023103102.jpg</v>
      </c>
      <c r="F226" s="5" t="str">
        <f>HYPERLINK("https://dpmzos25m8ivg.cloudfront.net/Documentos/631/00817881506/6310081788150606092023103120.jpg","https://dpmzos25m8ivg.cloudfront.net/Documentos/631/00817881506/6310081788150606092023103120.jpg")</f>
        <v>https://dpmzos25m8ivg.cloudfront.net/Documentos/631/00817881506/6310081788150606092023103120.jpg</v>
      </c>
      <c r="G226" s="5" t="str">
        <f>HYPERLINK("https://dpmzos25m8ivg.cloudfront.net/Documentos/631/00817881506/6310081788150606092023103154.jpg","https://dpmzos25m8ivg.cloudfront.net/Documentos/631/00817881506/6310081788150606092023103154.jpg")</f>
        <v>https://dpmzos25m8ivg.cloudfront.net/Documentos/631/00817881506/6310081788150606092023103154.jpg</v>
      </c>
      <c r="H226" s="4" t="s">
        <v>8813</v>
      </c>
    </row>
    <row r="227" spans="1:8" x14ac:dyDescent="0.25">
      <c r="A227" s="2" t="s">
        <v>239</v>
      </c>
      <c r="B227" s="3"/>
      <c r="C227" s="3"/>
      <c r="D227" s="3"/>
      <c r="E227" s="4" t="str">
        <f>HYPERLINK("https://dpmzos25m8ivg.cloudfront.net/Documentos/631/00818365030/6310081836503008092023184723.jpg","https://dpmzos25m8ivg.cloudfront.net/Documentos/631/00818365030/6310081836503008092023184723.jpg")</f>
        <v>https://dpmzos25m8ivg.cloudfront.net/Documentos/631/00818365030/6310081836503008092023184723.jpg</v>
      </c>
      <c r="F227" s="5" t="str">
        <f>HYPERLINK("https://dpmzos25m8ivg.cloudfront.net/Documentos/631/00818365030/6310081836503008092023184755.jpg","https://dpmzos25m8ivg.cloudfront.net/Documentos/631/00818365030/6310081836503008092023184755.jpg")</f>
        <v>https://dpmzos25m8ivg.cloudfront.net/Documentos/631/00818365030/6310081836503008092023184755.jpg</v>
      </c>
      <c r="G227" s="5" t="str">
        <f>HYPERLINK("https://dpmzos25m8ivg.cloudfront.net/Documentos/631/00818365030/6310081836503008092023184823.jpg","https://dpmzos25m8ivg.cloudfront.net/Documentos/631/00818365030/6310081836503008092023184823.jpg")</f>
        <v>https://dpmzos25m8ivg.cloudfront.net/Documentos/631/00818365030/6310081836503008092023184823.jpg</v>
      </c>
      <c r="H227" s="4" t="s">
        <v>8814</v>
      </c>
    </row>
    <row r="228" spans="1:8" x14ac:dyDescent="0.25">
      <c r="A228" s="2" t="s">
        <v>240</v>
      </c>
      <c r="B228" s="3"/>
      <c r="C228" s="3"/>
      <c r="D228" s="3"/>
      <c r="E228" s="4" t="str">
        <f>HYPERLINK("https://dpmzos25m8ivg.cloudfront.net/Documentos/631/00821932233/6310082193223311092023155801.pdf","https://dpmzos25m8ivg.cloudfront.net/Documentos/631/00821932233/6310082193223311092023155801.pdf")</f>
        <v>https://dpmzos25m8ivg.cloudfront.net/Documentos/631/00821932233/6310082193223311092023155801.pdf</v>
      </c>
      <c r="F228" s="5" t="str">
        <f>HYPERLINK("https://dpmzos25m8ivg.cloudfront.net/Documentos/631/00821932233/6310082193223311092023155822.pdf","https://dpmzos25m8ivg.cloudfront.net/Documentos/631/00821932233/6310082193223311092023155822.pdf")</f>
        <v>https://dpmzos25m8ivg.cloudfront.net/Documentos/631/00821932233/6310082193223311092023155822.pdf</v>
      </c>
      <c r="G228" s="5" t="str">
        <f>HYPERLINK("https://dpmzos25m8ivg.cloudfront.net/Documentos/631/00821932233/6310082193223311092023155830.pdf","https://dpmzos25m8ivg.cloudfront.net/Documentos/631/00821932233/6310082193223311092023155830.pdf")</f>
        <v>https://dpmzos25m8ivg.cloudfront.net/Documentos/631/00821932233/6310082193223311092023155830.pdf</v>
      </c>
      <c r="H228" s="4" t="s">
        <v>8815</v>
      </c>
    </row>
    <row r="229" spans="1:8" x14ac:dyDescent="0.25">
      <c r="A229" s="2" t="s">
        <v>241</v>
      </c>
      <c r="B229" s="3"/>
      <c r="C229" s="3"/>
      <c r="D229" s="3"/>
      <c r="E229" s="4" t="str">
        <f>HYPERLINK("https://dpmzos25m8ivg.cloudfront.net/Documentos/631/00822535360/6310082253536009092023152012.pdf","https://dpmzos25m8ivg.cloudfront.net/Documentos/631/00822535360/6310082253536009092023152012.pdf")</f>
        <v>https://dpmzos25m8ivg.cloudfront.net/Documentos/631/00822535360/6310082253536009092023152012.pdf</v>
      </c>
      <c r="F229" s="5" t="str">
        <f>HYPERLINK("https://dpmzos25m8ivg.cloudfront.net/Documentos/631/00822535360/6310082253536009092023152046.pdf","https://dpmzos25m8ivg.cloudfront.net/Documentos/631/00822535360/6310082253536009092023152046.pdf")</f>
        <v>https://dpmzos25m8ivg.cloudfront.net/Documentos/631/00822535360/6310082253536009092023152046.pdf</v>
      </c>
      <c r="G229" s="5" t="str">
        <f>HYPERLINK("https://dpmzos25m8ivg.cloudfront.net/Documentos/631/00822535360/6310082253536009092023152106.pdf","https://dpmzos25m8ivg.cloudfront.net/Documentos/631/00822535360/6310082253536009092023152106.pdf")</f>
        <v>https://dpmzos25m8ivg.cloudfront.net/Documentos/631/00822535360/6310082253536009092023152106.pdf</v>
      </c>
      <c r="H229" s="4" t="s">
        <v>8816</v>
      </c>
    </row>
    <row r="230" spans="1:8" x14ac:dyDescent="0.25">
      <c r="A230" s="2" t="s">
        <v>242</v>
      </c>
      <c r="B230" s="3" t="s">
        <v>42</v>
      </c>
      <c r="C230" s="3"/>
      <c r="D230" s="3"/>
      <c r="E230" s="4" t="str">
        <f>HYPERLINK("https://dpmzos25m8ivg.cloudfront.net/Documentos/631/00823792200/6310082379220011092023095452.jpg","https://dpmzos25m8ivg.cloudfront.net/Documentos/631/00823792200/6310082379220011092023095452.jpg")</f>
        <v>https://dpmzos25m8ivg.cloudfront.net/Documentos/631/00823792200/6310082379220011092023095452.jpg</v>
      </c>
      <c r="F230" s="5" t="str">
        <f>HYPERLINK("https://dpmzos25m8ivg.cloudfront.net/Documentos/631/00823792200/6310082379220011092023095500.jpg","https://dpmzos25m8ivg.cloudfront.net/Documentos/631/00823792200/6310082379220011092023095500.jpg")</f>
        <v>https://dpmzos25m8ivg.cloudfront.net/Documentos/631/00823792200/6310082379220011092023095500.jpg</v>
      </c>
      <c r="G230" s="5" t="str">
        <f>HYPERLINK("https://dpmzos25m8ivg.cloudfront.net/Documentos/631/00823792200/6310082379220011092023095507.jpg","https://dpmzos25m8ivg.cloudfront.net/Documentos/631/00823792200/6310082379220011092023095507.jpg")</f>
        <v>https://dpmzos25m8ivg.cloudfront.net/Documentos/631/00823792200/6310082379220011092023095507.jpg</v>
      </c>
      <c r="H230" s="4" t="s">
        <v>8817</v>
      </c>
    </row>
    <row r="231" spans="1:8" x14ac:dyDescent="0.25">
      <c r="A231" s="2" t="s">
        <v>243</v>
      </c>
      <c r="B231" s="3"/>
      <c r="C231" s="3"/>
      <c r="D231" s="3"/>
      <c r="E231" s="4" t="str">
        <f>HYPERLINK("https://dpmzos25m8ivg.cloudfront.net/Documentos/631/00829999108/6310082999910808092023211528.pdf","https://dpmzos25m8ivg.cloudfront.net/Documentos/631/00829999108/6310082999910808092023211528.pdf")</f>
        <v>https://dpmzos25m8ivg.cloudfront.net/Documentos/631/00829999108/6310082999910808092023211528.pdf</v>
      </c>
      <c r="F231" s="5" t="str">
        <f>HYPERLINK("https://dpmzos25m8ivg.cloudfront.net/Documentos/631/00829999108/6310082999910808092023211541.pdf","https://dpmzos25m8ivg.cloudfront.net/Documentos/631/00829999108/6310082999910808092023211541.pdf")</f>
        <v>https://dpmzos25m8ivg.cloudfront.net/Documentos/631/00829999108/6310082999910808092023211541.pdf</v>
      </c>
      <c r="G231" s="5" t="str">
        <f>HYPERLINK("https://dpmzos25m8ivg.cloudfront.net/Documentos/631/00829999108/6310082999910808092023211554.pdf","https://dpmzos25m8ivg.cloudfront.net/Documentos/631/00829999108/6310082999910808092023211554.pdf")</f>
        <v>https://dpmzos25m8ivg.cloudfront.net/Documentos/631/00829999108/6310082999910808092023211554.pdf</v>
      </c>
      <c r="H231" s="4" t="s">
        <v>8818</v>
      </c>
    </row>
    <row r="232" spans="1:8" x14ac:dyDescent="0.25">
      <c r="A232" s="2" t="s">
        <v>244</v>
      </c>
      <c r="B232" s="3"/>
      <c r="C232" s="3"/>
      <c r="D232" s="3"/>
      <c r="E232" s="4" t="str">
        <f>HYPERLINK("https://dpmzos25m8ivg.cloudfront.net/Documentos/631/00832613460/6310083261346005092023123734.pdf","https://dpmzos25m8ivg.cloudfront.net/Documentos/631/00832613460/6310083261346005092023123734.pdf")</f>
        <v>https://dpmzos25m8ivg.cloudfront.net/Documentos/631/00832613460/6310083261346005092023123734.pdf</v>
      </c>
      <c r="F232" s="5" t="str">
        <f>HYPERLINK("https://dpmzos25m8ivg.cloudfront.net/Documentos/631/00832613460/6310083261346005092023123759.pdf","https://dpmzos25m8ivg.cloudfront.net/Documentos/631/00832613460/6310083261346005092023123759.pdf")</f>
        <v>https://dpmzos25m8ivg.cloudfront.net/Documentos/631/00832613460/6310083261346005092023123759.pdf</v>
      </c>
      <c r="G232" s="5" t="str">
        <f>HYPERLINK("https://dpmzos25m8ivg.cloudfront.net/Documentos/631/00832613460/6310083261346005092023123827.pdf","https://dpmzos25m8ivg.cloudfront.net/Documentos/631/00832613460/6310083261346005092023123827.pdf")</f>
        <v>https://dpmzos25m8ivg.cloudfront.net/Documentos/631/00832613460/6310083261346005092023123827.pdf</v>
      </c>
      <c r="H232" s="4" t="s">
        <v>8819</v>
      </c>
    </row>
    <row r="233" spans="1:8" x14ac:dyDescent="0.25">
      <c r="A233" s="2" t="s">
        <v>245</v>
      </c>
      <c r="B233" s="3"/>
      <c r="C233" s="3"/>
      <c r="D233" s="3"/>
      <c r="E233" s="4" t="str">
        <f>HYPERLINK("https://dpmzos25m8ivg.cloudfront.net/Documentos/631/00834957469/6310083495746905092023153122.pdf","https://dpmzos25m8ivg.cloudfront.net/Documentos/631/00834957469/6310083495746905092023153122.pdf")</f>
        <v>https://dpmzos25m8ivg.cloudfront.net/Documentos/631/00834957469/6310083495746905092023153122.pdf</v>
      </c>
      <c r="F233" s="5" t="str">
        <f>HYPERLINK("https://dpmzos25m8ivg.cloudfront.net/Documentos/631/00834957469/6310083495746905092023153139.pdf","https://dpmzos25m8ivg.cloudfront.net/Documentos/631/00834957469/6310083495746905092023153139.pdf")</f>
        <v>https://dpmzos25m8ivg.cloudfront.net/Documentos/631/00834957469/6310083495746905092023153139.pdf</v>
      </c>
      <c r="G233" s="5" t="str">
        <f>HYPERLINK("https://dpmzos25m8ivg.cloudfront.net/Documentos/631/00834957469/6310083495746905092023153154.pdf","https://dpmzos25m8ivg.cloudfront.net/Documentos/631/00834957469/6310083495746905092023153154.pdf")</f>
        <v>https://dpmzos25m8ivg.cloudfront.net/Documentos/631/00834957469/6310083495746905092023153154.pdf</v>
      </c>
      <c r="H233" s="4" t="s">
        <v>8820</v>
      </c>
    </row>
    <row r="234" spans="1:8" x14ac:dyDescent="0.25">
      <c r="A234" s="2" t="s">
        <v>246</v>
      </c>
      <c r="B234" s="3"/>
      <c r="C234" s="3"/>
      <c r="D234" s="3"/>
      <c r="E234" s="4" t="str">
        <f>HYPERLINK("https://dpmzos25m8ivg.cloudfront.net/Documentos/631/00834960095/6310083496009505092023102023.pdf","https://dpmzos25m8ivg.cloudfront.net/Documentos/631/00834960095/6310083496009505092023102023.pdf")</f>
        <v>https://dpmzos25m8ivg.cloudfront.net/Documentos/631/00834960095/6310083496009505092023102023.pdf</v>
      </c>
      <c r="F234" s="5" t="str">
        <f>HYPERLINK("https://dpmzos25m8ivg.cloudfront.net/Documentos/631/00834960095/6310083496009505092023102041.pdf","https://dpmzos25m8ivg.cloudfront.net/Documentos/631/00834960095/6310083496009505092023102041.pdf")</f>
        <v>https://dpmzos25m8ivg.cloudfront.net/Documentos/631/00834960095/6310083496009505092023102041.pdf</v>
      </c>
      <c r="G234" s="5" t="str">
        <f>HYPERLINK("https://dpmzos25m8ivg.cloudfront.net/Documentos/631/00834960095/6310083496009505092023102054.pdf","https://dpmzos25m8ivg.cloudfront.net/Documentos/631/00834960095/6310083496009505092023102054.pdf")</f>
        <v>https://dpmzos25m8ivg.cloudfront.net/Documentos/631/00834960095/6310083496009505092023102054.pdf</v>
      </c>
      <c r="H234" s="4" t="s">
        <v>8821</v>
      </c>
    </row>
    <row r="235" spans="1:8" x14ac:dyDescent="0.25">
      <c r="A235" s="2" t="s">
        <v>247</v>
      </c>
      <c r="B235" s="3" t="s">
        <v>8</v>
      </c>
      <c r="C235" s="3"/>
      <c r="D235" s="3"/>
      <c r="E235" s="4" t="str">
        <f>HYPERLINK("https://dpmzos25m8ivg.cloudfront.net/Documentos/631/00835679250/6310083567925011092023005032.pdf","https://dpmzos25m8ivg.cloudfront.net/Documentos/631/00835679250/6310083567925011092023005032.pdf")</f>
        <v>https://dpmzos25m8ivg.cloudfront.net/Documentos/631/00835679250/6310083567925011092023005032.pdf</v>
      </c>
      <c r="F235" s="5" t="str">
        <f>HYPERLINK("https://dpmzos25m8ivg.cloudfront.net/Documentos/631/00835679250/6310083567925011092023005058.pdf","https://dpmzos25m8ivg.cloudfront.net/Documentos/631/00835679250/6310083567925011092023005058.pdf")</f>
        <v>https://dpmzos25m8ivg.cloudfront.net/Documentos/631/00835679250/6310083567925011092023005058.pdf</v>
      </c>
      <c r="G235" s="5" t="str">
        <f>HYPERLINK("https://dpmzos25m8ivg.cloudfront.net/Documentos/631/00835679250/6310083567925011092023010212.pdf","https://dpmzos25m8ivg.cloudfront.net/Documentos/631/00835679250/6310083567925011092023010212.pdf")</f>
        <v>https://dpmzos25m8ivg.cloudfront.net/Documentos/631/00835679250/6310083567925011092023010212.pdf</v>
      </c>
      <c r="H235" s="4" t="s">
        <v>8822</v>
      </c>
    </row>
    <row r="236" spans="1:8" x14ac:dyDescent="0.25">
      <c r="A236" s="2" t="s">
        <v>248</v>
      </c>
      <c r="B236" s="3"/>
      <c r="C236" s="3"/>
      <c r="D236" s="3"/>
      <c r="E236" s="4" t="str">
        <f>HYPERLINK("https://dpmzos25m8ivg.cloudfront.net/Documentos/631/00835875431/6310083587543105092023142846.pdf","https://dpmzos25m8ivg.cloudfront.net/Documentos/631/00835875431/6310083587543105092023142846.pdf")</f>
        <v>https://dpmzos25m8ivg.cloudfront.net/Documentos/631/00835875431/6310083587543105092023142846.pdf</v>
      </c>
      <c r="F236" s="5" t="str">
        <f>HYPERLINK("https://dpmzos25m8ivg.cloudfront.net/Documentos/631/00835875431/6310083587543105092023142859.pdf","https://dpmzos25m8ivg.cloudfront.net/Documentos/631/00835875431/6310083587543105092023142859.pdf")</f>
        <v>https://dpmzos25m8ivg.cloudfront.net/Documentos/631/00835875431/6310083587543105092023142859.pdf</v>
      </c>
      <c r="G236" s="5" t="str">
        <f>HYPERLINK("https://dpmzos25m8ivg.cloudfront.net/Documentos/631/00835875431/6310083587543104092023175020.pdf","https://dpmzos25m8ivg.cloudfront.net/Documentos/631/00835875431/6310083587543104092023175020.pdf")</f>
        <v>https://dpmzos25m8ivg.cloudfront.net/Documentos/631/00835875431/6310083587543104092023175020.pdf</v>
      </c>
      <c r="H236" s="4" t="s">
        <v>8823</v>
      </c>
    </row>
    <row r="237" spans="1:8" x14ac:dyDescent="0.25">
      <c r="A237" s="2" t="s">
        <v>249</v>
      </c>
      <c r="B237" s="3"/>
      <c r="C237" s="3"/>
      <c r="D237" s="3"/>
      <c r="E237" s="4" t="str">
        <f>HYPERLINK("https://dpmzos25m8ivg.cloudfront.net/Documentos/631/00836458109/6310083645810911092023133550.pdf","https://dpmzos25m8ivg.cloudfront.net/Documentos/631/00836458109/6310083645810911092023133550.pdf")</f>
        <v>https://dpmzos25m8ivg.cloudfront.net/Documentos/631/00836458109/6310083645810911092023133550.pdf</v>
      </c>
      <c r="F237" s="5" t="str">
        <f>HYPERLINK("https://dpmzos25m8ivg.cloudfront.net/Documentos/631/00836458109/6310083645810911092023133609.pdf","https://dpmzos25m8ivg.cloudfront.net/Documentos/631/00836458109/6310083645810911092023133609.pdf")</f>
        <v>https://dpmzos25m8ivg.cloudfront.net/Documentos/631/00836458109/6310083645810911092023133609.pdf</v>
      </c>
      <c r="G237" s="5" t="str">
        <f>HYPERLINK("https://dpmzos25m8ivg.cloudfront.net/Documentos/631/00836458109/6310083645810911092023133618.pdf","https://dpmzos25m8ivg.cloudfront.net/Documentos/631/00836458109/6310083645810911092023133618.pdf")</f>
        <v>https://dpmzos25m8ivg.cloudfront.net/Documentos/631/00836458109/6310083645810911092023133618.pdf</v>
      </c>
      <c r="H237" s="4" t="s">
        <v>8824</v>
      </c>
    </row>
    <row r="238" spans="1:8" x14ac:dyDescent="0.25">
      <c r="A238" s="2" t="s">
        <v>250</v>
      </c>
      <c r="B238" s="3"/>
      <c r="C238" s="3"/>
      <c r="D238" s="3"/>
      <c r="E238" s="4" t="str">
        <f>HYPERLINK("https://dpmzos25m8ivg.cloudfront.net/Documentos/631/00839089945/6310083908994508092023195251.pdf","https://dpmzos25m8ivg.cloudfront.net/Documentos/631/00839089945/6310083908994508092023195251.pdf")</f>
        <v>https://dpmzos25m8ivg.cloudfront.net/Documentos/631/00839089945/6310083908994508092023195251.pdf</v>
      </c>
      <c r="F238" s="5" t="str">
        <f>HYPERLINK("https://dpmzos25m8ivg.cloudfront.net/Documentos/631/00839089945/6310083908994508092023195347.pdf","https://dpmzos25m8ivg.cloudfront.net/Documentos/631/00839089945/6310083908994508092023195347.pdf")</f>
        <v>https://dpmzos25m8ivg.cloudfront.net/Documentos/631/00839089945/6310083908994508092023195347.pdf</v>
      </c>
      <c r="G238" s="5" t="str">
        <f>HYPERLINK("https://dpmzos25m8ivg.cloudfront.net/Documentos/631/00839089945/6310083908994508092023195409.pdf","https://dpmzos25m8ivg.cloudfront.net/Documentos/631/00839089945/6310083908994508092023195409.pdf")</f>
        <v>https://dpmzos25m8ivg.cloudfront.net/Documentos/631/00839089945/6310083908994508092023195409.pdf</v>
      </c>
      <c r="H238" s="4" t="s">
        <v>8825</v>
      </c>
    </row>
    <row r="239" spans="1:8" x14ac:dyDescent="0.25">
      <c r="A239" s="2" t="s">
        <v>251</v>
      </c>
      <c r="B239" s="3"/>
      <c r="C239" s="3"/>
      <c r="D239" s="3"/>
      <c r="E239" s="4" t="str">
        <f>HYPERLINK("https://dpmzos25m8ivg.cloudfront.net/Documentos/631/00840752288/6310084075228808092023123810.pdf","https://dpmzos25m8ivg.cloudfront.net/Documentos/631/00840752288/6310084075228808092023123810.pdf")</f>
        <v>https://dpmzos25m8ivg.cloudfront.net/Documentos/631/00840752288/6310084075228808092023123810.pdf</v>
      </c>
      <c r="F239" s="5" t="str">
        <f>HYPERLINK("https://dpmzos25m8ivg.cloudfront.net/Documentos/631/00840752288/6310084075228808092023123817.pdf","https://dpmzos25m8ivg.cloudfront.net/Documentos/631/00840752288/6310084075228808092023123817.pdf")</f>
        <v>https://dpmzos25m8ivg.cloudfront.net/Documentos/631/00840752288/6310084075228808092023123817.pdf</v>
      </c>
      <c r="G239" s="5" t="str">
        <f>HYPERLINK("https://dpmzos25m8ivg.cloudfront.net/Documentos/631/00840752288/6310084075228808092023123828.pdf","https://dpmzos25m8ivg.cloudfront.net/Documentos/631/00840752288/6310084075228808092023123828.pdf")</f>
        <v>https://dpmzos25m8ivg.cloudfront.net/Documentos/631/00840752288/6310084075228808092023123828.pdf</v>
      </c>
      <c r="H239" s="4" t="s">
        <v>8826</v>
      </c>
    </row>
    <row r="240" spans="1:8" x14ac:dyDescent="0.25">
      <c r="A240" s="2" t="s">
        <v>252</v>
      </c>
      <c r="B240" s="3"/>
      <c r="C240" s="3"/>
      <c r="D240" s="3"/>
      <c r="E240" s="4" t="str">
        <f>HYPERLINK("https://dpmzos25m8ivg.cloudfront.net/Documentos/631/00841645221/6310084164522111092023160656.pdf","https://dpmzos25m8ivg.cloudfront.net/Documentos/631/00841645221/6310084164522111092023160656.pdf")</f>
        <v>https://dpmzos25m8ivg.cloudfront.net/Documentos/631/00841645221/6310084164522111092023160656.pdf</v>
      </c>
      <c r="F240" s="5" t="str">
        <f>HYPERLINK("https://dpmzos25m8ivg.cloudfront.net/Documentos/631/00841645221/6310084164522111092023160805.pdf","https://dpmzos25m8ivg.cloudfront.net/Documentos/631/00841645221/6310084164522111092023160805.pdf")</f>
        <v>https://dpmzos25m8ivg.cloudfront.net/Documentos/631/00841645221/6310084164522111092023160805.pdf</v>
      </c>
      <c r="G240" s="5" t="str">
        <f>HYPERLINK("https://dpmzos25m8ivg.cloudfront.net/Documentos/631/00841645221/6310084164522111092023160817.pdf","https://dpmzos25m8ivg.cloudfront.net/Documentos/631/00841645221/6310084164522111092023160817.pdf")</f>
        <v>https://dpmzos25m8ivg.cloudfront.net/Documentos/631/00841645221/6310084164522111092023160817.pdf</v>
      </c>
      <c r="H240" s="4" t="s">
        <v>8827</v>
      </c>
    </row>
    <row r="241" spans="1:8" x14ac:dyDescent="0.25">
      <c r="A241" s="2" t="s">
        <v>253</v>
      </c>
      <c r="B241" s="3"/>
      <c r="C241" s="3"/>
      <c r="D241" s="3"/>
      <c r="E241" s="4" t="str">
        <f>HYPERLINK("https://dpmzos25m8ivg.cloudfront.net/Documentos/631/00843043598/6310084304359806092023081032.jpeg","https://dpmzos25m8ivg.cloudfront.net/Documentos/631/00843043598/6310084304359806092023081032.jpeg")</f>
        <v>https://dpmzos25m8ivg.cloudfront.net/Documentos/631/00843043598/6310084304359806092023081032.jpeg</v>
      </c>
      <c r="F241" s="5" t="str">
        <f>HYPERLINK("https://dpmzos25m8ivg.cloudfront.net/Documentos/631/00843043598/6310084304359806092023081043.jpeg","https://dpmzos25m8ivg.cloudfront.net/Documentos/631/00843043598/6310084304359806092023081043.jpeg")</f>
        <v>https://dpmzos25m8ivg.cloudfront.net/Documentos/631/00843043598/6310084304359806092023081043.jpeg</v>
      </c>
      <c r="G241" s="5" t="str">
        <f>HYPERLINK("https://dpmzos25m8ivg.cloudfront.net/Documentos/631/00843043598/6310084304359806092023081053.jpeg","https://dpmzos25m8ivg.cloudfront.net/Documentos/631/00843043598/6310084304359806092023081053.jpeg")</f>
        <v>https://dpmzos25m8ivg.cloudfront.net/Documentos/631/00843043598/6310084304359806092023081053.jpeg</v>
      </c>
      <c r="H241" s="4" t="s">
        <v>8828</v>
      </c>
    </row>
    <row r="242" spans="1:8" x14ac:dyDescent="0.25">
      <c r="A242" s="2" t="s">
        <v>254</v>
      </c>
      <c r="B242" s="3"/>
      <c r="C242" s="3"/>
      <c r="D242" s="3"/>
      <c r="E242" s="4" t="str">
        <f>HYPERLINK("https://dpmzos25m8ivg.cloudfront.net/Documentos/631/00844082198/6310084408219811092023135736.pdf","https://dpmzos25m8ivg.cloudfront.net/Documentos/631/00844082198/6310084408219811092023135736.pdf")</f>
        <v>https://dpmzos25m8ivg.cloudfront.net/Documentos/631/00844082198/6310084408219811092023135736.pdf</v>
      </c>
      <c r="F242" s="5" t="str">
        <f>HYPERLINK("https://dpmzos25m8ivg.cloudfront.net/Documentos/631/00844082198/6310084408219811092023135720.pdf","https://dpmzos25m8ivg.cloudfront.net/Documentos/631/00844082198/6310084408219811092023135720.pdf")</f>
        <v>https://dpmzos25m8ivg.cloudfront.net/Documentos/631/00844082198/6310084408219811092023135720.pdf</v>
      </c>
      <c r="G242" s="5" t="str">
        <f>HYPERLINK("https://dpmzos25m8ivg.cloudfront.net/Documentos/631/00844082198/6310084408219811092023135710.pdf","https://dpmzos25m8ivg.cloudfront.net/Documentos/631/00844082198/6310084408219811092023135710.pdf")</f>
        <v>https://dpmzos25m8ivg.cloudfront.net/Documentos/631/00844082198/6310084408219811092023135710.pdf</v>
      </c>
      <c r="H242" s="4" t="s">
        <v>8829</v>
      </c>
    </row>
    <row r="243" spans="1:8" x14ac:dyDescent="0.25">
      <c r="A243" s="2" t="s">
        <v>255</v>
      </c>
      <c r="B243" s="3"/>
      <c r="C243" s="3"/>
      <c r="D243" s="3"/>
      <c r="E243" s="4" t="str">
        <f>HYPERLINK("https://dpmzos25m8ivg.cloudfront.net/Documentos/631/00844801909/6310084480190911092023112909.pdf","https://dpmzos25m8ivg.cloudfront.net/Documentos/631/00844801909/6310084480190911092023112909.pdf")</f>
        <v>https://dpmzos25m8ivg.cloudfront.net/Documentos/631/00844801909/6310084480190911092023112909.pdf</v>
      </c>
      <c r="F243" s="5" t="str">
        <f>HYPERLINK("https://dpmzos25m8ivg.cloudfront.net/Documentos/631/00844801909/6310084480190911092023112927.pdf","https://dpmzos25m8ivg.cloudfront.net/Documentos/631/00844801909/6310084480190911092023112927.pdf")</f>
        <v>https://dpmzos25m8ivg.cloudfront.net/Documentos/631/00844801909/6310084480190911092023112927.pdf</v>
      </c>
      <c r="G243" s="5" t="str">
        <f>HYPERLINK("https://dpmzos25m8ivg.cloudfront.net/Documentos/631/00844801909/6310084480190911092023112941.pdf","https://dpmzos25m8ivg.cloudfront.net/Documentos/631/00844801909/6310084480190911092023112941.pdf")</f>
        <v>https://dpmzos25m8ivg.cloudfront.net/Documentos/631/00844801909/6310084480190911092023112941.pdf</v>
      </c>
      <c r="H243" s="4" t="s">
        <v>8830</v>
      </c>
    </row>
    <row r="244" spans="1:8" x14ac:dyDescent="0.25">
      <c r="A244" s="2" t="s">
        <v>256</v>
      </c>
      <c r="B244" s="3"/>
      <c r="C244" s="3"/>
      <c r="D244" s="3"/>
      <c r="E244" s="4" t="str">
        <f>HYPERLINK("https://dpmzos25m8ivg.cloudfront.net/Documentos/631/00854266364/6310085426636410092023121055.jpeg","https://dpmzos25m8ivg.cloudfront.net/Documentos/631/00854266364/6310085426636410092023121055.jpeg")</f>
        <v>https://dpmzos25m8ivg.cloudfront.net/Documentos/631/00854266364/6310085426636410092023121055.jpeg</v>
      </c>
      <c r="F244" s="5" t="str">
        <f>HYPERLINK("https://dpmzos25m8ivg.cloudfront.net/Documentos/631/00854266364/6310085426636410092023121104.jpeg","https://dpmzos25m8ivg.cloudfront.net/Documentos/631/00854266364/6310085426636410092023121104.jpeg")</f>
        <v>https://dpmzos25m8ivg.cloudfront.net/Documentos/631/00854266364/6310085426636410092023121104.jpeg</v>
      </c>
      <c r="G244" s="5" t="str">
        <f>HYPERLINK("https://dpmzos25m8ivg.cloudfront.net/Documentos/631/00854266364/6310085426636410092023121118.jpeg","https://dpmzos25m8ivg.cloudfront.net/Documentos/631/00854266364/6310085426636410092023121118.jpeg")</f>
        <v>https://dpmzos25m8ivg.cloudfront.net/Documentos/631/00854266364/6310085426636410092023121118.jpeg</v>
      </c>
      <c r="H244" s="4" t="s">
        <v>8831</v>
      </c>
    </row>
    <row r="245" spans="1:8" x14ac:dyDescent="0.25">
      <c r="A245" s="2" t="s">
        <v>257</v>
      </c>
      <c r="B245" s="3" t="s">
        <v>8</v>
      </c>
      <c r="C245" s="3"/>
      <c r="D245" s="3"/>
      <c r="E245" s="4" t="str">
        <f>HYPERLINK("https://dpmzos25m8ivg.cloudfront.net/Documentos/631/00855020229/6310085502022908092023141203.jpeg","https://dpmzos25m8ivg.cloudfront.net/Documentos/631/00855020229/6310085502022908092023141203.jpeg")</f>
        <v>https://dpmzos25m8ivg.cloudfront.net/Documentos/631/00855020229/6310085502022908092023141203.jpeg</v>
      </c>
      <c r="F245" s="5" t="str">
        <f>HYPERLINK("https://dpmzos25m8ivg.cloudfront.net/Documentos/631/00855020229/6310085502022908092023141220.jpeg","https://dpmzos25m8ivg.cloudfront.net/Documentos/631/00855020229/6310085502022908092023141220.jpeg")</f>
        <v>https://dpmzos25m8ivg.cloudfront.net/Documentos/631/00855020229/6310085502022908092023141220.jpeg</v>
      </c>
      <c r="G245" s="5" t="str">
        <f>HYPERLINK("https://dpmzos25m8ivg.cloudfront.net/Documentos/631/00855020229/6310085502022908092023141231.jpeg","https://dpmzos25m8ivg.cloudfront.net/Documentos/631/00855020229/6310085502022908092023141231.jpeg")</f>
        <v>https://dpmzos25m8ivg.cloudfront.net/Documentos/631/00855020229/6310085502022908092023141231.jpeg</v>
      </c>
      <c r="H245" s="4" t="s">
        <v>8832</v>
      </c>
    </row>
    <row r="246" spans="1:8" x14ac:dyDescent="0.25">
      <c r="A246" s="2" t="s">
        <v>258</v>
      </c>
      <c r="B246" s="3"/>
      <c r="C246" s="3"/>
      <c r="D246" s="3"/>
      <c r="E246" s="4" t="str">
        <f>HYPERLINK("https://dpmzos25m8ivg.cloudfront.net/Documentos/631/00855281456/6310085528145611092023144449.pdf","https://dpmzos25m8ivg.cloudfront.net/Documentos/631/00855281456/6310085528145611092023144449.pdf")</f>
        <v>https://dpmzos25m8ivg.cloudfront.net/Documentos/631/00855281456/6310085528145611092023144449.pdf</v>
      </c>
      <c r="F246" s="5" t="str">
        <f>HYPERLINK("https://dpmzos25m8ivg.cloudfront.net/Documentos/631/00855281456/6310085528145611092023144508.pdf","https://dpmzos25m8ivg.cloudfront.net/Documentos/631/00855281456/6310085528145611092023144508.pdf")</f>
        <v>https://dpmzos25m8ivg.cloudfront.net/Documentos/631/00855281456/6310085528145611092023144508.pdf</v>
      </c>
      <c r="G246" s="5" t="str">
        <f>HYPERLINK("https://dpmzos25m8ivg.cloudfront.net/Documentos/631/00855281456/6310085528145611092023144522.pdf","https://dpmzos25m8ivg.cloudfront.net/Documentos/631/00855281456/6310085528145611092023144522.pdf")</f>
        <v>https://dpmzos25m8ivg.cloudfront.net/Documentos/631/00855281456/6310085528145611092023144522.pdf</v>
      </c>
      <c r="H246" s="4" t="s">
        <v>8833</v>
      </c>
    </row>
    <row r="247" spans="1:8" x14ac:dyDescent="0.25">
      <c r="A247" s="2" t="s">
        <v>259</v>
      </c>
      <c r="B247" s="3" t="s">
        <v>8</v>
      </c>
      <c r="C247" s="3"/>
      <c r="D247" s="3"/>
      <c r="E247" s="4" t="str">
        <f>HYPERLINK("https://dpmzos25m8ivg.cloudfront.net/Documentos/631/00862079039/6310086207903911092023142414.pdf","https://dpmzos25m8ivg.cloudfront.net/Documentos/631/00862079039/6310086207903911092023142414.pdf")</f>
        <v>https://dpmzos25m8ivg.cloudfront.net/Documentos/631/00862079039/6310086207903911092023142414.pdf</v>
      </c>
      <c r="F247" s="5" t="str">
        <f>HYPERLINK("https://dpmzos25m8ivg.cloudfront.net/Documentos/631/00862079039/6310086207903911092023142433.pdf","https://dpmzos25m8ivg.cloudfront.net/Documentos/631/00862079039/6310086207903911092023142433.pdf")</f>
        <v>https://dpmzos25m8ivg.cloudfront.net/Documentos/631/00862079039/6310086207903911092023142433.pdf</v>
      </c>
      <c r="G247" s="5" t="str">
        <f>HYPERLINK("https://dpmzos25m8ivg.cloudfront.net/Documentos/631/00862079039/6310086207903911092023142447.pdf","https://dpmzos25m8ivg.cloudfront.net/Documentos/631/00862079039/6310086207903911092023142447.pdf")</f>
        <v>https://dpmzos25m8ivg.cloudfront.net/Documentos/631/00862079039/6310086207903911092023142447.pdf</v>
      </c>
      <c r="H247" s="4" t="s">
        <v>8834</v>
      </c>
    </row>
    <row r="248" spans="1:8" x14ac:dyDescent="0.25">
      <c r="A248" s="2" t="s">
        <v>260</v>
      </c>
      <c r="B248" s="3"/>
      <c r="C248" s="3"/>
      <c r="D248" s="3"/>
      <c r="E248" s="4" t="str">
        <f>HYPERLINK("https://dpmzos25m8ivg.cloudfront.net/Documentos/631/00862455545/6310086245554508092023194721.pdf","https://dpmzos25m8ivg.cloudfront.net/Documentos/631/00862455545/6310086245554508092023194721.pdf")</f>
        <v>https://dpmzos25m8ivg.cloudfront.net/Documentos/631/00862455545/6310086245554508092023194721.pdf</v>
      </c>
      <c r="F248" s="5" t="str">
        <f>HYPERLINK("https://dpmzos25m8ivg.cloudfront.net/Documentos/631/00862455545/6310086245554508092023195853.pdf","https://dpmzos25m8ivg.cloudfront.net/Documentos/631/00862455545/6310086245554508092023195853.pdf")</f>
        <v>https://dpmzos25m8ivg.cloudfront.net/Documentos/631/00862455545/6310086245554508092023195853.pdf</v>
      </c>
      <c r="G248" s="5" t="str">
        <f>HYPERLINK("https://dpmzos25m8ivg.cloudfront.net/Documentos/631/00862455545/6310086245554508092023195757.pdf","https://dpmzos25m8ivg.cloudfront.net/Documentos/631/00862455545/6310086245554508092023195757.pdf")</f>
        <v>https://dpmzos25m8ivg.cloudfront.net/Documentos/631/00862455545/6310086245554508092023195757.pdf</v>
      </c>
      <c r="H248" s="4" t="s">
        <v>8835</v>
      </c>
    </row>
    <row r="249" spans="1:8" x14ac:dyDescent="0.25">
      <c r="A249" s="2" t="s">
        <v>261</v>
      </c>
      <c r="B249" s="3"/>
      <c r="C249" s="3"/>
      <c r="D249" s="3"/>
      <c r="E249" s="4" t="str">
        <f>HYPERLINK("https://dpmzos25m8ivg.cloudfront.net/Documentos/631/00863839576/6310086383957612092023195444.jpg","https://dpmzos25m8ivg.cloudfront.net/Documentos/631/00863839576/6310086383957612092023195444.jpg")</f>
        <v>https://dpmzos25m8ivg.cloudfront.net/Documentos/631/00863839576/6310086383957612092023195444.jpg</v>
      </c>
      <c r="F249" s="5" t="str">
        <f>HYPERLINK("https://dpmzos25m8ivg.cloudfront.net/Documentos/631/00863839576/6310086383957612092023195229.jpg","https://dpmzos25m8ivg.cloudfront.net/Documentos/631/00863839576/6310086383957612092023195229.jpg")</f>
        <v>https://dpmzos25m8ivg.cloudfront.net/Documentos/631/00863839576/6310086383957612092023195229.jpg</v>
      </c>
      <c r="G249" s="5" t="str">
        <f>HYPERLINK("https://dpmzos25m8ivg.cloudfront.net/Documentos/631/00863839576/6310086383957612092023201852.jpg","https://dpmzos25m8ivg.cloudfront.net/Documentos/631/00863839576/6310086383957612092023201852.jpg")</f>
        <v>https://dpmzos25m8ivg.cloudfront.net/Documentos/631/00863839576/6310086383957612092023201852.jpg</v>
      </c>
      <c r="H249" s="4" t="s">
        <v>8836</v>
      </c>
    </row>
    <row r="250" spans="1:8" x14ac:dyDescent="0.25">
      <c r="A250" s="2" t="s">
        <v>262</v>
      </c>
      <c r="B250" s="3"/>
      <c r="C250" s="3"/>
      <c r="D250" s="3"/>
      <c r="E250" s="4" t="str">
        <f>HYPERLINK("https://dpmzos25m8ivg.cloudfront.net/Documentos/631/00864589220/6310086458922011092023140518.jpg","https://dpmzos25m8ivg.cloudfront.net/Documentos/631/00864589220/6310086458922011092023140518.jpg")</f>
        <v>https://dpmzos25m8ivg.cloudfront.net/Documentos/631/00864589220/6310086458922011092023140518.jpg</v>
      </c>
      <c r="F250" s="5" t="str">
        <f>HYPERLINK("https://dpmzos25m8ivg.cloudfront.net/Documentos/631/00864589220/6310086458922011092023140549.jpg","https://dpmzos25m8ivg.cloudfront.net/Documentos/631/00864589220/6310086458922011092023140549.jpg")</f>
        <v>https://dpmzos25m8ivg.cloudfront.net/Documentos/631/00864589220/6310086458922011092023140549.jpg</v>
      </c>
      <c r="G250" s="5" t="str">
        <f>HYPERLINK("https://dpmzos25m8ivg.cloudfront.net/Documentos/631/00864589220/6310086458922011092023140609.jpg","https://dpmzos25m8ivg.cloudfront.net/Documentos/631/00864589220/6310086458922011092023140609.jpg")</f>
        <v>https://dpmzos25m8ivg.cloudfront.net/Documentos/631/00864589220/6310086458922011092023140609.jpg</v>
      </c>
      <c r="H250" s="4" t="s">
        <v>8837</v>
      </c>
    </row>
    <row r="251" spans="1:8" x14ac:dyDescent="0.25">
      <c r="A251" s="2" t="s">
        <v>263</v>
      </c>
      <c r="B251" s="3"/>
      <c r="C251" s="3"/>
      <c r="D251" s="3"/>
      <c r="E251" s="4" t="str">
        <f>HYPERLINK("https://dpmzos25m8ivg.cloudfront.net/Documentos/631/00865216169/6310086521616908092023153656.pdf","https://dpmzos25m8ivg.cloudfront.net/Documentos/631/00865216169/6310086521616908092023153656.pdf")</f>
        <v>https://dpmzos25m8ivg.cloudfront.net/Documentos/631/00865216169/6310086521616908092023153656.pdf</v>
      </c>
      <c r="F251" s="5" t="str">
        <f>HYPERLINK("https://dpmzos25m8ivg.cloudfront.net/Documentos/631/00865216169/6310086521616908092023153712.pdf","https://dpmzos25m8ivg.cloudfront.net/Documentos/631/00865216169/6310086521616908092023153712.pdf")</f>
        <v>https://dpmzos25m8ivg.cloudfront.net/Documentos/631/00865216169/6310086521616908092023153712.pdf</v>
      </c>
      <c r="G251" s="5" t="str">
        <f>HYPERLINK("https://dpmzos25m8ivg.cloudfront.net/Documentos/631/00865216169/6310086521616908092023153726.pdf","https://dpmzos25m8ivg.cloudfront.net/Documentos/631/00865216169/6310086521616908092023153726.pdf")</f>
        <v>https://dpmzos25m8ivg.cloudfront.net/Documentos/631/00865216169/6310086521616908092023153726.pdf</v>
      </c>
      <c r="H251" s="4" t="s">
        <v>8838</v>
      </c>
    </row>
    <row r="252" spans="1:8" x14ac:dyDescent="0.25">
      <c r="A252" s="2" t="s">
        <v>264</v>
      </c>
      <c r="B252" s="3"/>
      <c r="C252" s="3"/>
      <c r="D252" s="3"/>
      <c r="E252" s="4" t="str">
        <f>HYPERLINK("https://dpmzos25m8ivg.cloudfront.net/Documentos/631/00866658203/6310086665820305092023145523.pdf","https://dpmzos25m8ivg.cloudfront.net/Documentos/631/00866658203/6310086665820305092023145523.pdf")</f>
        <v>https://dpmzos25m8ivg.cloudfront.net/Documentos/631/00866658203/6310086665820305092023145523.pdf</v>
      </c>
      <c r="F252" s="5" t="str">
        <f>HYPERLINK("https://dpmzos25m8ivg.cloudfront.net/Documentos/631/00866658203/6310086665820305092023145616.pdf","https://dpmzos25m8ivg.cloudfront.net/Documentos/631/00866658203/6310086665820305092023145616.pdf")</f>
        <v>https://dpmzos25m8ivg.cloudfront.net/Documentos/631/00866658203/6310086665820305092023145616.pdf</v>
      </c>
      <c r="G252" s="5" t="str">
        <f>HYPERLINK("https://dpmzos25m8ivg.cloudfront.net/Documentos/631/00866658203/6310086665820305092023145626.pdf","https://dpmzos25m8ivg.cloudfront.net/Documentos/631/00866658203/6310086665820305092023145626.pdf")</f>
        <v>https://dpmzos25m8ivg.cloudfront.net/Documentos/631/00866658203/6310086665820305092023145626.pdf</v>
      </c>
      <c r="H252" s="4" t="s">
        <v>8839</v>
      </c>
    </row>
    <row r="253" spans="1:8" x14ac:dyDescent="0.25">
      <c r="A253" s="2" t="s">
        <v>265</v>
      </c>
      <c r="B253" s="3"/>
      <c r="C253" s="3"/>
      <c r="D253" s="3"/>
      <c r="E253" s="4" t="str">
        <f>HYPERLINK("https://dpmzos25m8ivg.cloudfront.net/Documentos/631/00867964103/6310086796410306092023155232.pdf","https://dpmzos25m8ivg.cloudfront.net/Documentos/631/00867964103/6310086796410306092023155232.pdf")</f>
        <v>https://dpmzos25m8ivg.cloudfront.net/Documentos/631/00867964103/6310086796410306092023155232.pdf</v>
      </c>
      <c r="F253" s="5" t="str">
        <f>HYPERLINK("https://dpmzos25m8ivg.cloudfront.net/Documentos/631/00867964103/6310086796410306092023155243.pdf","https://dpmzos25m8ivg.cloudfront.net/Documentos/631/00867964103/6310086796410306092023155243.pdf")</f>
        <v>https://dpmzos25m8ivg.cloudfront.net/Documentos/631/00867964103/6310086796410306092023155243.pdf</v>
      </c>
      <c r="G253" s="5" t="str">
        <f>HYPERLINK("https://dpmzos25m8ivg.cloudfront.net/Documentos/631/00867964103/6310086796410306092023155259.pdf","https://dpmzos25m8ivg.cloudfront.net/Documentos/631/00867964103/6310086796410306092023155259.pdf")</f>
        <v>https://dpmzos25m8ivg.cloudfront.net/Documentos/631/00867964103/6310086796410306092023155259.pdf</v>
      </c>
      <c r="H253" s="4" t="s">
        <v>8840</v>
      </c>
    </row>
    <row r="254" spans="1:8" x14ac:dyDescent="0.25">
      <c r="A254" s="2" t="s">
        <v>266</v>
      </c>
      <c r="B254" s="3" t="s">
        <v>8</v>
      </c>
      <c r="C254" s="3"/>
      <c r="D254" s="3"/>
      <c r="E254" s="4" t="str">
        <f>HYPERLINK("https://dpmzos25m8ivg.cloudfront.net/Documentos/631/00873512260/6310087351226014092023164223.jpeg","https://dpmzos25m8ivg.cloudfront.net/Documentos/631/00873512260/6310087351226014092023164223.jpeg")</f>
        <v>https://dpmzos25m8ivg.cloudfront.net/Documentos/631/00873512260/6310087351226014092023164223.jpeg</v>
      </c>
      <c r="F254" s="5" t="str">
        <f>HYPERLINK("https://dpmzos25m8ivg.cloudfront.net/Documentos/631/00873512260/6310087351226014092023164258.jpeg","https://dpmzos25m8ivg.cloudfront.net/Documentos/631/00873512260/6310087351226014092023164258.jpeg")</f>
        <v>https://dpmzos25m8ivg.cloudfront.net/Documentos/631/00873512260/6310087351226014092023164258.jpeg</v>
      </c>
      <c r="G254" s="5" t="str">
        <f>HYPERLINK("https://dpmzos25m8ivg.cloudfront.net/Documentos/631/00873512260/6310087351226014092023164329.jpeg","https://dpmzos25m8ivg.cloudfront.net/Documentos/631/00873512260/6310087351226014092023164329.jpeg")</f>
        <v>https://dpmzos25m8ivg.cloudfront.net/Documentos/631/00873512260/6310087351226014092023164329.jpeg</v>
      </c>
      <c r="H254" s="4" t="s">
        <v>8841</v>
      </c>
    </row>
    <row r="255" spans="1:8" x14ac:dyDescent="0.25">
      <c r="A255" s="2" t="s">
        <v>267</v>
      </c>
      <c r="B255" s="3" t="s">
        <v>8</v>
      </c>
      <c r="C255" s="3"/>
      <c r="D255" s="3"/>
      <c r="E255" s="4" t="str">
        <f>HYPERLINK("https://dpmzos25m8ivg.cloudfront.net/Documentos/631/00874609550/6310087460955012092023220105.pdf","https://dpmzos25m8ivg.cloudfront.net/Documentos/631/00874609550/6310087460955012092023220105.pdf")</f>
        <v>https://dpmzos25m8ivg.cloudfront.net/Documentos/631/00874609550/6310087460955012092023220105.pdf</v>
      </c>
      <c r="F255" s="5" t="str">
        <f>HYPERLINK("https://dpmzos25m8ivg.cloudfront.net/Documentos/631/00874609550/6310087460955012092023220131.pdf","https://dpmzos25m8ivg.cloudfront.net/Documentos/631/00874609550/6310087460955012092023220131.pdf")</f>
        <v>https://dpmzos25m8ivg.cloudfront.net/Documentos/631/00874609550/6310087460955012092023220131.pdf</v>
      </c>
      <c r="G255" s="5" t="str">
        <f>HYPERLINK("https://dpmzos25m8ivg.cloudfront.net/Documentos/631/00874609550/6310087460955012092023220215.pdf","https://dpmzos25m8ivg.cloudfront.net/Documentos/631/00874609550/6310087460955012092023220215.pdf")</f>
        <v>https://dpmzos25m8ivg.cloudfront.net/Documentos/631/00874609550/6310087460955012092023220215.pdf</v>
      </c>
      <c r="H255" s="4" t="s">
        <v>8842</v>
      </c>
    </row>
    <row r="256" spans="1:8" x14ac:dyDescent="0.25">
      <c r="A256" s="2" t="s">
        <v>268</v>
      </c>
      <c r="B256" s="3"/>
      <c r="C256" s="3"/>
      <c r="D256" s="3"/>
      <c r="E256" s="4" t="str">
        <f>HYPERLINK("https://dpmzos25m8ivg.cloudfront.net/Documentos/631/00876398743/6310087639874311092023153321.jpg","https://dpmzos25m8ivg.cloudfront.net/Documentos/631/00876398743/6310087639874311092023153321.jpg")</f>
        <v>https://dpmzos25m8ivg.cloudfront.net/Documentos/631/00876398743/6310087639874311092023153321.jpg</v>
      </c>
      <c r="F256" s="5" t="str">
        <f>HYPERLINK("https://dpmzos25m8ivg.cloudfront.net/Documentos/631/00876398743/6310087639874311092023153354.jpg","https://dpmzos25m8ivg.cloudfront.net/Documentos/631/00876398743/6310087639874311092023153354.jpg")</f>
        <v>https://dpmzos25m8ivg.cloudfront.net/Documentos/631/00876398743/6310087639874311092023153354.jpg</v>
      </c>
      <c r="G256" s="5" t="str">
        <f>HYPERLINK("https://dpmzos25m8ivg.cloudfront.net/Documentos/631/00876398743/6310087639874311092023153423.jpg","https://dpmzos25m8ivg.cloudfront.net/Documentos/631/00876398743/6310087639874311092023153423.jpg")</f>
        <v>https://dpmzos25m8ivg.cloudfront.net/Documentos/631/00876398743/6310087639874311092023153423.jpg</v>
      </c>
      <c r="H256" s="4" t="s">
        <v>8843</v>
      </c>
    </row>
    <row r="257" spans="1:8" x14ac:dyDescent="0.25">
      <c r="A257" s="2" t="s">
        <v>269</v>
      </c>
      <c r="B257" s="3" t="s">
        <v>8</v>
      </c>
      <c r="C257" s="3"/>
      <c r="D257" s="3"/>
      <c r="E257" s="4" t="str">
        <f>HYPERLINK("https://dpmzos25m8ivg.cloudfront.net/Documentos/631/00876620438/6310087662043811092023103406.jpg","https://dpmzos25m8ivg.cloudfront.net/Documentos/631/00876620438/6310087662043811092023103406.jpg")</f>
        <v>https://dpmzos25m8ivg.cloudfront.net/Documentos/631/00876620438/6310087662043811092023103406.jpg</v>
      </c>
      <c r="F257" s="5" t="str">
        <f>HYPERLINK("https://dpmzos25m8ivg.cloudfront.net/Documentos/631/00876620438/6310087662043811092023151208.jpg","https://dpmzos25m8ivg.cloudfront.net/Documentos/631/00876620438/6310087662043811092023151208.jpg")</f>
        <v>https://dpmzos25m8ivg.cloudfront.net/Documentos/631/00876620438/6310087662043811092023151208.jpg</v>
      </c>
      <c r="G257" s="5" t="str">
        <f>HYPERLINK("https://dpmzos25m8ivg.cloudfront.net/Documentos/631/00876620438/6310087662043811092023151228.jpg","https://dpmzos25m8ivg.cloudfront.net/Documentos/631/00876620438/6310087662043811092023151228.jpg")</f>
        <v>https://dpmzos25m8ivg.cloudfront.net/Documentos/631/00876620438/6310087662043811092023151228.jpg</v>
      </c>
      <c r="H257" s="4" t="s">
        <v>8844</v>
      </c>
    </row>
    <row r="258" spans="1:8" x14ac:dyDescent="0.25">
      <c r="A258" s="2" t="s">
        <v>270</v>
      </c>
      <c r="B258" s="3"/>
      <c r="C258" s="3"/>
      <c r="D258" s="3"/>
      <c r="E258" s="4" t="str">
        <f>HYPERLINK("https://dpmzos25m8ivg.cloudfront.net/Documentos/631/00887818102/6310088781810211092023154139.pdf","https://dpmzos25m8ivg.cloudfront.net/Documentos/631/00887818102/6310088781810211092023154139.pdf")</f>
        <v>https://dpmzos25m8ivg.cloudfront.net/Documentos/631/00887818102/6310088781810211092023154139.pdf</v>
      </c>
      <c r="F258" s="5" t="str">
        <f>HYPERLINK("https://dpmzos25m8ivg.cloudfront.net/Documentos/631/00887818102/6310088781810211092023154222.pdf","https://dpmzos25m8ivg.cloudfront.net/Documentos/631/00887818102/6310088781810211092023154222.pdf")</f>
        <v>https://dpmzos25m8ivg.cloudfront.net/Documentos/631/00887818102/6310088781810211092023154222.pdf</v>
      </c>
      <c r="G258" s="5" t="str">
        <f>HYPERLINK("https://dpmzos25m8ivg.cloudfront.net/Documentos/631/00887818102/6310088781810211092023154241.pdf","https://dpmzos25m8ivg.cloudfront.net/Documentos/631/00887818102/6310088781810211092023154241.pdf")</f>
        <v>https://dpmzos25m8ivg.cloudfront.net/Documentos/631/00887818102/6310088781810211092023154241.pdf</v>
      </c>
      <c r="H258" s="4" t="s">
        <v>8845</v>
      </c>
    </row>
    <row r="259" spans="1:8" x14ac:dyDescent="0.25">
      <c r="A259" s="2" t="s">
        <v>271</v>
      </c>
      <c r="B259" s="3"/>
      <c r="C259" s="3"/>
      <c r="D259" s="3"/>
      <c r="E259" s="4" t="str">
        <f>HYPERLINK("https://dpmzos25m8ivg.cloudfront.net/Documentos/631/00888998538/6310088899853805092023094518.pdf","https://dpmzos25m8ivg.cloudfront.net/Documentos/631/00888998538/6310088899853805092023094518.pdf")</f>
        <v>https://dpmzos25m8ivg.cloudfront.net/Documentos/631/00888998538/6310088899853805092023094518.pdf</v>
      </c>
      <c r="F259" s="5" t="str">
        <f>HYPERLINK("https://dpmzos25m8ivg.cloudfront.net/Documentos/631/00888998538/6310088899853805092023094528.pdf","https://dpmzos25m8ivg.cloudfront.net/Documentos/631/00888998538/6310088899853805092023094528.pdf")</f>
        <v>https://dpmzos25m8ivg.cloudfront.net/Documentos/631/00888998538/6310088899853805092023094528.pdf</v>
      </c>
      <c r="G259" s="5" t="str">
        <f>HYPERLINK("https://dpmzos25m8ivg.cloudfront.net/Documentos/631/00888998538/6310088899853805092023094536.pdf","https://dpmzos25m8ivg.cloudfront.net/Documentos/631/00888998538/6310088899853805092023094536.pdf")</f>
        <v>https://dpmzos25m8ivg.cloudfront.net/Documentos/631/00888998538/6310088899853805092023094536.pdf</v>
      </c>
      <c r="H259" s="4" t="s">
        <v>8846</v>
      </c>
    </row>
    <row r="260" spans="1:8" x14ac:dyDescent="0.25">
      <c r="A260" s="2" t="s">
        <v>272</v>
      </c>
      <c r="B260" s="3"/>
      <c r="C260" s="3"/>
      <c r="D260" s="3"/>
      <c r="E260" s="4" t="str">
        <f>HYPERLINK("https://dpmzos25m8ivg.cloudfront.net/Documentos/631/00897067223/6310089706722307092023193146.pdf","https://dpmzos25m8ivg.cloudfront.net/Documentos/631/00897067223/6310089706722307092023193146.pdf")</f>
        <v>https://dpmzos25m8ivg.cloudfront.net/Documentos/631/00897067223/6310089706722307092023193146.pdf</v>
      </c>
      <c r="F260" s="5" t="str">
        <f>HYPERLINK("https://dpmzos25m8ivg.cloudfront.net/Documentos/631/00897067223/6310089706722307092023193205.pdf","https://dpmzos25m8ivg.cloudfront.net/Documentos/631/00897067223/6310089706722307092023193205.pdf")</f>
        <v>https://dpmzos25m8ivg.cloudfront.net/Documentos/631/00897067223/6310089706722307092023193205.pdf</v>
      </c>
      <c r="G260" s="5" t="str">
        <f>HYPERLINK("https://dpmzos25m8ivg.cloudfront.net/Documentos/631/00897067223/6310089706722307092023193222.pdf","https://dpmzos25m8ivg.cloudfront.net/Documentos/631/00897067223/6310089706722307092023193222.pdf")</f>
        <v>https://dpmzos25m8ivg.cloudfront.net/Documentos/631/00897067223/6310089706722307092023193222.pdf</v>
      </c>
      <c r="H260" s="4" t="s">
        <v>8847</v>
      </c>
    </row>
    <row r="261" spans="1:8" x14ac:dyDescent="0.25">
      <c r="A261" s="2" t="s">
        <v>273</v>
      </c>
      <c r="B261" s="3" t="s">
        <v>197</v>
      </c>
      <c r="C261" s="3"/>
      <c r="D261" s="3"/>
      <c r="E261" s="4" t="str">
        <f>HYPERLINK("https://dpmzos25m8ivg.cloudfront.net/Documentos/631/00898604206/6310089860420611092023122049.pdf","https://dpmzos25m8ivg.cloudfront.net/Documentos/631/00898604206/6310089860420611092023122049.pdf")</f>
        <v>https://dpmzos25m8ivg.cloudfront.net/Documentos/631/00898604206/6310089860420611092023122049.pdf</v>
      </c>
      <c r="F261" s="5" t="str">
        <f>HYPERLINK("https://dpmzos25m8ivg.cloudfront.net/Documentos/631/00898604206/6310089860420611092023122103.pdf","https://dpmzos25m8ivg.cloudfront.net/Documentos/631/00898604206/6310089860420611092023122103.pdf")</f>
        <v>https://dpmzos25m8ivg.cloudfront.net/Documentos/631/00898604206/6310089860420611092023122103.pdf</v>
      </c>
      <c r="G261" s="5" t="str">
        <f>HYPERLINK("https://dpmzos25m8ivg.cloudfront.net/Documentos/631/00898604206/6310089860420611092023122121.pdf","https://dpmzos25m8ivg.cloudfront.net/Documentos/631/00898604206/6310089860420611092023122121.pdf")</f>
        <v>https://dpmzos25m8ivg.cloudfront.net/Documentos/631/00898604206/6310089860420611092023122121.pdf</v>
      </c>
      <c r="H261" s="4" t="s">
        <v>8848</v>
      </c>
    </row>
    <row r="262" spans="1:8" x14ac:dyDescent="0.25">
      <c r="A262" s="2" t="s">
        <v>274</v>
      </c>
      <c r="B262" s="3" t="s">
        <v>23</v>
      </c>
      <c r="C262" s="3"/>
      <c r="D262" s="3"/>
      <c r="E262" s="4" t="str">
        <f>HYPERLINK("https://dpmzos25m8ivg.cloudfront.net/Documentos/631/00900127635/6310090012763507092023085745.jpg","https://dpmzos25m8ivg.cloudfront.net/Documentos/631/00900127635/6310090012763507092023085745.jpg")</f>
        <v>https://dpmzos25m8ivg.cloudfront.net/Documentos/631/00900127635/6310090012763507092023085745.jpg</v>
      </c>
      <c r="F262" s="5" t="str">
        <f>HYPERLINK("https://dpmzos25m8ivg.cloudfront.net/Documentos/631/00900127635/6310090012763507092023085806.jpg","https://dpmzos25m8ivg.cloudfront.net/Documentos/631/00900127635/6310090012763507092023085806.jpg")</f>
        <v>https://dpmzos25m8ivg.cloudfront.net/Documentos/631/00900127635/6310090012763507092023085806.jpg</v>
      </c>
      <c r="G262" s="5" t="str">
        <f>HYPERLINK("https://dpmzos25m8ivg.cloudfront.net/Documentos/631/00900127635/6310090012763507092023085825.jpg","https://dpmzos25m8ivg.cloudfront.net/Documentos/631/00900127635/6310090012763507092023085825.jpg")</f>
        <v>https://dpmzos25m8ivg.cloudfront.net/Documentos/631/00900127635/6310090012763507092023085825.jpg</v>
      </c>
      <c r="H262" s="4" t="s">
        <v>8849</v>
      </c>
    </row>
    <row r="263" spans="1:8" x14ac:dyDescent="0.25">
      <c r="A263" s="2" t="s">
        <v>275</v>
      </c>
      <c r="B263" s="3"/>
      <c r="C263" s="3"/>
      <c r="D263" s="3"/>
      <c r="E263" s="4" t="str">
        <f>HYPERLINK("https://dpmzos25m8ivg.cloudfront.net/Documentos/631/00902076531/6310090207653111092023130054.pdf","https://dpmzos25m8ivg.cloudfront.net/Documentos/631/00902076531/6310090207653111092023130054.pdf")</f>
        <v>https://dpmzos25m8ivg.cloudfront.net/Documentos/631/00902076531/6310090207653111092023130054.pdf</v>
      </c>
      <c r="F263" s="5" t="str">
        <f>HYPERLINK("https://dpmzos25m8ivg.cloudfront.net/Documentos/631/00902076531/6310090207653111092023130110.pdf","https://dpmzos25m8ivg.cloudfront.net/Documentos/631/00902076531/6310090207653111092023130110.pdf")</f>
        <v>https://dpmzos25m8ivg.cloudfront.net/Documentos/631/00902076531/6310090207653111092023130110.pdf</v>
      </c>
      <c r="G263" s="5" t="str">
        <f>HYPERLINK("https://dpmzos25m8ivg.cloudfront.net/Documentos/631/00902076531/6310090207653111092023130131.pdf","https://dpmzos25m8ivg.cloudfront.net/Documentos/631/00902076531/6310090207653111092023130131.pdf")</f>
        <v>https://dpmzos25m8ivg.cloudfront.net/Documentos/631/00902076531/6310090207653111092023130131.pdf</v>
      </c>
      <c r="H263" s="4" t="s">
        <v>8850</v>
      </c>
    </row>
    <row r="264" spans="1:8" x14ac:dyDescent="0.25">
      <c r="A264" s="2" t="s">
        <v>276</v>
      </c>
      <c r="B264" s="3"/>
      <c r="C264" s="3"/>
      <c r="D264" s="3"/>
      <c r="E264" s="4" t="str">
        <f>HYPERLINK("https://dpmzos25m8ivg.cloudfront.net/Documentos/631/00906570719/6310090657071905092023173438.pdf","https://dpmzos25m8ivg.cloudfront.net/Documentos/631/00906570719/6310090657071905092023173438.pdf")</f>
        <v>https://dpmzos25m8ivg.cloudfront.net/Documentos/631/00906570719/6310090657071905092023173438.pdf</v>
      </c>
      <c r="F264" s="5" t="str">
        <f>HYPERLINK("https://dpmzos25m8ivg.cloudfront.net/Documentos/631/00906570719/6310090657071905092023173457.pdf","https://dpmzos25m8ivg.cloudfront.net/Documentos/631/00906570719/6310090657071905092023173457.pdf")</f>
        <v>https://dpmzos25m8ivg.cloudfront.net/Documentos/631/00906570719/6310090657071905092023173457.pdf</v>
      </c>
      <c r="G264" s="5" t="str">
        <f>HYPERLINK("https://dpmzos25m8ivg.cloudfront.net/Documentos/631/00906570719/6310090657071905092023173517.pdf","https://dpmzos25m8ivg.cloudfront.net/Documentos/631/00906570719/6310090657071905092023173517.pdf")</f>
        <v>https://dpmzos25m8ivg.cloudfront.net/Documentos/631/00906570719/6310090657071905092023173517.pdf</v>
      </c>
      <c r="H264" s="4" t="s">
        <v>8851</v>
      </c>
    </row>
    <row r="265" spans="1:8" x14ac:dyDescent="0.25">
      <c r="A265" s="2" t="s">
        <v>277</v>
      </c>
      <c r="B265" s="3"/>
      <c r="C265" s="3"/>
      <c r="D265" s="3"/>
      <c r="E265" s="4" t="str">
        <f>HYPERLINK("https://dpmzos25m8ivg.cloudfront.net/Documentos/631/00907123589/6310090712358913092023192107.pdf","https://dpmzos25m8ivg.cloudfront.net/Documentos/631/00907123589/6310090712358913092023192107.pdf")</f>
        <v>https://dpmzos25m8ivg.cloudfront.net/Documentos/631/00907123589/6310090712358913092023192107.pdf</v>
      </c>
      <c r="F265" s="5" t="str">
        <f>HYPERLINK("https://dpmzos25m8ivg.cloudfront.net/Documentos/631/00907123589/6310090712358913092023192219.pdf","https://dpmzos25m8ivg.cloudfront.net/Documentos/631/00907123589/6310090712358913092023192219.pdf")</f>
        <v>https://dpmzos25m8ivg.cloudfront.net/Documentos/631/00907123589/6310090712358913092023192219.pdf</v>
      </c>
      <c r="G265" s="5" t="str">
        <f>HYPERLINK("https://dpmzos25m8ivg.cloudfront.net/Documentos/631/00907123589/6310090712358913092023192244.pdf","https://dpmzos25m8ivg.cloudfront.net/Documentos/631/00907123589/6310090712358913092023192244.pdf")</f>
        <v>https://dpmzos25m8ivg.cloudfront.net/Documentos/631/00907123589/6310090712358913092023192244.pdf</v>
      </c>
      <c r="H265" s="4" t="s">
        <v>8852</v>
      </c>
    </row>
    <row r="266" spans="1:8" x14ac:dyDescent="0.25">
      <c r="A266" s="2" t="s">
        <v>278</v>
      </c>
      <c r="B266" s="3"/>
      <c r="C266" s="3"/>
      <c r="D266" s="3"/>
      <c r="E266" s="4" t="str">
        <f>HYPERLINK("https://dpmzos25m8ivg.cloudfront.net/Documentos/631/00911565213/6310091156521314092023163842.pdf","https://dpmzos25m8ivg.cloudfront.net/Documentos/631/00911565213/6310091156521314092023163842.pdf")</f>
        <v>https://dpmzos25m8ivg.cloudfront.net/Documentos/631/00911565213/6310091156521314092023163842.pdf</v>
      </c>
      <c r="F266" s="5" t="str">
        <f>HYPERLINK("https://dpmzos25m8ivg.cloudfront.net/Documentos/631/00911565213/6310091156521314092023163901.pdf","https://dpmzos25m8ivg.cloudfront.net/Documentos/631/00911565213/6310091156521314092023163901.pdf")</f>
        <v>https://dpmzos25m8ivg.cloudfront.net/Documentos/631/00911565213/6310091156521314092023163901.pdf</v>
      </c>
      <c r="G266" s="5" t="str">
        <f>HYPERLINK("https://dpmzos25m8ivg.cloudfront.net/Documentos/631/00911565213/6310091156521314092023163913.pdf","https://dpmzos25m8ivg.cloudfront.net/Documentos/631/00911565213/6310091156521314092023163913.pdf")</f>
        <v>https://dpmzos25m8ivg.cloudfront.net/Documentos/631/00911565213/6310091156521314092023163913.pdf</v>
      </c>
      <c r="H266" s="4" t="s">
        <v>8853</v>
      </c>
    </row>
    <row r="267" spans="1:8" x14ac:dyDescent="0.25">
      <c r="A267" s="2" t="s">
        <v>279</v>
      </c>
      <c r="B267" s="3" t="s">
        <v>8</v>
      </c>
      <c r="C267" s="3"/>
      <c r="D267" s="3"/>
      <c r="E267" s="4" t="str">
        <f>HYPERLINK("https://dpmzos25m8ivg.cloudfront.net/Documentos/631/00912295376/6310091229537611092023114215.pdf","https://dpmzos25m8ivg.cloudfront.net/Documentos/631/00912295376/6310091229537611092023114215.pdf")</f>
        <v>https://dpmzos25m8ivg.cloudfront.net/Documentos/631/00912295376/6310091229537611092023114215.pdf</v>
      </c>
      <c r="F267" s="5" t="str">
        <f>HYPERLINK("https://dpmzos25m8ivg.cloudfront.net/Documentos/631/00912295376/6310091229537611092023114228.pdf","https://dpmzos25m8ivg.cloudfront.net/Documentos/631/00912295376/6310091229537611092023114228.pdf")</f>
        <v>https://dpmzos25m8ivg.cloudfront.net/Documentos/631/00912295376/6310091229537611092023114228.pdf</v>
      </c>
      <c r="G267" s="5" t="str">
        <f>HYPERLINK("https://dpmzos25m8ivg.cloudfront.net/Documentos/631/00912295376/6310091229537611092023114239.pdf","https://dpmzos25m8ivg.cloudfront.net/Documentos/631/00912295376/6310091229537611092023114239.pdf")</f>
        <v>https://dpmzos25m8ivg.cloudfront.net/Documentos/631/00912295376/6310091229537611092023114239.pdf</v>
      </c>
      <c r="H267" s="4" t="s">
        <v>8854</v>
      </c>
    </row>
    <row r="268" spans="1:8" x14ac:dyDescent="0.25">
      <c r="A268" s="2" t="s">
        <v>280</v>
      </c>
      <c r="B268" s="3"/>
      <c r="C268" s="3"/>
      <c r="D268" s="3"/>
      <c r="E268" s="4" t="str">
        <f>HYPERLINK("https://dpmzos25m8ivg.cloudfront.net/Documentos/631/00912994207/6310091299420706092023193833.pdf","https://dpmzos25m8ivg.cloudfront.net/Documentos/631/00912994207/6310091299420706092023193833.pdf")</f>
        <v>https://dpmzos25m8ivg.cloudfront.net/Documentos/631/00912994207/6310091299420706092023193833.pdf</v>
      </c>
      <c r="F268" s="5" t="str">
        <f>HYPERLINK("https://dpmzos25m8ivg.cloudfront.net/Documentos/631/00912994207/6310091299420706092023193847.pdf","https://dpmzos25m8ivg.cloudfront.net/Documentos/631/00912994207/6310091299420706092023193847.pdf")</f>
        <v>https://dpmzos25m8ivg.cloudfront.net/Documentos/631/00912994207/6310091299420706092023193847.pdf</v>
      </c>
      <c r="G268" s="5" t="str">
        <f>HYPERLINK("https://dpmzos25m8ivg.cloudfront.net/Documentos/631/00912994207/6310091299420706092023193903.pdf","https://dpmzos25m8ivg.cloudfront.net/Documentos/631/00912994207/6310091299420706092023193903.pdf")</f>
        <v>https://dpmzos25m8ivg.cloudfront.net/Documentos/631/00912994207/6310091299420706092023193903.pdf</v>
      </c>
      <c r="H268" s="4" t="s">
        <v>8855</v>
      </c>
    </row>
    <row r="269" spans="1:8" x14ac:dyDescent="0.25">
      <c r="A269" s="2" t="s">
        <v>281</v>
      </c>
      <c r="B269" s="3"/>
      <c r="C269" s="3"/>
      <c r="D269" s="3"/>
      <c r="E269" s="4" t="str">
        <f>HYPERLINK("https://dpmzos25m8ivg.cloudfront.net/Documentos/631/00913000108/6310091300010811092023152146.jpg","https://dpmzos25m8ivg.cloudfront.net/Documentos/631/00913000108/6310091300010811092023152146.jpg")</f>
        <v>https://dpmzos25m8ivg.cloudfront.net/Documentos/631/00913000108/6310091300010811092023152146.jpg</v>
      </c>
      <c r="F269" s="5" t="str">
        <f>HYPERLINK("https://dpmzos25m8ivg.cloudfront.net/Documentos/631/00913000108/6310091300010811092023152157.jpg","https://dpmzos25m8ivg.cloudfront.net/Documentos/631/00913000108/6310091300010811092023152157.jpg")</f>
        <v>https://dpmzos25m8ivg.cloudfront.net/Documentos/631/00913000108/6310091300010811092023152157.jpg</v>
      </c>
      <c r="G269" s="5" t="str">
        <f>HYPERLINK("https://dpmzos25m8ivg.cloudfront.net/Documentos/631/00913000108/6310091300010811092023152207.jpg","https://dpmzos25m8ivg.cloudfront.net/Documentos/631/00913000108/6310091300010811092023152207.jpg")</f>
        <v>https://dpmzos25m8ivg.cloudfront.net/Documentos/631/00913000108/6310091300010811092023152207.jpg</v>
      </c>
      <c r="H269" s="4" t="s">
        <v>8856</v>
      </c>
    </row>
    <row r="270" spans="1:8" x14ac:dyDescent="0.25">
      <c r="A270" s="2" t="s">
        <v>282</v>
      </c>
      <c r="B270" s="3"/>
      <c r="C270" s="3"/>
      <c r="D270" s="3"/>
      <c r="E270" s="4" t="str">
        <f>HYPERLINK("https://dpmzos25m8ivg.cloudfront.net/Documentos/631/00919848583/6310091984858311092023075334.pdf","https://dpmzos25m8ivg.cloudfront.net/Documentos/631/00919848583/6310091984858311092023075334.pdf")</f>
        <v>https://dpmzos25m8ivg.cloudfront.net/Documentos/631/00919848583/6310091984858311092023075334.pdf</v>
      </c>
      <c r="F270" s="5" t="str">
        <f>HYPERLINK("https://dpmzos25m8ivg.cloudfront.net/Documentos/631/00919848583/6310091984858311092023075345.pdf","https://dpmzos25m8ivg.cloudfront.net/Documentos/631/00919848583/6310091984858311092023075345.pdf")</f>
        <v>https://dpmzos25m8ivg.cloudfront.net/Documentos/631/00919848583/6310091984858311092023075345.pdf</v>
      </c>
      <c r="G270" s="5" t="str">
        <f>HYPERLINK("https://dpmzos25m8ivg.cloudfront.net/Documentos/631/00919848583/6310091984858311092023075356.pdf","https://dpmzos25m8ivg.cloudfront.net/Documentos/631/00919848583/6310091984858311092023075356.pdf")</f>
        <v>https://dpmzos25m8ivg.cloudfront.net/Documentos/631/00919848583/6310091984858311092023075356.pdf</v>
      </c>
      <c r="H270" s="4" t="s">
        <v>8857</v>
      </c>
    </row>
    <row r="271" spans="1:8" x14ac:dyDescent="0.25">
      <c r="A271" s="2" t="s">
        <v>283</v>
      </c>
      <c r="B271" s="3" t="s">
        <v>8</v>
      </c>
      <c r="C271" s="3"/>
      <c r="D271" s="3"/>
      <c r="E271" s="4" t="str">
        <f>HYPERLINK("https://dpmzos25m8ivg.cloudfront.net/Documentos/631/00922834970/6310092283497010092023165019.jpg","https://dpmzos25m8ivg.cloudfront.net/Documentos/631/00922834970/6310092283497010092023165019.jpg")</f>
        <v>https://dpmzos25m8ivg.cloudfront.net/Documentos/631/00922834970/6310092283497010092023165019.jpg</v>
      </c>
      <c r="F271" s="5" t="str">
        <f>HYPERLINK("https://dpmzos25m8ivg.cloudfront.net/Documentos/631/00922834970/6310092283497010092023170302.jpg","https://dpmzos25m8ivg.cloudfront.net/Documentos/631/00922834970/6310092283497010092023170302.jpg")</f>
        <v>https://dpmzos25m8ivg.cloudfront.net/Documentos/631/00922834970/6310092283497010092023170302.jpg</v>
      </c>
      <c r="G271" s="5" t="str">
        <f>HYPERLINK("https://dpmzos25m8ivg.cloudfront.net/Documentos/631/00922834970/6310092283497010092023170325.jpg","https://dpmzos25m8ivg.cloudfront.net/Documentos/631/00922834970/6310092283497010092023170325.jpg")</f>
        <v>https://dpmzos25m8ivg.cloudfront.net/Documentos/631/00922834970/6310092283497010092023170325.jpg</v>
      </c>
      <c r="H271" s="4" t="s">
        <v>8858</v>
      </c>
    </row>
    <row r="272" spans="1:8" x14ac:dyDescent="0.25">
      <c r="A272" s="2" t="s">
        <v>284</v>
      </c>
      <c r="B272" s="3"/>
      <c r="C272" s="3"/>
      <c r="D272" s="3"/>
      <c r="E272" s="4" t="str">
        <f>HYPERLINK("https://dpmzos25m8ivg.cloudfront.net/Documentos/631/00923700129/6310092370012911092023165924.pdf","https://dpmzos25m8ivg.cloudfront.net/Documentos/631/00923700129/6310092370012911092023165924.pdf")</f>
        <v>https://dpmzos25m8ivg.cloudfront.net/Documentos/631/00923700129/6310092370012911092023165924.pdf</v>
      </c>
      <c r="F272" s="5" t="str">
        <f>HYPERLINK("https://dpmzos25m8ivg.cloudfront.net/Documentos/631/00923700129/6310092370012911092023165945.pdf","https://dpmzos25m8ivg.cloudfront.net/Documentos/631/00923700129/6310092370012911092023165945.pdf")</f>
        <v>https://dpmzos25m8ivg.cloudfront.net/Documentos/631/00923700129/6310092370012911092023165945.pdf</v>
      </c>
      <c r="G272" s="5" t="str">
        <f>HYPERLINK("https://dpmzos25m8ivg.cloudfront.net/Documentos/631/00923700129/6310092370012911092023170002.pdf","https://dpmzos25m8ivg.cloudfront.net/Documentos/631/00923700129/6310092370012911092023170002.pdf")</f>
        <v>https://dpmzos25m8ivg.cloudfront.net/Documentos/631/00923700129/6310092370012911092023170002.pdf</v>
      </c>
      <c r="H272" s="4" t="s">
        <v>8859</v>
      </c>
    </row>
    <row r="273" spans="1:8" x14ac:dyDescent="0.25">
      <c r="A273" s="2" t="s">
        <v>285</v>
      </c>
      <c r="B273" s="3"/>
      <c r="C273" s="3"/>
      <c r="D273" s="3"/>
      <c r="E273" s="4" t="str">
        <f>HYPERLINK("https://dpmzos25m8ivg.cloudfront.net/Documentos/631/00927853523/6310092785352306092023132811.jpg","https://dpmzos25m8ivg.cloudfront.net/Documentos/631/00927853523/6310092785352306092023132811.jpg")</f>
        <v>https://dpmzos25m8ivg.cloudfront.net/Documentos/631/00927853523/6310092785352306092023132811.jpg</v>
      </c>
      <c r="F273" s="5" t="str">
        <f>HYPERLINK("https://dpmzos25m8ivg.cloudfront.net/Documentos/631/00927853523/6310092785352306092023132838.jpg","https://dpmzos25m8ivg.cloudfront.net/Documentos/631/00927853523/6310092785352306092023132838.jpg")</f>
        <v>https://dpmzos25m8ivg.cloudfront.net/Documentos/631/00927853523/6310092785352306092023132838.jpg</v>
      </c>
      <c r="G273" s="5" t="str">
        <f>HYPERLINK("https://dpmzos25m8ivg.cloudfront.net/Documentos/631/00927853523/6310092785352306092023132858.jpg","https://dpmzos25m8ivg.cloudfront.net/Documentos/631/00927853523/6310092785352306092023132858.jpg")</f>
        <v>https://dpmzos25m8ivg.cloudfront.net/Documentos/631/00927853523/6310092785352306092023132858.jpg</v>
      </c>
      <c r="H273" s="4" t="s">
        <v>8860</v>
      </c>
    </row>
    <row r="274" spans="1:8" x14ac:dyDescent="0.25">
      <c r="A274" s="2" t="s">
        <v>286</v>
      </c>
      <c r="B274" s="3"/>
      <c r="C274" s="3"/>
      <c r="D274" s="3"/>
      <c r="E274" s="4" t="str">
        <f>HYPERLINK("https://dpmzos25m8ivg.cloudfront.net/Documentos/631/00928167461/6310092816746111092023151238.pdf","https://dpmzos25m8ivg.cloudfront.net/Documentos/631/00928167461/6310092816746111092023151238.pdf")</f>
        <v>https://dpmzos25m8ivg.cloudfront.net/Documentos/631/00928167461/6310092816746111092023151238.pdf</v>
      </c>
      <c r="F274" s="5" t="str">
        <f>HYPERLINK("https://dpmzos25m8ivg.cloudfront.net/Documentos/631/00928167461/6310092816746111092023151343.pdf","https://dpmzos25m8ivg.cloudfront.net/Documentos/631/00928167461/6310092816746111092023151343.pdf")</f>
        <v>https://dpmzos25m8ivg.cloudfront.net/Documentos/631/00928167461/6310092816746111092023151343.pdf</v>
      </c>
      <c r="G274" s="5" t="str">
        <f>HYPERLINK("https://dpmzos25m8ivg.cloudfront.net/Documentos/631/00928167461/6310092816746111092023151356.pdf","https://dpmzos25m8ivg.cloudfront.net/Documentos/631/00928167461/6310092816746111092023151356.pdf")</f>
        <v>https://dpmzos25m8ivg.cloudfront.net/Documentos/631/00928167461/6310092816746111092023151356.pdf</v>
      </c>
      <c r="H274" s="4" t="s">
        <v>8861</v>
      </c>
    </row>
    <row r="275" spans="1:8" x14ac:dyDescent="0.25">
      <c r="A275" s="2" t="s">
        <v>287</v>
      </c>
      <c r="B275" s="3"/>
      <c r="C275" s="3"/>
      <c r="D275" s="3"/>
      <c r="E275" s="4" t="str">
        <f>HYPERLINK("https://dpmzos25m8ivg.cloudfront.net/Documentos/631/00929474503/6310092947450311092023162607.pdf","https://dpmzos25m8ivg.cloudfront.net/Documentos/631/00929474503/6310092947450311092023162607.pdf")</f>
        <v>https://dpmzos25m8ivg.cloudfront.net/Documentos/631/00929474503/6310092947450311092023162607.pdf</v>
      </c>
      <c r="F275" s="5" t="str">
        <f>HYPERLINK("https://dpmzos25m8ivg.cloudfront.net/Documentos/631/00929474503/6310092947450311092023162640.pdf","https://dpmzos25m8ivg.cloudfront.net/Documentos/631/00929474503/6310092947450311092023162640.pdf")</f>
        <v>https://dpmzos25m8ivg.cloudfront.net/Documentos/631/00929474503/6310092947450311092023162640.pdf</v>
      </c>
      <c r="G275" s="5" t="str">
        <f>HYPERLINK("https://dpmzos25m8ivg.cloudfront.net/Documentos/631/00929474503/6310092947450311092023162701.pdf","https://dpmzos25m8ivg.cloudfront.net/Documentos/631/00929474503/6310092947450311092023162701.pdf")</f>
        <v>https://dpmzos25m8ivg.cloudfront.net/Documentos/631/00929474503/6310092947450311092023162701.pdf</v>
      </c>
      <c r="H275" s="4" t="s">
        <v>8862</v>
      </c>
    </row>
    <row r="276" spans="1:8" x14ac:dyDescent="0.25">
      <c r="A276" s="2" t="s">
        <v>288</v>
      </c>
      <c r="B276" s="3"/>
      <c r="C276" s="3"/>
      <c r="D276" s="3"/>
      <c r="E276" s="4" t="str">
        <f>HYPERLINK("https://dpmzos25m8ivg.cloudfront.net/Documentos/631/00931924286/6310093192428607092023233616.pdf","https://dpmzos25m8ivg.cloudfront.net/Documentos/631/00931924286/6310093192428607092023233616.pdf")</f>
        <v>https://dpmzos25m8ivg.cloudfront.net/Documentos/631/00931924286/6310093192428607092023233616.pdf</v>
      </c>
      <c r="F276" s="5" t="str">
        <f>HYPERLINK("https://dpmzos25m8ivg.cloudfront.net/Documentos/631/00931924286/6310093192428607092023233632.pdf","https://dpmzos25m8ivg.cloudfront.net/Documentos/631/00931924286/6310093192428607092023233632.pdf")</f>
        <v>https://dpmzos25m8ivg.cloudfront.net/Documentos/631/00931924286/6310093192428607092023233632.pdf</v>
      </c>
      <c r="G276" s="5" t="str">
        <f>HYPERLINK("https://dpmzos25m8ivg.cloudfront.net/Documentos/631/00931924286/6310093192428607092023233644.pdf","https://dpmzos25m8ivg.cloudfront.net/Documentos/631/00931924286/6310093192428607092023233644.pdf")</f>
        <v>https://dpmzos25m8ivg.cloudfront.net/Documentos/631/00931924286/6310093192428607092023233644.pdf</v>
      </c>
      <c r="H276" s="4" t="s">
        <v>8863</v>
      </c>
    </row>
    <row r="277" spans="1:8" x14ac:dyDescent="0.25">
      <c r="A277" s="2" t="s">
        <v>289</v>
      </c>
      <c r="B277" s="3"/>
      <c r="C277" s="3"/>
      <c r="D277" s="3"/>
      <c r="E277" s="4" t="str">
        <f>HYPERLINK("https://dpmzos25m8ivg.cloudfront.net/Documentos/631/00935355111/6310093535511108092023175955.jpg","https://dpmzos25m8ivg.cloudfront.net/Documentos/631/00935355111/6310093535511108092023175955.jpg")</f>
        <v>https://dpmzos25m8ivg.cloudfront.net/Documentos/631/00935355111/6310093535511108092023175955.jpg</v>
      </c>
      <c r="F277" s="5" t="str">
        <f>HYPERLINK("https://dpmzos25m8ivg.cloudfront.net/Documentos/631/00935355111/6310093535511108092023180055.jpg","https://dpmzos25m8ivg.cloudfront.net/Documentos/631/00935355111/6310093535511108092023180055.jpg")</f>
        <v>https://dpmzos25m8ivg.cloudfront.net/Documentos/631/00935355111/6310093535511108092023180055.jpg</v>
      </c>
      <c r="G277" s="5" t="str">
        <f>HYPERLINK("https://dpmzos25m8ivg.cloudfront.net/Documentos/631/00935355111/6310093535511108092023180019.jpg","https://dpmzos25m8ivg.cloudfront.net/Documentos/631/00935355111/6310093535511108092023180019.jpg")</f>
        <v>https://dpmzos25m8ivg.cloudfront.net/Documentos/631/00935355111/6310093535511108092023180019.jpg</v>
      </c>
      <c r="H277" s="4" t="s">
        <v>8864</v>
      </c>
    </row>
    <row r="278" spans="1:8" x14ac:dyDescent="0.25">
      <c r="A278" s="2" t="s">
        <v>290</v>
      </c>
      <c r="B278" s="3"/>
      <c r="C278" s="3"/>
      <c r="D278" s="3"/>
      <c r="E278" s="4" t="str">
        <f>HYPERLINK("https://dpmzos25m8ivg.cloudfront.net/Documentos/631/00937359106/6310093735910607092023181738.pdf","https://dpmzos25m8ivg.cloudfront.net/Documentos/631/00937359106/6310093735910607092023181738.pdf")</f>
        <v>https://dpmzos25m8ivg.cloudfront.net/Documentos/631/00937359106/6310093735910607092023181738.pdf</v>
      </c>
      <c r="F278" s="5" t="str">
        <f>HYPERLINK("https://dpmzos25m8ivg.cloudfront.net/Documentos/631/00937359106/6310093735910607092023181747.pdf","https://dpmzos25m8ivg.cloudfront.net/Documentos/631/00937359106/6310093735910607092023181747.pdf")</f>
        <v>https://dpmzos25m8ivg.cloudfront.net/Documentos/631/00937359106/6310093735910607092023181747.pdf</v>
      </c>
      <c r="G278" s="5" t="str">
        <f>HYPERLINK("https://dpmzos25m8ivg.cloudfront.net/Documentos/631/00937359106/6310093735910607092023181756.pdf","https://dpmzos25m8ivg.cloudfront.net/Documentos/631/00937359106/6310093735910607092023181756.pdf")</f>
        <v>https://dpmzos25m8ivg.cloudfront.net/Documentos/631/00937359106/6310093735910607092023181756.pdf</v>
      </c>
      <c r="H278" s="4" t="s">
        <v>8865</v>
      </c>
    </row>
    <row r="279" spans="1:8" x14ac:dyDescent="0.25">
      <c r="A279" s="2" t="s">
        <v>291</v>
      </c>
      <c r="B279" s="3"/>
      <c r="C279" s="3"/>
      <c r="D279" s="3"/>
      <c r="E279" s="4" t="str">
        <f>HYPERLINK("https://dpmzos25m8ivg.cloudfront.net/Documentos/631/00950193240/6310095019324009092023152556.jpg","https://dpmzos25m8ivg.cloudfront.net/Documentos/631/00950193240/6310095019324009092023152556.jpg")</f>
        <v>https://dpmzos25m8ivg.cloudfront.net/Documentos/631/00950193240/6310095019324009092023152556.jpg</v>
      </c>
      <c r="F279" s="5" t="str">
        <f>HYPERLINK("https://dpmzos25m8ivg.cloudfront.net/Documentos/631/00950193240/6310095019324009092023152605.jpg","https://dpmzos25m8ivg.cloudfront.net/Documentos/631/00950193240/6310095019324009092023152605.jpg")</f>
        <v>https://dpmzos25m8ivg.cloudfront.net/Documentos/631/00950193240/6310095019324009092023152605.jpg</v>
      </c>
      <c r="G279" s="5" t="str">
        <f>HYPERLINK("https://dpmzos25m8ivg.cloudfront.net/Documentos/631/00950193240/6310095019324009092023152613.jpg","https://dpmzos25m8ivg.cloudfront.net/Documentos/631/00950193240/6310095019324009092023152613.jpg")</f>
        <v>https://dpmzos25m8ivg.cloudfront.net/Documentos/631/00950193240/6310095019324009092023152613.jpg</v>
      </c>
      <c r="H279" s="4" t="s">
        <v>8866</v>
      </c>
    </row>
    <row r="280" spans="1:8" x14ac:dyDescent="0.25">
      <c r="A280" s="2" t="s">
        <v>292</v>
      </c>
      <c r="B280" s="3"/>
      <c r="C280" s="3"/>
      <c r="D280" s="3"/>
      <c r="E280" s="4" t="str">
        <f>HYPERLINK("https://dpmzos25m8ivg.cloudfront.net/Documentos/631/00954469313/6310095446931314092023001057.jpg","https://dpmzos25m8ivg.cloudfront.net/Documentos/631/00954469313/6310095446931314092023001057.jpg")</f>
        <v>https://dpmzos25m8ivg.cloudfront.net/Documentos/631/00954469313/6310095446931314092023001057.jpg</v>
      </c>
      <c r="F280" s="5" t="str">
        <f>HYPERLINK("https://dpmzos25m8ivg.cloudfront.net/Documentos/631/00954469313/6310095446931314092023001122.jpg","https://dpmzos25m8ivg.cloudfront.net/Documentos/631/00954469313/6310095446931314092023001122.jpg")</f>
        <v>https://dpmzos25m8ivg.cloudfront.net/Documentos/631/00954469313/6310095446931314092023001122.jpg</v>
      </c>
      <c r="G280" s="5" t="str">
        <f>HYPERLINK("https://dpmzos25m8ivg.cloudfront.net/Documentos/631/00954469313/6310095446931314092023001143.jpg","https://dpmzos25m8ivg.cloudfront.net/Documentos/631/00954469313/6310095446931314092023001143.jpg")</f>
        <v>https://dpmzos25m8ivg.cloudfront.net/Documentos/631/00954469313/6310095446931314092023001143.jpg</v>
      </c>
      <c r="H280" s="4" t="s">
        <v>8867</v>
      </c>
    </row>
    <row r="281" spans="1:8" x14ac:dyDescent="0.25">
      <c r="A281" s="2" t="s">
        <v>293</v>
      </c>
      <c r="B281" s="3"/>
      <c r="C281" s="3"/>
      <c r="D281" s="3"/>
      <c r="E281" s="4" t="str">
        <f>HYPERLINK("https://dpmzos25m8ivg.cloudfront.net/Documentos/631/00954576586/6310095457658607092023162557.pdf","https://dpmzos25m8ivg.cloudfront.net/Documentos/631/00954576586/6310095457658607092023162557.pdf")</f>
        <v>https://dpmzos25m8ivg.cloudfront.net/Documentos/631/00954576586/6310095457658607092023162557.pdf</v>
      </c>
      <c r="F281" s="5" t="str">
        <f>HYPERLINK("https://dpmzos25m8ivg.cloudfront.net/Documentos/631/00954576586/6310095457658607092023162613.pdf","https://dpmzos25m8ivg.cloudfront.net/Documentos/631/00954576586/6310095457658607092023162613.pdf")</f>
        <v>https://dpmzos25m8ivg.cloudfront.net/Documentos/631/00954576586/6310095457658607092023162613.pdf</v>
      </c>
      <c r="G281" s="5" t="str">
        <f>HYPERLINK("https://dpmzos25m8ivg.cloudfront.net/Documentos/631/00954576586/6310095457658607092023162630.pdf","https://dpmzos25m8ivg.cloudfront.net/Documentos/631/00954576586/6310095457658607092023162630.pdf")</f>
        <v>https://dpmzos25m8ivg.cloudfront.net/Documentos/631/00954576586/6310095457658607092023162630.pdf</v>
      </c>
      <c r="H281" s="4" t="s">
        <v>8868</v>
      </c>
    </row>
    <row r="282" spans="1:8" x14ac:dyDescent="0.25">
      <c r="A282" s="2" t="s">
        <v>294</v>
      </c>
      <c r="B282" s="3"/>
      <c r="C282" s="3"/>
      <c r="D282" s="3"/>
      <c r="E282" s="4" t="str">
        <f>HYPERLINK("https://dpmzos25m8ivg.cloudfront.net/Documentos/631/00955517354/6310095551735411092023112802.jpeg","https://dpmzos25m8ivg.cloudfront.net/Documentos/631/00955517354/6310095551735411092023112802.jpeg")</f>
        <v>https://dpmzos25m8ivg.cloudfront.net/Documentos/631/00955517354/6310095551735411092023112802.jpeg</v>
      </c>
      <c r="F282" s="5" t="str">
        <f>HYPERLINK("https://dpmzos25m8ivg.cloudfront.net/Documentos/631/00955517354/6310095551735411092023112816.jpeg","https://dpmzos25m8ivg.cloudfront.net/Documentos/631/00955517354/6310095551735411092023112816.jpeg")</f>
        <v>https://dpmzos25m8ivg.cloudfront.net/Documentos/631/00955517354/6310095551735411092023112816.jpeg</v>
      </c>
      <c r="G282" s="5" t="str">
        <f>HYPERLINK("https://dpmzos25m8ivg.cloudfront.net/Documentos/631/00955517354/6310095551735411092023113109.jpeg","https://dpmzos25m8ivg.cloudfront.net/Documentos/631/00955517354/6310095551735411092023113109.jpeg")</f>
        <v>https://dpmzos25m8ivg.cloudfront.net/Documentos/631/00955517354/6310095551735411092023113109.jpeg</v>
      </c>
      <c r="H282" s="4" t="s">
        <v>8869</v>
      </c>
    </row>
    <row r="283" spans="1:8" x14ac:dyDescent="0.25">
      <c r="A283" s="2" t="s">
        <v>295</v>
      </c>
      <c r="B283" s="3" t="s">
        <v>23</v>
      </c>
      <c r="C283" s="3"/>
      <c r="D283" s="3"/>
      <c r="E283" s="4" t="str">
        <f>HYPERLINK("https://dpmzos25m8ivg.cloudfront.net/Documentos/631/00958901228/6310095890122811092023145155.jpg","https://dpmzos25m8ivg.cloudfront.net/Documentos/631/00958901228/6310095890122811092023145155.jpg")</f>
        <v>https://dpmzos25m8ivg.cloudfront.net/Documentos/631/00958901228/6310095890122811092023145155.jpg</v>
      </c>
      <c r="F283" s="5" t="str">
        <f>HYPERLINK("https://dpmzos25m8ivg.cloudfront.net/Documentos/631/00958901228/6310095890122811092023145210.jpg","https://dpmzos25m8ivg.cloudfront.net/Documentos/631/00958901228/6310095890122811092023145210.jpg")</f>
        <v>https://dpmzos25m8ivg.cloudfront.net/Documentos/631/00958901228/6310095890122811092023145210.jpg</v>
      </c>
      <c r="G283" s="5" t="str">
        <f>HYPERLINK("https://dpmzos25m8ivg.cloudfront.net/Documentos/631/00958901228/6310095890122811092023145227.jpg","https://dpmzos25m8ivg.cloudfront.net/Documentos/631/00958901228/6310095890122811092023145227.jpg")</f>
        <v>https://dpmzos25m8ivg.cloudfront.net/Documentos/631/00958901228/6310095890122811092023145227.jpg</v>
      </c>
      <c r="H283" s="4" t="s">
        <v>8870</v>
      </c>
    </row>
    <row r="284" spans="1:8" x14ac:dyDescent="0.25">
      <c r="A284" s="2" t="s">
        <v>296</v>
      </c>
      <c r="B284" s="3"/>
      <c r="C284" s="3"/>
      <c r="D284" s="3"/>
      <c r="E284" s="4" t="str">
        <f>HYPERLINK("https://dpmzos25m8ivg.cloudfront.net/Documentos/631/00960700137/6310096070013705092023124230.pdf","https://dpmzos25m8ivg.cloudfront.net/Documentos/631/00960700137/6310096070013705092023124230.pdf")</f>
        <v>https://dpmzos25m8ivg.cloudfront.net/Documentos/631/00960700137/6310096070013705092023124230.pdf</v>
      </c>
      <c r="F284" s="5" t="str">
        <f>HYPERLINK("https://dpmzos25m8ivg.cloudfront.net/Documentos/631/00960700137/6310096070013705092023130346.pdf","https://dpmzos25m8ivg.cloudfront.net/Documentos/631/00960700137/6310096070013705092023130346.pdf")</f>
        <v>https://dpmzos25m8ivg.cloudfront.net/Documentos/631/00960700137/6310096070013705092023130346.pdf</v>
      </c>
      <c r="G284" s="5" t="str">
        <f>HYPERLINK("https://dpmzos25m8ivg.cloudfront.net/Documentos/631/00960700137/6310096070013705092023130404.pdf","https://dpmzos25m8ivg.cloudfront.net/Documentos/631/00960700137/6310096070013705092023130404.pdf")</f>
        <v>https://dpmzos25m8ivg.cloudfront.net/Documentos/631/00960700137/6310096070013705092023130404.pdf</v>
      </c>
      <c r="H284" s="4" t="s">
        <v>8871</v>
      </c>
    </row>
    <row r="285" spans="1:8" x14ac:dyDescent="0.25">
      <c r="A285" s="2" t="s">
        <v>297</v>
      </c>
      <c r="B285" s="3" t="s">
        <v>90</v>
      </c>
      <c r="C285" s="3"/>
      <c r="D285" s="3"/>
      <c r="E285" s="4" t="str">
        <f>HYPERLINK("https://dpmzos25m8ivg.cloudfront.net/Documentos/631/00963286226/6310096328622611092023161848.pdf","https://dpmzos25m8ivg.cloudfront.net/Documentos/631/00963286226/6310096328622611092023161848.pdf")</f>
        <v>https://dpmzos25m8ivg.cloudfront.net/Documentos/631/00963286226/6310096328622611092023161848.pdf</v>
      </c>
      <c r="F285" s="5" t="str">
        <f>HYPERLINK("https://dpmzos25m8ivg.cloudfront.net/Documentos/631/00963286226/6310096328622611092023161906.pdf","https://dpmzos25m8ivg.cloudfront.net/Documentos/631/00963286226/6310096328622611092023161906.pdf")</f>
        <v>https://dpmzos25m8ivg.cloudfront.net/Documentos/631/00963286226/6310096328622611092023161906.pdf</v>
      </c>
      <c r="G285" s="5" t="str">
        <f>HYPERLINK("https://dpmzos25m8ivg.cloudfront.net/Documentos/631/00963286226/6310096328622611092023161928.pdf","https://dpmzos25m8ivg.cloudfront.net/Documentos/631/00963286226/6310096328622611092023161928.pdf")</f>
        <v>https://dpmzos25m8ivg.cloudfront.net/Documentos/631/00963286226/6310096328622611092023161928.pdf</v>
      </c>
      <c r="H285" s="4" t="s">
        <v>8872</v>
      </c>
    </row>
    <row r="286" spans="1:8" x14ac:dyDescent="0.25">
      <c r="A286" s="2" t="s">
        <v>298</v>
      </c>
      <c r="B286" s="3"/>
      <c r="C286" s="3"/>
      <c r="D286" s="3"/>
      <c r="E286" s="4" t="str">
        <f>HYPERLINK("https://dpmzos25m8ivg.cloudfront.net/Documentos/631/00968151914/6310096815191411092023102639.pdf","https://dpmzos25m8ivg.cloudfront.net/Documentos/631/00968151914/6310096815191411092023102639.pdf")</f>
        <v>https://dpmzos25m8ivg.cloudfront.net/Documentos/631/00968151914/6310096815191411092023102639.pdf</v>
      </c>
      <c r="F286" s="5" t="str">
        <f>HYPERLINK("https://dpmzos25m8ivg.cloudfront.net/Documentos/631/00968151914/6310096815191411092023102650.pdf","https://dpmzos25m8ivg.cloudfront.net/Documentos/631/00968151914/6310096815191411092023102650.pdf")</f>
        <v>https://dpmzos25m8ivg.cloudfront.net/Documentos/631/00968151914/6310096815191411092023102650.pdf</v>
      </c>
      <c r="G286" s="5" t="str">
        <f>HYPERLINK("https://dpmzos25m8ivg.cloudfront.net/Documentos/631/00968151914/6310096815191411092023102701.pdf","https://dpmzos25m8ivg.cloudfront.net/Documentos/631/00968151914/6310096815191411092023102701.pdf")</f>
        <v>https://dpmzos25m8ivg.cloudfront.net/Documentos/631/00968151914/6310096815191411092023102701.pdf</v>
      </c>
      <c r="H286" s="4" t="s">
        <v>8873</v>
      </c>
    </row>
    <row r="287" spans="1:8" x14ac:dyDescent="0.25">
      <c r="A287" s="2" t="s">
        <v>299</v>
      </c>
      <c r="B287" s="3"/>
      <c r="C287" s="3"/>
      <c r="D287" s="3"/>
      <c r="E287" s="4" t="str">
        <f>HYPERLINK("https://dpmzos25m8ivg.cloudfront.net/Documentos/631/00968275567/6310096827556707092023221006.pdf","https://dpmzos25m8ivg.cloudfront.net/Documentos/631/00968275567/6310096827556707092023221006.pdf")</f>
        <v>https://dpmzos25m8ivg.cloudfront.net/Documentos/631/00968275567/6310096827556707092023221006.pdf</v>
      </c>
      <c r="F287" s="5" t="str">
        <f>HYPERLINK("https://dpmzos25m8ivg.cloudfront.net/Documentos/631/00968275567/6310096827556707092023221021.pdf","https://dpmzos25m8ivg.cloudfront.net/Documentos/631/00968275567/6310096827556707092023221021.pdf")</f>
        <v>https://dpmzos25m8ivg.cloudfront.net/Documentos/631/00968275567/6310096827556707092023221021.pdf</v>
      </c>
      <c r="G287" s="5" t="str">
        <f>HYPERLINK("https://dpmzos25m8ivg.cloudfront.net/Documentos/631/00968275567/6310096827556707092023221039.pdf","https://dpmzos25m8ivg.cloudfront.net/Documentos/631/00968275567/6310096827556707092023221039.pdf")</f>
        <v>https://dpmzos25m8ivg.cloudfront.net/Documentos/631/00968275567/6310096827556707092023221039.pdf</v>
      </c>
      <c r="H287" s="4" t="s">
        <v>8874</v>
      </c>
    </row>
    <row r="288" spans="1:8" x14ac:dyDescent="0.25">
      <c r="A288" s="2" t="s">
        <v>300</v>
      </c>
      <c r="B288" s="3"/>
      <c r="C288" s="3"/>
      <c r="D288" s="3"/>
      <c r="E288" s="4" t="str">
        <f>HYPERLINK("https://dpmzos25m8ivg.cloudfront.net/Documentos/631/00969617593/6310096961759313092023220338.pdf","https://dpmzos25m8ivg.cloudfront.net/Documentos/631/00969617593/6310096961759313092023220338.pdf")</f>
        <v>https://dpmzos25m8ivg.cloudfront.net/Documentos/631/00969617593/6310096961759313092023220338.pdf</v>
      </c>
      <c r="F288" s="5" t="str">
        <f>HYPERLINK("https://dpmzos25m8ivg.cloudfront.net/Documentos/631/00969617593/6310096961759313092023220350.pdf","https://dpmzos25m8ivg.cloudfront.net/Documentos/631/00969617593/6310096961759313092023220350.pdf")</f>
        <v>https://dpmzos25m8ivg.cloudfront.net/Documentos/631/00969617593/6310096961759313092023220350.pdf</v>
      </c>
      <c r="G288" s="5" t="str">
        <f>HYPERLINK("https://dpmzos25m8ivg.cloudfront.net/Documentos/631/00969617593/6310096961759313092023220404.pdf","https://dpmzos25m8ivg.cloudfront.net/Documentos/631/00969617593/6310096961759313092023220404.pdf")</f>
        <v>https://dpmzos25m8ivg.cloudfront.net/Documentos/631/00969617593/6310096961759313092023220404.pdf</v>
      </c>
      <c r="H288" s="4" t="s">
        <v>8875</v>
      </c>
    </row>
    <row r="289" spans="1:8" x14ac:dyDescent="0.25">
      <c r="A289" s="2" t="s">
        <v>301</v>
      </c>
      <c r="B289" s="3"/>
      <c r="C289" s="3"/>
      <c r="D289" s="3"/>
      <c r="E289" s="4" t="str">
        <f>HYPERLINK("https://dpmzos25m8ivg.cloudfront.net/Documentos/631/00971141460/6310097114146008092023164821.pdf","https://dpmzos25m8ivg.cloudfront.net/Documentos/631/00971141460/6310097114146008092023164821.pdf")</f>
        <v>https://dpmzos25m8ivg.cloudfront.net/Documentos/631/00971141460/6310097114146008092023164821.pdf</v>
      </c>
      <c r="F289" s="5" t="str">
        <f>HYPERLINK("https://dpmzos25m8ivg.cloudfront.net/Documentos/631/00971141460/6310097114146008092023164854.pdf","https://dpmzos25m8ivg.cloudfront.net/Documentos/631/00971141460/6310097114146008092023164854.pdf")</f>
        <v>https://dpmzos25m8ivg.cloudfront.net/Documentos/631/00971141460/6310097114146008092023164854.pdf</v>
      </c>
      <c r="G289" s="5" t="str">
        <f>HYPERLINK("https://dpmzos25m8ivg.cloudfront.net/Documentos/631/00971141460/6310097114146008092023164926.pdf","https://dpmzos25m8ivg.cloudfront.net/Documentos/631/00971141460/6310097114146008092023164926.pdf")</f>
        <v>https://dpmzos25m8ivg.cloudfront.net/Documentos/631/00971141460/6310097114146008092023164926.pdf</v>
      </c>
      <c r="H289" s="4" t="s">
        <v>8876</v>
      </c>
    </row>
    <row r="290" spans="1:8" x14ac:dyDescent="0.25">
      <c r="A290" s="2" t="s">
        <v>302</v>
      </c>
      <c r="B290" s="3"/>
      <c r="C290" s="3"/>
      <c r="D290" s="3"/>
      <c r="E290" s="4" t="str">
        <f>HYPERLINK("https://dpmzos25m8ivg.cloudfront.net/Documentos/631/00980643201/6310098064320111092023144751.pdf","https://dpmzos25m8ivg.cloudfront.net/Documentos/631/00980643201/6310098064320111092023144751.pdf")</f>
        <v>https://dpmzos25m8ivg.cloudfront.net/Documentos/631/00980643201/6310098064320111092023144751.pdf</v>
      </c>
      <c r="F290" s="5" t="str">
        <f>HYPERLINK("https://dpmzos25m8ivg.cloudfront.net/Documentos/631/00980643201/6310098064320111092023144807.pdf","https://dpmzos25m8ivg.cloudfront.net/Documentos/631/00980643201/6310098064320111092023144807.pdf")</f>
        <v>https://dpmzos25m8ivg.cloudfront.net/Documentos/631/00980643201/6310098064320111092023144807.pdf</v>
      </c>
      <c r="G290" s="5" t="str">
        <f>HYPERLINK("https://dpmzos25m8ivg.cloudfront.net/Documentos/631/00980643201/6310098064320111092023144818.pdf","https://dpmzos25m8ivg.cloudfront.net/Documentos/631/00980643201/6310098064320111092023144818.pdf")</f>
        <v>https://dpmzos25m8ivg.cloudfront.net/Documentos/631/00980643201/6310098064320111092023144818.pdf</v>
      </c>
      <c r="H290" s="4" t="s">
        <v>8877</v>
      </c>
    </row>
    <row r="291" spans="1:8" x14ac:dyDescent="0.25">
      <c r="A291" s="2" t="s">
        <v>303</v>
      </c>
      <c r="B291" s="3"/>
      <c r="C291" s="3"/>
      <c r="D291" s="3"/>
      <c r="E291" s="4" t="str">
        <f>HYPERLINK("https://dpmzos25m8ivg.cloudfront.net/Documentos/631/00981911013/6310098191101311092023163233.pdf","https://dpmzos25m8ivg.cloudfront.net/Documentos/631/00981911013/6310098191101311092023163233.pdf")</f>
        <v>https://dpmzos25m8ivg.cloudfront.net/Documentos/631/00981911013/6310098191101311092023163233.pdf</v>
      </c>
      <c r="F291" s="5" t="str">
        <f>HYPERLINK("https://dpmzos25m8ivg.cloudfront.net/Documentos/631/00981911013/6310098191101311092023163301.pdf","https://dpmzos25m8ivg.cloudfront.net/Documentos/631/00981911013/6310098191101311092023163301.pdf")</f>
        <v>https://dpmzos25m8ivg.cloudfront.net/Documentos/631/00981911013/6310098191101311092023163301.pdf</v>
      </c>
      <c r="G291" s="5" t="str">
        <f>HYPERLINK("https://dpmzos25m8ivg.cloudfront.net/Documentos/631/00981911013/6310098191101311092023163327.pdf","https://dpmzos25m8ivg.cloudfront.net/Documentos/631/00981911013/6310098191101311092023163327.pdf")</f>
        <v>https://dpmzos25m8ivg.cloudfront.net/Documentos/631/00981911013/6310098191101311092023163327.pdf</v>
      </c>
      <c r="H291" s="4" t="s">
        <v>8878</v>
      </c>
    </row>
    <row r="292" spans="1:8" x14ac:dyDescent="0.25">
      <c r="A292" s="2" t="s">
        <v>304</v>
      </c>
      <c r="B292" s="3"/>
      <c r="C292" s="3"/>
      <c r="D292" s="3"/>
      <c r="E292" s="4" t="str">
        <f>HYPERLINK("https://dpmzos25m8ivg.cloudfront.net/Documentos/631/00986284297/6310098628429705092023142627.jpg","https://dpmzos25m8ivg.cloudfront.net/Documentos/631/00986284297/6310098628429705092023142627.jpg")</f>
        <v>https://dpmzos25m8ivg.cloudfront.net/Documentos/631/00986284297/6310098628429705092023142627.jpg</v>
      </c>
      <c r="F292" s="5" t="str">
        <f>HYPERLINK("https://dpmzos25m8ivg.cloudfront.net/Documentos/631/00986284297/6310098628429705092023142655.jpg","https://dpmzos25m8ivg.cloudfront.net/Documentos/631/00986284297/6310098628429705092023142655.jpg")</f>
        <v>https://dpmzos25m8ivg.cloudfront.net/Documentos/631/00986284297/6310098628429705092023142655.jpg</v>
      </c>
      <c r="G292" s="5" t="str">
        <f>HYPERLINK("https://dpmzos25m8ivg.cloudfront.net/Documentos/631/00986284297/6310098628429705092023142723.jpg","https://dpmzos25m8ivg.cloudfront.net/Documentos/631/00986284297/6310098628429705092023142723.jpg")</f>
        <v>https://dpmzos25m8ivg.cloudfront.net/Documentos/631/00986284297/6310098628429705092023142723.jpg</v>
      </c>
      <c r="H292" s="4" t="s">
        <v>8879</v>
      </c>
    </row>
    <row r="293" spans="1:8" x14ac:dyDescent="0.25">
      <c r="A293" s="2" t="s">
        <v>305</v>
      </c>
      <c r="B293" s="3"/>
      <c r="C293" s="3"/>
      <c r="D293" s="3"/>
      <c r="E293" s="4" t="str">
        <f>HYPERLINK("https://dpmzos25m8ivg.cloudfront.net/Documentos/631/01000259196/6310100025919606092023091159.pdf","https://dpmzos25m8ivg.cloudfront.net/Documentos/631/01000259196/6310100025919606092023091159.pdf")</f>
        <v>https://dpmzos25m8ivg.cloudfront.net/Documentos/631/01000259196/6310100025919606092023091159.pdf</v>
      </c>
      <c r="F293" s="5" t="str">
        <f>HYPERLINK("https://dpmzos25m8ivg.cloudfront.net/Documentos/631/01000259196/6310100025919606092023091213.pdf","https://dpmzos25m8ivg.cloudfront.net/Documentos/631/01000259196/6310100025919606092023091213.pdf")</f>
        <v>https://dpmzos25m8ivg.cloudfront.net/Documentos/631/01000259196/6310100025919606092023091213.pdf</v>
      </c>
      <c r="G293" s="5" t="str">
        <f>HYPERLINK("https://dpmzos25m8ivg.cloudfront.net/Documentos/631/01000259196/6310100025919606092023091222.pdf","https://dpmzos25m8ivg.cloudfront.net/Documentos/631/01000259196/6310100025919606092023091222.pdf")</f>
        <v>https://dpmzos25m8ivg.cloudfront.net/Documentos/631/01000259196/6310100025919606092023091222.pdf</v>
      </c>
      <c r="H293" s="4" t="s">
        <v>8880</v>
      </c>
    </row>
    <row r="294" spans="1:8" x14ac:dyDescent="0.25">
      <c r="A294" s="2" t="s">
        <v>306</v>
      </c>
      <c r="B294" s="3"/>
      <c r="C294" s="3"/>
      <c r="D294" s="3"/>
      <c r="E294" s="4" t="str">
        <f>HYPERLINK("https://dpmzos25m8ivg.cloudfront.net/Documentos/631/01001759966/6310100175996611092023142611.pdf","https://dpmzos25m8ivg.cloudfront.net/Documentos/631/01001759966/6310100175996611092023142611.pdf")</f>
        <v>https://dpmzos25m8ivg.cloudfront.net/Documentos/631/01001759966/6310100175996611092023142611.pdf</v>
      </c>
      <c r="F294" s="5" t="str">
        <f>HYPERLINK("https://dpmzos25m8ivg.cloudfront.net/Documentos/631/01001759966/6310100175996611092023142620.pdf","https://dpmzos25m8ivg.cloudfront.net/Documentos/631/01001759966/6310100175996611092023142620.pdf")</f>
        <v>https://dpmzos25m8ivg.cloudfront.net/Documentos/631/01001759966/6310100175996611092023142620.pdf</v>
      </c>
      <c r="G294" s="5" t="str">
        <f>HYPERLINK("https://dpmzos25m8ivg.cloudfront.net/Documentos/631/01001759966/6310100175996611092023142626.pdf","https://dpmzos25m8ivg.cloudfront.net/Documentos/631/01001759966/6310100175996611092023142626.pdf")</f>
        <v>https://dpmzos25m8ivg.cloudfront.net/Documentos/631/01001759966/6310100175996611092023142626.pdf</v>
      </c>
      <c r="H294" s="4" t="s">
        <v>8881</v>
      </c>
    </row>
    <row r="295" spans="1:8" x14ac:dyDescent="0.25">
      <c r="A295" s="2" t="s">
        <v>307</v>
      </c>
      <c r="B295" s="3" t="s">
        <v>308</v>
      </c>
      <c r="C295" s="3"/>
      <c r="D295" s="3"/>
      <c r="E295" s="4" t="str">
        <f>HYPERLINK("https://dpmzos25m8ivg.cloudfront.net/Documentos/631/01002088780/6310100208878010092023233347.jpg","https://dpmzos25m8ivg.cloudfront.net/Documentos/631/01002088780/6310100208878010092023233347.jpg")</f>
        <v>https://dpmzos25m8ivg.cloudfront.net/Documentos/631/01002088780/6310100208878010092023233347.jpg</v>
      </c>
      <c r="F295" s="5" t="str">
        <f>HYPERLINK("https://dpmzos25m8ivg.cloudfront.net/Documentos/631/01002088780/6310100208878010092023233410.jpg","https://dpmzos25m8ivg.cloudfront.net/Documentos/631/01002088780/6310100208878010092023233410.jpg")</f>
        <v>https://dpmzos25m8ivg.cloudfront.net/Documentos/631/01002088780/6310100208878010092023233410.jpg</v>
      </c>
      <c r="G295" s="5" t="str">
        <f>HYPERLINK("https://dpmzos25m8ivg.cloudfront.net/Documentos/631/01002088780/6310100208878010092023233429.jpg","https://dpmzos25m8ivg.cloudfront.net/Documentos/631/01002088780/6310100208878010092023233429.jpg")</f>
        <v>https://dpmzos25m8ivg.cloudfront.net/Documentos/631/01002088780/6310100208878010092023233429.jpg</v>
      </c>
      <c r="H295" s="4" t="s">
        <v>8882</v>
      </c>
    </row>
    <row r="296" spans="1:8" x14ac:dyDescent="0.25">
      <c r="A296" s="2" t="s">
        <v>309</v>
      </c>
      <c r="B296" s="3" t="s">
        <v>308</v>
      </c>
      <c r="C296" s="3"/>
      <c r="D296" s="3"/>
      <c r="E296" s="4" t="str">
        <f>HYPERLINK("https://dpmzos25m8ivg.cloudfront.net/Documentos/631/01011093502/6310101109350210092023224831.pdf","https://dpmzos25m8ivg.cloudfront.net/Documentos/631/01011093502/6310101109350210092023224831.pdf")</f>
        <v>https://dpmzos25m8ivg.cloudfront.net/Documentos/631/01011093502/6310101109350210092023224831.pdf</v>
      </c>
      <c r="F296" s="5" t="str">
        <f>HYPERLINK("https://dpmzos25m8ivg.cloudfront.net/Documentos/631/01011093502/6310101109350210092023224845.pdf","https://dpmzos25m8ivg.cloudfront.net/Documentos/631/01011093502/6310101109350210092023224845.pdf")</f>
        <v>https://dpmzos25m8ivg.cloudfront.net/Documentos/631/01011093502/6310101109350210092023224845.pdf</v>
      </c>
      <c r="G296" s="5" t="str">
        <f>HYPERLINK("https://dpmzos25m8ivg.cloudfront.net/Documentos/631/01011093502/6310101109350210092023224858.pdf","https://dpmzos25m8ivg.cloudfront.net/Documentos/631/01011093502/6310101109350210092023224858.pdf")</f>
        <v>https://dpmzos25m8ivg.cloudfront.net/Documentos/631/01011093502/6310101109350210092023224858.pdf</v>
      </c>
      <c r="H296" s="4" t="s">
        <v>8883</v>
      </c>
    </row>
    <row r="297" spans="1:8" x14ac:dyDescent="0.25">
      <c r="A297" s="2" t="s">
        <v>310</v>
      </c>
      <c r="B297" s="3"/>
      <c r="C297" s="3"/>
      <c r="D297" s="3"/>
      <c r="E297" s="4" t="str">
        <f>HYPERLINK("https://dpmzos25m8ivg.cloudfront.net/Documentos/631/01012027686/6310101202768605092023144321.pdf","https://dpmzos25m8ivg.cloudfront.net/Documentos/631/01012027686/6310101202768605092023144321.pdf")</f>
        <v>https://dpmzos25m8ivg.cloudfront.net/Documentos/631/01012027686/6310101202768605092023144321.pdf</v>
      </c>
      <c r="F297" s="5" t="str">
        <f>HYPERLINK("https://dpmzos25m8ivg.cloudfront.net/Documentos/631/01012027686/6310101202768605092023144334.pdf","https://dpmzos25m8ivg.cloudfront.net/Documentos/631/01012027686/6310101202768605092023144334.pdf")</f>
        <v>https://dpmzos25m8ivg.cloudfront.net/Documentos/631/01012027686/6310101202768605092023144334.pdf</v>
      </c>
      <c r="G297" s="5" t="str">
        <f>HYPERLINK("https://dpmzos25m8ivg.cloudfront.net/Documentos/631/01012027686/6310101202768605092023144352.pdf","https://dpmzos25m8ivg.cloudfront.net/Documentos/631/01012027686/6310101202768605092023144352.pdf")</f>
        <v>https://dpmzos25m8ivg.cloudfront.net/Documentos/631/01012027686/6310101202768605092023144352.pdf</v>
      </c>
      <c r="H297" s="4" t="s">
        <v>8884</v>
      </c>
    </row>
    <row r="298" spans="1:8" x14ac:dyDescent="0.25">
      <c r="A298" s="2" t="s">
        <v>311</v>
      </c>
      <c r="B298" s="3" t="s">
        <v>312</v>
      </c>
      <c r="C298" s="3"/>
      <c r="D298" s="3"/>
      <c r="E298" s="4" t="str">
        <f>HYPERLINK("https://dpmzos25m8ivg.cloudfront.net/Documentos/631/01013588576/6310101358857607092023193005.jpg","https://dpmzos25m8ivg.cloudfront.net/Documentos/631/01013588576/6310101358857607092023193005.jpg")</f>
        <v>https://dpmzos25m8ivg.cloudfront.net/Documentos/631/01013588576/6310101358857607092023193005.jpg</v>
      </c>
      <c r="F298" s="5" t="str">
        <f>HYPERLINK("https://dpmzos25m8ivg.cloudfront.net/Documentos/631/01013588576/6310101358857607092023193054.jpg","https://dpmzos25m8ivg.cloudfront.net/Documentos/631/01013588576/6310101358857607092023193054.jpg")</f>
        <v>https://dpmzos25m8ivg.cloudfront.net/Documentos/631/01013588576/6310101358857607092023193054.jpg</v>
      </c>
      <c r="G298" s="5" t="str">
        <f>HYPERLINK("https://dpmzos25m8ivg.cloudfront.net/Documentos/631/01013588576/6310101358857607092023193112.jpg","https://dpmzos25m8ivg.cloudfront.net/Documentos/631/01013588576/6310101358857607092023193112.jpg")</f>
        <v>https://dpmzos25m8ivg.cloudfront.net/Documentos/631/01013588576/6310101358857607092023193112.jpg</v>
      </c>
      <c r="H298" s="4" t="s">
        <v>8885</v>
      </c>
    </row>
    <row r="299" spans="1:8" x14ac:dyDescent="0.25">
      <c r="A299" s="2" t="s">
        <v>313</v>
      </c>
      <c r="B299" s="3"/>
      <c r="C299" s="3"/>
      <c r="D299" s="3"/>
      <c r="E299" s="4" t="str">
        <f>HYPERLINK("https://dpmzos25m8ivg.cloudfront.net/Documentos/631/01014740592/6310101474059210092023224211.jpg","https://dpmzos25m8ivg.cloudfront.net/Documentos/631/01014740592/6310101474059210092023224211.jpg")</f>
        <v>https://dpmzos25m8ivg.cloudfront.net/Documentos/631/01014740592/6310101474059210092023224211.jpg</v>
      </c>
      <c r="F299" s="5" t="str">
        <f>HYPERLINK("https://dpmzos25m8ivg.cloudfront.net/Documentos/631/01014740592/6310101474059210092023224234.jpg","https://dpmzos25m8ivg.cloudfront.net/Documentos/631/01014740592/6310101474059210092023224234.jpg")</f>
        <v>https://dpmzos25m8ivg.cloudfront.net/Documentos/631/01014740592/6310101474059210092023224234.jpg</v>
      </c>
      <c r="G299" s="5" t="str">
        <f>HYPERLINK("https://dpmzos25m8ivg.cloudfront.net/Documentos/631/01014740592/6310101474059210092023224359.jpg","https://dpmzos25m8ivg.cloudfront.net/Documentos/631/01014740592/6310101474059210092023224359.jpg")</f>
        <v>https://dpmzos25m8ivg.cloudfront.net/Documentos/631/01014740592/6310101474059210092023224359.jpg</v>
      </c>
      <c r="H299" s="4" t="s">
        <v>8886</v>
      </c>
    </row>
    <row r="300" spans="1:8" x14ac:dyDescent="0.25">
      <c r="A300" s="2" t="s">
        <v>314</v>
      </c>
      <c r="B300" s="3"/>
      <c r="C300" s="3"/>
      <c r="D300" s="3"/>
      <c r="E300" s="4" t="str">
        <f>HYPERLINK("https://dpmzos25m8ivg.cloudfront.net/Documentos/631/01020556102/6310102055610212092023235208.jpg","https://dpmzos25m8ivg.cloudfront.net/Documentos/631/01020556102/6310102055610212092023235208.jpg")</f>
        <v>https://dpmzos25m8ivg.cloudfront.net/Documentos/631/01020556102/6310102055610212092023235208.jpg</v>
      </c>
      <c r="F300" s="5" t="str">
        <f>HYPERLINK("https://dpmzos25m8ivg.cloudfront.net/Documentos/631/01020556102/6310102055610212092023235238.jpg","https://dpmzos25m8ivg.cloudfront.net/Documentos/631/01020556102/6310102055610212092023235238.jpg")</f>
        <v>https://dpmzos25m8ivg.cloudfront.net/Documentos/631/01020556102/6310102055610212092023235238.jpg</v>
      </c>
      <c r="G300" s="5" t="str">
        <f>HYPERLINK("https://dpmzos25m8ivg.cloudfront.net/Documentos/631/01020556102/6310102055610212092023235259.jpg","https://dpmzos25m8ivg.cloudfront.net/Documentos/631/01020556102/6310102055610212092023235259.jpg")</f>
        <v>https://dpmzos25m8ivg.cloudfront.net/Documentos/631/01020556102/6310102055610212092023235259.jpg</v>
      </c>
      <c r="H300" s="4" t="s">
        <v>8887</v>
      </c>
    </row>
    <row r="301" spans="1:8" x14ac:dyDescent="0.25">
      <c r="A301" s="2" t="s">
        <v>315</v>
      </c>
      <c r="B301" s="3"/>
      <c r="C301" s="3"/>
      <c r="D301" s="3"/>
      <c r="E301" s="4" t="str">
        <f>HYPERLINK("https://dpmzos25m8ivg.cloudfront.net/Documentos/631/01026412501/6310102641250111092023122628.jpg","https://dpmzos25m8ivg.cloudfront.net/Documentos/631/01026412501/6310102641250111092023122628.jpg")</f>
        <v>https://dpmzos25m8ivg.cloudfront.net/Documentos/631/01026412501/6310102641250111092023122628.jpg</v>
      </c>
      <c r="F301" s="5" t="str">
        <f>HYPERLINK("https://dpmzos25m8ivg.cloudfront.net/Documentos/631/01026412501/6310102641250111092023122650.jpg","https://dpmzos25m8ivg.cloudfront.net/Documentos/631/01026412501/6310102641250111092023122650.jpg")</f>
        <v>https://dpmzos25m8ivg.cloudfront.net/Documentos/631/01026412501/6310102641250111092023122650.jpg</v>
      </c>
      <c r="G301" s="5" t="str">
        <f>HYPERLINK("https://dpmzos25m8ivg.cloudfront.net/Documentos/631/01026412501/6310102641250111092023122717.jpg","https://dpmzos25m8ivg.cloudfront.net/Documentos/631/01026412501/6310102641250111092023122717.jpg")</f>
        <v>https://dpmzos25m8ivg.cloudfront.net/Documentos/631/01026412501/6310102641250111092023122717.jpg</v>
      </c>
      <c r="H301" s="4" t="s">
        <v>8888</v>
      </c>
    </row>
    <row r="302" spans="1:8" x14ac:dyDescent="0.25">
      <c r="A302" s="2" t="s">
        <v>316</v>
      </c>
      <c r="B302" s="3" t="s">
        <v>197</v>
      </c>
      <c r="C302" s="3"/>
      <c r="D302" s="3"/>
      <c r="E302" s="4" t="str">
        <f>HYPERLINK("https://dpmzos25m8ivg.cloudfront.net/Documentos/631/01039854680/6310103985468006092023202612.pdf","https://dpmzos25m8ivg.cloudfront.net/Documentos/631/01039854680/6310103985468006092023202612.pdf")</f>
        <v>https://dpmzos25m8ivg.cloudfront.net/Documentos/631/01039854680/6310103985468006092023202612.pdf</v>
      </c>
      <c r="F302" s="5" t="str">
        <f>HYPERLINK("https://dpmzos25m8ivg.cloudfront.net/Documentos/631/01039854680/6310103985468006092023202626.pdf","https://dpmzos25m8ivg.cloudfront.net/Documentos/631/01039854680/6310103985468006092023202626.pdf")</f>
        <v>https://dpmzos25m8ivg.cloudfront.net/Documentos/631/01039854680/6310103985468006092023202626.pdf</v>
      </c>
      <c r="G302" s="5" t="str">
        <f>HYPERLINK("https://dpmzos25m8ivg.cloudfront.net/Documentos/631/01039854680/6310103985468006092023202730.pdf","https://dpmzos25m8ivg.cloudfront.net/Documentos/631/01039854680/6310103985468006092023202730.pdf")</f>
        <v>https://dpmzos25m8ivg.cloudfront.net/Documentos/631/01039854680/6310103985468006092023202730.pdf</v>
      </c>
      <c r="H302" s="4" t="s">
        <v>8889</v>
      </c>
    </row>
    <row r="303" spans="1:8" x14ac:dyDescent="0.25">
      <c r="A303" s="2" t="s">
        <v>317</v>
      </c>
      <c r="B303" s="3"/>
      <c r="C303" s="3"/>
      <c r="D303" s="3"/>
      <c r="E303" s="4" t="str">
        <f>HYPERLINK("https://dpmzos25m8ivg.cloudfront.net/Documentos/631/01042126240/6310104212624011092023102646.pdf","https://dpmzos25m8ivg.cloudfront.net/Documentos/631/01042126240/6310104212624011092023102646.pdf")</f>
        <v>https://dpmzos25m8ivg.cloudfront.net/Documentos/631/01042126240/6310104212624011092023102646.pdf</v>
      </c>
      <c r="F303" s="5" t="str">
        <f>HYPERLINK("https://dpmzos25m8ivg.cloudfront.net/Documentos/631/01042126240/6310104212624011092023102715.pdf","https://dpmzos25m8ivg.cloudfront.net/Documentos/631/01042126240/6310104212624011092023102715.pdf")</f>
        <v>https://dpmzos25m8ivg.cloudfront.net/Documentos/631/01042126240/6310104212624011092023102715.pdf</v>
      </c>
      <c r="G303" s="5" t="str">
        <f>HYPERLINK("https://dpmzos25m8ivg.cloudfront.net/Documentos/631/01042126240/6310104212624011092023102732.pdf","https://dpmzos25m8ivg.cloudfront.net/Documentos/631/01042126240/6310104212624011092023102732.pdf")</f>
        <v>https://dpmzos25m8ivg.cloudfront.net/Documentos/631/01042126240/6310104212624011092023102732.pdf</v>
      </c>
      <c r="H303" s="4" t="s">
        <v>8890</v>
      </c>
    </row>
    <row r="304" spans="1:8" x14ac:dyDescent="0.25">
      <c r="A304" s="2" t="s">
        <v>318</v>
      </c>
      <c r="B304" s="3"/>
      <c r="C304" s="3"/>
      <c r="D304" s="3"/>
      <c r="E304" s="4" t="str">
        <f>HYPERLINK("https://dpmzos25m8ivg.cloudfront.net/Documentos/631/01047553422/6310104755342211092023162510.jpg","https://dpmzos25m8ivg.cloudfront.net/Documentos/631/01047553422/6310104755342211092023162510.jpg")</f>
        <v>https://dpmzos25m8ivg.cloudfront.net/Documentos/631/01047553422/6310104755342211092023162510.jpg</v>
      </c>
      <c r="F304" s="5" t="str">
        <f>HYPERLINK("https://dpmzos25m8ivg.cloudfront.net/Documentos/631/01047553422/6310104755342211092023162528.jpg","https://dpmzos25m8ivg.cloudfront.net/Documentos/631/01047553422/6310104755342211092023162528.jpg")</f>
        <v>https://dpmzos25m8ivg.cloudfront.net/Documentos/631/01047553422/6310104755342211092023162528.jpg</v>
      </c>
      <c r="G304" s="5" t="str">
        <f>HYPERLINK("https://dpmzos25m8ivg.cloudfront.net/Documentos/631/01047553422/6310104755342211092023162554.jpg","https://dpmzos25m8ivg.cloudfront.net/Documentos/631/01047553422/6310104755342211092023162554.jpg")</f>
        <v>https://dpmzos25m8ivg.cloudfront.net/Documentos/631/01047553422/6310104755342211092023162554.jpg</v>
      </c>
      <c r="H304" s="4" t="s">
        <v>8891</v>
      </c>
    </row>
    <row r="305" spans="1:8" x14ac:dyDescent="0.25">
      <c r="A305" s="2" t="s">
        <v>319</v>
      </c>
      <c r="B305" s="3"/>
      <c r="C305" s="3"/>
      <c r="D305" s="3"/>
      <c r="E305" s="4" t="str">
        <f>HYPERLINK("https://dpmzos25m8ivg.cloudfront.net/Documentos/631/01049932609/6310104993260911092023141319.jpg","https://dpmzos25m8ivg.cloudfront.net/Documentos/631/01049932609/6310104993260911092023141319.jpg")</f>
        <v>https://dpmzos25m8ivg.cloudfront.net/Documentos/631/01049932609/6310104993260911092023141319.jpg</v>
      </c>
      <c r="F305" s="5" t="str">
        <f>HYPERLINK("https://dpmzos25m8ivg.cloudfront.net/Documentos/631/01049932609/6310104993260911092023141427.jpg","https://dpmzos25m8ivg.cloudfront.net/Documentos/631/01049932609/6310104993260911092023141427.jpg")</f>
        <v>https://dpmzos25m8ivg.cloudfront.net/Documentos/631/01049932609/6310104993260911092023141427.jpg</v>
      </c>
      <c r="G305" s="5" t="str">
        <f>HYPERLINK("https://dpmzos25m8ivg.cloudfront.net/Documentos/631/01049932609/6310104993260911092023141514.jpg","https://dpmzos25m8ivg.cloudfront.net/Documentos/631/01049932609/6310104993260911092023141514.jpg")</f>
        <v>https://dpmzos25m8ivg.cloudfront.net/Documentos/631/01049932609/6310104993260911092023141514.jpg</v>
      </c>
      <c r="H305" s="4" t="s">
        <v>8892</v>
      </c>
    </row>
    <row r="306" spans="1:8" x14ac:dyDescent="0.25">
      <c r="A306" s="2" t="s">
        <v>320</v>
      </c>
      <c r="B306" s="3"/>
      <c r="C306" s="3"/>
      <c r="D306" s="3"/>
      <c r="E306" s="4" t="str">
        <f>HYPERLINK("https://dpmzos25m8ivg.cloudfront.net/Documentos/631/01051006171/6310105100617110092023212119.pdf","https://dpmzos25m8ivg.cloudfront.net/Documentos/631/01051006171/6310105100617110092023212119.pdf")</f>
        <v>https://dpmzos25m8ivg.cloudfront.net/Documentos/631/01051006171/6310105100617110092023212119.pdf</v>
      </c>
      <c r="F306" s="5" t="str">
        <f>HYPERLINK("https://dpmzos25m8ivg.cloudfront.net/Documentos/631/01051006171/6310105100617110092023212135.pdf","https://dpmzos25m8ivg.cloudfront.net/Documentos/631/01051006171/6310105100617110092023212135.pdf")</f>
        <v>https://dpmzos25m8ivg.cloudfront.net/Documentos/631/01051006171/6310105100617110092023212135.pdf</v>
      </c>
      <c r="G306" s="5" t="str">
        <f>HYPERLINK("https://dpmzos25m8ivg.cloudfront.net/Documentos/631/01051006171/6310105100617110092023212216.pdf","https://dpmzos25m8ivg.cloudfront.net/Documentos/631/01051006171/6310105100617110092023212216.pdf")</f>
        <v>https://dpmzos25m8ivg.cloudfront.net/Documentos/631/01051006171/6310105100617110092023212216.pdf</v>
      </c>
      <c r="H306" s="4" t="s">
        <v>8893</v>
      </c>
    </row>
    <row r="307" spans="1:8" x14ac:dyDescent="0.25">
      <c r="A307" s="2" t="s">
        <v>321</v>
      </c>
      <c r="B307" s="3" t="s">
        <v>90</v>
      </c>
      <c r="C307" s="3"/>
      <c r="D307" s="3"/>
      <c r="E307" s="4" t="str">
        <f>HYPERLINK("https://dpmzos25m8ivg.cloudfront.net/Documentos/631/01061979407/6310106197940710092023165400.pdf","https://dpmzos25m8ivg.cloudfront.net/Documentos/631/01061979407/6310106197940710092023165400.pdf")</f>
        <v>https://dpmzos25m8ivg.cloudfront.net/Documentos/631/01061979407/6310106197940710092023165400.pdf</v>
      </c>
      <c r="F307" s="5" t="str">
        <f>HYPERLINK("https://dpmzos25m8ivg.cloudfront.net/Documentos/631/01061979407/6310106197940710092023165425.pdf","https://dpmzos25m8ivg.cloudfront.net/Documentos/631/01061979407/6310106197940710092023165425.pdf")</f>
        <v>https://dpmzos25m8ivg.cloudfront.net/Documentos/631/01061979407/6310106197940710092023165425.pdf</v>
      </c>
      <c r="G307" s="5" t="str">
        <f>HYPERLINK("https://dpmzos25m8ivg.cloudfront.net/Documentos/631/01061979407/6310106197940710092023165441.pdf","https://dpmzos25m8ivg.cloudfront.net/Documentos/631/01061979407/6310106197940710092023165441.pdf")</f>
        <v>https://dpmzos25m8ivg.cloudfront.net/Documentos/631/01061979407/6310106197940710092023165441.pdf</v>
      </c>
      <c r="H307" s="4" t="s">
        <v>8894</v>
      </c>
    </row>
    <row r="308" spans="1:8" x14ac:dyDescent="0.25">
      <c r="A308" s="2" t="s">
        <v>322</v>
      </c>
      <c r="B308" s="3"/>
      <c r="C308" s="3"/>
      <c r="D308" s="3"/>
      <c r="E308" s="4" t="str">
        <f>HYPERLINK("https://dpmzos25m8ivg.cloudfront.net/Documentos/631/01064557295/6310106455729511092023145436.jpg","https://dpmzos25m8ivg.cloudfront.net/Documentos/631/01064557295/6310106455729511092023145436.jpg")</f>
        <v>https://dpmzos25m8ivg.cloudfront.net/Documentos/631/01064557295/6310106455729511092023145436.jpg</v>
      </c>
      <c r="F308" s="5" t="str">
        <f>HYPERLINK("https://dpmzos25m8ivg.cloudfront.net/Documentos/631/01064557295/6310106455729511092023145508.jpg","https://dpmzos25m8ivg.cloudfront.net/Documentos/631/01064557295/6310106455729511092023145508.jpg")</f>
        <v>https://dpmzos25m8ivg.cloudfront.net/Documentos/631/01064557295/6310106455729511092023145508.jpg</v>
      </c>
      <c r="G308" s="5" t="str">
        <f>HYPERLINK("https://dpmzos25m8ivg.cloudfront.net/Documentos/631/01064557295/6310106455729511092023145526.jpg","https://dpmzos25m8ivg.cloudfront.net/Documentos/631/01064557295/6310106455729511092023145526.jpg")</f>
        <v>https://dpmzos25m8ivg.cloudfront.net/Documentos/631/01064557295/6310106455729511092023145526.jpg</v>
      </c>
      <c r="H308" s="4" t="s">
        <v>8895</v>
      </c>
    </row>
    <row r="309" spans="1:8" x14ac:dyDescent="0.25">
      <c r="A309" s="2" t="s">
        <v>323</v>
      </c>
      <c r="B309" s="3"/>
      <c r="C309" s="3"/>
      <c r="D309" s="3"/>
      <c r="E309" s="4" t="str">
        <f>HYPERLINK("https://dpmzos25m8ivg.cloudfront.net/Documentos/631/01065148739/6310106514873911092023113318.jpg","https://dpmzos25m8ivg.cloudfront.net/Documentos/631/01065148739/6310106514873911092023113318.jpg")</f>
        <v>https://dpmzos25m8ivg.cloudfront.net/Documentos/631/01065148739/6310106514873911092023113318.jpg</v>
      </c>
      <c r="F309" s="5" t="str">
        <f>HYPERLINK("https://dpmzos25m8ivg.cloudfront.net/Documentos/631/01065148739/6310106514873909092023171202.jpg","https://dpmzos25m8ivg.cloudfront.net/Documentos/631/01065148739/6310106514873909092023171202.jpg")</f>
        <v>https://dpmzos25m8ivg.cloudfront.net/Documentos/631/01065148739/6310106514873909092023171202.jpg</v>
      </c>
      <c r="G309" s="5" t="str">
        <f>HYPERLINK("https://dpmzos25m8ivg.cloudfront.net/Documentos/631/01065148739/6310106514873909092023171803.jpg","https://dpmzos25m8ivg.cloudfront.net/Documentos/631/01065148739/6310106514873909092023171803.jpg")</f>
        <v>https://dpmzos25m8ivg.cloudfront.net/Documentos/631/01065148739/6310106514873909092023171803.jpg</v>
      </c>
      <c r="H309" s="4" t="s">
        <v>8896</v>
      </c>
    </row>
    <row r="310" spans="1:8" x14ac:dyDescent="0.25">
      <c r="A310" s="2" t="s">
        <v>324</v>
      </c>
      <c r="B310" s="3"/>
      <c r="C310" s="3"/>
      <c r="D310" s="3"/>
      <c r="E310" s="4" t="str">
        <f>HYPERLINK("https://dpmzos25m8ivg.cloudfront.net/Documentos/631/01065247478/6310106524747811092023164409.jpg","https://dpmzos25m8ivg.cloudfront.net/Documentos/631/01065247478/6310106524747811092023164409.jpg")</f>
        <v>https://dpmzos25m8ivg.cloudfront.net/Documentos/631/01065247478/6310106524747811092023164409.jpg</v>
      </c>
      <c r="F310" s="5" t="str">
        <f>HYPERLINK("https://dpmzos25m8ivg.cloudfront.net/Documentos/631/01065247478/6310106524747811092023164456.jpeg","https://dpmzos25m8ivg.cloudfront.net/Documentos/631/01065247478/6310106524747811092023164456.jpeg")</f>
        <v>https://dpmzos25m8ivg.cloudfront.net/Documentos/631/01065247478/6310106524747811092023164456.jpeg</v>
      </c>
      <c r="G310" s="5" t="str">
        <f>HYPERLINK("https://dpmzos25m8ivg.cloudfront.net/Documentos/631/01065247478/6310106524747811092023164515.jpeg","https://dpmzos25m8ivg.cloudfront.net/Documentos/631/01065247478/6310106524747811092023164515.jpeg")</f>
        <v>https://dpmzos25m8ivg.cloudfront.net/Documentos/631/01065247478/6310106524747811092023164515.jpeg</v>
      </c>
      <c r="H310" s="4" t="s">
        <v>8897</v>
      </c>
    </row>
    <row r="311" spans="1:8" x14ac:dyDescent="0.25">
      <c r="A311" s="2" t="s">
        <v>325</v>
      </c>
      <c r="B311" s="3"/>
      <c r="C311" s="3"/>
      <c r="D311" s="3"/>
      <c r="E311" s="4" t="str">
        <f>HYPERLINK("https://dpmzos25m8ivg.cloudfront.net/Documentos/631/01066257132/6310106625713211092023102809.pdf","https://dpmzos25m8ivg.cloudfront.net/Documentos/631/01066257132/6310106625713211092023102809.pdf")</f>
        <v>https://dpmzos25m8ivg.cloudfront.net/Documentos/631/01066257132/6310106625713211092023102809.pdf</v>
      </c>
      <c r="F311" s="5" t="str">
        <f>HYPERLINK("https://dpmzos25m8ivg.cloudfront.net/Documentos/631/01066257132/6310106625713211092023102920.pdf","https://dpmzos25m8ivg.cloudfront.net/Documentos/631/01066257132/6310106625713211092023102920.pdf")</f>
        <v>https://dpmzos25m8ivg.cloudfront.net/Documentos/631/01066257132/6310106625713211092023102920.pdf</v>
      </c>
      <c r="G311" s="5" t="str">
        <f>HYPERLINK("https://dpmzos25m8ivg.cloudfront.net/Documentos/631/01066257132/6310106625713211092023103027.pdf","https://dpmzos25m8ivg.cloudfront.net/Documentos/631/01066257132/6310106625713211092023103027.pdf")</f>
        <v>https://dpmzos25m8ivg.cloudfront.net/Documentos/631/01066257132/6310106625713211092023103027.pdf</v>
      </c>
      <c r="H311" s="4" t="s">
        <v>8898</v>
      </c>
    </row>
    <row r="312" spans="1:8" x14ac:dyDescent="0.25">
      <c r="A312" s="2" t="s">
        <v>326</v>
      </c>
      <c r="B312" s="3" t="s">
        <v>312</v>
      </c>
      <c r="C312" s="3"/>
      <c r="D312" s="3"/>
      <c r="E312" s="4" t="str">
        <f>HYPERLINK("https://dpmzos25m8ivg.cloudfront.net/Documentos/631/01066435170/6310106643517009092023093812.jpg","https://dpmzos25m8ivg.cloudfront.net/Documentos/631/01066435170/6310106643517009092023093812.jpg")</f>
        <v>https://dpmzos25m8ivg.cloudfront.net/Documentos/631/01066435170/6310106643517009092023093812.jpg</v>
      </c>
      <c r="F312" s="5" t="str">
        <f>HYPERLINK("https://dpmzos25m8ivg.cloudfront.net/Documentos/631/01066435170/6310106643517009092023093823.jpg","https://dpmzos25m8ivg.cloudfront.net/Documentos/631/01066435170/6310106643517009092023093823.jpg")</f>
        <v>https://dpmzos25m8ivg.cloudfront.net/Documentos/631/01066435170/6310106643517009092023093823.jpg</v>
      </c>
      <c r="G312" s="5" t="str">
        <f>HYPERLINK("https://dpmzos25m8ivg.cloudfront.net/Documentos/631/01066435170/6310106643517009092023093834.jpg","https://dpmzos25m8ivg.cloudfront.net/Documentos/631/01066435170/6310106643517009092023093834.jpg")</f>
        <v>https://dpmzos25m8ivg.cloudfront.net/Documentos/631/01066435170/6310106643517009092023093834.jpg</v>
      </c>
      <c r="H312" s="4" t="s">
        <v>8899</v>
      </c>
    </row>
    <row r="313" spans="1:8" x14ac:dyDescent="0.25">
      <c r="A313" s="2" t="s">
        <v>327</v>
      </c>
      <c r="B313" s="3"/>
      <c r="C313" s="3"/>
      <c r="D313" s="3"/>
      <c r="E313" s="4" t="str">
        <f>HYPERLINK("https://dpmzos25m8ivg.cloudfront.net/Documentos/631/01070757250/6310107075725008092023130827.pdf","https://dpmzos25m8ivg.cloudfront.net/Documentos/631/01070757250/6310107075725008092023130827.pdf")</f>
        <v>https://dpmzos25m8ivg.cloudfront.net/Documentos/631/01070757250/6310107075725008092023130827.pdf</v>
      </c>
      <c r="F313" s="5" t="str">
        <f>HYPERLINK("https://dpmzos25m8ivg.cloudfront.net/Documentos/631/01070757250/6310107075725008092023130958.pdf","https://dpmzos25m8ivg.cloudfront.net/Documentos/631/01070757250/6310107075725008092023130958.pdf")</f>
        <v>https://dpmzos25m8ivg.cloudfront.net/Documentos/631/01070757250/6310107075725008092023130958.pdf</v>
      </c>
      <c r="G313" s="5" t="str">
        <f>HYPERLINK("https://dpmzos25m8ivg.cloudfront.net/Documentos/631/01070757250/6310107075725008092023131103.pdf","https://dpmzos25m8ivg.cloudfront.net/Documentos/631/01070757250/6310107075725008092023131103.pdf")</f>
        <v>https://dpmzos25m8ivg.cloudfront.net/Documentos/631/01070757250/6310107075725008092023131103.pdf</v>
      </c>
      <c r="H313" s="4" t="s">
        <v>8900</v>
      </c>
    </row>
    <row r="314" spans="1:8" x14ac:dyDescent="0.25">
      <c r="A314" s="2" t="s">
        <v>328</v>
      </c>
      <c r="B314" s="3"/>
      <c r="C314" s="3"/>
      <c r="D314" s="3"/>
      <c r="E314" s="4" t="str">
        <f>HYPERLINK("https://dpmzos25m8ivg.cloudfront.net/Documentos/631/01073996107/6310107399610710092023195949.jpeg","https://dpmzos25m8ivg.cloudfront.net/Documentos/631/01073996107/6310107399610710092023195949.jpeg")</f>
        <v>https://dpmzos25m8ivg.cloudfront.net/Documentos/631/01073996107/6310107399610710092023195949.jpeg</v>
      </c>
      <c r="F314" s="5" t="str">
        <f>HYPERLINK("https://dpmzos25m8ivg.cloudfront.net/Documentos/631/01073996107/6310107399610710092023200006.jpeg","https://dpmzos25m8ivg.cloudfront.net/Documentos/631/01073996107/6310107399610710092023200006.jpeg")</f>
        <v>https://dpmzos25m8ivg.cloudfront.net/Documentos/631/01073996107/6310107399610710092023200006.jpeg</v>
      </c>
      <c r="G314" s="5" t="str">
        <f>HYPERLINK("https://dpmzos25m8ivg.cloudfront.net/Documentos/631/01073996107/6310107399610710092023200018.jpeg","https://dpmzos25m8ivg.cloudfront.net/Documentos/631/01073996107/6310107399610710092023200018.jpeg")</f>
        <v>https://dpmzos25m8ivg.cloudfront.net/Documentos/631/01073996107/6310107399610710092023200018.jpeg</v>
      </c>
      <c r="H314" s="4" t="s">
        <v>8901</v>
      </c>
    </row>
    <row r="315" spans="1:8" x14ac:dyDescent="0.25">
      <c r="A315" s="2" t="s">
        <v>329</v>
      </c>
      <c r="B315" s="3" t="s">
        <v>312</v>
      </c>
      <c r="C315" s="3"/>
      <c r="D315" s="3"/>
      <c r="E315" s="4" t="str">
        <f>HYPERLINK("https://dpmzos25m8ivg.cloudfront.net/Documentos/631/01077584407/6310107758440713092023233706.pdf","https://dpmzos25m8ivg.cloudfront.net/Documentos/631/01077584407/6310107758440713092023233706.pdf")</f>
        <v>https://dpmzos25m8ivg.cloudfront.net/Documentos/631/01077584407/6310107758440713092023233706.pdf</v>
      </c>
      <c r="F315" s="5" t="str">
        <f>HYPERLINK("https://dpmzos25m8ivg.cloudfront.net/Documentos/631/01077584407/6310107758440713092023233720.pdf","https://dpmzos25m8ivg.cloudfront.net/Documentos/631/01077584407/6310107758440713092023233720.pdf")</f>
        <v>https://dpmzos25m8ivg.cloudfront.net/Documentos/631/01077584407/6310107758440713092023233720.pdf</v>
      </c>
      <c r="G315" s="5" t="str">
        <f>HYPERLINK("https://dpmzos25m8ivg.cloudfront.net/Documentos/631/01077584407/6310107758440713092023233729.pdf","https://dpmzos25m8ivg.cloudfront.net/Documentos/631/01077584407/6310107758440713092023233729.pdf")</f>
        <v>https://dpmzos25m8ivg.cloudfront.net/Documentos/631/01077584407/6310107758440713092023233729.pdf</v>
      </c>
      <c r="H315" s="4" t="s">
        <v>8902</v>
      </c>
    </row>
    <row r="316" spans="1:8" x14ac:dyDescent="0.25">
      <c r="A316" s="2" t="s">
        <v>330</v>
      </c>
      <c r="B316" s="3"/>
      <c r="C316" s="3"/>
      <c r="D316" s="3"/>
      <c r="E316" s="4" t="str">
        <f>HYPERLINK("https://dpmzos25m8ivg.cloudfront.net/Documentos/631/01079898590/6310107989859011092023145040.jpg","https://dpmzos25m8ivg.cloudfront.net/Documentos/631/01079898590/6310107989859011092023145040.jpg")</f>
        <v>https://dpmzos25m8ivg.cloudfront.net/Documentos/631/01079898590/6310107989859011092023145040.jpg</v>
      </c>
      <c r="F316" s="5" t="str">
        <f>HYPERLINK("https://dpmzos25m8ivg.cloudfront.net/Documentos/631/01079898590/6310107989859011092023145103.jpg","https://dpmzos25m8ivg.cloudfront.net/Documentos/631/01079898590/6310107989859011092023145103.jpg")</f>
        <v>https://dpmzos25m8ivg.cloudfront.net/Documentos/631/01079898590/6310107989859011092023145103.jpg</v>
      </c>
      <c r="G316" s="5" t="str">
        <f>HYPERLINK("https://dpmzos25m8ivg.cloudfront.net/Documentos/631/01079898590/6310107989859011092023145052.jpg","https://dpmzos25m8ivg.cloudfront.net/Documentos/631/01079898590/6310107989859011092023145052.jpg")</f>
        <v>https://dpmzos25m8ivg.cloudfront.net/Documentos/631/01079898590/6310107989859011092023145052.jpg</v>
      </c>
      <c r="H316" s="4" t="s">
        <v>8903</v>
      </c>
    </row>
    <row r="317" spans="1:8" x14ac:dyDescent="0.25">
      <c r="A317" s="2" t="s">
        <v>331</v>
      </c>
      <c r="B317" s="3" t="s">
        <v>90</v>
      </c>
      <c r="C317" s="3"/>
      <c r="D317" s="3"/>
      <c r="E317" s="4" t="str">
        <f>HYPERLINK("https://dpmzos25m8ivg.cloudfront.net/Documentos/631/01080157182/6310108015718207092023152229.jpg","https://dpmzos25m8ivg.cloudfront.net/Documentos/631/01080157182/6310108015718207092023152229.jpg")</f>
        <v>https://dpmzos25m8ivg.cloudfront.net/Documentos/631/01080157182/6310108015718207092023152229.jpg</v>
      </c>
      <c r="F317" s="5" t="str">
        <f>HYPERLINK("https://dpmzos25m8ivg.cloudfront.net/Documentos/631/01080157182/6310108015718207092023152612.pdf","https://dpmzos25m8ivg.cloudfront.net/Documentos/631/01080157182/6310108015718207092023152612.pdf")</f>
        <v>https://dpmzos25m8ivg.cloudfront.net/Documentos/631/01080157182/6310108015718207092023152612.pdf</v>
      </c>
      <c r="G317" s="5" t="str">
        <f>HYPERLINK("https://dpmzos25m8ivg.cloudfront.net/Documentos/631/01080157182/6310108015718207092023152640.pdf","https://dpmzos25m8ivg.cloudfront.net/Documentos/631/01080157182/6310108015718207092023152640.pdf")</f>
        <v>https://dpmzos25m8ivg.cloudfront.net/Documentos/631/01080157182/6310108015718207092023152640.pdf</v>
      </c>
      <c r="H317" s="4" t="s">
        <v>8904</v>
      </c>
    </row>
    <row r="318" spans="1:8" x14ac:dyDescent="0.25">
      <c r="A318" s="2" t="s">
        <v>332</v>
      </c>
      <c r="B318" s="3"/>
      <c r="C318" s="3"/>
      <c r="D318" s="3"/>
      <c r="E318" s="4" t="str">
        <f>HYPERLINK("https://dpmzos25m8ivg.cloudfront.net/Documentos/631/01081266414/6310108126641410092023194819.pdf","https://dpmzos25m8ivg.cloudfront.net/Documentos/631/01081266414/6310108126641410092023194819.pdf")</f>
        <v>https://dpmzos25m8ivg.cloudfront.net/Documentos/631/01081266414/6310108126641410092023194819.pdf</v>
      </c>
      <c r="F318" s="5" t="str">
        <f>HYPERLINK("https://dpmzos25m8ivg.cloudfront.net/Documentos/631/01081266414/6310108126641410092023194838.pdf","https://dpmzos25m8ivg.cloudfront.net/Documentos/631/01081266414/6310108126641410092023194838.pdf")</f>
        <v>https://dpmzos25m8ivg.cloudfront.net/Documentos/631/01081266414/6310108126641410092023194838.pdf</v>
      </c>
      <c r="G318" s="5" t="str">
        <f>HYPERLINK("https://dpmzos25m8ivg.cloudfront.net/Documentos/631/01081266414/6310108126641410092023194857.pdf","https://dpmzos25m8ivg.cloudfront.net/Documentos/631/01081266414/6310108126641410092023194857.pdf")</f>
        <v>https://dpmzos25m8ivg.cloudfront.net/Documentos/631/01081266414/6310108126641410092023194857.pdf</v>
      </c>
      <c r="H318" s="4" t="s">
        <v>8905</v>
      </c>
    </row>
    <row r="319" spans="1:8" x14ac:dyDescent="0.25">
      <c r="A319" s="2" t="s">
        <v>333</v>
      </c>
      <c r="B319" s="3"/>
      <c r="C319" s="3"/>
      <c r="D319" s="3"/>
      <c r="E319" s="4" t="str">
        <f>HYPERLINK("https://dpmzos25m8ivg.cloudfront.net/Documentos/631/01084441209/6310108444120911092023000632.pdf","https://dpmzos25m8ivg.cloudfront.net/Documentos/631/01084441209/6310108444120911092023000632.pdf")</f>
        <v>https://dpmzos25m8ivg.cloudfront.net/Documentos/631/01084441209/6310108444120911092023000632.pdf</v>
      </c>
      <c r="F319" s="5" t="str">
        <f>HYPERLINK("https://dpmzos25m8ivg.cloudfront.net/Documentos/631/01084441209/6310108444120911092023000643.pdf","https://dpmzos25m8ivg.cloudfront.net/Documentos/631/01084441209/6310108444120911092023000643.pdf")</f>
        <v>https://dpmzos25m8ivg.cloudfront.net/Documentos/631/01084441209/6310108444120911092023000643.pdf</v>
      </c>
      <c r="G319" s="5" t="str">
        <f>HYPERLINK("https://dpmzos25m8ivg.cloudfront.net/Documentos/631/01084441209/6310108444120911092023000655.pdf","https://dpmzos25m8ivg.cloudfront.net/Documentos/631/01084441209/6310108444120911092023000655.pdf")</f>
        <v>https://dpmzos25m8ivg.cloudfront.net/Documentos/631/01084441209/6310108444120911092023000655.pdf</v>
      </c>
      <c r="H319" s="4" t="s">
        <v>8906</v>
      </c>
    </row>
    <row r="320" spans="1:8" x14ac:dyDescent="0.25">
      <c r="A320" s="2" t="s">
        <v>334</v>
      </c>
      <c r="B320" s="3"/>
      <c r="C320" s="3"/>
      <c r="D320" s="3"/>
      <c r="E320" s="4" t="str">
        <f>HYPERLINK("https://dpmzos25m8ivg.cloudfront.net/Documentos/631/01084536501/6310108453650105092023103301.pdf","https://dpmzos25m8ivg.cloudfront.net/Documentos/631/01084536501/6310108453650105092023103301.pdf")</f>
        <v>https://dpmzos25m8ivg.cloudfront.net/Documentos/631/01084536501/6310108453650105092023103301.pdf</v>
      </c>
      <c r="F320" s="5" t="str">
        <f>HYPERLINK("https://dpmzos25m8ivg.cloudfront.net/Documentos/631/01084536501/6310108453650105092023104112.jpg","https://dpmzos25m8ivg.cloudfront.net/Documentos/631/01084536501/6310108453650105092023104112.jpg")</f>
        <v>https://dpmzos25m8ivg.cloudfront.net/Documentos/631/01084536501/6310108453650105092023104112.jpg</v>
      </c>
      <c r="G320" s="5" t="str">
        <f>HYPERLINK("https://dpmzos25m8ivg.cloudfront.net/Documentos/631/01084536501/6310108453650105092023105423.pdf","https://dpmzos25m8ivg.cloudfront.net/Documentos/631/01084536501/6310108453650105092023105423.pdf")</f>
        <v>https://dpmzos25m8ivg.cloudfront.net/Documentos/631/01084536501/6310108453650105092023105423.pdf</v>
      </c>
      <c r="H320" s="4" t="s">
        <v>8907</v>
      </c>
    </row>
    <row r="321" spans="1:8" x14ac:dyDescent="0.25">
      <c r="A321" s="2" t="s">
        <v>335</v>
      </c>
      <c r="B321" s="3"/>
      <c r="C321" s="3"/>
      <c r="D321" s="3"/>
      <c r="E321" s="4" t="str">
        <f>HYPERLINK("https://dpmzos25m8ivg.cloudfront.net/Documentos/631/01089384254/6310108938425411092023011003.pdf","https://dpmzos25m8ivg.cloudfront.net/Documentos/631/01089384254/6310108938425411092023011003.pdf")</f>
        <v>https://dpmzos25m8ivg.cloudfront.net/Documentos/631/01089384254/6310108938425411092023011003.pdf</v>
      </c>
      <c r="F321" s="5" t="str">
        <f>HYPERLINK("https://dpmzos25m8ivg.cloudfront.net/Documentos/631/01089384254/6310108938425411092023013401.pdf","https://dpmzos25m8ivg.cloudfront.net/Documentos/631/01089384254/6310108938425411092023013401.pdf")</f>
        <v>https://dpmzos25m8ivg.cloudfront.net/Documentos/631/01089384254/6310108938425411092023013401.pdf</v>
      </c>
      <c r="G321" s="5" t="str">
        <f>HYPERLINK("https://dpmzos25m8ivg.cloudfront.net/Documentos/631/01089384254/6310108938425411092023005013.pdf","https://dpmzos25m8ivg.cloudfront.net/Documentos/631/01089384254/6310108938425411092023005013.pdf")</f>
        <v>https://dpmzos25m8ivg.cloudfront.net/Documentos/631/01089384254/6310108938425411092023005013.pdf</v>
      </c>
      <c r="H321" s="4" t="s">
        <v>8908</v>
      </c>
    </row>
    <row r="322" spans="1:8" x14ac:dyDescent="0.25">
      <c r="A322" s="2" t="s">
        <v>336</v>
      </c>
      <c r="B322" s="3"/>
      <c r="C322" s="3"/>
      <c r="D322" s="3"/>
      <c r="E322" s="4" t="str">
        <f>HYPERLINK("https://dpmzos25m8ivg.cloudfront.net/Documentos/631/01092751521/6310109275152111092023111631.pdf","https://dpmzos25m8ivg.cloudfront.net/Documentos/631/01092751521/6310109275152111092023111631.pdf")</f>
        <v>https://dpmzos25m8ivg.cloudfront.net/Documentos/631/01092751521/6310109275152111092023111631.pdf</v>
      </c>
      <c r="F322" s="5" t="str">
        <f>HYPERLINK("https://dpmzos25m8ivg.cloudfront.net/Documentos/631/01092751521/6310109275152111092023111643.pdf","https://dpmzos25m8ivg.cloudfront.net/Documentos/631/01092751521/6310109275152111092023111643.pdf")</f>
        <v>https://dpmzos25m8ivg.cloudfront.net/Documentos/631/01092751521/6310109275152111092023111643.pdf</v>
      </c>
      <c r="G322" s="5" t="str">
        <f>HYPERLINK("https://dpmzos25m8ivg.cloudfront.net/Documentos/631/01092751521/6310109275152111092023111652.pdf","https://dpmzos25m8ivg.cloudfront.net/Documentos/631/01092751521/6310109275152111092023111652.pdf")</f>
        <v>https://dpmzos25m8ivg.cloudfront.net/Documentos/631/01092751521/6310109275152111092023111652.pdf</v>
      </c>
      <c r="H322" s="4" t="s">
        <v>8909</v>
      </c>
    </row>
    <row r="323" spans="1:8" x14ac:dyDescent="0.25">
      <c r="A323" s="2" t="s">
        <v>337</v>
      </c>
      <c r="B323" s="3"/>
      <c r="C323" s="3"/>
      <c r="D323" s="3"/>
      <c r="E323" s="4" t="str">
        <f>HYPERLINK("https://dpmzos25m8ivg.cloudfront.net/Documentos/631/01099597790/6310109959779010092023212155.pdf","https://dpmzos25m8ivg.cloudfront.net/Documentos/631/01099597790/6310109959779010092023212155.pdf")</f>
        <v>https://dpmzos25m8ivg.cloudfront.net/Documentos/631/01099597790/6310109959779010092023212155.pdf</v>
      </c>
      <c r="F323" s="5" t="str">
        <f>HYPERLINK("https://dpmzos25m8ivg.cloudfront.net/Documentos/631/01099597790/6310109959779010092023212205.pdf","https://dpmzos25m8ivg.cloudfront.net/Documentos/631/01099597790/6310109959779010092023212205.pdf")</f>
        <v>https://dpmzos25m8ivg.cloudfront.net/Documentos/631/01099597790/6310109959779010092023212205.pdf</v>
      </c>
      <c r="G323" s="5" t="str">
        <f>HYPERLINK("https://dpmzos25m8ivg.cloudfront.net/Documentos/631/01099597790/6310109959779010092023212216.pdf","https://dpmzos25m8ivg.cloudfront.net/Documentos/631/01099597790/6310109959779010092023212216.pdf")</f>
        <v>https://dpmzos25m8ivg.cloudfront.net/Documentos/631/01099597790/6310109959779010092023212216.pdf</v>
      </c>
      <c r="H323" s="4" t="s">
        <v>8910</v>
      </c>
    </row>
    <row r="324" spans="1:8" x14ac:dyDescent="0.25">
      <c r="A324" s="2" t="s">
        <v>338</v>
      </c>
      <c r="B324" s="3" t="s">
        <v>197</v>
      </c>
      <c r="C324" s="3"/>
      <c r="D324" s="3"/>
      <c r="E324" s="4" t="str">
        <f>HYPERLINK("https://dpmzos25m8ivg.cloudfront.net/Documentos/631/01100995080/6310110099508011092023123034.pdf","https://dpmzos25m8ivg.cloudfront.net/Documentos/631/01100995080/6310110099508011092023123034.pdf")</f>
        <v>https://dpmzos25m8ivg.cloudfront.net/Documentos/631/01100995080/6310110099508011092023123034.pdf</v>
      </c>
      <c r="F324" s="5" t="str">
        <f>HYPERLINK("https://dpmzos25m8ivg.cloudfront.net/Documentos/631/01100995080/6310110099508011092023123050.pdf","https://dpmzos25m8ivg.cloudfront.net/Documentos/631/01100995080/6310110099508011092023123050.pdf")</f>
        <v>https://dpmzos25m8ivg.cloudfront.net/Documentos/631/01100995080/6310110099508011092023123050.pdf</v>
      </c>
      <c r="G324" s="5" t="str">
        <f>HYPERLINK("https://dpmzos25m8ivg.cloudfront.net/Documentos/631/01100995080/6310110099508011092023123102.pdf","https://dpmzos25m8ivg.cloudfront.net/Documentos/631/01100995080/6310110099508011092023123102.pdf")</f>
        <v>https://dpmzos25m8ivg.cloudfront.net/Documentos/631/01100995080/6310110099508011092023123102.pdf</v>
      </c>
      <c r="H324" s="4" t="s">
        <v>8911</v>
      </c>
    </row>
    <row r="325" spans="1:8" x14ac:dyDescent="0.25">
      <c r="A325" s="2" t="s">
        <v>339</v>
      </c>
      <c r="B325" s="3"/>
      <c r="C325" s="3"/>
      <c r="D325" s="3"/>
      <c r="E325" s="4" t="str">
        <f>HYPERLINK("https://dpmzos25m8ivg.cloudfront.net/Documentos/631/01103356860/6310110335686005092023153958.pdf","https://dpmzos25m8ivg.cloudfront.net/Documentos/631/01103356860/6310110335686005092023153958.pdf")</f>
        <v>https://dpmzos25m8ivg.cloudfront.net/Documentos/631/01103356860/6310110335686005092023153958.pdf</v>
      </c>
      <c r="F325" s="5" t="str">
        <f>HYPERLINK("https://dpmzos25m8ivg.cloudfront.net/Documentos/631/01103356860/6310110335686005092023154032.pdf","https://dpmzos25m8ivg.cloudfront.net/Documentos/631/01103356860/6310110335686005092023154032.pdf")</f>
        <v>https://dpmzos25m8ivg.cloudfront.net/Documentos/631/01103356860/6310110335686005092023154032.pdf</v>
      </c>
      <c r="G325" s="5" t="str">
        <f>HYPERLINK("https://dpmzos25m8ivg.cloudfront.net/Documentos/631/01103356860/6310110335686005092023154050.pdf","https://dpmzos25m8ivg.cloudfront.net/Documentos/631/01103356860/6310110335686005092023154050.pdf")</f>
        <v>https://dpmzos25m8ivg.cloudfront.net/Documentos/631/01103356860/6310110335686005092023154050.pdf</v>
      </c>
      <c r="H325" s="4" t="s">
        <v>8912</v>
      </c>
    </row>
    <row r="326" spans="1:8" x14ac:dyDescent="0.25">
      <c r="A326" s="2" t="s">
        <v>340</v>
      </c>
      <c r="B326" s="3"/>
      <c r="C326" s="3"/>
      <c r="D326" s="3"/>
      <c r="E326" s="4" t="str">
        <f>HYPERLINK("https://dpmzos25m8ivg.cloudfront.net/Documentos/631/01107376106/6310110737610606092023165017.pdf","https://dpmzos25m8ivg.cloudfront.net/Documentos/631/01107376106/6310110737610606092023165017.pdf")</f>
        <v>https://dpmzos25m8ivg.cloudfront.net/Documentos/631/01107376106/6310110737610606092023165017.pdf</v>
      </c>
      <c r="F326" s="5" t="str">
        <f>HYPERLINK("https://dpmzos25m8ivg.cloudfront.net/Documentos/631/01107376106/6310110737610606092023165110.pdf","https://dpmzos25m8ivg.cloudfront.net/Documentos/631/01107376106/6310110737610606092023165110.pdf")</f>
        <v>https://dpmzos25m8ivg.cloudfront.net/Documentos/631/01107376106/6310110737610606092023165110.pdf</v>
      </c>
      <c r="G326" s="5" t="str">
        <f>HYPERLINK("https://dpmzos25m8ivg.cloudfront.net/Documentos/631/01107376106/6310110737610606092023165123.pdf","https://dpmzos25m8ivg.cloudfront.net/Documentos/631/01107376106/6310110737610606092023165123.pdf")</f>
        <v>https://dpmzos25m8ivg.cloudfront.net/Documentos/631/01107376106/6310110737610606092023165123.pdf</v>
      </c>
      <c r="H326" s="4" t="s">
        <v>8913</v>
      </c>
    </row>
    <row r="327" spans="1:8" x14ac:dyDescent="0.25">
      <c r="A327" s="2" t="s">
        <v>341</v>
      </c>
      <c r="B327" s="3"/>
      <c r="C327" s="3"/>
      <c r="D327" s="3"/>
      <c r="E327" s="4" t="str">
        <f>HYPERLINK("https://dpmzos25m8ivg.cloudfront.net/Documentos/631/01109692196/6310110969219611092023114029.jpg","https://dpmzos25m8ivg.cloudfront.net/Documentos/631/01109692196/6310110969219611092023114029.jpg")</f>
        <v>https://dpmzos25m8ivg.cloudfront.net/Documentos/631/01109692196/6310110969219611092023114029.jpg</v>
      </c>
      <c r="F327" s="5" t="str">
        <f>HYPERLINK("https://dpmzos25m8ivg.cloudfront.net/Documentos/631/01109692196/6310110969219611092023114119.jpg","https://dpmzos25m8ivg.cloudfront.net/Documentos/631/01109692196/6310110969219611092023114119.jpg")</f>
        <v>https://dpmzos25m8ivg.cloudfront.net/Documentos/631/01109692196/6310110969219611092023114119.jpg</v>
      </c>
      <c r="G327" s="5" t="str">
        <f>HYPERLINK("https://dpmzos25m8ivg.cloudfront.net/Documentos/631/01109692196/6310110969219611092023114205.jpg","https://dpmzos25m8ivg.cloudfront.net/Documentos/631/01109692196/6310110969219611092023114205.jpg")</f>
        <v>https://dpmzos25m8ivg.cloudfront.net/Documentos/631/01109692196/6310110969219611092023114205.jpg</v>
      </c>
      <c r="H327" s="4" t="s">
        <v>8914</v>
      </c>
    </row>
    <row r="328" spans="1:8" x14ac:dyDescent="0.25">
      <c r="A328" s="2" t="s">
        <v>342</v>
      </c>
      <c r="B328" s="3"/>
      <c r="C328" s="3"/>
      <c r="D328" s="3"/>
      <c r="E328" s="4" t="str">
        <f>HYPERLINK("https://dpmzos25m8ivg.cloudfront.net/Documentos/631/01110553188/6310111055318811092023145420.pdf","https://dpmzos25m8ivg.cloudfront.net/Documentos/631/01110553188/6310111055318811092023145420.pdf")</f>
        <v>https://dpmzos25m8ivg.cloudfront.net/Documentos/631/01110553188/6310111055318811092023145420.pdf</v>
      </c>
      <c r="F328" s="5" t="str">
        <f>HYPERLINK("https://dpmzos25m8ivg.cloudfront.net/Documentos/631/01110553188/6310111055318811092023145436.pdf","https://dpmzos25m8ivg.cloudfront.net/Documentos/631/01110553188/6310111055318811092023145436.pdf")</f>
        <v>https://dpmzos25m8ivg.cloudfront.net/Documentos/631/01110553188/6310111055318811092023145436.pdf</v>
      </c>
      <c r="G328" s="5" t="str">
        <f>HYPERLINK("https://dpmzos25m8ivg.cloudfront.net/Documentos/631/01110553188/6310111055318811092023145445.pdf","https://dpmzos25m8ivg.cloudfront.net/Documentos/631/01110553188/6310111055318811092023145445.pdf")</f>
        <v>https://dpmzos25m8ivg.cloudfront.net/Documentos/631/01110553188/6310111055318811092023145445.pdf</v>
      </c>
      <c r="H328" s="4" t="s">
        <v>8915</v>
      </c>
    </row>
    <row r="329" spans="1:8" x14ac:dyDescent="0.25">
      <c r="A329" s="2" t="s">
        <v>343</v>
      </c>
      <c r="B329" s="3" t="s">
        <v>8</v>
      </c>
      <c r="C329" s="3"/>
      <c r="D329" s="3"/>
      <c r="E329" s="4" t="str">
        <f>HYPERLINK("https://dpmzos25m8ivg.cloudfront.net/Documentos/631/01111687757/6310111168775705092023015509.pdf","https://dpmzos25m8ivg.cloudfront.net/Documentos/631/01111687757/6310111168775705092023015509.pdf")</f>
        <v>https://dpmzos25m8ivg.cloudfront.net/Documentos/631/01111687757/6310111168775705092023015509.pdf</v>
      </c>
      <c r="F329" s="5" t="str">
        <f>HYPERLINK("https://dpmzos25m8ivg.cloudfront.net/Documentos/631/01111687757/6310111168775705092023015818.pdf","https://dpmzos25m8ivg.cloudfront.net/Documentos/631/01111687757/6310111168775705092023015818.pdf")</f>
        <v>https://dpmzos25m8ivg.cloudfront.net/Documentos/631/01111687757/6310111168775705092023015818.pdf</v>
      </c>
      <c r="G329" s="5" t="str">
        <f>HYPERLINK("https://dpmzos25m8ivg.cloudfront.net/Documentos/631/01111687757/6310111168775705092023090042.jpg","https://dpmzos25m8ivg.cloudfront.net/Documentos/631/01111687757/6310111168775705092023090042.jpg")</f>
        <v>https://dpmzos25m8ivg.cloudfront.net/Documentos/631/01111687757/6310111168775705092023090042.jpg</v>
      </c>
      <c r="H329" s="4" t="s">
        <v>8916</v>
      </c>
    </row>
    <row r="330" spans="1:8" x14ac:dyDescent="0.25">
      <c r="A330" s="2" t="s">
        <v>344</v>
      </c>
      <c r="B330" s="3"/>
      <c r="C330" s="3"/>
      <c r="D330" s="3"/>
      <c r="E330" s="4" t="str">
        <f>HYPERLINK("https://dpmzos25m8ivg.cloudfront.net/Documentos/631/01121386164/6310112138616410092023011721.jpg","https://dpmzos25m8ivg.cloudfront.net/Documentos/631/01121386164/6310112138616410092023011721.jpg")</f>
        <v>https://dpmzos25m8ivg.cloudfront.net/Documentos/631/01121386164/6310112138616410092023011721.jpg</v>
      </c>
      <c r="F330" s="5" t="str">
        <f>HYPERLINK("https://dpmzos25m8ivg.cloudfront.net/Documentos/631/01121386164/6310112138616410092023011743.jpg","https://dpmzos25m8ivg.cloudfront.net/Documentos/631/01121386164/6310112138616410092023011743.jpg")</f>
        <v>https://dpmzos25m8ivg.cloudfront.net/Documentos/631/01121386164/6310112138616410092023011743.jpg</v>
      </c>
      <c r="G330" s="5" t="str">
        <f>HYPERLINK("https://dpmzos25m8ivg.cloudfront.net/Documentos/631/01121386164/6310112138616410092023011803.jpg","https://dpmzos25m8ivg.cloudfront.net/Documentos/631/01121386164/6310112138616410092023011803.jpg")</f>
        <v>https://dpmzos25m8ivg.cloudfront.net/Documentos/631/01121386164/6310112138616410092023011803.jpg</v>
      </c>
      <c r="H330" s="4" t="s">
        <v>8917</v>
      </c>
    </row>
    <row r="331" spans="1:8" x14ac:dyDescent="0.25">
      <c r="A331" s="2" t="s">
        <v>345</v>
      </c>
      <c r="B331" s="3"/>
      <c r="C331" s="3"/>
      <c r="D331" s="3"/>
      <c r="E331" s="4" t="str">
        <f>HYPERLINK("https://dpmzos25m8ivg.cloudfront.net/Documentos/631/01122124503/6310112212450311092023110510.jpeg","https://dpmzos25m8ivg.cloudfront.net/Documentos/631/01122124503/6310112212450311092023110510.jpeg")</f>
        <v>https://dpmzos25m8ivg.cloudfront.net/Documentos/631/01122124503/6310112212450311092023110510.jpeg</v>
      </c>
      <c r="F331" s="5" t="str">
        <f>HYPERLINK("https://dpmzos25m8ivg.cloudfront.net/Documentos/631/01122124503/6310112212450311092023110518.jpeg","https://dpmzos25m8ivg.cloudfront.net/Documentos/631/01122124503/6310112212450311092023110518.jpeg")</f>
        <v>https://dpmzos25m8ivg.cloudfront.net/Documentos/631/01122124503/6310112212450311092023110518.jpeg</v>
      </c>
      <c r="G331" s="5" t="str">
        <f>HYPERLINK("https://dpmzos25m8ivg.cloudfront.net/Documentos/631/01122124503/6310112212450311092023110527.jpeg","https://dpmzos25m8ivg.cloudfront.net/Documentos/631/01122124503/6310112212450311092023110527.jpeg")</f>
        <v>https://dpmzos25m8ivg.cloudfront.net/Documentos/631/01122124503/6310112212450311092023110527.jpeg</v>
      </c>
      <c r="H331" s="4" t="s">
        <v>8918</v>
      </c>
    </row>
    <row r="332" spans="1:8" x14ac:dyDescent="0.25">
      <c r="A332" s="2" t="s">
        <v>346</v>
      </c>
      <c r="B332" s="3"/>
      <c r="C332" s="3"/>
      <c r="D332" s="3"/>
      <c r="E332" s="4" t="str">
        <f>HYPERLINK("https://dpmzos25m8ivg.cloudfront.net/Documentos/631/01125024313/6310112502431308092023170621.pdf","https://dpmzos25m8ivg.cloudfront.net/Documentos/631/01125024313/6310112502431308092023170621.pdf")</f>
        <v>https://dpmzos25m8ivg.cloudfront.net/Documentos/631/01125024313/6310112502431308092023170621.pdf</v>
      </c>
      <c r="F332" s="5" t="str">
        <f>HYPERLINK("https://dpmzos25m8ivg.cloudfront.net/Documentos/631/01125024313/6310112502431308092023170641.pdf","https://dpmzos25m8ivg.cloudfront.net/Documentos/631/01125024313/6310112502431308092023170641.pdf")</f>
        <v>https://dpmzos25m8ivg.cloudfront.net/Documentos/631/01125024313/6310112502431308092023170641.pdf</v>
      </c>
      <c r="G332" s="5" t="str">
        <f>HYPERLINK("https://dpmzos25m8ivg.cloudfront.net/Documentos/631/01125024313/6310112502431308092023170655.pdf","https://dpmzos25m8ivg.cloudfront.net/Documentos/631/01125024313/6310112502431308092023170655.pdf")</f>
        <v>https://dpmzos25m8ivg.cloudfront.net/Documentos/631/01125024313/6310112502431308092023170655.pdf</v>
      </c>
      <c r="H332" s="4" t="s">
        <v>8919</v>
      </c>
    </row>
    <row r="333" spans="1:8" x14ac:dyDescent="0.25">
      <c r="A333" s="2" t="s">
        <v>347</v>
      </c>
      <c r="B333" s="3"/>
      <c r="C333" s="3"/>
      <c r="D333" s="3"/>
      <c r="E333" s="4" t="str">
        <f>HYPERLINK("https://dpmzos25m8ivg.cloudfront.net/Documentos/631/01131787277/6310113178727711092023125203.jpg","https://dpmzos25m8ivg.cloudfront.net/Documentos/631/01131787277/6310113178727711092023125203.jpg")</f>
        <v>https://dpmzos25m8ivg.cloudfront.net/Documentos/631/01131787277/6310113178727711092023125203.jpg</v>
      </c>
      <c r="F333" s="5" t="str">
        <f>HYPERLINK("https://dpmzos25m8ivg.cloudfront.net/Documentos/631/01131787277/6310113178727711092023125223.jpg","https://dpmzos25m8ivg.cloudfront.net/Documentos/631/01131787277/6310113178727711092023125223.jpg")</f>
        <v>https://dpmzos25m8ivg.cloudfront.net/Documentos/631/01131787277/6310113178727711092023125223.jpg</v>
      </c>
      <c r="G333" s="5" t="str">
        <f>HYPERLINK("https://dpmzos25m8ivg.cloudfront.net/Documentos/631/01131787277/6310113178727711092023125239.jpg","https://dpmzos25m8ivg.cloudfront.net/Documentos/631/01131787277/6310113178727711092023125239.jpg")</f>
        <v>https://dpmzos25m8ivg.cloudfront.net/Documentos/631/01131787277/6310113178727711092023125239.jpg</v>
      </c>
      <c r="H333" s="4" t="s">
        <v>8920</v>
      </c>
    </row>
    <row r="334" spans="1:8" x14ac:dyDescent="0.25">
      <c r="A334" s="2" t="s">
        <v>348</v>
      </c>
      <c r="B334" s="3"/>
      <c r="C334" s="3"/>
      <c r="D334" s="3"/>
      <c r="E334" s="4" t="str">
        <f>HYPERLINK("https://dpmzos25m8ivg.cloudfront.net/Documentos/631/01133618073/6310113361807306092023103610.pdf","https://dpmzos25m8ivg.cloudfront.net/Documentos/631/01133618073/6310113361807306092023103610.pdf")</f>
        <v>https://dpmzos25m8ivg.cloudfront.net/Documentos/631/01133618073/6310113361807306092023103610.pdf</v>
      </c>
      <c r="F334" s="5" t="str">
        <f>HYPERLINK("https://dpmzos25m8ivg.cloudfront.net/Documentos/631/01133618073/6310113361807306092023103622.pdf","https://dpmzos25m8ivg.cloudfront.net/Documentos/631/01133618073/6310113361807306092023103622.pdf")</f>
        <v>https://dpmzos25m8ivg.cloudfront.net/Documentos/631/01133618073/6310113361807306092023103622.pdf</v>
      </c>
      <c r="G334" s="5" t="str">
        <f>HYPERLINK("https://dpmzos25m8ivg.cloudfront.net/Documentos/631/01133618073/6310113361807306092023103632.pdf","https://dpmzos25m8ivg.cloudfront.net/Documentos/631/01133618073/6310113361807306092023103632.pdf")</f>
        <v>https://dpmzos25m8ivg.cloudfront.net/Documentos/631/01133618073/6310113361807306092023103632.pdf</v>
      </c>
      <c r="H334" s="4" t="s">
        <v>8921</v>
      </c>
    </row>
    <row r="335" spans="1:8" x14ac:dyDescent="0.25">
      <c r="A335" s="2" t="s">
        <v>349</v>
      </c>
      <c r="B335" s="3" t="s">
        <v>312</v>
      </c>
      <c r="C335" s="3"/>
      <c r="D335" s="3"/>
      <c r="E335" s="4" t="str">
        <f>HYPERLINK("https://dpmzos25m8ivg.cloudfront.net/Documentos/631/01135620202/6310113562020211092023153830.pdf","https://dpmzos25m8ivg.cloudfront.net/Documentos/631/01135620202/6310113562020211092023153830.pdf")</f>
        <v>https://dpmzos25m8ivg.cloudfront.net/Documentos/631/01135620202/6310113562020211092023153830.pdf</v>
      </c>
      <c r="F335" s="5" t="str">
        <f>HYPERLINK("https://dpmzos25m8ivg.cloudfront.net/Documentos/631/01135620202/6310113562020211092023153838.pdf","https://dpmzos25m8ivg.cloudfront.net/Documentos/631/01135620202/6310113562020211092023153838.pdf")</f>
        <v>https://dpmzos25m8ivg.cloudfront.net/Documentos/631/01135620202/6310113562020211092023153838.pdf</v>
      </c>
      <c r="G335" s="5" t="str">
        <f>HYPERLINK("https://dpmzos25m8ivg.cloudfront.net/Documentos/631/01135620202/6310113562020211092023153844.pdf","https://dpmzos25m8ivg.cloudfront.net/Documentos/631/01135620202/6310113562020211092023153844.pdf")</f>
        <v>https://dpmzos25m8ivg.cloudfront.net/Documentos/631/01135620202/6310113562020211092023153844.pdf</v>
      </c>
      <c r="H335" s="4" t="s">
        <v>8922</v>
      </c>
    </row>
    <row r="336" spans="1:8" x14ac:dyDescent="0.25">
      <c r="A336" s="2" t="s">
        <v>350</v>
      </c>
      <c r="B336" s="3"/>
      <c r="C336" s="3"/>
      <c r="D336" s="3"/>
      <c r="E336" s="4" t="str">
        <f>HYPERLINK("https://dpmzos25m8ivg.cloudfront.net/Documentos/631/01142986454/6310114298645411092023095739.pdf","https://dpmzos25m8ivg.cloudfront.net/Documentos/631/01142986454/6310114298645411092023095739.pdf")</f>
        <v>https://dpmzos25m8ivg.cloudfront.net/Documentos/631/01142986454/6310114298645411092023095739.pdf</v>
      </c>
      <c r="F336" s="5" t="str">
        <f>HYPERLINK("https://dpmzos25m8ivg.cloudfront.net/Documentos/631/01142986454/6310114298645411092023095806.pdf","https://dpmzos25m8ivg.cloudfront.net/Documentos/631/01142986454/6310114298645411092023095806.pdf")</f>
        <v>https://dpmzos25m8ivg.cloudfront.net/Documentos/631/01142986454/6310114298645411092023095806.pdf</v>
      </c>
      <c r="G336" s="5" t="str">
        <f>HYPERLINK("https://dpmzos25m8ivg.cloudfront.net/Documentos/631/01142986454/6310114298645411092023095823.pdf","https://dpmzos25m8ivg.cloudfront.net/Documentos/631/01142986454/6310114298645411092023095823.pdf")</f>
        <v>https://dpmzos25m8ivg.cloudfront.net/Documentos/631/01142986454/6310114298645411092023095823.pdf</v>
      </c>
      <c r="H336" s="4" t="s">
        <v>8923</v>
      </c>
    </row>
    <row r="337" spans="1:8" x14ac:dyDescent="0.25">
      <c r="A337" s="2" t="s">
        <v>351</v>
      </c>
      <c r="B337" s="3"/>
      <c r="C337" s="3"/>
      <c r="D337" s="3"/>
      <c r="E337" s="4" t="str">
        <f>HYPERLINK("https://dpmzos25m8ivg.cloudfront.net/Documentos/631/01144261120/6310114426112008092023161508.jpg","https://dpmzos25m8ivg.cloudfront.net/Documentos/631/01144261120/6310114426112008092023161508.jpg")</f>
        <v>https://dpmzos25m8ivg.cloudfront.net/Documentos/631/01144261120/6310114426112008092023161508.jpg</v>
      </c>
      <c r="F337" s="5" t="str">
        <f>HYPERLINK("https://dpmzos25m8ivg.cloudfront.net/Documentos/631/01144261120/6310114426112008092023161603.jpg","https://dpmzos25m8ivg.cloudfront.net/Documentos/631/01144261120/6310114426112008092023161603.jpg")</f>
        <v>https://dpmzos25m8ivg.cloudfront.net/Documentos/631/01144261120/6310114426112008092023161603.jpg</v>
      </c>
      <c r="G337" s="5" t="str">
        <f>HYPERLINK("https://dpmzos25m8ivg.cloudfront.net/Documentos/631/01144261120/6310114426112008092023161709.jpg","https://dpmzos25m8ivg.cloudfront.net/Documentos/631/01144261120/6310114426112008092023161709.jpg")</f>
        <v>https://dpmzos25m8ivg.cloudfront.net/Documentos/631/01144261120/6310114426112008092023161709.jpg</v>
      </c>
      <c r="H337" s="4" t="s">
        <v>8924</v>
      </c>
    </row>
    <row r="338" spans="1:8" x14ac:dyDescent="0.25">
      <c r="A338" s="2" t="s">
        <v>352</v>
      </c>
      <c r="B338" s="3"/>
      <c r="C338" s="3"/>
      <c r="D338" s="3"/>
      <c r="E338" s="4" t="str">
        <f>HYPERLINK("https://dpmzos25m8ivg.cloudfront.net/Documentos/631/01144491479/6310114449147909092023135921.pdf","https://dpmzos25m8ivg.cloudfront.net/Documentos/631/01144491479/6310114449147909092023135921.pdf")</f>
        <v>https://dpmzos25m8ivg.cloudfront.net/Documentos/631/01144491479/6310114449147909092023135921.pdf</v>
      </c>
      <c r="F338" s="5" t="str">
        <f>HYPERLINK("https://dpmzos25m8ivg.cloudfront.net/Documentos/631/01144491479/6310114449147909092023135949.pdf","https://dpmzos25m8ivg.cloudfront.net/Documentos/631/01144491479/6310114449147909092023135949.pdf")</f>
        <v>https://dpmzos25m8ivg.cloudfront.net/Documentos/631/01144491479/6310114449147909092023135949.pdf</v>
      </c>
      <c r="G338" s="5" t="str">
        <f>HYPERLINK("https://dpmzos25m8ivg.cloudfront.net/Documentos/631/01144491479/6310114449147909092023135959.pdf","https://dpmzos25m8ivg.cloudfront.net/Documentos/631/01144491479/6310114449147909092023135959.pdf")</f>
        <v>https://dpmzos25m8ivg.cloudfront.net/Documentos/631/01144491479/6310114449147909092023135959.pdf</v>
      </c>
      <c r="H338" s="4" t="s">
        <v>8925</v>
      </c>
    </row>
    <row r="339" spans="1:8" x14ac:dyDescent="0.25">
      <c r="A339" s="2" t="s">
        <v>353</v>
      </c>
      <c r="B339" s="3"/>
      <c r="C339" s="3"/>
      <c r="D339" s="3"/>
      <c r="E339" s="4" t="str">
        <f>HYPERLINK("https://dpmzos25m8ivg.cloudfront.net/Documentos/631/01161224807/6310116122480708092023122919.pdf","https://dpmzos25m8ivg.cloudfront.net/Documentos/631/01161224807/6310116122480708092023122919.pdf")</f>
        <v>https://dpmzos25m8ivg.cloudfront.net/Documentos/631/01161224807/6310116122480708092023122919.pdf</v>
      </c>
      <c r="F339" s="5" t="str">
        <f>HYPERLINK("https://dpmzos25m8ivg.cloudfront.net/Documentos/631/01161224807/6310116122480708092023150028.pdf","https://dpmzos25m8ivg.cloudfront.net/Documentos/631/01161224807/6310116122480708092023150028.pdf")</f>
        <v>https://dpmzos25m8ivg.cloudfront.net/Documentos/631/01161224807/6310116122480708092023150028.pdf</v>
      </c>
      <c r="G339" s="5" t="str">
        <f>HYPERLINK("https://dpmzos25m8ivg.cloudfront.net/Documentos/631/01161224807/6310116122480708092023150045.pdf","https://dpmzos25m8ivg.cloudfront.net/Documentos/631/01161224807/6310116122480708092023150045.pdf")</f>
        <v>https://dpmzos25m8ivg.cloudfront.net/Documentos/631/01161224807/6310116122480708092023150045.pdf</v>
      </c>
      <c r="H339" s="4" t="s">
        <v>8926</v>
      </c>
    </row>
    <row r="340" spans="1:8" x14ac:dyDescent="0.25">
      <c r="A340" s="2" t="s">
        <v>354</v>
      </c>
      <c r="B340" s="3"/>
      <c r="C340" s="3"/>
      <c r="D340" s="3"/>
      <c r="E340" s="4" t="str">
        <f>HYPERLINK("https://dpmzos25m8ivg.cloudfront.net/Documentos/631/01164099590/6310116409959009092023170139.pdf","https://dpmzos25m8ivg.cloudfront.net/Documentos/631/01164099590/6310116409959009092023170139.pdf")</f>
        <v>https://dpmzos25m8ivg.cloudfront.net/Documentos/631/01164099590/6310116409959009092023170139.pdf</v>
      </c>
      <c r="F340" s="5" t="str">
        <f>HYPERLINK("https://dpmzos25m8ivg.cloudfront.net/Documentos/631/01164099590/6310116409959009092023170200.pdf","https://dpmzos25m8ivg.cloudfront.net/Documentos/631/01164099590/6310116409959009092023170200.pdf")</f>
        <v>https://dpmzos25m8ivg.cloudfront.net/Documentos/631/01164099590/6310116409959009092023170200.pdf</v>
      </c>
      <c r="G340" s="5" t="str">
        <f>HYPERLINK("https://dpmzos25m8ivg.cloudfront.net/Documentos/631/01164099590/6310116409959009092023170216.pdf","https://dpmzos25m8ivg.cloudfront.net/Documentos/631/01164099590/6310116409959009092023170216.pdf")</f>
        <v>https://dpmzos25m8ivg.cloudfront.net/Documentos/631/01164099590/6310116409959009092023170216.pdf</v>
      </c>
      <c r="H340" s="4" t="s">
        <v>8927</v>
      </c>
    </row>
    <row r="341" spans="1:8" x14ac:dyDescent="0.25">
      <c r="A341" s="2" t="s">
        <v>355</v>
      </c>
      <c r="B341" s="3"/>
      <c r="C341" s="3"/>
      <c r="D341" s="3"/>
      <c r="E341" s="4" t="str">
        <f>HYPERLINK("https://dpmzos25m8ivg.cloudfront.net/Documentos/631/01164235109/6310116423510910092023144849.pdf","https://dpmzos25m8ivg.cloudfront.net/Documentos/631/01164235109/6310116423510910092023144849.pdf")</f>
        <v>https://dpmzos25m8ivg.cloudfront.net/Documentos/631/01164235109/6310116423510910092023144849.pdf</v>
      </c>
      <c r="F341" s="5" t="str">
        <f>HYPERLINK("https://dpmzos25m8ivg.cloudfront.net/Documentos/631/01164235109/6310116423510910092023161602.pdf","https://dpmzos25m8ivg.cloudfront.net/Documentos/631/01164235109/6310116423510910092023161602.pdf")</f>
        <v>https://dpmzos25m8ivg.cloudfront.net/Documentos/631/01164235109/6310116423510910092023161602.pdf</v>
      </c>
      <c r="G341" s="5" t="str">
        <f>HYPERLINK("https://dpmzos25m8ivg.cloudfront.net/Documentos/631/01164235109/6310116423510910092023145405.pdf","https://dpmzos25m8ivg.cloudfront.net/Documentos/631/01164235109/6310116423510910092023145405.pdf")</f>
        <v>https://dpmzos25m8ivg.cloudfront.net/Documentos/631/01164235109/6310116423510910092023145405.pdf</v>
      </c>
      <c r="H341" s="4" t="s">
        <v>8928</v>
      </c>
    </row>
    <row r="342" spans="1:8" x14ac:dyDescent="0.25">
      <c r="A342" s="2" t="s">
        <v>356</v>
      </c>
      <c r="B342" s="3"/>
      <c r="C342" s="3"/>
      <c r="D342" s="3"/>
      <c r="E342" s="4" t="str">
        <f>HYPERLINK("https://dpmzos25m8ivg.cloudfront.net/Documentos/631/01170446019/6310117044601909092023192403.pdf","https://dpmzos25m8ivg.cloudfront.net/Documentos/631/01170446019/6310117044601909092023192403.pdf")</f>
        <v>https://dpmzos25m8ivg.cloudfront.net/Documentos/631/01170446019/6310117044601909092023192403.pdf</v>
      </c>
      <c r="F342" s="5" t="str">
        <f>HYPERLINK("https://dpmzos25m8ivg.cloudfront.net/Documentos/631/01170446019/6310117044601909092023192415.pdf","https://dpmzos25m8ivg.cloudfront.net/Documentos/631/01170446019/6310117044601909092023192415.pdf")</f>
        <v>https://dpmzos25m8ivg.cloudfront.net/Documentos/631/01170446019/6310117044601909092023192415.pdf</v>
      </c>
      <c r="G342" s="5" t="str">
        <f>HYPERLINK("https://dpmzos25m8ivg.cloudfront.net/Documentos/631/01170446019/6310117044601909092023192432.pdf","https://dpmzos25m8ivg.cloudfront.net/Documentos/631/01170446019/6310117044601909092023192432.pdf")</f>
        <v>https://dpmzos25m8ivg.cloudfront.net/Documentos/631/01170446019/6310117044601909092023192432.pdf</v>
      </c>
      <c r="H342" s="4" t="s">
        <v>8929</v>
      </c>
    </row>
    <row r="343" spans="1:8" x14ac:dyDescent="0.25">
      <c r="A343" s="2" t="s">
        <v>357</v>
      </c>
      <c r="B343" s="3" t="s">
        <v>8</v>
      </c>
      <c r="C343" s="3"/>
      <c r="D343" s="3"/>
      <c r="E343" s="4" t="str">
        <f>HYPERLINK("https://dpmzos25m8ivg.cloudfront.net/Documentos/631/01172924350/6310117292435006092023082635.jpg","https://dpmzos25m8ivg.cloudfront.net/Documentos/631/01172924350/6310117292435006092023082635.jpg")</f>
        <v>https://dpmzos25m8ivg.cloudfront.net/Documentos/631/01172924350/6310117292435006092023082635.jpg</v>
      </c>
      <c r="F343" s="5" t="str">
        <f>HYPERLINK("https://dpmzos25m8ivg.cloudfront.net/Documentos/631/01172924350/6310117292435006092023082707.jpg","https://dpmzos25m8ivg.cloudfront.net/Documentos/631/01172924350/6310117292435006092023082707.jpg")</f>
        <v>https://dpmzos25m8ivg.cloudfront.net/Documentos/631/01172924350/6310117292435006092023082707.jpg</v>
      </c>
      <c r="G343" s="5" t="str">
        <f>HYPERLINK("https://dpmzos25m8ivg.cloudfront.net/Documentos/631/01172924350/6310117292435006092023082742.jpg","https://dpmzos25m8ivg.cloudfront.net/Documentos/631/01172924350/6310117292435006092023082742.jpg")</f>
        <v>https://dpmzos25m8ivg.cloudfront.net/Documentos/631/01172924350/6310117292435006092023082742.jpg</v>
      </c>
      <c r="H343" s="4" t="s">
        <v>8930</v>
      </c>
    </row>
    <row r="344" spans="1:8" x14ac:dyDescent="0.25">
      <c r="A344" s="2" t="s">
        <v>358</v>
      </c>
      <c r="B344" s="3" t="s">
        <v>8</v>
      </c>
      <c r="C344" s="3"/>
      <c r="D344" s="3"/>
      <c r="E344" s="4" t="str">
        <f>HYPERLINK("https://dpmzos25m8ivg.cloudfront.net/Documentos/631/01175060364/6310117506036405092023165004.pdf","https://dpmzos25m8ivg.cloudfront.net/Documentos/631/01175060364/6310117506036405092023165004.pdf")</f>
        <v>https://dpmzos25m8ivg.cloudfront.net/Documentos/631/01175060364/6310117506036405092023165004.pdf</v>
      </c>
      <c r="F344" s="5" t="str">
        <f>HYPERLINK("https://dpmzos25m8ivg.cloudfront.net/Documentos/631/01175060364/6310117506036405092023165023.pdf","https://dpmzos25m8ivg.cloudfront.net/Documentos/631/01175060364/6310117506036405092023165023.pdf")</f>
        <v>https://dpmzos25m8ivg.cloudfront.net/Documentos/631/01175060364/6310117506036405092023165023.pdf</v>
      </c>
      <c r="G344" s="5" t="str">
        <f>HYPERLINK("https://dpmzos25m8ivg.cloudfront.net/Documentos/631/01175060364/6310117506036405092023165041.pdf","https://dpmzos25m8ivg.cloudfront.net/Documentos/631/01175060364/6310117506036405092023165041.pdf")</f>
        <v>https://dpmzos25m8ivg.cloudfront.net/Documentos/631/01175060364/6310117506036405092023165041.pdf</v>
      </c>
      <c r="H344" s="4" t="s">
        <v>8931</v>
      </c>
    </row>
    <row r="345" spans="1:8" x14ac:dyDescent="0.25">
      <c r="A345" s="2" t="s">
        <v>359</v>
      </c>
      <c r="B345" s="3"/>
      <c r="C345" s="3"/>
      <c r="D345" s="3"/>
      <c r="E345" s="4" t="str">
        <f>HYPERLINK("https://dpmzos25m8ivg.cloudfront.net/Documentos/631/01177696142/6310117769614206092023151318.pdf","https://dpmzos25m8ivg.cloudfront.net/Documentos/631/01177696142/6310117769614206092023151318.pdf")</f>
        <v>https://dpmzos25m8ivg.cloudfront.net/Documentos/631/01177696142/6310117769614206092023151318.pdf</v>
      </c>
      <c r="F345" s="5" t="str">
        <f>HYPERLINK("https://dpmzos25m8ivg.cloudfront.net/Documentos/631/01177696142/6310117769614206092023151342.pdf","https://dpmzos25m8ivg.cloudfront.net/Documentos/631/01177696142/6310117769614206092023151342.pdf")</f>
        <v>https://dpmzos25m8ivg.cloudfront.net/Documentos/631/01177696142/6310117769614206092023151342.pdf</v>
      </c>
      <c r="G345" s="5" t="str">
        <f>HYPERLINK("https://dpmzos25m8ivg.cloudfront.net/Documentos/631/01177696142/6310117769614206092023151402.pdf","https://dpmzos25m8ivg.cloudfront.net/Documentos/631/01177696142/6310117769614206092023151402.pdf")</f>
        <v>https://dpmzos25m8ivg.cloudfront.net/Documentos/631/01177696142/6310117769614206092023151402.pdf</v>
      </c>
      <c r="H345" s="4" t="s">
        <v>8932</v>
      </c>
    </row>
    <row r="346" spans="1:8" x14ac:dyDescent="0.25">
      <c r="A346" s="2" t="s">
        <v>360</v>
      </c>
      <c r="B346" s="3"/>
      <c r="C346" s="3"/>
      <c r="D346" s="3"/>
      <c r="E346" s="4" t="str">
        <f>HYPERLINK("https://dpmzos25m8ivg.cloudfront.net/Documentos/631/01180979702/6310118097970211092023152111.pdf","https://dpmzos25m8ivg.cloudfront.net/Documentos/631/01180979702/6310118097970211092023152111.pdf")</f>
        <v>https://dpmzos25m8ivg.cloudfront.net/Documentos/631/01180979702/6310118097970211092023152111.pdf</v>
      </c>
      <c r="F346" s="5" t="str">
        <f>HYPERLINK("https://dpmzos25m8ivg.cloudfront.net/Documentos/631/01180979702/6310118097970211092023152124.pdf","https://dpmzos25m8ivg.cloudfront.net/Documentos/631/01180979702/6310118097970211092023152124.pdf")</f>
        <v>https://dpmzos25m8ivg.cloudfront.net/Documentos/631/01180979702/6310118097970211092023152124.pdf</v>
      </c>
      <c r="G346" s="5" t="str">
        <f>HYPERLINK("https://dpmzos25m8ivg.cloudfront.net/Documentos/631/01180979702/6310118097970211092023152136.pdf","https://dpmzos25m8ivg.cloudfront.net/Documentos/631/01180979702/6310118097970211092023152136.pdf")</f>
        <v>https://dpmzos25m8ivg.cloudfront.net/Documentos/631/01180979702/6310118097970211092023152136.pdf</v>
      </c>
      <c r="H346" s="4" t="s">
        <v>8933</v>
      </c>
    </row>
    <row r="347" spans="1:8" x14ac:dyDescent="0.25">
      <c r="A347" s="2" t="s">
        <v>361</v>
      </c>
      <c r="B347" s="3"/>
      <c r="C347" s="3"/>
      <c r="D347" s="3"/>
      <c r="E347" s="4" t="str">
        <f>HYPERLINK("https://dpmzos25m8ivg.cloudfront.net/Documentos/631/01193842484/6310119384248410092023163332.pdf","https://dpmzos25m8ivg.cloudfront.net/Documentos/631/01193842484/6310119384248410092023163332.pdf")</f>
        <v>https://dpmzos25m8ivg.cloudfront.net/Documentos/631/01193842484/6310119384248410092023163332.pdf</v>
      </c>
      <c r="F347" s="5" t="str">
        <f>HYPERLINK("https://dpmzos25m8ivg.cloudfront.net/Documentos/631/01193842484/6310119384248410092023163348.pdf","https://dpmzos25m8ivg.cloudfront.net/Documentos/631/01193842484/6310119384248410092023163348.pdf")</f>
        <v>https://dpmzos25m8ivg.cloudfront.net/Documentos/631/01193842484/6310119384248410092023163348.pdf</v>
      </c>
      <c r="G347" s="5" t="str">
        <f>HYPERLINK("https://dpmzos25m8ivg.cloudfront.net/Documentos/631/01193842484/6310119384248410092023163405.pdf","https://dpmzos25m8ivg.cloudfront.net/Documentos/631/01193842484/6310119384248410092023163405.pdf")</f>
        <v>https://dpmzos25m8ivg.cloudfront.net/Documentos/631/01193842484/6310119384248410092023163405.pdf</v>
      </c>
      <c r="H347" s="4" t="s">
        <v>8934</v>
      </c>
    </row>
    <row r="348" spans="1:8" x14ac:dyDescent="0.25">
      <c r="A348" s="2" t="s">
        <v>362</v>
      </c>
      <c r="B348" s="3"/>
      <c r="C348" s="3"/>
      <c r="D348" s="3"/>
      <c r="E348" s="4" t="str">
        <f>HYPERLINK("https://dpmzos25m8ivg.cloudfront.net/Documentos/631/01198476630/6310119847663011092023113833.jpeg","https://dpmzos25m8ivg.cloudfront.net/Documentos/631/01198476630/6310119847663011092023113833.jpeg")</f>
        <v>https://dpmzos25m8ivg.cloudfront.net/Documentos/631/01198476630/6310119847663011092023113833.jpeg</v>
      </c>
      <c r="F348" s="5" t="str">
        <f>HYPERLINK("https://dpmzos25m8ivg.cloudfront.net/Documentos/631/01198476630/6310119847663011092023114129.jpeg","https://dpmzos25m8ivg.cloudfront.net/Documentos/631/01198476630/6310119847663011092023114129.jpeg")</f>
        <v>https://dpmzos25m8ivg.cloudfront.net/Documentos/631/01198476630/6310119847663011092023114129.jpeg</v>
      </c>
      <c r="G348" s="5" t="str">
        <f>HYPERLINK("https://dpmzos25m8ivg.cloudfront.net/Documentos/631/01198476630/6310119847663011092023114307.jpeg","https://dpmzos25m8ivg.cloudfront.net/Documentos/631/01198476630/6310119847663011092023114307.jpeg")</f>
        <v>https://dpmzos25m8ivg.cloudfront.net/Documentos/631/01198476630/6310119847663011092023114307.jpeg</v>
      </c>
      <c r="H348" s="4" t="s">
        <v>8935</v>
      </c>
    </row>
    <row r="349" spans="1:8" x14ac:dyDescent="0.25">
      <c r="A349" s="2" t="s">
        <v>363</v>
      </c>
      <c r="B349" s="3"/>
      <c r="C349" s="3"/>
      <c r="D349" s="3"/>
      <c r="E349" s="4" t="str">
        <f>HYPERLINK("https://dpmzos25m8ivg.cloudfront.net/Documentos/631/01204565325/6310120456532512092023183331.pdf","https://dpmzos25m8ivg.cloudfront.net/Documentos/631/01204565325/6310120456532512092023183331.pdf")</f>
        <v>https://dpmzos25m8ivg.cloudfront.net/Documentos/631/01204565325/6310120456532512092023183331.pdf</v>
      </c>
      <c r="F349" s="5" t="str">
        <f>HYPERLINK("https://dpmzos25m8ivg.cloudfront.net/Documentos/631/01204565325/6310120456532512092023183345.pdf","https://dpmzos25m8ivg.cloudfront.net/Documentos/631/01204565325/6310120456532512092023183345.pdf")</f>
        <v>https://dpmzos25m8ivg.cloudfront.net/Documentos/631/01204565325/6310120456532512092023183345.pdf</v>
      </c>
      <c r="G349" s="5" t="str">
        <f>HYPERLINK("https://dpmzos25m8ivg.cloudfront.net/Documentos/631/01204565325/6310120456532512092023183358.pdf","https://dpmzos25m8ivg.cloudfront.net/Documentos/631/01204565325/6310120456532512092023183358.pdf")</f>
        <v>https://dpmzos25m8ivg.cloudfront.net/Documentos/631/01204565325/6310120456532512092023183358.pdf</v>
      </c>
      <c r="H349" s="4" t="s">
        <v>8936</v>
      </c>
    </row>
    <row r="350" spans="1:8" x14ac:dyDescent="0.25">
      <c r="A350" s="2" t="s">
        <v>364</v>
      </c>
      <c r="B350" s="3"/>
      <c r="C350" s="3"/>
      <c r="D350" s="3"/>
      <c r="E350" s="4" t="str">
        <f>HYPERLINK("https://dpmzos25m8ivg.cloudfront.net/Documentos/631/01205828303/6310120582830306092023113208.pdf","https://dpmzos25m8ivg.cloudfront.net/Documentos/631/01205828303/6310120582830306092023113208.pdf")</f>
        <v>https://dpmzos25m8ivg.cloudfront.net/Documentos/631/01205828303/6310120582830306092023113208.pdf</v>
      </c>
      <c r="F350" s="5" t="str">
        <f>HYPERLINK("https://dpmzos25m8ivg.cloudfront.net/Documentos/631/01205828303/6310120582830306092023113234.pdf","https://dpmzos25m8ivg.cloudfront.net/Documentos/631/01205828303/6310120582830306092023113234.pdf")</f>
        <v>https://dpmzos25m8ivg.cloudfront.net/Documentos/631/01205828303/6310120582830306092023113234.pdf</v>
      </c>
      <c r="G350" s="5" t="str">
        <f>HYPERLINK("https://dpmzos25m8ivg.cloudfront.net/Documentos/631/01205828303/6310120582830306092023113258.pdf","https://dpmzos25m8ivg.cloudfront.net/Documentos/631/01205828303/6310120582830306092023113258.pdf")</f>
        <v>https://dpmzos25m8ivg.cloudfront.net/Documentos/631/01205828303/6310120582830306092023113258.pdf</v>
      </c>
      <c r="H350" s="4" t="s">
        <v>8937</v>
      </c>
    </row>
    <row r="351" spans="1:8" x14ac:dyDescent="0.25">
      <c r="A351" s="2" t="s">
        <v>365</v>
      </c>
      <c r="B351" s="3"/>
      <c r="C351" s="3"/>
      <c r="D351" s="3"/>
      <c r="E351" s="4" t="str">
        <f>HYPERLINK("https://dpmzos25m8ivg.cloudfront.net/Documentos/631/01210528185/6310121052818511092023163526.pdf","https://dpmzos25m8ivg.cloudfront.net/Documentos/631/01210528185/6310121052818511092023163526.pdf")</f>
        <v>https://dpmzos25m8ivg.cloudfront.net/Documentos/631/01210528185/6310121052818511092023163526.pdf</v>
      </c>
      <c r="F351" s="5" t="str">
        <f>HYPERLINK("https://dpmzos25m8ivg.cloudfront.net/Documentos/631/01210528185/6310121052818511092023163552.pdf","https://dpmzos25m8ivg.cloudfront.net/Documentos/631/01210528185/6310121052818511092023163552.pdf")</f>
        <v>https://dpmzos25m8ivg.cloudfront.net/Documentos/631/01210528185/6310121052818511092023163552.pdf</v>
      </c>
      <c r="G351" s="5" t="str">
        <f>HYPERLINK("https://dpmzos25m8ivg.cloudfront.net/Documentos/631/01210528185/6310121052818511092023163608.pdf","https://dpmzos25m8ivg.cloudfront.net/Documentos/631/01210528185/6310121052818511092023163608.pdf")</f>
        <v>https://dpmzos25m8ivg.cloudfront.net/Documentos/631/01210528185/6310121052818511092023163608.pdf</v>
      </c>
      <c r="H351" s="4" t="s">
        <v>8938</v>
      </c>
    </row>
    <row r="352" spans="1:8" x14ac:dyDescent="0.25">
      <c r="A352" s="2" t="s">
        <v>366</v>
      </c>
      <c r="B352" s="3"/>
      <c r="C352" s="3"/>
      <c r="D352" s="3"/>
      <c r="E352" s="4" t="str">
        <f>HYPERLINK("https://dpmzos25m8ivg.cloudfront.net/Documentos/631/01210942003/6310121094200311092023120311.jpg","https://dpmzos25m8ivg.cloudfront.net/Documentos/631/01210942003/6310121094200311092023120311.jpg")</f>
        <v>https://dpmzos25m8ivg.cloudfront.net/Documentos/631/01210942003/6310121094200311092023120311.jpg</v>
      </c>
      <c r="F352" s="5" t="str">
        <f>HYPERLINK("https://dpmzos25m8ivg.cloudfront.net/Documentos/631/01210942003/6310121094200311092023120331.jpg","https://dpmzos25m8ivg.cloudfront.net/Documentos/631/01210942003/6310121094200311092023120331.jpg")</f>
        <v>https://dpmzos25m8ivg.cloudfront.net/Documentos/631/01210942003/6310121094200311092023120331.jpg</v>
      </c>
      <c r="G352" s="5" t="str">
        <f>HYPERLINK("https://dpmzos25m8ivg.cloudfront.net/Documentos/631/01210942003/6310121094200311092023120342.jpg","https://dpmzos25m8ivg.cloudfront.net/Documentos/631/01210942003/6310121094200311092023120342.jpg")</f>
        <v>https://dpmzos25m8ivg.cloudfront.net/Documentos/631/01210942003/6310121094200311092023120342.jpg</v>
      </c>
      <c r="H352" s="4" t="s">
        <v>8939</v>
      </c>
    </row>
    <row r="353" spans="1:8" x14ac:dyDescent="0.25">
      <c r="A353" s="2" t="s">
        <v>367</v>
      </c>
      <c r="B353" s="3"/>
      <c r="C353" s="3"/>
      <c r="D353" s="3"/>
      <c r="E353" s="4" t="str">
        <f>HYPERLINK("https://dpmzos25m8ivg.cloudfront.net/Documentos/631/01211853209/6310121185320905092023094633.pdf","https://dpmzos25m8ivg.cloudfront.net/Documentos/631/01211853209/6310121185320905092023094633.pdf")</f>
        <v>https://dpmzos25m8ivg.cloudfront.net/Documentos/631/01211853209/6310121185320905092023094633.pdf</v>
      </c>
      <c r="F353" s="5" t="str">
        <f>HYPERLINK("https://dpmzos25m8ivg.cloudfront.net/Documentos/631/01211853209/6310121185320905092023094718.pdf","https://dpmzos25m8ivg.cloudfront.net/Documentos/631/01211853209/6310121185320905092023094718.pdf")</f>
        <v>https://dpmzos25m8ivg.cloudfront.net/Documentos/631/01211853209/6310121185320905092023094718.pdf</v>
      </c>
      <c r="G353" s="5" t="str">
        <f>HYPERLINK("https://dpmzos25m8ivg.cloudfront.net/Documentos/631/01211853209/6310121185320905092023095921.pdf","https://dpmzos25m8ivg.cloudfront.net/Documentos/631/01211853209/6310121185320905092023095921.pdf")</f>
        <v>https://dpmzos25m8ivg.cloudfront.net/Documentos/631/01211853209/6310121185320905092023095921.pdf</v>
      </c>
      <c r="H353" s="4" t="s">
        <v>8940</v>
      </c>
    </row>
    <row r="354" spans="1:8" x14ac:dyDescent="0.25">
      <c r="A354" s="2" t="s">
        <v>368</v>
      </c>
      <c r="B354" s="3"/>
      <c r="C354" s="3"/>
      <c r="D354" s="3"/>
      <c r="E354" s="4" t="str">
        <f>HYPERLINK("https://dpmzos25m8ivg.cloudfront.net/Documentos/631/01213054494/6310121305449411092023154602.jpeg","https://dpmzos25m8ivg.cloudfront.net/Documentos/631/01213054494/6310121305449411092023154602.jpeg")</f>
        <v>https://dpmzos25m8ivg.cloudfront.net/Documentos/631/01213054494/6310121305449411092023154602.jpeg</v>
      </c>
      <c r="F354" s="5" t="str">
        <f>HYPERLINK("https://dpmzos25m8ivg.cloudfront.net/Documentos/631/01213054494/6310121305449411092023154612.jpeg","https://dpmzos25m8ivg.cloudfront.net/Documentos/631/01213054494/6310121305449411092023154612.jpeg")</f>
        <v>https://dpmzos25m8ivg.cloudfront.net/Documentos/631/01213054494/6310121305449411092023154612.jpeg</v>
      </c>
      <c r="G354" s="5" t="str">
        <f>HYPERLINK("https://dpmzos25m8ivg.cloudfront.net/Documentos/631/01213054494/6310121305449411092023154622.jpeg","https://dpmzos25m8ivg.cloudfront.net/Documentos/631/01213054494/6310121305449411092023154622.jpeg")</f>
        <v>https://dpmzos25m8ivg.cloudfront.net/Documentos/631/01213054494/6310121305449411092023154622.jpeg</v>
      </c>
      <c r="H354" s="4" t="s">
        <v>8941</v>
      </c>
    </row>
    <row r="355" spans="1:8" x14ac:dyDescent="0.25">
      <c r="A355" s="2" t="s">
        <v>369</v>
      </c>
      <c r="B355" s="3"/>
      <c r="C355" s="3"/>
      <c r="D355" s="3"/>
      <c r="E355" s="4" t="str">
        <f>HYPERLINK("https://dpmzos25m8ivg.cloudfront.net/Documentos/631/01214913156/6310121491315605092023090937.pdf","https://dpmzos25m8ivg.cloudfront.net/Documentos/631/01214913156/6310121491315605092023090937.pdf")</f>
        <v>https://dpmzos25m8ivg.cloudfront.net/Documentos/631/01214913156/6310121491315605092023090937.pdf</v>
      </c>
      <c r="F355" s="5" t="str">
        <f>HYPERLINK("https://dpmzos25m8ivg.cloudfront.net/Documentos/631/01214913156/6310121491315605092023091046.pdf","https://dpmzos25m8ivg.cloudfront.net/Documentos/631/01214913156/6310121491315605092023091046.pdf")</f>
        <v>https://dpmzos25m8ivg.cloudfront.net/Documentos/631/01214913156/6310121491315605092023091046.pdf</v>
      </c>
      <c r="G355" s="5" t="str">
        <f>HYPERLINK("https://dpmzos25m8ivg.cloudfront.net/Documentos/631/01214913156/6310121491315605092023091212.pdf","https://dpmzos25m8ivg.cloudfront.net/Documentos/631/01214913156/6310121491315605092023091212.pdf")</f>
        <v>https://dpmzos25m8ivg.cloudfront.net/Documentos/631/01214913156/6310121491315605092023091212.pdf</v>
      </c>
      <c r="H355" s="4" t="s">
        <v>8942</v>
      </c>
    </row>
    <row r="356" spans="1:8" x14ac:dyDescent="0.25">
      <c r="A356" s="2" t="s">
        <v>370</v>
      </c>
      <c r="B356" s="3" t="s">
        <v>8</v>
      </c>
      <c r="C356" s="3"/>
      <c r="D356" s="3"/>
      <c r="E356" s="4" t="str">
        <f>HYPERLINK("https://dpmzos25m8ivg.cloudfront.net/Documentos/631/01215425139/6310121542513908092023150108.pdf","https://dpmzos25m8ivg.cloudfront.net/Documentos/631/01215425139/6310121542513908092023150108.pdf")</f>
        <v>https://dpmzos25m8ivg.cloudfront.net/Documentos/631/01215425139/6310121542513908092023150108.pdf</v>
      </c>
      <c r="F356" s="5" t="str">
        <f>HYPERLINK("https://dpmzos25m8ivg.cloudfront.net/Documentos/631/01215425139/6310121542513908092023150120.pdf","https://dpmzos25m8ivg.cloudfront.net/Documentos/631/01215425139/6310121542513908092023150120.pdf")</f>
        <v>https://dpmzos25m8ivg.cloudfront.net/Documentos/631/01215425139/6310121542513908092023150120.pdf</v>
      </c>
      <c r="G356" s="5" t="str">
        <f>HYPERLINK("https://dpmzos25m8ivg.cloudfront.net/Documentos/631/01215425139/6310121542513908092023150133.pdf","https://dpmzos25m8ivg.cloudfront.net/Documentos/631/01215425139/6310121542513908092023150133.pdf")</f>
        <v>https://dpmzos25m8ivg.cloudfront.net/Documentos/631/01215425139/6310121542513908092023150133.pdf</v>
      </c>
      <c r="H356" s="4" t="s">
        <v>8943</v>
      </c>
    </row>
    <row r="357" spans="1:8" x14ac:dyDescent="0.25">
      <c r="A357" s="2" t="s">
        <v>371</v>
      </c>
      <c r="B357" s="3" t="s">
        <v>8</v>
      </c>
      <c r="C357" s="3"/>
      <c r="D357" s="3"/>
      <c r="E357" s="4" t="str">
        <f>HYPERLINK("https://dpmzos25m8ivg.cloudfront.net/Documentos/631/01216886741/6310121688674110092023213750.pdf","https://dpmzos25m8ivg.cloudfront.net/Documentos/631/01216886741/6310121688674110092023213750.pdf")</f>
        <v>https://dpmzos25m8ivg.cloudfront.net/Documentos/631/01216886741/6310121688674110092023213750.pdf</v>
      </c>
      <c r="F357" s="5" t="str">
        <f>HYPERLINK("https://dpmzos25m8ivg.cloudfront.net/Documentos/631/01216886741/6310121688674110092023213804.pdf","https://dpmzos25m8ivg.cloudfront.net/Documentos/631/01216886741/6310121688674110092023213804.pdf")</f>
        <v>https://dpmzos25m8ivg.cloudfront.net/Documentos/631/01216886741/6310121688674110092023213804.pdf</v>
      </c>
      <c r="G357" s="5" t="str">
        <f>HYPERLINK("https://dpmzos25m8ivg.cloudfront.net/Documentos/631/01216886741/6310121688674110092023213820.pdf","https://dpmzos25m8ivg.cloudfront.net/Documentos/631/01216886741/6310121688674110092023213820.pdf")</f>
        <v>https://dpmzos25m8ivg.cloudfront.net/Documentos/631/01216886741/6310121688674110092023213820.pdf</v>
      </c>
      <c r="H357" s="4" t="s">
        <v>8944</v>
      </c>
    </row>
    <row r="358" spans="1:8" x14ac:dyDescent="0.25">
      <c r="A358" s="2" t="s">
        <v>372</v>
      </c>
      <c r="B358" s="3"/>
      <c r="C358" s="3"/>
      <c r="D358" s="3"/>
      <c r="E358" s="4" t="str">
        <f>HYPERLINK("https://dpmzos25m8ivg.cloudfront.net/Documentos/631/01222204479/6310122220447911092023155533.pdf","https://dpmzos25m8ivg.cloudfront.net/Documentos/631/01222204479/6310122220447911092023155533.pdf")</f>
        <v>https://dpmzos25m8ivg.cloudfront.net/Documentos/631/01222204479/6310122220447911092023155533.pdf</v>
      </c>
      <c r="F358" s="5" t="str">
        <f>HYPERLINK("https://dpmzos25m8ivg.cloudfront.net/Documentos/631/01222204479/6310122220447911092023155559.pdf","https://dpmzos25m8ivg.cloudfront.net/Documentos/631/01222204479/6310122220447911092023155559.pdf")</f>
        <v>https://dpmzos25m8ivg.cloudfront.net/Documentos/631/01222204479/6310122220447911092023155559.pdf</v>
      </c>
      <c r="G358" s="5" t="str">
        <f>HYPERLINK("https://dpmzos25m8ivg.cloudfront.net/Documentos/631/01222204479/6310122220447911092023155617.pdf","https://dpmzos25m8ivg.cloudfront.net/Documentos/631/01222204479/6310122220447911092023155617.pdf")</f>
        <v>https://dpmzos25m8ivg.cloudfront.net/Documentos/631/01222204479/6310122220447911092023155617.pdf</v>
      </c>
      <c r="H358" s="4" t="s">
        <v>8945</v>
      </c>
    </row>
    <row r="359" spans="1:8" x14ac:dyDescent="0.25">
      <c r="A359" s="2" t="s">
        <v>373</v>
      </c>
      <c r="B359" s="3"/>
      <c r="C359" s="3"/>
      <c r="D359" s="3"/>
      <c r="E359" s="4" t="str">
        <f>HYPERLINK("https://dpmzos25m8ivg.cloudfront.net/Documentos/631/01222561239/6310122256123905092023163832.pdf","https://dpmzos25m8ivg.cloudfront.net/Documentos/631/01222561239/6310122256123905092023163832.pdf")</f>
        <v>https://dpmzos25m8ivg.cloudfront.net/Documentos/631/01222561239/6310122256123905092023163832.pdf</v>
      </c>
      <c r="F359" s="5" t="str">
        <f>HYPERLINK("https://dpmzos25m8ivg.cloudfront.net/Documentos/631/01222561239/6310122256123905092023163853.pdf","https://dpmzos25m8ivg.cloudfront.net/Documentos/631/01222561239/6310122256123905092023163853.pdf")</f>
        <v>https://dpmzos25m8ivg.cloudfront.net/Documentos/631/01222561239/6310122256123905092023163853.pdf</v>
      </c>
      <c r="G359" s="5" t="str">
        <f>HYPERLINK("https://dpmzos25m8ivg.cloudfront.net/Documentos/631/01222561239/6310122256123905092023163906.pdf","https://dpmzos25m8ivg.cloudfront.net/Documentos/631/01222561239/6310122256123905092023163906.pdf")</f>
        <v>https://dpmzos25m8ivg.cloudfront.net/Documentos/631/01222561239/6310122256123905092023163906.pdf</v>
      </c>
      <c r="H359" s="4" t="s">
        <v>8946</v>
      </c>
    </row>
    <row r="360" spans="1:8" x14ac:dyDescent="0.25">
      <c r="A360" s="2" t="s">
        <v>374</v>
      </c>
      <c r="B360" s="3"/>
      <c r="C360" s="3"/>
      <c r="D360" s="3"/>
      <c r="E360" s="4" t="str">
        <f>HYPERLINK("https://dpmzos25m8ivg.cloudfront.net/Documentos/631/01231768754/6310123176875405092023184911.pdf","https://dpmzos25m8ivg.cloudfront.net/Documentos/631/01231768754/6310123176875405092023184911.pdf")</f>
        <v>https://dpmzos25m8ivg.cloudfront.net/Documentos/631/01231768754/6310123176875405092023184911.pdf</v>
      </c>
      <c r="F360" s="5" t="str">
        <f>HYPERLINK("https://dpmzos25m8ivg.cloudfront.net/Documentos/631/01231768754/6310123176875405092023184933.pdf","https://dpmzos25m8ivg.cloudfront.net/Documentos/631/01231768754/6310123176875405092023184933.pdf")</f>
        <v>https://dpmzos25m8ivg.cloudfront.net/Documentos/631/01231768754/6310123176875405092023184933.pdf</v>
      </c>
      <c r="G360" s="5" t="str">
        <f>HYPERLINK("https://dpmzos25m8ivg.cloudfront.net/Documentos/631/01231768754/6310123176875405092023184954.pdf","https://dpmzos25m8ivg.cloudfront.net/Documentos/631/01231768754/6310123176875405092023184954.pdf")</f>
        <v>https://dpmzos25m8ivg.cloudfront.net/Documentos/631/01231768754/6310123176875405092023184954.pdf</v>
      </c>
      <c r="H360" s="4" t="s">
        <v>8947</v>
      </c>
    </row>
    <row r="361" spans="1:8" x14ac:dyDescent="0.25">
      <c r="A361" s="2" t="s">
        <v>375</v>
      </c>
      <c r="B361" s="3" t="s">
        <v>8</v>
      </c>
      <c r="C361" s="3"/>
      <c r="D361" s="3"/>
      <c r="E361" s="4" t="str">
        <f>HYPERLINK("https://dpmzos25m8ivg.cloudfront.net/Documentos/631/01232540005/6310123254000511092023103110.pdf","https://dpmzos25m8ivg.cloudfront.net/Documentos/631/01232540005/6310123254000511092023103110.pdf")</f>
        <v>https://dpmzos25m8ivg.cloudfront.net/Documentos/631/01232540005/6310123254000511092023103110.pdf</v>
      </c>
      <c r="F361" s="5" t="str">
        <f>HYPERLINK("https://dpmzos25m8ivg.cloudfront.net/Documentos/631/01232540005/6310123254000511092023103241.pdf","https://dpmzos25m8ivg.cloudfront.net/Documentos/631/01232540005/6310123254000511092023103241.pdf")</f>
        <v>https://dpmzos25m8ivg.cloudfront.net/Documentos/631/01232540005/6310123254000511092023103241.pdf</v>
      </c>
      <c r="G361" s="5" t="str">
        <f>HYPERLINK("https://dpmzos25m8ivg.cloudfront.net/Documentos/631/01232540005/6310123254000511092023103515.pdf","https://dpmzos25m8ivg.cloudfront.net/Documentos/631/01232540005/6310123254000511092023103515.pdf")</f>
        <v>https://dpmzos25m8ivg.cloudfront.net/Documentos/631/01232540005/6310123254000511092023103515.pdf</v>
      </c>
      <c r="H361" s="4" t="s">
        <v>8948</v>
      </c>
    </row>
    <row r="362" spans="1:8" x14ac:dyDescent="0.25">
      <c r="A362" s="2" t="s">
        <v>376</v>
      </c>
      <c r="B362" s="3"/>
      <c r="C362" s="3"/>
      <c r="D362" s="3"/>
      <c r="E362" s="4" t="str">
        <f>HYPERLINK("https://dpmzos25m8ivg.cloudfront.net/Documentos/631/01234325373/6310123432537312092023180903.pdf","https://dpmzos25m8ivg.cloudfront.net/Documentos/631/01234325373/6310123432537312092023180903.pdf")</f>
        <v>https://dpmzos25m8ivg.cloudfront.net/Documentos/631/01234325373/6310123432537312092023180903.pdf</v>
      </c>
      <c r="F362" s="5" t="str">
        <f>HYPERLINK("https://dpmzos25m8ivg.cloudfront.net/Documentos/631/01234325373/6310123432537312092023181026.pdf","https://dpmzos25m8ivg.cloudfront.net/Documentos/631/01234325373/6310123432537312092023181026.pdf")</f>
        <v>https://dpmzos25m8ivg.cloudfront.net/Documentos/631/01234325373/6310123432537312092023181026.pdf</v>
      </c>
      <c r="G362" s="5" t="str">
        <f>HYPERLINK("https://dpmzos25m8ivg.cloudfront.net/Documentos/631/01234325373/6310123432537312092023181038.pdf","https://dpmzos25m8ivg.cloudfront.net/Documentos/631/01234325373/6310123432537312092023181038.pdf")</f>
        <v>https://dpmzos25m8ivg.cloudfront.net/Documentos/631/01234325373/6310123432537312092023181038.pdf</v>
      </c>
      <c r="H362" s="4" t="s">
        <v>8949</v>
      </c>
    </row>
    <row r="363" spans="1:8" x14ac:dyDescent="0.25">
      <c r="A363" s="2" t="s">
        <v>377</v>
      </c>
      <c r="B363" s="3"/>
      <c r="C363" s="3"/>
      <c r="D363" s="3"/>
      <c r="E363" s="4" t="str">
        <f>HYPERLINK("https://dpmzos25m8ivg.cloudfront.net/Documentos/631/01235831604/6310123583160411092023145044.jpeg","https://dpmzos25m8ivg.cloudfront.net/Documentos/631/01235831604/6310123583160411092023145044.jpeg")</f>
        <v>https://dpmzos25m8ivg.cloudfront.net/Documentos/631/01235831604/6310123583160411092023145044.jpeg</v>
      </c>
      <c r="F363" s="5" t="str">
        <f>HYPERLINK("https://dpmzos25m8ivg.cloudfront.net/Documentos/631/01235831604/6310123583160411092023145118.jpeg","https://dpmzos25m8ivg.cloudfront.net/Documentos/631/01235831604/6310123583160411092023145118.jpeg")</f>
        <v>https://dpmzos25m8ivg.cloudfront.net/Documentos/631/01235831604/6310123583160411092023145118.jpeg</v>
      </c>
      <c r="G363" s="5" t="str">
        <f>HYPERLINK("https://dpmzos25m8ivg.cloudfront.net/Documentos/631/01235831604/6310123583160411092023145138.jpeg","https://dpmzos25m8ivg.cloudfront.net/Documentos/631/01235831604/6310123583160411092023145138.jpeg")</f>
        <v>https://dpmzos25m8ivg.cloudfront.net/Documentos/631/01235831604/6310123583160411092023145138.jpeg</v>
      </c>
      <c r="H363" s="4" t="s">
        <v>8950</v>
      </c>
    </row>
    <row r="364" spans="1:8" x14ac:dyDescent="0.25">
      <c r="A364" s="2" t="s">
        <v>378</v>
      </c>
      <c r="B364" s="3" t="s">
        <v>8</v>
      </c>
      <c r="C364" s="3"/>
      <c r="D364" s="3"/>
      <c r="E364" s="4" t="str">
        <f>HYPERLINK("https://dpmzos25m8ivg.cloudfront.net/Documentos/631/01238857604/6310123885760406092023130944.pdf","https://dpmzos25m8ivg.cloudfront.net/Documentos/631/01238857604/6310123885760406092023130944.pdf")</f>
        <v>https://dpmzos25m8ivg.cloudfront.net/Documentos/631/01238857604/6310123885760406092023130944.pdf</v>
      </c>
      <c r="F364" s="5" t="str">
        <f>HYPERLINK("https://dpmzos25m8ivg.cloudfront.net/Documentos/631/01238857604/6310123885760406092023131019.pdf","https://dpmzos25m8ivg.cloudfront.net/Documentos/631/01238857604/6310123885760406092023131019.pdf")</f>
        <v>https://dpmzos25m8ivg.cloudfront.net/Documentos/631/01238857604/6310123885760406092023131019.pdf</v>
      </c>
      <c r="G364" s="5" t="str">
        <f>HYPERLINK("https://dpmzos25m8ivg.cloudfront.net/Documentos/631/01238857604/6310123885760406092023131105.pdf","https://dpmzos25m8ivg.cloudfront.net/Documentos/631/01238857604/6310123885760406092023131105.pdf")</f>
        <v>https://dpmzos25m8ivg.cloudfront.net/Documentos/631/01238857604/6310123885760406092023131105.pdf</v>
      </c>
      <c r="H364" s="4" t="s">
        <v>8951</v>
      </c>
    </row>
    <row r="365" spans="1:8" x14ac:dyDescent="0.25">
      <c r="A365" s="2" t="s">
        <v>379</v>
      </c>
      <c r="B365" s="3"/>
      <c r="C365" s="3"/>
      <c r="D365" s="3"/>
      <c r="E365" s="4" t="str">
        <f>HYPERLINK("https://dpmzos25m8ivg.cloudfront.net/Documentos/631/01239138962/6310123913896211092023150523.jpg","https://dpmzos25m8ivg.cloudfront.net/Documentos/631/01239138962/6310123913896211092023150523.jpg")</f>
        <v>https://dpmzos25m8ivg.cloudfront.net/Documentos/631/01239138962/6310123913896211092023150523.jpg</v>
      </c>
      <c r="F365" s="5" t="str">
        <f>HYPERLINK("https://dpmzos25m8ivg.cloudfront.net/Documentos/631/01239138962/6310123913896211092023150545.jpg","https://dpmzos25m8ivg.cloudfront.net/Documentos/631/01239138962/6310123913896211092023150545.jpg")</f>
        <v>https://dpmzos25m8ivg.cloudfront.net/Documentos/631/01239138962/6310123913896211092023150545.jpg</v>
      </c>
      <c r="G365" s="5" t="str">
        <f>HYPERLINK("https://dpmzos25m8ivg.cloudfront.net/Documentos/631/01239138962/6310123913896211092023150551.jpg","https://dpmzos25m8ivg.cloudfront.net/Documentos/631/01239138962/6310123913896211092023150551.jpg")</f>
        <v>https://dpmzos25m8ivg.cloudfront.net/Documentos/631/01239138962/6310123913896211092023150551.jpg</v>
      </c>
      <c r="H365" s="4" t="s">
        <v>8952</v>
      </c>
    </row>
    <row r="366" spans="1:8" x14ac:dyDescent="0.25">
      <c r="A366" s="2" t="s">
        <v>380</v>
      </c>
      <c r="B366" s="3"/>
      <c r="C366" s="3"/>
      <c r="D366" s="3"/>
      <c r="E366" s="4" t="str">
        <f>HYPERLINK("https://dpmzos25m8ivg.cloudfront.net/Documentos/631/01240516185/6310124051618511092023002238.pdf","https://dpmzos25m8ivg.cloudfront.net/Documentos/631/01240516185/6310124051618511092023002238.pdf")</f>
        <v>https://dpmzos25m8ivg.cloudfront.net/Documentos/631/01240516185/6310124051618511092023002238.pdf</v>
      </c>
      <c r="F366" s="5" t="str">
        <f>HYPERLINK("https://dpmzos25m8ivg.cloudfront.net/Documentos/631/01240516185/6310124051618511092023002259.pdf","https://dpmzos25m8ivg.cloudfront.net/Documentos/631/01240516185/6310124051618511092023002259.pdf")</f>
        <v>https://dpmzos25m8ivg.cloudfront.net/Documentos/631/01240516185/6310124051618511092023002259.pdf</v>
      </c>
      <c r="G366" s="5" t="str">
        <f>HYPERLINK("https://dpmzos25m8ivg.cloudfront.net/Documentos/631/01240516185/6310124051618511092023002314.pdf","https://dpmzos25m8ivg.cloudfront.net/Documentos/631/01240516185/6310124051618511092023002314.pdf")</f>
        <v>https://dpmzos25m8ivg.cloudfront.net/Documentos/631/01240516185/6310124051618511092023002314.pdf</v>
      </c>
      <c r="H366" s="4" t="s">
        <v>8953</v>
      </c>
    </row>
    <row r="367" spans="1:8" x14ac:dyDescent="0.25">
      <c r="A367" s="2" t="s">
        <v>381</v>
      </c>
      <c r="B367" s="3"/>
      <c r="C367" s="3"/>
      <c r="D367" s="3"/>
      <c r="E367" s="4" t="str">
        <f>HYPERLINK("https://dpmzos25m8ivg.cloudfront.net/Documentos/631/01243474360/6310124347436007092023214011.pdf","https://dpmzos25m8ivg.cloudfront.net/Documentos/631/01243474360/6310124347436007092023214011.pdf")</f>
        <v>https://dpmzos25m8ivg.cloudfront.net/Documentos/631/01243474360/6310124347436007092023214011.pdf</v>
      </c>
      <c r="F367" s="5" t="str">
        <f>HYPERLINK("https://dpmzos25m8ivg.cloudfront.net/Documentos/631/01243474360/6310124347436007092023214036.pdf","https://dpmzos25m8ivg.cloudfront.net/Documentos/631/01243474360/6310124347436007092023214036.pdf")</f>
        <v>https://dpmzos25m8ivg.cloudfront.net/Documentos/631/01243474360/6310124347436007092023214036.pdf</v>
      </c>
      <c r="G367" s="5" t="str">
        <f>HYPERLINK("https://dpmzos25m8ivg.cloudfront.net/Documentos/631/01243474360/6310124347436007092023214045.pdf","https://dpmzos25m8ivg.cloudfront.net/Documentos/631/01243474360/6310124347436007092023214045.pdf")</f>
        <v>https://dpmzos25m8ivg.cloudfront.net/Documentos/631/01243474360/6310124347436007092023214045.pdf</v>
      </c>
      <c r="H367" s="4" t="s">
        <v>8954</v>
      </c>
    </row>
    <row r="368" spans="1:8" x14ac:dyDescent="0.25">
      <c r="A368" s="2" t="s">
        <v>382</v>
      </c>
      <c r="B368" s="3"/>
      <c r="C368" s="3"/>
      <c r="D368" s="3"/>
      <c r="E368" s="4" t="str">
        <f>HYPERLINK("https://dpmzos25m8ivg.cloudfront.net/Documentos/631/01244251275/6310124425127511092023090547.pdf","https://dpmzos25m8ivg.cloudfront.net/Documentos/631/01244251275/6310124425127511092023090547.pdf")</f>
        <v>https://dpmzos25m8ivg.cloudfront.net/Documentos/631/01244251275/6310124425127511092023090547.pdf</v>
      </c>
      <c r="F368" s="5" t="str">
        <f>HYPERLINK("https://dpmzos25m8ivg.cloudfront.net/Documentos/631/01244251275/6310124425127511092023090558.pdf","https://dpmzos25m8ivg.cloudfront.net/Documentos/631/01244251275/6310124425127511092023090558.pdf")</f>
        <v>https://dpmzos25m8ivg.cloudfront.net/Documentos/631/01244251275/6310124425127511092023090558.pdf</v>
      </c>
      <c r="G368" s="5" t="str">
        <f>HYPERLINK("https://dpmzos25m8ivg.cloudfront.net/Documentos/631/01244251275/6310124425127511092023090616.pdf","https://dpmzos25m8ivg.cloudfront.net/Documentos/631/01244251275/6310124425127511092023090616.pdf")</f>
        <v>https://dpmzos25m8ivg.cloudfront.net/Documentos/631/01244251275/6310124425127511092023090616.pdf</v>
      </c>
      <c r="H368" s="4" t="s">
        <v>8955</v>
      </c>
    </row>
    <row r="369" spans="1:8" x14ac:dyDescent="0.25">
      <c r="A369" s="2" t="s">
        <v>383</v>
      </c>
      <c r="B369" s="3"/>
      <c r="C369" s="3"/>
      <c r="D369" s="3"/>
      <c r="E369" s="4" t="str">
        <f>HYPERLINK("https://dpmzos25m8ivg.cloudfront.net/Documentos/631/01246073579/6310124607357905092023175145.pdf","https://dpmzos25m8ivg.cloudfront.net/Documentos/631/01246073579/6310124607357905092023175145.pdf")</f>
        <v>https://dpmzos25m8ivg.cloudfront.net/Documentos/631/01246073579/6310124607357905092023175145.pdf</v>
      </c>
      <c r="F369" s="5" t="str">
        <f>HYPERLINK("https://dpmzos25m8ivg.cloudfront.net/Documentos/631/01246073579/6310124607357905092023175202.pdf","https://dpmzos25m8ivg.cloudfront.net/Documentos/631/01246073579/6310124607357905092023175202.pdf")</f>
        <v>https://dpmzos25m8ivg.cloudfront.net/Documentos/631/01246073579/6310124607357905092023175202.pdf</v>
      </c>
      <c r="G369" s="5" t="str">
        <f>HYPERLINK("https://dpmzos25m8ivg.cloudfront.net/Documentos/631/01246073579/6310124607357905092023175221.pdf","https://dpmzos25m8ivg.cloudfront.net/Documentos/631/01246073579/6310124607357905092023175221.pdf")</f>
        <v>https://dpmzos25m8ivg.cloudfront.net/Documentos/631/01246073579/6310124607357905092023175221.pdf</v>
      </c>
      <c r="H369" s="4" t="s">
        <v>8956</v>
      </c>
    </row>
    <row r="370" spans="1:8" x14ac:dyDescent="0.25">
      <c r="A370" s="2" t="s">
        <v>384</v>
      </c>
      <c r="B370" s="3"/>
      <c r="C370" s="3"/>
      <c r="D370" s="3"/>
      <c r="E370" s="4" t="str">
        <f>HYPERLINK("https://dpmzos25m8ivg.cloudfront.net/Documentos/631/01251027806/6310125102780611092023163051.pdf","https://dpmzos25m8ivg.cloudfront.net/Documentos/631/01251027806/6310125102780611092023163051.pdf")</f>
        <v>https://dpmzos25m8ivg.cloudfront.net/Documentos/631/01251027806/6310125102780611092023163051.pdf</v>
      </c>
      <c r="F370" s="5" t="str">
        <f>HYPERLINK("https://dpmzos25m8ivg.cloudfront.net/Documentos/631/01251027806/6310125102780611092023163102.pdf","https://dpmzos25m8ivg.cloudfront.net/Documentos/631/01251027806/6310125102780611092023163102.pdf")</f>
        <v>https://dpmzos25m8ivg.cloudfront.net/Documentos/631/01251027806/6310125102780611092023163102.pdf</v>
      </c>
      <c r="G370" s="5" t="str">
        <f>HYPERLINK("https://dpmzos25m8ivg.cloudfront.net/Documentos/631/01251027806/6310125102780611092023163114.pdf","https://dpmzos25m8ivg.cloudfront.net/Documentos/631/01251027806/6310125102780611092023163114.pdf")</f>
        <v>https://dpmzos25m8ivg.cloudfront.net/Documentos/631/01251027806/6310125102780611092023163114.pdf</v>
      </c>
      <c r="H370" s="4" t="s">
        <v>8957</v>
      </c>
    </row>
    <row r="371" spans="1:8" x14ac:dyDescent="0.25">
      <c r="A371" s="2" t="s">
        <v>385</v>
      </c>
      <c r="B371" s="3"/>
      <c r="C371" s="3"/>
      <c r="D371" s="3"/>
      <c r="E371" s="4" t="str">
        <f>HYPERLINK("https://dpmzos25m8ivg.cloudfront.net/Documentos/631/01255904232/6310125590423211092023150902.pdf","https://dpmzos25m8ivg.cloudfront.net/Documentos/631/01255904232/6310125590423211092023150902.pdf")</f>
        <v>https://dpmzos25m8ivg.cloudfront.net/Documentos/631/01255904232/6310125590423211092023150902.pdf</v>
      </c>
      <c r="F371" s="5" t="str">
        <f>HYPERLINK("https://dpmzos25m8ivg.cloudfront.net/Documentos/631/01255904232/6310125590423211092023150911.pdf","https://dpmzos25m8ivg.cloudfront.net/Documentos/631/01255904232/6310125590423211092023150911.pdf")</f>
        <v>https://dpmzos25m8ivg.cloudfront.net/Documentos/631/01255904232/6310125590423211092023150911.pdf</v>
      </c>
      <c r="G371" s="5" t="str">
        <f>HYPERLINK("https://dpmzos25m8ivg.cloudfront.net/Documentos/631/01255904232/6310125590423211092023150921.pdf","https://dpmzos25m8ivg.cloudfront.net/Documentos/631/01255904232/6310125590423211092023150921.pdf")</f>
        <v>https://dpmzos25m8ivg.cloudfront.net/Documentos/631/01255904232/6310125590423211092023150921.pdf</v>
      </c>
      <c r="H371" s="4" t="s">
        <v>8958</v>
      </c>
    </row>
    <row r="372" spans="1:8" x14ac:dyDescent="0.25">
      <c r="A372" s="2" t="s">
        <v>386</v>
      </c>
      <c r="B372" s="3" t="s">
        <v>90</v>
      </c>
      <c r="C372" s="3"/>
      <c r="D372" s="3"/>
      <c r="E372" s="4" t="str">
        <f>HYPERLINK("https://dpmzos25m8ivg.cloudfront.net/Documentos/631/01260788580/6310126078858011092023085739.pdf","https://dpmzos25m8ivg.cloudfront.net/Documentos/631/01260788580/6310126078858011092023085739.pdf")</f>
        <v>https://dpmzos25m8ivg.cloudfront.net/Documentos/631/01260788580/6310126078858011092023085739.pdf</v>
      </c>
      <c r="F372" s="5" t="str">
        <f>HYPERLINK("https://dpmzos25m8ivg.cloudfront.net/Documentos/631/01260788580/6310126078858011092023085755.pdf","https://dpmzos25m8ivg.cloudfront.net/Documentos/631/01260788580/6310126078858011092023085755.pdf")</f>
        <v>https://dpmzos25m8ivg.cloudfront.net/Documentos/631/01260788580/6310126078858011092023085755.pdf</v>
      </c>
      <c r="G372" s="5" t="str">
        <f>HYPERLINK("https://dpmzos25m8ivg.cloudfront.net/Documentos/631/01260788580/6310126078858011092023085811.pdf","https://dpmzos25m8ivg.cloudfront.net/Documentos/631/01260788580/6310126078858011092023085811.pdf")</f>
        <v>https://dpmzos25m8ivg.cloudfront.net/Documentos/631/01260788580/6310126078858011092023085811.pdf</v>
      </c>
      <c r="H372" s="4" t="s">
        <v>8959</v>
      </c>
    </row>
    <row r="373" spans="1:8" x14ac:dyDescent="0.25">
      <c r="A373" s="2" t="s">
        <v>387</v>
      </c>
      <c r="B373" s="3"/>
      <c r="C373" s="3"/>
      <c r="D373" s="3"/>
      <c r="E373" s="4" t="str">
        <f>HYPERLINK("https://dpmzos25m8ivg.cloudfront.net/Documentos/631/01262192650/6310126219265011092023114134.pdf","https://dpmzos25m8ivg.cloudfront.net/Documentos/631/01262192650/6310126219265011092023114134.pdf")</f>
        <v>https://dpmzos25m8ivg.cloudfront.net/Documentos/631/01262192650/6310126219265011092023114134.pdf</v>
      </c>
      <c r="F373" s="5" t="str">
        <f>HYPERLINK("https://dpmzos25m8ivg.cloudfront.net/Documentos/631/01262192650/6310126219265011092023114232.pdf","https://dpmzos25m8ivg.cloudfront.net/Documentos/631/01262192650/6310126219265011092023114232.pdf")</f>
        <v>https://dpmzos25m8ivg.cloudfront.net/Documentos/631/01262192650/6310126219265011092023114232.pdf</v>
      </c>
      <c r="G373" s="5" t="str">
        <f>HYPERLINK("https://dpmzos25m8ivg.cloudfront.net/Documentos/631/01262192650/6310126219265011092023114328.pdf","https://dpmzos25m8ivg.cloudfront.net/Documentos/631/01262192650/6310126219265011092023114328.pdf")</f>
        <v>https://dpmzos25m8ivg.cloudfront.net/Documentos/631/01262192650/6310126219265011092023114328.pdf</v>
      </c>
      <c r="H373" s="4" t="s">
        <v>8960</v>
      </c>
    </row>
    <row r="374" spans="1:8" x14ac:dyDescent="0.25">
      <c r="A374" s="2" t="s">
        <v>388</v>
      </c>
      <c r="B374" s="3" t="s">
        <v>8</v>
      </c>
      <c r="C374" s="3"/>
      <c r="D374" s="3"/>
      <c r="E374" s="4" t="str">
        <f>HYPERLINK("https://dpmzos25m8ivg.cloudfront.net/Documentos/631/01266068627/6310126606862711092023120150.pdf","https://dpmzos25m8ivg.cloudfront.net/Documentos/631/01266068627/6310126606862711092023120150.pdf")</f>
        <v>https://dpmzos25m8ivg.cloudfront.net/Documentos/631/01266068627/6310126606862711092023120150.pdf</v>
      </c>
      <c r="F374" s="5" t="str">
        <f>HYPERLINK("https://dpmzos25m8ivg.cloudfront.net/Documentos/631/01266068627/6310126606862711092023120217.pdf","https://dpmzos25m8ivg.cloudfront.net/Documentos/631/01266068627/6310126606862711092023120217.pdf")</f>
        <v>https://dpmzos25m8ivg.cloudfront.net/Documentos/631/01266068627/6310126606862711092023120217.pdf</v>
      </c>
      <c r="G374" s="5" t="str">
        <f>HYPERLINK("https://dpmzos25m8ivg.cloudfront.net/Documentos/631/01266068627/6310126606862711092023120334.pdf","https://dpmzos25m8ivg.cloudfront.net/Documentos/631/01266068627/6310126606862711092023120334.pdf")</f>
        <v>https://dpmzos25m8ivg.cloudfront.net/Documentos/631/01266068627/6310126606862711092023120334.pdf</v>
      </c>
      <c r="H374" s="4" t="s">
        <v>8961</v>
      </c>
    </row>
    <row r="375" spans="1:8" x14ac:dyDescent="0.25">
      <c r="A375" s="2" t="s">
        <v>389</v>
      </c>
      <c r="B375" s="3"/>
      <c r="C375" s="3"/>
      <c r="D375" s="3"/>
      <c r="E375" s="4" t="str">
        <f>HYPERLINK("https://dpmzos25m8ivg.cloudfront.net/Documentos/631/01266321543/6310126632154309092023022254.pdf","https://dpmzos25m8ivg.cloudfront.net/Documentos/631/01266321543/6310126632154309092023022254.pdf")</f>
        <v>https://dpmzos25m8ivg.cloudfront.net/Documentos/631/01266321543/6310126632154309092023022254.pdf</v>
      </c>
      <c r="F375" s="5" t="str">
        <f>HYPERLINK("https://dpmzos25m8ivg.cloudfront.net/Documentos/631/01266321543/6310126632154308092023212416.pdf","https://dpmzos25m8ivg.cloudfront.net/Documentos/631/01266321543/6310126632154308092023212416.pdf")</f>
        <v>https://dpmzos25m8ivg.cloudfront.net/Documentos/631/01266321543/6310126632154308092023212416.pdf</v>
      </c>
      <c r="G375" s="5" t="str">
        <f>HYPERLINK("https://dpmzos25m8ivg.cloudfront.net/Documentos/631/01266321543/6310126632154308092023212535.pdf","https://dpmzos25m8ivg.cloudfront.net/Documentos/631/01266321543/6310126632154308092023212535.pdf")</f>
        <v>https://dpmzos25m8ivg.cloudfront.net/Documentos/631/01266321543/6310126632154308092023212535.pdf</v>
      </c>
      <c r="H375" s="4" t="s">
        <v>8962</v>
      </c>
    </row>
    <row r="376" spans="1:8" x14ac:dyDescent="0.25">
      <c r="A376" s="2" t="s">
        <v>390</v>
      </c>
      <c r="B376" s="3"/>
      <c r="C376" s="3"/>
      <c r="D376" s="3"/>
      <c r="E376" s="4" t="str">
        <f>HYPERLINK("https://dpmzos25m8ivg.cloudfront.net/Documentos/631/01268108855/6310126810885511092023152025.jpg","https://dpmzos25m8ivg.cloudfront.net/Documentos/631/01268108855/6310126810885511092023152025.jpg")</f>
        <v>https://dpmzos25m8ivg.cloudfront.net/Documentos/631/01268108855/6310126810885511092023152025.jpg</v>
      </c>
      <c r="F376" s="5" t="str">
        <f>HYPERLINK("https://dpmzos25m8ivg.cloudfront.net/Documentos/631/01268108855/6310126810885511092023152047.jpg","https://dpmzos25m8ivg.cloudfront.net/Documentos/631/01268108855/6310126810885511092023152047.jpg")</f>
        <v>https://dpmzos25m8ivg.cloudfront.net/Documentos/631/01268108855/6310126810885511092023152047.jpg</v>
      </c>
      <c r="G376" s="5" t="str">
        <f>HYPERLINK("https://dpmzos25m8ivg.cloudfront.net/Documentos/631/01268108855/6310126810885511092023152110.jpg","https://dpmzos25m8ivg.cloudfront.net/Documentos/631/01268108855/6310126810885511092023152110.jpg")</f>
        <v>https://dpmzos25m8ivg.cloudfront.net/Documentos/631/01268108855/6310126810885511092023152110.jpg</v>
      </c>
      <c r="H376" s="4" t="s">
        <v>8963</v>
      </c>
    </row>
    <row r="377" spans="1:8" x14ac:dyDescent="0.25">
      <c r="A377" s="2" t="s">
        <v>391</v>
      </c>
      <c r="B377" s="3"/>
      <c r="C377" s="3"/>
      <c r="D377" s="3"/>
      <c r="E377" s="4" t="str">
        <f>HYPERLINK("https://dpmzos25m8ivg.cloudfront.net/Documentos/631/01268966908/6310126896690811092023151710.pdf","https://dpmzos25m8ivg.cloudfront.net/Documentos/631/01268966908/6310126896690811092023151710.pdf")</f>
        <v>https://dpmzos25m8ivg.cloudfront.net/Documentos/631/01268966908/6310126896690811092023151710.pdf</v>
      </c>
      <c r="F377" s="5" t="str">
        <f>HYPERLINK("https://dpmzos25m8ivg.cloudfront.net/Documentos/631/01268966908/6310126896690811092023151732.pdf","https://dpmzos25m8ivg.cloudfront.net/Documentos/631/01268966908/6310126896690811092023151732.pdf")</f>
        <v>https://dpmzos25m8ivg.cloudfront.net/Documentos/631/01268966908/6310126896690811092023151732.pdf</v>
      </c>
      <c r="G377" s="5" t="str">
        <f>HYPERLINK("https://dpmzos25m8ivg.cloudfront.net/Documentos/631/01268966908/6310126896690811092023151756.pdf","https://dpmzos25m8ivg.cloudfront.net/Documentos/631/01268966908/6310126896690811092023151756.pdf")</f>
        <v>https://dpmzos25m8ivg.cloudfront.net/Documentos/631/01268966908/6310126896690811092023151756.pdf</v>
      </c>
      <c r="H377" s="4" t="s">
        <v>8964</v>
      </c>
    </row>
    <row r="378" spans="1:8" x14ac:dyDescent="0.25">
      <c r="A378" s="2" t="s">
        <v>392</v>
      </c>
      <c r="B378" s="3" t="s">
        <v>8</v>
      </c>
      <c r="C378" s="3"/>
      <c r="D378" s="3"/>
      <c r="E378" s="4" t="str">
        <f>HYPERLINK("https://dpmzos25m8ivg.cloudfront.net/Documentos/631/01271697254/6310127169725406092023132718.jpg","https://dpmzos25m8ivg.cloudfront.net/Documentos/631/01271697254/6310127169725406092023132718.jpg")</f>
        <v>https://dpmzos25m8ivg.cloudfront.net/Documentos/631/01271697254/6310127169725406092023132718.jpg</v>
      </c>
      <c r="F378" s="5" t="str">
        <f>HYPERLINK("https://dpmzos25m8ivg.cloudfront.net/Documentos/631/01271697254/6310127169725409092023140908.jpg","https://dpmzos25m8ivg.cloudfront.net/Documentos/631/01271697254/6310127169725409092023140908.jpg")</f>
        <v>https://dpmzos25m8ivg.cloudfront.net/Documentos/631/01271697254/6310127169725409092023140908.jpg</v>
      </c>
      <c r="G378" s="5" t="str">
        <f>HYPERLINK("https://dpmzos25m8ivg.cloudfront.net/Documentos/631/01271697254/6310127169725409092023140930.jpg","https://dpmzos25m8ivg.cloudfront.net/Documentos/631/01271697254/6310127169725409092023140930.jpg")</f>
        <v>https://dpmzos25m8ivg.cloudfront.net/Documentos/631/01271697254/6310127169725409092023140930.jpg</v>
      </c>
      <c r="H378" s="4" t="s">
        <v>8965</v>
      </c>
    </row>
    <row r="379" spans="1:8" x14ac:dyDescent="0.25">
      <c r="A379" s="2" t="s">
        <v>393</v>
      </c>
      <c r="B379" s="3"/>
      <c r="C379" s="3"/>
      <c r="D379" s="3"/>
      <c r="E379" s="4" t="str">
        <f>HYPERLINK("https://dpmzos25m8ivg.cloudfront.net/Documentos/631/01277175365/6310127717536505092023111251.jpeg","https://dpmzos25m8ivg.cloudfront.net/Documentos/631/01277175365/6310127717536505092023111251.jpeg")</f>
        <v>https://dpmzos25m8ivg.cloudfront.net/Documentos/631/01277175365/6310127717536505092023111251.jpeg</v>
      </c>
      <c r="F379" s="5" t="str">
        <f>HYPERLINK("https://dpmzos25m8ivg.cloudfront.net/Documentos/631/01277175365/6310127717536505092023111306.jpeg","https://dpmzos25m8ivg.cloudfront.net/Documentos/631/01277175365/6310127717536505092023111306.jpeg")</f>
        <v>https://dpmzos25m8ivg.cloudfront.net/Documentos/631/01277175365/6310127717536505092023111306.jpeg</v>
      </c>
      <c r="G379" s="5" t="str">
        <f>HYPERLINK("https://dpmzos25m8ivg.cloudfront.net/Documentos/631/01277175365/6310127717536505092023111321.jpeg","https://dpmzos25m8ivg.cloudfront.net/Documentos/631/01277175365/6310127717536505092023111321.jpeg")</f>
        <v>https://dpmzos25m8ivg.cloudfront.net/Documentos/631/01277175365/6310127717536505092023111321.jpeg</v>
      </c>
      <c r="H379" s="4" t="s">
        <v>8966</v>
      </c>
    </row>
    <row r="380" spans="1:8" x14ac:dyDescent="0.25">
      <c r="A380" s="2" t="s">
        <v>394</v>
      </c>
      <c r="B380" s="3"/>
      <c r="C380" s="3"/>
      <c r="D380" s="3"/>
      <c r="E380" s="4" t="str">
        <f>HYPERLINK("https://dpmzos25m8ivg.cloudfront.net/Documentos/631/01277848378/6310127784837806092023000938.pdf","https://dpmzos25m8ivg.cloudfront.net/Documentos/631/01277848378/6310127784837806092023000938.pdf")</f>
        <v>https://dpmzos25m8ivg.cloudfront.net/Documentos/631/01277848378/6310127784837806092023000938.pdf</v>
      </c>
      <c r="F380" s="5" t="str">
        <f>HYPERLINK("https://dpmzos25m8ivg.cloudfront.net/Documentos/631/01277848378/6310127784837806092023000956.pdf","https://dpmzos25m8ivg.cloudfront.net/Documentos/631/01277848378/6310127784837806092023000956.pdf")</f>
        <v>https://dpmzos25m8ivg.cloudfront.net/Documentos/631/01277848378/6310127784837806092023000956.pdf</v>
      </c>
      <c r="G380" s="5" t="str">
        <f>HYPERLINK("https://dpmzos25m8ivg.cloudfront.net/Documentos/631/01277848378/6310127784837806092023001029.pdf","https://dpmzos25m8ivg.cloudfront.net/Documentos/631/01277848378/6310127784837806092023001029.pdf")</f>
        <v>https://dpmzos25m8ivg.cloudfront.net/Documentos/631/01277848378/6310127784837806092023001029.pdf</v>
      </c>
      <c r="H380" s="4" t="s">
        <v>8967</v>
      </c>
    </row>
    <row r="381" spans="1:8" x14ac:dyDescent="0.25">
      <c r="A381" s="2" t="s">
        <v>395</v>
      </c>
      <c r="B381" s="3"/>
      <c r="C381" s="3"/>
      <c r="D381" s="3"/>
      <c r="E381" s="4" t="str">
        <f>HYPERLINK("https://dpmzos25m8ivg.cloudfront.net/Documentos/631/01279456523/6310127945652311092023164623.pdf","https://dpmzos25m8ivg.cloudfront.net/Documentos/631/01279456523/6310127945652311092023164623.pdf")</f>
        <v>https://dpmzos25m8ivg.cloudfront.net/Documentos/631/01279456523/6310127945652311092023164623.pdf</v>
      </c>
      <c r="F381" s="5" t="str">
        <f>HYPERLINK("https://dpmzos25m8ivg.cloudfront.net/Documentos/631/01279456523/6310127945652311092023164645.pdf","https://dpmzos25m8ivg.cloudfront.net/Documentos/631/01279456523/6310127945652311092023164645.pdf")</f>
        <v>https://dpmzos25m8ivg.cloudfront.net/Documentos/631/01279456523/6310127945652311092023164645.pdf</v>
      </c>
      <c r="G381" s="5" t="str">
        <f>HYPERLINK("https://dpmzos25m8ivg.cloudfront.net/Documentos/631/01279456523/6310127945652311092023164702.pdf","https://dpmzos25m8ivg.cloudfront.net/Documentos/631/01279456523/6310127945652311092023164702.pdf")</f>
        <v>https://dpmzos25m8ivg.cloudfront.net/Documentos/631/01279456523/6310127945652311092023164702.pdf</v>
      </c>
      <c r="H381" s="4" t="s">
        <v>8968</v>
      </c>
    </row>
    <row r="382" spans="1:8" x14ac:dyDescent="0.25">
      <c r="A382" s="2" t="s">
        <v>396</v>
      </c>
      <c r="B382" s="3"/>
      <c r="C382" s="3"/>
      <c r="D382" s="3"/>
      <c r="E382" s="4" t="str">
        <f>HYPERLINK("https://dpmzos25m8ivg.cloudfront.net/Documentos/631/01289635307/6310128963530711092023142738.pdf","https://dpmzos25m8ivg.cloudfront.net/Documentos/631/01289635307/6310128963530711092023142738.pdf")</f>
        <v>https://dpmzos25m8ivg.cloudfront.net/Documentos/631/01289635307/6310128963530711092023142738.pdf</v>
      </c>
      <c r="F382" s="5" t="str">
        <f>HYPERLINK("https://dpmzos25m8ivg.cloudfront.net/Documentos/631/01289635307/6310128963530711092023142758.pdf","https://dpmzos25m8ivg.cloudfront.net/Documentos/631/01289635307/6310128963530711092023142758.pdf")</f>
        <v>https://dpmzos25m8ivg.cloudfront.net/Documentos/631/01289635307/6310128963530711092023142758.pdf</v>
      </c>
      <c r="G382" s="5" t="str">
        <f>HYPERLINK("https://dpmzos25m8ivg.cloudfront.net/Documentos/631/01289635307/6310128963530711092023142818.pdf","https://dpmzos25m8ivg.cloudfront.net/Documentos/631/01289635307/6310128963530711092023142818.pdf")</f>
        <v>https://dpmzos25m8ivg.cloudfront.net/Documentos/631/01289635307/6310128963530711092023142818.pdf</v>
      </c>
      <c r="H382" s="4" t="s">
        <v>8969</v>
      </c>
    </row>
    <row r="383" spans="1:8" x14ac:dyDescent="0.25">
      <c r="A383" s="2" t="s">
        <v>397</v>
      </c>
      <c r="B383" s="3"/>
      <c r="C383" s="3"/>
      <c r="D383" s="3"/>
      <c r="E383" s="4" t="str">
        <f>HYPERLINK("https://dpmzos25m8ivg.cloudfront.net/Documentos/631/01294686496/6310129468649611092023095258.pdf","https://dpmzos25m8ivg.cloudfront.net/Documentos/631/01294686496/6310129468649611092023095258.pdf")</f>
        <v>https://dpmzos25m8ivg.cloudfront.net/Documentos/631/01294686496/6310129468649611092023095258.pdf</v>
      </c>
      <c r="F383" s="5" t="str">
        <f>HYPERLINK("https://dpmzos25m8ivg.cloudfront.net/Documentos/631/01294686496/6310129468649611092023095310.pdf","https://dpmzos25m8ivg.cloudfront.net/Documentos/631/01294686496/6310129468649611092023095310.pdf")</f>
        <v>https://dpmzos25m8ivg.cloudfront.net/Documentos/631/01294686496/6310129468649611092023095310.pdf</v>
      </c>
      <c r="G383" s="5" t="str">
        <f>HYPERLINK("https://dpmzos25m8ivg.cloudfront.net/Documentos/631/01294686496/6310129468649611092023095321.pdf","https://dpmzos25m8ivg.cloudfront.net/Documentos/631/01294686496/6310129468649611092023095321.pdf")</f>
        <v>https://dpmzos25m8ivg.cloudfront.net/Documentos/631/01294686496/6310129468649611092023095321.pdf</v>
      </c>
      <c r="H383" s="4" t="s">
        <v>8970</v>
      </c>
    </row>
    <row r="384" spans="1:8" x14ac:dyDescent="0.25">
      <c r="A384" s="2" t="s">
        <v>398</v>
      </c>
      <c r="B384" s="3"/>
      <c r="C384" s="3"/>
      <c r="D384" s="3"/>
      <c r="E384" s="4" t="str">
        <f>HYPERLINK("https://dpmzos25m8ivg.cloudfront.net/Documentos/631/01298516552/6310129851655211092023115027.pdf","https://dpmzos25m8ivg.cloudfront.net/Documentos/631/01298516552/6310129851655211092023115027.pdf")</f>
        <v>https://dpmzos25m8ivg.cloudfront.net/Documentos/631/01298516552/6310129851655211092023115027.pdf</v>
      </c>
      <c r="F384" s="5" t="str">
        <f>HYPERLINK("https://dpmzos25m8ivg.cloudfront.net/Documentos/631/01298516552/6310129851655211092023115045.pdf","https://dpmzos25m8ivg.cloudfront.net/Documentos/631/01298516552/6310129851655211092023115045.pdf")</f>
        <v>https://dpmzos25m8ivg.cloudfront.net/Documentos/631/01298516552/6310129851655211092023115045.pdf</v>
      </c>
      <c r="G384" s="5" t="str">
        <f>HYPERLINK("https://dpmzos25m8ivg.cloudfront.net/Documentos/631/01298516552/6310129851655211092023115059.pdf","https://dpmzos25m8ivg.cloudfront.net/Documentos/631/01298516552/6310129851655211092023115059.pdf")</f>
        <v>https://dpmzos25m8ivg.cloudfront.net/Documentos/631/01298516552/6310129851655211092023115059.pdf</v>
      </c>
      <c r="H384" s="4" t="s">
        <v>8971</v>
      </c>
    </row>
    <row r="385" spans="1:8" x14ac:dyDescent="0.25">
      <c r="A385" s="2" t="s">
        <v>399</v>
      </c>
      <c r="B385" s="3"/>
      <c r="C385" s="3"/>
      <c r="D385" s="3"/>
      <c r="E385" s="4" t="str">
        <f>HYPERLINK("https://dpmzos25m8ivg.cloudfront.net/Documentos/631/01299257216/6310129925721610092023191203.jpg","https://dpmzos25m8ivg.cloudfront.net/Documentos/631/01299257216/6310129925721610092023191203.jpg")</f>
        <v>https://dpmzos25m8ivg.cloudfront.net/Documentos/631/01299257216/6310129925721610092023191203.jpg</v>
      </c>
      <c r="F385" s="5" t="str">
        <f>HYPERLINK("https://dpmzos25m8ivg.cloudfront.net/Documentos/631/01299257216/6310129925721610092023191223.jpg","https://dpmzos25m8ivg.cloudfront.net/Documentos/631/01299257216/6310129925721610092023191223.jpg")</f>
        <v>https://dpmzos25m8ivg.cloudfront.net/Documentos/631/01299257216/6310129925721610092023191223.jpg</v>
      </c>
      <c r="G385" s="5" t="str">
        <f>HYPERLINK("https://dpmzos25m8ivg.cloudfront.net/Documentos/631/01299257216/6310129925721610092023191240.jpg","https://dpmzos25m8ivg.cloudfront.net/Documentos/631/01299257216/6310129925721610092023191240.jpg")</f>
        <v>https://dpmzos25m8ivg.cloudfront.net/Documentos/631/01299257216/6310129925721610092023191240.jpg</v>
      </c>
      <c r="H385" s="4" t="s">
        <v>8972</v>
      </c>
    </row>
    <row r="386" spans="1:8" x14ac:dyDescent="0.25">
      <c r="A386" s="2" t="s">
        <v>400</v>
      </c>
      <c r="B386" s="3"/>
      <c r="C386" s="3"/>
      <c r="D386" s="3"/>
      <c r="E386" s="4" t="str">
        <f>HYPERLINK("https://dpmzos25m8ivg.cloudfront.net/Documentos/631/01299503608/6310129950360806092023184111.pdf","https://dpmzos25m8ivg.cloudfront.net/Documentos/631/01299503608/6310129950360806092023184111.pdf")</f>
        <v>https://dpmzos25m8ivg.cloudfront.net/Documentos/631/01299503608/6310129950360806092023184111.pdf</v>
      </c>
      <c r="F386" s="5" t="str">
        <f>HYPERLINK("https://dpmzos25m8ivg.cloudfront.net/Documentos/631/01299503608/6310129950360806092023184126.pdf","https://dpmzos25m8ivg.cloudfront.net/Documentos/631/01299503608/6310129950360806092023184126.pdf")</f>
        <v>https://dpmzos25m8ivg.cloudfront.net/Documentos/631/01299503608/6310129950360806092023184126.pdf</v>
      </c>
      <c r="G386" s="5" t="str">
        <f>HYPERLINK("https://dpmzos25m8ivg.cloudfront.net/Documentos/631/01299503608/6310129950360806092023184138.pdf","https://dpmzos25m8ivg.cloudfront.net/Documentos/631/01299503608/6310129950360806092023184138.pdf")</f>
        <v>https://dpmzos25m8ivg.cloudfront.net/Documentos/631/01299503608/6310129950360806092023184138.pdf</v>
      </c>
      <c r="H386" s="4" t="s">
        <v>8973</v>
      </c>
    </row>
    <row r="387" spans="1:8" x14ac:dyDescent="0.25">
      <c r="A387" s="2" t="s">
        <v>401</v>
      </c>
      <c r="B387" s="3"/>
      <c r="C387" s="3"/>
      <c r="D387" s="3"/>
      <c r="E387" s="4" t="str">
        <f>HYPERLINK("https://dpmzos25m8ivg.cloudfront.net/Documentos/631/01301679240/6310130167924011092023162650.pdf","https://dpmzos25m8ivg.cloudfront.net/Documentos/631/01301679240/6310130167924011092023162650.pdf")</f>
        <v>https://dpmzos25m8ivg.cloudfront.net/Documentos/631/01301679240/6310130167924011092023162650.pdf</v>
      </c>
      <c r="F387" s="5" t="str">
        <f>HYPERLINK("https://dpmzos25m8ivg.cloudfront.net/Documentos/631/01301679240/6310130167924011092023162701.pdf","https://dpmzos25m8ivg.cloudfront.net/Documentos/631/01301679240/6310130167924011092023162701.pdf")</f>
        <v>https://dpmzos25m8ivg.cloudfront.net/Documentos/631/01301679240/6310130167924011092023162701.pdf</v>
      </c>
      <c r="G387" s="5" t="str">
        <f>HYPERLINK("https://dpmzos25m8ivg.cloudfront.net/Documentos/631/01301679240/6310130167924011092023162712.pdf","https://dpmzos25m8ivg.cloudfront.net/Documentos/631/01301679240/6310130167924011092023162712.pdf")</f>
        <v>https://dpmzos25m8ivg.cloudfront.net/Documentos/631/01301679240/6310130167924011092023162712.pdf</v>
      </c>
      <c r="H387" s="4" t="s">
        <v>8974</v>
      </c>
    </row>
    <row r="388" spans="1:8" x14ac:dyDescent="0.25">
      <c r="A388" s="2" t="s">
        <v>402</v>
      </c>
      <c r="B388" s="3"/>
      <c r="C388" s="3"/>
      <c r="D388" s="3"/>
      <c r="E388" s="4" t="str">
        <f>HYPERLINK("https://dpmzos25m8ivg.cloudfront.net/Documentos/631/01302946242/6310130294624211092023105038.pdf","https://dpmzos25m8ivg.cloudfront.net/Documentos/631/01302946242/6310130294624211092023105038.pdf")</f>
        <v>https://dpmzos25m8ivg.cloudfront.net/Documentos/631/01302946242/6310130294624211092023105038.pdf</v>
      </c>
      <c r="F388" s="5" t="str">
        <f>HYPERLINK("https://dpmzos25m8ivg.cloudfront.net/Documentos/631/01302946242/6310130294624211092023105045.pdf","https://dpmzos25m8ivg.cloudfront.net/Documentos/631/01302946242/6310130294624211092023105045.pdf")</f>
        <v>https://dpmzos25m8ivg.cloudfront.net/Documentos/631/01302946242/6310130294624211092023105045.pdf</v>
      </c>
      <c r="G388" s="5" t="str">
        <f>HYPERLINK("https://dpmzos25m8ivg.cloudfront.net/Documentos/631/01302946242/6310130294624211092023105052.pdf","https://dpmzos25m8ivg.cloudfront.net/Documentos/631/01302946242/6310130294624211092023105052.pdf")</f>
        <v>https://dpmzos25m8ivg.cloudfront.net/Documentos/631/01302946242/6310130294624211092023105052.pdf</v>
      </c>
      <c r="H388" s="4" t="s">
        <v>8975</v>
      </c>
    </row>
    <row r="389" spans="1:8" x14ac:dyDescent="0.25">
      <c r="A389" s="2" t="s">
        <v>403</v>
      </c>
      <c r="B389" s="3"/>
      <c r="C389" s="3"/>
      <c r="D389" s="3"/>
      <c r="E389" s="4" t="str">
        <f>HYPERLINK("https://dpmzos25m8ivg.cloudfront.net/Documentos/631/01304162230/6310130416223009092023204956.pdf","https://dpmzos25m8ivg.cloudfront.net/Documentos/631/01304162230/6310130416223009092023204956.pdf")</f>
        <v>https://dpmzos25m8ivg.cloudfront.net/Documentos/631/01304162230/6310130416223009092023204956.pdf</v>
      </c>
      <c r="F389" s="5" t="str">
        <f>HYPERLINK("https://dpmzos25m8ivg.cloudfront.net/Documentos/631/01304162230/6310130416223009092023205113.pdf","https://dpmzos25m8ivg.cloudfront.net/Documentos/631/01304162230/6310130416223009092023205113.pdf")</f>
        <v>https://dpmzos25m8ivg.cloudfront.net/Documentos/631/01304162230/6310130416223009092023205113.pdf</v>
      </c>
      <c r="G389" s="5" t="str">
        <f>HYPERLINK("https://dpmzos25m8ivg.cloudfront.net/Documentos/631/01304162230/6310130416223009092023205158.pdf","https://dpmzos25m8ivg.cloudfront.net/Documentos/631/01304162230/6310130416223009092023205158.pdf")</f>
        <v>https://dpmzos25m8ivg.cloudfront.net/Documentos/631/01304162230/6310130416223009092023205158.pdf</v>
      </c>
      <c r="H389" s="4" t="s">
        <v>8976</v>
      </c>
    </row>
    <row r="390" spans="1:8" x14ac:dyDescent="0.25">
      <c r="A390" s="2" t="s">
        <v>404</v>
      </c>
      <c r="B390" s="3" t="s">
        <v>90</v>
      </c>
      <c r="C390" s="3"/>
      <c r="D390" s="3"/>
      <c r="E390" s="4" t="str">
        <f>HYPERLINK("https://dpmzos25m8ivg.cloudfront.net/Documentos/631/01306769698/6310130676969806092023121426.jpeg","https://dpmzos25m8ivg.cloudfront.net/Documentos/631/01306769698/6310130676969806092023121426.jpeg")</f>
        <v>https://dpmzos25m8ivg.cloudfront.net/Documentos/631/01306769698/6310130676969806092023121426.jpeg</v>
      </c>
      <c r="F390" s="5" t="str">
        <f>HYPERLINK("https://dpmzos25m8ivg.cloudfront.net/Documentos/631/01306769698/6310130676969806092023121442.jpeg","https://dpmzos25m8ivg.cloudfront.net/Documentos/631/01306769698/6310130676969806092023121442.jpeg")</f>
        <v>https://dpmzos25m8ivg.cloudfront.net/Documentos/631/01306769698/6310130676969806092023121442.jpeg</v>
      </c>
      <c r="G390" s="5" t="str">
        <f>HYPERLINK("https://dpmzos25m8ivg.cloudfront.net/Documentos/631/01306769698/6310130676969806092023121511.jpeg","https://dpmzos25m8ivg.cloudfront.net/Documentos/631/01306769698/6310130676969806092023121511.jpeg")</f>
        <v>https://dpmzos25m8ivg.cloudfront.net/Documentos/631/01306769698/6310130676969806092023121511.jpeg</v>
      </c>
      <c r="H390" s="4" t="s">
        <v>8977</v>
      </c>
    </row>
    <row r="391" spans="1:8" x14ac:dyDescent="0.25">
      <c r="A391" s="2" t="s">
        <v>405</v>
      </c>
      <c r="B391" s="3"/>
      <c r="C391" s="3"/>
      <c r="D391" s="3"/>
      <c r="E391" s="4" t="str">
        <f>HYPERLINK("https://dpmzos25m8ivg.cloudfront.net/Documentos/631/01307139299/6310130713929910092023211708.pdf","https://dpmzos25m8ivg.cloudfront.net/Documentos/631/01307139299/6310130713929910092023211708.pdf")</f>
        <v>https://dpmzos25m8ivg.cloudfront.net/Documentos/631/01307139299/6310130713929910092023211708.pdf</v>
      </c>
      <c r="F391" s="5" t="str">
        <f>HYPERLINK("https://dpmzos25m8ivg.cloudfront.net/Documentos/631/01307139299/6310130713929910092023211717.pdf","https://dpmzos25m8ivg.cloudfront.net/Documentos/631/01307139299/6310130713929910092023211717.pdf")</f>
        <v>https://dpmzos25m8ivg.cloudfront.net/Documentos/631/01307139299/6310130713929910092023211717.pdf</v>
      </c>
      <c r="G391" s="5" t="str">
        <f>HYPERLINK("https://dpmzos25m8ivg.cloudfront.net/Documentos/631/01307139299/6310130713929911092023103739.pdf","https://dpmzos25m8ivg.cloudfront.net/Documentos/631/01307139299/6310130713929911092023103739.pdf")</f>
        <v>https://dpmzos25m8ivg.cloudfront.net/Documentos/631/01307139299/6310130713929911092023103739.pdf</v>
      </c>
      <c r="H391" s="4" t="s">
        <v>8978</v>
      </c>
    </row>
    <row r="392" spans="1:8" x14ac:dyDescent="0.25">
      <c r="A392" s="2" t="s">
        <v>406</v>
      </c>
      <c r="B392" s="3"/>
      <c r="C392" s="3"/>
      <c r="D392" s="3"/>
      <c r="E392" s="4" t="str">
        <f>HYPERLINK("https://dpmzos25m8ivg.cloudfront.net/Documentos/631/01307561640/6310130756164011092023012824.jpg","https://dpmzos25m8ivg.cloudfront.net/Documentos/631/01307561640/6310130756164011092023012824.jpg")</f>
        <v>https://dpmzos25m8ivg.cloudfront.net/Documentos/631/01307561640/6310130756164011092023012824.jpg</v>
      </c>
      <c r="F392" s="5" t="str">
        <f>HYPERLINK("https://dpmzos25m8ivg.cloudfront.net/Documentos/631/01307561640/6310130756164011092023012850.jpg","https://dpmzos25m8ivg.cloudfront.net/Documentos/631/01307561640/6310130756164011092023012850.jpg")</f>
        <v>https://dpmzos25m8ivg.cloudfront.net/Documentos/631/01307561640/6310130756164011092023012850.jpg</v>
      </c>
      <c r="G392" s="5" t="str">
        <f>HYPERLINK("https://dpmzos25m8ivg.cloudfront.net/Documentos/631/01307561640/6310130756164011092023012903.jpg","https://dpmzos25m8ivg.cloudfront.net/Documentos/631/01307561640/6310130756164011092023012903.jpg")</f>
        <v>https://dpmzos25m8ivg.cloudfront.net/Documentos/631/01307561640/6310130756164011092023012903.jpg</v>
      </c>
      <c r="H392" s="4" t="s">
        <v>8979</v>
      </c>
    </row>
    <row r="393" spans="1:8" x14ac:dyDescent="0.25">
      <c r="A393" s="2" t="s">
        <v>407</v>
      </c>
      <c r="B393" s="3"/>
      <c r="C393" s="3"/>
      <c r="D393" s="3"/>
      <c r="E393" s="4" t="str">
        <f>HYPERLINK("https://dpmzos25m8ivg.cloudfront.net/Documentos/631/01314510223/6310131451022311092023093609.jpg","https://dpmzos25m8ivg.cloudfront.net/Documentos/631/01314510223/6310131451022311092023093609.jpg")</f>
        <v>https://dpmzos25m8ivg.cloudfront.net/Documentos/631/01314510223/6310131451022311092023093609.jpg</v>
      </c>
      <c r="F393" s="5" t="str">
        <f>HYPERLINK("https://dpmzos25m8ivg.cloudfront.net/Documentos/631/01314510223/6310131451022311092023093626.jpg","https://dpmzos25m8ivg.cloudfront.net/Documentos/631/01314510223/6310131451022311092023093626.jpg")</f>
        <v>https://dpmzos25m8ivg.cloudfront.net/Documentos/631/01314510223/6310131451022311092023093626.jpg</v>
      </c>
      <c r="G393" s="5" t="str">
        <f>HYPERLINK("https://dpmzos25m8ivg.cloudfront.net/Documentos/631/01314510223/6310131451022311092023095357.jpg","https://dpmzos25m8ivg.cloudfront.net/Documentos/631/01314510223/6310131451022311092023095357.jpg")</f>
        <v>https://dpmzos25m8ivg.cloudfront.net/Documentos/631/01314510223/6310131451022311092023095357.jpg</v>
      </c>
      <c r="H393" s="4" t="s">
        <v>8980</v>
      </c>
    </row>
    <row r="394" spans="1:8" x14ac:dyDescent="0.25">
      <c r="A394" s="2" t="s">
        <v>408</v>
      </c>
      <c r="B394" s="3"/>
      <c r="C394" s="3"/>
      <c r="D394" s="3"/>
      <c r="E394" s="4" t="str">
        <f>HYPERLINK("https://dpmzos25m8ivg.cloudfront.net/Documentos/631/01315468131/6310131546813111092023132541.pdf","https://dpmzos25m8ivg.cloudfront.net/Documentos/631/01315468131/6310131546813111092023132541.pdf")</f>
        <v>https://dpmzos25m8ivg.cloudfront.net/Documentos/631/01315468131/6310131546813111092023132541.pdf</v>
      </c>
      <c r="F394" s="5" t="str">
        <f>HYPERLINK("https://dpmzos25m8ivg.cloudfront.net/Documentos/631/01315468131/6310131546813111092023132550.pdf","https://dpmzos25m8ivg.cloudfront.net/Documentos/631/01315468131/6310131546813111092023132550.pdf")</f>
        <v>https://dpmzos25m8ivg.cloudfront.net/Documentos/631/01315468131/6310131546813111092023132550.pdf</v>
      </c>
      <c r="G394" s="5" t="str">
        <f>HYPERLINK("https://dpmzos25m8ivg.cloudfront.net/Documentos/631/01315468131/6310131546813111092023132605.pdf","https://dpmzos25m8ivg.cloudfront.net/Documentos/631/01315468131/6310131546813111092023132605.pdf")</f>
        <v>https://dpmzos25m8ivg.cloudfront.net/Documentos/631/01315468131/6310131546813111092023132605.pdf</v>
      </c>
      <c r="H394" s="4" t="s">
        <v>8981</v>
      </c>
    </row>
    <row r="395" spans="1:8" x14ac:dyDescent="0.25">
      <c r="A395" s="2" t="s">
        <v>409</v>
      </c>
      <c r="B395" s="3" t="s">
        <v>8</v>
      </c>
      <c r="C395" s="3"/>
      <c r="D395" s="3"/>
      <c r="E395" s="4" t="str">
        <f>HYPERLINK("https://dpmzos25m8ivg.cloudfront.net/Documentos/631/01315469456/6310131546945611092023142851.jpg","https://dpmzos25m8ivg.cloudfront.net/Documentos/631/01315469456/6310131546945611092023142851.jpg")</f>
        <v>https://dpmzos25m8ivg.cloudfront.net/Documentos/631/01315469456/6310131546945611092023142851.jpg</v>
      </c>
      <c r="F395" s="5" t="str">
        <f>HYPERLINK("https://dpmzos25m8ivg.cloudfront.net/Documentos/631/01315469456/6310131546945611092023142906.jpg","https://dpmzos25m8ivg.cloudfront.net/Documentos/631/01315469456/6310131546945611092023142906.jpg")</f>
        <v>https://dpmzos25m8ivg.cloudfront.net/Documentos/631/01315469456/6310131546945611092023142906.jpg</v>
      </c>
      <c r="G395" s="5" t="str">
        <f>HYPERLINK("https://dpmzos25m8ivg.cloudfront.net/Documentos/631/01315469456/6310131546945611092023142919.jpg","https://dpmzos25m8ivg.cloudfront.net/Documentos/631/01315469456/6310131546945611092023142919.jpg")</f>
        <v>https://dpmzos25m8ivg.cloudfront.net/Documentos/631/01315469456/6310131546945611092023142919.jpg</v>
      </c>
      <c r="H395" s="4" t="s">
        <v>8982</v>
      </c>
    </row>
    <row r="396" spans="1:8" x14ac:dyDescent="0.25">
      <c r="A396" s="2" t="s">
        <v>410</v>
      </c>
      <c r="B396" s="3"/>
      <c r="C396" s="3"/>
      <c r="D396" s="3"/>
      <c r="E396" s="4" t="str">
        <f>HYPERLINK("https://dpmzos25m8ivg.cloudfront.net/Documentos/631/01316458547/6310131645854708092023114728.pdf","https://dpmzos25m8ivg.cloudfront.net/Documentos/631/01316458547/6310131645854708092023114728.pdf")</f>
        <v>https://dpmzos25m8ivg.cloudfront.net/Documentos/631/01316458547/6310131645854708092023114728.pdf</v>
      </c>
      <c r="F396" s="5" t="str">
        <f>HYPERLINK("https://dpmzos25m8ivg.cloudfront.net/Documentos/631/01316458547/6310131645854708092023114750.pdf","https://dpmzos25m8ivg.cloudfront.net/Documentos/631/01316458547/6310131645854708092023114750.pdf")</f>
        <v>https://dpmzos25m8ivg.cloudfront.net/Documentos/631/01316458547/6310131645854708092023114750.pdf</v>
      </c>
      <c r="G396" s="5" t="str">
        <f>HYPERLINK("https://dpmzos25m8ivg.cloudfront.net/Documentos/631/01316458547/6310131645854708092023114806.pdf","https://dpmzos25m8ivg.cloudfront.net/Documentos/631/01316458547/6310131645854708092023114806.pdf")</f>
        <v>https://dpmzos25m8ivg.cloudfront.net/Documentos/631/01316458547/6310131645854708092023114806.pdf</v>
      </c>
      <c r="H396" s="4" t="s">
        <v>8983</v>
      </c>
    </row>
    <row r="397" spans="1:8" x14ac:dyDescent="0.25">
      <c r="A397" s="2" t="s">
        <v>411</v>
      </c>
      <c r="B397" s="3"/>
      <c r="C397" s="3"/>
      <c r="D397" s="3"/>
      <c r="E397" s="4" t="str">
        <f>HYPERLINK("https://dpmzos25m8ivg.cloudfront.net/Documentos/631/01322143269/6310132214326908092023200724.pdf","https://dpmzos25m8ivg.cloudfront.net/Documentos/631/01322143269/6310132214326908092023200724.pdf")</f>
        <v>https://dpmzos25m8ivg.cloudfront.net/Documentos/631/01322143269/6310132214326908092023200724.pdf</v>
      </c>
      <c r="F397" s="5" t="str">
        <f>HYPERLINK("https://dpmzos25m8ivg.cloudfront.net/Documentos/631/01322143269/6310132214326908092023200744.pdf","https://dpmzos25m8ivg.cloudfront.net/Documentos/631/01322143269/6310132214326908092023200744.pdf")</f>
        <v>https://dpmzos25m8ivg.cloudfront.net/Documentos/631/01322143269/6310132214326908092023200744.pdf</v>
      </c>
      <c r="G397" s="5" t="str">
        <f>HYPERLINK("https://dpmzos25m8ivg.cloudfront.net/Documentos/631/01322143269/6310132214326908092023200806.pdf","https://dpmzos25m8ivg.cloudfront.net/Documentos/631/01322143269/6310132214326908092023200806.pdf")</f>
        <v>https://dpmzos25m8ivg.cloudfront.net/Documentos/631/01322143269/6310132214326908092023200806.pdf</v>
      </c>
      <c r="H397" s="4" t="s">
        <v>8984</v>
      </c>
    </row>
    <row r="398" spans="1:8" x14ac:dyDescent="0.25">
      <c r="A398" s="2" t="s">
        <v>412</v>
      </c>
      <c r="B398" s="3"/>
      <c r="C398" s="3"/>
      <c r="D398" s="3"/>
      <c r="E398" s="4" t="str">
        <f>HYPERLINK("https://dpmzos25m8ivg.cloudfront.net/Documentos/631/01323323295/6310132332329513092023214240.pdf","https://dpmzos25m8ivg.cloudfront.net/Documentos/631/01323323295/6310132332329513092023214240.pdf")</f>
        <v>https://dpmzos25m8ivg.cloudfront.net/Documentos/631/01323323295/6310132332329513092023214240.pdf</v>
      </c>
      <c r="F398" s="5" t="str">
        <f>HYPERLINK("https://dpmzos25m8ivg.cloudfront.net/Documentos/631/01323323295/6310132332329513092023214251.pdf","https://dpmzos25m8ivg.cloudfront.net/Documentos/631/01323323295/6310132332329513092023214251.pdf")</f>
        <v>https://dpmzos25m8ivg.cloudfront.net/Documentos/631/01323323295/6310132332329513092023214251.pdf</v>
      </c>
      <c r="G398" s="5" t="str">
        <f>HYPERLINK("https://dpmzos25m8ivg.cloudfront.net/Documentos/631/01323323295/6310132332329513092023214304.pdf","https://dpmzos25m8ivg.cloudfront.net/Documentos/631/01323323295/6310132332329513092023214304.pdf")</f>
        <v>https://dpmzos25m8ivg.cloudfront.net/Documentos/631/01323323295/6310132332329513092023214304.pdf</v>
      </c>
      <c r="H398" s="4" t="s">
        <v>8985</v>
      </c>
    </row>
    <row r="399" spans="1:8" x14ac:dyDescent="0.25">
      <c r="A399" s="2" t="s">
        <v>413</v>
      </c>
      <c r="B399" s="3"/>
      <c r="C399" s="3"/>
      <c r="D399" s="3"/>
      <c r="E399" s="4" t="str">
        <f>HYPERLINK("https://dpmzos25m8ivg.cloudfront.net/Documentos/631/01324806389/6310132480638906092023094909.pdf","https://dpmzos25m8ivg.cloudfront.net/Documentos/631/01324806389/6310132480638906092023094909.pdf")</f>
        <v>https://dpmzos25m8ivg.cloudfront.net/Documentos/631/01324806389/6310132480638906092023094909.pdf</v>
      </c>
      <c r="F399" s="5" t="str">
        <f>HYPERLINK("https://dpmzos25m8ivg.cloudfront.net/Documentos/631/01324806389/6310132480638906092023094920.pdf","https://dpmzos25m8ivg.cloudfront.net/Documentos/631/01324806389/6310132480638906092023094920.pdf")</f>
        <v>https://dpmzos25m8ivg.cloudfront.net/Documentos/631/01324806389/6310132480638906092023094920.pdf</v>
      </c>
      <c r="G399" s="5" t="str">
        <f>HYPERLINK("https://dpmzos25m8ivg.cloudfront.net/Documentos/631/01324806389/6310132480638906092023094930.pdf","https://dpmzos25m8ivg.cloudfront.net/Documentos/631/01324806389/6310132480638906092023094930.pdf")</f>
        <v>https://dpmzos25m8ivg.cloudfront.net/Documentos/631/01324806389/6310132480638906092023094930.pdf</v>
      </c>
      <c r="H399" s="4" t="s">
        <v>8986</v>
      </c>
    </row>
    <row r="400" spans="1:8" x14ac:dyDescent="0.25">
      <c r="A400" s="2" t="s">
        <v>414</v>
      </c>
      <c r="B400" s="3"/>
      <c r="C400" s="3"/>
      <c r="D400" s="3"/>
      <c r="E400" s="4" t="str">
        <f>HYPERLINK("https://dpmzos25m8ivg.cloudfront.net/Documentos/631/01336148160/6310133614816011092023142443.jpg","https://dpmzos25m8ivg.cloudfront.net/Documentos/631/01336148160/6310133614816011092023142443.jpg")</f>
        <v>https://dpmzos25m8ivg.cloudfront.net/Documentos/631/01336148160/6310133614816011092023142443.jpg</v>
      </c>
      <c r="F400" s="5" t="str">
        <f>HYPERLINK("https://dpmzos25m8ivg.cloudfront.net/Documentos/631/01336148160/6310133614816011092023142500.jpg","https://dpmzos25m8ivg.cloudfront.net/Documentos/631/01336148160/6310133614816011092023142500.jpg")</f>
        <v>https://dpmzos25m8ivg.cloudfront.net/Documentos/631/01336148160/6310133614816011092023142500.jpg</v>
      </c>
      <c r="G400" s="5" t="str">
        <f>HYPERLINK("https://dpmzos25m8ivg.cloudfront.net/Documentos/631/01336148160/6310133614816011092023142522.jpg","https://dpmzos25m8ivg.cloudfront.net/Documentos/631/01336148160/6310133614816011092023142522.jpg")</f>
        <v>https://dpmzos25m8ivg.cloudfront.net/Documentos/631/01336148160/6310133614816011092023142522.jpg</v>
      </c>
      <c r="H400" s="4" t="s">
        <v>8987</v>
      </c>
    </row>
    <row r="401" spans="1:8" x14ac:dyDescent="0.25">
      <c r="A401" s="2" t="s">
        <v>415</v>
      </c>
      <c r="B401" s="3" t="s">
        <v>42</v>
      </c>
      <c r="C401" s="3"/>
      <c r="D401" s="3"/>
      <c r="E401" s="4" t="str">
        <f>HYPERLINK("https://dpmzos25m8ivg.cloudfront.net/Documentos/631/01339525500/6310133952550005092023104202.pdf","https://dpmzos25m8ivg.cloudfront.net/Documentos/631/01339525500/6310133952550005092023104202.pdf")</f>
        <v>https://dpmzos25m8ivg.cloudfront.net/Documentos/631/01339525500/6310133952550005092023104202.pdf</v>
      </c>
      <c r="F401" s="5" t="str">
        <f>HYPERLINK("https://dpmzos25m8ivg.cloudfront.net/Documentos/631/01339525500/6310133952550005092023104221.pdf","https://dpmzos25m8ivg.cloudfront.net/Documentos/631/01339525500/6310133952550005092023104221.pdf")</f>
        <v>https://dpmzos25m8ivg.cloudfront.net/Documentos/631/01339525500/6310133952550005092023104221.pdf</v>
      </c>
      <c r="G401" s="5" t="str">
        <f>HYPERLINK("https://dpmzos25m8ivg.cloudfront.net/Documentos/631/01339525500/6310133952550005092023104309.pdf","https://dpmzos25m8ivg.cloudfront.net/Documentos/631/01339525500/6310133952550005092023104309.pdf")</f>
        <v>https://dpmzos25m8ivg.cloudfront.net/Documentos/631/01339525500/6310133952550005092023104309.pdf</v>
      </c>
      <c r="H401" s="4" t="s">
        <v>8988</v>
      </c>
    </row>
    <row r="402" spans="1:8" x14ac:dyDescent="0.25">
      <c r="A402" s="2" t="s">
        <v>416</v>
      </c>
      <c r="B402" s="3"/>
      <c r="C402" s="3"/>
      <c r="D402" s="3"/>
      <c r="E402" s="4" t="str">
        <f>HYPERLINK("https://dpmzos25m8ivg.cloudfront.net/Documentos/631/01340907216/6310134090721605092023124050.pdf","https://dpmzos25m8ivg.cloudfront.net/Documentos/631/01340907216/6310134090721605092023124050.pdf")</f>
        <v>https://dpmzos25m8ivg.cloudfront.net/Documentos/631/01340907216/6310134090721605092023124050.pdf</v>
      </c>
      <c r="F402" s="5" t="str">
        <f>HYPERLINK("https://dpmzos25m8ivg.cloudfront.net/Documentos/631/01340907216/6310134090721604092023220830.pdf","https://dpmzos25m8ivg.cloudfront.net/Documentos/631/01340907216/6310134090721604092023220830.pdf")</f>
        <v>https://dpmzos25m8ivg.cloudfront.net/Documentos/631/01340907216/6310134090721604092023220830.pdf</v>
      </c>
      <c r="G402" s="5" t="str">
        <f>HYPERLINK("https://dpmzos25m8ivg.cloudfront.net/Documentos/631/01340907216/6310134090721605092023124113.pdf","https://dpmzos25m8ivg.cloudfront.net/Documentos/631/01340907216/6310134090721605092023124113.pdf")</f>
        <v>https://dpmzos25m8ivg.cloudfront.net/Documentos/631/01340907216/6310134090721605092023124113.pdf</v>
      </c>
      <c r="H402" s="4" t="s">
        <v>8989</v>
      </c>
    </row>
    <row r="403" spans="1:8" x14ac:dyDescent="0.25">
      <c r="A403" s="2" t="s">
        <v>417</v>
      </c>
      <c r="B403" s="3"/>
      <c r="C403" s="3"/>
      <c r="D403" s="3"/>
      <c r="E403" s="4" t="str">
        <f>HYPERLINK("https://dpmzos25m8ivg.cloudfront.net/Documentos/631/01342643550/6310134264355011092023164002.pdf","https://dpmzos25m8ivg.cloudfront.net/Documentos/631/01342643550/6310134264355011092023164002.pdf")</f>
        <v>https://dpmzos25m8ivg.cloudfront.net/Documentos/631/01342643550/6310134264355011092023164002.pdf</v>
      </c>
      <c r="F403" s="5" t="str">
        <f>HYPERLINK("https://dpmzos25m8ivg.cloudfront.net/Documentos/631/01342643550/6310134264355011092023164016.pdf","https://dpmzos25m8ivg.cloudfront.net/Documentos/631/01342643550/6310134264355011092023164016.pdf")</f>
        <v>https://dpmzos25m8ivg.cloudfront.net/Documentos/631/01342643550/6310134264355011092023164016.pdf</v>
      </c>
      <c r="G403" s="5" t="str">
        <f>HYPERLINK("https://dpmzos25m8ivg.cloudfront.net/Documentos/631/01342643550/6310134264355011092023164036.pdf","https://dpmzos25m8ivg.cloudfront.net/Documentos/631/01342643550/6310134264355011092023164036.pdf")</f>
        <v>https://dpmzos25m8ivg.cloudfront.net/Documentos/631/01342643550/6310134264355011092023164036.pdf</v>
      </c>
      <c r="H403" s="4" t="s">
        <v>8990</v>
      </c>
    </row>
    <row r="404" spans="1:8" x14ac:dyDescent="0.25">
      <c r="A404" s="2" t="s">
        <v>418</v>
      </c>
      <c r="B404" s="3"/>
      <c r="C404" s="3"/>
      <c r="D404" s="3"/>
      <c r="E404" s="4" t="str">
        <f>HYPERLINK("https://dpmzos25m8ivg.cloudfront.net/Documentos/631/01347818219/6310134781821911092023161158.pdf","https://dpmzos25m8ivg.cloudfront.net/Documentos/631/01347818219/6310134781821911092023161158.pdf")</f>
        <v>https://dpmzos25m8ivg.cloudfront.net/Documentos/631/01347818219/6310134781821911092023161158.pdf</v>
      </c>
      <c r="F404" s="5" t="str">
        <f>HYPERLINK("https://dpmzos25m8ivg.cloudfront.net/Documentos/631/01347818219/6310134781821911092023161209.pdf","https://dpmzos25m8ivg.cloudfront.net/Documentos/631/01347818219/6310134781821911092023161209.pdf")</f>
        <v>https://dpmzos25m8ivg.cloudfront.net/Documentos/631/01347818219/6310134781821911092023161209.pdf</v>
      </c>
      <c r="G404" s="5" t="str">
        <f>HYPERLINK("https://dpmzos25m8ivg.cloudfront.net/Documentos/631/01347818219/6310134781821911092023161228.pdf","https://dpmzos25m8ivg.cloudfront.net/Documentos/631/01347818219/6310134781821911092023161228.pdf")</f>
        <v>https://dpmzos25m8ivg.cloudfront.net/Documentos/631/01347818219/6310134781821911092023161228.pdf</v>
      </c>
      <c r="H404" s="4" t="s">
        <v>8991</v>
      </c>
    </row>
    <row r="405" spans="1:8" x14ac:dyDescent="0.25">
      <c r="A405" s="2" t="s">
        <v>419</v>
      </c>
      <c r="B405" s="3" t="s">
        <v>42</v>
      </c>
      <c r="C405" s="3"/>
      <c r="D405" s="3"/>
      <c r="E405" s="4" t="str">
        <f>HYPERLINK("https://dpmzos25m8ivg.cloudfront.net/Documentos/631/01350223204/6310135022320411092023161052.pdf","https://dpmzos25m8ivg.cloudfront.net/Documentos/631/01350223204/6310135022320411092023161052.pdf")</f>
        <v>https://dpmzos25m8ivg.cloudfront.net/Documentos/631/01350223204/6310135022320411092023161052.pdf</v>
      </c>
      <c r="F405" s="5" t="str">
        <f>HYPERLINK("https://dpmzos25m8ivg.cloudfront.net/Documentos/631/01350223204/6310135022320411092023161125.pdf","https://dpmzos25m8ivg.cloudfront.net/Documentos/631/01350223204/6310135022320411092023161125.pdf")</f>
        <v>https://dpmzos25m8ivg.cloudfront.net/Documentos/631/01350223204/6310135022320411092023161125.pdf</v>
      </c>
      <c r="G405" s="5" t="str">
        <f>HYPERLINK("https://dpmzos25m8ivg.cloudfront.net/Documentos/631/01350223204/6310135022320411092023161138.pdf","https://dpmzos25m8ivg.cloudfront.net/Documentos/631/01350223204/6310135022320411092023161138.pdf")</f>
        <v>https://dpmzos25m8ivg.cloudfront.net/Documentos/631/01350223204/6310135022320411092023161138.pdf</v>
      </c>
      <c r="H405" s="4" t="s">
        <v>8992</v>
      </c>
    </row>
    <row r="406" spans="1:8" x14ac:dyDescent="0.25">
      <c r="A406" s="2" t="s">
        <v>420</v>
      </c>
      <c r="B406" s="3"/>
      <c r="C406" s="3"/>
      <c r="D406" s="3"/>
      <c r="E406" s="4" t="str">
        <f>HYPERLINK("https://dpmzos25m8ivg.cloudfront.net/Documentos/631/01353337170/6310135333717006092023111928.jpg","https://dpmzos25m8ivg.cloudfront.net/Documentos/631/01353337170/6310135333717006092023111928.jpg")</f>
        <v>https://dpmzos25m8ivg.cloudfront.net/Documentos/631/01353337170/6310135333717006092023111928.jpg</v>
      </c>
      <c r="F406" s="5" t="str">
        <f>HYPERLINK("https://dpmzos25m8ivg.cloudfront.net/Documentos/631/01353337170/6310135333717006092023112146.jpg","https://dpmzos25m8ivg.cloudfront.net/Documentos/631/01353337170/6310135333717006092023112146.jpg")</f>
        <v>https://dpmzos25m8ivg.cloudfront.net/Documentos/631/01353337170/6310135333717006092023112146.jpg</v>
      </c>
      <c r="G406" s="5" t="str">
        <f>HYPERLINK("https://dpmzos25m8ivg.cloudfront.net/Documentos/631/01353337170/6310135333717006092023112241.jpg","https://dpmzos25m8ivg.cloudfront.net/Documentos/631/01353337170/6310135333717006092023112241.jpg")</f>
        <v>https://dpmzos25m8ivg.cloudfront.net/Documentos/631/01353337170/6310135333717006092023112241.jpg</v>
      </c>
      <c r="H406" s="4" t="s">
        <v>8993</v>
      </c>
    </row>
    <row r="407" spans="1:8" x14ac:dyDescent="0.25">
      <c r="A407" s="2" t="s">
        <v>421</v>
      </c>
      <c r="B407" s="3"/>
      <c r="C407" s="3"/>
      <c r="D407" s="3"/>
      <c r="E407" s="4" t="str">
        <f>HYPERLINK("https://dpmzos25m8ivg.cloudfront.net/Documentos/631/01357164467/6310135716446709092023205356.pdf","https://dpmzos25m8ivg.cloudfront.net/Documentos/631/01357164467/6310135716446709092023205356.pdf")</f>
        <v>https://dpmzos25m8ivg.cloudfront.net/Documentos/631/01357164467/6310135716446709092023205356.pdf</v>
      </c>
      <c r="F407" s="5" t="str">
        <f>HYPERLINK("https://dpmzos25m8ivg.cloudfront.net/Documentos/631/01357164467/6310135716446709092023205420.pdf","https://dpmzos25m8ivg.cloudfront.net/Documentos/631/01357164467/6310135716446709092023205420.pdf")</f>
        <v>https://dpmzos25m8ivg.cloudfront.net/Documentos/631/01357164467/6310135716446709092023205420.pdf</v>
      </c>
      <c r="G407" s="5" t="str">
        <f>HYPERLINK("https://dpmzos25m8ivg.cloudfront.net/Documentos/631/01357164467/6310135716446709092023205452.pdf","https://dpmzos25m8ivg.cloudfront.net/Documentos/631/01357164467/6310135716446709092023205452.pdf")</f>
        <v>https://dpmzos25m8ivg.cloudfront.net/Documentos/631/01357164467/6310135716446709092023205452.pdf</v>
      </c>
      <c r="H407" s="4" t="s">
        <v>8994</v>
      </c>
    </row>
    <row r="408" spans="1:8" x14ac:dyDescent="0.25">
      <c r="A408" s="2" t="s">
        <v>422</v>
      </c>
      <c r="B408" s="3"/>
      <c r="C408" s="3"/>
      <c r="D408" s="3"/>
      <c r="E408" s="4" t="str">
        <f>HYPERLINK("https://dpmzos25m8ivg.cloudfront.net/Documentos/631/01357518102/6310135751810211092023141910.pdf","https://dpmzos25m8ivg.cloudfront.net/Documentos/631/01357518102/6310135751810211092023141910.pdf")</f>
        <v>https://dpmzos25m8ivg.cloudfront.net/Documentos/631/01357518102/6310135751810211092023141910.pdf</v>
      </c>
      <c r="F408" s="5" t="str">
        <f>HYPERLINK("https://dpmzos25m8ivg.cloudfront.net/Documentos/631/01357518102/6310135751810211092023141920.pdf","https://dpmzos25m8ivg.cloudfront.net/Documentos/631/01357518102/6310135751810211092023141920.pdf")</f>
        <v>https://dpmzos25m8ivg.cloudfront.net/Documentos/631/01357518102/6310135751810211092023141920.pdf</v>
      </c>
      <c r="G408" s="5" t="str">
        <f>HYPERLINK("https://dpmzos25m8ivg.cloudfront.net/Documentos/631/01357518102/6310135751810211092023141938.pdf","https://dpmzos25m8ivg.cloudfront.net/Documentos/631/01357518102/6310135751810211092023141938.pdf")</f>
        <v>https://dpmzos25m8ivg.cloudfront.net/Documentos/631/01357518102/6310135751810211092023141938.pdf</v>
      </c>
      <c r="H408" s="4" t="s">
        <v>8995</v>
      </c>
    </row>
    <row r="409" spans="1:8" x14ac:dyDescent="0.25">
      <c r="A409" s="2" t="s">
        <v>423</v>
      </c>
      <c r="B409" s="3"/>
      <c r="C409" s="3"/>
      <c r="D409" s="3"/>
      <c r="E409" s="4" t="str">
        <f>HYPERLINK("https://dpmzos25m8ivg.cloudfront.net/Documentos/631/01357569440/6310135756944008092023180644.pdf","https://dpmzos25m8ivg.cloudfront.net/Documentos/631/01357569440/6310135756944008092023180644.pdf")</f>
        <v>https://dpmzos25m8ivg.cloudfront.net/Documentos/631/01357569440/6310135756944008092023180644.pdf</v>
      </c>
      <c r="F409" s="5" t="str">
        <f>HYPERLINK("https://dpmzos25m8ivg.cloudfront.net/Documentos/631/01357569440/6310135756944008092023180658.pdf","https://dpmzos25m8ivg.cloudfront.net/Documentos/631/01357569440/6310135756944008092023180658.pdf")</f>
        <v>https://dpmzos25m8ivg.cloudfront.net/Documentos/631/01357569440/6310135756944008092023180658.pdf</v>
      </c>
      <c r="G409" s="5" t="str">
        <f>HYPERLINK("https://dpmzos25m8ivg.cloudfront.net/Documentos/631/01357569440/6310135756944008092023180726.pdf","https://dpmzos25m8ivg.cloudfront.net/Documentos/631/01357569440/6310135756944008092023180726.pdf")</f>
        <v>https://dpmzos25m8ivg.cloudfront.net/Documentos/631/01357569440/6310135756944008092023180726.pdf</v>
      </c>
      <c r="H409" s="4" t="s">
        <v>8996</v>
      </c>
    </row>
    <row r="410" spans="1:8" x14ac:dyDescent="0.25">
      <c r="A410" s="2" t="s">
        <v>424</v>
      </c>
      <c r="B410" s="3"/>
      <c r="C410" s="3"/>
      <c r="D410" s="3"/>
      <c r="E410" s="4" t="str">
        <f>HYPERLINK("https://dpmzos25m8ivg.cloudfront.net/Documentos/631/01363990373/6310136399037311092023000730.pdf","https://dpmzos25m8ivg.cloudfront.net/Documentos/631/01363990373/6310136399037311092023000730.pdf")</f>
        <v>https://dpmzos25m8ivg.cloudfront.net/Documentos/631/01363990373/6310136399037311092023000730.pdf</v>
      </c>
      <c r="F410" s="5" t="str">
        <f>HYPERLINK("https://dpmzos25m8ivg.cloudfront.net/Documentos/631/01363990373/6310136399037311092023000750.pdf","https://dpmzos25m8ivg.cloudfront.net/Documentos/631/01363990373/6310136399037311092023000750.pdf")</f>
        <v>https://dpmzos25m8ivg.cloudfront.net/Documentos/631/01363990373/6310136399037311092023000750.pdf</v>
      </c>
      <c r="G410" s="5" t="str">
        <f>HYPERLINK("https://dpmzos25m8ivg.cloudfront.net/Documentos/631/01363990373/6310136399037311092023000810.pdf","https://dpmzos25m8ivg.cloudfront.net/Documentos/631/01363990373/6310136399037311092023000810.pdf")</f>
        <v>https://dpmzos25m8ivg.cloudfront.net/Documentos/631/01363990373/6310136399037311092023000810.pdf</v>
      </c>
      <c r="H410" s="4" t="s">
        <v>8997</v>
      </c>
    </row>
    <row r="411" spans="1:8" x14ac:dyDescent="0.25">
      <c r="A411" s="2" t="s">
        <v>425</v>
      </c>
      <c r="B411" s="3"/>
      <c r="C411" s="3"/>
      <c r="D411" s="3"/>
      <c r="E411" s="4" t="str">
        <f>HYPERLINK("https://dpmzos25m8ivg.cloudfront.net/Documentos/631/01364318105/6310136431810509092023183453.pdf","https://dpmzos25m8ivg.cloudfront.net/Documentos/631/01364318105/6310136431810509092023183453.pdf")</f>
        <v>https://dpmzos25m8ivg.cloudfront.net/Documentos/631/01364318105/6310136431810509092023183453.pdf</v>
      </c>
      <c r="F411" s="5" t="str">
        <f>HYPERLINK("https://dpmzos25m8ivg.cloudfront.net/Documentos/631/01364318105/6310136431810509092023183507.pdf","https://dpmzos25m8ivg.cloudfront.net/Documentos/631/01364318105/6310136431810509092023183507.pdf")</f>
        <v>https://dpmzos25m8ivg.cloudfront.net/Documentos/631/01364318105/6310136431810509092023183507.pdf</v>
      </c>
      <c r="G411" s="5" t="str">
        <f>HYPERLINK("https://dpmzos25m8ivg.cloudfront.net/Documentos/631/01364318105/6310136431810509092023183516.pdf","https://dpmzos25m8ivg.cloudfront.net/Documentos/631/01364318105/6310136431810509092023183516.pdf")</f>
        <v>https://dpmzos25m8ivg.cloudfront.net/Documentos/631/01364318105/6310136431810509092023183516.pdf</v>
      </c>
      <c r="H411" s="4" t="s">
        <v>8998</v>
      </c>
    </row>
    <row r="412" spans="1:8" x14ac:dyDescent="0.25">
      <c r="A412" s="2" t="s">
        <v>426</v>
      </c>
      <c r="B412" s="3"/>
      <c r="C412" s="3"/>
      <c r="D412" s="3"/>
      <c r="E412" s="4" t="str">
        <f>HYPERLINK("https://dpmzos25m8ivg.cloudfront.net/Documentos/631/01365957152/6310136595715205092023151120.jpg","https://dpmzos25m8ivg.cloudfront.net/Documentos/631/01365957152/6310136595715205092023151120.jpg")</f>
        <v>https://dpmzos25m8ivg.cloudfront.net/Documentos/631/01365957152/6310136595715205092023151120.jpg</v>
      </c>
      <c r="F412" s="5" t="str">
        <f>HYPERLINK("https://dpmzos25m8ivg.cloudfront.net/Documentos/631/01365957152/6310136595715205092023151155.jpg","https://dpmzos25m8ivg.cloudfront.net/Documentos/631/01365957152/6310136595715205092023151155.jpg")</f>
        <v>https://dpmzos25m8ivg.cloudfront.net/Documentos/631/01365957152/6310136595715205092023151155.jpg</v>
      </c>
      <c r="G412" s="5" t="str">
        <f>HYPERLINK("https://dpmzos25m8ivg.cloudfront.net/Documentos/631/01365957152/6310136595715205092023151214.jpg","https://dpmzos25m8ivg.cloudfront.net/Documentos/631/01365957152/6310136595715205092023151214.jpg")</f>
        <v>https://dpmzos25m8ivg.cloudfront.net/Documentos/631/01365957152/6310136595715205092023151214.jpg</v>
      </c>
      <c r="H412" s="4" t="s">
        <v>8999</v>
      </c>
    </row>
    <row r="413" spans="1:8" x14ac:dyDescent="0.25">
      <c r="A413" s="2" t="s">
        <v>427</v>
      </c>
      <c r="B413" s="3"/>
      <c r="C413" s="3"/>
      <c r="D413" s="3"/>
      <c r="E413" s="4" t="str">
        <f>HYPERLINK("https://dpmzos25m8ivg.cloudfront.net/Documentos/631/01371641145/6310137164114511092023135003.jpg","https://dpmzos25m8ivg.cloudfront.net/Documentos/631/01371641145/6310137164114511092023135003.jpg")</f>
        <v>https://dpmzos25m8ivg.cloudfront.net/Documentos/631/01371641145/6310137164114511092023135003.jpg</v>
      </c>
      <c r="F413" s="5" t="str">
        <f>HYPERLINK("https://dpmzos25m8ivg.cloudfront.net/Documentos/631/01371641145/6310137164114511092023135033.jpg","https://dpmzos25m8ivg.cloudfront.net/Documentos/631/01371641145/6310137164114511092023135033.jpg")</f>
        <v>https://dpmzos25m8ivg.cloudfront.net/Documentos/631/01371641145/6310137164114511092023135033.jpg</v>
      </c>
      <c r="G413" s="5" t="str">
        <f>HYPERLINK("https://dpmzos25m8ivg.cloudfront.net/Documentos/631/01371641145/6310137164114511092023135101.jpg","https://dpmzos25m8ivg.cloudfront.net/Documentos/631/01371641145/6310137164114511092023135101.jpg")</f>
        <v>https://dpmzos25m8ivg.cloudfront.net/Documentos/631/01371641145/6310137164114511092023135101.jpg</v>
      </c>
      <c r="H413" s="4" t="s">
        <v>9000</v>
      </c>
    </row>
    <row r="414" spans="1:8" x14ac:dyDescent="0.25">
      <c r="A414" s="2" t="s">
        <v>428</v>
      </c>
      <c r="B414" s="3" t="s">
        <v>8</v>
      </c>
      <c r="C414" s="3"/>
      <c r="D414" s="3"/>
      <c r="E414" s="4" t="str">
        <f>HYPERLINK("https://dpmzos25m8ivg.cloudfront.net/Documentos/631/01372298282/6310137229828205092023154843.pdf","https://dpmzos25m8ivg.cloudfront.net/Documentos/631/01372298282/6310137229828205092023154843.pdf")</f>
        <v>https://dpmzos25m8ivg.cloudfront.net/Documentos/631/01372298282/6310137229828205092023154843.pdf</v>
      </c>
      <c r="F414" s="5" t="str">
        <f>HYPERLINK("https://dpmzos25m8ivg.cloudfront.net/Documentos/631/01372298282/6310137229828205092023154949.pdf","https://dpmzos25m8ivg.cloudfront.net/Documentos/631/01372298282/6310137229828205092023154949.pdf")</f>
        <v>https://dpmzos25m8ivg.cloudfront.net/Documentos/631/01372298282/6310137229828205092023154949.pdf</v>
      </c>
      <c r="G414" s="5" t="str">
        <f>HYPERLINK("https://dpmzos25m8ivg.cloudfront.net/Documentos/631/01372298282/6310137229828205092023155012.pdf","https://dpmzos25m8ivg.cloudfront.net/Documentos/631/01372298282/6310137229828205092023155012.pdf")</f>
        <v>https://dpmzos25m8ivg.cloudfront.net/Documentos/631/01372298282/6310137229828205092023155012.pdf</v>
      </c>
      <c r="H414" s="4" t="s">
        <v>9001</v>
      </c>
    </row>
    <row r="415" spans="1:8" x14ac:dyDescent="0.25">
      <c r="A415" s="2" t="s">
        <v>429</v>
      </c>
      <c r="B415" s="3"/>
      <c r="C415" s="3"/>
      <c r="D415" s="3"/>
      <c r="E415" s="4" t="str">
        <f>HYPERLINK("https://dpmzos25m8ivg.cloudfront.net/Documentos/631/01373890355/6310137389035506092023095556.pdf","https://dpmzos25m8ivg.cloudfront.net/Documentos/631/01373890355/6310137389035506092023095556.pdf")</f>
        <v>https://dpmzos25m8ivg.cloudfront.net/Documentos/631/01373890355/6310137389035506092023095556.pdf</v>
      </c>
      <c r="F415" s="5" t="str">
        <f>HYPERLINK("https://dpmzos25m8ivg.cloudfront.net/Documentos/631/01373890355/6310137389035506092023100154.pdf","https://dpmzos25m8ivg.cloudfront.net/Documentos/631/01373890355/6310137389035506092023100154.pdf")</f>
        <v>https://dpmzos25m8ivg.cloudfront.net/Documentos/631/01373890355/6310137389035506092023100154.pdf</v>
      </c>
      <c r="G415" s="5" t="str">
        <f>HYPERLINK("https://dpmzos25m8ivg.cloudfront.net/Documentos/631/01373890355/6310137389035506092023100012.pdf","https://dpmzos25m8ivg.cloudfront.net/Documentos/631/01373890355/6310137389035506092023100012.pdf")</f>
        <v>https://dpmzos25m8ivg.cloudfront.net/Documentos/631/01373890355/6310137389035506092023100012.pdf</v>
      </c>
      <c r="H415" s="4" t="s">
        <v>9002</v>
      </c>
    </row>
    <row r="416" spans="1:8" x14ac:dyDescent="0.25">
      <c r="A416" s="2" t="s">
        <v>430</v>
      </c>
      <c r="B416" s="3"/>
      <c r="C416" s="3"/>
      <c r="D416" s="3"/>
      <c r="E416" s="4" t="str">
        <f>HYPERLINK("https://dpmzos25m8ivg.cloudfront.net/Documentos/631/01378906136/6310137890613611092023084251.pdf","https://dpmzos25m8ivg.cloudfront.net/Documentos/631/01378906136/6310137890613611092023084251.pdf")</f>
        <v>https://dpmzos25m8ivg.cloudfront.net/Documentos/631/01378906136/6310137890613611092023084251.pdf</v>
      </c>
      <c r="F416" s="5" t="str">
        <f>HYPERLINK("https://dpmzos25m8ivg.cloudfront.net/Documentos/631/01378906136/6310137890613611092023084309.pdf","https://dpmzos25m8ivg.cloudfront.net/Documentos/631/01378906136/6310137890613611092023084309.pdf")</f>
        <v>https://dpmzos25m8ivg.cloudfront.net/Documentos/631/01378906136/6310137890613611092023084309.pdf</v>
      </c>
      <c r="G416" s="5" t="str">
        <f>HYPERLINK("https://dpmzos25m8ivg.cloudfront.net/Documentos/631/01378906136/6310137890613611092023084329.pdf","https://dpmzos25m8ivg.cloudfront.net/Documentos/631/01378906136/6310137890613611092023084329.pdf")</f>
        <v>https://dpmzos25m8ivg.cloudfront.net/Documentos/631/01378906136/6310137890613611092023084329.pdf</v>
      </c>
      <c r="H416" s="4" t="s">
        <v>9003</v>
      </c>
    </row>
    <row r="417" spans="1:8" x14ac:dyDescent="0.25">
      <c r="A417" s="2" t="s">
        <v>431</v>
      </c>
      <c r="B417" s="3"/>
      <c r="C417" s="3"/>
      <c r="D417" s="3"/>
      <c r="E417" s="4" t="str">
        <f>HYPERLINK("https://dpmzos25m8ivg.cloudfront.net/Documentos/631/01380194520/6310138019452008092023203647.pdf","https://dpmzos25m8ivg.cloudfront.net/Documentos/631/01380194520/6310138019452008092023203647.pdf")</f>
        <v>https://dpmzos25m8ivg.cloudfront.net/Documentos/631/01380194520/6310138019452008092023203647.pdf</v>
      </c>
      <c r="F417" s="5" t="str">
        <f>HYPERLINK("https://dpmzos25m8ivg.cloudfront.net/Documentos/631/01380194520/6310138019452008092023203734.pdf","https://dpmzos25m8ivg.cloudfront.net/Documentos/631/01380194520/6310138019452008092023203734.pdf")</f>
        <v>https://dpmzos25m8ivg.cloudfront.net/Documentos/631/01380194520/6310138019452008092023203734.pdf</v>
      </c>
      <c r="G417" s="5" t="str">
        <f>HYPERLINK("https://dpmzos25m8ivg.cloudfront.net/Documentos/631/01380194520/6310138019452008092023203806.pdf","https://dpmzos25m8ivg.cloudfront.net/Documentos/631/01380194520/6310138019452008092023203806.pdf")</f>
        <v>https://dpmzos25m8ivg.cloudfront.net/Documentos/631/01380194520/6310138019452008092023203806.pdf</v>
      </c>
      <c r="H417" s="4" t="s">
        <v>9004</v>
      </c>
    </row>
    <row r="418" spans="1:8" x14ac:dyDescent="0.25">
      <c r="A418" s="2" t="s">
        <v>432</v>
      </c>
      <c r="B418" s="3" t="s">
        <v>8</v>
      </c>
      <c r="C418" s="3"/>
      <c r="D418" s="3"/>
      <c r="E418" s="4" t="str">
        <f>HYPERLINK("https://dpmzos25m8ivg.cloudfront.net/Documentos/631/01380381207/6310138038120714092023110041.pdf","https://dpmzos25m8ivg.cloudfront.net/Documentos/631/01380381207/6310138038120714092023110041.pdf")</f>
        <v>https://dpmzos25m8ivg.cloudfront.net/Documentos/631/01380381207/6310138038120714092023110041.pdf</v>
      </c>
      <c r="F418" s="5" t="str">
        <f>HYPERLINK("https://dpmzos25m8ivg.cloudfront.net/Documentos/631/01380381207/6310138038120714092023110054.pdf","https://dpmzos25m8ivg.cloudfront.net/Documentos/631/01380381207/6310138038120714092023110054.pdf")</f>
        <v>https://dpmzos25m8ivg.cloudfront.net/Documentos/631/01380381207/6310138038120714092023110054.pdf</v>
      </c>
      <c r="G418" s="5" t="str">
        <f>HYPERLINK("https://dpmzos25m8ivg.cloudfront.net/Documentos/631/01380381207/6310138038120714092023110221.pdf","https://dpmzos25m8ivg.cloudfront.net/Documentos/631/01380381207/6310138038120714092023110221.pdf")</f>
        <v>https://dpmzos25m8ivg.cloudfront.net/Documentos/631/01380381207/6310138038120714092023110221.pdf</v>
      </c>
      <c r="H418" s="4" t="s">
        <v>9005</v>
      </c>
    </row>
    <row r="419" spans="1:8" x14ac:dyDescent="0.25">
      <c r="A419" s="2" t="s">
        <v>433</v>
      </c>
      <c r="B419" s="3"/>
      <c r="C419" s="3"/>
      <c r="D419" s="3"/>
      <c r="E419" s="4" t="str">
        <f>HYPERLINK("https://dpmzos25m8ivg.cloudfront.net/Documentos/631/01381045227/6310138104522705092023084517.jpg","https://dpmzos25m8ivg.cloudfront.net/Documentos/631/01381045227/6310138104522705092023084517.jpg")</f>
        <v>https://dpmzos25m8ivg.cloudfront.net/Documentos/631/01381045227/6310138104522705092023084517.jpg</v>
      </c>
      <c r="F419" s="5" t="str">
        <f>HYPERLINK("https://dpmzos25m8ivg.cloudfront.net/Documentos/631/01381045227/6310138104522705092023084547.jpg","https://dpmzos25m8ivg.cloudfront.net/Documentos/631/01381045227/6310138104522705092023084547.jpg")</f>
        <v>https://dpmzos25m8ivg.cloudfront.net/Documentos/631/01381045227/6310138104522705092023084547.jpg</v>
      </c>
      <c r="G419" s="5" t="str">
        <f>HYPERLINK("https://dpmzos25m8ivg.cloudfront.net/Documentos/631/01381045227/6310138104522705092023084605.jpg","https://dpmzos25m8ivg.cloudfront.net/Documentos/631/01381045227/6310138104522705092023084605.jpg")</f>
        <v>https://dpmzos25m8ivg.cloudfront.net/Documentos/631/01381045227/6310138104522705092023084605.jpg</v>
      </c>
      <c r="H419" s="4" t="s">
        <v>9006</v>
      </c>
    </row>
    <row r="420" spans="1:8" x14ac:dyDescent="0.25">
      <c r="A420" s="2" t="s">
        <v>434</v>
      </c>
      <c r="B420" s="3"/>
      <c r="C420" s="3"/>
      <c r="D420" s="3"/>
      <c r="E420" s="4" t="str">
        <f>HYPERLINK("https://dpmzos25m8ivg.cloudfront.net/Documentos/631/01382873760/6310138287376008092023190719.pdf","https://dpmzos25m8ivg.cloudfront.net/Documentos/631/01382873760/6310138287376008092023190719.pdf")</f>
        <v>https://dpmzos25m8ivg.cloudfront.net/Documentos/631/01382873760/6310138287376008092023190719.pdf</v>
      </c>
      <c r="F420" s="5" t="str">
        <f>HYPERLINK("https://dpmzos25m8ivg.cloudfront.net/Documentos/631/01382873760/6310138287376008092023190746.pdf","https://dpmzos25m8ivg.cloudfront.net/Documentos/631/01382873760/6310138287376008092023190746.pdf")</f>
        <v>https://dpmzos25m8ivg.cloudfront.net/Documentos/631/01382873760/6310138287376008092023190746.pdf</v>
      </c>
      <c r="G420" s="5" t="str">
        <f>HYPERLINK("https://dpmzos25m8ivg.cloudfront.net/Documentos/631/01382873760/6310138287376008092023190808.pdf","https://dpmzos25m8ivg.cloudfront.net/Documentos/631/01382873760/6310138287376008092023190808.pdf")</f>
        <v>https://dpmzos25m8ivg.cloudfront.net/Documentos/631/01382873760/6310138287376008092023190808.pdf</v>
      </c>
      <c r="H420" s="4" t="s">
        <v>9007</v>
      </c>
    </row>
    <row r="421" spans="1:8" x14ac:dyDescent="0.25">
      <c r="A421" s="2" t="s">
        <v>435</v>
      </c>
      <c r="B421" s="3"/>
      <c r="C421" s="3"/>
      <c r="D421" s="3"/>
      <c r="E421" s="4" t="str">
        <f>HYPERLINK("https://dpmzos25m8ivg.cloudfront.net/Documentos/631/01384131000/6310138413100005092023161350.pdf","https://dpmzos25m8ivg.cloudfront.net/Documentos/631/01384131000/6310138413100005092023161350.pdf")</f>
        <v>https://dpmzos25m8ivg.cloudfront.net/Documentos/631/01384131000/6310138413100005092023161350.pdf</v>
      </c>
      <c r="F421" s="5" t="str">
        <f>HYPERLINK("https://dpmzos25m8ivg.cloudfront.net/Documentos/631/01384131000/6310138413100005092023161409.pdf","https://dpmzos25m8ivg.cloudfront.net/Documentos/631/01384131000/6310138413100005092023161409.pdf")</f>
        <v>https://dpmzos25m8ivg.cloudfront.net/Documentos/631/01384131000/6310138413100005092023161409.pdf</v>
      </c>
      <c r="G421" s="5" t="str">
        <f>HYPERLINK("https://dpmzos25m8ivg.cloudfront.net/Documentos/631/01384131000/6310138413100005092023161419.pdf","https://dpmzos25m8ivg.cloudfront.net/Documentos/631/01384131000/6310138413100005092023161419.pdf")</f>
        <v>https://dpmzos25m8ivg.cloudfront.net/Documentos/631/01384131000/6310138413100005092023161419.pdf</v>
      </c>
      <c r="H421" s="4" t="s">
        <v>9008</v>
      </c>
    </row>
    <row r="422" spans="1:8" x14ac:dyDescent="0.25">
      <c r="A422" s="2" t="s">
        <v>436</v>
      </c>
      <c r="B422" s="3"/>
      <c r="C422" s="3"/>
      <c r="D422" s="3"/>
      <c r="E422" s="4" t="str">
        <f>HYPERLINK("https://dpmzos25m8ivg.cloudfront.net/Documentos/631/01386214620/6310138621462005092023193535.pdf","https://dpmzos25m8ivg.cloudfront.net/Documentos/631/01386214620/6310138621462005092023193535.pdf")</f>
        <v>https://dpmzos25m8ivg.cloudfront.net/Documentos/631/01386214620/6310138621462005092023193535.pdf</v>
      </c>
      <c r="F422" s="5" t="str">
        <f>HYPERLINK("https://dpmzos25m8ivg.cloudfront.net/Documentos/631/01386214620/6310138621462005092023193609.pdf","https://dpmzos25m8ivg.cloudfront.net/Documentos/631/01386214620/6310138621462005092023193609.pdf")</f>
        <v>https://dpmzos25m8ivg.cloudfront.net/Documentos/631/01386214620/6310138621462005092023193609.pdf</v>
      </c>
      <c r="G422" s="5" t="str">
        <f>HYPERLINK("https://dpmzos25m8ivg.cloudfront.net/Documentos/631/01386214620/6310138621462005092023193623.pdf","https://dpmzos25m8ivg.cloudfront.net/Documentos/631/01386214620/6310138621462005092023193623.pdf")</f>
        <v>https://dpmzos25m8ivg.cloudfront.net/Documentos/631/01386214620/6310138621462005092023193623.pdf</v>
      </c>
      <c r="H422" s="4" t="s">
        <v>9009</v>
      </c>
    </row>
    <row r="423" spans="1:8" x14ac:dyDescent="0.25">
      <c r="A423" s="2" t="s">
        <v>437</v>
      </c>
      <c r="B423" s="3" t="s">
        <v>8</v>
      </c>
      <c r="C423" s="3"/>
      <c r="D423" s="3"/>
      <c r="E423" s="4" t="str">
        <f>HYPERLINK("https://dpmzos25m8ivg.cloudfront.net/Documentos/631/01386570257/6310138657025711092023163741.pdf","https://dpmzos25m8ivg.cloudfront.net/Documentos/631/01386570257/6310138657025711092023163741.pdf")</f>
        <v>https://dpmzos25m8ivg.cloudfront.net/Documentos/631/01386570257/6310138657025711092023163741.pdf</v>
      </c>
      <c r="F423" s="5" t="str">
        <f>HYPERLINK("https://dpmzos25m8ivg.cloudfront.net/Documentos/631/01386570257/6310138657025711092023163805.pdf","https://dpmzos25m8ivg.cloudfront.net/Documentos/631/01386570257/6310138657025711092023163805.pdf")</f>
        <v>https://dpmzos25m8ivg.cloudfront.net/Documentos/631/01386570257/6310138657025711092023163805.pdf</v>
      </c>
      <c r="G423" s="5" t="str">
        <f>HYPERLINK("https://dpmzos25m8ivg.cloudfront.net/Documentos/631/01386570257/6310138657025711092023163821.pdf","https://dpmzos25m8ivg.cloudfront.net/Documentos/631/01386570257/6310138657025711092023163821.pdf")</f>
        <v>https://dpmzos25m8ivg.cloudfront.net/Documentos/631/01386570257/6310138657025711092023163821.pdf</v>
      </c>
      <c r="H423" s="4" t="s">
        <v>9010</v>
      </c>
    </row>
    <row r="424" spans="1:8" x14ac:dyDescent="0.25">
      <c r="A424" s="2" t="s">
        <v>438</v>
      </c>
      <c r="B424" s="3"/>
      <c r="C424" s="3"/>
      <c r="D424" s="3"/>
      <c r="E424" s="4" t="str">
        <f>HYPERLINK("https://dpmzos25m8ivg.cloudfront.net/Documentos/631/01387832689/6310138783268911092023161256.jpg","https://dpmzos25m8ivg.cloudfront.net/Documentos/631/01387832689/6310138783268911092023161256.jpg")</f>
        <v>https://dpmzos25m8ivg.cloudfront.net/Documentos/631/01387832689/6310138783268911092023161256.jpg</v>
      </c>
      <c r="F424" s="5" t="str">
        <f>HYPERLINK("https://dpmzos25m8ivg.cloudfront.net/Documentos/631/01387832689/6310138783268911092023163205.jpg","https://dpmzos25m8ivg.cloudfront.net/Documentos/631/01387832689/6310138783268911092023163205.jpg")</f>
        <v>https://dpmzos25m8ivg.cloudfront.net/Documentos/631/01387832689/6310138783268911092023163205.jpg</v>
      </c>
      <c r="G424" s="5" t="str">
        <f>HYPERLINK("https://dpmzos25m8ivg.cloudfront.net/Documentos/631/01387832689/6310138783268911092023161428.jpg","https://dpmzos25m8ivg.cloudfront.net/Documentos/631/01387832689/6310138783268911092023161428.jpg")</f>
        <v>https://dpmzos25m8ivg.cloudfront.net/Documentos/631/01387832689/6310138783268911092023161428.jpg</v>
      </c>
      <c r="H424" s="4" t="s">
        <v>9011</v>
      </c>
    </row>
    <row r="425" spans="1:8" x14ac:dyDescent="0.25">
      <c r="A425" s="2" t="s">
        <v>439</v>
      </c>
      <c r="B425" s="3"/>
      <c r="C425" s="3"/>
      <c r="D425" s="3"/>
      <c r="E425" s="4" t="str">
        <f>HYPERLINK("https://dpmzos25m8ivg.cloudfront.net/Documentos/631/01393986510/6310139398651006092023090215.pdf","https://dpmzos25m8ivg.cloudfront.net/Documentos/631/01393986510/6310139398651006092023090215.pdf")</f>
        <v>https://dpmzos25m8ivg.cloudfront.net/Documentos/631/01393986510/6310139398651006092023090215.pdf</v>
      </c>
      <c r="F425" s="5" t="str">
        <f>HYPERLINK("https://dpmzos25m8ivg.cloudfront.net/Documentos/631/01393986510/6310139398651006092023090235.pdf","https://dpmzos25m8ivg.cloudfront.net/Documentos/631/01393986510/6310139398651006092023090235.pdf")</f>
        <v>https://dpmzos25m8ivg.cloudfront.net/Documentos/631/01393986510/6310139398651006092023090235.pdf</v>
      </c>
      <c r="G425" s="5" t="str">
        <f>HYPERLINK("https://dpmzos25m8ivg.cloudfront.net/Documentos/631/01393986510/6310139398651006092023090243.pdf","https://dpmzos25m8ivg.cloudfront.net/Documentos/631/01393986510/6310139398651006092023090243.pdf")</f>
        <v>https://dpmzos25m8ivg.cloudfront.net/Documentos/631/01393986510/6310139398651006092023090243.pdf</v>
      </c>
      <c r="H425" s="4" t="s">
        <v>9012</v>
      </c>
    </row>
    <row r="426" spans="1:8" x14ac:dyDescent="0.25">
      <c r="A426" s="2" t="s">
        <v>440</v>
      </c>
      <c r="B426" s="3"/>
      <c r="C426" s="3"/>
      <c r="D426" s="3"/>
      <c r="E426" s="4" t="str">
        <f>HYPERLINK("https://dpmzos25m8ivg.cloudfront.net/Documentos/631/01396394389/6310139639438905092023100138.pdf","https://dpmzos25m8ivg.cloudfront.net/Documentos/631/01396394389/6310139639438905092023100138.pdf")</f>
        <v>https://dpmzos25m8ivg.cloudfront.net/Documentos/631/01396394389/6310139639438905092023100138.pdf</v>
      </c>
      <c r="F426" s="5" t="str">
        <f>HYPERLINK("https://dpmzos25m8ivg.cloudfront.net/Documentos/631/01396394389/6310139639438905092023100150.pdf","https://dpmzos25m8ivg.cloudfront.net/Documentos/631/01396394389/6310139639438905092023100150.pdf")</f>
        <v>https://dpmzos25m8ivg.cloudfront.net/Documentos/631/01396394389/6310139639438905092023100150.pdf</v>
      </c>
      <c r="G426" s="5" t="str">
        <f>HYPERLINK("https://dpmzos25m8ivg.cloudfront.net/Documentos/631/01396394389/6310139639438905092023100159.pdf","https://dpmzos25m8ivg.cloudfront.net/Documentos/631/01396394389/6310139639438905092023100159.pdf")</f>
        <v>https://dpmzos25m8ivg.cloudfront.net/Documentos/631/01396394389/6310139639438905092023100159.pdf</v>
      </c>
      <c r="H426" s="4" t="s">
        <v>9013</v>
      </c>
    </row>
    <row r="427" spans="1:8" x14ac:dyDescent="0.25">
      <c r="A427" s="2" t="s">
        <v>441</v>
      </c>
      <c r="B427" s="3"/>
      <c r="C427" s="3"/>
      <c r="D427" s="3"/>
      <c r="E427" s="4" t="str">
        <f>HYPERLINK("https://dpmzos25m8ivg.cloudfront.net/Documentos/631/01399804235/6310139980423514092023103302.pdf","https://dpmzos25m8ivg.cloudfront.net/Documentos/631/01399804235/6310139980423514092023103302.pdf")</f>
        <v>https://dpmzos25m8ivg.cloudfront.net/Documentos/631/01399804235/6310139980423514092023103302.pdf</v>
      </c>
      <c r="F427" s="5" t="str">
        <f>HYPERLINK("https://dpmzos25m8ivg.cloudfront.net/Documentos/631/01399804235/6310139980423514092023103309.pdf","https://dpmzos25m8ivg.cloudfront.net/Documentos/631/01399804235/6310139980423514092023103309.pdf")</f>
        <v>https://dpmzos25m8ivg.cloudfront.net/Documentos/631/01399804235/6310139980423514092023103309.pdf</v>
      </c>
      <c r="G427" s="5" t="str">
        <f>HYPERLINK("https://dpmzos25m8ivg.cloudfront.net/Documentos/631/01399804235/6310139980423514092023103318.pdf","https://dpmzos25m8ivg.cloudfront.net/Documentos/631/01399804235/6310139980423514092023103318.pdf")</f>
        <v>https://dpmzos25m8ivg.cloudfront.net/Documentos/631/01399804235/6310139980423514092023103318.pdf</v>
      </c>
      <c r="H427" s="4" t="s">
        <v>9014</v>
      </c>
    </row>
    <row r="428" spans="1:8" x14ac:dyDescent="0.25">
      <c r="A428" s="2" t="s">
        <v>442</v>
      </c>
      <c r="B428" s="3" t="s">
        <v>90</v>
      </c>
      <c r="C428" s="3"/>
      <c r="D428" s="3"/>
      <c r="E428" s="4" t="str">
        <f>HYPERLINK("https://dpmzos25m8ivg.cloudfront.net/Documentos/631/01400140200/6310140014020014092023141249.pdf","https://dpmzos25m8ivg.cloudfront.net/Documentos/631/01400140200/6310140014020014092023141249.pdf")</f>
        <v>https://dpmzos25m8ivg.cloudfront.net/Documentos/631/01400140200/6310140014020014092023141249.pdf</v>
      </c>
      <c r="F428" s="5" t="str">
        <f>HYPERLINK("https://dpmzos25m8ivg.cloudfront.net/Documentos/631/01400140200/6310140014020014092023141303.pdf","https://dpmzos25m8ivg.cloudfront.net/Documentos/631/01400140200/6310140014020014092023141303.pdf")</f>
        <v>https://dpmzos25m8ivg.cloudfront.net/Documentos/631/01400140200/6310140014020014092023141303.pdf</v>
      </c>
      <c r="G428" s="5" t="str">
        <f>HYPERLINK("https://dpmzos25m8ivg.cloudfront.net/Documentos/631/01400140200/6310140014020014092023141319.pdf","https://dpmzos25m8ivg.cloudfront.net/Documentos/631/01400140200/6310140014020014092023141319.pdf")</f>
        <v>https://dpmzos25m8ivg.cloudfront.net/Documentos/631/01400140200/6310140014020014092023141319.pdf</v>
      </c>
      <c r="H428" s="4" t="s">
        <v>9015</v>
      </c>
    </row>
    <row r="429" spans="1:8" x14ac:dyDescent="0.25">
      <c r="A429" s="2" t="s">
        <v>443</v>
      </c>
      <c r="B429" s="3"/>
      <c r="C429" s="3"/>
      <c r="D429" s="3"/>
      <c r="E429" s="4" t="str">
        <f>HYPERLINK("https://dpmzos25m8ivg.cloudfront.net/Documentos/631/01401587232/6310140158723211092023095842.pdf","https://dpmzos25m8ivg.cloudfront.net/Documentos/631/01401587232/6310140158723211092023095842.pdf")</f>
        <v>https://dpmzos25m8ivg.cloudfront.net/Documentos/631/01401587232/6310140158723211092023095842.pdf</v>
      </c>
      <c r="F429" s="5" t="str">
        <f>HYPERLINK("https://dpmzos25m8ivg.cloudfront.net/Documentos/631/01401587232/6310140158723211092023095858.pdf","https://dpmzos25m8ivg.cloudfront.net/Documentos/631/01401587232/6310140158723211092023095858.pdf")</f>
        <v>https://dpmzos25m8ivg.cloudfront.net/Documentos/631/01401587232/6310140158723211092023095858.pdf</v>
      </c>
      <c r="G429" s="5" t="str">
        <f>HYPERLINK("https://dpmzos25m8ivg.cloudfront.net/Documentos/631/01401587232/6310140158723211092023095931.pdf","https://dpmzos25m8ivg.cloudfront.net/Documentos/631/01401587232/6310140158723211092023095931.pdf")</f>
        <v>https://dpmzos25m8ivg.cloudfront.net/Documentos/631/01401587232/6310140158723211092023095931.pdf</v>
      </c>
      <c r="H429" s="4" t="s">
        <v>9016</v>
      </c>
    </row>
    <row r="430" spans="1:8" x14ac:dyDescent="0.25">
      <c r="A430" s="2" t="s">
        <v>444</v>
      </c>
      <c r="B430" s="3"/>
      <c r="C430" s="3"/>
      <c r="D430" s="3"/>
      <c r="E430" s="4" t="str">
        <f>HYPERLINK("https://dpmzos25m8ivg.cloudfront.net/Documentos/631/01402024045/6310140202404505092023164050.pdf","https://dpmzos25m8ivg.cloudfront.net/Documentos/631/01402024045/6310140202404505092023164050.pdf")</f>
        <v>https://dpmzos25m8ivg.cloudfront.net/Documentos/631/01402024045/6310140202404505092023164050.pdf</v>
      </c>
      <c r="F430" s="5" t="str">
        <f>HYPERLINK("https://dpmzos25m8ivg.cloudfront.net/Documentos/631/01402024045/6310140202404505092023164104.pdf","https://dpmzos25m8ivg.cloudfront.net/Documentos/631/01402024045/6310140202404505092023164104.pdf")</f>
        <v>https://dpmzos25m8ivg.cloudfront.net/Documentos/631/01402024045/6310140202404505092023164104.pdf</v>
      </c>
      <c r="G430" s="5" t="str">
        <f>HYPERLINK("https://dpmzos25m8ivg.cloudfront.net/Documentos/631/01402024045/6310140202404505092023164112.pdf","https://dpmzos25m8ivg.cloudfront.net/Documentos/631/01402024045/6310140202404505092023164112.pdf")</f>
        <v>https://dpmzos25m8ivg.cloudfront.net/Documentos/631/01402024045/6310140202404505092023164112.pdf</v>
      </c>
      <c r="H430" s="4" t="s">
        <v>9017</v>
      </c>
    </row>
    <row r="431" spans="1:8" x14ac:dyDescent="0.25">
      <c r="A431" s="2" t="s">
        <v>445</v>
      </c>
      <c r="B431" s="3"/>
      <c r="C431" s="3"/>
      <c r="D431" s="3"/>
      <c r="E431" s="4" t="str">
        <f>HYPERLINK("https://dpmzos25m8ivg.cloudfront.net/Documentos/631/01404435689/6310140443568907092023211840.jpeg","https://dpmzos25m8ivg.cloudfront.net/Documentos/631/01404435689/6310140443568907092023211840.jpeg")</f>
        <v>https://dpmzos25m8ivg.cloudfront.net/Documentos/631/01404435689/6310140443568907092023211840.jpeg</v>
      </c>
      <c r="F431" s="5" t="str">
        <f>HYPERLINK("https://dpmzos25m8ivg.cloudfront.net/Documentos/631/01404435689/6310140443568907092023211900.jpeg","https://dpmzos25m8ivg.cloudfront.net/Documentos/631/01404435689/6310140443568907092023211900.jpeg")</f>
        <v>https://dpmzos25m8ivg.cloudfront.net/Documentos/631/01404435689/6310140443568907092023211900.jpeg</v>
      </c>
      <c r="G431" s="5" t="str">
        <f>HYPERLINK("https://dpmzos25m8ivg.cloudfront.net/Documentos/631/01404435689/6310140443568907092023211916.jpeg","https://dpmzos25m8ivg.cloudfront.net/Documentos/631/01404435689/6310140443568907092023211916.jpeg")</f>
        <v>https://dpmzos25m8ivg.cloudfront.net/Documentos/631/01404435689/6310140443568907092023211916.jpeg</v>
      </c>
      <c r="H431" s="4" t="s">
        <v>9018</v>
      </c>
    </row>
    <row r="432" spans="1:8" x14ac:dyDescent="0.25">
      <c r="A432" s="2" t="s">
        <v>446</v>
      </c>
      <c r="B432" s="3"/>
      <c r="C432" s="3"/>
      <c r="D432" s="3"/>
      <c r="E432" s="4" t="str">
        <f>HYPERLINK("https://dpmzos25m8ivg.cloudfront.net/Documentos/631/01409660214/6310140966021405092023104819.pdf","https://dpmzos25m8ivg.cloudfront.net/Documentos/631/01409660214/6310140966021405092023104819.pdf")</f>
        <v>https://dpmzos25m8ivg.cloudfront.net/Documentos/631/01409660214/6310140966021405092023104819.pdf</v>
      </c>
      <c r="F432" s="5" t="str">
        <f>HYPERLINK("https://dpmzos25m8ivg.cloudfront.net/Documentos/631/01409660214/6310140966021405092023104830.pdf","https://dpmzos25m8ivg.cloudfront.net/Documentos/631/01409660214/6310140966021405092023104830.pdf")</f>
        <v>https://dpmzos25m8ivg.cloudfront.net/Documentos/631/01409660214/6310140966021405092023104830.pdf</v>
      </c>
      <c r="G432" s="5" t="str">
        <f>HYPERLINK("https://dpmzos25m8ivg.cloudfront.net/Documentos/631/01409660214/6310140966021405092023104845.pdf","https://dpmzos25m8ivg.cloudfront.net/Documentos/631/01409660214/6310140966021405092023104845.pdf")</f>
        <v>https://dpmzos25m8ivg.cloudfront.net/Documentos/631/01409660214/6310140966021405092023104845.pdf</v>
      </c>
      <c r="H432" s="4" t="s">
        <v>9019</v>
      </c>
    </row>
    <row r="433" spans="1:8" x14ac:dyDescent="0.25">
      <c r="A433" s="2" t="s">
        <v>447</v>
      </c>
      <c r="B433" s="3"/>
      <c r="C433" s="3"/>
      <c r="D433" s="3"/>
      <c r="E433" s="4" t="str">
        <f>HYPERLINK("https://dpmzos25m8ivg.cloudfront.net/Documentos/631/01419279173/6310141927917306092023100528.pdf","https://dpmzos25m8ivg.cloudfront.net/Documentos/631/01419279173/6310141927917306092023100528.pdf")</f>
        <v>https://dpmzos25m8ivg.cloudfront.net/Documentos/631/01419279173/6310141927917306092023100528.pdf</v>
      </c>
      <c r="F433" s="5" t="str">
        <f>HYPERLINK("https://dpmzos25m8ivg.cloudfront.net/Documentos/631/01419279173/6310141927917306092023100548.pdf","https://dpmzos25m8ivg.cloudfront.net/Documentos/631/01419279173/6310141927917306092023100548.pdf")</f>
        <v>https://dpmzos25m8ivg.cloudfront.net/Documentos/631/01419279173/6310141927917306092023100548.pdf</v>
      </c>
      <c r="G433" s="5" t="str">
        <f>HYPERLINK("https://dpmzos25m8ivg.cloudfront.net/Documentos/631/01419279173/6310141927917306092023100608.pdf","https://dpmzos25m8ivg.cloudfront.net/Documentos/631/01419279173/6310141927917306092023100608.pdf")</f>
        <v>https://dpmzos25m8ivg.cloudfront.net/Documentos/631/01419279173/6310141927917306092023100608.pdf</v>
      </c>
      <c r="H433" s="4" t="s">
        <v>9020</v>
      </c>
    </row>
    <row r="434" spans="1:8" x14ac:dyDescent="0.25">
      <c r="A434" s="2" t="s">
        <v>448</v>
      </c>
      <c r="B434" s="3"/>
      <c r="C434" s="3"/>
      <c r="D434" s="3"/>
      <c r="E434" s="4" t="str">
        <f>HYPERLINK("https://dpmzos25m8ivg.cloudfront.net/Documentos/631/01421363445/6310142136344505092023105352.pdf","https://dpmzos25m8ivg.cloudfront.net/Documentos/631/01421363445/6310142136344505092023105352.pdf")</f>
        <v>https://dpmzos25m8ivg.cloudfront.net/Documentos/631/01421363445/6310142136344505092023105352.pdf</v>
      </c>
      <c r="F434" s="5" t="str">
        <f>HYPERLINK("https://dpmzos25m8ivg.cloudfront.net/Documentos/631/01421363445/6310142136344505092023105346.pdf","https://dpmzos25m8ivg.cloudfront.net/Documentos/631/01421363445/6310142136344505092023105346.pdf")</f>
        <v>https://dpmzos25m8ivg.cloudfront.net/Documentos/631/01421363445/6310142136344505092023105346.pdf</v>
      </c>
      <c r="G434" s="5" t="str">
        <f>HYPERLINK("https://dpmzos25m8ivg.cloudfront.net/Documentos/631/01421363445/6310142136344505092023105341.pdf","https://dpmzos25m8ivg.cloudfront.net/Documentos/631/01421363445/6310142136344505092023105341.pdf")</f>
        <v>https://dpmzos25m8ivg.cloudfront.net/Documentos/631/01421363445/6310142136344505092023105341.pdf</v>
      </c>
      <c r="H434" s="4" t="s">
        <v>9021</v>
      </c>
    </row>
    <row r="435" spans="1:8" x14ac:dyDescent="0.25">
      <c r="A435" s="2" t="s">
        <v>449</v>
      </c>
      <c r="B435" s="3" t="s">
        <v>8</v>
      </c>
      <c r="C435" s="3"/>
      <c r="D435" s="3"/>
      <c r="E435" s="4" t="str">
        <f>HYPERLINK("https://dpmzos25m8ivg.cloudfront.net/Documentos/631/01423957229/6310142395722908092023151620.pdf","https://dpmzos25m8ivg.cloudfront.net/Documentos/631/01423957229/6310142395722908092023151620.pdf")</f>
        <v>https://dpmzos25m8ivg.cloudfront.net/Documentos/631/01423957229/6310142395722908092023151620.pdf</v>
      </c>
      <c r="F435" s="5" t="str">
        <f>HYPERLINK("https://dpmzos25m8ivg.cloudfront.net/Documentos/631/01423957229/6310142395722908092023151630.pdf","https://dpmzos25m8ivg.cloudfront.net/Documentos/631/01423957229/6310142395722908092023151630.pdf")</f>
        <v>https://dpmzos25m8ivg.cloudfront.net/Documentos/631/01423957229/6310142395722908092023151630.pdf</v>
      </c>
      <c r="G435" s="5" t="str">
        <f>HYPERLINK("https://dpmzos25m8ivg.cloudfront.net/Documentos/631/01423957229/6310142395722908092023151554.pdf","https://dpmzos25m8ivg.cloudfront.net/Documentos/631/01423957229/6310142395722908092023151554.pdf")</f>
        <v>https://dpmzos25m8ivg.cloudfront.net/Documentos/631/01423957229/6310142395722908092023151554.pdf</v>
      </c>
      <c r="H435" s="4" t="s">
        <v>9022</v>
      </c>
    </row>
    <row r="436" spans="1:8" x14ac:dyDescent="0.25">
      <c r="A436" s="2" t="s">
        <v>450</v>
      </c>
      <c r="B436" s="3" t="s">
        <v>42</v>
      </c>
      <c r="C436" s="3"/>
      <c r="D436" s="3"/>
      <c r="E436" s="4" t="str">
        <f>HYPERLINK("https://dpmzos25m8ivg.cloudfront.net/Documentos/631/01424252490/6310142425249007092023072612.pdf","https://dpmzos25m8ivg.cloudfront.net/Documentos/631/01424252490/6310142425249007092023072612.pdf")</f>
        <v>https://dpmzos25m8ivg.cloudfront.net/Documentos/631/01424252490/6310142425249007092023072612.pdf</v>
      </c>
      <c r="F436" s="5" t="str">
        <f>HYPERLINK("https://dpmzos25m8ivg.cloudfront.net/Documentos/631/01424252490/6310142425249007092023072632.pdf","https://dpmzos25m8ivg.cloudfront.net/Documentos/631/01424252490/6310142425249007092023072632.pdf")</f>
        <v>https://dpmzos25m8ivg.cloudfront.net/Documentos/631/01424252490/6310142425249007092023072632.pdf</v>
      </c>
      <c r="G436" s="5" t="str">
        <f>HYPERLINK("https://dpmzos25m8ivg.cloudfront.net/Documentos/631/01424252490/6310142425249007092023072644.pdf","https://dpmzos25m8ivg.cloudfront.net/Documentos/631/01424252490/6310142425249007092023072644.pdf")</f>
        <v>https://dpmzos25m8ivg.cloudfront.net/Documentos/631/01424252490/6310142425249007092023072644.pdf</v>
      </c>
      <c r="H436" s="4" t="s">
        <v>9023</v>
      </c>
    </row>
    <row r="437" spans="1:8" x14ac:dyDescent="0.25">
      <c r="A437" s="2" t="s">
        <v>451</v>
      </c>
      <c r="B437" s="3"/>
      <c r="C437" s="3"/>
      <c r="D437" s="3"/>
      <c r="E437" s="4" t="str">
        <f>HYPERLINK("https://dpmzos25m8ivg.cloudfront.net/Documentos/631/01429938242/6310142993824205092023213543.pdf","https://dpmzos25m8ivg.cloudfront.net/Documentos/631/01429938242/6310142993824205092023213543.pdf")</f>
        <v>https://dpmzos25m8ivg.cloudfront.net/Documentos/631/01429938242/6310142993824205092023213543.pdf</v>
      </c>
      <c r="F437" s="5" t="str">
        <f>HYPERLINK("https://dpmzos25m8ivg.cloudfront.net/Documentos/631/01429938242/6310142993824205092023213605.pdf","https://dpmzos25m8ivg.cloudfront.net/Documentos/631/01429938242/6310142993824205092023213605.pdf")</f>
        <v>https://dpmzos25m8ivg.cloudfront.net/Documentos/631/01429938242/6310142993824205092023213605.pdf</v>
      </c>
      <c r="G437" s="5" t="str">
        <f>HYPERLINK("https://dpmzos25m8ivg.cloudfront.net/Documentos/631/01429938242/6310142993824205092023213621.pdf","https://dpmzos25m8ivg.cloudfront.net/Documentos/631/01429938242/6310142993824205092023213621.pdf")</f>
        <v>https://dpmzos25m8ivg.cloudfront.net/Documentos/631/01429938242/6310142993824205092023213621.pdf</v>
      </c>
      <c r="H437" s="4" t="s">
        <v>9024</v>
      </c>
    </row>
    <row r="438" spans="1:8" x14ac:dyDescent="0.25">
      <c r="A438" s="2" t="s">
        <v>452</v>
      </c>
      <c r="B438" s="3"/>
      <c r="C438" s="3"/>
      <c r="D438" s="3"/>
      <c r="E438" s="4" t="str">
        <f>HYPERLINK("https://dpmzos25m8ivg.cloudfront.net/Documentos/631/01432914677/6310143291467709092023101617.jpeg","https://dpmzos25m8ivg.cloudfront.net/Documentos/631/01432914677/6310143291467709092023101617.jpeg")</f>
        <v>https://dpmzos25m8ivg.cloudfront.net/Documentos/631/01432914677/6310143291467709092023101617.jpeg</v>
      </c>
      <c r="F438" s="5" t="str">
        <f>HYPERLINK("https://dpmzos25m8ivg.cloudfront.net/Documentos/631/01432914677/6310143291467709092023101639.jpeg","https://dpmzos25m8ivg.cloudfront.net/Documentos/631/01432914677/6310143291467709092023101639.jpeg")</f>
        <v>https://dpmzos25m8ivg.cloudfront.net/Documentos/631/01432914677/6310143291467709092023101639.jpeg</v>
      </c>
      <c r="G438" s="5" t="str">
        <f>HYPERLINK("https://dpmzos25m8ivg.cloudfront.net/Documentos/631/01432914677/6310143291467709092023101700.jpeg","https://dpmzos25m8ivg.cloudfront.net/Documentos/631/01432914677/6310143291467709092023101700.jpeg")</f>
        <v>https://dpmzos25m8ivg.cloudfront.net/Documentos/631/01432914677/6310143291467709092023101700.jpeg</v>
      </c>
      <c r="H438" s="4" t="s">
        <v>9025</v>
      </c>
    </row>
    <row r="439" spans="1:8" x14ac:dyDescent="0.25">
      <c r="A439" s="2" t="s">
        <v>453</v>
      </c>
      <c r="B439" s="3" t="s">
        <v>8</v>
      </c>
      <c r="C439" s="3"/>
      <c r="D439" s="3"/>
      <c r="E439" s="4" t="str">
        <f>HYPERLINK("https://dpmzos25m8ivg.cloudfront.net/Documentos/631/01433557169/6310143355716905092023110643.pdf","https://dpmzos25m8ivg.cloudfront.net/Documentos/631/01433557169/6310143355716905092023110643.pdf")</f>
        <v>https://dpmzos25m8ivg.cloudfront.net/Documentos/631/01433557169/6310143355716905092023110643.pdf</v>
      </c>
      <c r="F439" s="5" t="str">
        <f>HYPERLINK("https://dpmzos25m8ivg.cloudfront.net/Documentos/631/01433557169/6310143355716905092023110942.pdf","https://dpmzos25m8ivg.cloudfront.net/Documentos/631/01433557169/6310143355716905092023110942.pdf")</f>
        <v>https://dpmzos25m8ivg.cloudfront.net/Documentos/631/01433557169/6310143355716905092023110942.pdf</v>
      </c>
      <c r="G439" s="5" t="str">
        <f>HYPERLINK("https://dpmzos25m8ivg.cloudfront.net/Documentos/631/01433557169/6310143355716905092023111006.pdf","https://dpmzos25m8ivg.cloudfront.net/Documentos/631/01433557169/6310143355716905092023111006.pdf")</f>
        <v>https://dpmzos25m8ivg.cloudfront.net/Documentos/631/01433557169/6310143355716905092023111006.pdf</v>
      </c>
      <c r="H439" s="4" t="s">
        <v>9026</v>
      </c>
    </row>
    <row r="440" spans="1:8" x14ac:dyDescent="0.25">
      <c r="A440" s="2" t="s">
        <v>454</v>
      </c>
      <c r="B440" s="3"/>
      <c r="C440" s="3"/>
      <c r="D440" s="3"/>
      <c r="E440" s="4" t="str">
        <f>HYPERLINK("https://dpmzos25m8ivg.cloudfront.net/Documentos/631/01441915630/6310144191563011092023141357.pdf","https://dpmzos25m8ivg.cloudfront.net/Documentos/631/01441915630/6310144191563011092023141357.pdf")</f>
        <v>https://dpmzos25m8ivg.cloudfront.net/Documentos/631/01441915630/6310144191563011092023141357.pdf</v>
      </c>
      <c r="F440" s="5" t="str">
        <f>HYPERLINK("https://dpmzos25m8ivg.cloudfront.net/Documentos/631/01441915630/6310144191563011092023141424.pdf","https://dpmzos25m8ivg.cloudfront.net/Documentos/631/01441915630/6310144191563011092023141424.pdf")</f>
        <v>https://dpmzos25m8ivg.cloudfront.net/Documentos/631/01441915630/6310144191563011092023141424.pdf</v>
      </c>
      <c r="G440" s="5" t="str">
        <f>HYPERLINK("https://dpmzos25m8ivg.cloudfront.net/Documentos/631/01441915630/6310144191563011092023141441.pdf","https://dpmzos25m8ivg.cloudfront.net/Documentos/631/01441915630/6310144191563011092023141441.pdf")</f>
        <v>https://dpmzos25m8ivg.cloudfront.net/Documentos/631/01441915630/6310144191563011092023141441.pdf</v>
      </c>
      <c r="H440" s="4" t="s">
        <v>9027</v>
      </c>
    </row>
    <row r="441" spans="1:8" x14ac:dyDescent="0.25">
      <c r="A441" s="2" t="s">
        <v>455</v>
      </c>
      <c r="B441" s="3" t="s">
        <v>8</v>
      </c>
      <c r="C441" s="3"/>
      <c r="D441" s="3"/>
      <c r="E441" s="4" t="str">
        <f>HYPERLINK("https://dpmzos25m8ivg.cloudfront.net/Documentos/631/01443845159/6310144384515910092023220836.pdf","https://dpmzos25m8ivg.cloudfront.net/Documentos/631/01443845159/6310144384515910092023220836.pdf")</f>
        <v>https://dpmzos25m8ivg.cloudfront.net/Documentos/631/01443845159/6310144384515910092023220836.pdf</v>
      </c>
      <c r="F441" s="5" t="str">
        <f>HYPERLINK("https://dpmzos25m8ivg.cloudfront.net/Documentos/631/01443845159/6310144384515910092023220905.pdf","https://dpmzos25m8ivg.cloudfront.net/Documentos/631/01443845159/6310144384515910092023220905.pdf")</f>
        <v>https://dpmzos25m8ivg.cloudfront.net/Documentos/631/01443845159/6310144384515910092023220905.pdf</v>
      </c>
      <c r="G441" s="5" t="str">
        <f>HYPERLINK("https://dpmzos25m8ivg.cloudfront.net/Documentos/631/01443845159/6310144384515910092023220925.pdf","https://dpmzos25m8ivg.cloudfront.net/Documentos/631/01443845159/6310144384515910092023220925.pdf")</f>
        <v>https://dpmzos25m8ivg.cloudfront.net/Documentos/631/01443845159/6310144384515910092023220925.pdf</v>
      </c>
      <c r="H441" s="4" t="s">
        <v>9028</v>
      </c>
    </row>
    <row r="442" spans="1:8" x14ac:dyDescent="0.25">
      <c r="A442" s="2" t="s">
        <v>456</v>
      </c>
      <c r="B442" s="3" t="s">
        <v>8</v>
      </c>
      <c r="C442" s="3"/>
      <c r="D442" s="3"/>
      <c r="E442" s="4" t="str">
        <f>HYPERLINK("https://dpmzos25m8ivg.cloudfront.net/Documentos/631/01446411788/6310144641178811092023073846.pdf","https://dpmzos25m8ivg.cloudfront.net/Documentos/631/01446411788/6310144641178811092023073846.pdf")</f>
        <v>https://dpmzos25m8ivg.cloudfront.net/Documentos/631/01446411788/6310144641178811092023073846.pdf</v>
      </c>
      <c r="F442" s="5" t="str">
        <f>HYPERLINK("https://dpmzos25m8ivg.cloudfront.net/Documentos/631/01446411788/6310144641178811092023073914.pdf","https://dpmzos25m8ivg.cloudfront.net/Documentos/631/01446411788/6310144641178811092023073914.pdf")</f>
        <v>https://dpmzos25m8ivg.cloudfront.net/Documentos/631/01446411788/6310144641178811092023073914.pdf</v>
      </c>
      <c r="G442" s="5" t="str">
        <f>HYPERLINK("https://dpmzos25m8ivg.cloudfront.net/Documentos/631/01446411788/6310144641178811092023073947.pdf","https://dpmzos25m8ivg.cloudfront.net/Documentos/631/01446411788/6310144641178811092023073947.pdf")</f>
        <v>https://dpmzos25m8ivg.cloudfront.net/Documentos/631/01446411788/6310144641178811092023073947.pdf</v>
      </c>
      <c r="H442" s="4" t="s">
        <v>9029</v>
      </c>
    </row>
    <row r="443" spans="1:8" x14ac:dyDescent="0.25">
      <c r="A443" s="2" t="s">
        <v>457</v>
      </c>
      <c r="B443" s="3"/>
      <c r="C443" s="3"/>
      <c r="D443" s="3"/>
      <c r="E443" s="4" t="str">
        <f>HYPERLINK("https://dpmzos25m8ivg.cloudfront.net/Documentos/631/01446866513/6310144686651309092023212042.jpg","https://dpmzos25m8ivg.cloudfront.net/Documentos/631/01446866513/6310144686651309092023212042.jpg")</f>
        <v>https://dpmzos25m8ivg.cloudfront.net/Documentos/631/01446866513/6310144686651309092023212042.jpg</v>
      </c>
      <c r="F443" s="5" t="str">
        <f>HYPERLINK("https://dpmzos25m8ivg.cloudfront.net/Documentos/631/01446866513/6310144686651309092023212054.jpg","https://dpmzos25m8ivg.cloudfront.net/Documentos/631/01446866513/6310144686651309092023212054.jpg")</f>
        <v>https://dpmzos25m8ivg.cloudfront.net/Documentos/631/01446866513/6310144686651309092023212054.jpg</v>
      </c>
      <c r="G443" s="5" t="str">
        <f>HYPERLINK("https://dpmzos25m8ivg.cloudfront.net/Documentos/631/01446866513/6310144686651309092023212107.jpg","https://dpmzos25m8ivg.cloudfront.net/Documentos/631/01446866513/6310144686651309092023212107.jpg")</f>
        <v>https://dpmzos25m8ivg.cloudfront.net/Documentos/631/01446866513/6310144686651309092023212107.jpg</v>
      </c>
      <c r="H443" s="4" t="s">
        <v>9030</v>
      </c>
    </row>
    <row r="444" spans="1:8" x14ac:dyDescent="0.25">
      <c r="A444" s="2" t="s">
        <v>458</v>
      </c>
      <c r="B444" s="3"/>
      <c r="C444" s="3"/>
      <c r="D444" s="3"/>
      <c r="E444" s="4" t="str">
        <f>HYPERLINK("https://dpmzos25m8ivg.cloudfront.net/Documentos/631/01447950607/6310144795060706092023142137.pdf","https://dpmzos25m8ivg.cloudfront.net/Documentos/631/01447950607/6310144795060706092023142137.pdf")</f>
        <v>https://dpmzos25m8ivg.cloudfront.net/Documentos/631/01447950607/6310144795060706092023142137.pdf</v>
      </c>
      <c r="F444" s="5" t="str">
        <f>HYPERLINK("https://dpmzos25m8ivg.cloudfront.net/Documentos/631/01447950607/6310144795060706092023142156.pdf","https://dpmzos25m8ivg.cloudfront.net/Documentos/631/01447950607/6310144795060706092023142156.pdf")</f>
        <v>https://dpmzos25m8ivg.cloudfront.net/Documentos/631/01447950607/6310144795060706092023142156.pdf</v>
      </c>
      <c r="G444" s="5" t="str">
        <f>HYPERLINK("https://dpmzos25m8ivg.cloudfront.net/Documentos/631/01447950607/6310144795060706092023142218.pdf","https://dpmzos25m8ivg.cloudfront.net/Documentos/631/01447950607/6310144795060706092023142218.pdf")</f>
        <v>https://dpmzos25m8ivg.cloudfront.net/Documentos/631/01447950607/6310144795060706092023142218.pdf</v>
      </c>
      <c r="H444" s="4" t="s">
        <v>9031</v>
      </c>
    </row>
    <row r="445" spans="1:8" x14ac:dyDescent="0.25">
      <c r="A445" s="2" t="s">
        <v>459</v>
      </c>
      <c r="B445" s="3" t="s">
        <v>8</v>
      </c>
      <c r="C445" s="3"/>
      <c r="D445" s="3"/>
      <c r="E445" s="4" t="str">
        <f>HYPERLINK("https://dpmzos25m8ivg.cloudfront.net/Documentos/631/01448847559/6310144884755913092023144820.pdf","https://dpmzos25m8ivg.cloudfront.net/Documentos/631/01448847559/6310144884755913092023144820.pdf")</f>
        <v>https://dpmzos25m8ivg.cloudfront.net/Documentos/631/01448847559/6310144884755913092023144820.pdf</v>
      </c>
      <c r="F445" s="5" t="str">
        <f>HYPERLINK("https://dpmzos25m8ivg.cloudfront.net/Documentos/631/01448847559/6310144884755913092023144904.pdf","https://dpmzos25m8ivg.cloudfront.net/Documentos/631/01448847559/6310144884755913092023144904.pdf")</f>
        <v>https://dpmzos25m8ivg.cloudfront.net/Documentos/631/01448847559/6310144884755913092023144904.pdf</v>
      </c>
      <c r="G445" s="5" t="str">
        <f>HYPERLINK("https://dpmzos25m8ivg.cloudfront.net/Documentos/631/01448847559/6310144884755913092023145628.pdf","https://dpmzos25m8ivg.cloudfront.net/Documentos/631/01448847559/6310144884755913092023145628.pdf")</f>
        <v>https://dpmzos25m8ivg.cloudfront.net/Documentos/631/01448847559/6310144884755913092023145628.pdf</v>
      </c>
      <c r="H445" s="4" t="s">
        <v>9032</v>
      </c>
    </row>
    <row r="446" spans="1:8" x14ac:dyDescent="0.25">
      <c r="A446" s="2" t="s">
        <v>460</v>
      </c>
      <c r="B446" s="3"/>
      <c r="C446" s="3"/>
      <c r="D446" s="3"/>
      <c r="E446" s="4" t="str">
        <f>HYPERLINK("https://dpmzos25m8ivg.cloudfront.net/Documentos/631/01450642047/6310145064204709092023182659.pdf","https://dpmzos25m8ivg.cloudfront.net/Documentos/631/01450642047/6310145064204709092023182659.pdf")</f>
        <v>https://dpmzos25m8ivg.cloudfront.net/Documentos/631/01450642047/6310145064204709092023182659.pdf</v>
      </c>
      <c r="F446" s="5" t="str">
        <f>HYPERLINK("https://dpmzos25m8ivg.cloudfront.net/Documentos/631/01450642047/6310145064204709092023182729.pdf","https://dpmzos25m8ivg.cloudfront.net/Documentos/631/01450642047/6310145064204709092023182729.pdf")</f>
        <v>https://dpmzos25m8ivg.cloudfront.net/Documentos/631/01450642047/6310145064204709092023182729.pdf</v>
      </c>
      <c r="G446" s="5" t="str">
        <f>HYPERLINK("https://dpmzos25m8ivg.cloudfront.net/Documentos/631/01450642047/6310145064204709092023182801.pdf","https://dpmzos25m8ivg.cloudfront.net/Documentos/631/01450642047/6310145064204709092023182801.pdf")</f>
        <v>https://dpmzos25m8ivg.cloudfront.net/Documentos/631/01450642047/6310145064204709092023182801.pdf</v>
      </c>
      <c r="H446" s="4" t="s">
        <v>9033</v>
      </c>
    </row>
    <row r="447" spans="1:8" x14ac:dyDescent="0.25">
      <c r="A447" s="2" t="s">
        <v>461</v>
      </c>
      <c r="B447" s="3"/>
      <c r="C447" s="3"/>
      <c r="D447" s="3"/>
      <c r="E447" s="4" t="str">
        <f>HYPERLINK("https://dpmzos25m8ivg.cloudfront.net/Documentos/631/01454589540/6310145458954013092023125831.pdf","https://dpmzos25m8ivg.cloudfront.net/Documentos/631/01454589540/6310145458954013092023125831.pdf")</f>
        <v>https://dpmzos25m8ivg.cloudfront.net/Documentos/631/01454589540/6310145458954013092023125831.pdf</v>
      </c>
      <c r="F447" s="5" t="str">
        <f>HYPERLINK("https://dpmzos25m8ivg.cloudfront.net/Documentos/631/01454589540/6310145458954013092023125910.pdf","https://dpmzos25m8ivg.cloudfront.net/Documentos/631/01454589540/6310145458954013092023125910.pdf")</f>
        <v>https://dpmzos25m8ivg.cloudfront.net/Documentos/631/01454589540/6310145458954013092023125910.pdf</v>
      </c>
      <c r="G447" s="5" t="str">
        <f>HYPERLINK("https://dpmzos25m8ivg.cloudfront.net/Documentos/631/01454589540/6310145458954013092023125937.pdf","https://dpmzos25m8ivg.cloudfront.net/Documentos/631/01454589540/6310145458954013092023125937.pdf")</f>
        <v>https://dpmzos25m8ivg.cloudfront.net/Documentos/631/01454589540/6310145458954013092023125937.pdf</v>
      </c>
      <c r="H447" s="4" t="s">
        <v>9034</v>
      </c>
    </row>
    <row r="448" spans="1:8" x14ac:dyDescent="0.25">
      <c r="A448" s="2" t="s">
        <v>462</v>
      </c>
      <c r="B448" s="3"/>
      <c r="C448" s="3"/>
      <c r="D448" s="3"/>
      <c r="E448" s="4" t="str">
        <f>HYPERLINK("https://dpmzos25m8ivg.cloudfront.net/Documentos/631/01456142208/6310145614220811092023081934.jpeg","https://dpmzos25m8ivg.cloudfront.net/Documentos/631/01456142208/6310145614220811092023081934.jpeg")</f>
        <v>https://dpmzos25m8ivg.cloudfront.net/Documentos/631/01456142208/6310145614220811092023081934.jpeg</v>
      </c>
      <c r="F448" s="5" t="str">
        <f>HYPERLINK("https://dpmzos25m8ivg.cloudfront.net/Documentos/631/01456142208/6310145614220811092023081912.jpeg","https://dpmzos25m8ivg.cloudfront.net/Documentos/631/01456142208/6310145614220811092023081912.jpeg")</f>
        <v>https://dpmzos25m8ivg.cloudfront.net/Documentos/631/01456142208/6310145614220811092023081912.jpeg</v>
      </c>
      <c r="G448" s="5" t="str">
        <f>HYPERLINK("https://dpmzos25m8ivg.cloudfront.net/Documentos/631/01456142208/6310145614220811092023081846.jpeg","https://dpmzos25m8ivg.cloudfront.net/Documentos/631/01456142208/6310145614220811092023081846.jpeg")</f>
        <v>https://dpmzos25m8ivg.cloudfront.net/Documentos/631/01456142208/6310145614220811092023081846.jpeg</v>
      </c>
      <c r="H448" s="4" t="s">
        <v>9035</v>
      </c>
    </row>
    <row r="449" spans="1:8" x14ac:dyDescent="0.25">
      <c r="A449" s="2" t="s">
        <v>463</v>
      </c>
      <c r="B449" s="3"/>
      <c r="C449" s="3"/>
      <c r="D449" s="3"/>
      <c r="E449" s="4" t="str">
        <f>HYPERLINK("https://dpmzos25m8ivg.cloudfront.net/Documentos/631/01458938123/6310145893812305092023214555.pdf","https://dpmzos25m8ivg.cloudfront.net/Documentos/631/01458938123/6310145893812305092023214555.pdf")</f>
        <v>https://dpmzos25m8ivg.cloudfront.net/Documentos/631/01458938123/6310145893812305092023214555.pdf</v>
      </c>
      <c r="F449" s="5" t="str">
        <f>HYPERLINK("https://dpmzos25m8ivg.cloudfront.net/Documentos/631/01458938123/6310145893812305092023214604.pdf","https://dpmzos25m8ivg.cloudfront.net/Documentos/631/01458938123/6310145893812305092023214604.pdf")</f>
        <v>https://dpmzos25m8ivg.cloudfront.net/Documentos/631/01458938123/6310145893812305092023214604.pdf</v>
      </c>
      <c r="G449" s="5" t="str">
        <f>HYPERLINK("https://dpmzos25m8ivg.cloudfront.net/Documentos/631/01458938123/6310145893812305092023214614.pdf","https://dpmzos25m8ivg.cloudfront.net/Documentos/631/01458938123/6310145893812305092023214614.pdf")</f>
        <v>https://dpmzos25m8ivg.cloudfront.net/Documentos/631/01458938123/6310145893812305092023214614.pdf</v>
      </c>
      <c r="H449" s="4" t="s">
        <v>9036</v>
      </c>
    </row>
    <row r="450" spans="1:8" x14ac:dyDescent="0.25">
      <c r="A450" s="2" t="s">
        <v>464</v>
      </c>
      <c r="B450" s="3"/>
      <c r="C450" s="3"/>
      <c r="D450" s="3"/>
      <c r="E450" s="4" t="str">
        <f>HYPERLINK("https://dpmzos25m8ivg.cloudfront.net/Documentos/631/01465935290/6310146593529013092023132002.pdf","https://dpmzos25m8ivg.cloudfront.net/Documentos/631/01465935290/6310146593529013092023132002.pdf")</f>
        <v>https://dpmzos25m8ivg.cloudfront.net/Documentos/631/01465935290/6310146593529013092023132002.pdf</v>
      </c>
      <c r="F450" s="5" t="str">
        <f>HYPERLINK("https://dpmzos25m8ivg.cloudfront.net/Documentos/631/01465935290/6310146593529013092023132033.pdf","https://dpmzos25m8ivg.cloudfront.net/Documentos/631/01465935290/6310146593529013092023132033.pdf")</f>
        <v>https://dpmzos25m8ivg.cloudfront.net/Documentos/631/01465935290/6310146593529013092023132033.pdf</v>
      </c>
      <c r="G450" s="5" t="str">
        <f>HYPERLINK("https://dpmzos25m8ivg.cloudfront.net/Documentos/631/01465935290/6310146593529013092023132109.pdf","https://dpmzos25m8ivg.cloudfront.net/Documentos/631/01465935290/6310146593529013092023132109.pdf")</f>
        <v>https://dpmzos25m8ivg.cloudfront.net/Documentos/631/01465935290/6310146593529013092023132109.pdf</v>
      </c>
      <c r="H450" s="4" t="s">
        <v>9037</v>
      </c>
    </row>
    <row r="451" spans="1:8" x14ac:dyDescent="0.25">
      <c r="A451" s="2" t="s">
        <v>465</v>
      </c>
      <c r="B451" s="3"/>
      <c r="C451" s="3"/>
      <c r="D451" s="3"/>
      <c r="E451" s="4" t="str">
        <f>HYPERLINK("https://dpmzos25m8ivg.cloudfront.net/Documentos/631/01470464080/6310147046408011092023132445.jpeg","https://dpmzos25m8ivg.cloudfront.net/Documentos/631/01470464080/6310147046408011092023132445.jpeg")</f>
        <v>https://dpmzos25m8ivg.cloudfront.net/Documentos/631/01470464080/6310147046408011092023132445.jpeg</v>
      </c>
      <c r="F451" s="5" t="str">
        <f>HYPERLINK("https://dpmzos25m8ivg.cloudfront.net/Documentos/631/01470464080/6310147046408011092023132459.jpeg","https://dpmzos25m8ivg.cloudfront.net/Documentos/631/01470464080/6310147046408011092023132459.jpeg")</f>
        <v>https://dpmzos25m8ivg.cloudfront.net/Documentos/631/01470464080/6310147046408011092023132459.jpeg</v>
      </c>
      <c r="G451" s="5" t="str">
        <f>HYPERLINK("https://dpmzos25m8ivg.cloudfront.net/Documentos/631/01470464080/6310147046408011092023132513.jpeg","https://dpmzos25m8ivg.cloudfront.net/Documentos/631/01470464080/6310147046408011092023132513.jpeg")</f>
        <v>https://dpmzos25m8ivg.cloudfront.net/Documentos/631/01470464080/6310147046408011092023132513.jpeg</v>
      </c>
      <c r="H451" s="4" t="s">
        <v>9038</v>
      </c>
    </row>
    <row r="452" spans="1:8" x14ac:dyDescent="0.25">
      <c r="A452" s="2" t="s">
        <v>466</v>
      </c>
      <c r="B452" s="3"/>
      <c r="C452" s="3"/>
      <c r="D452" s="3"/>
      <c r="E452" s="4" t="str">
        <f>HYPERLINK("https://dpmzos25m8ivg.cloudfront.net/Documentos/631/01478107600/6310147810760010092023130943.pdf","https://dpmzos25m8ivg.cloudfront.net/Documentos/631/01478107600/6310147810760010092023130943.pdf")</f>
        <v>https://dpmzos25m8ivg.cloudfront.net/Documentos/631/01478107600/6310147810760010092023130943.pdf</v>
      </c>
      <c r="F452" s="5" t="str">
        <f>HYPERLINK("https://dpmzos25m8ivg.cloudfront.net/Documentos/631/01478107600/6310147810760010092023130953.pdf","https://dpmzos25m8ivg.cloudfront.net/Documentos/631/01478107600/6310147810760010092023130953.pdf")</f>
        <v>https://dpmzos25m8ivg.cloudfront.net/Documentos/631/01478107600/6310147810760010092023130953.pdf</v>
      </c>
      <c r="G452" s="5" t="str">
        <f>HYPERLINK("https://dpmzos25m8ivg.cloudfront.net/Documentos/631/01478107600/6310147810760010092023131004.pdf","https://dpmzos25m8ivg.cloudfront.net/Documentos/631/01478107600/6310147810760010092023131004.pdf")</f>
        <v>https://dpmzos25m8ivg.cloudfront.net/Documentos/631/01478107600/6310147810760010092023131004.pdf</v>
      </c>
      <c r="H452" s="4" t="s">
        <v>9039</v>
      </c>
    </row>
    <row r="453" spans="1:8" x14ac:dyDescent="0.25">
      <c r="A453" s="2" t="s">
        <v>467</v>
      </c>
      <c r="B453" s="3" t="s">
        <v>42</v>
      </c>
      <c r="C453" s="3"/>
      <c r="D453" s="3"/>
      <c r="E453" s="4" t="str">
        <f>HYPERLINK("https://dpmzos25m8ivg.cloudfront.net/Documentos/631/01485673127/6310148567312708092023105912.jpg","https://dpmzos25m8ivg.cloudfront.net/Documentos/631/01485673127/6310148567312708092023105912.jpg")</f>
        <v>https://dpmzos25m8ivg.cloudfront.net/Documentos/631/01485673127/6310148567312708092023105912.jpg</v>
      </c>
      <c r="F453" s="5" t="str">
        <f>HYPERLINK("https://dpmzos25m8ivg.cloudfront.net/Documentos/631/01485673127/6310148567312708092023105923.jpg","https://dpmzos25m8ivg.cloudfront.net/Documentos/631/01485673127/6310148567312708092023105923.jpg")</f>
        <v>https://dpmzos25m8ivg.cloudfront.net/Documentos/631/01485673127/6310148567312708092023105923.jpg</v>
      </c>
      <c r="G453" s="5" t="str">
        <f>HYPERLINK("https://dpmzos25m8ivg.cloudfront.net/Documentos/631/01485673127/6310148567312708092023105934.jpg","https://dpmzos25m8ivg.cloudfront.net/Documentos/631/01485673127/6310148567312708092023105934.jpg")</f>
        <v>https://dpmzos25m8ivg.cloudfront.net/Documentos/631/01485673127/6310148567312708092023105934.jpg</v>
      </c>
      <c r="H453" s="4" t="s">
        <v>9040</v>
      </c>
    </row>
    <row r="454" spans="1:8" x14ac:dyDescent="0.25">
      <c r="A454" s="2" t="s">
        <v>468</v>
      </c>
      <c r="B454" s="3"/>
      <c r="C454" s="3"/>
      <c r="D454" s="3"/>
      <c r="E454" s="4" t="str">
        <f>HYPERLINK("https://dpmzos25m8ivg.cloudfront.net/Documentos/631/01490279075/6310149027907511092023161837.pdf","https://dpmzos25m8ivg.cloudfront.net/Documentos/631/01490279075/6310149027907511092023161837.pdf")</f>
        <v>https://dpmzos25m8ivg.cloudfront.net/Documentos/631/01490279075/6310149027907511092023161837.pdf</v>
      </c>
      <c r="F454" s="5" t="str">
        <f>HYPERLINK("https://dpmzos25m8ivg.cloudfront.net/Documentos/631/01490279075/6310149027907511092023161849.pdf","https://dpmzos25m8ivg.cloudfront.net/Documentos/631/01490279075/6310149027907511092023161849.pdf")</f>
        <v>https://dpmzos25m8ivg.cloudfront.net/Documentos/631/01490279075/6310149027907511092023161849.pdf</v>
      </c>
      <c r="G454" s="5" t="str">
        <f>HYPERLINK("https://dpmzos25m8ivg.cloudfront.net/Documentos/631/01490279075/6310149027907511092023161905.pdf","https://dpmzos25m8ivg.cloudfront.net/Documentos/631/01490279075/6310149027907511092023161905.pdf")</f>
        <v>https://dpmzos25m8ivg.cloudfront.net/Documentos/631/01490279075/6310149027907511092023161905.pdf</v>
      </c>
      <c r="H454" s="4" t="s">
        <v>9041</v>
      </c>
    </row>
    <row r="455" spans="1:8" x14ac:dyDescent="0.25">
      <c r="A455" s="2" t="s">
        <v>469</v>
      </c>
      <c r="B455" s="3" t="s">
        <v>8</v>
      </c>
      <c r="C455" s="3"/>
      <c r="D455" s="3"/>
      <c r="E455" s="4" t="str">
        <f>HYPERLINK("https://dpmzos25m8ivg.cloudfront.net/Documentos/631/01490296590/6310149029659005092023155933.pdf","https://dpmzos25m8ivg.cloudfront.net/Documentos/631/01490296590/6310149029659005092023155933.pdf")</f>
        <v>https://dpmzos25m8ivg.cloudfront.net/Documentos/631/01490296590/6310149029659005092023155933.pdf</v>
      </c>
      <c r="F455" s="5" t="str">
        <f>HYPERLINK("https://dpmzos25m8ivg.cloudfront.net/Documentos/631/01490296590/6310149029659005092023163000.pdf","https://dpmzos25m8ivg.cloudfront.net/Documentos/631/01490296590/6310149029659005092023163000.pdf")</f>
        <v>https://dpmzos25m8ivg.cloudfront.net/Documentos/631/01490296590/6310149029659005092023163000.pdf</v>
      </c>
      <c r="G455" s="5" t="str">
        <f>HYPERLINK("https://dpmzos25m8ivg.cloudfront.net/Documentos/631/01490296590/6310149029659005092023161506.pdf","https://dpmzos25m8ivg.cloudfront.net/Documentos/631/01490296590/6310149029659005092023161506.pdf")</f>
        <v>https://dpmzos25m8ivg.cloudfront.net/Documentos/631/01490296590/6310149029659005092023161506.pdf</v>
      </c>
      <c r="H455" s="4" t="s">
        <v>9042</v>
      </c>
    </row>
    <row r="456" spans="1:8" x14ac:dyDescent="0.25">
      <c r="A456" s="2" t="s">
        <v>470</v>
      </c>
      <c r="B456" s="3"/>
      <c r="C456" s="3"/>
      <c r="D456" s="3"/>
      <c r="E456" s="4" t="str">
        <f>HYPERLINK("https://dpmzos25m8ivg.cloudfront.net/Documentos/631/01490801405/6310149080140505092023203820.pdf","https://dpmzos25m8ivg.cloudfront.net/Documentos/631/01490801405/6310149080140505092023203820.pdf")</f>
        <v>https://dpmzos25m8ivg.cloudfront.net/Documentos/631/01490801405/6310149080140505092023203820.pdf</v>
      </c>
      <c r="F456" s="5" t="str">
        <f>HYPERLINK("https://dpmzos25m8ivg.cloudfront.net/Documentos/631/01490801405/6310149080140505092023203831.pdf","https://dpmzos25m8ivg.cloudfront.net/Documentos/631/01490801405/6310149080140505092023203831.pdf")</f>
        <v>https://dpmzos25m8ivg.cloudfront.net/Documentos/631/01490801405/6310149080140505092023203831.pdf</v>
      </c>
      <c r="G456" s="5" t="str">
        <f>HYPERLINK("https://dpmzos25m8ivg.cloudfront.net/Documentos/631/01490801405/6310149080140505092023203840.pdf","https://dpmzos25m8ivg.cloudfront.net/Documentos/631/01490801405/6310149080140505092023203840.pdf")</f>
        <v>https://dpmzos25m8ivg.cloudfront.net/Documentos/631/01490801405/6310149080140505092023203840.pdf</v>
      </c>
      <c r="H456" s="4" t="s">
        <v>9043</v>
      </c>
    </row>
    <row r="457" spans="1:8" x14ac:dyDescent="0.25">
      <c r="A457" s="2" t="s">
        <v>471</v>
      </c>
      <c r="B457" s="3"/>
      <c r="C457" s="3"/>
      <c r="D457" s="3"/>
      <c r="E457" s="4" t="str">
        <f>HYPERLINK("https://dpmzos25m8ivg.cloudfront.net/Documentos/631/01493617508/6310149361750805092023191120.jpg","https://dpmzos25m8ivg.cloudfront.net/Documentos/631/01493617508/6310149361750805092023191120.jpg")</f>
        <v>https://dpmzos25m8ivg.cloudfront.net/Documentos/631/01493617508/6310149361750805092023191120.jpg</v>
      </c>
      <c r="F457" s="5" t="str">
        <f>HYPERLINK("https://dpmzos25m8ivg.cloudfront.net/Documentos/631/01493617508/6310149361750805092023191151.jpg","https://dpmzos25m8ivg.cloudfront.net/Documentos/631/01493617508/6310149361750805092023191151.jpg")</f>
        <v>https://dpmzos25m8ivg.cloudfront.net/Documentos/631/01493617508/6310149361750805092023191151.jpg</v>
      </c>
      <c r="G457" s="5" t="str">
        <f>HYPERLINK("https://dpmzos25m8ivg.cloudfront.net/Documentos/631/01493617508/6310149361750805092023191225.jpg","https://dpmzos25m8ivg.cloudfront.net/Documentos/631/01493617508/6310149361750805092023191225.jpg")</f>
        <v>https://dpmzos25m8ivg.cloudfront.net/Documentos/631/01493617508/6310149361750805092023191225.jpg</v>
      </c>
      <c r="H457" s="4" t="s">
        <v>9044</v>
      </c>
    </row>
    <row r="458" spans="1:8" x14ac:dyDescent="0.25">
      <c r="A458" s="2" t="s">
        <v>472</v>
      </c>
      <c r="B458" s="3" t="s">
        <v>8</v>
      </c>
      <c r="C458" s="3"/>
      <c r="D458" s="3"/>
      <c r="E458" s="4" t="str">
        <f>HYPERLINK("https://dpmzos25m8ivg.cloudfront.net/Documentos/631/01496181239/6310149618123911092023152436.pdf","https://dpmzos25m8ivg.cloudfront.net/Documentos/631/01496181239/6310149618123911092023152436.pdf")</f>
        <v>https://dpmzos25m8ivg.cloudfront.net/Documentos/631/01496181239/6310149618123911092023152436.pdf</v>
      </c>
      <c r="F458" s="5" t="str">
        <f>HYPERLINK("https://dpmzos25m8ivg.cloudfront.net/Documentos/631/01496181239/6310149618123911092023152449.pdf","https://dpmzos25m8ivg.cloudfront.net/Documentos/631/01496181239/6310149618123911092023152449.pdf")</f>
        <v>https://dpmzos25m8ivg.cloudfront.net/Documentos/631/01496181239/6310149618123911092023152449.pdf</v>
      </c>
      <c r="G458" s="5" t="str">
        <f>HYPERLINK("https://dpmzos25m8ivg.cloudfront.net/Documentos/631/01496181239/6310149618123911092023152458.pdf","https://dpmzos25m8ivg.cloudfront.net/Documentos/631/01496181239/6310149618123911092023152458.pdf")</f>
        <v>https://dpmzos25m8ivg.cloudfront.net/Documentos/631/01496181239/6310149618123911092023152458.pdf</v>
      </c>
      <c r="H458" s="4" t="s">
        <v>9045</v>
      </c>
    </row>
    <row r="459" spans="1:8" x14ac:dyDescent="0.25">
      <c r="A459" s="2" t="s">
        <v>473</v>
      </c>
      <c r="B459" s="3"/>
      <c r="C459" s="3"/>
      <c r="D459" s="3"/>
      <c r="E459" s="4" t="str">
        <f>HYPERLINK("https://dpmzos25m8ivg.cloudfront.net/Documentos/631/01501497600/6310150149760009092023231313.jpeg","https://dpmzos25m8ivg.cloudfront.net/Documentos/631/01501497600/6310150149760009092023231313.jpeg")</f>
        <v>https://dpmzos25m8ivg.cloudfront.net/Documentos/631/01501497600/6310150149760009092023231313.jpeg</v>
      </c>
      <c r="F459" s="5" t="str">
        <f>HYPERLINK("https://dpmzos25m8ivg.cloudfront.net/Documentos/631/01501497600/6310150149760009092023231336.jpeg","https://dpmzos25m8ivg.cloudfront.net/Documentos/631/01501497600/6310150149760009092023231336.jpeg")</f>
        <v>https://dpmzos25m8ivg.cloudfront.net/Documentos/631/01501497600/6310150149760009092023231336.jpeg</v>
      </c>
      <c r="G459" s="5" t="str">
        <f>HYPERLINK("https://dpmzos25m8ivg.cloudfront.net/Documentos/631/01501497600/6310150149760009092023231344.jpeg","https://dpmzos25m8ivg.cloudfront.net/Documentos/631/01501497600/6310150149760009092023231344.jpeg")</f>
        <v>https://dpmzos25m8ivg.cloudfront.net/Documentos/631/01501497600/6310150149760009092023231344.jpeg</v>
      </c>
      <c r="H459" s="4" t="s">
        <v>9046</v>
      </c>
    </row>
    <row r="460" spans="1:8" x14ac:dyDescent="0.25">
      <c r="A460" s="2" t="s">
        <v>474</v>
      </c>
      <c r="B460" s="3"/>
      <c r="C460" s="3"/>
      <c r="D460" s="3"/>
      <c r="E460" s="4" t="str">
        <f>HYPERLINK("https://dpmzos25m8ivg.cloudfront.net/Documentos/631/01501599003/6310150159900306092023114519.pdf","https://dpmzos25m8ivg.cloudfront.net/Documentos/631/01501599003/6310150159900306092023114519.pdf")</f>
        <v>https://dpmzos25m8ivg.cloudfront.net/Documentos/631/01501599003/6310150159900306092023114519.pdf</v>
      </c>
      <c r="F460" s="5" t="str">
        <f>HYPERLINK("https://dpmzos25m8ivg.cloudfront.net/Documentos/631/01501599003/6310150159900306092023114548.pdf","https://dpmzos25m8ivg.cloudfront.net/Documentos/631/01501599003/6310150159900306092023114548.pdf")</f>
        <v>https://dpmzos25m8ivg.cloudfront.net/Documentos/631/01501599003/6310150159900306092023114548.pdf</v>
      </c>
      <c r="G460" s="5" t="str">
        <f>HYPERLINK("https://dpmzos25m8ivg.cloudfront.net/Documentos/631/01501599003/6310150159900306092023114611.pdf","https://dpmzos25m8ivg.cloudfront.net/Documentos/631/01501599003/6310150159900306092023114611.pdf")</f>
        <v>https://dpmzos25m8ivg.cloudfront.net/Documentos/631/01501599003/6310150159900306092023114611.pdf</v>
      </c>
      <c r="H460" s="4" t="s">
        <v>9047</v>
      </c>
    </row>
    <row r="461" spans="1:8" x14ac:dyDescent="0.25">
      <c r="A461" s="2" t="s">
        <v>475</v>
      </c>
      <c r="B461" s="3" t="s">
        <v>8</v>
      </c>
      <c r="C461" s="3"/>
      <c r="D461" s="3"/>
      <c r="E461" s="4" t="str">
        <f>HYPERLINK("https://dpmzos25m8ivg.cloudfront.net/Documentos/631/01503945197/6310150394519710092023090846.jpg","https://dpmzos25m8ivg.cloudfront.net/Documentos/631/01503945197/6310150394519710092023090846.jpg")</f>
        <v>https://dpmzos25m8ivg.cloudfront.net/Documentos/631/01503945197/6310150394519710092023090846.jpg</v>
      </c>
      <c r="F461" s="5" t="str">
        <f>HYPERLINK("https://dpmzos25m8ivg.cloudfront.net/Documentos/631/01503945197/6310150394519710092023090927.jpg","https://dpmzos25m8ivg.cloudfront.net/Documentos/631/01503945197/6310150394519710092023090927.jpg")</f>
        <v>https://dpmzos25m8ivg.cloudfront.net/Documentos/631/01503945197/6310150394519710092023090927.jpg</v>
      </c>
      <c r="G461" s="5" t="str">
        <f>HYPERLINK("https://dpmzos25m8ivg.cloudfront.net/Documentos/631/01503945197/6310150394519710092023090957.jpg","https://dpmzos25m8ivg.cloudfront.net/Documentos/631/01503945197/6310150394519710092023090957.jpg")</f>
        <v>https://dpmzos25m8ivg.cloudfront.net/Documentos/631/01503945197/6310150394519710092023090957.jpg</v>
      </c>
      <c r="H461" s="4" t="s">
        <v>9048</v>
      </c>
    </row>
    <row r="462" spans="1:8" x14ac:dyDescent="0.25">
      <c r="A462" s="2" t="s">
        <v>476</v>
      </c>
      <c r="B462" s="3"/>
      <c r="C462" s="3"/>
      <c r="D462" s="3"/>
      <c r="E462" s="4" t="str">
        <f>HYPERLINK("https://dpmzos25m8ivg.cloudfront.net/Documentos/631/01507673159/6310150767315911092023154441.pdf","https://dpmzos25m8ivg.cloudfront.net/Documentos/631/01507673159/6310150767315911092023154441.pdf")</f>
        <v>https://dpmzos25m8ivg.cloudfront.net/Documentos/631/01507673159/6310150767315911092023154441.pdf</v>
      </c>
      <c r="F462" s="5" t="str">
        <f>HYPERLINK("https://dpmzos25m8ivg.cloudfront.net/Documentos/631/01507673159/6310150767315911092023154454.pdf","https://dpmzos25m8ivg.cloudfront.net/Documentos/631/01507673159/6310150767315911092023154454.pdf")</f>
        <v>https://dpmzos25m8ivg.cloudfront.net/Documentos/631/01507673159/6310150767315911092023154454.pdf</v>
      </c>
      <c r="G462" s="5" t="str">
        <f>HYPERLINK("https://dpmzos25m8ivg.cloudfront.net/Documentos/631/01507673159/6310150767315911092023154637.pdf","https://dpmzos25m8ivg.cloudfront.net/Documentos/631/01507673159/6310150767315911092023154637.pdf")</f>
        <v>https://dpmzos25m8ivg.cloudfront.net/Documentos/631/01507673159/6310150767315911092023154637.pdf</v>
      </c>
      <c r="H462" s="4" t="s">
        <v>9049</v>
      </c>
    </row>
    <row r="463" spans="1:8" x14ac:dyDescent="0.25">
      <c r="A463" s="2" t="s">
        <v>477</v>
      </c>
      <c r="B463" s="3"/>
      <c r="C463" s="3"/>
      <c r="D463" s="3"/>
      <c r="E463" s="4" t="str">
        <f>HYPERLINK("https://dpmzos25m8ivg.cloudfront.net/Documentos/631/01512289302/6310151228930205092023112917.pdf","https://dpmzos25m8ivg.cloudfront.net/Documentos/631/01512289302/6310151228930205092023112917.pdf")</f>
        <v>https://dpmzos25m8ivg.cloudfront.net/Documentos/631/01512289302/6310151228930205092023112917.pdf</v>
      </c>
      <c r="F463" s="5" t="str">
        <f>HYPERLINK("https://dpmzos25m8ivg.cloudfront.net/Documentos/631/01512289302/6310151228930205092023112929.pdf","https://dpmzos25m8ivg.cloudfront.net/Documentos/631/01512289302/6310151228930205092023112929.pdf")</f>
        <v>https://dpmzos25m8ivg.cloudfront.net/Documentos/631/01512289302/6310151228930205092023112929.pdf</v>
      </c>
      <c r="G463" s="5" t="str">
        <f>HYPERLINK("https://dpmzos25m8ivg.cloudfront.net/Documentos/631/01512289302/6310151228930205092023112946.pdf","https://dpmzos25m8ivg.cloudfront.net/Documentos/631/01512289302/6310151228930205092023112946.pdf")</f>
        <v>https://dpmzos25m8ivg.cloudfront.net/Documentos/631/01512289302/6310151228930205092023112946.pdf</v>
      </c>
      <c r="H463" s="4" t="s">
        <v>9050</v>
      </c>
    </row>
    <row r="464" spans="1:8" x14ac:dyDescent="0.25">
      <c r="A464" s="2" t="s">
        <v>478</v>
      </c>
      <c r="B464" s="3"/>
      <c r="C464" s="3"/>
      <c r="D464" s="3"/>
      <c r="E464" s="4" t="str">
        <f>HYPERLINK("https://dpmzos25m8ivg.cloudfront.net/Documentos/631/01515088952/6310151508895207092023125517.pdf","https://dpmzos25m8ivg.cloudfront.net/Documentos/631/01515088952/6310151508895207092023125517.pdf")</f>
        <v>https://dpmzos25m8ivg.cloudfront.net/Documentos/631/01515088952/6310151508895207092023125517.pdf</v>
      </c>
      <c r="F464" s="5" t="str">
        <f>HYPERLINK("https://dpmzos25m8ivg.cloudfront.net/Documentos/631/01515088952/6310151508895207092023125532.pdf","https://dpmzos25m8ivg.cloudfront.net/Documentos/631/01515088952/6310151508895207092023125532.pdf")</f>
        <v>https://dpmzos25m8ivg.cloudfront.net/Documentos/631/01515088952/6310151508895207092023125532.pdf</v>
      </c>
      <c r="G464" s="5" t="str">
        <f>HYPERLINK("https://dpmzos25m8ivg.cloudfront.net/Documentos/631/01515088952/6310151508895207092023125552.pdf","https://dpmzos25m8ivg.cloudfront.net/Documentos/631/01515088952/6310151508895207092023125552.pdf")</f>
        <v>https://dpmzos25m8ivg.cloudfront.net/Documentos/631/01515088952/6310151508895207092023125552.pdf</v>
      </c>
      <c r="H464" s="4" t="s">
        <v>9051</v>
      </c>
    </row>
    <row r="465" spans="1:8" x14ac:dyDescent="0.25">
      <c r="A465" s="2" t="s">
        <v>479</v>
      </c>
      <c r="B465" s="3"/>
      <c r="C465" s="3"/>
      <c r="D465" s="3"/>
      <c r="E465" s="4" t="str">
        <f>HYPERLINK("https://dpmzos25m8ivg.cloudfront.net/Documentos/631/01519736797/6310151973679705092023170942.jpg","https://dpmzos25m8ivg.cloudfront.net/Documentos/631/01519736797/6310151973679705092023170942.jpg")</f>
        <v>https://dpmzos25m8ivg.cloudfront.net/Documentos/631/01519736797/6310151973679705092023170942.jpg</v>
      </c>
      <c r="F465" s="5" t="str">
        <f>HYPERLINK("https://dpmzos25m8ivg.cloudfront.net/Documentos/631/01519736797/6310151973679705092023170958.jpg","https://dpmzos25m8ivg.cloudfront.net/Documentos/631/01519736797/6310151973679705092023170958.jpg")</f>
        <v>https://dpmzos25m8ivg.cloudfront.net/Documentos/631/01519736797/6310151973679705092023170958.jpg</v>
      </c>
      <c r="G465" s="5" t="str">
        <f>HYPERLINK("https://dpmzos25m8ivg.cloudfront.net/Documentos/631/01519736797/6310151973679705092023171020.jpg","https://dpmzos25m8ivg.cloudfront.net/Documentos/631/01519736797/6310151973679705092023171020.jpg")</f>
        <v>https://dpmzos25m8ivg.cloudfront.net/Documentos/631/01519736797/6310151973679705092023171020.jpg</v>
      </c>
      <c r="H465" s="4" t="s">
        <v>9052</v>
      </c>
    </row>
    <row r="466" spans="1:8" x14ac:dyDescent="0.25">
      <c r="A466" s="2" t="s">
        <v>480</v>
      </c>
      <c r="B466" s="3" t="s">
        <v>90</v>
      </c>
      <c r="C466" s="3"/>
      <c r="D466" s="3"/>
      <c r="E466" s="4" t="str">
        <f>HYPERLINK("https://dpmzos25m8ivg.cloudfront.net/Documentos/631/01539211614/6310153921161413092023224538.pdf","https://dpmzos25m8ivg.cloudfront.net/Documentos/631/01539211614/6310153921161413092023224538.pdf")</f>
        <v>https://dpmzos25m8ivg.cloudfront.net/Documentos/631/01539211614/6310153921161413092023224538.pdf</v>
      </c>
      <c r="F466" s="5" t="str">
        <f>HYPERLINK("https://dpmzos25m8ivg.cloudfront.net/Documentos/631/01539211614/6310153921161413092023224552.pdf","https://dpmzos25m8ivg.cloudfront.net/Documentos/631/01539211614/6310153921161413092023224552.pdf")</f>
        <v>https://dpmzos25m8ivg.cloudfront.net/Documentos/631/01539211614/6310153921161413092023224552.pdf</v>
      </c>
      <c r="G466" s="5" t="str">
        <f>HYPERLINK("https://dpmzos25m8ivg.cloudfront.net/Documentos/631/01539211614/6310153921161413092023224605.pdf","https://dpmzos25m8ivg.cloudfront.net/Documentos/631/01539211614/6310153921161413092023224605.pdf")</f>
        <v>https://dpmzos25m8ivg.cloudfront.net/Documentos/631/01539211614/6310153921161413092023224605.pdf</v>
      </c>
      <c r="H466" s="4" t="s">
        <v>9053</v>
      </c>
    </row>
    <row r="467" spans="1:8" x14ac:dyDescent="0.25">
      <c r="A467" s="2" t="s">
        <v>481</v>
      </c>
      <c r="B467" s="3"/>
      <c r="C467" s="3"/>
      <c r="D467" s="3"/>
      <c r="E467" s="4" t="str">
        <f>HYPERLINK("https://dpmzos25m8ivg.cloudfront.net/Documentos/631/01542718295/6310154271829511092023132223.pdf","https://dpmzos25m8ivg.cloudfront.net/Documentos/631/01542718295/6310154271829511092023132223.pdf")</f>
        <v>https://dpmzos25m8ivg.cloudfront.net/Documentos/631/01542718295/6310154271829511092023132223.pdf</v>
      </c>
      <c r="F467" s="5" t="str">
        <f>HYPERLINK("https://dpmzos25m8ivg.cloudfront.net/Documentos/631/01542718295/6310154271829511092023132235.pdf","https://dpmzos25m8ivg.cloudfront.net/Documentos/631/01542718295/6310154271829511092023132235.pdf")</f>
        <v>https://dpmzos25m8ivg.cloudfront.net/Documentos/631/01542718295/6310154271829511092023132235.pdf</v>
      </c>
      <c r="G467" s="5" t="str">
        <f>HYPERLINK("https://dpmzos25m8ivg.cloudfront.net/Documentos/631/01542718295/6310154271829511092023132245.pdf","https://dpmzos25m8ivg.cloudfront.net/Documentos/631/01542718295/6310154271829511092023132245.pdf")</f>
        <v>https://dpmzos25m8ivg.cloudfront.net/Documentos/631/01542718295/6310154271829511092023132245.pdf</v>
      </c>
      <c r="H467" s="4" t="s">
        <v>9054</v>
      </c>
    </row>
    <row r="468" spans="1:8" x14ac:dyDescent="0.25">
      <c r="A468" s="2" t="s">
        <v>482</v>
      </c>
      <c r="B468" s="3"/>
      <c r="C468" s="3"/>
      <c r="D468" s="3"/>
      <c r="E468" s="4" t="str">
        <f>HYPERLINK("https://dpmzos25m8ivg.cloudfront.net/Documentos/631/01544991029/6310154499102911092023151923.pdf","https://dpmzos25m8ivg.cloudfront.net/Documentos/631/01544991029/6310154499102911092023151923.pdf")</f>
        <v>https://dpmzos25m8ivg.cloudfront.net/Documentos/631/01544991029/6310154499102911092023151923.pdf</v>
      </c>
      <c r="F468" s="5" t="str">
        <f>HYPERLINK("https://dpmzos25m8ivg.cloudfront.net/Documentos/631/01544991029/6310154499102911092023151929.pdf","https://dpmzos25m8ivg.cloudfront.net/Documentos/631/01544991029/6310154499102911092023151929.pdf")</f>
        <v>https://dpmzos25m8ivg.cloudfront.net/Documentos/631/01544991029/6310154499102911092023151929.pdf</v>
      </c>
      <c r="G468" s="5" t="str">
        <f>HYPERLINK("https://dpmzos25m8ivg.cloudfront.net/Documentos/631/01544991029/6310154499102911092023151936.pdf","https://dpmzos25m8ivg.cloudfront.net/Documentos/631/01544991029/6310154499102911092023151936.pdf")</f>
        <v>https://dpmzos25m8ivg.cloudfront.net/Documentos/631/01544991029/6310154499102911092023151936.pdf</v>
      </c>
      <c r="H468" s="4" t="s">
        <v>9055</v>
      </c>
    </row>
    <row r="469" spans="1:8" x14ac:dyDescent="0.25">
      <c r="A469" s="2" t="s">
        <v>483</v>
      </c>
      <c r="B469" s="3"/>
      <c r="C469" s="3"/>
      <c r="D469" s="3"/>
      <c r="E469" s="4" t="str">
        <f>HYPERLINK("https://dpmzos25m8ivg.cloudfront.net/Documentos/631/01546334378/6310154633437811092023151503.pdf","https://dpmzos25m8ivg.cloudfront.net/Documentos/631/01546334378/6310154633437811092023151503.pdf")</f>
        <v>https://dpmzos25m8ivg.cloudfront.net/Documentos/631/01546334378/6310154633437811092023151503.pdf</v>
      </c>
      <c r="F469" s="5" t="str">
        <f>HYPERLINK("https://dpmzos25m8ivg.cloudfront.net/Documentos/631/01546334378/6310154633437811092023151612.pdf","https://dpmzos25m8ivg.cloudfront.net/Documentos/631/01546334378/6310154633437811092023151612.pdf")</f>
        <v>https://dpmzos25m8ivg.cloudfront.net/Documentos/631/01546334378/6310154633437811092023151612.pdf</v>
      </c>
      <c r="G469" s="5" t="str">
        <f>HYPERLINK("https://dpmzos25m8ivg.cloudfront.net/Documentos/631/01546334378/6310154633437811092023152834.pdf","https://dpmzos25m8ivg.cloudfront.net/Documentos/631/01546334378/6310154633437811092023152834.pdf")</f>
        <v>https://dpmzos25m8ivg.cloudfront.net/Documentos/631/01546334378/6310154633437811092023152834.pdf</v>
      </c>
      <c r="H469" s="4" t="s">
        <v>9056</v>
      </c>
    </row>
    <row r="470" spans="1:8" x14ac:dyDescent="0.25">
      <c r="A470" s="2" t="s">
        <v>484</v>
      </c>
      <c r="B470" s="3"/>
      <c r="C470" s="3"/>
      <c r="D470" s="3"/>
      <c r="E470" s="4" t="str">
        <f>HYPERLINK("https://dpmzos25m8ivg.cloudfront.net/Documentos/631/01551626241/6310155162624109092023214655.pdf","https://dpmzos25m8ivg.cloudfront.net/Documentos/631/01551626241/6310155162624109092023214655.pdf")</f>
        <v>https://dpmzos25m8ivg.cloudfront.net/Documentos/631/01551626241/6310155162624109092023214655.pdf</v>
      </c>
      <c r="F470" s="5" t="str">
        <f>HYPERLINK("https://dpmzos25m8ivg.cloudfront.net/Documentos/631/01551626241/6310155162624109092023214709.pdf","https://dpmzos25m8ivg.cloudfront.net/Documentos/631/01551626241/6310155162624109092023214709.pdf")</f>
        <v>https://dpmzos25m8ivg.cloudfront.net/Documentos/631/01551626241/6310155162624109092023214709.pdf</v>
      </c>
      <c r="G470" s="5" t="str">
        <f>HYPERLINK("https://dpmzos25m8ivg.cloudfront.net/Documentos/631/01551626241/6310155162624109092023214719.pdf","https://dpmzos25m8ivg.cloudfront.net/Documentos/631/01551626241/6310155162624109092023214719.pdf")</f>
        <v>https://dpmzos25m8ivg.cloudfront.net/Documentos/631/01551626241/6310155162624109092023214719.pdf</v>
      </c>
      <c r="H470" s="4" t="s">
        <v>9057</v>
      </c>
    </row>
    <row r="471" spans="1:8" x14ac:dyDescent="0.25">
      <c r="A471" s="2" t="s">
        <v>485</v>
      </c>
      <c r="B471" s="3"/>
      <c r="C471" s="3"/>
      <c r="D471" s="3"/>
      <c r="E471" s="4" t="str">
        <f>HYPERLINK("https://dpmzos25m8ivg.cloudfront.net/Documentos/631/01552329240/6310155232924010092023002234.jpeg","https://dpmzos25m8ivg.cloudfront.net/Documentos/631/01552329240/6310155232924010092023002234.jpeg")</f>
        <v>https://dpmzos25m8ivg.cloudfront.net/Documentos/631/01552329240/6310155232924010092023002234.jpeg</v>
      </c>
      <c r="F471" s="5" t="str">
        <f>HYPERLINK("https://dpmzos25m8ivg.cloudfront.net/Documentos/631/01552329240/6310155232924010092023002312.jpeg","https://dpmzos25m8ivg.cloudfront.net/Documentos/631/01552329240/6310155232924010092023002312.jpeg")</f>
        <v>https://dpmzos25m8ivg.cloudfront.net/Documentos/631/01552329240/6310155232924010092023002312.jpeg</v>
      </c>
      <c r="G471" s="5" t="str">
        <f>HYPERLINK("https://dpmzos25m8ivg.cloudfront.net/Documentos/631/01552329240/6310155232924010092023002415.jpeg","https://dpmzos25m8ivg.cloudfront.net/Documentos/631/01552329240/6310155232924010092023002415.jpeg")</f>
        <v>https://dpmzos25m8ivg.cloudfront.net/Documentos/631/01552329240/6310155232924010092023002415.jpeg</v>
      </c>
      <c r="H471" s="4" t="s">
        <v>9058</v>
      </c>
    </row>
    <row r="472" spans="1:8" x14ac:dyDescent="0.25">
      <c r="A472" s="2" t="s">
        <v>486</v>
      </c>
      <c r="B472" s="3"/>
      <c r="C472" s="3"/>
      <c r="D472" s="3"/>
      <c r="E472" s="4" t="str">
        <f>HYPERLINK("https://dpmzos25m8ivg.cloudfront.net/Documentos/631/01553002539/6310155300253908092023072009.jpg","https://dpmzos25m8ivg.cloudfront.net/Documentos/631/01553002539/6310155300253908092023072009.jpg")</f>
        <v>https://dpmzos25m8ivg.cloudfront.net/Documentos/631/01553002539/6310155300253908092023072009.jpg</v>
      </c>
      <c r="F472" s="5" t="str">
        <f>HYPERLINK("https://dpmzos25m8ivg.cloudfront.net/Documentos/631/01553002539/6310155300253908092023072030.jpg","https://dpmzos25m8ivg.cloudfront.net/Documentos/631/01553002539/6310155300253908092023072030.jpg")</f>
        <v>https://dpmzos25m8ivg.cloudfront.net/Documentos/631/01553002539/6310155300253908092023072030.jpg</v>
      </c>
      <c r="G472" s="5" t="str">
        <f>HYPERLINK("https://dpmzos25m8ivg.cloudfront.net/Documentos/631/01553002539/6310155300253908092023072050.jpg","https://dpmzos25m8ivg.cloudfront.net/Documentos/631/01553002539/6310155300253908092023072050.jpg")</f>
        <v>https://dpmzos25m8ivg.cloudfront.net/Documentos/631/01553002539/6310155300253908092023072050.jpg</v>
      </c>
      <c r="H472" s="4" t="s">
        <v>9059</v>
      </c>
    </row>
    <row r="473" spans="1:8" x14ac:dyDescent="0.25">
      <c r="A473" s="2" t="s">
        <v>487</v>
      </c>
      <c r="B473" s="3"/>
      <c r="C473" s="3"/>
      <c r="D473" s="3"/>
      <c r="E473" s="4" t="str">
        <f>HYPERLINK("https://dpmzos25m8ivg.cloudfront.net/Documentos/631/01555811205/6310155581120505092023162245.pdf","https://dpmzos25m8ivg.cloudfront.net/Documentos/631/01555811205/6310155581120505092023162245.pdf")</f>
        <v>https://dpmzos25m8ivg.cloudfront.net/Documentos/631/01555811205/6310155581120505092023162245.pdf</v>
      </c>
      <c r="F473" s="5" t="str">
        <f>HYPERLINK("https://dpmzos25m8ivg.cloudfront.net/Documentos/631/01555811205/6310155581120505092023162259.pdf","https://dpmzos25m8ivg.cloudfront.net/Documentos/631/01555811205/6310155581120505092023162259.pdf")</f>
        <v>https://dpmzos25m8ivg.cloudfront.net/Documentos/631/01555811205/6310155581120505092023162259.pdf</v>
      </c>
      <c r="G473" s="5" t="str">
        <f>HYPERLINK("https://dpmzos25m8ivg.cloudfront.net/Documentos/631/01555811205/6310155581120505092023162312.pdf","https://dpmzos25m8ivg.cloudfront.net/Documentos/631/01555811205/6310155581120505092023162312.pdf")</f>
        <v>https://dpmzos25m8ivg.cloudfront.net/Documentos/631/01555811205/6310155581120505092023162312.pdf</v>
      </c>
      <c r="H473" s="4" t="s">
        <v>9060</v>
      </c>
    </row>
    <row r="474" spans="1:8" x14ac:dyDescent="0.25">
      <c r="A474" s="2" t="s">
        <v>488</v>
      </c>
      <c r="B474" s="3" t="s">
        <v>90</v>
      </c>
      <c r="C474" s="3"/>
      <c r="D474" s="3"/>
      <c r="E474" s="4" t="str">
        <f>HYPERLINK("https://dpmzos25m8ivg.cloudfront.net/Documentos/631/01557569231/6310155756923108092023182743.pdf","https://dpmzos25m8ivg.cloudfront.net/Documentos/631/01557569231/6310155756923108092023182743.pdf")</f>
        <v>https://dpmzos25m8ivg.cloudfront.net/Documentos/631/01557569231/6310155756923108092023182743.pdf</v>
      </c>
      <c r="F474" s="5" t="str">
        <f>HYPERLINK("https://dpmzos25m8ivg.cloudfront.net/Documentos/631/01557569231/6310155756923108092023183320.pdf","https://dpmzos25m8ivg.cloudfront.net/Documentos/631/01557569231/6310155756923108092023183320.pdf")</f>
        <v>https://dpmzos25m8ivg.cloudfront.net/Documentos/631/01557569231/6310155756923108092023183320.pdf</v>
      </c>
      <c r="G474" s="5" t="str">
        <f>HYPERLINK("https://dpmzos25m8ivg.cloudfront.net/Documentos/631/01557569231/6310155756923108092023183337.pdf","https://dpmzos25m8ivg.cloudfront.net/Documentos/631/01557569231/6310155756923108092023183337.pdf")</f>
        <v>https://dpmzos25m8ivg.cloudfront.net/Documentos/631/01557569231/6310155756923108092023183337.pdf</v>
      </c>
      <c r="H474" s="4" t="s">
        <v>9061</v>
      </c>
    </row>
    <row r="475" spans="1:8" x14ac:dyDescent="0.25">
      <c r="A475" s="2" t="s">
        <v>489</v>
      </c>
      <c r="B475" s="3" t="s">
        <v>23</v>
      </c>
      <c r="C475" s="3"/>
      <c r="D475" s="3"/>
      <c r="E475" s="4" t="str">
        <f>HYPERLINK("https://dpmzos25m8ivg.cloudfront.net/Documentos/631/01560704306/6310156070430607092023144631.pdf","https://dpmzos25m8ivg.cloudfront.net/Documentos/631/01560704306/6310156070430607092023144631.pdf")</f>
        <v>https://dpmzos25m8ivg.cloudfront.net/Documentos/631/01560704306/6310156070430607092023144631.pdf</v>
      </c>
      <c r="F475" s="5" t="str">
        <f>HYPERLINK("https://dpmzos25m8ivg.cloudfront.net/Documentos/631/01560704306/6310156070430607092023144701.pdf","https://dpmzos25m8ivg.cloudfront.net/Documentos/631/01560704306/6310156070430607092023144701.pdf")</f>
        <v>https://dpmzos25m8ivg.cloudfront.net/Documentos/631/01560704306/6310156070430607092023144701.pdf</v>
      </c>
      <c r="G475" s="5" t="str">
        <f>HYPERLINK("https://dpmzos25m8ivg.cloudfront.net/Documentos/631/01560704306/6310156070430607092023144725.pdf","https://dpmzos25m8ivg.cloudfront.net/Documentos/631/01560704306/6310156070430607092023144725.pdf")</f>
        <v>https://dpmzos25m8ivg.cloudfront.net/Documentos/631/01560704306/6310156070430607092023144725.pdf</v>
      </c>
      <c r="H475" s="4" t="s">
        <v>9062</v>
      </c>
    </row>
    <row r="476" spans="1:8" x14ac:dyDescent="0.25">
      <c r="A476" s="2" t="s">
        <v>490</v>
      </c>
      <c r="B476" s="3"/>
      <c r="C476" s="3"/>
      <c r="D476" s="3"/>
      <c r="E476" s="4" t="str">
        <f>HYPERLINK("https://dpmzos25m8ivg.cloudfront.net/Documentos/631/01561407054/6310156140705407092023125222.pdf","https://dpmzos25m8ivg.cloudfront.net/Documentos/631/01561407054/6310156140705407092023125222.pdf")</f>
        <v>https://dpmzos25m8ivg.cloudfront.net/Documentos/631/01561407054/6310156140705407092023125222.pdf</v>
      </c>
      <c r="F476" s="5" t="str">
        <f>HYPERLINK("https://dpmzos25m8ivg.cloudfront.net/Documentos/631/01561407054/6310156140705407092023125231.pdf","https://dpmzos25m8ivg.cloudfront.net/Documentos/631/01561407054/6310156140705407092023125231.pdf")</f>
        <v>https://dpmzos25m8ivg.cloudfront.net/Documentos/631/01561407054/6310156140705407092023125231.pdf</v>
      </c>
      <c r="G476" s="5" t="str">
        <f>HYPERLINK("https://dpmzos25m8ivg.cloudfront.net/Documentos/631/01561407054/6310156140705407092023125246.pdf","https://dpmzos25m8ivg.cloudfront.net/Documentos/631/01561407054/6310156140705407092023125246.pdf")</f>
        <v>https://dpmzos25m8ivg.cloudfront.net/Documentos/631/01561407054/6310156140705407092023125246.pdf</v>
      </c>
      <c r="H476" s="4" t="s">
        <v>9063</v>
      </c>
    </row>
    <row r="477" spans="1:8" x14ac:dyDescent="0.25">
      <c r="A477" s="2" t="s">
        <v>491</v>
      </c>
      <c r="B477" s="3"/>
      <c r="C477" s="3"/>
      <c r="D477" s="3"/>
      <c r="E477" s="4" t="str">
        <f>HYPERLINK("https://dpmzos25m8ivg.cloudfront.net/Documentos/631/01562518178/6310156251817806092023181509.jpg","https://dpmzos25m8ivg.cloudfront.net/Documentos/631/01562518178/6310156251817806092023181509.jpg")</f>
        <v>https://dpmzos25m8ivg.cloudfront.net/Documentos/631/01562518178/6310156251817806092023181509.jpg</v>
      </c>
      <c r="F477" s="5" t="str">
        <f>HYPERLINK("https://dpmzos25m8ivg.cloudfront.net/Documentos/631/01562518178/6310156251817806092023181535.jpg","https://dpmzos25m8ivg.cloudfront.net/Documentos/631/01562518178/6310156251817806092023181535.jpg")</f>
        <v>https://dpmzos25m8ivg.cloudfront.net/Documentos/631/01562518178/6310156251817806092023181535.jpg</v>
      </c>
      <c r="G477" s="5" t="str">
        <f>HYPERLINK("https://dpmzos25m8ivg.cloudfront.net/Documentos/631/01562518178/6310156251817806092023181551.jpg","https://dpmzos25m8ivg.cloudfront.net/Documentos/631/01562518178/6310156251817806092023181551.jpg")</f>
        <v>https://dpmzos25m8ivg.cloudfront.net/Documentos/631/01562518178/6310156251817806092023181551.jpg</v>
      </c>
      <c r="H477" s="4" t="s">
        <v>9064</v>
      </c>
    </row>
    <row r="478" spans="1:8" x14ac:dyDescent="0.25">
      <c r="A478" s="2" t="s">
        <v>492</v>
      </c>
      <c r="B478" s="3"/>
      <c r="C478" s="3"/>
      <c r="D478" s="3"/>
      <c r="E478" s="4" t="str">
        <f>HYPERLINK("https://dpmzos25m8ivg.cloudfront.net/Documentos/631/01564799581/6310156479958111092023122337.jpg","https://dpmzos25m8ivg.cloudfront.net/Documentos/631/01564799581/6310156479958111092023122337.jpg")</f>
        <v>https://dpmzos25m8ivg.cloudfront.net/Documentos/631/01564799581/6310156479958111092023122337.jpg</v>
      </c>
      <c r="F478" s="5" t="str">
        <f>HYPERLINK("https://dpmzos25m8ivg.cloudfront.net/Documentos/631/01564799581/6310156479958111092023122355.jpg","https://dpmzos25m8ivg.cloudfront.net/Documentos/631/01564799581/6310156479958111092023122355.jpg")</f>
        <v>https://dpmzos25m8ivg.cloudfront.net/Documentos/631/01564799581/6310156479958111092023122355.jpg</v>
      </c>
      <c r="G478" s="5" t="str">
        <f>HYPERLINK("https://dpmzos25m8ivg.cloudfront.net/Documentos/631/01564799581/6310156479958111092023122413.jpg","https://dpmzos25m8ivg.cloudfront.net/Documentos/631/01564799581/6310156479958111092023122413.jpg")</f>
        <v>https://dpmzos25m8ivg.cloudfront.net/Documentos/631/01564799581/6310156479958111092023122413.jpg</v>
      </c>
      <c r="H478" s="4" t="s">
        <v>9065</v>
      </c>
    </row>
    <row r="479" spans="1:8" x14ac:dyDescent="0.25">
      <c r="A479" s="2" t="s">
        <v>493</v>
      </c>
      <c r="B479" s="3" t="s">
        <v>8</v>
      </c>
      <c r="C479" s="3"/>
      <c r="D479" s="3"/>
      <c r="E479" s="4" t="str">
        <f>HYPERLINK("https://dpmzos25m8ivg.cloudfront.net/Documentos/631/01566053765/6310156605376505092023124815.pdf","https://dpmzos25m8ivg.cloudfront.net/Documentos/631/01566053765/6310156605376505092023124815.pdf")</f>
        <v>https://dpmzos25m8ivg.cloudfront.net/Documentos/631/01566053765/6310156605376505092023124815.pdf</v>
      </c>
      <c r="F479" s="5" t="str">
        <f>HYPERLINK("https://dpmzos25m8ivg.cloudfront.net/Documentos/631/01566053765/6310156605376505092023124826.pdf","https://dpmzos25m8ivg.cloudfront.net/Documentos/631/01566053765/6310156605376505092023124826.pdf")</f>
        <v>https://dpmzos25m8ivg.cloudfront.net/Documentos/631/01566053765/6310156605376505092023124826.pdf</v>
      </c>
      <c r="G479" s="5" t="str">
        <f>HYPERLINK("https://dpmzos25m8ivg.cloudfront.net/Documentos/631/01566053765/6310156605376505092023124838.pdf","https://dpmzos25m8ivg.cloudfront.net/Documentos/631/01566053765/6310156605376505092023124838.pdf")</f>
        <v>https://dpmzos25m8ivg.cloudfront.net/Documentos/631/01566053765/6310156605376505092023124838.pdf</v>
      </c>
      <c r="H479" s="4" t="s">
        <v>9066</v>
      </c>
    </row>
    <row r="480" spans="1:8" x14ac:dyDescent="0.25">
      <c r="A480" s="2" t="s">
        <v>494</v>
      </c>
      <c r="B480" s="3" t="s">
        <v>90</v>
      </c>
      <c r="C480" s="3"/>
      <c r="D480" s="3"/>
      <c r="E480" s="4" t="str">
        <f>HYPERLINK("https://dpmzos25m8ivg.cloudfront.net/Documentos/631/01567450113/6310156745011311092023154244.pdf","https://dpmzos25m8ivg.cloudfront.net/Documentos/631/01567450113/6310156745011311092023154244.pdf")</f>
        <v>https://dpmzos25m8ivg.cloudfront.net/Documentos/631/01567450113/6310156745011311092023154244.pdf</v>
      </c>
      <c r="F480" s="5" t="str">
        <f>HYPERLINK("https://dpmzos25m8ivg.cloudfront.net/Documentos/631/01567450113/6310156745011311092023154310.pdf","https://dpmzos25m8ivg.cloudfront.net/Documentos/631/01567450113/6310156745011311092023154310.pdf")</f>
        <v>https://dpmzos25m8ivg.cloudfront.net/Documentos/631/01567450113/6310156745011311092023154310.pdf</v>
      </c>
      <c r="G480" s="5" t="str">
        <f>HYPERLINK("https://dpmzos25m8ivg.cloudfront.net/Documentos/631/01567450113/6310156745011311092023154341.pdf","https://dpmzos25m8ivg.cloudfront.net/Documentos/631/01567450113/6310156745011311092023154341.pdf")</f>
        <v>https://dpmzos25m8ivg.cloudfront.net/Documentos/631/01567450113/6310156745011311092023154341.pdf</v>
      </c>
      <c r="H480" s="4" t="s">
        <v>9067</v>
      </c>
    </row>
    <row r="481" spans="1:8" x14ac:dyDescent="0.25">
      <c r="A481" s="2" t="s">
        <v>495</v>
      </c>
      <c r="B481" s="3"/>
      <c r="C481" s="3"/>
      <c r="D481" s="3"/>
      <c r="E481" s="4" t="str">
        <f>HYPERLINK("https://dpmzos25m8ivg.cloudfront.net/Documentos/631/01568927231/6310156892723110092023200153.pdf","https://dpmzos25m8ivg.cloudfront.net/Documentos/631/01568927231/6310156892723110092023200153.pdf")</f>
        <v>https://dpmzos25m8ivg.cloudfront.net/Documentos/631/01568927231/6310156892723110092023200153.pdf</v>
      </c>
      <c r="F481" s="5" t="str">
        <f>HYPERLINK("https://dpmzos25m8ivg.cloudfront.net/Documentos/631/01568927231/6310156892723110092023200210.pdf","https://dpmzos25m8ivg.cloudfront.net/Documentos/631/01568927231/6310156892723110092023200210.pdf")</f>
        <v>https://dpmzos25m8ivg.cloudfront.net/Documentos/631/01568927231/6310156892723110092023200210.pdf</v>
      </c>
      <c r="G481" s="5" t="str">
        <f>HYPERLINK("https://dpmzos25m8ivg.cloudfront.net/Documentos/631/01568927231/6310156892723110092023200226.pdf","https://dpmzos25m8ivg.cloudfront.net/Documentos/631/01568927231/6310156892723110092023200226.pdf")</f>
        <v>https://dpmzos25m8ivg.cloudfront.net/Documentos/631/01568927231/6310156892723110092023200226.pdf</v>
      </c>
      <c r="H481" s="4" t="s">
        <v>9068</v>
      </c>
    </row>
    <row r="482" spans="1:8" x14ac:dyDescent="0.25">
      <c r="A482" s="2" t="s">
        <v>496</v>
      </c>
      <c r="B482" s="3" t="s">
        <v>8</v>
      </c>
      <c r="C482" s="3"/>
      <c r="D482" s="3"/>
      <c r="E482" s="4" t="str">
        <f>HYPERLINK("https://dpmzos25m8ivg.cloudfront.net/Documentos/631/01569029075/6310156902907511092023154121.pdf","https://dpmzos25m8ivg.cloudfront.net/Documentos/631/01569029075/6310156902907511092023154121.pdf")</f>
        <v>https://dpmzos25m8ivg.cloudfront.net/Documentos/631/01569029075/6310156902907511092023154121.pdf</v>
      </c>
      <c r="F482" s="5" t="str">
        <f>HYPERLINK("https://dpmzos25m8ivg.cloudfront.net/Documentos/631/01569029075/6310156902907511092023154140.pdf","https://dpmzos25m8ivg.cloudfront.net/Documentos/631/01569029075/6310156902907511092023154140.pdf")</f>
        <v>https://dpmzos25m8ivg.cloudfront.net/Documentos/631/01569029075/6310156902907511092023154140.pdf</v>
      </c>
      <c r="G482" s="5" t="str">
        <f>HYPERLINK("https://dpmzos25m8ivg.cloudfront.net/Documentos/631/01569029075/6310156902907511092023154210.pdf","https://dpmzos25m8ivg.cloudfront.net/Documentos/631/01569029075/6310156902907511092023154210.pdf")</f>
        <v>https://dpmzos25m8ivg.cloudfront.net/Documentos/631/01569029075/6310156902907511092023154210.pdf</v>
      </c>
      <c r="H482" s="4" t="s">
        <v>9069</v>
      </c>
    </row>
    <row r="483" spans="1:8" x14ac:dyDescent="0.25">
      <c r="A483" s="2" t="s">
        <v>497</v>
      </c>
      <c r="B483" s="3"/>
      <c r="C483" s="3"/>
      <c r="D483" s="3"/>
      <c r="E483" s="4" t="str">
        <f>HYPERLINK("https://dpmzos25m8ivg.cloudfront.net/Documentos/631/01569832226/6310156983222611092023120636.pdf","https://dpmzos25m8ivg.cloudfront.net/Documentos/631/01569832226/6310156983222611092023120636.pdf")</f>
        <v>https://dpmzos25m8ivg.cloudfront.net/Documentos/631/01569832226/6310156983222611092023120636.pdf</v>
      </c>
      <c r="F483" s="5" t="str">
        <f>HYPERLINK("https://dpmzos25m8ivg.cloudfront.net/Documentos/631/01569832226/6310156983222611092023120652.pdf","https://dpmzos25m8ivg.cloudfront.net/Documentos/631/01569832226/6310156983222611092023120652.pdf")</f>
        <v>https://dpmzos25m8ivg.cloudfront.net/Documentos/631/01569832226/6310156983222611092023120652.pdf</v>
      </c>
      <c r="G483" s="5" t="str">
        <f>HYPERLINK("https://dpmzos25m8ivg.cloudfront.net/Documentos/631/01569832226/6310156983222611092023120704.pdf","https://dpmzos25m8ivg.cloudfront.net/Documentos/631/01569832226/6310156983222611092023120704.pdf")</f>
        <v>https://dpmzos25m8ivg.cloudfront.net/Documentos/631/01569832226/6310156983222611092023120704.pdf</v>
      </c>
      <c r="H483" s="4" t="s">
        <v>9070</v>
      </c>
    </row>
    <row r="484" spans="1:8" x14ac:dyDescent="0.25">
      <c r="A484" s="2" t="s">
        <v>498</v>
      </c>
      <c r="B484" s="3"/>
      <c r="C484" s="3"/>
      <c r="D484" s="3"/>
      <c r="E484" s="4" t="str">
        <f>HYPERLINK("https://dpmzos25m8ivg.cloudfront.net/Documentos/631/01573777250/6310157377725011092023143944.pdf","https://dpmzos25m8ivg.cloudfront.net/Documentos/631/01573777250/6310157377725011092023143944.pdf")</f>
        <v>https://dpmzos25m8ivg.cloudfront.net/Documentos/631/01573777250/6310157377725011092023143944.pdf</v>
      </c>
      <c r="F484" s="5" t="str">
        <f>HYPERLINK("https://dpmzos25m8ivg.cloudfront.net/Documentos/631/01573777250/6310157377725011092023144000.pdf","https://dpmzos25m8ivg.cloudfront.net/Documentos/631/01573777250/6310157377725011092023144000.pdf")</f>
        <v>https://dpmzos25m8ivg.cloudfront.net/Documentos/631/01573777250/6310157377725011092023144000.pdf</v>
      </c>
      <c r="G484" s="5" t="str">
        <f>HYPERLINK("https://dpmzos25m8ivg.cloudfront.net/Documentos/631/01573777250/6310157377725011092023144246.pdf","https://dpmzos25m8ivg.cloudfront.net/Documentos/631/01573777250/6310157377725011092023144246.pdf")</f>
        <v>https://dpmzos25m8ivg.cloudfront.net/Documentos/631/01573777250/6310157377725011092023144246.pdf</v>
      </c>
      <c r="H484" s="4" t="s">
        <v>9071</v>
      </c>
    </row>
    <row r="485" spans="1:8" x14ac:dyDescent="0.25">
      <c r="A485" s="2" t="s">
        <v>499</v>
      </c>
      <c r="B485" s="3"/>
      <c r="C485" s="3"/>
      <c r="D485" s="3"/>
      <c r="E485" s="4" t="str">
        <f>HYPERLINK("https://dpmzos25m8ivg.cloudfront.net/Documentos/631/01574346210/6310157434621011092023125926.pdf","https://dpmzos25m8ivg.cloudfront.net/Documentos/631/01574346210/6310157434621011092023125926.pdf")</f>
        <v>https://dpmzos25m8ivg.cloudfront.net/Documentos/631/01574346210/6310157434621011092023125926.pdf</v>
      </c>
      <c r="F485" s="5" t="str">
        <f>HYPERLINK("https://dpmzos25m8ivg.cloudfront.net/Documentos/631/01574346210/6310157434621011092023135428.pdf","https://dpmzos25m8ivg.cloudfront.net/Documentos/631/01574346210/6310157434621011092023135428.pdf")</f>
        <v>https://dpmzos25m8ivg.cloudfront.net/Documentos/631/01574346210/6310157434621011092023135428.pdf</v>
      </c>
      <c r="G485" s="5" t="str">
        <f>HYPERLINK("https://dpmzos25m8ivg.cloudfront.net/Documentos/631/01574346210/6310157434621011092023135440.pdf","https://dpmzos25m8ivg.cloudfront.net/Documentos/631/01574346210/6310157434621011092023135440.pdf")</f>
        <v>https://dpmzos25m8ivg.cloudfront.net/Documentos/631/01574346210/6310157434621011092023135440.pdf</v>
      </c>
      <c r="H485" s="4" t="s">
        <v>9072</v>
      </c>
    </row>
    <row r="486" spans="1:8" x14ac:dyDescent="0.25">
      <c r="A486" s="2" t="s">
        <v>500</v>
      </c>
      <c r="B486" s="3"/>
      <c r="C486" s="3"/>
      <c r="D486" s="3"/>
      <c r="E486" s="4" t="str">
        <f>HYPERLINK("https://dpmzos25m8ivg.cloudfront.net/Documentos/631/01584555505/6310158455550511092023093746.jpeg","https://dpmzos25m8ivg.cloudfront.net/Documentos/631/01584555505/6310158455550511092023093746.jpeg")</f>
        <v>https://dpmzos25m8ivg.cloudfront.net/Documentos/631/01584555505/6310158455550511092023093746.jpeg</v>
      </c>
      <c r="F486" s="5" t="str">
        <f>HYPERLINK("https://dpmzos25m8ivg.cloudfront.net/Documentos/631/01584555505/6310158455550511092023093804.jpeg","https://dpmzos25m8ivg.cloudfront.net/Documentos/631/01584555505/6310158455550511092023093804.jpeg")</f>
        <v>https://dpmzos25m8ivg.cloudfront.net/Documentos/631/01584555505/6310158455550511092023093804.jpeg</v>
      </c>
      <c r="G486" s="5" t="str">
        <f>HYPERLINK("https://dpmzos25m8ivg.cloudfront.net/Documentos/631/01584555505/6310158455550511092023093819.jpeg","https://dpmzos25m8ivg.cloudfront.net/Documentos/631/01584555505/6310158455550511092023093819.jpeg")</f>
        <v>https://dpmzos25m8ivg.cloudfront.net/Documentos/631/01584555505/6310158455550511092023093819.jpeg</v>
      </c>
      <c r="H486" s="4" t="s">
        <v>9073</v>
      </c>
    </row>
    <row r="487" spans="1:8" x14ac:dyDescent="0.25">
      <c r="A487" s="2" t="s">
        <v>501</v>
      </c>
      <c r="B487" s="3" t="s">
        <v>42</v>
      </c>
      <c r="C487" s="3"/>
      <c r="D487" s="3"/>
      <c r="E487" s="4" t="str">
        <f>HYPERLINK("https://dpmzos25m8ivg.cloudfront.net/Documentos/631/01585180637/6310158518063705092023213020.pdf","https://dpmzos25m8ivg.cloudfront.net/Documentos/631/01585180637/6310158518063705092023213020.pdf")</f>
        <v>https://dpmzos25m8ivg.cloudfront.net/Documentos/631/01585180637/6310158518063705092023213020.pdf</v>
      </c>
      <c r="F487" s="5" t="str">
        <f>HYPERLINK("https://dpmzos25m8ivg.cloudfront.net/Documentos/631/01585180637/6310158518063705092023213034.pdf","https://dpmzos25m8ivg.cloudfront.net/Documentos/631/01585180637/6310158518063705092023213034.pdf")</f>
        <v>https://dpmzos25m8ivg.cloudfront.net/Documentos/631/01585180637/6310158518063705092023213034.pdf</v>
      </c>
      <c r="G487" s="5" t="str">
        <f>HYPERLINK("https://dpmzos25m8ivg.cloudfront.net/Documentos/631/01585180637/6310158518063705092023213045.pdf","https://dpmzos25m8ivg.cloudfront.net/Documentos/631/01585180637/6310158518063705092023213045.pdf")</f>
        <v>https://dpmzos25m8ivg.cloudfront.net/Documentos/631/01585180637/6310158518063705092023213045.pdf</v>
      </c>
      <c r="H487" s="4" t="s">
        <v>9074</v>
      </c>
    </row>
    <row r="488" spans="1:8" x14ac:dyDescent="0.25">
      <c r="A488" s="2" t="s">
        <v>502</v>
      </c>
      <c r="B488" s="3"/>
      <c r="C488" s="3"/>
      <c r="D488" s="3"/>
      <c r="E488" s="4" t="str">
        <f>HYPERLINK("https://dpmzos25m8ivg.cloudfront.net/Documentos/631/01588221105/6310158822110509092023120756.pdf","https://dpmzos25m8ivg.cloudfront.net/Documentos/631/01588221105/6310158822110509092023120756.pdf")</f>
        <v>https://dpmzos25m8ivg.cloudfront.net/Documentos/631/01588221105/6310158822110509092023120756.pdf</v>
      </c>
      <c r="F488" s="5" t="str">
        <f>HYPERLINK("https://dpmzos25m8ivg.cloudfront.net/Documentos/631/01588221105/6310158822110509092023120836.pdf","https://dpmzos25m8ivg.cloudfront.net/Documentos/631/01588221105/6310158822110509092023120836.pdf")</f>
        <v>https://dpmzos25m8ivg.cloudfront.net/Documentos/631/01588221105/6310158822110509092023120836.pdf</v>
      </c>
      <c r="G488" s="5" t="str">
        <f>HYPERLINK("https://dpmzos25m8ivg.cloudfront.net/Documentos/631/01588221105/6310158822110509092023120941.pdf","https://dpmzos25m8ivg.cloudfront.net/Documentos/631/01588221105/6310158822110509092023120941.pdf")</f>
        <v>https://dpmzos25m8ivg.cloudfront.net/Documentos/631/01588221105/6310158822110509092023120941.pdf</v>
      </c>
      <c r="H488" s="4" t="s">
        <v>9075</v>
      </c>
    </row>
    <row r="489" spans="1:8" x14ac:dyDescent="0.25">
      <c r="A489" s="2" t="s">
        <v>503</v>
      </c>
      <c r="B489" s="3"/>
      <c r="C489" s="3"/>
      <c r="D489" s="3"/>
      <c r="E489" s="4" t="str">
        <f>HYPERLINK("https://dpmzos25m8ivg.cloudfront.net/Documentos/631/01588983463/6310158898346308092023003724.jpg","https://dpmzos25m8ivg.cloudfront.net/Documentos/631/01588983463/6310158898346308092023003724.jpg")</f>
        <v>https://dpmzos25m8ivg.cloudfront.net/Documentos/631/01588983463/6310158898346308092023003724.jpg</v>
      </c>
      <c r="F489" s="5" t="str">
        <f>HYPERLINK("https://dpmzos25m8ivg.cloudfront.net/Documentos/631/01588983463/6310158898346308092023003743.jpg","https://dpmzos25m8ivg.cloudfront.net/Documentos/631/01588983463/6310158898346308092023003743.jpg")</f>
        <v>https://dpmzos25m8ivg.cloudfront.net/Documentos/631/01588983463/6310158898346308092023003743.jpg</v>
      </c>
      <c r="G489" s="5" t="str">
        <f>HYPERLINK("https://dpmzos25m8ivg.cloudfront.net/Documentos/631/01588983463/6310158898346308092023003811.jpg","https://dpmzos25m8ivg.cloudfront.net/Documentos/631/01588983463/6310158898346308092023003811.jpg")</f>
        <v>https://dpmzos25m8ivg.cloudfront.net/Documentos/631/01588983463/6310158898346308092023003811.jpg</v>
      </c>
      <c r="H489" s="4" t="s">
        <v>9076</v>
      </c>
    </row>
    <row r="490" spans="1:8" x14ac:dyDescent="0.25">
      <c r="A490" s="2" t="s">
        <v>504</v>
      </c>
      <c r="B490" s="3"/>
      <c r="C490" s="3"/>
      <c r="D490" s="3"/>
      <c r="E490" s="4" t="str">
        <f>HYPERLINK("https://dpmzos25m8ivg.cloudfront.net/Documentos/631/01590581717/6310159058171710092023104940.jpeg","https://dpmzos25m8ivg.cloudfront.net/Documentos/631/01590581717/6310159058171710092023104940.jpeg")</f>
        <v>https://dpmzos25m8ivg.cloudfront.net/Documentos/631/01590581717/6310159058171710092023104940.jpeg</v>
      </c>
      <c r="F490" s="5" t="str">
        <f>HYPERLINK("https://dpmzos25m8ivg.cloudfront.net/Documentos/631/01590581717/6310159058171710092023104953.jpeg","https://dpmzos25m8ivg.cloudfront.net/Documentos/631/01590581717/6310159058171710092023104953.jpeg")</f>
        <v>https://dpmzos25m8ivg.cloudfront.net/Documentos/631/01590581717/6310159058171710092023104953.jpeg</v>
      </c>
      <c r="G490" s="5" t="str">
        <f>HYPERLINK("https://dpmzos25m8ivg.cloudfront.net/Documentos/631/01590581717/6310159058171710092023105003.jpeg","https://dpmzos25m8ivg.cloudfront.net/Documentos/631/01590581717/6310159058171710092023105003.jpeg")</f>
        <v>https://dpmzos25m8ivg.cloudfront.net/Documentos/631/01590581717/6310159058171710092023105003.jpeg</v>
      </c>
      <c r="H490" s="4" t="s">
        <v>9077</v>
      </c>
    </row>
    <row r="491" spans="1:8" x14ac:dyDescent="0.25">
      <c r="A491" s="2" t="s">
        <v>505</v>
      </c>
      <c r="B491" s="3"/>
      <c r="C491" s="3"/>
      <c r="D491" s="3"/>
      <c r="E491" s="4" t="str">
        <f>HYPERLINK("https://dpmzos25m8ivg.cloudfront.net/Documentos/631/01590887042/6310159088704208092023162750.pdf","https://dpmzos25m8ivg.cloudfront.net/Documentos/631/01590887042/6310159088704208092023162750.pdf")</f>
        <v>https://dpmzos25m8ivg.cloudfront.net/Documentos/631/01590887042/6310159088704208092023162750.pdf</v>
      </c>
      <c r="F491" s="5" t="str">
        <f>HYPERLINK("https://dpmzos25m8ivg.cloudfront.net/Documentos/631/01590887042/6310159088704208092023162817.pdf","https://dpmzos25m8ivg.cloudfront.net/Documentos/631/01590887042/6310159088704208092023162817.pdf")</f>
        <v>https://dpmzos25m8ivg.cloudfront.net/Documentos/631/01590887042/6310159088704208092023162817.pdf</v>
      </c>
      <c r="G491" s="5" t="str">
        <f>HYPERLINK("https://dpmzos25m8ivg.cloudfront.net/Documentos/631/01590887042/6310159088704208092023162833.pdf","https://dpmzos25m8ivg.cloudfront.net/Documentos/631/01590887042/6310159088704208092023162833.pdf")</f>
        <v>https://dpmzos25m8ivg.cloudfront.net/Documentos/631/01590887042/6310159088704208092023162833.pdf</v>
      </c>
      <c r="H491" s="4" t="s">
        <v>9078</v>
      </c>
    </row>
    <row r="492" spans="1:8" x14ac:dyDescent="0.25">
      <c r="A492" s="2" t="s">
        <v>506</v>
      </c>
      <c r="B492" s="3"/>
      <c r="C492" s="3"/>
      <c r="D492" s="3"/>
      <c r="E492" s="4" t="str">
        <f>HYPERLINK("https://dpmzos25m8ivg.cloudfront.net/Documentos/631/01591325099/6310159132509911092023134412.pdf","https://dpmzos25m8ivg.cloudfront.net/Documentos/631/01591325099/6310159132509911092023134412.pdf")</f>
        <v>https://dpmzos25m8ivg.cloudfront.net/Documentos/631/01591325099/6310159132509911092023134412.pdf</v>
      </c>
      <c r="F492" s="5" t="str">
        <f>HYPERLINK("https://dpmzos25m8ivg.cloudfront.net/Documentos/631/01591325099/6310159132509911092023134425.pdf","https://dpmzos25m8ivg.cloudfront.net/Documentos/631/01591325099/6310159132509911092023134425.pdf")</f>
        <v>https://dpmzos25m8ivg.cloudfront.net/Documentos/631/01591325099/6310159132509911092023134425.pdf</v>
      </c>
      <c r="G492" s="5" t="str">
        <f>HYPERLINK("https://dpmzos25m8ivg.cloudfront.net/Documentos/631/01591325099/6310159132509911092023134439.pdf","https://dpmzos25m8ivg.cloudfront.net/Documentos/631/01591325099/6310159132509911092023134439.pdf")</f>
        <v>https://dpmzos25m8ivg.cloudfront.net/Documentos/631/01591325099/6310159132509911092023134439.pdf</v>
      </c>
      <c r="H492" s="4" t="s">
        <v>9079</v>
      </c>
    </row>
    <row r="493" spans="1:8" x14ac:dyDescent="0.25">
      <c r="A493" s="2" t="s">
        <v>507</v>
      </c>
      <c r="B493" s="3" t="s">
        <v>90</v>
      </c>
      <c r="C493" s="3"/>
      <c r="D493" s="3"/>
      <c r="E493" s="4" t="str">
        <f>HYPERLINK("https://dpmzos25m8ivg.cloudfront.net/Documentos/631/01598448609/6310159844860904092023210730.jpeg","https://dpmzos25m8ivg.cloudfront.net/Documentos/631/01598448609/6310159844860904092023210730.jpeg")</f>
        <v>https://dpmzos25m8ivg.cloudfront.net/Documentos/631/01598448609/6310159844860904092023210730.jpeg</v>
      </c>
      <c r="F493" s="5" t="str">
        <f>HYPERLINK("https://dpmzos25m8ivg.cloudfront.net/Documentos/631/01598448609/6310159844860904092023210743.jpeg","https://dpmzos25m8ivg.cloudfront.net/Documentos/631/01598448609/6310159844860904092023210743.jpeg")</f>
        <v>https://dpmzos25m8ivg.cloudfront.net/Documentos/631/01598448609/6310159844860904092023210743.jpeg</v>
      </c>
      <c r="G493" s="5" t="str">
        <f>HYPERLINK("https://dpmzos25m8ivg.cloudfront.net/Documentos/631/01598448609/6310159844860904092023210936.jpeg","https://dpmzos25m8ivg.cloudfront.net/Documentos/631/01598448609/6310159844860904092023210936.jpeg")</f>
        <v>https://dpmzos25m8ivg.cloudfront.net/Documentos/631/01598448609/6310159844860904092023210936.jpeg</v>
      </c>
      <c r="H493" s="4" t="s">
        <v>9080</v>
      </c>
    </row>
    <row r="494" spans="1:8" x14ac:dyDescent="0.25">
      <c r="A494" s="2" t="s">
        <v>508</v>
      </c>
      <c r="B494" s="3"/>
      <c r="C494" s="3"/>
      <c r="D494" s="3"/>
      <c r="E494" s="4" t="str">
        <f>HYPERLINK("https://dpmzos25m8ivg.cloudfront.net/Documentos/631/01600086543/6310160008654309092023133930.jpg","https://dpmzos25m8ivg.cloudfront.net/Documentos/631/01600086543/6310160008654309092023133930.jpg")</f>
        <v>https://dpmzos25m8ivg.cloudfront.net/Documentos/631/01600086543/6310160008654309092023133930.jpg</v>
      </c>
      <c r="F494" s="5" t="str">
        <f>HYPERLINK("https://dpmzos25m8ivg.cloudfront.net/Documentos/631/01600086543/6310160008654309092023134011.jpg","https://dpmzos25m8ivg.cloudfront.net/Documentos/631/01600086543/6310160008654309092023134011.jpg")</f>
        <v>https://dpmzos25m8ivg.cloudfront.net/Documentos/631/01600086543/6310160008654309092023134011.jpg</v>
      </c>
      <c r="G494" s="5" t="str">
        <f>HYPERLINK("https://dpmzos25m8ivg.cloudfront.net/Documentos/631/01600086543/6310160008654309092023134043.jpg","https://dpmzos25m8ivg.cloudfront.net/Documentos/631/01600086543/6310160008654309092023134043.jpg")</f>
        <v>https://dpmzos25m8ivg.cloudfront.net/Documentos/631/01600086543/6310160008654309092023134043.jpg</v>
      </c>
      <c r="H494" s="4" t="s">
        <v>9081</v>
      </c>
    </row>
    <row r="495" spans="1:8" x14ac:dyDescent="0.25">
      <c r="A495" s="2" t="s">
        <v>509</v>
      </c>
      <c r="B495" s="3"/>
      <c r="C495" s="3"/>
      <c r="D495" s="3"/>
      <c r="E495" s="4" t="str">
        <f>HYPERLINK("https://dpmzos25m8ivg.cloudfront.net/Documentos/631/01600159605/6310160015960507092023143700.jpg","https://dpmzos25m8ivg.cloudfront.net/Documentos/631/01600159605/6310160015960507092023143700.jpg")</f>
        <v>https://dpmzos25m8ivg.cloudfront.net/Documentos/631/01600159605/6310160015960507092023143700.jpg</v>
      </c>
      <c r="F495" s="5" t="str">
        <f>HYPERLINK("https://dpmzos25m8ivg.cloudfront.net/Documentos/631/01600159605/6310160015960507092023143713.jpg","https://dpmzos25m8ivg.cloudfront.net/Documentos/631/01600159605/6310160015960507092023143713.jpg")</f>
        <v>https://dpmzos25m8ivg.cloudfront.net/Documentos/631/01600159605/6310160015960507092023143713.jpg</v>
      </c>
      <c r="G495" s="5" t="str">
        <f>HYPERLINK("https://dpmzos25m8ivg.cloudfront.net/Documentos/631/01600159605/6310160015960507092023143729.jpg","https://dpmzos25m8ivg.cloudfront.net/Documentos/631/01600159605/6310160015960507092023143729.jpg")</f>
        <v>https://dpmzos25m8ivg.cloudfront.net/Documentos/631/01600159605/6310160015960507092023143729.jpg</v>
      </c>
      <c r="H495" s="4" t="s">
        <v>9082</v>
      </c>
    </row>
    <row r="496" spans="1:8" x14ac:dyDescent="0.25">
      <c r="A496" s="2" t="s">
        <v>510</v>
      </c>
      <c r="B496" s="3"/>
      <c r="C496" s="3"/>
      <c r="D496" s="3"/>
      <c r="E496" s="4" t="str">
        <f>HYPERLINK("https://dpmzos25m8ivg.cloudfront.net/Documentos/631/01602200688/6310160220068809092023133015.jpeg","https://dpmzos25m8ivg.cloudfront.net/Documentos/631/01602200688/6310160220068809092023133015.jpeg")</f>
        <v>https://dpmzos25m8ivg.cloudfront.net/Documentos/631/01602200688/6310160220068809092023133015.jpeg</v>
      </c>
      <c r="F496" s="5" t="str">
        <f>HYPERLINK("https://dpmzos25m8ivg.cloudfront.net/Documentos/631/01602200688/6310160220068809092023133042.jpeg","https://dpmzos25m8ivg.cloudfront.net/Documentos/631/01602200688/6310160220068809092023133042.jpeg")</f>
        <v>https://dpmzos25m8ivg.cloudfront.net/Documentos/631/01602200688/6310160220068809092023133042.jpeg</v>
      </c>
      <c r="G496" s="5" t="str">
        <f>HYPERLINK("https://dpmzos25m8ivg.cloudfront.net/Documentos/631/01602200688/6310160220068809092023133108.jpeg","https://dpmzos25m8ivg.cloudfront.net/Documentos/631/01602200688/6310160220068809092023133108.jpeg")</f>
        <v>https://dpmzos25m8ivg.cloudfront.net/Documentos/631/01602200688/6310160220068809092023133108.jpeg</v>
      </c>
      <c r="H496" s="4" t="s">
        <v>9083</v>
      </c>
    </row>
    <row r="497" spans="1:8" x14ac:dyDescent="0.25">
      <c r="A497" s="2" t="s">
        <v>511</v>
      </c>
      <c r="B497" s="3"/>
      <c r="C497" s="3"/>
      <c r="D497" s="3"/>
      <c r="E497" s="4" t="str">
        <f>HYPERLINK("https://dpmzos25m8ivg.cloudfront.net/Documentos/631/01602953600/6310160295360011092023091044.pdf","https://dpmzos25m8ivg.cloudfront.net/Documentos/631/01602953600/6310160295360011092023091044.pdf")</f>
        <v>https://dpmzos25m8ivg.cloudfront.net/Documentos/631/01602953600/6310160295360011092023091044.pdf</v>
      </c>
      <c r="F497" s="5" t="str">
        <f>HYPERLINK("https://dpmzos25m8ivg.cloudfront.net/Documentos/631/01602953600/6310160295360011092023091111.pdf","https://dpmzos25m8ivg.cloudfront.net/Documentos/631/01602953600/6310160295360011092023091111.pdf")</f>
        <v>https://dpmzos25m8ivg.cloudfront.net/Documentos/631/01602953600/6310160295360011092023091111.pdf</v>
      </c>
      <c r="G497" s="5" t="str">
        <f>HYPERLINK("https://dpmzos25m8ivg.cloudfront.net/Documentos/631/01602953600/6310160295360011092023091153.pdf","https://dpmzos25m8ivg.cloudfront.net/Documentos/631/01602953600/6310160295360011092023091153.pdf")</f>
        <v>https://dpmzos25m8ivg.cloudfront.net/Documentos/631/01602953600/6310160295360011092023091153.pdf</v>
      </c>
      <c r="H497" s="4" t="s">
        <v>9084</v>
      </c>
    </row>
    <row r="498" spans="1:8" x14ac:dyDescent="0.25">
      <c r="A498" s="2" t="s">
        <v>512</v>
      </c>
      <c r="B498" s="3" t="s">
        <v>90</v>
      </c>
      <c r="C498" s="3"/>
      <c r="D498" s="3"/>
      <c r="E498" s="4" t="str">
        <f>HYPERLINK("https://dpmzos25m8ivg.cloudfront.net/Documentos/631/01604824700/6310160482470009092023151131.pdf","https://dpmzos25m8ivg.cloudfront.net/Documentos/631/01604824700/6310160482470009092023151131.pdf")</f>
        <v>https://dpmzos25m8ivg.cloudfront.net/Documentos/631/01604824700/6310160482470009092023151131.pdf</v>
      </c>
      <c r="F498" s="5" t="str">
        <f>HYPERLINK("https://dpmzos25m8ivg.cloudfront.net/Documentos/631/01604824700/6310160482470009092023151138.pdf","https://dpmzos25m8ivg.cloudfront.net/Documentos/631/01604824700/6310160482470009092023151138.pdf")</f>
        <v>https://dpmzos25m8ivg.cloudfront.net/Documentos/631/01604824700/6310160482470009092023151138.pdf</v>
      </c>
      <c r="G498" s="5" t="str">
        <f>HYPERLINK("https://dpmzos25m8ivg.cloudfront.net/Documentos/631/01604824700/6310160482470009092023151146.pdf","https://dpmzos25m8ivg.cloudfront.net/Documentos/631/01604824700/6310160482470009092023151146.pdf")</f>
        <v>https://dpmzos25m8ivg.cloudfront.net/Documentos/631/01604824700/6310160482470009092023151146.pdf</v>
      </c>
      <c r="H498" s="4" t="s">
        <v>9085</v>
      </c>
    </row>
    <row r="499" spans="1:8" x14ac:dyDescent="0.25">
      <c r="A499" s="2" t="s">
        <v>513</v>
      </c>
      <c r="B499" s="3"/>
      <c r="C499" s="3"/>
      <c r="D499" s="3"/>
      <c r="E499" s="4" t="str">
        <f>HYPERLINK("https://dpmzos25m8ivg.cloudfront.net/Documentos/631/01605000280/6310160500028008092023112924.pdf","https://dpmzos25m8ivg.cloudfront.net/Documentos/631/01605000280/6310160500028008092023112924.pdf")</f>
        <v>https://dpmzos25m8ivg.cloudfront.net/Documentos/631/01605000280/6310160500028008092023112924.pdf</v>
      </c>
      <c r="F499" s="5" t="str">
        <f>HYPERLINK("https://dpmzos25m8ivg.cloudfront.net/Documentos/631/01605000280/6310160500028008092023112936.pdf","https://dpmzos25m8ivg.cloudfront.net/Documentos/631/01605000280/6310160500028008092023112936.pdf")</f>
        <v>https://dpmzos25m8ivg.cloudfront.net/Documentos/631/01605000280/6310160500028008092023112936.pdf</v>
      </c>
      <c r="G499" s="5" t="str">
        <f>HYPERLINK("https://dpmzos25m8ivg.cloudfront.net/Documentos/631/01605000280/6310160500028008092023112946.pdf","https://dpmzos25m8ivg.cloudfront.net/Documentos/631/01605000280/6310160500028008092023112946.pdf")</f>
        <v>https://dpmzos25m8ivg.cloudfront.net/Documentos/631/01605000280/6310160500028008092023112946.pdf</v>
      </c>
      <c r="H499" s="4" t="s">
        <v>9086</v>
      </c>
    </row>
    <row r="500" spans="1:8" x14ac:dyDescent="0.25">
      <c r="A500" s="2" t="s">
        <v>514</v>
      </c>
      <c r="B500" s="3"/>
      <c r="C500" s="3"/>
      <c r="D500" s="3"/>
      <c r="E500" s="4" t="str">
        <f>HYPERLINK("https://dpmzos25m8ivg.cloudfront.net/Documentos/631/01607852608/6310160785260813092023201553.pdf","https://dpmzos25m8ivg.cloudfront.net/Documentos/631/01607852608/6310160785260813092023201553.pdf")</f>
        <v>https://dpmzos25m8ivg.cloudfront.net/Documentos/631/01607852608/6310160785260813092023201553.pdf</v>
      </c>
      <c r="F500" s="5" t="str">
        <f>HYPERLINK("https://dpmzos25m8ivg.cloudfront.net/Documentos/631/01607852608/6310160785260813092023201606.pdf","https://dpmzos25m8ivg.cloudfront.net/Documentos/631/01607852608/6310160785260813092023201606.pdf")</f>
        <v>https://dpmzos25m8ivg.cloudfront.net/Documentos/631/01607852608/6310160785260813092023201606.pdf</v>
      </c>
      <c r="G500" s="5" t="str">
        <f>HYPERLINK("https://dpmzos25m8ivg.cloudfront.net/Documentos/631/01607852608/6310160785260813092023201616.pdf","https://dpmzos25m8ivg.cloudfront.net/Documentos/631/01607852608/6310160785260813092023201616.pdf")</f>
        <v>https://dpmzos25m8ivg.cloudfront.net/Documentos/631/01607852608/6310160785260813092023201616.pdf</v>
      </c>
      <c r="H500" s="4" t="s">
        <v>9087</v>
      </c>
    </row>
    <row r="501" spans="1:8" x14ac:dyDescent="0.25">
      <c r="A501" s="2" t="s">
        <v>515</v>
      </c>
      <c r="B501" s="3"/>
      <c r="C501" s="3"/>
      <c r="D501" s="3"/>
      <c r="E501" s="4" t="str">
        <f>HYPERLINK("https://dpmzos25m8ivg.cloudfront.net/Documentos/631/01610933702/6310161093370207092023051350.pdf","https://dpmzos25m8ivg.cloudfront.net/Documentos/631/01610933702/6310161093370207092023051350.pdf")</f>
        <v>https://dpmzos25m8ivg.cloudfront.net/Documentos/631/01610933702/6310161093370207092023051350.pdf</v>
      </c>
      <c r="F501" s="5" t="str">
        <f>HYPERLINK("https://dpmzos25m8ivg.cloudfront.net/Documentos/631/01610933702/6310161093370207092023051402.pdf","https://dpmzos25m8ivg.cloudfront.net/Documentos/631/01610933702/6310161093370207092023051402.pdf")</f>
        <v>https://dpmzos25m8ivg.cloudfront.net/Documentos/631/01610933702/6310161093370207092023051402.pdf</v>
      </c>
      <c r="G501" s="5" t="str">
        <f>HYPERLINK("https://dpmzos25m8ivg.cloudfront.net/Documentos/631/01610933702/6310161093370207092023051416.pdf","https://dpmzos25m8ivg.cloudfront.net/Documentos/631/01610933702/6310161093370207092023051416.pdf")</f>
        <v>https://dpmzos25m8ivg.cloudfront.net/Documentos/631/01610933702/6310161093370207092023051416.pdf</v>
      </c>
      <c r="H501" s="4" t="s">
        <v>9088</v>
      </c>
    </row>
    <row r="502" spans="1:8" x14ac:dyDescent="0.25">
      <c r="A502" s="2" t="s">
        <v>516</v>
      </c>
      <c r="B502" s="3"/>
      <c r="C502" s="3"/>
      <c r="D502" s="3"/>
      <c r="E502" s="4" t="str">
        <f>HYPERLINK("https://dpmzos25m8ivg.cloudfront.net/Documentos/631/01615671269/6310161567126911092023151346.jpeg","https://dpmzos25m8ivg.cloudfront.net/Documentos/631/01615671269/6310161567126911092023151346.jpeg")</f>
        <v>https://dpmzos25m8ivg.cloudfront.net/Documentos/631/01615671269/6310161567126911092023151346.jpeg</v>
      </c>
      <c r="F502" s="5" t="str">
        <f>HYPERLINK("https://dpmzos25m8ivg.cloudfront.net/Documentos/631/01615671269/6310161567126911092023151406.jpeg","https://dpmzos25m8ivg.cloudfront.net/Documentos/631/01615671269/6310161567126911092023151406.jpeg")</f>
        <v>https://dpmzos25m8ivg.cloudfront.net/Documentos/631/01615671269/6310161567126911092023151406.jpeg</v>
      </c>
      <c r="G502" s="5" t="str">
        <f>HYPERLINK("https://dpmzos25m8ivg.cloudfront.net/Documentos/631/01615671269/6310161567126911092023151417.jpeg","https://dpmzos25m8ivg.cloudfront.net/Documentos/631/01615671269/6310161567126911092023151417.jpeg")</f>
        <v>https://dpmzos25m8ivg.cloudfront.net/Documentos/631/01615671269/6310161567126911092023151417.jpeg</v>
      </c>
      <c r="H502" s="4" t="s">
        <v>9089</v>
      </c>
    </row>
    <row r="503" spans="1:8" x14ac:dyDescent="0.25">
      <c r="A503" s="2" t="s">
        <v>517</v>
      </c>
      <c r="B503" s="3"/>
      <c r="C503" s="3"/>
      <c r="D503" s="3"/>
      <c r="E503" s="4" t="str">
        <f>HYPERLINK("https://dpmzos25m8ivg.cloudfront.net/Documentos/631/01617009180/6310161700918011092023155840.jpg","https://dpmzos25m8ivg.cloudfront.net/Documentos/631/01617009180/6310161700918011092023155840.jpg")</f>
        <v>https://dpmzos25m8ivg.cloudfront.net/Documentos/631/01617009180/6310161700918011092023155840.jpg</v>
      </c>
      <c r="F503" s="5" t="str">
        <f>HYPERLINK("https://dpmzos25m8ivg.cloudfront.net/Documentos/631/01617009180/6310161700918011092023160001.jpg","https://dpmzos25m8ivg.cloudfront.net/Documentos/631/01617009180/6310161700918011092023160001.jpg")</f>
        <v>https://dpmzos25m8ivg.cloudfront.net/Documentos/631/01617009180/6310161700918011092023160001.jpg</v>
      </c>
      <c r="G503" s="5" t="str">
        <f>HYPERLINK("https://dpmzos25m8ivg.cloudfront.net/Documentos/631/01617009180/6310161700918011092023160151.jpg","https://dpmzos25m8ivg.cloudfront.net/Documentos/631/01617009180/6310161700918011092023160151.jpg")</f>
        <v>https://dpmzos25m8ivg.cloudfront.net/Documentos/631/01617009180/6310161700918011092023160151.jpg</v>
      </c>
      <c r="H503" s="4" t="s">
        <v>9090</v>
      </c>
    </row>
    <row r="504" spans="1:8" x14ac:dyDescent="0.25">
      <c r="A504" s="2" t="s">
        <v>518</v>
      </c>
      <c r="B504" s="3" t="s">
        <v>8</v>
      </c>
      <c r="C504" s="3"/>
      <c r="D504" s="3"/>
      <c r="E504" s="4" t="str">
        <f>HYPERLINK("https://dpmzos25m8ivg.cloudfront.net/Documentos/631/01617433152/6310161743315211092023033304.pdf","https://dpmzos25m8ivg.cloudfront.net/Documentos/631/01617433152/6310161743315211092023033304.pdf")</f>
        <v>https://dpmzos25m8ivg.cloudfront.net/Documentos/631/01617433152/6310161743315211092023033304.pdf</v>
      </c>
      <c r="F504" s="5" t="str">
        <f>HYPERLINK("https://dpmzos25m8ivg.cloudfront.net/Documentos/631/01617433152/6310161743315211092023033318.pdf","https://dpmzos25m8ivg.cloudfront.net/Documentos/631/01617433152/6310161743315211092023033318.pdf")</f>
        <v>https://dpmzos25m8ivg.cloudfront.net/Documentos/631/01617433152/6310161743315211092023033318.pdf</v>
      </c>
      <c r="G504" s="5" t="str">
        <f>HYPERLINK("https://dpmzos25m8ivg.cloudfront.net/Documentos/631/01617433152/6310161743315211092023033338.pdf","https://dpmzos25m8ivg.cloudfront.net/Documentos/631/01617433152/6310161743315211092023033338.pdf")</f>
        <v>https://dpmzos25m8ivg.cloudfront.net/Documentos/631/01617433152/6310161743315211092023033338.pdf</v>
      </c>
      <c r="H504" s="4" t="s">
        <v>9091</v>
      </c>
    </row>
    <row r="505" spans="1:8" x14ac:dyDescent="0.25">
      <c r="A505" s="2" t="s">
        <v>519</v>
      </c>
      <c r="B505" s="3"/>
      <c r="C505" s="3"/>
      <c r="D505" s="3"/>
      <c r="E505" s="4" t="str">
        <f>HYPERLINK("https://dpmzos25m8ivg.cloudfront.net/Documentos/631/01619252430/6310161925243014092023115007.jpg","https://dpmzos25m8ivg.cloudfront.net/Documentos/631/01619252430/6310161925243014092023115007.jpg")</f>
        <v>https://dpmzos25m8ivg.cloudfront.net/Documentos/631/01619252430/6310161925243014092023115007.jpg</v>
      </c>
      <c r="F505" s="5" t="str">
        <f>HYPERLINK("https://dpmzos25m8ivg.cloudfront.net/Documentos/631/01619252430/6310161925243014092023115041.jpg","https://dpmzos25m8ivg.cloudfront.net/Documentos/631/01619252430/6310161925243014092023115041.jpg")</f>
        <v>https://dpmzos25m8ivg.cloudfront.net/Documentos/631/01619252430/6310161925243014092023115041.jpg</v>
      </c>
      <c r="G505" s="5" t="str">
        <f>HYPERLINK("https://dpmzos25m8ivg.cloudfront.net/Documentos/631/01619252430/6310161925243014092023115100.jpg","https://dpmzos25m8ivg.cloudfront.net/Documentos/631/01619252430/6310161925243014092023115100.jpg")</f>
        <v>https://dpmzos25m8ivg.cloudfront.net/Documentos/631/01619252430/6310161925243014092023115100.jpg</v>
      </c>
      <c r="H505" s="4" t="s">
        <v>9092</v>
      </c>
    </row>
    <row r="506" spans="1:8" x14ac:dyDescent="0.25">
      <c r="A506" s="2" t="s">
        <v>520</v>
      </c>
      <c r="B506" s="3"/>
      <c r="C506" s="3"/>
      <c r="D506" s="3"/>
      <c r="E506" s="4" t="str">
        <f>HYPERLINK("https://dpmzos25m8ivg.cloudfront.net/Documentos/631/01627847677/6310162784767713092023212858.pdf","https://dpmzos25m8ivg.cloudfront.net/Documentos/631/01627847677/6310162784767713092023212858.pdf")</f>
        <v>https://dpmzos25m8ivg.cloudfront.net/Documentos/631/01627847677/6310162784767713092023212858.pdf</v>
      </c>
      <c r="F506" s="5" t="str">
        <f>HYPERLINK("https://dpmzos25m8ivg.cloudfront.net/Documentos/631/01627847677/6310162784767713092023213120.pdf","https://dpmzos25m8ivg.cloudfront.net/Documentos/631/01627847677/6310162784767713092023213120.pdf")</f>
        <v>https://dpmzos25m8ivg.cloudfront.net/Documentos/631/01627847677/6310162784767713092023213120.pdf</v>
      </c>
      <c r="G506" s="5" t="str">
        <f>HYPERLINK("https://dpmzos25m8ivg.cloudfront.net/Documentos/631/01627847677/6310162784767713092023213228.pdf","https://dpmzos25m8ivg.cloudfront.net/Documentos/631/01627847677/6310162784767713092023213228.pdf")</f>
        <v>https://dpmzos25m8ivg.cloudfront.net/Documentos/631/01627847677/6310162784767713092023213228.pdf</v>
      </c>
      <c r="H506" s="4" t="s">
        <v>9093</v>
      </c>
    </row>
    <row r="507" spans="1:8" x14ac:dyDescent="0.25">
      <c r="A507" s="2" t="s">
        <v>521</v>
      </c>
      <c r="B507" s="3"/>
      <c r="C507" s="3"/>
      <c r="D507" s="3"/>
      <c r="E507" s="4" t="str">
        <f>HYPERLINK("https://dpmzos25m8ivg.cloudfront.net/Documentos/631/01630220469/6310163022046911092023085241.pdf","https://dpmzos25m8ivg.cloudfront.net/Documentos/631/01630220469/6310163022046911092023085241.pdf")</f>
        <v>https://dpmzos25m8ivg.cloudfront.net/Documentos/631/01630220469/6310163022046911092023085241.pdf</v>
      </c>
      <c r="F507" s="5" t="str">
        <f>HYPERLINK("https://dpmzos25m8ivg.cloudfront.net/Documentos/631/01630220469/6310163022046911092023085252.pdf","https://dpmzos25m8ivg.cloudfront.net/Documentos/631/01630220469/6310163022046911092023085252.pdf")</f>
        <v>https://dpmzos25m8ivg.cloudfront.net/Documentos/631/01630220469/6310163022046911092023085252.pdf</v>
      </c>
      <c r="G507" s="5" t="str">
        <f>HYPERLINK("https://dpmzos25m8ivg.cloudfront.net/Documentos/631/01630220469/6310163022046911092023085302.pdf","https://dpmzos25m8ivg.cloudfront.net/Documentos/631/01630220469/6310163022046911092023085302.pdf")</f>
        <v>https://dpmzos25m8ivg.cloudfront.net/Documentos/631/01630220469/6310163022046911092023085302.pdf</v>
      </c>
      <c r="H507" s="4" t="s">
        <v>9094</v>
      </c>
    </row>
    <row r="508" spans="1:8" x14ac:dyDescent="0.25">
      <c r="A508" s="2" t="s">
        <v>522</v>
      </c>
      <c r="B508" s="3" t="s">
        <v>8</v>
      </c>
      <c r="C508" s="3"/>
      <c r="D508" s="3"/>
      <c r="E508" s="4" t="str">
        <f>HYPERLINK("https://dpmzos25m8ivg.cloudfront.net/Documentos/631/01632435144/6310163243514411092023145854.pdf","https://dpmzos25m8ivg.cloudfront.net/Documentos/631/01632435144/6310163243514411092023145854.pdf")</f>
        <v>https://dpmzos25m8ivg.cloudfront.net/Documentos/631/01632435144/6310163243514411092023145854.pdf</v>
      </c>
      <c r="F508" s="5" t="str">
        <f>HYPERLINK("https://dpmzos25m8ivg.cloudfront.net/Documentos/631/01632435144/6310163243514411092023145910.pdf","https://dpmzos25m8ivg.cloudfront.net/Documentos/631/01632435144/6310163243514411092023145910.pdf")</f>
        <v>https://dpmzos25m8ivg.cloudfront.net/Documentos/631/01632435144/6310163243514411092023145910.pdf</v>
      </c>
      <c r="G508" s="5" t="str">
        <f>HYPERLINK("https://dpmzos25m8ivg.cloudfront.net/Documentos/631/01632435144/6310163243514411092023145923.pdf","https://dpmzos25m8ivg.cloudfront.net/Documentos/631/01632435144/6310163243514411092023145923.pdf")</f>
        <v>https://dpmzos25m8ivg.cloudfront.net/Documentos/631/01632435144/6310163243514411092023145923.pdf</v>
      </c>
      <c r="H508" s="4" t="s">
        <v>9095</v>
      </c>
    </row>
    <row r="509" spans="1:8" x14ac:dyDescent="0.25">
      <c r="A509" s="2" t="s">
        <v>523</v>
      </c>
      <c r="B509" s="3"/>
      <c r="C509" s="3"/>
      <c r="D509" s="3"/>
      <c r="E509" s="4" t="str">
        <f>HYPERLINK("https://dpmzos25m8ivg.cloudfront.net/Documentos/631/01633070670/6310163307067010092023210120.pdf","https://dpmzos25m8ivg.cloudfront.net/Documentos/631/01633070670/6310163307067010092023210120.pdf")</f>
        <v>https://dpmzos25m8ivg.cloudfront.net/Documentos/631/01633070670/6310163307067010092023210120.pdf</v>
      </c>
      <c r="F509" s="5" t="str">
        <f>HYPERLINK("https://dpmzos25m8ivg.cloudfront.net/Documentos/631/01633070670/6310163307067010092023210150.pdf","https://dpmzos25m8ivg.cloudfront.net/Documentos/631/01633070670/6310163307067010092023210150.pdf")</f>
        <v>https://dpmzos25m8ivg.cloudfront.net/Documentos/631/01633070670/6310163307067010092023210150.pdf</v>
      </c>
      <c r="G509" s="5" t="str">
        <f>HYPERLINK("https://dpmzos25m8ivg.cloudfront.net/Documentos/631/01633070670/6310163307067010092023210204.pdf","https://dpmzos25m8ivg.cloudfront.net/Documentos/631/01633070670/6310163307067010092023210204.pdf")</f>
        <v>https://dpmzos25m8ivg.cloudfront.net/Documentos/631/01633070670/6310163307067010092023210204.pdf</v>
      </c>
      <c r="H509" s="4" t="s">
        <v>9096</v>
      </c>
    </row>
    <row r="510" spans="1:8" x14ac:dyDescent="0.25">
      <c r="A510" s="2" t="s">
        <v>524</v>
      </c>
      <c r="B510" s="3"/>
      <c r="C510" s="3"/>
      <c r="D510" s="3"/>
      <c r="E510" s="4" t="str">
        <f>HYPERLINK("https://dpmzos25m8ivg.cloudfront.net/Documentos/631/01634026209/6310163402620910092023204949.pdf","https://dpmzos25m8ivg.cloudfront.net/Documentos/631/01634026209/6310163402620910092023204949.pdf")</f>
        <v>https://dpmzos25m8ivg.cloudfront.net/Documentos/631/01634026209/6310163402620910092023204949.pdf</v>
      </c>
      <c r="F510" s="5" t="str">
        <f>HYPERLINK("https://dpmzos25m8ivg.cloudfront.net/Documentos/631/01634026209/6310163402620910092023205000.pdf","https://dpmzos25m8ivg.cloudfront.net/Documentos/631/01634026209/6310163402620910092023205000.pdf")</f>
        <v>https://dpmzos25m8ivg.cloudfront.net/Documentos/631/01634026209/6310163402620910092023205000.pdf</v>
      </c>
      <c r="G510" s="5" t="str">
        <f>HYPERLINK("https://dpmzos25m8ivg.cloudfront.net/Documentos/631/01634026209/6310163402620910092023205011.pdf","https://dpmzos25m8ivg.cloudfront.net/Documentos/631/01634026209/6310163402620910092023205011.pdf")</f>
        <v>https://dpmzos25m8ivg.cloudfront.net/Documentos/631/01634026209/6310163402620910092023205011.pdf</v>
      </c>
      <c r="H510" s="4" t="s">
        <v>9097</v>
      </c>
    </row>
    <row r="511" spans="1:8" x14ac:dyDescent="0.25">
      <c r="A511" s="2" t="s">
        <v>525</v>
      </c>
      <c r="B511" s="3"/>
      <c r="C511" s="3"/>
      <c r="D511" s="3"/>
      <c r="E511" s="4" t="str">
        <f>HYPERLINK("https://dpmzos25m8ivg.cloudfront.net/Documentos/631/01640790250/6310164079025011092023161335.jpg","https://dpmzos25m8ivg.cloudfront.net/Documentos/631/01640790250/6310164079025011092023161335.jpg")</f>
        <v>https://dpmzos25m8ivg.cloudfront.net/Documentos/631/01640790250/6310164079025011092023161335.jpg</v>
      </c>
      <c r="F511" s="5" t="str">
        <f>HYPERLINK("https://dpmzos25m8ivg.cloudfront.net/Documentos/631/01640790250/6310164079025011092023161350.jpg","https://dpmzos25m8ivg.cloudfront.net/Documentos/631/01640790250/6310164079025011092023161350.jpg")</f>
        <v>https://dpmzos25m8ivg.cloudfront.net/Documentos/631/01640790250/6310164079025011092023161350.jpg</v>
      </c>
      <c r="G511" s="5" t="str">
        <f>HYPERLINK("https://dpmzos25m8ivg.cloudfront.net/Documentos/631/01640790250/6310164079025011092023161400.jpg","https://dpmzos25m8ivg.cloudfront.net/Documentos/631/01640790250/6310164079025011092023161400.jpg")</f>
        <v>https://dpmzos25m8ivg.cloudfront.net/Documentos/631/01640790250/6310164079025011092023161400.jpg</v>
      </c>
      <c r="H511" s="4" t="s">
        <v>9098</v>
      </c>
    </row>
    <row r="512" spans="1:8" x14ac:dyDescent="0.25">
      <c r="A512" s="2" t="s">
        <v>526</v>
      </c>
      <c r="B512" s="3"/>
      <c r="C512" s="3"/>
      <c r="D512" s="3"/>
      <c r="E512" s="4" t="str">
        <f>HYPERLINK("https://dpmzos25m8ivg.cloudfront.net/Documentos/631/01644120267/6310164412026706092023025313.pdf","https://dpmzos25m8ivg.cloudfront.net/Documentos/631/01644120267/6310164412026706092023025313.pdf")</f>
        <v>https://dpmzos25m8ivg.cloudfront.net/Documentos/631/01644120267/6310164412026706092023025313.pdf</v>
      </c>
      <c r="F512" s="5" t="str">
        <f>HYPERLINK("https://dpmzos25m8ivg.cloudfront.net/Documentos/631/01644120267/6310164412026706092023025326.pdf","https://dpmzos25m8ivg.cloudfront.net/Documentos/631/01644120267/6310164412026706092023025326.pdf")</f>
        <v>https://dpmzos25m8ivg.cloudfront.net/Documentos/631/01644120267/6310164412026706092023025326.pdf</v>
      </c>
      <c r="G512" s="5" t="str">
        <f>HYPERLINK("https://dpmzos25m8ivg.cloudfront.net/Documentos/631/01644120267/6310164412026706092023025338.pdf","https://dpmzos25m8ivg.cloudfront.net/Documentos/631/01644120267/6310164412026706092023025338.pdf")</f>
        <v>https://dpmzos25m8ivg.cloudfront.net/Documentos/631/01644120267/6310164412026706092023025338.pdf</v>
      </c>
      <c r="H512" s="4" t="s">
        <v>9099</v>
      </c>
    </row>
    <row r="513" spans="1:8" x14ac:dyDescent="0.25">
      <c r="A513" s="2" t="s">
        <v>527</v>
      </c>
      <c r="B513" s="3"/>
      <c r="C513" s="3"/>
      <c r="D513" s="3"/>
      <c r="E513" s="4" t="str">
        <f>HYPERLINK("https://dpmzos25m8ivg.cloudfront.net/Documentos/631/01645006263/6310164500626314092023154423.pdf","https://dpmzos25m8ivg.cloudfront.net/Documentos/631/01645006263/6310164500626314092023154423.pdf")</f>
        <v>https://dpmzos25m8ivg.cloudfront.net/Documentos/631/01645006263/6310164500626314092023154423.pdf</v>
      </c>
      <c r="F513" s="5" t="str">
        <f>HYPERLINK("https://dpmzos25m8ivg.cloudfront.net/Documentos/631/01645006263/6310164500626314092023154431.pdf","https://dpmzos25m8ivg.cloudfront.net/Documentos/631/01645006263/6310164500626314092023154431.pdf")</f>
        <v>https://dpmzos25m8ivg.cloudfront.net/Documentos/631/01645006263/6310164500626314092023154431.pdf</v>
      </c>
      <c r="G513" s="5" t="str">
        <f>HYPERLINK("https://dpmzos25m8ivg.cloudfront.net/Documentos/631/01645006263/6310164500626314092023154438.pdf","https://dpmzos25m8ivg.cloudfront.net/Documentos/631/01645006263/6310164500626314092023154438.pdf")</f>
        <v>https://dpmzos25m8ivg.cloudfront.net/Documentos/631/01645006263/6310164500626314092023154438.pdf</v>
      </c>
      <c r="H513" s="4" t="s">
        <v>9100</v>
      </c>
    </row>
    <row r="514" spans="1:8" x14ac:dyDescent="0.25">
      <c r="A514" s="7" t="s">
        <v>528</v>
      </c>
      <c r="B514" s="3" t="s">
        <v>23</v>
      </c>
      <c r="C514" s="3"/>
      <c r="D514" s="3"/>
      <c r="E514" s="4" t="str">
        <f>HYPERLINK("https://dpmzos25m8ivg.cloudfront.net/Documentos/631/01647519985/6310164751998511092023145651.pdf","https://dpmzos25m8ivg.cloudfront.net/Documentos/631/01647519985/6310164751998511092023145651.pdf")</f>
        <v>https://dpmzos25m8ivg.cloudfront.net/Documentos/631/01647519985/6310164751998511092023145651.pdf</v>
      </c>
      <c r="F514" s="5" t="str">
        <f>HYPERLINK("https://dpmzos25m8ivg.cloudfront.net/Documentos/631/01647519985/6310164751998511092023145658.pdf","https://dpmzos25m8ivg.cloudfront.net/Documentos/631/01647519985/6310164751998511092023145658.pdf")</f>
        <v>https://dpmzos25m8ivg.cloudfront.net/Documentos/631/01647519985/6310164751998511092023145658.pdf</v>
      </c>
      <c r="G514" s="5" t="str">
        <f>HYPERLINK("https://dpmzos25m8ivg.cloudfront.net/Documentos/631/01647519985/6310164751998511092023145705.pdf","https://dpmzos25m8ivg.cloudfront.net/Documentos/631/01647519985/6310164751998511092023145705.pdf")</f>
        <v>https://dpmzos25m8ivg.cloudfront.net/Documentos/631/01647519985/6310164751998511092023145705.pdf</v>
      </c>
      <c r="H514" s="4" t="s">
        <v>9101</v>
      </c>
    </row>
    <row r="515" spans="1:8" x14ac:dyDescent="0.25">
      <c r="A515" s="2" t="s">
        <v>529</v>
      </c>
      <c r="B515" s="3" t="s">
        <v>42</v>
      </c>
      <c r="C515" s="3"/>
      <c r="D515" s="3"/>
      <c r="E515" s="4" t="str">
        <f>HYPERLINK("https://dpmzos25m8ivg.cloudfront.net/Documentos/631/01647734100/6310164773410011092023123040.pdf","https://dpmzos25m8ivg.cloudfront.net/Documentos/631/01647734100/6310164773410011092023123040.pdf")</f>
        <v>https://dpmzos25m8ivg.cloudfront.net/Documentos/631/01647734100/6310164773410011092023123040.pdf</v>
      </c>
      <c r="F515" s="5" t="str">
        <f>HYPERLINK("https://dpmzos25m8ivg.cloudfront.net/Documentos/631/01647734100/6310164773410011092023123100.pdf","https://dpmzos25m8ivg.cloudfront.net/Documentos/631/01647734100/6310164773410011092023123100.pdf")</f>
        <v>https://dpmzos25m8ivg.cloudfront.net/Documentos/631/01647734100/6310164773410011092023123100.pdf</v>
      </c>
      <c r="G515" s="5" t="str">
        <f>HYPERLINK("https://dpmzos25m8ivg.cloudfront.net/Documentos/631/01647734100/6310164773410011092023123126.pdf","https://dpmzos25m8ivg.cloudfront.net/Documentos/631/01647734100/6310164773410011092023123126.pdf")</f>
        <v>https://dpmzos25m8ivg.cloudfront.net/Documentos/631/01647734100/6310164773410011092023123126.pdf</v>
      </c>
      <c r="H515" s="4" t="s">
        <v>9102</v>
      </c>
    </row>
    <row r="516" spans="1:8" x14ac:dyDescent="0.25">
      <c r="A516" s="2" t="s">
        <v>530</v>
      </c>
      <c r="B516" s="3"/>
      <c r="C516" s="3"/>
      <c r="D516" s="3"/>
      <c r="E516" s="4" t="str">
        <f>HYPERLINK("https://dpmzos25m8ivg.cloudfront.net/Documentos/631/01650235623/6310165023562310092023140846.pdf","https://dpmzos25m8ivg.cloudfront.net/Documentos/631/01650235623/6310165023562310092023140846.pdf")</f>
        <v>https://dpmzos25m8ivg.cloudfront.net/Documentos/631/01650235623/6310165023562310092023140846.pdf</v>
      </c>
      <c r="F516" s="5" t="str">
        <f>HYPERLINK("https://dpmzos25m8ivg.cloudfront.net/Documentos/631/01650235623/6310165023562310092023140910.pdf","https://dpmzos25m8ivg.cloudfront.net/Documentos/631/01650235623/6310165023562310092023140910.pdf")</f>
        <v>https://dpmzos25m8ivg.cloudfront.net/Documentos/631/01650235623/6310165023562310092023140910.pdf</v>
      </c>
      <c r="G516" s="5" t="str">
        <f>HYPERLINK("https://dpmzos25m8ivg.cloudfront.net/Documentos/631/01650235623/6310165023562310092023140929.pdf","https://dpmzos25m8ivg.cloudfront.net/Documentos/631/01650235623/6310165023562310092023140929.pdf")</f>
        <v>https://dpmzos25m8ivg.cloudfront.net/Documentos/631/01650235623/6310165023562310092023140929.pdf</v>
      </c>
      <c r="H516" s="4" t="s">
        <v>9103</v>
      </c>
    </row>
    <row r="517" spans="1:8" x14ac:dyDescent="0.25">
      <c r="A517" s="2" t="s">
        <v>531</v>
      </c>
      <c r="B517" s="3"/>
      <c r="C517" s="3"/>
      <c r="D517" s="3"/>
      <c r="E517" s="4" t="str">
        <f>HYPERLINK("https://dpmzos25m8ivg.cloudfront.net/Documentos/631/01655320092/6310165532009214092023131741.pdf","https://dpmzos25m8ivg.cloudfront.net/Documentos/631/01655320092/6310165532009214092023131741.pdf")</f>
        <v>https://dpmzos25m8ivg.cloudfront.net/Documentos/631/01655320092/6310165532009214092023131741.pdf</v>
      </c>
      <c r="F517" s="5" t="str">
        <f>HYPERLINK("https://dpmzos25m8ivg.cloudfront.net/Documentos/631/01655320092/6310165532009214092023132227.pdf","https://dpmzos25m8ivg.cloudfront.net/Documentos/631/01655320092/6310165532009214092023132227.pdf")</f>
        <v>https://dpmzos25m8ivg.cloudfront.net/Documentos/631/01655320092/6310165532009214092023132227.pdf</v>
      </c>
      <c r="G517" s="5" t="str">
        <f>HYPERLINK("https://dpmzos25m8ivg.cloudfront.net/Documentos/631/01655320092/6310165532009214092023131804.pdf","https://dpmzos25m8ivg.cloudfront.net/Documentos/631/01655320092/6310165532009214092023131804.pdf")</f>
        <v>https://dpmzos25m8ivg.cloudfront.net/Documentos/631/01655320092/6310165532009214092023131804.pdf</v>
      </c>
      <c r="H517" s="4" t="s">
        <v>9104</v>
      </c>
    </row>
    <row r="518" spans="1:8" x14ac:dyDescent="0.25">
      <c r="A518" s="2" t="s">
        <v>532</v>
      </c>
      <c r="B518" s="3"/>
      <c r="C518" s="3"/>
      <c r="D518" s="3"/>
      <c r="E518" s="4" t="str">
        <f>HYPERLINK("https://dpmzos25m8ivg.cloudfront.net/Documentos/631/01656092654/6310165609265408092023185004.pdf","https://dpmzos25m8ivg.cloudfront.net/Documentos/631/01656092654/6310165609265408092023185004.pdf")</f>
        <v>https://dpmzos25m8ivg.cloudfront.net/Documentos/631/01656092654/6310165609265408092023185004.pdf</v>
      </c>
      <c r="F518" s="5" t="str">
        <f>HYPERLINK("https://dpmzos25m8ivg.cloudfront.net/Documentos/631/01656092654/6310165609265408092023185017.pdf","https://dpmzos25m8ivg.cloudfront.net/Documentos/631/01656092654/6310165609265408092023185017.pdf")</f>
        <v>https://dpmzos25m8ivg.cloudfront.net/Documentos/631/01656092654/6310165609265408092023185017.pdf</v>
      </c>
      <c r="G518" s="5" t="str">
        <f>HYPERLINK("https://dpmzos25m8ivg.cloudfront.net/Documentos/631/01656092654/6310165609265408092023185040.pdf","https://dpmzos25m8ivg.cloudfront.net/Documentos/631/01656092654/6310165609265408092023185040.pdf")</f>
        <v>https://dpmzos25m8ivg.cloudfront.net/Documentos/631/01656092654/6310165609265408092023185040.pdf</v>
      </c>
      <c r="H518" s="4" t="s">
        <v>9105</v>
      </c>
    </row>
    <row r="519" spans="1:8" x14ac:dyDescent="0.25">
      <c r="A519" s="2" t="s">
        <v>533</v>
      </c>
      <c r="B519" s="3"/>
      <c r="C519" s="3"/>
      <c r="D519" s="3"/>
      <c r="E519" s="4" t="str">
        <f>HYPERLINK("https://dpmzos25m8ivg.cloudfront.net/Documentos/631/01656858320/6310165685832008092023145105.pdf","https://dpmzos25m8ivg.cloudfront.net/Documentos/631/01656858320/6310165685832008092023145105.pdf")</f>
        <v>https://dpmzos25m8ivg.cloudfront.net/Documentos/631/01656858320/6310165685832008092023145105.pdf</v>
      </c>
      <c r="F519" s="5" t="str">
        <f>HYPERLINK("https://dpmzos25m8ivg.cloudfront.net/Documentos/631/01656858320/6310165685832008092023145114.pdf","https://dpmzos25m8ivg.cloudfront.net/Documentos/631/01656858320/6310165685832008092023145114.pdf")</f>
        <v>https://dpmzos25m8ivg.cloudfront.net/Documentos/631/01656858320/6310165685832008092023145114.pdf</v>
      </c>
      <c r="G519" s="5" t="str">
        <f>HYPERLINK("https://dpmzos25m8ivg.cloudfront.net/Documentos/631/01656858320/6310165685832008092023145122.pdf","https://dpmzos25m8ivg.cloudfront.net/Documentos/631/01656858320/6310165685832008092023145122.pdf")</f>
        <v>https://dpmzos25m8ivg.cloudfront.net/Documentos/631/01656858320/6310165685832008092023145122.pdf</v>
      </c>
      <c r="H519" s="4" t="s">
        <v>9106</v>
      </c>
    </row>
    <row r="520" spans="1:8" x14ac:dyDescent="0.25">
      <c r="A520" s="2" t="s">
        <v>534</v>
      </c>
      <c r="B520" s="3"/>
      <c r="C520" s="3"/>
      <c r="D520" s="3"/>
      <c r="E520" s="4" t="str">
        <f>HYPERLINK("https://dpmzos25m8ivg.cloudfront.net/Documentos/631/01658591720/6310165859172011092023144418.jpg","https://dpmzos25m8ivg.cloudfront.net/Documentos/631/01658591720/6310165859172011092023144418.jpg")</f>
        <v>https://dpmzos25m8ivg.cloudfront.net/Documentos/631/01658591720/6310165859172011092023144418.jpg</v>
      </c>
      <c r="F520" s="5" t="str">
        <f>HYPERLINK("https://dpmzos25m8ivg.cloudfront.net/Documentos/631/01658591720/6310165859172011092023144509.jpg","https://dpmzos25m8ivg.cloudfront.net/Documentos/631/01658591720/6310165859172011092023144509.jpg")</f>
        <v>https://dpmzos25m8ivg.cloudfront.net/Documentos/631/01658591720/6310165859172011092023144509.jpg</v>
      </c>
      <c r="G520" s="5" t="str">
        <f>HYPERLINK("https://dpmzos25m8ivg.cloudfront.net/Documentos/631/01658591720/6310165859172011092023144726.jpg","https://dpmzos25m8ivg.cloudfront.net/Documentos/631/01658591720/6310165859172011092023144726.jpg")</f>
        <v>https://dpmzos25m8ivg.cloudfront.net/Documentos/631/01658591720/6310165859172011092023144726.jpg</v>
      </c>
      <c r="H520" s="4" t="s">
        <v>9107</v>
      </c>
    </row>
    <row r="521" spans="1:8" x14ac:dyDescent="0.25">
      <c r="A521" s="2" t="s">
        <v>535</v>
      </c>
      <c r="B521" s="3"/>
      <c r="C521" s="3"/>
      <c r="D521" s="3"/>
      <c r="E521" s="4" t="str">
        <f>HYPERLINK("https://dpmzos25m8ivg.cloudfront.net/Documentos/631/01660669405/6310166066940511092023145904.pdf","https://dpmzos25m8ivg.cloudfront.net/Documentos/631/01660669405/6310166066940511092023145904.pdf")</f>
        <v>https://dpmzos25m8ivg.cloudfront.net/Documentos/631/01660669405/6310166066940511092023145904.pdf</v>
      </c>
      <c r="F521" s="5" t="str">
        <f>HYPERLINK("https://dpmzos25m8ivg.cloudfront.net/Documentos/631/01660669405/6310166066940511092023145916.pdf","https://dpmzos25m8ivg.cloudfront.net/Documentos/631/01660669405/6310166066940511092023145916.pdf")</f>
        <v>https://dpmzos25m8ivg.cloudfront.net/Documentos/631/01660669405/6310166066940511092023145916.pdf</v>
      </c>
      <c r="G521" s="5" t="str">
        <f>HYPERLINK("https://dpmzos25m8ivg.cloudfront.net/Documentos/631/01660669405/6310166066940511092023145929.pdf","https://dpmzos25m8ivg.cloudfront.net/Documentos/631/01660669405/6310166066940511092023145929.pdf")</f>
        <v>https://dpmzos25m8ivg.cloudfront.net/Documentos/631/01660669405/6310166066940511092023145929.pdf</v>
      </c>
      <c r="H521" s="4" t="s">
        <v>9108</v>
      </c>
    </row>
    <row r="522" spans="1:8" x14ac:dyDescent="0.25">
      <c r="A522" s="2" t="s">
        <v>536</v>
      </c>
      <c r="B522" s="3"/>
      <c r="C522" s="3"/>
      <c r="D522" s="3"/>
      <c r="E522" s="4" t="str">
        <f>HYPERLINK("https://dpmzos25m8ivg.cloudfront.net/Documentos/631/01663300194/6310166330019411092023162813.pdf","https://dpmzos25m8ivg.cloudfront.net/Documentos/631/01663300194/6310166330019411092023162813.pdf")</f>
        <v>https://dpmzos25m8ivg.cloudfront.net/Documentos/631/01663300194/6310166330019411092023162813.pdf</v>
      </c>
      <c r="F522" s="5" t="str">
        <f>HYPERLINK("https://dpmzos25m8ivg.cloudfront.net/Documentos/631/01663300194/6310166330019411092023162843.pdf","https://dpmzos25m8ivg.cloudfront.net/Documentos/631/01663300194/6310166330019411092023162843.pdf")</f>
        <v>https://dpmzos25m8ivg.cloudfront.net/Documentos/631/01663300194/6310166330019411092023162843.pdf</v>
      </c>
      <c r="G522" s="5" t="str">
        <f>HYPERLINK("https://dpmzos25m8ivg.cloudfront.net/Documentos/631/01663300194/6310166330019411092023163034.pdf","https://dpmzos25m8ivg.cloudfront.net/Documentos/631/01663300194/6310166330019411092023163034.pdf")</f>
        <v>https://dpmzos25m8ivg.cloudfront.net/Documentos/631/01663300194/6310166330019411092023163034.pdf</v>
      </c>
      <c r="H522" s="4" t="s">
        <v>9109</v>
      </c>
    </row>
    <row r="523" spans="1:8" x14ac:dyDescent="0.25">
      <c r="A523" s="2" t="s">
        <v>537</v>
      </c>
      <c r="B523" s="3"/>
      <c r="C523" s="3"/>
      <c r="D523" s="3"/>
      <c r="E523" s="4" t="str">
        <f>HYPERLINK("https://dpmzos25m8ivg.cloudfront.net/Documentos/631/01667518127/6310166751812711092023090010.jpg","https://dpmzos25m8ivg.cloudfront.net/Documentos/631/01667518127/6310166751812711092023090010.jpg")</f>
        <v>https://dpmzos25m8ivg.cloudfront.net/Documentos/631/01667518127/6310166751812711092023090010.jpg</v>
      </c>
      <c r="F523" s="5" t="str">
        <f>HYPERLINK("https://dpmzos25m8ivg.cloudfront.net/Documentos/631/01667518127/6310166751812711092023090033.jpg","https://dpmzos25m8ivg.cloudfront.net/Documentos/631/01667518127/6310166751812711092023090033.jpg")</f>
        <v>https://dpmzos25m8ivg.cloudfront.net/Documentos/631/01667518127/6310166751812711092023090033.jpg</v>
      </c>
      <c r="G523" s="5" t="str">
        <f>HYPERLINK("https://dpmzos25m8ivg.cloudfront.net/Documentos/631/01667518127/6310166751812711092023090046.jpg","https://dpmzos25m8ivg.cloudfront.net/Documentos/631/01667518127/6310166751812711092023090046.jpg")</f>
        <v>https://dpmzos25m8ivg.cloudfront.net/Documentos/631/01667518127/6310166751812711092023090046.jpg</v>
      </c>
      <c r="H523" s="4" t="s">
        <v>9110</v>
      </c>
    </row>
    <row r="524" spans="1:8" x14ac:dyDescent="0.25">
      <c r="A524" s="2" t="s">
        <v>538</v>
      </c>
      <c r="B524" s="3"/>
      <c r="C524" s="3"/>
      <c r="D524" s="3"/>
      <c r="E524" s="4" t="str">
        <f>HYPERLINK("https://dpmzos25m8ivg.cloudfront.net/Documentos/631/01668572206/6310166857220611092023162634.pdf","https://dpmzos25m8ivg.cloudfront.net/Documentos/631/01668572206/6310166857220611092023162634.pdf")</f>
        <v>https://dpmzos25m8ivg.cloudfront.net/Documentos/631/01668572206/6310166857220611092023162634.pdf</v>
      </c>
      <c r="F524" s="5" t="str">
        <f>HYPERLINK("https://dpmzos25m8ivg.cloudfront.net/Documentos/631/01668572206/6310166857220611092023162649.pdf","https://dpmzos25m8ivg.cloudfront.net/Documentos/631/01668572206/6310166857220611092023162649.pdf")</f>
        <v>https://dpmzos25m8ivg.cloudfront.net/Documentos/631/01668572206/6310166857220611092023162649.pdf</v>
      </c>
      <c r="G524" s="5" t="str">
        <f>HYPERLINK("https://dpmzos25m8ivg.cloudfront.net/Documentos/631/01668572206/6310166857220611092023162705.pdf","https://dpmzos25m8ivg.cloudfront.net/Documentos/631/01668572206/6310166857220611092023162705.pdf")</f>
        <v>https://dpmzos25m8ivg.cloudfront.net/Documentos/631/01668572206/6310166857220611092023162705.pdf</v>
      </c>
      <c r="H524" s="4" t="s">
        <v>9111</v>
      </c>
    </row>
    <row r="525" spans="1:8" x14ac:dyDescent="0.25">
      <c r="A525" s="2" t="s">
        <v>539</v>
      </c>
      <c r="B525" s="3"/>
      <c r="C525" s="3"/>
      <c r="D525" s="3"/>
      <c r="E525" s="4" t="str">
        <f>HYPERLINK("https://dpmzos25m8ivg.cloudfront.net/Documentos/631/01668980231/6310166898023111092023094503.pdf","https://dpmzos25m8ivg.cloudfront.net/Documentos/631/01668980231/6310166898023111092023094503.pdf")</f>
        <v>https://dpmzos25m8ivg.cloudfront.net/Documentos/631/01668980231/6310166898023111092023094503.pdf</v>
      </c>
      <c r="F525" s="5" t="str">
        <f>HYPERLINK("https://dpmzos25m8ivg.cloudfront.net/Documentos/631/01668980231/6310166898023111092023094511.pdf","https://dpmzos25m8ivg.cloudfront.net/Documentos/631/01668980231/6310166898023111092023094511.pdf")</f>
        <v>https://dpmzos25m8ivg.cloudfront.net/Documentos/631/01668980231/6310166898023111092023094511.pdf</v>
      </c>
      <c r="G525" s="5" t="str">
        <f>HYPERLINK("https://dpmzos25m8ivg.cloudfront.net/Documentos/631/01668980231/6310166898023111092023094519.pdf","https://dpmzos25m8ivg.cloudfront.net/Documentos/631/01668980231/6310166898023111092023094519.pdf")</f>
        <v>https://dpmzos25m8ivg.cloudfront.net/Documentos/631/01668980231/6310166898023111092023094519.pdf</v>
      </c>
      <c r="H525" s="4" t="s">
        <v>9112</v>
      </c>
    </row>
    <row r="526" spans="1:8" x14ac:dyDescent="0.25">
      <c r="A526" s="2" t="s">
        <v>540</v>
      </c>
      <c r="B526" s="3"/>
      <c r="C526" s="3"/>
      <c r="D526" s="3"/>
      <c r="E526" s="4" t="str">
        <f>HYPERLINK("https://dpmzos25m8ivg.cloudfront.net/Documentos/631/01674076436/6310167407643611092023163946.jpeg","https://dpmzos25m8ivg.cloudfront.net/Documentos/631/01674076436/6310167407643611092023163946.jpeg")</f>
        <v>https://dpmzos25m8ivg.cloudfront.net/Documentos/631/01674076436/6310167407643611092023163946.jpeg</v>
      </c>
      <c r="F526" s="5" t="str">
        <f>HYPERLINK("https://dpmzos25m8ivg.cloudfront.net/Documentos/631/01674076436/6310167407643611092023164005.jpeg","https://dpmzos25m8ivg.cloudfront.net/Documentos/631/01674076436/6310167407643611092023164005.jpeg")</f>
        <v>https://dpmzos25m8ivg.cloudfront.net/Documentos/631/01674076436/6310167407643611092023164005.jpeg</v>
      </c>
      <c r="G526" s="5" t="str">
        <f>HYPERLINK("https://dpmzos25m8ivg.cloudfront.net/Documentos/631/01674076436/6310167407643611092023164025.jpeg","https://dpmzos25m8ivg.cloudfront.net/Documentos/631/01674076436/6310167407643611092023164025.jpeg")</f>
        <v>https://dpmzos25m8ivg.cloudfront.net/Documentos/631/01674076436/6310167407643611092023164025.jpeg</v>
      </c>
      <c r="H526" s="4" t="s">
        <v>9113</v>
      </c>
    </row>
    <row r="527" spans="1:8" x14ac:dyDescent="0.25">
      <c r="A527" s="2" t="s">
        <v>541</v>
      </c>
      <c r="B527" s="3" t="s">
        <v>23</v>
      </c>
      <c r="C527" s="3"/>
      <c r="D527" s="3"/>
      <c r="E527" s="4" t="str">
        <f>HYPERLINK("https://dpmzos25m8ivg.cloudfront.net/Documentos/631/01674804563/6310167480456311092023110547.pdf","https://dpmzos25m8ivg.cloudfront.net/Documentos/631/01674804563/6310167480456311092023110547.pdf")</f>
        <v>https://dpmzos25m8ivg.cloudfront.net/Documentos/631/01674804563/6310167480456311092023110547.pdf</v>
      </c>
      <c r="F527" s="5" t="str">
        <f>HYPERLINK("https://dpmzos25m8ivg.cloudfront.net/Documentos/631/01674804563/6310167480456311092023110600.pdf","https://dpmzos25m8ivg.cloudfront.net/Documentos/631/01674804563/6310167480456311092023110600.pdf")</f>
        <v>https://dpmzos25m8ivg.cloudfront.net/Documentos/631/01674804563/6310167480456311092023110600.pdf</v>
      </c>
      <c r="G527" s="5" t="str">
        <f>HYPERLINK("https://dpmzos25m8ivg.cloudfront.net/Documentos/631/01674804563/6310167480456311092023110612.pdf","https://dpmzos25m8ivg.cloudfront.net/Documentos/631/01674804563/6310167480456311092023110612.pdf")</f>
        <v>https://dpmzos25m8ivg.cloudfront.net/Documentos/631/01674804563/6310167480456311092023110612.pdf</v>
      </c>
      <c r="H527" s="4" t="s">
        <v>9114</v>
      </c>
    </row>
    <row r="528" spans="1:8" x14ac:dyDescent="0.25">
      <c r="A528" s="2" t="s">
        <v>542</v>
      </c>
      <c r="B528" s="3"/>
      <c r="C528" s="3"/>
      <c r="D528" s="3"/>
      <c r="E528" s="4" t="str">
        <f>HYPERLINK("https://dpmzos25m8ivg.cloudfront.net/Documentos/631/01675405131/6310167540513111092023135820.jpg","https://dpmzos25m8ivg.cloudfront.net/Documentos/631/01675405131/6310167540513111092023135820.jpg")</f>
        <v>https://dpmzos25m8ivg.cloudfront.net/Documentos/631/01675405131/6310167540513111092023135820.jpg</v>
      </c>
      <c r="F528" s="5" t="str">
        <f>HYPERLINK("https://dpmzos25m8ivg.cloudfront.net/Documentos/631/01675405131/6310167540513111092023135844.jpg","https://dpmzos25m8ivg.cloudfront.net/Documentos/631/01675405131/6310167540513111092023135844.jpg")</f>
        <v>https://dpmzos25m8ivg.cloudfront.net/Documentos/631/01675405131/6310167540513111092023135844.jpg</v>
      </c>
      <c r="G528" s="5" t="str">
        <f>HYPERLINK("https://dpmzos25m8ivg.cloudfront.net/Documentos/631/01675405131/6310167540513111092023135903.jpg","https://dpmzos25m8ivg.cloudfront.net/Documentos/631/01675405131/6310167540513111092023135903.jpg")</f>
        <v>https://dpmzos25m8ivg.cloudfront.net/Documentos/631/01675405131/6310167540513111092023135903.jpg</v>
      </c>
      <c r="H528" s="4" t="s">
        <v>9115</v>
      </c>
    </row>
    <row r="529" spans="1:8" x14ac:dyDescent="0.25">
      <c r="A529" s="2" t="s">
        <v>543</v>
      </c>
      <c r="B529" s="3"/>
      <c r="C529" s="3"/>
      <c r="D529" s="3"/>
      <c r="E529" s="4" t="str">
        <f>HYPERLINK("https://dpmzos25m8ivg.cloudfront.net/Documentos/631/01675797463/6310167579746306092023134122.pdf","https://dpmzos25m8ivg.cloudfront.net/Documentos/631/01675797463/6310167579746306092023134122.pdf")</f>
        <v>https://dpmzos25m8ivg.cloudfront.net/Documentos/631/01675797463/6310167579746306092023134122.pdf</v>
      </c>
      <c r="F529" s="5" t="str">
        <f>HYPERLINK("https://dpmzos25m8ivg.cloudfront.net/Documentos/631/01675797463/6310167579746306092023134359.pdf","https://dpmzos25m8ivg.cloudfront.net/Documentos/631/01675797463/6310167579746306092023134359.pdf")</f>
        <v>https://dpmzos25m8ivg.cloudfront.net/Documentos/631/01675797463/6310167579746306092023134359.pdf</v>
      </c>
      <c r="G529" s="5" t="str">
        <f>HYPERLINK("https://dpmzos25m8ivg.cloudfront.net/Documentos/631/01675797463/6310167579746306092023134615.pdf","https://dpmzos25m8ivg.cloudfront.net/Documentos/631/01675797463/6310167579746306092023134615.pdf")</f>
        <v>https://dpmzos25m8ivg.cloudfront.net/Documentos/631/01675797463/6310167579746306092023134615.pdf</v>
      </c>
      <c r="H529" s="4" t="s">
        <v>9116</v>
      </c>
    </row>
    <row r="530" spans="1:8" x14ac:dyDescent="0.25">
      <c r="A530" s="2" t="s">
        <v>544</v>
      </c>
      <c r="B530" s="3"/>
      <c r="C530" s="3"/>
      <c r="D530" s="3"/>
      <c r="E530" s="4" t="str">
        <f>HYPERLINK("https://dpmzos25m8ivg.cloudfront.net/Documentos/631/01680033840/6310168003384006092023203927.pdf","https://dpmzos25m8ivg.cloudfront.net/Documentos/631/01680033840/6310168003384006092023203927.pdf")</f>
        <v>https://dpmzos25m8ivg.cloudfront.net/Documentos/631/01680033840/6310168003384006092023203927.pdf</v>
      </c>
      <c r="F530" s="5" t="str">
        <f>HYPERLINK("https://dpmzos25m8ivg.cloudfront.net/Documentos/631/01680033840/6310168003384006092023204535.pdf","https://dpmzos25m8ivg.cloudfront.net/Documentos/631/01680033840/6310168003384006092023204535.pdf")</f>
        <v>https://dpmzos25m8ivg.cloudfront.net/Documentos/631/01680033840/6310168003384006092023204535.pdf</v>
      </c>
      <c r="G530" s="5" t="str">
        <f>HYPERLINK("https://dpmzos25m8ivg.cloudfront.net/Documentos/631/01680033840/6310168003384006092023204605.pdf","https://dpmzos25m8ivg.cloudfront.net/Documentos/631/01680033840/6310168003384006092023204605.pdf")</f>
        <v>https://dpmzos25m8ivg.cloudfront.net/Documentos/631/01680033840/6310168003384006092023204605.pdf</v>
      </c>
      <c r="H530" s="4" t="s">
        <v>9117</v>
      </c>
    </row>
    <row r="531" spans="1:8" x14ac:dyDescent="0.25">
      <c r="A531" s="2" t="s">
        <v>545</v>
      </c>
      <c r="B531" s="3"/>
      <c r="C531" s="3"/>
      <c r="D531" s="3"/>
      <c r="E531" s="4" t="str">
        <f>HYPERLINK("https://dpmzos25m8ivg.cloudfront.net/Documentos/631/01681473437/6310168147343706092023121421.jpeg","https://dpmzos25m8ivg.cloudfront.net/Documentos/631/01681473437/6310168147343706092023121421.jpeg")</f>
        <v>https://dpmzos25m8ivg.cloudfront.net/Documentos/631/01681473437/6310168147343706092023121421.jpeg</v>
      </c>
      <c r="F531" s="5" t="str">
        <f>HYPERLINK("https://dpmzos25m8ivg.cloudfront.net/Documentos/631/01681473437/6310168147343706092023121433.jpeg","https://dpmzos25m8ivg.cloudfront.net/Documentos/631/01681473437/6310168147343706092023121433.jpeg")</f>
        <v>https://dpmzos25m8ivg.cloudfront.net/Documentos/631/01681473437/6310168147343706092023121433.jpeg</v>
      </c>
      <c r="G531" s="5" t="str">
        <f>HYPERLINK("https://dpmzos25m8ivg.cloudfront.net/Documentos/631/01681473437/6310168147343706092023121444.jpeg","https://dpmzos25m8ivg.cloudfront.net/Documentos/631/01681473437/6310168147343706092023121444.jpeg")</f>
        <v>https://dpmzos25m8ivg.cloudfront.net/Documentos/631/01681473437/6310168147343706092023121444.jpeg</v>
      </c>
      <c r="H531" s="4" t="s">
        <v>9118</v>
      </c>
    </row>
    <row r="532" spans="1:8" x14ac:dyDescent="0.25">
      <c r="A532" s="2" t="s">
        <v>546</v>
      </c>
      <c r="B532" s="3"/>
      <c r="C532" s="3"/>
      <c r="D532" s="3"/>
      <c r="E532" s="4" t="str">
        <f>HYPERLINK("https://dpmzos25m8ivg.cloudfront.net/Documentos/631/01682331342/6310168233134211092023153118.pdf","https://dpmzos25m8ivg.cloudfront.net/Documentos/631/01682331342/6310168233134211092023153118.pdf")</f>
        <v>https://dpmzos25m8ivg.cloudfront.net/Documentos/631/01682331342/6310168233134211092023153118.pdf</v>
      </c>
      <c r="F532" s="5" t="str">
        <f>HYPERLINK("https://dpmzos25m8ivg.cloudfront.net/Documentos/631/01682331342/6310168233134211092023153129.pdf","https://dpmzos25m8ivg.cloudfront.net/Documentos/631/01682331342/6310168233134211092023153129.pdf")</f>
        <v>https://dpmzos25m8ivg.cloudfront.net/Documentos/631/01682331342/6310168233134211092023153129.pdf</v>
      </c>
      <c r="G532" s="5" t="str">
        <f>HYPERLINK("https://dpmzos25m8ivg.cloudfront.net/Documentos/631/01682331342/6310168233134211092023153139.pdf","https://dpmzos25m8ivg.cloudfront.net/Documentos/631/01682331342/6310168233134211092023153139.pdf")</f>
        <v>https://dpmzos25m8ivg.cloudfront.net/Documentos/631/01682331342/6310168233134211092023153139.pdf</v>
      </c>
      <c r="H532" s="4" t="s">
        <v>9119</v>
      </c>
    </row>
    <row r="533" spans="1:8" x14ac:dyDescent="0.25">
      <c r="A533" s="2" t="s">
        <v>547</v>
      </c>
      <c r="B533" s="3" t="s">
        <v>42</v>
      </c>
      <c r="C533" s="3"/>
      <c r="D533" s="3"/>
      <c r="E533" s="4" t="str">
        <f>HYPERLINK("https://dpmzos25m8ivg.cloudfront.net/Documentos/631/01686516290/6310168651629011092023115226.pdf","https://dpmzos25m8ivg.cloudfront.net/Documentos/631/01686516290/6310168651629011092023115226.pdf")</f>
        <v>https://dpmzos25m8ivg.cloudfront.net/Documentos/631/01686516290/6310168651629011092023115226.pdf</v>
      </c>
      <c r="F533" s="5" t="str">
        <f>HYPERLINK("https://dpmzos25m8ivg.cloudfront.net/Documentos/631/01686516290/6310168651629011092023115242.pdf","https://dpmzos25m8ivg.cloudfront.net/Documentos/631/01686516290/6310168651629011092023115242.pdf")</f>
        <v>https://dpmzos25m8ivg.cloudfront.net/Documentos/631/01686516290/6310168651629011092023115242.pdf</v>
      </c>
      <c r="G533" s="5" t="str">
        <f>HYPERLINK("https://dpmzos25m8ivg.cloudfront.net/Documentos/631/01686516290/6310168651629011092023115254.pdf","https://dpmzos25m8ivg.cloudfront.net/Documentos/631/01686516290/6310168651629011092023115254.pdf")</f>
        <v>https://dpmzos25m8ivg.cloudfront.net/Documentos/631/01686516290/6310168651629011092023115254.pdf</v>
      </c>
      <c r="H533" s="4" t="s">
        <v>9120</v>
      </c>
    </row>
    <row r="534" spans="1:8" x14ac:dyDescent="0.25">
      <c r="A534" s="2" t="s">
        <v>548</v>
      </c>
      <c r="B534" s="3"/>
      <c r="C534" s="3"/>
      <c r="D534" s="3"/>
      <c r="E534" s="4" t="str">
        <f>HYPERLINK("https://dpmzos25m8ivg.cloudfront.net/Documentos/631/01687237352/6310168723735209092023171451.pdf","https://dpmzos25m8ivg.cloudfront.net/Documentos/631/01687237352/6310168723735209092023171451.pdf")</f>
        <v>https://dpmzos25m8ivg.cloudfront.net/Documentos/631/01687237352/6310168723735209092023171451.pdf</v>
      </c>
      <c r="F534" s="5" t="str">
        <f>HYPERLINK("https://dpmzos25m8ivg.cloudfront.net/Documentos/631/01687237352/6310168723735209092023171527.pdf","https://dpmzos25m8ivg.cloudfront.net/Documentos/631/01687237352/6310168723735209092023171527.pdf")</f>
        <v>https://dpmzos25m8ivg.cloudfront.net/Documentos/631/01687237352/6310168723735209092023171527.pdf</v>
      </c>
      <c r="G534" s="5" t="str">
        <f>HYPERLINK("https://dpmzos25m8ivg.cloudfront.net/Documentos/631/01687237352/6310168723735209092023171554.pdf","https://dpmzos25m8ivg.cloudfront.net/Documentos/631/01687237352/6310168723735209092023171554.pdf")</f>
        <v>https://dpmzos25m8ivg.cloudfront.net/Documentos/631/01687237352/6310168723735209092023171554.pdf</v>
      </c>
      <c r="H534" s="4" t="s">
        <v>9121</v>
      </c>
    </row>
    <row r="535" spans="1:8" x14ac:dyDescent="0.25">
      <c r="A535" s="2" t="s">
        <v>549</v>
      </c>
      <c r="B535" s="3" t="s">
        <v>8</v>
      </c>
      <c r="C535" s="3"/>
      <c r="D535" s="3"/>
      <c r="E535" s="4" t="str">
        <f>HYPERLINK("https://dpmzos25m8ivg.cloudfront.net/Documentos/631/01688509070/6310168850907010092023153552.jpeg","https://dpmzos25m8ivg.cloudfront.net/Documentos/631/01688509070/6310168850907010092023153552.jpeg")</f>
        <v>https://dpmzos25m8ivg.cloudfront.net/Documentos/631/01688509070/6310168850907010092023153552.jpeg</v>
      </c>
      <c r="F535" s="5" t="str">
        <f>HYPERLINK("https://dpmzos25m8ivg.cloudfront.net/Documentos/631/01688509070/6310168850907010092023153604.jpeg","https://dpmzos25m8ivg.cloudfront.net/Documentos/631/01688509070/6310168850907010092023153604.jpeg")</f>
        <v>https://dpmzos25m8ivg.cloudfront.net/Documentos/631/01688509070/6310168850907010092023153604.jpeg</v>
      </c>
      <c r="G535" s="5" t="str">
        <f>HYPERLINK("https://dpmzos25m8ivg.cloudfront.net/Documentos/631/01688509070/6310168850907010092023153616.jpeg","https://dpmzos25m8ivg.cloudfront.net/Documentos/631/01688509070/6310168850907010092023153616.jpeg")</f>
        <v>https://dpmzos25m8ivg.cloudfront.net/Documentos/631/01688509070/6310168850907010092023153616.jpeg</v>
      </c>
      <c r="H535" s="4" t="s">
        <v>9122</v>
      </c>
    </row>
    <row r="536" spans="1:8" x14ac:dyDescent="0.25">
      <c r="A536" s="2" t="s">
        <v>550</v>
      </c>
      <c r="B536" s="3"/>
      <c r="C536" s="3"/>
      <c r="D536" s="3"/>
      <c r="E536" s="4" t="str">
        <f>HYPERLINK("https://dpmzos25m8ivg.cloudfront.net/Documentos/631/01690654139/6310169065413911092023164205.jpeg","https://dpmzos25m8ivg.cloudfront.net/Documentos/631/01690654139/6310169065413911092023164205.jpeg")</f>
        <v>https://dpmzos25m8ivg.cloudfront.net/Documentos/631/01690654139/6310169065413911092023164205.jpeg</v>
      </c>
      <c r="F536" s="5" t="str">
        <f>HYPERLINK("https://dpmzos25m8ivg.cloudfront.net/Documentos/631/01690654139/6310169065413911092023164247.jpeg","https://dpmzos25m8ivg.cloudfront.net/Documentos/631/01690654139/6310169065413911092023164247.jpeg")</f>
        <v>https://dpmzos25m8ivg.cloudfront.net/Documentos/631/01690654139/6310169065413911092023164247.jpeg</v>
      </c>
      <c r="G536" s="5" t="str">
        <f>HYPERLINK("https://dpmzos25m8ivg.cloudfront.net/Documentos/631/01690654139/6310169065413911092023164315.jpeg","https://dpmzos25m8ivg.cloudfront.net/Documentos/631/01690654139/6310169065413911092023164315.jpeg")</f>
        <v>https://dpmzos25m8ivg.cloudfront.net/Documentos/631/01690654139/6310169065413911092023164315.jpeg</v>
      </c>
      <c r="H536" s="4" t="s">
        <v>9123</v>
      </c>
    </row>
    <row r="537" spans="1:8" x14ac:dyDescent="0.25">
      <c r="A537" s="2" t="s">
        <v>551</v>
      </c>
      <c r="B537" s="3"/>
      <c r="C537" s="3"/>
      <c r="D537" s="3"/>
      <c r="E537" s="4" t="str">
        <f>HYPERLINK("https://dpmzos25m8ivg.cloudfront.net/Documentos/631/01691654507/6310169165450711092023095240.pdf","https://dpmzos25m8ivg.cloudfront.net/Documentos/631/01691654507/6310169165450711092023095240.pdf")</f>
        <v>https://dpmzos25m8ivg.cloudfront.net/Documentos/631/01691654507/6310169165450711092023095240.pdf</v>
      </c>
      <c r="F537" s="5" t="str">
        <f>HYPERLINK("https://dpmzos25m8ivg.cloudfront.net/Documentos/631/01691654507/6310169165450711092023095256.pdf","https://dpmzos25m8ivg.cloudfront.net/Documentos/631/01691654507/6310169165450711092023095256.pdf")</f>
        <v>https://dpmzos25m8ivg.cloudfront.net/Documentos/631/01691654507/6310169165450711092023095256.pdf</v>
      </c>
      <c r="G537" s="5" t="str">
        <f>HYPERLINK("https://dpmzos25m8ivg.cloudfront.net/Documentos/631/01691654507/6310169165450711092023095310.pdf","https://dpmzos25m8ivg.cloudfront.net/Documentos/631/01691654507/6310169165450711092023095310.pdf")</f>
        <v>https://dpmzos25m8ivg.cloudfront.net/Documentos/631/01691654507/6310169165450711092023095310.pdf</v>
      </c>
      <c r="H537" s="4" t="s">
        <v>9124</v>
      </c>
    </row>
    <row r="538" spans="1:8" x14ac:dyDescent="0.25">
      <c r="A538" s="2" t="s">
        <v>552</v>
      </c>
      <c r="B538" s="3"/>
      <c r="C538" s="3"/>
      <c r="D538" s="3"/>
      <c r="E538" s="4" t="str">
        <f>HYPERLINK("https://dpmzos25m8ivg.cloudfront.net/Documentos/631/01693095505/6310169309550511092023120623.jpeg","https://dpmzos25m8ivg.cloudfront.net/Documentos/631/01693095505/6310169309550511092023120623.jpeg")</f>
        <v>https://dpmzos25m8ivg.cloudfront.net/Documentos/631/01693095505/6310169309550511092023120623.jpeg</v>
      </c>
      <c r="F538" s="5" t="str">
        <f>HYPERLINK("https://dpmzos25m8ivg.cloudfront.net/Documentos/631/01693095505/6310169309550511092023120644.jpeg","https://dpmzos25m8ivg.cloudfront.net/Documentos/631/01693095505/6310169309550511092023120644.jpeg")</f>
        <v>https://dpmzos25m8ivg.cloudfront.net/Documentos/631/01693095505/6310169309550511092023120644.jpeg</v>
      </c>
      <c r="G538" s="5" t="str">
        <f>HYPERLINK("https://dpmzos25m8ivg.cloudfront.net/Documentos/631/01693095505/6310169309550511092023120700.jpeg","https://dpmzos25m8ivg.cloudfront.net/Documentos/631/01693095505/6310169309550511092023120700.jpeg")</f>
        <v>https://dpmzos25m8ivg.cloudfront.net/Documentos/631/01693095505/6310169309550511092023120700.jpeg</v>
      </c>
      <c r="H538" s="4" t="s">
        <v>9125</v>
      </c>
    </row>
    <row r="539" spans="1:8" x14ac:dyDescent="0.25">
      <c r="A539" s="2" t="s">
        <v>553</v>
      </c>
      <c r="B539" s="3"/>
      <c r="C539" s="3"/>
      <c r="D539" s="3"/>
      <c r="E539" s="4" t="str">
        <f>HYPERLINK("https://dpmzos25m8ivg.cloudfront.net/Documentos/631/01694822435/6310169482243512092023222735.jpg","https://dpmzos25m8ivg.cloudfront.net/Documentos/631/01694822435/6310169482243512092023222735.jpg")</f>
        <v>https://dpmzos25m8ivg.cloudfront.net/Documentos/631/01694822435/6310169482243512092023222735.jpg</v>
      </c>
      <c r="F539" s="5" t="str">
        <f>HYPERLINK("https://dpmzos25m8ivg.cloudfront.net/Documentos/631/01694822435/6310169482243512092023222747.jpg","https://dpmzos25m8ivg.cloudfront.net/Documentos/631/01694822435/6310169482243512092023222747.jpg")</f>
        <v>https://dpmzos25m8ivg.cloudfront.net/Documentos/631/01694822435/6310169482243512092023222747.jpg</v>
      </c>
      <c r="G539" s="5" t="str">
        <f>HYPERLINK("https://dpmzos25m8ivg.cloudfront.net/Documentos/631/01694822435/6310169482243512092023230119.jpg","https://dpmzos25m8ivg.cloudfront.net/Documentos/631/01694822435/6310169482243512092023230119.jpg")</f>
        <v>https://dpmzos25m8ivg.cloudfront.net/Documentos/631/01694822435/6310169482243512092023230119.jpg</v>
      </c>
      <c r="H539" s="4" t="s">
        <v>9126</v>
      </c>
    </row>
    <row r="540" spans="1:8" x14ac:dyDescent="0.25">
      <c r="A540" s="2" t="s">
        <v>554</v>
      </c>
      <c r="B540" s="3"/>
      <c r="C540" s="3"/>
      <c r="D540" s="3"/>
      <c r="E540" s="4" t="str">
        <f>HYPERLINK("https://dpmzos25m8ivg.cloudfront.net/Documentos/631/01698055579/6310169805557906092023074422.pdf","https://dpmzos25m8ivg.cloudfront.net/Documentos/631/01698055579/6310169805557906092023074422.pdf")</f>
        <v>https://dpmzos25m8ivg.cloudfront.net/Documentos/631/01698055579/6310169805557906092023074422.pdf</v>
      </c>
      <c r="F540" s="5" t="str">
        <f>HYPERLINK("https://dpmzos25m8ivg.cloudfront.net/Documentos/631/01698055579/6310169805557906092023074434.pdf","https://dpmzos25m8ivg.cloudfront.net/Documentos/631/01698055579/6310169805557906092023074434.pdf")</f>
        <v>https://dpmzos25m8ivg.cloudfront.net/Documentos/631/01698055579/6310169805557906092023074434.pdf</v>
      </c>
      <c r="G540" s="5" t="str">
        <f>HYPERLINK("https://dpmzos25m8ivg.cloudfront.net/Documentos/631/01698055579/6310169805557906092023074449.pdf","https://dpmzos25m8ivg.cloudfront.net/Documentos/631/01698055579/6310169805557906092023074449.pdf")</f>
        <v>https://dpmzos25m8ivg.cloudfront.net/Documentos/631/01698055579/6310169805557906092023074449.pdf</v>
      </c>
      <c r="H540" s="4" t="s">
        <v>9127</v>
      </c>
    </row>
    <row r="541" spans="1:8" x14ac:dyDescent="0.25">
      <c r="A541" s="2" t="s">
        <v>555</v>
      </c>
      <c r="B541" s="3"/>
      <c r="C541" s="3"/>
      <c r="D541" s="3"/>
      <c r="E541" s="4" t="str">
        <f>HYPERLINK("https://dpmzos25m8ivg.cloudfront.net/Documentos/631/01702470075/6310170247007505092023175621.pdf","https://dpmzos25m8ivg.cloudfront.net/Documentos/631/01702470075/6310170247007505092023175621.pdf")</f>
        <v>https://dpmzos25m8ivg.cloudfront.net/Documentos/631/01702470075/6310170247007505092023175621.pdf</v>
      </c>
      <c r="F541" s="5" t="str">
        <f>HYPERLINK("https://dpmzos25m8ivg.cloudfront.net/Documentos/631/01702470075/6310170247007505092023175636.pdf","https://dpmzos25m8ivg.cloudfront.net/Documentos/631/01702470075/6310170247007505092023175636.pdf")</f>
        <v>https://dpmzos25m8ivg.cloudfront.net/Documentos/631/01702470075/6310170247007505092023175636.pdf</v>
      </c>
      <c r="G541" s="5" t="str">
        <f>HYPERLINK("https://dpmzos25m8ivg.cloudfront.net/Documentos/631/01702470075/6310170247007505092023175650.pdf","https://dpmzos25m8ivg.cloudfront.net/Documentos/631/01702470075/6310170247007505092023175650.pdf")</f>
        <v>https://dpmzos25m8ivg.cloudfront.net/Documentos/631/01702470075/6310170247007505092023175650.pdf</v>
      </c>
      <c r="H541" s="4" t="s">
        <v>9128</v>
      </c>
    </row>
    <row r="542" spans="1:8" x14ac:dyDescent="0.25">
      <c r="A542" s="2" t="s">
        <v>556</v>
      </c>
      <c r="B542" s="3"/>
      <c r="C542" s="3"/>
      <c r="D542" s="3"/>
      <c r="E542" s="4" t="str">
        <f>HYPERLINK("https://dpmzos25m8ivg.cloudfront.net/Documentos/631/01709379413/6310170937941311092023154554.jpeg","https://dpmzos25m8ivg.cloudfront.net/Documentos/631/01709379413/6310170937941311092023154554.jpeg")</f>
        <v>https://dpmzos25m8ivg.cloudfront.net/Documentos/631/01709379413/6310170937941311092023154554.jpeg</v>
      </c>
      <c r="F542" s="5" t="str">
        <f>HYPERLINK("https://dpmzos25m8ivg.cloudfront.net/Documentos/631/01709379413/6310170937941311092023154608.jpeg","https://dpmzos25m8ivg.cloudfront.net/Documentos/631/01709379413/6310170937941311092023154608.jpeg")</f>
        <v>https://dpmzos25m8ivg.cloudfront.net/Documentos/631/01709379413/6310170937941311092023154608.jpeg</v>
      </c>
      <c r="G542" s="5" t="str">
        <f>HYPERLINK("https://dpmzos25m8ivg.cloudfront.net/Documentos/631/01709379413/6310170937941311092023154623.jpeg","https://dpmzos25m8ivg.cloudfront.net/Documentos/631/01709379413/6310170937941311092023154623.jpeg")</f>
        <v>https://dpmzos25m8ivg.cloudfront.net/Documentos/631/01709379413/6310170937941311092023154623.jpeg</v>
      </c>
      <c r="H542" s="4" t="s">
        <v>9129</v>
      </c>
    </row>
    <row r="543" spans="1:8" x14ac:dyDescent="0.25">
      <c r="A543" s="2" t="s">
        <v>557</v>
      </c>
      <c r="B543" s="3"/>
      <c r="C543" s="3"/>
      <c r="D543" s="3"/>
      <c r="E543" s="4" t="str">
        <f>HYPERLINK("https://dpmzos25m8ivg.cloudfront.net/Documentos/631/01709715200/6310170971520011092023005725.jpg","https://dpmzos25m8ivg.cloudfront.net/Documentos/631/01709715200/6310170971520011092023005725.jpg")</f>
        <v>https://dpmzos25m8ivg.cloudfront.net/Documentos/631/01709715200/6310170971520011092023005725.jpg</v>
      </c>
      <c r="F543" s="5" t="str">
        <f>HYPERLINK("https://dpmzos25m8ivg.cloudfront.net/Documentos/631/01709715200/6310170971520011092023005743.jpg","https://dpmzos25m8ivg.cloudfront.net/Documentos/631/01709715200/6310170971520011092023005743.jpg")</f>
        <v>https://dpmzos25m8ivg.cloudfront.net/Documentos/631/01709715200/6310170971520011092023005743.jpg</v>
      </c>
      <c r="G543" s="5" t="str">
        <f>HYPERLINK("https://dpmzos25m8ivg.cloudfront.net/Documentos/631/01709715200/6310170971520011092023005757.jpg","https://dpmzos25m8ivg.cloudfront.net/Documentos/631/01709715200/6310170971520011092023005757.jpg")</f>
        <v>https://dpmzos25m8ivg.cloudfront.net/Documentos/631/01709715200/6310170971520011092023005757.jpg</v>
      </c>
      <c r="H543" s="4" t="s">
        <v>9130</v>
      </c>
    </row>
    <row r="544" spans="1:8" x14ac:dyDescent="0.25">
      <c r="A544" s="2" t="s">
        <v>558</v>
      </c>
      <c r="B544" s="3"/>
      <c r="C544" s="3"/>
      <c r="D544" s="3"/>
      <c r="E544" s="4" t="str">
        <f>HYPERLINK("https://dpmzos25m8ivg.cloudfront.net/Documentos/631/01710012579/6310171001257908092023161533.pdf","https://dpmzos25m8ivg.cloudfront.net/Documentos/631/01710012579/6310171001257908092023161533.pdf")</f>
        <v>https://dpmzos25m8ivg.cloudfront.net/Documentos/631/01710012579/6310171001257908092023161533.pdf</v>
      </c>
      <c r="F544" s="5" t="str">
        <f>HYPERLINK("https://dpmzos25m8ivg.cloudfront.net/Documentos/631/01710012579/6310171001257908092023161544.pdf","https://dpmzos25m8ivg.cloudfront.net/Documentos/631/01710012579/6310171001257908092023161544.pdf")</f>
        <v>https://dpmzos25m8ivg.cloudfront.net/Documentos/631/01710012579/6310171001257908092023161544.pdf</v>
      </c>
      <c r="G544" s="5" t="str">
        <f>HYPERLINK("https://dpmzos25m8ivg.cloudfront.net/Documentos/631/01710012579/6310171001257908092023161556.pdf","https://dpmzos25m8ivg.cloudfront.net/Documentos/631/01710012579/6310171001257908092023161556.pdf")</f>
        <v>https://dpmzos25m8ivg.cloudfront.net/Documentos/631/01710012579/6310171001257908092023161556.pdf</v>
      </c>
      <c r="H544" s="4" t="s">
        <v>9131</v>
      </c>
    </row>
    <row r="545" spans="1:8" x14ac:dyDescent="0.25">
      <c r="A545" s="2" t="s">
        <v>559</v>
      </c>
      <c r="B545" s="3"/>
      <c r="C545" s="3"/>
      <c r="D545" s="3"/>
      <c r="E545" s="4" t="str">
        <f>HYPERLINK("https://dpmzos25m8ivg.cloudfront.net/Documentos/631/01711018201/6310171101820111092023003128.pdf","https://dpmzos25m8ivg.cloudfront.net/Documentos/631/01711018201/6310171101820111092023003128.pdf")</f>
        <v>https://dpmzos25m8ivg.cloudfront.net/Documentos/631/01711018201/6310171101820111092023003128.pdf</v>
      </c>
      <c r="F545" s="5" t="str">
        <f>HYPERLINK("https://dpmzos25m8ivg.cloudfront.net/Documentos/631/01711018201/6310171101820111092023003140.pdf","https://dpmzos25m8ivg.cloudfront.net/Documentos/631/01711018201/6310171101820111092023003140.pdf")</f>
        <v>https://dpmzos25m8ivg.cloudfront.net/Documentos/631/01711018201/6310171101820111092023003140.pdf</v>
      </c>
      <c r="G545" s="5" t="str">
        <f>HYPERLINK("https://dpmzos25m8ivg.cloudfront.net/Documentos/631/01711018201/6310171101820111092023003151.pdf","https://dpmzos25m8ivg.cloudfront.net/Documentos/631/01711018201/6310171101820111092023003151.pdf")</f>
        <v>https://dpmzos25m8ivg.cloudfront.net/Documentos/631/01711018201/6310171101820111092023003151.pdf</v>
      </c>
      <c r="H545" s="4" t="s">
        <v>9132</v>
      </c>
    </row>
    <row r="546" spans="1:8" x14ac:dyDescent="0.25">
      <c r="A546" s="2" t="s">
        <v>560</v>
      </c>
      <c r="B546" s="3"/>
      <c r="C546" s="3"/>
      <c r="D546" s="3"/>
      <c r="E546" s="4" t="str">
        <f>HYPERLINK("https://dpmzos25m8ivg.cloudfront.net/Documentos/631/01711119237/6310171111923711092023164036.jpeg","https://dpmzos25m8ivg.cloudfront.net/Documentos/631/01711119237/6310171111923711092023164036.jpeg")</f>
        <v>https://dpmzos25m8ivg.cloudfront.net/Documentos/631/01711119237/6310171111923711092023164036.jpeg</v>
      </c>
      <c r="F546" s="5" t="str">
        <f>HYPERLINK("https://dpmzos25m8ivg.cloudfront.net/Documentos/631/01711119237/6310171111923711092023164048.jpeg","https://dpmzos25m8ivg.cloudfront.net/Documentos/631/01711119237/6310171111923711092023164048.jpeg")</f>
        <v>https://dpmzos25m8ivg.cloudfront.net/Documentos/631/01711119237/6310171111923711092023164048.jpeg</v>
      </c>
      <c r="G546" s="5" t="str">
        <f>HYPERLINK("https://dpmzos25m8ivg.cloudfront.net/Documentos/631/01711119237/6310171111923711092023164101.jpeg","https://dpmzos25m8ivg.cloudfront.net/Documentos/631/01711119237/6310171111923711092023164101.jpeg")</f>
        <v>https://dpmzos25m8ivg.cloudfront.net/Documentos/631/01711119237/6310171111923711092023164101.jpeg</v>
      </c>
      <c r="H546" s="4" t="s">
        <v>9133</v>
      </c>
    </row>
    <row r="547" spans="1:8" x14ac:dyDescent="0.25">
      <c r="A547" s="2" t="s">
        <v>561</v>
      </c>
      <c r="B547" s="3"/>
      <c r="C547" s="3"/>
      <c r="D547" s="3"/>
      <c r="E547" s="4" t="str">
        <f>HYPERLINK("https://dpmzos25m8ivg.cloudfront.net/Documentos/631/01718168110/6310171816811006092023150516.pdf","https://dpmzos25m8ivg.cloudfront.net/Documentos/631/01718168110/6310171816811006092023150516.pdf")</f>
        <v>https://dpmzos25m8ivg.cloudfront.net/Documentos/631/01718168110/6310171816811006092023150516.pdf</v>
      </c>
      <c r="F547" s="5" t="str">
        <f>HYPERLINK("https://dpmzos25m8ivg.cloudfront.net/Documentos/631/01718168110/6310171816811006092023150528.pdf","https://dpmzos25m8ivg.cloudfront.net/Documentos/631/01718168110/6310171816811006092023150528.pdf")</f>
        <v>https://dpmzos25m8ivg.cloudfront.net/Documentos/631/01718168110/6310171816811006092023150528.pdf</v>
      </c>
      <c r="G547" s="5" t="str">
        <f>HYPERLINK("https://dpmzos25m8ivg.cloudfront.net/Documentos/631/01718168110/6310171816811006092023150539.pdf","https://dpmzos25m8ivg.cloudfront.net/Documentos/631/01718168110/6310171816811006092023150539.pdf")</f>
        <v>https://dpmzos25m8ivg.cloudfront.net/Documentos/631/01718168110/6310171816811006092023150539.pdf</v>
      </c>
      <c r="H547" s="4" t="s">
        <v>9134</v>
      </c>
    </row>
    <row r="548" spans="1:8" x14ac:dyDescent="0.25">
      <c r="A548" s="2" t="s">
        <v>562</v>
      </c>
      <c r="B548" s="3"/>
      <c r="C548" s="3"/>
      <c r="D548" s="3"/>
      <c r="E548" s="4" t="str">
        <f>HYPERLINK("https://dpmzos25m8ivg.cloudfront.net/Documentos/631/01720191689/6310172019168911092023162038.pdf","https://dpmzos25m8ivg.cloudfront.net/Documentos/631/01720191689/6310172019168911092023162038.pdf")</f>
        <v>https://dpmzos25m8ivg.cloudfront.net/Documentos/631/01720191689/6310172019168911092023162038.pdf</v>
      </c>
      <c r="F548" s="5" t="str">
        <f>HYPERLINK("https://dpmzos25m8ivg.cloudfront.net/Documentos/631/01720191689/6310172019168911092023162009.pdf","https://dpmzos25m8ivg.cloudfront.net/Documentos/631/01720191689/6310172019168911092023162009.pdf")</f>
        <v>https://dpmzos25m8ivg.cloudfront.net/Documentos/631/01720191689/6310172019168911092023162009.pdf</v>
      </c>
      <c r="G548" s="5" t="str">
        <f>HYPERLINK("https://dpmzos25m8ivg.cloudfront.net/Documentos/631/01720191689/6310172019168911092023162050.pdf","https://dpmzos25m8ivg.cloudfront.net/Documentos/631/01720191689/6310172019168911092023162050.pdf")</f>
        <v>https://dpmzos25m8ivg.cloudfront.net/Documentos/631/01720191689/6310172019168911092023162050.pdf</v>
      </c>
      <c r="H548" s="4" t="s">
        <v>9135</v>
      </c>
    </row>
    <row r="549" spans="1:8" x14ac:dyDescent="0.25">
      <c r="A549" s="2" t="s">
        <v>563</v>
      </c>
      <c r="B549" s="3" t="s">
        <v>8</v>
      </c>
      <c r="C549" s="3"/>
      <c r="D549" s="3"/>
      <c r="E549" s="4" t="str">
        <f>HYPERLINK("https://dpmzos25m8ivg.cloudfront.net/Documentos/631/01722781556/6310172278155606092023200018.pdf","https://dpmzos25m8ivg.cloudfront.net/Documentos/631/01722781556/6310172278155606092023200018.pdf")</f>
        <v>https://dpmzos25m8ivg.cloudfront.net/Documentos/631/01722781556/6310172278155606092023200018.pdf</v>
      </c>
      <c r="F549" s="5" t="str">
        <f>HYPERLINK("https://dpmzos25m8ivg.cloudfront.net/Documentos/631/01722781556/6310172278155606092023200036.pdf","https://dpmzos25m8ivg.cloudfront.net/Documentos/631/01722781556/6310172278155606092023200036.pdf")</f>
        <v>https://dpmzos25m8ivg.cloudfront.net/Documentos/631/01722781556/6310172278155606092023200036.pdf</v>
      </c>
      <c r="G549" s="5" t="str">
        <f>HYPERLINK("https://dpmzos25m8ivg.cloudfront.net/Documentos/631/01722781556/6310172278155606092023200057.pdf","https://dpmzos25m8ivg.cloudfront.net/Documentos/631/01722781556/6310172278155606092023200057.pdf")</f>
        <v>https://dpmzos25m8ivg.cloudfront.net/Documentos/631/01722781556/6310172278155606092023200057.pdf</v>
      </c>
      <c r="H549" s="4" t="s">
        <v>9136</v>
      </c>
    </row>
    <row r="550" spans="1:8" x14ac:dyDescent="0.25">
      <c r="A550" s="2" t="s">
        <v>564</v>
      </c>
      <c r="B550" s="3"/>
      <c r="C550" s="3"/>
      <c r="D550" s="3"/>
      <c r="E550" s="4" t="str">
        <f>HYPERLINK("https://dpmzos25m8ivg.cloudfront.net/Documentos/631/01723787299/6310172378729905092023115842.pdf","https://dpmzos25m8ivg.cloudfront.net/Documentos/631/01723787299/6310172378729905092023115842.pdf")</f>
        <v>https://dpmzos25m8ivg.cloudfront.net/Documentos/631/01723787299/6310172378729905092023115842.pdf</v>
      </c>
      <c r="F550" s="5" t="str">
        <f>HYPERLINK("https://dpmzos25m8ivg.cloudfront.net/Documentos/631/01723787299/6310172378729905092023115835.pdf","https://dpmzos25m8ivg.cloudfront.net/Documentos/631/01723787299/6310172378729905092023115835.pdf")</f>
        <v>https://dpmzos25m8ivg.cloudfront.net/Documentos/631/01723787299/6310172378729905092023115835.pdf</v>
      </c>
      <c r="G550" s="5" t="str">
        <f>HYPERLINK("https://dpmzos25m8ivg.cloudfront.net/Documentos/631/01723787299/6310172378729905092023115823.pdf","https://dpmzos25m8ivg.cloudfront.net/Documentos/631/01723787299/6310172378729905092023115823.pdf")</f>
        <v>https://dpmzos25m8ivg.cloudfront.net/Documentos/631/01723787299/6310172378729905092023115823.pdf</v>
      </c>
      <c r="H550" s="4" t="s">
        <v>9137</v>
      </c>
    </row>
    <row r="551" spans="1:8" x14ac:dyDescent="0.25">
      <c r="A551" s="2" t="s">
        <v>565</v>
      </c>
      <c r="B551" s="3"/>
      <c r="C551" s="3"/>
      <c r="D551" s="3"/>
      <c r="E551" s="4" t="str">
        <f>HYPERLINK("https://dpmzos25m8ivg.cloudfront.net/Documentos/631/01724171208/6310172417120810092023230626.pdf","https://dpmzos25m8ivg.cloudfront.net/Documentos/631/01724171208/6310172417120810092023230626.pdf")</f>
        <v>https://dpmzos25m8ivg.cloudfront.net/Documentos/631/01724171208/6310172417120810092023230626.pdf</v>
      </c>
      <c r="F551" s="5" t="str">
        <f>HYPERLINK("https://dpmzos25m8ivg.cloudfront.net/Documentos/631/01724171208/6310172417120810092023230640.pdf","https://dpmzos25m8ivg.cloudfront.net/Documentos/631/01724171208/6310172417120810092023230640.pdf")</f>
        <v>https://dpmzos25m8ivg.cloudfront.net/Documentos/631/01724171208/6310172417120810092023230640.pdf</v>
      </c>
      <c r="G551" s="5" t="str">
        <f>HYPERLINK("https://dpmzos25m8ivg.cloudfront.net/Documentos/631/01724171208/6310172417120810092023230655.pdf","https://dpmzos25m8ivg.cloudfront.net/Documentos/631/01724171208/6310172417120810092023230655.pdf")</f>
        <v>https://dpmzos25m8ivg.cloudfront.net/Documentos/631/01724171208/6310172417120810092023230655.pdf</v>
      </c>
      <c r="H551" s="4" t="s">
        <v>9138</v>
      </c>
    </row>
    <row r="552" spans="1:8" x14ac:dyDescent="0.25">
      <c r="A552" s="2" t="s">
        <v>566</v>
      </c>
      <c r="B552" s="3"/>
      <c r="C552" s="3"/>
      <c r="D552" s="3"/>
      <c r="E552" s="4" t="str">
        <f>HYPERLINK("https://dpmzos25m8ivg.cloudfront.net/Documentos/631/01724217640/6310172421764011092023150713.pdf","https://dpmzos25m8ivg.cloudfront.net/Documentos/631/01724217640/6310172421764011092023150713.pdf")</f>
        <v>https://dpmzos25m8ivg.cloudfront.net/Documentos/631/01724217640/6310172421764011092023150713.pdf</v>
      </c>
      <c r="F552" s="5" t="str">
        <f>HYPERLINK("https://dpmzos25m8ivg.cloudfront.net/Documentos/631/01724217640/6310172421764011092023150723.pdf","https://dpmzos25m8ivg.cloudfront.net/Documentos/631/01724217640/6310172421764011092023150723.pdf")</f>
        <v>https://dpmzos25m8ivg.cloudfront.net/Documentos/631/01724217640/6310172421764011092023150723.pdf</v>
      </c>
      <c r="G552" s="5" t="str">
        <f>HYPERLINK("https://dpmzos25m8ivg.cloudfront.net/Documentos/631/01724217640/6310172421764011092023150739.pdf","https://dpmzos25m8ivg.cloudfront.net/Documentos/631/01724217640/6310172421764011092023150739.pdf")</f>
        <v>https://dpmzos25m8ivg.cloudfront.net/Documentos/631/01724217640/6310172421764011092023150739.pdf</v>
      </c>
      <c r="H552" s="4" t="s">
        <v>9139</v>
      </c>
    </row>
    <row r="553" spans="1:8" x14ac:dyDescent="0.25">
      <c r="A553" s="2" t="s">
        <v>567</v>
      </c>
      <c r="B553" s="3"/>
      <c r="C553" s="3"/>
      <c r="D553" s="3"/>
      <c r="E553" s="4" t="str">
        <f>HYPERLINK("https://dpmzos25m8ivg.cloudfront.net/Documentos/631/01725708248/6310172570824806092023160829.pdf","https://dpmzos25m8ivg.cloudfront.net/Documentos/631/01725708248/6310172570824806092023160829.pdf")</f>
        <v>https://dpmzos25m8ivg.cloudfront.net/Documentos/631/01725708248/6310172570824806092023160829.pdf</v>
      </c>
      <c r="F553" s="5" t="str">
        <f>HYPERLINK("https://dpmzos25m8ivg.cloudfront.net/Documentos/631/01725708248/6310172570824806092023160836.pdf","https://dpmzos25m8ivg.cloudfront.net/Documentos/631/01725708248/6310172570824806092023160836.pdf")</f>
        <v>https://dpmzos25m8ivg.cloudfront.net/Documentos/631/01725708248/6310172570824806092023160836.pdf</v>
      </c>
      <c r="G553" s="5" t="str">
        <f>HYPERLINK("https://dpmzos25m8ivg.cloudfront.net/Documentos/631/01725708248/6310172570824806092023160844.pdf","https://dpmzos25m8ivg.cloudfront.net/Documentos/631/01725708248/6310172570824806092023160844.pdf")</f>
        <v>https://dpmzos25m8ivg.cloudfront.net/Documentos/631/01725708248/6310172570824806092023160844.pdf</v>
      </c>
      <c r="H553" s="4" t="s">
        <v>9140</v>
      </c>
    </row>
    <row r="554" spans="1:8" x14ac:dyDescent="0.25">
      <c r="A554" s="2" t="s">
        <v>568</v>
      </c>
      <c r="B554" s="3"/>
      <c r="C554" s="3"/>
      <c r="D554" s="3"/>
      <c r="E554" s="4" t="str">
        <f>HYPERLINK("https://dpmzos25m8ivg.cloudfront.net/Documentos/631/01731187041/6310173118704114092023084704.pdf","https://dpmzos25m8ivg.cloudfront.net/Documentos/631/01731187041/6310173118704114092023084704.pdf")</f>
        <v>https://dpmzos25m8ivg.cloudfront.net/Documentos/631/01731187041/6310173118704114092023084704.pdf</v>
      </c>
      <c r="F554" s="5" t="str">
        <f>HYPERLINK("https://dpmzos25m8ivg.cloudfront.net/Documentos/631/01731187041/6310173118704114092023084750.pdf","https://dpmzos25m8ivg.cloudfront.net/Documentos/631/01731187041/6310173118704114092023084750.pdf")</f>
        <v>https://dpmzos25m8ivg.cloudfront.net/Documentos/631/01731187041/6310173118704114092023084750.pdf</v>
      </c>
      <c r="G554" s="5" t="str">
        <f>HYPERLINK("https://dpmzos25m8ivg.cloudfront.net/Documentos/631/01731187041/6310173118704114092023084812.pdf","https://dpmzos25m8ivg.cloudfront.net/Documentos/631/01731187041/6310173118704114092023084812.pdf")</f>
        <v>https://dpmzos25m8ivg.cloudfront.net/Documentos/631/01731187041/6310173118704114092023084812.pdf</v>
      </c>
      <c r="H554" s="4" t="s">
        <v>9141</v>
      </c>
    </row>
    <row r="555" spans="1:8" x14ac:dyDescent="0.25">
      <c r="A555" s="2" t="s">
        <v>569</v>
      </c>
      <c r="B555" s="3"/>
      <c r="C555" s="3"/>
      <c r="D555" s="3"/>
      <c r="E555" s="4" t="str">
        <f>HYPERLINK("https://dpmzos25m8ivg.cloudfront.net/Documentos/631/01731454503/6310173145450314092023165436.pdf","https://dpmzos25m8ivg.cloudfront.net/Documentos/631/01731454503/6310173145450314092023165436.pdf")</f>
        <v>https://dpmzos25m8ivg.cloudfront.net/Documentos/631/01731454503/6310173145450314092023165436.pdf</v>
      </c>
      <c r="F555" s="5" t="str">
        <f>HYPERLINK("https://dpmzos25m8ivg.cloudfront.net/Documentos/631/01731454503/6310173145450314092023165252.pdf","https://dpmzos25m8ivg.cloudfront.net/Documentos/631/01731454503/6310173145450314092023165252.pdf")</f>
        <v>https://dpmzos25m8ivg.cloudfront.net/Documentos/631/01731454503/6310173145450314092023165252.pdf</v>
      </c>
      <c r="G555" s="5" t="str">
        <f>HYPERLINK("https://dpmzos25m8ivg.cloudfront.net/Documentos/631/01731454503/6310173145450314092023165310.pdf","https://dpmzos25m8ivg.cloudfront.net/Documentos/631/01731454503/6310173145450314092023165310.pdf")</f>
        <v>https://dpmzos25m8ivg.cloudfront.net/Documentos/631/01731454503/6310173145450314092023165310.pdf</v>
      </c>
      <c r="H555" s="4" t="s">
        <v>9142</v>
      </c>
    </row>
    <row r="556" spans="1:8" x14ac:dyDescent="0.25">
      <c r="A556" s="2" t="s">
        <v>570</v>
      </c>
      <c r="B556" s="3"/>
      <c r="C556" s="3"/>
      <c r="D556" s="3"/>
      <c r="E556" s="4" t="str">
        <f>HYPERLINK("https://dpmzos25m8ivg.cloudfront.net/Documentos/631/01732043337/6310173204333712092023193912.pdf","https://dpmzos25m8ivg.cloudfront.net/Documentos/631/01732043337/6310173204333712092023193912.pdf")</f>
        <v>https://dpmzos25m8ivg.cloudfront.net/Documentos/631/01732043337/6310173204333712092023193912.pdf</v>
      </c>
      <c r="F556" s="5" t="str">
        <f>HYPERLINK("https://dpmzos25m8ivg.cloudfront.net/Documentos/631/01732043337/6310173204333712092023193937.pdf","https://dpmzos25m8ivg.cloudfront.net/Documentos/631/01732043337/6310173204333712092023193937.pdf")</f>
        <v>https://dpmzos25m8ivg.cloudfront.net/Documentos/631/01732043337/6310173204333712092023193937.pdf</v>
      </c>
      <c r="G556" s="5" t="str">
        <f>HYPERLINK("https://dpmzos25m8ivg.cloudfront.net/Documentos/631/01732043337/6310173204333712092023194028.pdf","https://dpmzos25m8ivg.cloudfront.net/Documentos/631/01732043337/6310173204333712092023194028.pdf")</f>
        <v>https://dpmzos25m8ivg.cloudfront.net/Documentos/631/01732043337/6310173204333712092023194028.pdf</v>
      </c>
      <c r="H556" s="4" t="s">
        <v>9143</v>
      </c>
    </row>
    <row r="557" spans="1:8" x14ac:dyDescent="0.25">
      <c r="A557" s="2" t="s">
        <v>571</v>
      </c>
      <c r="B557" s="3" t="s">
        <v>90</v>
      </c>
      <c r="C557" s="3"/>
      <c r="D557" s="3"/>
      <c r="E557" s="4" t="str">
        <f>HYPERLINK("https://dpmzos25m8ivg.cloudfront.net/Documentos/631/01733099174/6310173309917407092023195442.pdf","https://dpmzos25m8ivg.cloudfront.net/Documentos/631/01733099174/6310173309917407092023195442.pdf")</f>
        <v>https://dpmzos25m8ivg.cloudfront.net/Documentos/631/01733099174/6310173309917407092023195442.pdf</v>
      </c>
      <c r="F557" s="5" t="str">
        <f>HYPERLINK("https://dpmzos25m8ivg.cloudfront.net/Documentos/631/01733099174/6310173309917407092023195458.pdf","https://dpmzos25m8ivg.cloudfront.net/Documentos/631/01733099174/6310173309917407092023195458.pdf")</f>
        <v>https://dpmzos25m8ivg.cloudfront.net/Documentos/631/01733099174/6310173309917407092023195458.pdf</v>
      </c>
      <c r="G557" s="5" t="str">
        <f>HYPERLINK("https://dpmzos25m8ivg.cloudfront.net/Documentos/631/01733099174/6310173309917407092023195514.pdf","https://dpmzos25m8ivg.cloudfront.net/Documentos/631/01733099174/6310173309917407092023195514.pdf")</f>
        <v>https://dpmzos25m8ivg.cloudfront.net/Documentos/631/01733099174/6310173309917407092023195514.pdf</v>
      </c>
      <c r="H557" s="4" t="s">
        <v>9144</v>
      </c>
    </row>
    <row r="558" spans="1:8" x14ac:dyDescent="0.25">
      <c r="A558" s="2" t="s">
        <v>572</v>
      </c>
      <c r="B558" s="3"/>
      <c r="C558" s="3"/>
      <c r="D558" s="3"/>
      <c r="E558" s="4" t="str">
        <f>HYPERLINK("https://dpmzos25m8ivg.cloudfront.net/Documentos/631/01733723170/6310173372317013092023213213.pdf","https://dpmzos25m8ivg.cloudfront.net/Documentos/631/01733723170/6310173372317013092023213213.pdf")</f>
        <v>https://dpmzos25m8ivg.cloudfront.net/Documentos/631/01733723170/6310173372317013092023213213.pdf</v>
      </c>
      <c r="F558" s="5" t="str">
        <f>HYPERLINK("https://dpmzos25m8ivg.cloudfront.net/Documentos/631/01733723170/6310173372317013092023213235.pdf","https://dpmzos25m8ivg.cloudfront.net/Documentos/631/01733723170/6310173372317013092023213235.pdf")</f>
        <v>https://dpmzos25m8ivg.cloudfront.net/Documentos/631/01733723170/6310173372317013092023213235.pdf</v>
      </c>
      <c r="G558" s="5" t="str">
        <f>HYPERLINK("https://dpmzos25m8ivg.cloudfront.net/Documentos/631/01733723170/6310173372317013092023213303.pdf","https://dpmzos25m8ivg.cloudfront.net/Documentos/631/01733723170/6310173372317013092023213303.pdf")</f>
        <v>https://dpmzos25m8ivg.cloudfront.net/Documentos/631/01733723170/6310173372317013092023213303.pdf</v>
      </c>
      <c r="H558" s="4" t="s">
        <v>9145</v>
      </c>
    </row>
    <row r="559" spans="1:8" x14ac:dyDescent="0.25">
      <c r="A559" s="2" t="s">
        <v>573</v>
      </c>
      <c r="B559" s="3" t="s">
        <v>90</v>
      </c>
      <c r="C559" s="3"/>
      <c r="D559" s="3"/>
      <c r="E559" s="4" t="str">
        <f>HYPERLINK("https://dpmzos25m8ivg.cloudfront.net/Documentos/631/01734449110/6310173444911007092023115439.pdf","https://dpmzos25m8ivg.cloudfront.net/Documentos/631/01734449110/6310173444911007092023115439.pdf")</f>
        <v>https://dpmzos25m8ivg.cloudfront.net/Documentos/631/01734449110/6310173444911007092023115439.pdf</v>
      </c>
      <c r="F559" s="5" t="str">
        <f>HYPERLINK("https://dpmzos25m8ivg.cloudfront.net/Documentos/631/01734449110/6310173444911007092023115753.pdf","https://dpmzos25m8ivg.cloudfront.net/Documentos/631/01734449110/6310173444911007092023115753.pdf")</f>
        <v>https://dpmzos25m8ivg.cloudfront.net/Documentos/631/01734449110/6310173444911007092023115753.pdf</v>
      </c>
      <c r="G559" s="5" t="str">
        <f>HYPERLINK("https://dpmzos25m8ivg.cloudfront.net/Documentos/631/01734449110/6310173444911007092023120107.pdf","https://dpmzos25m8ivg.cloudfront.net/Documentos/631/01734449110/6310173444911007092023120107.pdf")</f>
        <v>https://dpmzos25m8ivg.cloudfront.net/Documentos/631/01734449110/6310173444911007092023120107.pdf</v>
      </c>
      <c r="H559" s="4" t="s">
        <v>9146</v>
      </c>
    </row>
    <row r="560" spans="1:8" x14ac:dyDescent="0.25">
      <c r="A560" s="2" t="s">
        <v>574</v>
      </c>
      <c r="B560" s="3" t="s">
        <v>8</v>
      </c>
      <c r="C560" s="3"/>
      <c r="D560" s="3"/>
      <c r="E560" s="4" t="str">
        <f>HYPERLINK("https://dpmzos25m8ivg.cloudfront.net/Documentos/631/01737313251/6310173731325111092023164657.jpeg","https://dpmzos25m8ivg.cloudfront.net/Documentos/631/01737313251/6310173731325111092023164657.jpeg")</f>
        <v>https://dpmzos25m8ivg.cloudfront.net/Documentos/631/01737313251/6310173731325111092023164657.jpeg</v>
      </c>
      <c r="F560" s="5" t="str">
        <f>HYPERLINK("https://dpmzos25m8ivg.cloudfront.net/Documentos/631/01737313251/6310173731325111092023164713.jpeg","https://dpmzos25m8ivg.cloudfront.net/Documentos/631/01737313251/6310173731325111092023164713.jpeg")</f>
        <v>https://dpmzos25m8ivg.cloudfront.net/Documentos/631/01737313251/6310173731325111092023164713.jpeg</v>
      </c>
      <c r="G560" s="5" t="str">
        <f>HYPERLINK("https://dpmzos25m8ivg.cloudfront.net/Documentos/631/01737313251/6310173731325111092023164755.jpeg","https://dpmzos25m8ivg.cloudfront.net/Documentos/631/01737313251/6310173731325111092023164755.jpeg")</f>
        <v>https://dpmzos25m8ivg.cloudfront.net/Documentos/631/01737313251/6310173731325111092023164755.jpeg</v>
      </c>
      <c r="H560" s="4" t="s">
        <v>9147</v>
      </c>
    </row>
    <row r="561" spans="1:8" x14ac:dyDescent="0.25">
      <c r="A561" s="2" t="s">
        <v>575</v>
      </c>
      <c r="B561" s="3"/>
      <c r="C561" s="3"/>
      <c r="D561" s="3"/>
      <c r="E561" s="4" t="str">
        <f>HYPERLINK("https://dpmzos25m8ivg.cloudfront.net/Documentos/631/01741890101/6310174189010110092023003914.pdf","https://dpmzos25m8ivg.cloudfront.net/Documentos/631/01741890101/6310174189010110092023003914.pdf")</f>
        <v>https://dpmzos25m8ivg.cloudfront.net/Documentos/631/01741890101/6310174189010110092023003914.pdf</v>
      </c>
      <c r="F561" s="5" t="str">
        <f>HYPERLINK("https://dpmzos25m8ivg.cloudfront.net/Documentos/631/01741890101/6310174189010110092023003935.pdf","https://dpmzos25m8ivg.cloudfront.net/Documentos/631/01741890101/6310174189010110092023003935.pdf")</f>
        <v>https://dpmzos25m8ivg.cloudfront.net/Documentos/631/01741890101/6310174189010110092023003935.pdf</v>
      </c>
      <c r="G561" s="5" t="str">
        <f>HYPERLINK("https://dpmzos25m8ivg.cloudfront.net/Documentos/631/01741890101/6310174189010110092023003954.pdf","https://dpmzos25m8ivg.cloudfront.net/Documentos/631/01741890101/6310174189010110092023003954.pdf")</f>
        <v>https://dpmzos25m8ivg.cloudfront.net/Documentos/631/01741890101/6310174189010110092023003954.pdf</v>
      </c>
      <c r="H561" s="4" t="s">
        <v>9148</v>
      </c>
    </row>
    <row r="562" spans="1:8" x14ac:dyDescent="0.25">
      <c r="A562" s="2" t="s">
        <v>576</v>
      </c>
      <c r="B562" s="3"/>
      <c r="C562" s="3"/>
      <c r="D562" s="3"/>
      <c r="E562" s="4" t="str">
        <f>HYPERLINK("https://dpmzos25m8ivg.cloudfront.net/Documentos/631/01745606483/6310174560648311092023132958.pdf","https://dpmzos25m8ivg.cloudfront.net/Documentos/631/01745606483/6310174560648311092023132958.pdf")</f>
        <v>https://dpmzos25m8ivg.cloudfront.net/Documentos/631/01745606483/6310174560648311092023132958.pdf</v>
      </c>
      <c r="F562" s="5" t="str">
        <f>HYPERLINK("https://dpmzos25m8ivg.cloudfront.net/Documentos/631/01745606483/6310174560648311092023133018.pdf","https://dpmzos25m8ivg.cloudfront.net/Documentos/631/01745606483/6310174560648311092023133018.pdf")</f>
        <v>https://dpmzos25m8ivg.cloudfront.net/Documentos/631/01745606483/6310174560648311092023133018.pdf</v>
      </c>
      <c r="G562" s="5" t="str">
        <f>HYPERLINK("https://dpmzos25m8ivg.cloudfront.net/Documentos/631/01745606483/6310174560648311092023133033.pdf","https://dpmzos25m8ivg.cloudfront.net/Documentos/631/01745606483/6310174560648311092023133033.pdf")</f>
        <v>https://dpmzos25m8ivg.cloudfront.net/Documentos/631/01745606483/6310174560648311092023133033.pdf</v>
      </c>
      <c r="H562" s="4" t="s">
        <v>9149</v>
      </c>
    </row>
    <row r="563" spans="1:8" x14ac:dyDescent="0.25">
      <c r="A563" s="2" t="s">
        <v>577</v>
      </c>
      <c r="B563" s="3"/>
      <c r="C563" s="3"/>
      <c r="D563" s="3"/>
      <c r="E563" s="4" t="str">
        <f>HYPERLINK("https://dpmzos25m8ivg.cloudfront.net/Documentos/631/01746282185/6310174628218511092023130058.pdf","https://dpmzos25m8ivg.cloudfront.net/Documentos/631/01746282185/6310174628218511092023130058.pdf")</f>
        <v>https://dpmzos25m8ivg.cloudfront.net/Documentos/631/01746282185/6310174628218511092023130058.pdf</v>
      </c>
      <c r="F563" s="5" t="str">
        <f>HYPERLINK("https://dpmzos25m8ivg.cloudfront.net/Documentos/631/01746282185/6310174628218511092023130113.pdf","https://dpmzos25m8ivg.cloudfront.net/Documentos/631/01746282185/6310174628218511092023130113.pdf")</f>
        <v>https://dpmzos25m8ivg.cloudfront.net/Documentos/631/01746282185/6310174628218511092023130113.pdf</v>
      </c>
      <c r="G563" s="5" t="str">
        <f>HYPERLINK("https://dpmzos25m8ivg.cloudfront.net/Documentos/631/01746282185/6310174628218511092023130128.pdf","https://dpmzos25m8ivg.cloudfront.net/Documentos/631/01746282185/6310174628218511092023130128.pdf")</f>
        <v>https://dpmzos25m8ivg.cloudfront.net/Documentos/631/01746282185/6310174628218511092023130128.pdf</v>
      </c>
      <c r="H563" s="4" t="s">
        <v>9150</v>
      </c>
    </row>
    <row r="564" spans="1:8" x14ac:dyDescent="0.25">
      <c r="A564" s="2" t="s">
        <v>578</v>
      </c>
      <c r="B564" s="3" t="s">
        <v>23</v>
      </c>
      <c r="C564" s="3"/>
      <c r="D564" s="3"/>
      <c r="E564" s="4" t="str">
        <f>HYPERLINK("https://dpmzos25m8ivg.cloudfront.net/Documentos/631/01747828297/6310174782829714092023165734.jpg","https://dpmzos25m8ivg.cloudfront.net/Documentos/631/01747828297/6310174782829714092023165734.jpg")</f>
        <v>https://dpmzos25m8ivg.cloudfront.net/Documentos/631/01747828297/6310174782829714092023165734.jpg</v>
      </c>
      <c r="F564" s="5" t="str">
        <f>HYPERLINK("https://dpmzos25m8ivg.cloudfront.net/Documentos/631/01747828297/6310174782829714092023165747.jpg","https://dpmzos25m8ivg.cloudfront.net/Documentos/631/01747828297/6310174782829714092023165747.jpg")</f>
        <v>https://dpmzos25m8ivg.cloudfront.net/Documentos/631/01747828297/6310174782829714092023165747.jpg</v>
      </c>
      <c r="G564" s="5" t="str">
        <f>HYPERLINK("https://dpmzos25m8ivg.cloudfront.net/Documentos/631/01747828297/6310174782829714092023165802.jpg","https://dpmzos25m8ivg.cloudfront.net/Documentos/631/01747828297/6310174782829714092023165802.jpg")</f>
        <v>https://dpmzos25m8ivg.cloudfront.net/Documentos/631/01747828297/6310174782829714092023165802.jpg</v>
      </c>
      <c r="H564" s="4" t="s">
        <v>9151</v>
      </c>
    </row>
    <row r="565" spans="1:8" x14ac:dyDescent="0.25">
      <c r="A565" s="2" t="s">
        <v>579</v>
      </c>
      <c r="B565" s="3"/>
      <c r="C565" s="3"/>
      <c r="D565" s="3"/>
      <c r="E565" s="4" t="str">
        <f>HYPERLINK("https://dpmzos25m8ivg.cloudfront.net/Documentos/631/01750301466/6310175030146613092023223857.pdf","https://dpmzos25m8ivg.cloudfront.net/Documentos/631/01750301466/6310175030146613092023223857.pdf")</f>
        <v>https://dpmzos25m8ivg.cloudfront.net/Documentos/631/01750301466/6310175030146613092023223857.pdf</v>
      </c>
      <c r="F565" s="5" t="str">
        <f>HYPERLINK("https://dpmzos25m8ivg.cloudfront.net/Documentos/631/01750301466/6310175030146613092023223913.pdf","https://dpmzos25m8ivg.cloudfront.net/Documentos/631/01750301466/6310175030146613092023223913.pdf")</f>
        <v>https://dpmzos25m8ivg.cloudfront.net/Documentos/631/01750301466/6310175030146613092023223913.pdf</v>
      </c>
      <c r="G565" s="5" t="str">
        <f>HYPERLINK("https://dpmzos25m8ivg.cloudfront.net/Documentos/631/01750301466/6310175030146613092023223923.pdf","https://dpmzos25m8ivg.cloudfront.net/Documentos/631/01750301466/6310175030146613092023223923.pdf")</f>
        <v>https://dpmzos25m8ivg.cloudfront.net/Documentos/631/01750301466/6310175030146613092023223923.pdf</v>
      </c>
      <c r="H565" s="4" t="s">
        <v>9152</v>
      </c>
    </row>
    <row r="566" spans="1:8" x14ac:dyDescent="0.25">
      <c r="A566" s="2" t="s">
        <v>580</v>
      </c>
      <c r="B566" s="3"/>
      <c r="C566" s="3"/>
      <c r="D566" s="3"/>
      <c r="E566" s="4" t="str">
        <f>HYPERLINK("https://dpmzos25m8ivg.cloudfront.net/Documentos/631/01752564545/6310175256454506092023154411.jpg","https://dpmzos25m8ivg.cloudfront.net/Documentos/631/01752564545/6310175256454506092023154411.jpg")</f>
        <v>https://dpmzos25m8ivg.cloudfront.net/Documentos/631/01752564545/6310175256454506092023154411.jpg</v>
      </c>
      <c r="F566" s="5" t="str">
        <f>HYPERLINK("https://dpmzos25m8ivg.cloudfront.net/Documentos/631/01752564545/6310175256454506092023154425.jpg","https://dpmzos25m8ivg.cloudfront.net/Documentos/631/01752564545/6310175256454506092023154425.jpg")</f>
        <v>https://dpmzos25m8ivg.cloudfront.net/Documentos/631/01752564545/6310175256454506092023154425.jpg</v>
      </c>
      <c r="G566" s="5" t="str">
        <f>HYPERLINK("https://dpmzos25m8ivg.cloudfront.net/Documentos/631/01752564545/6310175256454506092023154438.jpg","https://dpmzos25m8ivg.cloudfront.net/Documentos/631/01752564545/6310175256454506092023154438.jpg")</f>
        <v>https://dpmzos25m8ivg.cloudfront.net/Documentos/631/01752564545/6310175256454506092023154438.jpg</v>
      </c>
      <c r="H566" s="4" t="s">
        <v>9153</v>
      </c>
    </row>
    <row r="567" spans="1:8" x14ac:dyDescent="0.25">
      <c r="A567" s="2" t="s">
        <v>581</v>
      </c>
      <c r="B567" s="3" t="s">
        <v>90</v>
      </c>
      <c r="C567" s="3"/>
      <c r="D567" s="3"/>
      <c r="E567" s="4" t="str">
        <f>HYPERLINK("https://dpmzos25m8ivg.cloudfront.net/Documentos/631/01752658442/6310175265844208092023125009.pdf","https://dpmzos25m8ivg.cloudfront.net/Documentos/631/01752658442/6310175265844208092023125009.pdf")</f>
        <v>https://dpmzos25m8ivg.cloudfront.net/Documentos/631/01752658442/6310175265844208092023125009.pdf</v>
      </c>
      <c r="F567" s="5" t="str">
        <f>HYPERLINK("https://dpmzos25m8ivg.cloudfront.net/Documentos/631/01752658442/6310175265844208092023125016.pdf","https://dpmzos25m8ivg.cloudfront.net/Documentos/631/01752658442/6310175265844208092023125016.pdf")</f>
        <v>https://dpmzos25m8ivg.cloudfront.net/Documentos/631/01752658442/6310175265844208092023125016.pdf</v>
      </c>
      <c r="G567" s="5" t="str">
        <f>HYPERLINK("https://dpmzos25m8ivg.cloudfront.net/Documentos/631/01752658442/6310175265844208092023125022.pdf","https://dpmzos25m8ivg.cloudfront.net/Documentos/631/01752658442/6310175265844208092023125022.pdf")</f>
        <v>https://dpmzos25m8ivg.cloudfront.net/Documentos/631/01752658442/6310175265844208092023125022.pdf</v>
      </c>
      <c r="H567" s="4" t="s">
        <v>9154</v>
      </c>
    </row>
    <row r="568" spans="1:8" x14ac:dyDescent="0.25">
      <c r="A568" s="2" t="s">
        <v>582</v>
      </c>
      <c r="B568" s="3"/>
      <c r="C568" s="3"/>
      <c r="D568" s="3"/>
      <c r="E568" s="4" t="str">
        <f>HYPERLINK("https://dpmzos25m8ivg.cloudfront.net/Documentos/631/01753957990/6310175395799011092023161637.pdf","https://dpmzos25m8ivg.cloudfront.net/Documentos/631/01753957990/6310175395799011092023161637.pdf")</f>
        <v>https://dpmzos25m8ivg.cloudfront.net/Documentos/631/01753957990/6310175395799011092023161637.pdf</v>
      </c>
      <c r="F568" s="5" t="str">
        <f>HYPERLINK("https://dpmzos25m8ivg.cloudfront.net/Documentos/631/01753957990/6310175395799011092023161658.pdf","https://dpmzos25m8ivg.cloudfront.net/Documentos/631/01753957990/6310175395799011092023161658.pdf")</f>
        <v>https://dpmzos25m8ivg.cloudfront.net/Documentos/631/01753957990/6310175395799011092023161658.pdf</v>
      </c>
      <c r="G568" s="5" t="str">
        <f>HYPERLINK("https://dpmzos25m8ivg.cloudfront.net/Documentos/631/01753957990/6310175395799011092023161716.pdf","https://dpmzos25m8ivg.cloudfront.net/Documentos/631/01753957990/6310175395799011092023161716.pdf")</f>
        <v>https://dpmzos25m8ivg.cloudfront.net/Documentos/631/01753957990/6310175395799011092023161716.pdf</v>
      </c>
      <c r="H568" s="4" t="s">
        <v>9155</v>
      </c>
    </row>
    <row r="569" spans="1:8" x14ac:dyDescent="0.25">
      <c r="A569" s="2" t="s">
        <v>583</v>
      </c>
      <c r="B569" s="3"/>
      <c r="C569" s="3"/>
      <c r="D569" s="3"/>
      <c r="E569" s="4" t="str">
        <f>HYPERLINK("https://dpmzos25m8ivg.cloudfront.net/Documentos/631/01756955395/6310175695539511092023102951.jpg","https://dpmzos25m8ivg.cloudfront.net/Documentos/631/01756955395/6310175695539511092023102951.jpg")</f>
        <v>https://dpmzos25m8ivg.cloudfront.net/Documentos/631/01756955395/6310175695539511092023102951.jpg</v>
      </c>
      <c r="F569" s="5" t="str">
        <f>HYPERLINK("https://dpmzos25m8ivg.cloudfront.net/Documentos/631/01756955395/6310175695539511092023103001.jpg","https://dpmzos25m8ivg.cloudfront.net/Documentos/631/01756955395/6310175695539511092023103001.jpg")</f>
        <v>https://dpmzos25m8ivg.cloudfront.net/Documentos/631/01756955395/6310175695539511092023103001.jpg</v>
      </c>
      <c r="G569" s="5" t="str">
        <f>HYPERLINK("https://dpmzos25m8ivg.cloudfront.net/Documentos/631/01756955395/6310175695539511092023103013.jpg","https://dpmzos25m8ivg.cloudfront.net/Documentos/631/01756955395/6310175695539511092023103013.jpg")</f>
        <v>https://dpmzos25m8ivg.cloudfront.net/Documentos/631/01756955395/6310175695539511092023103013.jpg</v>
      </c>
      <c r="H569" s="4" t="s">
        <v>9156</v>
      </c>
    </row>
    <row r="570" spans="1:8" x14ac:dyDescent="0.25">
      <c r="A570" s="2" t="s">
        <v>584</v>
      </c>
      <c r="B570" s="3" t="s">
        <v>90</v>
      </c>
      <c r="C570" s="3"/>
      <c r="D570" s="3"/>
      <c r="E570" s="4" t="str">
        <f>HYPERLINK("https://dpmzos25m8ivg.cloudfront.net/Documentos/631/01757251014/6310175725101404092023222236.pdf","https://dpmzos25m8ivg.cloudfront.net/Documentos/631/01757251014/6310175725101404092023222236.pdf")</f>
        <v>https://dpmzos25m8ivg.cloudfront.net/Documentos/631/01757251014/6310175725101404092023222236.pdf</v>
      </c>
      <c r="F570" s="5" t="str">
        <f>HYPERLINK("https://dpmzos25m8ivg.cloudfront.net/Documentos/631/01757251014/6310175725101404092023222257.pdf","https://dpmzos25m8ivg.cloudfront.net/Documentos/631/01757251014/6310175725101404092023222257.pdf")</f>
        <v>https://dpmzos25m8ivg.cloudfront.net/Documentos/631/01757251014/6310175725101404092023222257.pdf</v>
      </c>
      <c r="G570" s="5" t="str">
        <f>HYPERLINK("https://dpmzos25m8ivg.cloudfront.net/Documentos/631/01757251014/6310175725101405092023131016.pdf","https://dpmzos25m8ivg.cloudfront.net/Documentos/631/01757251014/6310175725101405092023131016.pdf")</f>
        <v>https://dpmzos25m8ivg.cloudfront.net/Documentos/631/01757251014/6310175725101405092023131016.pdf</v>
      </c>
      <c r="H570" s="4" t="s">
        <v>9157</v>
      </c>
    </row>
    <row r="571" spans="1:8" x14ac:dyDescent="0.25">
      <c r="A571" s="2" t="s">
        <v>585</v>
      </c>
      <c r="B571" s="3"/>
      <c r="C571" s="3"/>
      <c r="D571" s="3"/>
      <c r="E571" s="4" t="str">
        <f>HYPERLINK("https://dpmzos25m8ivg.cloudfront.net/Documentos/631/01757411232/6310175741123213092023130402.pdf","https://dpmzos25m8ivg.cloudfront.net/Documentos/631/01757411232/6310175741123213092023130402.pdf")</f>
        <v>https://dpmzos25m8ivg.cloudfront.net/Documentos/631/01757411232/6310175741123213092023130402.pdf</v>
      </c>
      <c r="F571" s="5" t="str">
        <f>HYPERLINK("https://dpmzos25m8ivg.cloudfront.net/Documentos/631/01757411232/6310175741123213092023130409.pdf","https://dpmzos25m8ivg.cloudfront.net/Documentos/631/01757411232/6310175741123213092023130409.pdf")</f>
        <v>https://dpmzos25m8ivg.cloudfront.net/Documentos/631/01757411232/6310175741123213092023130409.pdf</v>
      </c>
      <c r="G571" s="5" t="str">
        <f>HYPERLINK("https://dpmzos25m8ivg.cloudfront.net/Documentos/631/01757411232/6310175741123213092023130416.pdf","https://dpmzos25m8ivg.cloudfront.net/Documentos/631/01757411232/6310175741123213092023130416.pdf")</f>
        <v>https://dpmzos25m8ivg.cloudfront.net/Documentos/631/01757411232/6310175741123213092023130416.pdf</v>
      </c>
      <c r="H571" s="4" t="s">
        <v>9158</v>
      </c>
    </row>
    <row r="572" spans="1:8" x14ac:dyDescent="0.25">
      <c r="A572" s="2" t="s">
        <v>586</v>
      </c>
      <c r="B572" s="3"/>
      <c r="C572" s="3"/>
      <c r="D572" s="3"/>
      <c r="E572" s="4" t="str">
        <f>HYPERLINK("https://dpmzos25m8ivg.cloudfront.net/Documentos/631/01758318317/6310175831831711092023132448.pdf","https://dpmzos25m8ivg.cloudfront.net/Documentos/631/01758318317/6310175831831711092023132448.pdf")</f>
        <v>https://dpmzos25m8ivg.cloudfront.net/Documentos/631/01758318317/6310175831831711092023132448.pdf</v>
      </c>
      <c r="F572" s="5" t="str">
        <f>HYPERLINK("https://dpmzos25m8ivg.cloudfront.net/Documentos/631/01758318317/6310175831831711092023132459.pdf","https://dpmzos25m8ivg.cloudfront.net/Documentos/631/01758318317/6310175831831711092023132459.pdf")</f>
        <v>https://dpmzos25m8ivg.cloudfront.net/Documentos/631/01758318317/6310175831831711092023132459.pdf</v>
      </c>
      <c r="G572" s="5" t="str">
        <f>HYPERLINK("https://dpmzos25m8ivg.cloudfront.net/Documentos/631/01758318317/6310175831831711092023132510.pdf","https://dpmzos25m8ivg.cloudfront.net/Documentos/631/01758318317/6310175831831711092023132510.pdf")</f>
        <v>https://dpmzos25m8ivg.cloudfront.net/Documentos/631/01758318317/6310175831831711092023132510.pdf</v>
      </c>
      <c r="H572" s="4" t="s">
        <v>9159</v>
      </c>
    </row>
    <row r="573" spans="1:8" x14ac:dyDescent="0.25">
      <c r="A573" s="2" t="s">
        <v>587</v>
      </c>
      <c r="B573" s="3"/>
      <c r="C573" s="3"/>
      <c r="D573" s="3"/>
      <c r="E573" s="4" t="str">
        <f>HYPERLINK("https://dpmzos25m8ivg.cloudfront.net/Documentos/631/01759146560/6310175914656005092023200159.pdf","https://dpmzos25m8ivg.cloudfront.net/Documentos/631/01759146560/6310175914656005092023200159.pdf")</f>
        <v>https://dpmzos25m8ivg.cloudfront.net/Documentos/631/01759146560/6310175914656005092023200159.pdf</v>
      </c>
      <c r="F573" s="5" t="str">
        <f>HYPERLINK("https://dpmzos25m8ivg.cloudfront.net/Documentos/631/01759146560/6310175914656005092023200246.pdf","https://dpmzos25m8ivg.cloudfront.net/Documentos/631/01759146560/6310175914656005092023200246.pdf")</f>
        <v>https://dpmzos25m8ivg.cloudfront.net/Documentos/631/01759146560/6310175914656005092023200246.pdf</v>
      </c>
      <c r="G573" s="5" t="str">
        <f>HYPERLINK("https://dpmzos25m8ivg.cloudfront.net/Documentos/631/01759146560/6310175914656005092023200312.pdf","https://dpmzos25m8ivg.cloudfront.net/Documentos/631/01759146560/6310175914656005092023200312.pdf")</f>
        <v>https://dpmzos25m8ivg.cloudfront.net/Documentos/631/01759146560/6310175914656005092023200312.pdf</v>
      </c>
      <c r="H573" s="4" t="s">
        <v>9160</v>
      </c>
    </row>
    <row r="574" spans="1:8" x14ac:dyDescent="0.25">
      <c r="A574" s="2" t="s">
        <v>588</v>
      </c>
      <c r="B574" s="3"/>
      <c r="C574" s="3"/>
      <c r="D574" s="3"/>
      <c r="E574" s="4" t="str">
        <f>HYPERLINK("https://dpmzos25m8ivg.cloudfront.net/Documentos/631/01761179110/6310176117911011092023110337.pdf","https://dpmzos25m8ivg.cloudfront.net/Documentos/631/01761179110/6310176117911011092023110337.pdf")</f>
        <v>https://dpmzos25m8ivg.cloudfront.net/Documentos/631/01761179110/6310176117911011092023110337.pdf</v>
      </c>
      <c r="F574" s="5" t="str">
        <f>HYPERLINK("https://dpmzos25m8ivg.cloudfront.net/Documentos/631/01761179110/6310176117911011092023110348.pdf","https://dpmzos25m8ivg.cloudfront.net/Documentos/631/01761179110/6310176117911011092023110348.pdf")</f>
        <v>https://dpmzos25m8ivg.cloudfront.net/Documentos/631/01761179110/6310176117911011092023110348.pdf</v>
      </c>
      <c r="G574" s="5" t="str">
        <f>HYPERLINK("https://dpmzos25m8ivg.cloudfront.net/Documentos/631/01761179110/6310176117911011092023110413.pdf","https://dpmzos25m8ivg.cloudfront.net/Documentos/631/01761179110/6310176117911011092023110413.pdf")</f>
        <v>https://dpmzos25m8ivg.cloudfront.net/Documentos/631/01761179110/6310176117911011092023110413.pdf</v>
      </c>
      <c r="H574" s="4" t="s">
        <v>9161</v>
      </c>
    </row>
    <row r="575" spans="1:8" x14ac:dyDescent="0.25">
      <c r="A575" s="2" t="s">
        <v>589</v>
      </c>
      <c r="B575" s="3"/>
      <c r="C575" s="3"/>
      <c r="D575" s="3"/>
      <c r="E575" s="4" t="str">
        <f>HYPERLINK("https://dpmzos25m8ivg.cloudfront.net/Documentos/631/01764986210/6310176498621013092023111616.jpeg","https://dpmzos25m8ivg.cloudfront.net/Documentos/631/01764986210/6310176498621013092023111616.jpeg")</f>
        <v>https://dpmzos25m8ivg.cloudfront.net/Documentos/631/01764986210/6310176498621013092023111616.jpeg</v>
      </c>
      <c r="F575" s="5" t="str">
        <f>HYPERLINK("https://dpmzos25m8ivg.cloudfront.net/Documentos/631/01764986210/6310176498621013092023111609.jpeg","https://dpmzos25m8ivg.cloudfront.net/Documentos/631/01764986210/6310176498621013092023111609.jpeg")</f>
        <v>https://dpmzos25m8ivg.cloudfront.net/Documentos/631/01764986210/6310176498621013092023111609.jpeg</v>
      </c>
      <c r="G575" s="5" t="str">
        <f>HYPERLINK("https://dpmzos25m8ivg.cloudfront.net/Documentos/631/01764986210/6310176498621014092023093447.jpeg","https://dpmzos25m8ivg.cloudfront.net/Documentos/631/01764986210/6310176498621014092023093447.jpeg")</f>
        <v>https://dpmzos25m8ivg.cloudfront.net/Documentos/631/01764986210/6310176498621014092023093447.jpeg</v>
      </c>
      <c r="H575" s="4" t="s">
        <v>9162</v>
      </c>
    </row>
    <row r="576" spans="1:8" x14ac:dyDescent="0.25">
      <c r="A576" s="2" t="s">
        <v>590</v>
      </c>
      <c r="B576" s="3"/>
      <c r="C576" s="3"/>
      <c r="D576" s="3"/>
      <c r="E576" s="4" t="str">
        <f>HYPERLINK("https://dpmzos25m8ivg.cloudfront.net/Documentos/631/01767067550/6310176706755008092023122006.jpg","https://dpmzos25m8ivg.cloudfront.net/Documentos/631/01767067550/6310176706755008092023122006.jpg")</f>
        <v>https://dpmzos25m8ivg.cloudfront.net/Documentos/631/01767067550/6310176706755008092023122006.jpg</v>
      </c>
      <c r="F576" s="5" t="str">
        <f>HYPERLINK("https://dpmzos25m8ivg.cloudfront.net/Documentos/631/01767067550/6310176706755008092023122022.jpg","https://dpmzos25m8ivg.cloudfront.net/Documentos/631/01767067550/6310176706755008092023122022.jpg")</f>
        <v>https://dpmzos25m8ivg.cloudfront.net/Documentos/631/01767067550/6310176706755008092023122022.jpg</v>
      </c>
      <c r="G576" s="5" t="str">
        <f>HYPERLINK("https://dpmzos25m8ivg.cloudfront.net/Documentos/631/01767067550/6310176706755008092023122037.jpg","https://dpmzos25m8ivg.cloudfront.net/Documentos/631/01767067550/6310176706755008092023122037.jpg")</f>
        <v>https://dpmzos25m8ivg.cloudfront.net/Documentos/631/01767067550/6310176706755008092023122037.jpg</v>
      </c>
      <c r="H576" s="4" t="s">
        <v>9163</v>
      </c>
    </row>
    <row r="577" spans="1:8" x14ac:dyDescent="0.25">
      <c r="A577" s="2" t="s">
        <v>591</v>
      </c>
      <c r="B577" s="3"/>
      <c r="C577" s="3"/>
      <c r="D577" s="3"/>
      <c r="E577" s="4" t="str">
        <f>HYPERLINK("https://dpmzos25m8ivg.cloudfront.net/Documentos/631/01768884544/6310176888454410092023054444.pdf","https://dpmzos25m8ivg.cloudfront.net/Documentos/631/01768884544/6310176888454410092023054444.pdf")</f>
        <v>https://dpmzos25m8ivg.cloudfront.net/Documentos/631/01768884544/6310176888454410092023054444.pdf</v>
      </c>
      <c r="F577" s="5" t="str">
        <f>HYPERLINK("https://dpmzos25m8ivg.cloudfront.net/Documentos/631/01768884544/6310176888454410092023054630.pdf","https://dpmzos25m8ivg.cloudfront.net/Documentos/631/01768884544/6310176888454410092023054630.pdf")</f>
        <v>https://dpmzos25m8ivg.cloudfront.net/Documentos/631/01768884544/6310176888454410092023054630.pdf</v>
      </c>
      <c r="G577" s="5" t="str">
        <f>HYPERLINK("https://dpmzos25m8ivg.cloudfront.net/Documentos/631/01768884544/6310176888454410092023052240.pdf","https://dpmzos25m8ivg.cloudfront.net/Documentos/631/01768884544/6310176888454410092023052240.pdf")</f>
        <v>https://dpmzos25m8ivg.cloudfront.net/Documentos/631/01768884544/6310176888454410092023052240.pdf</v>
      </c>
      <c r="H577" s="4" t="s">
        <v>9164</v>
      </c>
    </row>
    <row r="578" spans="1:8" x14ac:dyDescent="0.25">
      <c r="A578" s="2" t="s">
        <v>592</v>
      </c>
      <c r="B578" s="3"/>
      <c r="C578" s="3"/>
      <c r="D578" s="3"/>
      <c r="E578" s="4" t="str">
        <f>HYPERLINK("https://dpmzos25m8ivg.cloudfront.net/Documentos/631/01768954003/6310176895400310092023234606.jpg","https://dpmzos25m8ivg.cloudfront.net/Documentos/631/01768954003/6310176895400310092023234606.jpg")</f>
        <v>https://dpmzos25m8ivg.cloudfront.net/Documentos/631/01768954003/6310176895400310092023234606.jpg</v>
      </c>
      <c r="F578" s="5" t="str">
        <f>HYPERLINK("https://dpmzos25m8ivg.cloudfront.net/Documentos/631/01768954003/6310176895400310092023234550.jpg","https://dpmzos25m8ivg.cloudfront.net/Documentos/631/01768954003/6310176895400310092023234550.jpg")</f>
        <v>https://dpmzos25m8ivg.cloudfront.net/Documentos/631/01768954003/6310176895400310092023234550.jpg</v>
      </c>
      <c r="G578" s="5" t="str">
        <f>HYPERLINK("https://dpmzos25m8ivg.cloudfront.net/Documentos/631/01768954003/6310176895400310092023234533.jpg","https://dpmzos25m8ivg.cloudfront.net/Documentos/631/01768954003/6310176895400310092023234533.jpg")</f>
        <v>https://dpmzos25m8ivg.cloudfront.net/Documentos/631/01768954003/6310176895400310092023234533.jpg</v>
      </c>
      <c r="H578" s="4" t="s">
        <v>9165</v>
      </c>
    </row>
    <row r="579" spans="1:8" x14ac:dyDescent="0.25">
      <c r="A579" s="2" t="s">
        <v>593</v>
      </c>
      <c r="B579" s="3" t="s">
        <v>90</v>
      </c>
      <c r="C579" s="3"/>
      <c r="D579" s="3"/>
      <c r="E579" s="4" t="str">
        <f>HYPERLINK("https://dpmzos25m8ivg.cloudfront.net/Documentos/631/01772636100/6310177263610010092023220833.pdf","https://dpmzos25m8ivg.cloudfront.net/Documentos/631/01772636100/6310177263610010092023220833.pdf")</f>
        <v>https://dpmzos25m8ivg.cloudfront.net/Documentos/631/01772636100/6310177263610010092023220833.pdf</v>
      </c>
      <c r="F579" s="5" t="str">
        <f>HYPERLINK("https://dpmzos25m8ivg.cloudfront.net/Documentos/631/01772636100/6310177263610010092023220914.pdf","https://dpmzos25m8ivg.cloudfront.net/Documentos/631/01772636100/6310177263610010092023220914.pdf")</f>
        <v>https://dpmzos25m8ivg.cloudfront.net/Documentos/631/01772636100/6310177263610010092023220914.pdf</v>
      </c>
      <c r="G579" s="5" t="str">
        <f>HYPERLINK("https://dpmzos25m8ivg.cloudfront.net/Documentos/631/01772636100/6310177263610010092023221127.pdf","https://dpmzos25m8ivg.cloudfront.net/Documentos/631/01772636100/6310177263610010092023221127.pdf")</f>
        <v>https://dpmzos25m8ivg.cloudfront.net/Documentos/631/01772636100/6310177263610010092023221127.pdf</v>
      </c>
      <c r="H579" s="4" t="s">
        <v>9166</v>
      </c>
    </row>
    <row r="580" spans="1:8" x14ac:dyDescent="0.25">
      <c r="A580" s="2" t="s">
        <v>594</v>
      </c>
      <c r="B580" s="3"/>
      <c r="C580" s="3"/>
      <c r="D580" s="3"/>
      <c r="E580" s="4" t="str">
        <f>HYPERLINK("https://dpmzos25m8ivg.cloudfront.net/Documentos/631/01774440296/6310177444029605092023205048.pdf","https://dpmzos25m8ivg.cloudfront.net/Documentos/631/01774440296/6310177444029605092023205048.pdf")</f>
        <v>https://dpmzos25m8ivg.cloudfront.net/Documentos/631/01774440296/6310177444029605092023205048.pdf</v>
      </c>
      <c r="F580" s="5" t="str">
        <f>HYPERLINK("https://dpmzos25m8ivg.cloudfront.net/Documentos/631/01774440296/6310177444029605092023205059.pdf","https://dpmzos25m8ivg.cloudfront.net/Documentos/631/01774440296/6310177444029605092023205059.pdf")</f>
        <v>https://dpmzos25m8ivg.cloudfront.net/Documentos/631/01774440296/6310177444029605092023205059.pdf</v>
      </c>
      <c r="G580" s="5" t="str">
        <f>HYPERLINK("https://dpmzos25m8ivg.cloudfront.net/Documentos/631/01774440296/6310177444029605092023205109.pdf","https://dpmzos25m8ivg.cloudfront.net/Documentos/631/01774440296/6310177444029605092023205109.pdf")</f>
        <v>https://dpmzos25m8ivg.cloudfront.net/Documentos/631/01774440296/6310177444029605092023205109.pdf</v>
      </c>
      <c r="H580" s="4" t="s">
        <v>9167</v>
      </c>
    </row>
    <row r="581" spans="1:8" x14ac:dyDescent="0.25">
      <c r="A581" s="2" t="s">
        <v>595</v>
      </c>
      <c r="B581" s="3"/>
      <c r="C581" s="3"/>
      <c r="D581" s="3"/>
      <c r="E581" s="4" t="str">
        <f>HYPERLINK("https://dpmzos25m8ivg.cloudfront.net/Documentos/631/01774733552/6310177473355211092023154559.jpg","https://dpmzos25m8ivg.cloudfront.net/Documentos/631/01774733552/6310177473355211092023154559.jpg")</f>
        <v>https://dpmzos25m8ivg.cloudfront.net/Documentos/631/01774733552/6310177473355211092023154559.jpg</v>
      </c>
      <c r="F581" s="5" t="str">
        <f>HYPERLINK("https://dpmzos25m8ivg.cloudfront.net/Documentos/631/01774733552/6310177473355211092023154618.pdf","https://dpmzos25m8ivg.cloudfront.net/Documentos/631/01774733552/6310177473355211092023154618.pdf")</f>
        <v>https://dpmzos25m8ivg.cloudfront.net/Documentos/631/01774733552/6310177473355211092023154618.pdf</v>
      </c>
      <c r="G581" s="5" t="str">
        <f>HYPERLINK("https://dpmzos25m8ivg.cloudfront.net/Documentos/631/01774733552/6310177473355211092023154650.jpg","https://dpmzos25m8ivg.cloudfront.net/Documentos/631/01774733552/6310177473355211092023154650.jpg")</f>
        <v>https://dpmzos25m8ivg.cloudfront.net/Documentos/631/01774733552/6310177473355211092023154650.jpg</v>
      </c>
      <c r="H581" s="4" t="s">
        <v>9168</v>
      </c>
    </row>
    <row r="582" spans="1:8" x14ac:dyDescent="0.25">
      <c r="A582" s="2" t="s">
        <v>596</v>
      </c>
      <c r="B582" s="3"/>
      <c r="C582" s="3"/>
      <c r="D582" s="3"/>
      <c r="E582" s="4" t="str">
        <f>HYPERLINK("https://dpmzos25m8ivg.cloudfront.net/Documentos/631/01780059167/6310178005916711092023161217.jpg","https://dpmzos25m8ivg.cloudfront.net/Documentos/631/01780059167/6310178005916711092023161217.jpg")</f>
        <v>https://dpmzos25m8ivg.cloudfront.net/Documentos/631/01780059167/6310178005916711092023161217.jpg</v>
      </c>
      <c r="F582" s="5" t="str">
        <f>HYPERLINK("https://dpmzos25m8ivg.cloudfront.net/Documentos/631/01780059167/6310178005916711092023161232.jpg","https://dpmzos25m8ivg.cloudfront.net/Documentos/631/01780059167/6310178005916711092023161232.jpg")</f>
        <v>https://dpmzos25m8ivg.cloudfront.net/Documentos/631/01780059167/6310178005916711092023161232.jpg</v>
      </c>
      <c r="G582" s="5" t="str">
        <f>HYPERLINK("https://dpmzos25m8ivg.cloudfront.net/Documentos/631/01780059167/6310178005916711092023161249.jpg","https://dpmzos25m8ivg.cloudfront.net/Documentos/631/01780059167/6310178005916711092023161249.jpg")</f>
        <v>https://dpmzos25m8ivg.cloudfront.net/Documentos/631/01780059167/6310178005916711092023161249.jpg</v>
      </c>
      <c r="H582" s="4" t="s">
        <v>9169</v>
      </c>
    </row>
    <row r="583" spans="1:8" x14ac:dyDescent="0.25">
      <c r="A583" s="2" t="s">
        <v>597</v>
      </c>
      <c r="B583" s="3"/>
      <c r="C583" s="3"/>
      <c r="D583" s="3"/>
      <c r="E583" s="4" t="str">
        <f>HYPERLINK("https://dpmzos25m8ivg.cloudfront.net/Documentos/631/01781341125/6310178134112514092023114107.pdf","https://dpmzos25m8ivg.cloudfront.net/Documentos/631/01781341125/6310178134112514092023114107.pdf")</f>
        <v>https://dpmzos25m8ivg.cloudfront.net/Documentos/631/01781341125/6310178134112514092023114107.pdf</v>
      </c>
      <c r="F583" s="5" t="str">
        <f>HYPERLINK("https://dpmzos25m8ivg.cloudfront.net/Documentos/631/01781341125/6310178134112514092023114129.pdf","https://dpmzos25m8ivg.cloudfront.net/Documentos/631/01781341125/6310178134112514092023114129.pdf")</f>
        <v>https://dpmzos25m8ivg.cloudfront.net/Documentos/631/01781341125/6310178134112514092023114129.pdf</v>
      </c>
      <c r="G583" s="5" t="str">
        <f>HYPERLINK("https://dpmzos25m8ivg.cloudfront.net/Documentos/631/01781341125/6310178134112514092023114240.pdf","https://dpmzos25m8ivg.cloudfront.net/Documentos/631/01781341125/6310178134112514092023114240.pdf")</f>
        <v>https://dpmzos25m8ivg.cloudfront.net/Documentos/631/01781341125/6310178134112514092023114240.pdf</v>
      </c>
      <c r="H583" s="4" t="s">
        <v>9170</v>
      </c>
    </row>
    <row r="584" spans="1:8" x14ac:dyDescent="0.25">
      <c r="A584" s="2" t="s">
        <v>598</v>
      </c>
      <c r="B584" s="3"/>
      <c r="C584" s="3"/>
      <c r="D584" s="3"/>
      <c r="E584" s="4" t="str">
        <f>HYPERLINK("https://dpmzos25m8ivg.cloudfront.net/Documentos/631/01784193119/6310178419311911092023084726.pdf","https://dpmzos25m8ivg.cloudfront.net/Documentos/631/01784193119/6310178419311911092023084726.pdf")</f>
        <v>https://dpmzos25m8ivg.cloudfront.net/Documentos/631/01784193119/6310178419311911092023084726.pdf</v>
      </c>
      <c r="F584" s="5" t="str">
        <f>HYPERLINK("https://dpmzos25m8ivg.cloudfront.net/Documentos/631/01784193119/6310178419311911092023084835.pdf","https://dpmzos25m8ivg.cloudfront.net/Documentos/631/01784193119/6310178419311911092023084835.pdf")</f>
        <v>https://dpmzos25m8ivg.cloudfront.net/Documentos/631/01784193119/6310178419311911092023084835.pdf</v>
      </c>
      <c r="G584" s="5" t="str">
        <f>HYPERLINK("https://dpmzos25m8ivg.cloudfront.net/Documentos/631/01784193119/6310178419311911092023084844.pdf","https://dpmzos25m8ivg.cloudfront.net/Documentos/631/01784193119/6310178419311911092023084844.pdf")</f>
        <v>https://dpmzos25m8ivg.cloudfront.net/Documentos/631/01784193119/6310178419311911092023084844.pdf</v>
      </c>
      <c r="H584" s="4" t="s">
        <v>9171</v>
      </c>
    </row>
    <row r="585" spans="1:8" x14ac:dyDescent="0.25">
      <c r="A585" s="2" t="s">
        <v>599</v>
      </c>
      <c r="B585" s="3" t="s">
        <v>8</v>
      </c>
      <c r="C585" s="3"/>
      <c r="D585" s="3"/>
      <c r="E585" s="4" t="str">
        <f>HYPERLINK("https://dpmzos25m8ivg.cloudfront.net/Documentos/631/01785071130/6310178507113005092023222030.jpg","https://dpmzos25m8ivg.cloudfront.net/Documentos/631/01785071130/6310178507113005092023222030.jpg")</f>
        <v>https://dpmzos25m8ivg.cloudfront.net/Documentos/631/01785071130/6310178507113005092023222030.jpg</v>
      </c>
      <c r="F585" s="5" t="str">
        <f>HYPERLINK("https://dpmzos25m8ivg.cloudfront.net/Documentos/631/01785071130/6310178507113005092023222135.jpg","https://dpmzos25m8ivg.cloudfront.net/Documentos/631/01785071130/6310178507113005092023222135.jpg")</f>
        <v>https://dpmzos25m8ivg.cloudfront.net/Documentos/631/01785071130/6310178507113005092023222135.jpg</v>
      </c>
      <c r="G585" s="5" t="str">
        <f>HYPERLINK("https://dpmzos25m8ivg.cloudfront.net/Documentos/631/01785071130/6310178507113005092023222227.jpg","https://dpmzos25m8ivg.cloudfront.net/Documentos/631/01785071130/6310178507113005092023222227.jpg")</f>
        <v>https://dpmzos25m8ivg.cloudfront.net/Documentos/631/01785071130/6310178507113005092023222227.jpg</v>
      </c>
      <c r="H585" s="4" t="s">
        <v>9172</v>
      </c>
    </row>
    <row r="586" spans="1:8" x14ac:dyDescent="0.25">
      <c r="A586" s="2" t="s">
        <v>600</v>
      </c>
      <c r="B586" s="3"/>
      <c r="C586" s="3"/>
      <c r="D586" s="3"/>
      <c r="E586" s="4" t="str">
        <f>HYPERLINK("https://dpmzos25m8ivg.cloudfront.net/Documentos/631/01785074580/6310178507458005092023191848.pdf","https://dpmzos25m8ivg.cloudfront.net/Documentos/631/01785074580/6310178507458005092023191848.pdf")</f>
        <v>https://dpmzos25m8ivg.cloudfront.net/Documentos/631/01785074580/6310178507458005092023191848.pdf</v>
      </c>
      <c r="F586" s="5" t="str">
        <f>HYPERLINK("https://dpmzos25m8ivg.cloudfront.net/Documentos/631/01785074580/6310178507458005092023191833.pdf","https://dpmzos25m8ivg.cloudfront.net/Documentos/631/01785074580/6310178507458005092023191833.pdf")</f>
        <v>https://dpmzos25m8ivg.cloudfront.net/Documentos/631/01785074580/6310178507458005092023191833.pdf</v>
      </c>
      <c r="G586" s="5" t="str">
        <f>HYPERLINK("https://dpmzos25m8ivg.cloudfront.net/Documentos/631/01785074580/6310178507458005092023191814.pdf","https://dpmzos25m8ivg.cloudfront.net/Documentos/631/01785074580/6310178507458005092023191814.pdf")</f>
        <v>https://dpmzos25m8ivg.cloudfront.net/Documentos/631/01785074580/6310178507458005092023191814.pdf</v>
      </c>
      <c r="H586" s="4" t="s">
        <v>9173</v>
      </c>
    </row>
    <row r="587" spans="1:8" x14ac:dyDescent="0.25">
      <c r="A587" s="2" t="s">
        <v>601</v>
      </c>
      <c r="B587" s="3"/>
      <c r="C587" s="3"/>
      <c r="D587" s="3"/>
      <c r="E587" s="4" t="str">
        <f>HYPERLINK("https://dpmzos25m8ivg.cloudfront.net/Documentos/631/01787593339/6310178759333909092023115527.pdf","https://dpmzos25m8ivg.cloudfront.net/Documentos/631/01787593339/6310178759333909092023115527.pdf")</f>
        <v>https://dpmzos25m8ivg.cloudfront.net/Documentos/631/01787593339/6310178759333909092023115527.pdf</v>
      </c>
      <c r="F587" s="5" t="str">
        <f>HYPERLINK("https://dpmzos25m8ivg.cloudfront.net/Documentos/631/01787593339/6310178759333909092023115538.pdf","https://dpmzos25m8ivg.cloudfront.net/Documentos/631/01787593339/6310178759333909092023115538.pdf")</f>
        <v>https://dpmzos25m8ivg.cloudfront.net/Documentos/631/01787593339/6310178759333909092023115538.pdf</v>
      </c>
      <c r="G587" s="5" t="str">
        <f>HYPERLINK("https://dpmzos25m8ivg.cloudfront.net/Documentos/631/01787593339/6310178759333909092023115548.pdf","https://dpmzos25m8ivg.cloudfront.net/Documentos/631/01787593339/6310178759333909092023115548.pdf")</f>
        <v>https://dpmzos25m8ivg.cloudfront.net/Documentos/631/01787593339/6310178759333909092023115548.pdf</v>
      </c>
      <c r="H587" s="4" t="s">
        <v>9174</v>
      </c>
    </row>
    <row r="588" spans="1:8" x14ac:dyDescent="0.25">
      <c r="A588" s="2" t="s">
        <v>602</v>
      </c>
      <c r="B588" s="3"/>
      <c r="C588" s="3"/>
      <c r="D588" s="3"/>
      <c r="E588" s="4" t="str">
        <f>HYPERLINK("https://dpmzos25m8ivg.cloudfront.net/Documentos/631/01788527240/6310178852724013092023233249.pdf","https://dpmzos25m8ivg.cloudfront.net/Documentos/631/01788527240/6310178852724013092023233249.pdf")</f>
        <v>https://dpmzos25m8ivg.cloudfront.net/Documentos/631/01788527240/6310178852724013092023233249.pdf</v>
      </c>
      <c r="F588" s="5" t="str">
        <f>HYPERLINK("https://dpmzos25m8ivg.cloudfront.net/Documentos/631/01788527240/6310178852724013092023234147.pdf","https://dpmzos25m8ivg.cloudfront.net/Documentos/631/01788527240/6310178852724013092023234147.pdf")</f>
        <v>https://dpmzos25m8ivg.cloudfront.net/Documentos/631/01788527240/6310178852724013092023234147.pdf</v>
      </c>
      <c r="G588" s="5" t="str">
        <f>HYPERLINK("https://dpmzos25m8ivg.cloudfront.net/Documentos/631/01788527240/6310178852724013092023234156.pdf","https://dpmzos25m8ivg.cloudfront.net/Documentos/631/01788527240/6310178852724013092023234156.pdf")</f>
        <v>https://dpmzos25m8ivg.cloudfront.net/Documentos/631/01788527240/6310178852724013092023234156.pdf</v>
      </c>
      <c r="H588" s="4" t="s">
        <v>9175</v>
      </c>
    </row>
    <row r="589" spans="1:8" x14ac:dyDescent="0.25">
      <c r="A589" s="2" t="s">
        <v>603</v>
      </c>
      <c r="B589" s="3"/>
      <c r="C589" s="3"/>
      <c r="D589" s="3"/>
      <c r="E589" s="4" t="str">
        <f>HYPERLINK("https://dpmzos25m8ivg.cloudfront.net/Documentos/631/01788749570/6310178874957008092023215857.pdf","https://dpmzos25m8ivg.cloudfront.net/Documentos/631/01788749570/6310178874957008092023215857.pdf")</f>
        <v>https://dpmzos25m8ivg.cloudfront.net/Documentos/631/01788749570/6310178874957008092023215857.pdf</v>
      </c>
      <c r="F589" s="5" t="str">
        <f>HYPERLINK("https://dpmzos25m8ivg.cloudfront.net/Documentos/631/01788749570/6310178874957008092023215848.pdf","https://dpmzos25m8ivg.cloudfront.net/Documentos/631/01788749570/6310178874957008092023215848.pdf")</f>
        <v>https://dpmzos25m8ivg.cloudfront.net/Documentos/631/01788749570/6310178874957008092023215848.pdf</v>
      </c>
      <c r="G589" s="5" t="str">
        <f>HYPERLINK("https://dpmzos25m8ivg.cloudfront.net/Documentos/631/01788749570/6310178874957008092023215839.pdf","https://dpmzos25m8ivg.cloudfront.net/Documentos/631/01788749570/6310178874957008092023215839.pdf")</f>
        <v>https://dpmzos25m8ivg.cloudfront.net/Documentos/631/01788749570/6310178874957008092023215839.pdf</v>
      </c>
      <c r="H589" s="4" t="s">
        <v>9176</v>
      </c>
    </row>
    <row r="590" spans="1:8" x14ac:dyDescent="0.25">
      <c r="A590" s="2" t="s">
        <v>604</v>
      </c>
      <c r="B590" s="3"/>
      <c r="C590" s="3"/>
      <c r="D590" s="3"/>
      <c r="E590" s="4" t="str">
        <f>HYPERLINK("https://dpmzos25m8ivg.cloudfront.net/Documentos/631/01788799402/6310178879940207092023152545.pdf","https://dpmzos25m8ivg.cloudfront.net/Documentos/631/01788799402/6310178879940207092023152545.pdf")</f>
        <v>https://dpmzos25m8ivg.cloudfront.net/Documentos/631/01788799402/6310178879940207092023152545.pdf</v>
      </c>
      <c r="F590" s="5" t="str">
        <f>HYPERLINK("https://dpmzos25m8ivg.cloudfront.net/Documentos/631/01788799402/6310178879940207092023152605.pdf","https://dpmzos25m8ivg.cloudfront.net/Documentos/631/01788799402/6310178879940207092023152605.pdf")</f>
        <v>https://dpmzos25m8ivg.cloudfront.net/Documentos/631/01788799402/6310178879940207092023152605.pdf</v>
      </c>
      <c r="G590" s="5" t="str">
        <f>HYPERLINK("https://dpmzos25m8ivg.cloudfront.net/Documentos/631/01788799402/6310178879940207092023152626.pdf","https://dpmzos25m8ivg.cloudfront.net/Documentos/631/01788799402/6310178879940207092023152626.pdf")</f>
        <v>https://dpmzos25m8ivg.cloudfront.net/Documentos/631/01788799402/6310178879940207092023152626.pdf</v>
      </c>
      <c r="H590" s="4" t="s">
        <v>9177</v>
      </c>
    </row>
    <row r="591" spans="1:8" x14ac:dyDescent="0.25">
      <c r="A591" s="2" t="s">
        <v>605</v>
      </c>
      <c r="B591" s="3"/>
      <c r="C591" s="3"/>
      <c r="D591" s="3"/>
      <c r="E591" s="4" t="str">
        <f>HYPERLINK("https://dpmzos25m8ivg.cloudfront.net/Documentos/631/01789801109/6310178980110911092023164814.jpeg","https://dpmzos25m8ivg.cloudfront.net/Documentos/631/01789801109/6310178980110911092023164814.jpeg")</f>
        <v>https://dpmzos25m8ivg.cloudfront.net/Documentos/631/01789801109/6310178980110911092023164814.jpeg</v>
      </c>
      <c r="F591" s="5" t="str">
        <f>HYPERLINK("https://dpmzos25m8ivg.cloudfront.net/Documentos/631/01789801109/6310178980110911092023164835.jpeg","https://dpmzos25m8ivg.cloudfront.net/Documentos/631/01789801109/6310178980110911092023164835.jpeg")</f>
        <v>https://dpmzos25m8ivg.cloudfront.net/Documentos/631/01789801109/6310178980110911092023164835.jpeg</v>
      </c>
      <c r="G591" s="5" t="str">
        <f>HYPERLINK("https://dpmzos25m8ivg.cloudfront.net/Documentos/631/01789801109/6310178980110911092023164852.jpeg","https://dpmzos25m8ivg.cloudfront.net/Documentos/631/01789801109/6310178980110911092023164852.jpeg")</f>
        <v>https://dpmzos25m8ivg.cloudfront.net/Documentos/631/01789801109/6310178980110911092023164852.jpeg</v>
      </c>
      <c r="H591" s="4" t="s">
        <v>9178</v>
      </c>
    </row>
    <row r="592" spans="1:8" x14ac:dyDescent="0.25">
      <c r="A592" s="2" t="s">
        <v>606</v>
      </c>
      <c r="B592" s="3" t="s">
        <v>23</v>
      </c>
      <c r="C592" s="3"/>
      <c r="D592" s="3"/>
      <c r="E592" s="4" t="str">
        <f>HYPERLINK("https://dpmzos25m8ivg.cloudfront.net/Documentos/631/01798156288/6310179815628810092023103132.pdf","https://dpmzos25m8ivg.cloudfront.net/Documentos/631/01798156288/6310179815628810092023103132.pdf")</f>
        <v>https://dpmzos25m8ivg.cloudfront.net/Documentos/631/01798156288/6310179815628810092023103132.pdf</v>
      </c>
      <c r="F592" s="5" t="str">
        <f>HYPERLINK("https://dpmzos25m8ivg.cloudfront.net/Documentos/631/01798156288/6310179815628810092023103200.pdf","https://dpmzos25m8ivg.cloudfront.net/Documentos/631/01798156288/6310179815628810092023103200.pdf")</f>
        <v>https://dpmzos25m8ivg.cloudfront.net/Documentos/631/01798156288/6310179815628810092023103200.pdf</v>
      </c>
      <c r="G592" s="5" t="str">
        <f>HYPERLINK("https://dpmzos25m8ivg.cloudfront.net/Documentos/631/01798156288/6310179815628810092023103259.pdf","https://dpmzos25m8ivg.cloudfront.net/Documentos/631/01798156288/6310179815628810092023103259.pdf")</f>
        <v>https://dpmzos25m8ivg.cloudfront.net/Documentos/631/01798156288/6310179815628810092023103259.pdf</v>
      </c>
      <c r="H592" s="4" t="s">
        <v>9179</v>
      </c>
    </row>
    <row r="593" spans="1:8" x14ac:dyDescent="0.25">
      <c r="A593" s="2" t="s">
        <v>607</v>
      </c>
      <c r="B593" s="3"/>
      <c r="C593" s="3"/>
      <c r="D593" s="3"/>
      <c r="E593" s="4" t="str">
        <f>HYPERLINK("https://dpmzos25m8ivg.cloudfront.net/Documentos/631/01798519003/6310179851900311092023132628.jpg","https://dpmzos25m8ivg.cloudfront.net/Documentos/631/01798519003/6310179851900311092023132628.jpg")</f>
        <v>https://dpmzos25m8ivg.cloudfront.net/Documentos/631/01798519003/6310179851900311092023132628.jpg</v>
      </c>
      <c r="F593" s="5" t="str">
        <f>HYPERLINK("https://dpmzos25m8ivg.cloudfront.net/Documentos/631/01798519003/6310179851900311092023132640.jpg","https://dpmzos25m8ivg.cloudfront.net/Documentos/631/01798519003/6310179851900311092023132640.jpg")</f>
        <v>https://dpmzos25m8ivg.cloudfront.net/Documentos/631/01798519003/6310179851900311092023132640.jpg</v>
      </c>
      <c r="G593" s="5" t="str">
        <f>HYPERLINK("https://dpmzos25m8ivg.cloudfront.net/Documentos/631/01798519003/6310179851900311092023132653.jpg","https://dpmzos25m8ivg.cloudfront.net/Documentos/631/01798519003/6310179851900311092023132653.jpg")</f>
        <v>https://dpmzos25m8ivg.cloudfront.net/Documentos/631/01798519003/6310179851900311092023132653.jpg</v>
      </c>
      <c r="H593" s="4" t="s">
        <v>9180</v>
      </c>
    </row>
    <row r="594" spans="1:8" x14ac:dyDescent="0.25">
      <c r="A594" s="2" t="s">
        <v>608</v>
      </c>
      <c r="B594" s="3" t="s">
        <v>8</v>
      </c>
      <c r="C594" s="3"/>
      <c r="D594" s="3"/>
      <c r="E594" s="4" t="str">
        <f>HYPERLINK("https://dpmzos25m8ivg.cloudfront.net/Documentos/631/01798784505/6310179878450505092023111850.pdf","https://dpmzos25m8ivg.cloudfront.net/Documentos/631/01798784505/6310179878450505092023111850.pdf")</f>
        <v>https://dpmzos25m8ivg.cloudfront.net/Documentos/631/01798784505/6310179878450505092023111850.pdf</v>
      </c>
      <c r="F594" s="5" t="str">
        <f>HYPERLINK("https://dpmzos25m8ivg.cloudfront.net/Documentos/631/01798784505/6310179878450505092023111740.pdf","https://dpmzos25m8ivg.cloudfront.net/Documentos/631/01798784505/6310179878450505092023111740.pdf")</f>
        <v>https://dpmzos25m8ivg.cloudfront.net/Documentos/631/01798784505/6310179878450505092023111740.pdf</v>
      </c>
      <c r="G594" s="5" t="str">
        <f>HYPERLINK("https://dpmzos25m8ivg.cloudfront.net/Documentos/631/01798784505/6310179878450505092023111753.pdf","https://dpmzos25m8ivg.cloudfront.net/Documentos/631/01798784505/6310179878450505092023111753.pdf")</f>
        <v>https://dpmzos25m8ivg.cloudfront.net/Documentos/631/01798784505/6310179878450505092023111753.pdf</v>
      </c>
      <c r="H594" s="4" t="s">
        <v>9181</v>
      </c>
    </row>
    <row r="595" spans="1:8" x14ac:dyDescent="0.25">
      <c r="A595" s="2" t="s">
        <v>609</v>
      </c>
      <c r="B595" s="3"/>
      <c r="C595" s="3"/>
      <c r="D595" s="3"/>
      <c r="E595" s="4" t="str">
        <f>HYPERLINK("https://dpmzos25m8ivg.cloudfront.net/Documentos/631/01800875096/6310180087509611092023155357.pdf","https://dpmzos25m8ivg.cloudfront.net/Documentos/631/01800875096/6310180087509611092023155357.pdf")</f>
        <v>https://dpmzos25m8ivg.cloudfront.net/Documentos/631/01800875096/6310180087509611092023155357.pdf</v>
      </c>
      <c r="F595" s="5" t="str">
        <f>HYPERLINK("https://dpmzos25m8ivg.cloudfront.net/Documentos/631/01800875096/6310180087509611092023155404.pdf","https://dpmzos25m8ivg.cloudfront.net/Documentos/631/01800875096/6310180087509611092023155404.pdf")</f>
        <v>https://dpmzos25m8ivg.cloudfront.net/Documentos/631/01800875096/6310180087509611092023155404.pdf</v>
      </c>
      <c r="G595" s="5" t="str">
        <f>HYPERLINK("https://dpmzos25m8ivg.cloudfront.net/Documentos/631/01800875096/6310180087509611092023155410.pdf","https://dpmzos25m8ivg.cloudfront.net/Documentos/631/01800875096/6310180087509611092023155410.pdf")</f>
        <v>https://dpmzos25m8ivg.cloudfront.net/Documentos/631/01800875096/6310180087509611092023155410.pdf</v>
      </c>
      <c r="H595" s="4" t="s">
        <v>9182</v>
      </c>
    </row>
    <row r="596" spans="1:8" x14ac:dyDescent="0.25">
      <c r="A596" s="2" t="s">
        <v>610</v>
      </c>
      <c r="B596" s="3"/>
      <c r="C596" s="3"/>
      <c r="D596" s="3"/>
      <c r="E596" s="4" t="str">
        <f>HYPERLINK("https://dpmzos25m8ivg.cloudfront.net/Documentos/631/01803915005/6310180391500510092023223911.jpeg","https://dpmzos25m8ivg.cloudfront.net/Documentos/631/01803915005/6310180391500510092023223911.jpeg")</f>
        <v>https://dpmzos25m8ivg.cloudfront.net/Documentos/631/01803915005/6310180391500510092023223911.jpeg</v>
      </c>
      <c r="F596" s="5" t="str">
        <f>HYPERLINK("https://dpmzos25m8ivg.cloudfront.net/Documentos/631/01803915005/6310180391500510092023224023.jpeg","https://dpmzos25m8ivg.cloudfront.net/Documentos/631/01803915005/6310180391500510092023224023.jpeg")</f>
        <v>https://dpmzos25m8ivg.cloudfront.net/Documentos/631/01803915005/6310180391500510092023224023.jpeg</v>
      </c>
      <c r="G596" s="5" t="str">
        <f>HYPERLINK("https://dpmzos25m8ivg.cloudfront.net/Documentos/631/01803915005/6310180391500510092023225012.jpeg","https://dpmzos25m8ivg.cloudfront.net/Documentos/631/01803915005/6310180391500510092023225012.jpeg")</f>
        <v>https://dpmzos25m8ivg.cloudfront.net/Documentos/631/01803915005/6310180391500510092023225012.jpeg</v>
      </c>
      <c r="H596" s="4" t="s">
        <v>9183</v>
      </c>
    </row>
    <row r="597" spans="1:8" x14ac:dyDescent="0.25">
      <c r="A597" s="2" t="s">
        <v>611</v>
      </c>
      <c r="B597" s="3"/>
      <c r="C597" s="3"/>
      <c r="D597" s="3"/>
      <c r="E597" s="4" t="str">
        <f>HYPERLINK("https://dpmzos25m8ivg.cloudfront.net/Documentos/631/01805269100/6310180526910005092023171434.pdf","https://dpmzos25m8ivg.cloudfront.net/Documentos/631/01805269100/6310180526910005092023171434.pdf")</f>
        <v>https://dpmzos25m8ivg.cloudfront.net/Documentos/631/01805269100/6310180526910005092023171434.pdf</v>
      </c>
      <c r="F597" s="5" t="str">
        <f>HYPERLINK("https://dpmzos25m8ivg.cloudfront.net/Documentos/631/01805269100/6310180526910005092023171449.pdf","https://dpmzos25m8ivg.cloudfront.net/Documentos/631/01805269100/6310180526910005092023171449.pdf")</f>
        <v>https://dpmzos25m8ivg.cloudfront.net/Documentos/631/01805269100/6310180526910005092023171449.pdf</v>
      </c>
      <c r="G597" s="5" t="str">
        <f>HYPERLINK("https://dpmzos25m8ivg.cloudfront.net/Documentos/631/01805269100/6310180526910005092023171503.pdf","https://dpmzos25m8ivg.cloudfront.net/Documentos/631/01805269100/6310180526910005092023171503.pdf")</f>
        <v>https://dpmzos25m8ivg.cloudfront.net/Documentos/631/01805269100/6310180526910005092023171503.pdf</v>
      </c>
      <c r="H597" s="4" t="s">
        <v>9184</v>
      </c>
    </row>
    <row r="598" spans="1:8" x14ac:dyDescent="0.25">
      <c r="A598" s="2" t="s">
        <v>612</v>
      </c>
      <c r="B598" s="3"/>
      <c r="C598" s="3"/>
      <c r="D598" s="3"/>
      <c r="E598" s="4" t="str">
        <f>HYPERLINK("https://dpmzos25m8ivg.cloudfront.net/Documentos/631/01808808533/6310180880853307092023221725.jpg","https://dpmzos25m8ivg.cloudfront.net/Documentos/631/01808808533/6310180880853307092023221725.jpg")</f>
        <v>https://dpmzos25m8ivg.cloudfront.net/Documentos/631/01808808533/6310180880853307092023221725.jpg</v>
      </c>
      <c r="F598" s="5" t="str">
        <f>HYPERLINK("https://dpmzos25m8ivg.cloudfront.net/Documentos/631/01808808533/6310180880853307092023221753.jpg","https://dpmzos25m8ivg.cloudfront.net/Documentos/631/01808808533/6310180880853307092023221753.jpg")</f>
        <v>https://dpmzos25m8ivg.cloudfront.net/Documentos/631/01808808533/6310180880853307092023221753.jpg</v>
      </c>
      <c r="G598" s="5" t="str">
        <f>HYPERLINK("https://dpmzos25m8ivg.cloudfront.net/Documentos/631/01808808533/6310180880853307092023221903.jpg","https://dpmzos25m8ivg.cloudfront.net/Documentos/631/01808808533/6310180880853307092023221903.jpg")</f>
        <v>https://dpmzos25m8ivg.cloudfront.net/Documentos/631/01808808533/6310180880853307092023221903.jpg</v>
      </c>
      <c r="H598" s="4" t="s">
        <v>9185</v>
      </c>
    </row>
    <row r="599" spans="1:8" x14ac:dyDescent="0.25">
      <c r="A599" s="2" t="s">
        <v>613</v>
      </c>
      <c r="B599" s="3"/>
      <c r="C599" s="3"/>
      <c r="D599" s="3"/>
      <c r="E599" s="4" t="str">
        <f>HYPERLINK("https://dpmzos25m8ivg.cloudfront.net/Documentos/631/01809449596/6310180944959611092023120021.jpg","https://dpmzos25m8ivg.cloudfront.net/Documentos/631/01809449596/6310180944959611092023120021.jpg")</f>
        <v>https://dpmzos25m8ivg.cloudfront.net/Documentos/631/01809449596/6310180944959611092023120021.jpg</v>
      </c>
      <c r="F599" s="5" t="str">
        <f>HYPERLINK("https://dpmzos25m8ivg.cloudfront.net/Documentos/631/01809449596/6310180944959611092023120041.jpg","https://dpmzos25m8ivg.cloudfront.net/Documentos/631/01809449596/6310180944959611092023120041.jpg")</f>
        <v>https://dpmzos25m8ivg.cloudfront.net/Documentos/631/01809449596/6310180944959611092023120041.jpg</v>
      </c>
      <c r="G599" s="5" t="str">
        <f>HYPERLINK("https://dpmzos25m8ivg.cloudfront.net/Documentos/631/01809449596/6310180944959611092023120048.jpg","https://dpmzos25m8ivg.cloudfront.net/Documentos/631/01809449596/6310180944959611092023120048.jpg")</f>
        <v>https://dpmzos25m8ivg.cloudfront.net/Documentos/631/01809449596/6310180944959611092023120048.jpg</v>
      </c>
      <c r="H599" s="4" t="s">
        <v>9186</v>
      </c>
    </row>
    <row r="600" spans="1:8" x14ac:dyDescent="0.25">
      <c r="A600" s="2" t="s">
        <v>614</v>
      </c>
      <c r="B600" s="3"/>
      <c r="C600" s="3"/>
      <c r="D600" s="3"/>
      <c r="E600" s="4" t="str">
        <f>HYPERLINK("https://dpmzos25m8ivg.cloudfront.net/Documentos/631/01809653363/6310180965336306092023185622.jpg","https://dpmzos25m8ivg.cloudfront.net/Documentos/631/01809653363/6310180965336306092023185622.jpg")</f>
        <v>https://dpmzos25m8ivg.cloudfront.net/Documentos/631/01809653363/6310180965336306092023185622.jpg</v>
      </c>
      <c r="F600" s="5" t="str">
        <f>HYPERLINK("https://dpmzos25m8ivg.cloudfront.net/Documentos/631/01809653363/6310180965336306092023185644.jpg","https://dpmzos25m8ivg.cloudfront.net/Documentos/631/01809653363/6310180965336306092023185644.jpg")</f>
        <v>https://dpmzos25m8ivg.cloudfront.net/Documentos/631/01809653363/6310180965336306092023185644.jpg</v>
      </c>
      <c r="G600" s="5" t="str">
        <f>HYPERLINK("https://dpmzos25m8ivg.cloudfront.net/Documentos/631/01809653363/6310180965336306092023185703.jpg","https://dpmzos25m8ivg.cloudfront.net/Documentos/631/01809653363/6310180965336306092023185703.jpg")</f>
        <v>https://dpmzos25m8ivg.cloudfront.net/Documentos/631/01809653363/6310180965336306092023185703.jpg</v>
      </c>
      <c r="H600" s="4" t="s">
        <v>9187</v>
      </c>
    </row>
    <row r="601" spans="1:8" x14ac:dyDescent="0.25">
      <c r="A601" s="2" t="s">
        <v>615</v>
      </c>
      <c r="B601" s="3"/>
      <c r="C601" s="3"/>
      <c r="D601" s="3"/>
      <c r="E601" s="4" t="str">
        <f>HYPERLINK("https://dpmzos25m8ivg.cloudfront.net/Documentos/631/01811507352/6310181150735207092023221723.pdf","https://dpmzos25m8ivg.cloudfront.net/Documentos/631/01811507352/6310181150735207092023221723.pdf")</f>
        <v>https://dpmzos25m8ivg.cloudfront.net/Documentos/631/01811507352/6310181150735207092023221723.pdf</v>
      </c>
      <c r="F601" s="5" t="str">
        <f>HYPERLINK("https://dpmzos25m8ivg.cloudfront.net/Documentos/631/01811507352/6310181150735207092023221739.pdf","https://dpmzos25m8ivg.cloudfront.net/Documentos/631/01811507352/6310181150735207092023221739.pdf")</f>
        <v>https://dpmzos25m8ivg.cloudfront.net/Documentos/631/01811507352/6310181150735207092023221739.pdf</v>
      </c>
      <c r="G601" s="5" t="str">
        <f>HYPERLINK("https://dpmzos25m8ivg.cloudfront.net/Documentos/631/01811507352/6310181150735207092023221752.pdf","https://dpmzos25m8ivg.cloudfront.net/Documentos/631/01811507352/6310181150735207092023221752.pdf")</f>
        <v>https://dpmzos25m8ivg.cloudfront.net/Documentos/631/01811507352/6310181150735207092023221752.pdf</v>
      </c>
      <c r="H601" s="4" t="s">
        <v>9188</v>
      </c>
    </row>
    <row r="602" spans="1:8" x14ac:dyDescent="0.25">
      <c r="A602" s="2" t="s">
        <v>616</v>
      </c>
      <c r="B602" s="3"/>
      <c r="C602" s="3"/>
      <c r="D602" s="3"/>
      <c r="E602" s="4" t="str">
        <f>HYPERLINK("https://dpmzos25m8ivg.cloudfront.net/Documentos/631/01820900274/6310182090027411092023112227.pdf","https://dpmzos25m8ivg.cloudfront.net/Documentos/631/01820900274/6310182090027411092023112227.pdf")</f>
        <v>https://dpmzos25m8ivg.cloudfront.net/Documentos/631/01820900274/6310182090027411092023112227.pdf</v>
      </c>
      <c r="F602" s="5" t="str">
        <f>HYPERLINK("https://dpmzos25m8ivg.cloudfront.net/Documentos/631/01820900274/6310182090027411092023112243.pdf","https://dpmzos25m8ivg.cloudfront.net/Documentos/631/01820900274/6310182090027411092023112243.pdf")</f>
        <v>https://dpmzos25m8ivg.cloudfront.net/Documentos/631/01820900274/6310182090027411092023112243.pdf</v>
      </c>
      <c r="G602" s="5" t="str">
        <f>HYPERLINK("https://dpmzos25m8ivg.cloudfront.net/Documentos/631/01820900274/6310182090027411092023112310.pdf","https://dpmzos25m8ivg.cloudfront.net/Documentos/631/01820900274/6310182090027411092023112310.pdf")</f>
        <v>https://dpmzos25m8ivg.cloudfront.net/Documentos/631/01820900274/6310182090027411092023112310.pdf</v>
      </c>
      <c r="H602" s="4" t="s">
        <v>9189</v>
      </c>
    </row>
    <row r="603" spans="1:8" x14ac:dyDescent="0.25">
      <c r="A603" s="2" t="s">
        <v>617</v>
      </c>
      <c r="B603" s="3"/>
      <c r="C603" s="3"/>
      <c r="D603" s="3"/>
      <c r="E603" s="4" t="str">
        <f>HYPERLINK("https://dpmzos25m8ivg.cloudfront.net/Documentos/631/01820932206/6310182093220606092023111953.pdf","https://dpmzos25m8ivg.cloudfront.net/Documentos/631/01820932206/6310182093220606092023111953.pdf")</f>
        <v>https://dpmzos25m8ivg.cloudfront.net/Documentos/631/01820932206/6310182093220606092023111953.pdf</v>
      </c>
      <c r="F603" s="5" t="str">
        <f>HYPERLINK("https://dpmzos25m8ivg.cloudfront.net/Documentos/631/01820932206/6310182093220606092023112017.pdf","https://dpmzos25m8ivg.cloudfront.net/Documentos/631/01820932206/6310182093220606092023112017.pdf")</f>
        <v>https://dpmzos25m8ivg.cloudfront.net/Documentos/631/01820932206/6310182093220606092023112017.pdf</v>
      </c>
      <c r="G603" s="5" t="str">
        <f>HYPERLINK("https://dpmzos25m8ivg.cloudfront.net/Documentos/631/01820932206/6310182093220606092023150123.pdf","https://dpmzos25m8ivg.cloudfront.net/Documentos/631/01820932206/6310182093220606092023150123.pdf")</f>
        <v>https://dpmzos25m8ivg.cloudfront.net/Documentos/631/01820932206/6310182093220606092023150123.pdf</v>
      </c>
      <c r="H603" s="4" t="s">
        <v>9190</v>
      </c>
    </row>
    <row r="604" spans="1:8" x14ac:dyDescent="0.25">
      <c r="A604" s="2" t="s">
        <v>618</v>
      </c>
      <c r="B604" s="3"/>
      <c r="C604" s="3"/>
      <c r="D604" s="3"/>
      <c r="E604" s="4" t="str">
        <f>HYPERLINK("https://dpmzos25m8ivg.cloudfront.net/Documentos/631/01825211094/6310182521109411092023140455.pdf","https://dpmzos25m8ivg.cloudfront.net/Documentos/631/01825211094/6310182521109411092023140455.pdf")</f>
        <v>https://dpmzos25m8ivg.cloudfront.net/Documentos/631/01825211094/6310182521109411092023140455.pdf</v>
      </c>
      <c r="F604" s="5" t="str">
        <f>HYPERLINK("https://dpmzos25m8ivg.cloudfront.net/Documentos/631/01825211094/6310182521109411092023140529.pdf","https://dpmzos25m8ivg.cloudfront.net/Documentos/631/01825211094/6310182521109411092023140529.pdf")</f>
        <v>https://dpmzos25m8ivg.cloudfront.net/Documentos/631/01825211094/6310182521109411092023140529.pdf</v>
      </c>
      <c r="G604" s="5" t="str">
        <f>HYPERLINK("https://dpmzos25m8ivg.cloudfront.net/Documentos/631/01825211094/6310182521109411092023140544.pdf","https://dpmzos25m8ivg.cloudfront.net/Documentos/631/01825211094/6310182521109411092023140544.pdf")</f>
        <v>https://dpmzos25m8ivg.cloudfront.net/Documentos/631/01825211094/6310182521109411092023140544.pdf</v>
      </c>
      <c r="H604" s="4" t="s">
        <v>9191</v>
      </c>
    </row>
    <row r="605" spans="1:8" x14ac:dyDescent="0.25">
      <c r="A605" s="2" t="s">
        <v>619</v>
      </c>
      <c r="B605" s="3"/>
      <c r="C605" s="3"/>
      <c r="D605" s="3"/>
      <c r="E605" s="4" t="str">
        <f>HYPERLINK("https://dpmzos25m8ivg.cloudfront.net/Documentos/631/01828016594/6310182801659411092023123124.pdf","https://dpmzos25m8ivg.cloudfront.net/Documentos/631/01828016594/6310182801659411092023123124.pdf")</f>
        <v>https://dpmzos25m8ivg.cloudfront.net/Documentos/631/01828016594/6310182801659411092023123124.pdf</v>
      </c>
      <c r="F605" s="5" t="str">
        <f>HYPERLINK("https://dpmzos25m8ivg.cloudfront.net/Documentos/631/01828016594/6310182801659411092023123157.pdf","https://dpmzos25m8ivg.cloudfront.net/Documentos/631/01828016594/6310182801659411092023123157.pdf")</f>
        <v>https://dpmzos25m8ivg.cloudfront.net/Documentos/631/01828016594/6310182801659411092023123157.pdf</v>
      </c>
      <c r="G605" s="5" t="str">
        <f>HYPERLINK("https://dpmzos25m8ivg.cloudfront.net/Documentos/631/01828016594/6310182801659411092023123251.pdf","https://dpmzos25m8ivg.cloudfront.net/Documentos/631/01828016594/6310182801659411092023123251.pdf")</f>
        <v>https://dpmzos25m8ivg.cloudfront.net/Documentos/631/01828016594/6310182801659411092023123251.pdf</v>
      </c>
      <c r="H605" s="4" t="s">
        <v>9192</v>
      </c>
    </row>
    <row r="606" spans="1:8" x14ac:dyDescent="0.25">
      <c r="A606" s="2" t="s">
        <v>620</v>
      </c>
      <c r="B606" s="3"/>
      <c r="C606" s="3"/>
      <c r="D606" s="3"/>
      <c r="E606" s="4" t="str">
        <f>HYPERLINK("https://dpmzos25m8ivg.cloudfront.net/Documentos/631/01828672424/6310182867242411092023162627.pdf","https://dpmzos25m8ivg.cloudfront.net/Documentos/631/01828672424/6310182867242411092023162627.pdf")</f>
        <v>https://dpmzos25m8ivg.cloudfront.net/Documentos/631/01828672424/6310182867242411092023162627.pdf</v>
      </c>
      <c r="F606" s="5" t="str">
        <f>HYPERLINK("https://dpmzos25m8ivg.cloudfront.net/Documentos/631/01828672424/6310182867242411092023162643.pdf","https://dpmzos25m8ivg.cloudfront.net/Documentos/631/01828672424/6310182867242411092023162643.pdf")</f>
        <v>https://dpmzos25m8ivg.cloudfront.net/Documentos/631/01828672424/6310182867242411092023162643.pdf</v>
      </c>
      <c r="G606" s="5" t="str">
        <f>HYPERLINK("https://dpmzos25m8ivg.cloudfront.net/Documentos/631/01828672424/6310182867242411092023162658.pdf","https://dpmzos25m8ivg.cloudfront.net/Documentos/631/01828672424/6310182867242411092023162658.pdf")</f>
        <v>https://dpmzos25m8ivg.cloudfront.net/Documentos/631/01828672424/6310182867242411092023162658.pdf</v>
      </c>
      <c r="H606" s="4" t="s">
        <v>9193</v>
      </c>
    </row>
    <row r="607" spans="1:8" x14ac:dyDescent="0.25">
      <c r="A607" s="2" t="s">
        <v>621</v>
      </c>
      <c r="B607" s="3"/>
      <c r="C607" s="3"/>
      <c r="D607" s="3"/>
      <c r="E607" s="4" t="str">
        <f>HYPERLINK("https://dpmzos25m8ivg.cloudfront.net/Documentos/631/01830073281/6310183007328111092023143520.pdf","https://dpmzos25m8ivg.cloudfront.net/Documentos/631/01830073281/6310183007328111092023143520.pdf")</f>
        <v>https://dpmzos25m8ivg.cloudfront.net/Documentos/631/01830073281/6310183007328111092023143520.pdf</v>
      </c>
      <c r="F607" s="5" t="str">
        <f>HYPERLINK("https://dpmzos25m8ivg.cloudfront.net/Documentos/631/01830073281/6310183007328111092023143605.pdf","https://dpmzos25m8ivg.cloudfront.net/Documentos/631/01830073281/6310183007328111092023143605.pdf")</f>
        <v>https://dpmzos25m8ivg.cloudfront.net/Documentos/631/01830073281/6310183007328111092023143605.pdf</v>
      </c>
      <c r="G607" s="5" t="str">
        <f>HYPERLINK("https://dpmzos25m8ivg.cloudfront.net/Documentos/631/01830073281/6310183007328111092023143617.pdf","https://dpmzos25m8ivg.cloudfront.net/Documentos/631/01830073281/6310183007328111092023143617.pdf")</f>
        <v>https://dpmzos25m8ivg.cloudfront.net/Documentos/631/01830073281/6310183007328111092023143617.pdf</v>
      </c>
      <c r="H607" s="4" t="s">
        <v>9194</v>
      </c>
    </row>
    <row r="608" spans="1:8" x14ac:dyDescent="0.25">
      <c r="A608" s="2" t="s">
        <v>622</v>
      </c>
      <c r="B608" s="3" t="s">
        <v>8</v>
      </c>
      <c r="C608" s="3"/>
      <c r="D608" s="3"/>
      <c r="E608" s="4" t="str">
        <f>HYPERLINK("https://dpmzos25m8ivg.cloudfront.net/Documentos/631/01830359258/6310183035925806092023215704.pdf","https://dpmzos25m8ivg.cloudfront.net/Documentos/631/01830359258/6310183035925806092023215704.pdf")</f>
        <v>https://dpmzos25m8ivg.cloudfront.net/Documentos/631/01830359258/6310183035925806092023215704.pdf</v>
      </c>
      <c r="F608" s="5" t="str">
        <f>HYPERLINK("https://dpmzos25m8ivg.cloudfront.net/Documentos/631/01830359258/6310183035925806092023215717.pdf","https://dpmzos25m8ivg.cloudfront.net/Documentos/631/01830359258/6310183035925806092023215717.pdf")</f>
        <v>https://dpmzos25m8ivg.cloudfront.net/Documentos/631/01830359258/6310183035925806092023215717.pdf</v>
      </c>
      <c r="G608" s="5" t="str">
        <f>HYPERLINK("https://dpmzos25m8ivg.cloudfront.net/Documentos/631/01830359258/6310183035925812092023184916.pdf","https://dpmzos25m8ivg.cloudfront.net/Documentos/631/01830359258/6310183035925812092023184916.pdf")</f>
        <v>https://dpmzos25m8ivg.cloudfront.net/Documentos/631/01830359258/6310183035925812092023184916.pdf</v>
      </c>
      <c r="H608" s="4" t="s">
        <v>9195</v>
      </c>
    </row>
    <row r="609" spans="1:8" x14ac:dyDescent="0.25">
      <c r="A609" s="2" t="s">
        <v>623</v>
      </c>
      <c r="B609" s="3" t="s">
        <v>8</v>
      </c>
      <c r="C609" s="3"/>
      <c r="D609" s="3"/>
      <c r="E609" s="4" t="str">
        <f>HYPERLINK("https://dpmzos25m8ivg.cloudfront.net/Documentos/631/01832555690/6310183255569013092023222319.pdf","https://dpmzos25m8ivg.cloudfront.net/Documentos/631/01832555690/6310183255569013092023222319.pdf")</f>
        <v>https://dpmzos25m8ivg.cloudfront.net/Documentos/631/01832555690/6310183255569013092023222319.pdf</v>
      </c>
      <c r="F609" s="5" t="str">
        <f>HYPERLINK("https://dpmzos25m8ivg.cloudfront.net/Documentos/631/01832555690/6310183255569013092023222345.pdf","https://dpmzos25m8ivg.cloudfront.net/Documentos/631/01832555690/6310183255569013092023222345.pdf")</f>
        <v>https://dpmzos25m8ivg.cloudfront.net/Documentos/631/01832555690/6310183255569013092023222345.pdf</v>
      </c>
      <c r="G609" s="5" t="str">
        <f>HYPERLINK("https://dpmzos25m8ivg.cloudfront.net/Documentos/631/01832555690/6310183255569013092023222405.pdf","https://dpmzos25m8ivg.cloudfront.net/Documentos/631/01832555690/6310183255569013092023222405.pdf")</f>
        <v>https://dpmzos25m8ivg.cloudfront.net/Documentos/631/01832555690/6310183255569013092023222405.pdf</v>
      </c>
      <c r="H609" s="4" t="s">
        <v>9196</v>
      </c>
    </row>
    <row r="610" spans="1:8" x14ac:dyDescent="0.25">
      <c r="A610" s="2" t="s">
        <v>624</v>
      </c>
      <c r="B610" s="3"/>
      <c r="C610" s="3"/>
      <c r="D610" s="3"/>
      <c r="E610" s="4" t="str">
        <f>HYPERLINK("https://dpmzos25m8ivg.cloudfront.net/Documentos/631/01834084385/6310183408438509092023210843.jpg","https://dpmzos25m8ivg.cloudfront.net/Documentos/631/01834084385/6310183408438509092023210843.jpg")</f>
        <v>https://dpmzos25m8ivg.cloudfront.net/Documentos/631/01834084385/6310183408438509092023210843.jpg</v>
      </c>
      <c r="F610" s="5" t="str">
        <f>HYPERLINK("https://dpmzos25m8ivg.cloudfront.net/Documentos/631/01834084385/6310183408438509092023210855.jpg","https://dpmzos25m8ivg.cloudfront.net/Documentos/631/01834084385/6310183408438509092023210855.jpg")</f>
        <v>https://dpmzos25m8ivg.cloudfront.net/Documentos/631/01834084385/6310183408438509092023210855.jpg</v>
      </c>
      <c r="G610" s="5" t="str">
        <f>HYPERLINK("https://dpmzos25m8ivg.cloudfront.net/Documentos/631/01834084385/6310183408438509092023210909.jpg","https://dpmzos25m8ivg.cloudfront.net/Documentos/631/01834084385/6310183408438509092023210909.jpg")</f>
        <v>https://dpmzos25m8ivg.cloudfront.net/Documentos/631/01834084385/6310183408438509092023210909.jpg</v>
      </c>
      <c r="H610" s="4" t="s">
        <v>9197</v>
      </c>
    </row>
    <row r="611" spans="1:8" x14ac:dyDescent="0.25">
      <c r="A611" s="2" t="s">
        <v>625</v>
      </c>
      <c r="B611" s="3"/>
      <c r="C611" s="3"/>
      <c r="D611" s="3"/>
      <c r="E611" s="4" t="str">
        <f>HYPERLINK("https://dpmzos25m8ivg.cloudfront.net/Documentos/631/01837409200/6310183740920014092023114120.pdf","https://dpmzos25m8ivg.cloudfront.net/Documentos/631/01837409200/6310183740920014092023114120.pdf")</f>
        <v>https://dpmzos25m8ivg.cloudfront.net/Documentos/631/01837409200/6310183740920014092023114120.pdf</v>
      </c>
      <c r="F611" s="5" t="str">
        <f>HYPERLINK("https://dpmzos25m8ivg.cloudfront.net/Documentos/631/01837409200/6310183740920014092023114131.pdf","https://dpmzos25m8ivg.cloudfront.net/Documentos/631/01837409200/6310183740920014092023114131.pdf")</f>
        <v>https://dpmzos25m8ivg.cloudfront.net/Documentos/631/01837409200/6310183740920014092023114131.pdf</v>
      </c>
      <c r="G611" s="5" t="str">
        <f>HYPERLINK("https://dpmzos25m8ivg.cloudfront.net/Documentos/631/01837409200/6310183740920014092023114138.pdf","https://dpmzos25m8ivg.cloudfront.net/Documentos/631/01837409200/6310183740920014092023114138.pdf")</f>
        <v>https://dpmzos25m8ivg.cloudfront.net/Documentos/631/01837409200/6310183740920014092023114138.pdf</v>
      </c>
      <c r="H611" s="4" t="s">
        <v>9198</v>
      </c>
    </row>
    <row r="612" spans="1:8" x14ac:dyDescent="0.25">
      <c r="A612" s="2" t="s">
        <v>626</v>
      </c>
      <c r="B612" s="3" t="s">
        <v>90</v>
      </c>
      <c r="C612" s="3"/>
      <c r="D612" s="3"/>
      <c r="E612" s="4" t="str">
        <f>HYPERLINK("https://dpmzos25m8ivg.cloudfront.net/Documentos/631/01838509046/6310183850904613092023120541.jpg","https://dpmzos25m8ivg.cloudfront.net/Documentos/631/01838509046/6310183850904613092023120541.jpg")</f>
        <v>https://dpmzos25m8ivg.cloudfront.net/Documentos/631/01838509046/6310183850904613092023120541.jpg</v>
      </c>
      <c r="F612" s="5" t="str">
        <f>HYPERLINK("https://dpmzos25m8ivg.cloudfront.net/Documentos/631/01838509046/6310183850904613092023120552.jpg","https://dpmzos25m8ivg.cloudfront.net/Documentos/631/01838509046/6310183850904613092023120552.jpg")</f>
        <v>https://dpmzos25m8ivg.cloudfront.net/Documentos/631/01838509046/6310183850904613092023120552.jpg</v>
      </c>
      <c r="G612" s="5" t="str">
        <f>HYPERLINK("https://dpmzos25m8ivg.cloudfront.net/Documentos/631/01838509046/6310183850904613092023120602.jpg","https://dpmzos25m8ivg.cloudfront.net/Documentos/631/01838509046/6310183850904613092023120602.jpg")</f>
        <v>https://dpmzos25m8ivg.cloudfront.net/Documentos/631/01838509046/6310183850904613092023120602.jpg</v>
      </c>
      <c r="H612" s="4" t="s">
        <v>9199</v>
      </c>
    </row>
    <row r="613" spans="1:8" x14ac:dyDescent="0.25">
      <c r="A613" s="2" t="s">
        <v>627</v>
      </c>
      <c r="B613" s="3"/>
      <c r="C613" s="3"/>
      <c r="D613" s="3"/>
      <c r="E613" s="4" t="str">
        <f>HYPERLINK("https://dpmzos25m8ivg.cloudfront.net/Documentos/631/01839203331/6310183920333108092023080620.pdf","https://dpmzos25m8ivg.cloudfront.net/Documentos/631/01839203331/6310183920333108092023080620.pdf")</f>
        <v>https://dpmzos25m8ivg.cloudfront.net/Documentos/631/01839203331/6310183920333108092023080620.pdf</v>
      </c>
      <c r="F613" s="5" t="str">
        <f>HYPERLINK("https://dpmzos25m8ivg.cloudfront.net/Documentos/631/01839203331/6310183920333108092023080633.pdf","https://dpmzos25m8ivg.cloudfront.net/Documentos/631/01839203331/6310183920333108092023080633.pdf")</f>
        <v>https://dpmzos25m8ivg.cloudfront.net/Documentos/631/01839203331/6310183920333108092023080633.pdf</v>
      </c>
      <c r="G613" s="5" t="str">
        <f>HYPERLINK("https://dpmzos25m8ivg.cloudfront.net/Documentos/631/01839203331/6310183920333108092023080647.pdf","https://dpmzos25m8ivg.cloudfront.net/Documentos/631/01839203331/6310183920333108092023080647.pdf")</f>
        <v>https://dpmzos25m8ivg.cloudfront.net/Documentos/631/01839203331/6310183920333108092023080647.pdf</v>
      </c>
      <c r="H613" s="4" t="s">
        <v>9200</v>
      </c>
    </row>
    <row r="614" spans="1:8" x14ac:dyDescent="0.25">
      <c r="A614" s="2" t="s">
        <v>628</v>
      </c>
      <c r="B614" s="3"/>
      <c r="C614" s="3"/>
      <c r="D614" s="3"/>
      <c r="E614" s="4" t="str">
        <f>HYPERLINK("https://dpmzos25m8ivg.cloudfront.net/Documentos/631/01843608626/6310184360862613092023230737.jpeg","https://dpmzos25m8ivg.cloudfront.net/Documentos/631/01843608626/6310184360862613092023230737.jpeg")</f>
        <v>https://dpmzos25m8ivg.cloudfront.net/Documentos/631/01843608626/6310184360862613092023230737.jpeg</v>
      </c>
      <c r="F614" s="5" t="str">
        <f>HYPERLINK("https://dpmzos25m8ivg.cloudfront.net/Documentos/631/01843608626/6310184360862613092023230745.jpeg","https://dpmzos25m8ivg.cloudfront.net/Documentos/631/01843608626/6310184360862613092023230745.jpeg")</f>
        <v>https://dpmzos25m8ivg.cloudfront.net/Documentos/631/01843608626/6310184360862613092023230745.jpeg</v>
      </c>
      <c r="G614" s="5" t="str">
        <f>HYPERLINK("https://dpmzos25m8ivg.cloudfront.net/Documentos/631/01843608626/6310184360862613092023230754.jpeg","https://dpmzos25m8ivg.cloudfront.net/Documentos/631/01843608626/6310184360862613092023230754.jpeg")</f>
        <v>https://dpmzos25m8ivg.cloudfront.net/Documentos/631/01843608626/6310184360862613092023230754.jpeg</v>
      </c>
      <c r="H614" s="4" t="s">
        <v>9201</v>
      </c>
    </row>
    <row r="615" spans="1:8" x14ac:dyDescent="0.25">
      <c r="A615" s="2" t="s">
        <v>629</v>
      </c>
      <c r="B615" s="3"/>
      <c r="C615" s="3"/>
      <c r="D615" s="3"/>
      <c r="E615" s="4" t="str">
        <f>HYPERLINK("https://dpmzos25m8ivg.cloudfront.net/Documentos/631/01849647097/6310184964709711092023164826.pdf","https://dpmzos25m8ivg.cloudfront.net/Documentos/631/01849647097/6310184964709711092023164826.pdf")</f>
        <v>https://dpmzos25m8ivg.cloudfront.net/Documentos/631/01849647097/6310184964709711092023164826.pdf</v>
      </c>
      <c r="F615" s="5" t="str">
        <f>HYPERLINK("https://dpmzos25m8ivg.cloudfront.net/Documentos/631/01849647097/6310184964709711092023164838.pdf","https://dpmzos25m8ivg.cloudfront.net/Documentos/631/01849647097/6310184964709711092023164838.pdf")</f>
        <v>https://dpmzos25m8ivg.cloudfront.net/Documentos/631/01849647097/6310184964709711092023164838.pdf</v>
      </c>
      <c r="G615" s="5" t="str">
        <f>HYPERLINK("https://dpmzos25m8ivg.cloudfront.net/Documentos/631/01849647097/6310184964709711092023164850.pdf","https://dpmzos25m8ivg.cloudfront.net/Documentos/631/01849647097/6310184964709711092023164850.pdf")</f>
        <v>https://dpmzos25m8ivg.cloudfront.net/Documentos/631/01849647097/6310184964709711092023164850.pdf</v>
      </c>
      <c r="H615" s="4" t="s">
        <v>9202</v>
      </c>
    </row>
    <row r="616" spans="1:8" x14ac:dyDescent="0.25">
      <c r="A616" s="2" t="s">
        <v>630</v>
      </c>
      <c r="B616" s="3"/>
      <c r="C616" s="3"/>
      <c r="D616" s="3"/>
      <c r="E616" s="4" t="str">
        <f>HYPERLINK("https://dpmzos25m8ivg.cloudfront.net/Documentos/631/01855536560/6310185553656011092023140411.jpg","https://dpmzos25m8ivg.cloudfront.net/Documentos/631/01855536560/6310185553656011092023140411.jpg")</f>
        <v>https://dpmzos25m8ivg.cloudfront.net/Documentos/631/01855536560/6310185553656011092023140411.jpg</v>
      </c>
      <c r="F616" s="5" t="str">
        <f>HYPERLINK("https://dpmzos25m8ivg.cloudfront.net/Documentos/631/01855536560/6310185553656011092023140425.jpg","https://dpmzos25m8ivg.cloudfront.net/Documentos/631/01855536560/6310185553656011092023140425.jpg")</f>
        <v>https://dpmzos25m8ivg.cloudfront.net/Documentos/631/01855536560/6310185553656011092023140425.jpg</v>
      </c>
      <c r="G616" s="5" t="str">
        <f>HYPERLINK("https://dpmzos25m8ivg.cloudfront.net/Documentos/631/01855536560/6310185553656011092023140445.jpg","https://dpmzos25m8ivg.cloudfront.net/Documentos/631/01855536560/6310185553656011092023140445.jpg")</f>
        <v>https://dpmzos25m8ivg.cloudfront.net/Documentos/631/01855536560/6310185553656011092023140445.jpg</v>
      </c>
      <c r="H616" s="4" t="s">
        <v>9203</v>
      </c>
    </row>
    <row r="617" spans="1:8" x14ac:dyDescent="0.25">
      <c r="A617" s="2" t="s">
        <v>631</v>
      </c>
      <c r="B617" s="3"/>
      <c r="C617" s="3"/>
      <c r="D617" s="3"/>
      <c r="E617" s="4" t="str">
        <f>HYPERLINK("https://dpmzos25m8ivg.cloudfront.net/Documentos/631/01861567235/6310186156723505092023181235.jpeg","https://dpmzos25m8ivg.cloudfront.net/Documentos/631/01861567235/6310186156723505092023181235.jpeg")</f>
        <v>https://dpmzos25m8ivg.cloudfront.net/Documentos/631/01861567235/6310186156723505092023181235.jpeg</v>
      </c>
      <c r="F617" s="5" t="str">
        <f>HYPERLINK("https://dpmzos25m8ivg.cloudfront.net/Documentos/631/01861567235/6310186156723505092023181738.jpeg","https://dpmzos25m8ivg.cloudfront.net/Documentos/631/01861567235/6310186156723505092023181738.jpeg")</f>
        <v>https://dpmzos25m8ivg.cloudfront.net/Documentos/631/01861567235/6310186156723505092023181738.jpeg</v>
      </c>
      <c r="G617" s="5" t="str">
        <f>HYPERLINK("https://dpmzos25m8ivg.cloudfront.net/Documentos/631/01861567235/6310186156723505092023181811.jpeg","https://dpmzos25m8ivg.cloudfront.net/Documentos/631/01861567235/6310186156723505092023181811.jpeg")</f>
        <v>https://dpmzos25m8ivg.cloudfront.net/Documentos/631/01861567235/6310186156723505092023181811.jpeg</v>
      </c>
      <c r="H617" s="4" t="s">
        <v>9204</v>
      </c>
    </row>
    <row r="618" spans="1:8" x14ac:dyDescent="0.25">
      <c r="A618" s="2" t="s">
        <v>632</v>
      </c>
      <c r="B618" s="3" t="s">
        <v>42</v>
      </c>
      <c r="C618" s="3"/>
      <c r="D618" s="3"/>
      <c r="E618" s="4" t="str">
        <f>HYPERLINK("https://dpmzos25m8ivg.cloudfront.net/Documentos/631/01865748439/6310186574843905092023091344.jpg","https://dpmzos25m8ivg.cloudfront.net/Documentos/631/01865748439/6310186574843905092023091344.jpg")</f>
        <v>https://dpmzos25m8ivg.cloudfront.net/Documentos/631/01865748439/6310186574843905092023091344.jpg</v>
      </c>
      <c r="F618" s="5" t="str">
        <f>HYPERLINK("https://dpmzos25m8ivg.cloudfront.net/Documentos/631/01865748439/6310186574843905092023091425.jpg","https://dpmzos25m8ivg.cloudfront.net/Documentos/631/01865748439/6310186574843905092023091425.jpg")</f>
        <v>https://dpmzos25m8ivg.cloudfront.net/Documentos/631/01865748439/6310186574843905092023091425.jpg</v>
      </c>
      <c r="G618" s="5" t="str">
        <f>HYPERLINK("https://dpmzos25m8ivg.cloudfront.net/Documentos/631/01865748439/6310186574843905092023091458.jpg","https://dpmzos25m8ivg.cloudfront.net/Documentos/631/01865748439/6310186574843905092023091458.jpg")</f>
        <v>https://dpmzos25m8ivg.cloudfront.net/Documentos/631/01865748439/6310186574843905092023091458.jpg</v>
      </c>
      <c r="H618" s="4" t="s">
        <v>9205</v>
      </c>
    </row>
    <row r="619" spans="1:8" x14ac:dyDescent="0.25">
      <c r="A619" s="2" t="s">
        <v>633</v>
      </c>
      <c r="B619" s="3"/>
      <c r="C619" s="3"/>
      <c r="D619" s="3"/>
      <c r="E619" s="4" t="str">
        <f>HYPERLINK("https://dpmzos25m8ivg.cloudfront.net/Documentos/631/01866374206/6310186637420614092023174427.pdf","https://dpmzos25m8ivg.cloudfront.net/Documentos/631/01866374206/6310186637420614092023174427.pdf")</f>
        <v>https://dpmzos25m8ivg.cloudfront.net/Documentos/631/01866374206/6310186637420614092023174427.pdf</v>
      </c>
      <c r="F619" s="5" t="str">
        <f>HYPERLINK("https://dpmzos25m8ivg.cloudfront.net/Documentos/631/01866374206/6310186637420614092023174510.pdf","https://dpmzos25m8ivg.cloudfront.net/Documentos/631/01866374206/6310186637420614092023174510.pdf")</f>
        <v>https://dpmzos25m8ivg.cloudfront.net/Documentos/631/01866374206/6310186637420614092023174510.pdf</v>
      </c>
      <c r="G619" s="5" t="str">
        <f>HYPERLINK("https://dpmzos25m8ivg.cloudfront.net/Documentos/631/01866374206/6310186637420614092023174519.pdf","https://dpmzos25m8ivg.cloudfront.net/Documentos/631/01866374206/6310186637420614092023174519.pdf")</f>
        <v>https://dpmzos25m8ivg.cloudfront.net/Documentos/631/01866374206/6310186637420614092023174519.pdf</v>
      </c>
      <c r="H619" s="4" t="s">
        <v>9206</v>
      </c>
    </row>
    <row r="620" spans="1:8" x14ac:dyDescent="0.25">
      <c r="A620" s="2" t="s">
        <v>634</v>
      </c>
      <c r="B620" s="3"/>
      <c r="C620" s="3"/>
      <c r="D620" s="3"/>
      <c r="E620" s="4" t="str">
        <f>HYPERLINK("https://dpmzos25m8ivg.cloudfront.net/Documentos/631/01870456742/6310187045674205092023182009.pdf","https://dpmzos25m8ivg.cloudfront.net/Documentos/631/01870456742/6310187045674205092023182009.pdf")</f>
        <v>https://dpmzos25m8ivg.cloudfront.net/Documentos/631/01870456742/6310187045674205092023182009.pdf</v>
      </c>
      <c r="F620" s="5" t="str">
        <f>HYPERLINK("https://dpmzos25m8ivg.cloudfront.net/Documentos/631/01870456742/6310187045674205092023182018.pdf","https://dpmzos25m8ivg.cloudfront.net/Documentos/631/01870456742/6310187045674205092023182018.pdf")</f>
        <v>https://dpmzos25m8ivg.cloudfront.net/Documentos/631/01870456742/6310187045674205092023182018.pdf</v>
      </c>
      <c r="G620" s="5" t="str">
        <f>HYPERLINK("https://dpmzos25m8ivg.cloudfront.net/Documentos/631/01870456742/6310187045674205092023182028.pdf","https://dpmzos25m8ivg.cloudfront.net/Documentos/631/01870456742/6310187045674205092023182028.pdf")</f>
        <v>https://dpmzos25m8ivg.cloudfront.net/Documentos/631/01870456742/6310187045674205092023182028.pdf</v>
      </c>
      <c r="H620" s="4" t="s">
        <v>9207</v>
      </c>
    </row>
    <row r="621" spans="1:8" x14ac:dyDescent="0.25">
      <c r="A621" s="2" t="s">
        <v>635</v>
      </c>
      <c r="B621" s="3"/>
      <c r="C621" s="3"/>
      <c r="D621" s="3"/>
      <c r="E621" s="4" t="str">
        <f>HYPERLINK("https://dpmzos25m8ivg.cloudfront.net/Documentos/631/01874717540/6310187471754011092023144243.pdf","https://dpmzos25m8ivg.cloudfront.net/Documentos/631/01874717540/6310187471754011092023144243.pdf")</f>
        <v>https://dpmzos25m8ivg.cloudfront.net/Documentos/631/01874717540/6310187471754011092023144243.pdf</v>
      </c>
      <c r="F621" s="5" t="str">
        <f>HYPERLINK("https://dpmzos25m8ivg.cloudfront.net/Documentos/631/01874717540/6310187471754011092023144254.pdf","https://dpmzos25m8ivg.cloudfront.net/Documentos/631/01874717540/6310187471754011092023144254.pdf")</f>
        <v>https://dpmzos25m8ivg.cloudfront.net/Documentos/631/01874717540/6310187471754011092023144254.pdf</v>
      </c>
      <c r="G621" s="5" t="str">
        <f>HYPERLINK("https://dpmzos25m8ivg.cloudfront.net/Documentos/631/01874717540/6310187471754011092023144316.pdf","https://dpmzos25m8ivg.cloudfront.net/Documentos/631/01874717540/6310187471754011092023144316.pdf")</f>
        <v>https://dpmzos25m8ivg.cloudfront.net/Documentos/631/01874717540/6310187471754011092023144316.pdf</v>
      </c>
      <c r="H621" s="4" t="s">
        <v>9208</v>
      </c>
    </row>
    <row r="622" spans="1:8" x14ac:dyDescent="0.25">
      <c r="A622" s="2" t="s">
        <v>636</v>
      </c>
      <c r="B622" s="3"/>
      <c r="C622" s="3"/>
      <c r="D622" s="3"/>
      <c r="E622" s="4" t="str">
        <f>HYPERLINK("https://dpmzos25m8ivg.cloudfront.net/Documentos/631/01875419225/6310187541922511092023140531.pdf","https://dpmzos25m8ivg.cloudfront.net/Documentos/631/01875419225/6310187541922511092023140531.pdf")</f>
        <v>https://dpmzos25m8ivg.cloudfront.net/Documentos/631/01875419225/6310187541922511092023140531.pdf</v>
      </c>
      <c r="F622" s="5" t="str">
        <f>HYPERLINK("https://dpmzos25m8ivg.cloudfront.net/Documentos/631/01875419225/6310187541922511092023140600.pdf","https://dpmzos25m8ivg.cloudfront.net/Documentos/631/01875419225/6310187541922511092023140600.pdf")</f>
        <v>https://dpmzos25m8ivg.cloudfront.net/Documentos/631/01875419225/6310187541922511092023140600.pdf</v>
      </c>
      <c r="G622" s="5" t="str">
        <f>HYPERLINK("https://dpmzos25m8ivg.cloudfront.net/Documentos/631/01875419225/6310187541922511092023140627.pdf","https://dpmzos25m8ivg.cloudfront.net/Documentos/631/01875419225/6310187541922511092023140627.pdf")</f>
        <v>https://dpmzos25m8ivg.cloudfront.net/Documentos/631/01875419225/6310187541922511092023140627.pdf</v>
      </c>
      <c r="H622" s="4" t="s">
        <v>9209</v>
      </c>
    </row>
    <row r="623" spans="1:8" x14ac:dyDescent="0.25">
      <c r="A623" s="2" t="s">
        <v>637</v>
      </c>
      <c r="B623" s="3"/>
      <c r="C623" s="3"/>
      <c r="D623" s="3"/>
      <c r="E623" s="4" t="str">
        <f>HYPERLINK("https://dpmzos25m8ivg.cloudfront.net/Documentos/631/01875692665/6310187569266505092023095834.pdf","https://dpmzos25m8ivg.cloudfront.net/Documentos/631/01875692665/6310187569266505092023095834.pdf")</f>
        <v>https://dpmzos25m8ivg.cloudfront.net/Documentos/631/01875692665/6310187569266505092023095834.pdf</v>
      </c>
      <c r="F623" s="5" t="str">
        <f>HYPERLINK("https://dpmzos25m8ivg.cloudfront.net/Documentos/631/01875692665/6310187569266505092023095850.pdf","https://dpmzos25m8ivg.cloudfront.net/Documentos/631/01875692665/6310187569266505092023095850.pdf")</f>
        <v>https://dpmzos25m8ivg.cloudfront.net/Documentos/631/01875692665/6310187569266505092023095850.pdf</v>
      </c>
      <c r="G623" s="5" t="str">
        <f>HYPERLINK("https://dpmzos25m8ivg.cloudfront.net/Documentos/631/01875692665/6310187569266505092023095903.pdf","https://dpmzos25m8ivg.cloudfront.net/Documentos/631/01875692665/6310187569266505092023095903.pdf")</f>
        <v>https://dpmzos25m8ivg.cloudfront.net/Documentos/631/01875692665/6310187569266505092023095903.pdf</v>
      </c>
      <c r="H623" s="4" t="s">
        <v>9210</v>
      </c>
    </row>
    <row r="624" spans="1:8" x14ac:dyDescent="0.25">
      <c r="A624" s="2" t="s">
        <v>638</v>
      </c>
      <c r="B624" s="3"/>
      <c r="C624" s="3"/>
      <c r="D624" s="3"/>
      <c r="E624" s="4" t="str">
        <f>HYPERLINK("https://dpmzos25m8ivg.cloudfront.net/Documentos/631/01879100223/6310187910022314092023142138.jpg","https://dpmzos25m8ivg.cloudfront.net/Documentos/631/01879100223/6310187910022314092023142138.jpg")</f>
        <v>https://dpmzos25m8ivg.cloudfront.net/Documentos/631/01879100223/6310187910022314092023142138.jpg</v>
      </c>
      <c r="F624" s="5" t="str">
        <f>HYPERLINK("https://dpmzos25m8ivg.cloudfront.net/Documentos/631/01879100223/6310187910022314092023142200.jpg","https://dpmzos25m8ivg.cloudfront.net/Documentos/631/01879100223/6310187910022314092023142200.jpg")</f>
        <v>https://dpmzos25m8ivg.cloudfront.net/Documentos/631/01879100223/6310187910022314092023142200.jpg</v>
      </c>
      <c r="G624" s="5" t="str">
        <f>HYPERLINK("https://dpmzos25m8ivg.cloudfront.net/Documentos/631/01879100223/6310187910022314092023142213.jpg","https://dpmzos25m8ivg.cloudfront.net/Documentos/631/01879100223/6310187910022314092023142213.jpg")</f>
        <v>https://dpmzos25m8ivg.cloudfront.net/Documentos/631/01879100223/6310187910022314092023142213.jpg</v>
      </c>
      <c r="H624" s="4" t="s">
        <v>9211</v>
      </c>
    </row>
    <row r="625" spans="1:8" x14ac:dyDescent="0.25">
      <c r="A625" s="2" t="s">
        <v>639</v>
      </c>
      <c r="B625" s="3"/>
      <c r="C625" s="3"/>
      <c r="D625" s="3"/>
      <c r="E625" s="4" t="str">
        <f>HYPERLINK("https://dpmzos25m8ivg.cloudfront.net/Documentos/631/01881661148/6310188166114811092023101934.jpeg","https://dpmzos25m8ivg.cloudfront.net/Documentos/631/01881661148/6310188166114811092023101934.jpeg")</f>
        <v>https://dpmzos25m8ivg.cloudfront.net/Documentos/631/01881661148/6310188166114811092023101934.jpeg</v>
      </c>
      <c r="F625" s="5" t="str">
        <f>HYPERLINK("https://dpmzos25m8ivg.cloudfront.net/Documentos/631/01881661148/6310188166114811092023101921.jpeg","https://dpmzos25m8ivg.cloudfront.net/Documentos/631/01881661148/6310188166114811092023101921.jpeg")</f>
        <v>https://dpmzos25m8ivg.cloudfront.net/Documentos/631/01881661148/6310188166114811092023101921.jpeg</v>
      </c>
      <c r="G625" s="5" t="str">
        <f>HYPERLINK("https://dpmzos25m8ivg.cloudfront.net/Documentos/631/01881661148/6310188166114811092023101910.jpeg","https://dpmzos25m8ivg.cloudfront.net/Documentos/631/01881661148/6310188166114811092023101910.jpeg")</f>
        <v>https://dpmzos25m8ivg.cloudfront.net/Documentos/631/01881661148/6310188166114811092023101910.jpeg</v>
      </c>
      <c r="H625" s="4" t="s">
        <v>9212</v>
      </c>
    </row>
    <row r="626" spans="1:8" x14ac:dyDescent="0.25">
      <c r="A626" s="2" t="s">
        <v>640</v>
      </c>
      <c r="B626" s="3"/>
      <c r="C626" s="3"/>
      <c r="D626" s="3"/>
      <c r="E626" s="4" t="str">
        <f>HYPERLINK("https://dpmzos25m8ivg.cloudfront.net/Documentos/631/01882792297/6310188279229707092023213626.pdf","https://dpmzos25m8ivg.cloudfront.net/Documentos/631/01882792297/6310188279229707092023213626.pdf")</f>
        <v>https://dpmzos25m8ivg.cloudfront.net/Documentos/631/01882792297/6310188279229707092023213626.pdf</v>
      </c>
      <c r="F626" s="5" t="str">
        <f>HYPERLINK("https://dpmzos25m8ivg.cloudfront.net/Documentos/631/01882792297/6310188279229707092023213637.pdf","https://dpmzos25m8ivg.cloudfront.net/Documentos/631/01882792297/6310188279229707092023213637.pdf")</f>
        <v>https://dpmzos25m8ivg.cloudfront.net/Documentos/631/01882792297/6310188279229707092023213637.pdf</v>
      </c>
      <c r="G626" s="5" t="str">
        <f>HYPERLINK("https://dpmzos25m8ivg.cloudfront.net/Documentos/631/01882792297/6310188279229707092023213646.pdf","https://dpmzos25m8ivg.cloudfront.net/Documentos/631/01882792297/6310188279229707092023213646.pdf")</f>
        <v>https://dpmzos25m8ivg.cloudfront.net/Documentos/631/01882792297/6310188279229707092023213646.pdf</v>
      </c>
      <c r="H626" s="4" t="s">
        <v>9213</v>
      </c>
    </row>
    <row r="627" spans="1:8" x14ac:dyDescent="0.25">
      <c r="A627" s="2" t="s">
        <v>641</v>
      </c>
      <c r="B627" s="3"/>
      <c r="C627" s="3"/>
      <c r="D627" s="3"/>
      <c r="E627" s="4" t="str">
        <f>HYPERLINK("https://dpmzos25m8ivg.cloudfront.net/Documentos/631/01883369070/6310188336907010092023225828.jpg","https://dpmzos25m8ivg.cloudfront.net/Documentos/631/01883369070/6310188336907010092023225828.jpg")</f>
        <v>https://dpmzos25m8ivg.cloudfront.net/Documentos/631/01883369070/6310188336907010092023225828.jpg</v>
      </c>
      <c r="F627" s="5" t="str">
        <f>HYPERLINK("https://dpmzos25m8ivg.cloudfront.net/Documentos/631/01883369070/6310188336907010092023225852.jpg","https://dpmzos25m8ivg.cloudfront.net/Documentos/631/01883369070/6310188336907010092023225852.jpg")</f>
        <v>https://dpmzos25m8ivg.cloudfront.net/Documentos/631/01883369070/6310188336907010092023225852.jpg</v>
      </c>
      <c r="G627" s="5" t="str">
        <f>HYPERLINK("https://dpmzos25m8ivg.cloudfront.net/Documentos/631/01883369070/6310188336907010092023225908.jpg","https://dpmzos25m8ivg.cloudfront.net/Documentos/631/01883369070/6310188336907010092023225908.jpg")</f>
        <v>https://dpmzos25m8ivg.cloudfront.net/Documentos/631/01883369070/6310188336907010092023225908.jpg</v>
      </c>
      <c r="H627" s="4" t="s">
        <v>9214</v>
      </c>
    </row>
    <row r="628" spans="1:8" x14ac:dyDescent="0.25">
      <c r="A628" s="2" t="s">
        <v>642</v>
      </c>
      <c r="B628" s="3"/>
      <c r="C628" s="3"/>
      <c r="D628" s="3"/>
      <c r="E628" s="4" t="str">
        <f>HYPERLINK("https://dpmzos25m8ivg.cloudfront.net/Documentos/631/01884753116/6310188475311611092023093746.pdf","https://dpmzos25m8ivg.cloudfront.net/Documentos/631/01884753116/6310188475311611092023093746.pdf")</f>
        <v>https://dpmzos25m8ivg.cloudfront.net/Documentos/631/01884753116/6310188475311611092023093746.pdf</v>
      </c>
      <c r="F628" s="5" t="str">
        <f>HYPERLINK("https://dpmzos25m8ivg.cloudfront.net/Documentos/631/01884753116/6310188475311611092023093753.pdf","https://dpmzos25m8ivg.cloudfront.net/Documentos/631/01884753116/6310188475311611092023093753.pdf")</f>
        <v>https://dpmzos25m8ivg.cloudfront.net/Documentos/631/01884753116/6310188475311611092023093753.pdf</v>
      </c>
      <c r="G628" s="5" t="str">
        <f>HYPERLINK("https://dpmzos25m8ivg.cloudfront.net/Documentos/631/01884753116/6310188475311611092023093800.pdf","https://dpmzos25m8ivg.cloudfront.net/Documentos/631/01884753116/6310188475311611092023093800.pdf")</f>
        <v>https://dpmzos25m8ivg.cloudfront.net/Documentos/631/01884753116/6310188475311611092023093800.pdf</v>
      </c>
      <c r="H628" s="4" t="s">
        <v>9215</v>
      </c>
    </row>
    <row r="629" spans="1:8" x14ac:dyDescent="0.25">
      <c r="A629" s="2" t="s">
        <v>643</v>
      </c>
      <c r="B629" s="3"/>
      <c r="C629" s="3"/>
      <c r="D629" s="3"/>
      <c r="E629" s="4" t="str">
        <f>HYPERLINK("https://dpmzos25m8ivg.cloudfront.net/Documentos/631/01885143176/6310188514317609092023155029.pdf","https://dpmzos25m8ivg.cloudfront.net/Documentos/631/01885143176/6310188514317609092023155029.pdf")</f>
        <v>https://dpmzos25m8ivg.cloudfront.net/Documentos/631/01885143176/6310188514317609092023155029.pdf</v>
      </c>
      <c r="F629" s="5" t="str">
        <f>HYPERLINK("https://dpmzos25m8ivg.cloudfront.net/Documentos/631/01885143176/6310188514317609092023155057.pdf","https://dpmzos25m8ivg.cloudfront.net/Documentos/631/01885143176/6310188514317609092023155057.pdf")</f>
        <v>https://dpmzos25m8ivg.cloudfront.net/Documentos/631/01885143176/6310188514317609092023155057.pdf</v>
      </c>
      <c r="G629" s="5" t="str">
        <f>HYPERLINK("https://dpmzos25m8ivg.cloudfront.net/Documentos/631/01885143176/6310188514317609092023155110.pdf","https://dpmzos25m8ivg.cloudfront.net/Documentos/631/01885143176/6310188514317609092023155110.pdf")</f>
        <v>https://dpmzos25m8ivg.cloudfront.net/Documentos/631/01885143176/6310188514317609092023155110.pdf</v>
      </c>
      <c r="H629" s="4" t="s">
        <v>9216</v>
      </c>
    </row>
    <row r="630" spans="1:8" x14ac:dyDescent="0.25">
      <c r="A630" s="2" t="s">
        <v>644</v>
      </c>
      <c r="B630" s="3"/>
      <c r="C630" s="3"/>
      <c r="D630" s="3"/>
      <c r="E630" s="4" t="str">
        <f>HYPERLINK("https://dpmzos25m8ivg.cloudfront.net/Documentos/631/01886998647/6310188699864706092023114011.pdf","https://dpmzos25m8ivg.cloudfront.net/Documentos/631/01886998647/6310188699864706092023114011.pdf")</f>
        <v>https://dpmzos25m8ivg.cloudfront.net/Documentos/631/01886998647/6310188699864706092023114011.pdf</v>
      </c>
      <c r="F630" s="5" t="str">
        <f>HYPERLINK("https://dpmzos25m8ivg.cloudfront.net/Documentos/631/01886998647/6310188699864706092023114019.pdf","https://dpmzos25m8ivg.cloudfront.net/Documentos/631/01886998647/6310188699864706092023114019.pdf")</f>
        <v>https://dpmzos25m8ivg.cloudfront.net/Documentos/631/01886998647/6310188699864706092023114019.pdf</v>
      </c>
      <c r="G630" s="5" t="str">
        <f>HYPERLINK("https://dpmzos25m8ivg.cloudfront.net/Documentos/631/01886998647/6310188699864706092023114030.pdf","https://dpmzos25m8ivg.cloudfront.net/Documentos/631/01886998647/6310188699864706092023114030.pdf")</f>
        <v>https://dpmzos25m8ivg.cloudfront.net/Documentos/631/01886998647/6310188699864706092023114030.pdf</v>
      </c>
      <c r="H630" s="4" t="s">
        <v>9217</v>
      </c>
    </row>
    <row r="631" spans="1:8" x14ac:dyDescent="0.25">
      <c r="A631" s="2" t="s">
        <v>645</v>
      </c>
      <c r="B631" s="3"/>
      <c r="C631" s="3"/>
      <c r="D631" s="3"/>
      <c r="E631" s="4" t="str">
        <f>HYPERLINK("https://dpmzos25m8ivg.cloudfront.net/Documentos/631/01889089273/6310188908927310092023175429.pdf","https://dpmzos25m8ivg.cloudfront.net/Documentos/631/01889089273/6310188908927310092023175429.pdf")</f>
        <v>https://dpmzos25m8ivg.cloudfront.net/Documentos/631/01889089273/6310188908927310092023175429.pdf</v>
      </c>
      <c r="F631" s="5" t="str">
        <f>HYPERLINK("https://dpmzos25m8ivg.cloudfront.net/Documentos/631/01889089273/6310188908927310092023175449.pdf","https://dpmzos25m8ivg.cloudfront.net/Documentos/631/01889089273/6310188908927310092023175449.pdf")</f>
        <v>https://dpmzos25m8ivg.cloudfront.net/Documentos/631/01889089273/6310188908927310092023175449.pdf</v>
      </c>
      <c r="G631" s="5" t="str">
        <f>HYPERLINK("https://dpmzos25m8ivg.cloudfront.net/Documentos/631/01889089273/6310188908927310092023175612.pdf","https://dpmzos25m8ivg.cloudfront.net/Documentos/631/01889089273/6310188908927310092023175612.pdf")</f>
        <v>https://dpmzos25m8ivg.cloudfront.net/Documentos/631/01889089273/6310188908927310092023175612.pdf</v>
      </c>
      <c r="H631" s="4" t="s">
        <v>9218</v>
      </c>
    </row>
    <row r="632" spans="1:8" x14ac:dyDescent="0.25">
      <c r="A632" s="2" t="s">
        <v>646</v>
      </c>
      <c r="B632" s="3" t="s">
        <v>23</v>
      </c>
      <c r="C632" s="3"/>
      <c r="D632" s="3"/>
      <c r="E632" s="4" t="str">
        <f>HYPERLINK("https://dpmzos25m8ivg.cloudfront.net/Documentos/631/01889467138/6310188946713806092023152947.pdf","https://dpmzos25m8ivg.cloudfront.net/Documentos/631/01889467138/6310188946713806092023152947.pdf")</f>
        <v>https://dpmzos25m8ivg.cloudfront.net/Documentos/631/01889467138/6310188946713806092023152947.pdf</v>
      </c>
      <c r="F632" s="5" t="str">
        <f>HYPERLINK("https://dpmzos25m8ivg.cloudfront.net/Documentos/631/01889467138/6310188946713806092023153002.pdf","https://dpmzos25m8ivg.cloudfront.net/Documentos/631/01889467138/6310188946713806092023153002.pdf")</f>
        <v>https://dpmzos25m8ivg.cloudfront.net/Documentos/631/01889467138/6310188946713806092023153002.pdf</v>
      </c>
      <c r="G632" s="5" t="str">
        <f>HYPERLINK("https://dpmzos25m8ivg.cloudfront.net/Documentos/631/01889467138/6310188946713806092023153012.pdf","https://dpmzos25m8ivg.cloudfront.net/Documentos/631/01889467138/6310188946713806092023153012.pdf")</f>
        <v>https://dpmzos25m8ivg.cloudfront.net/Documentos/631/01889467138/6310188946713806092023153012.pdf</v>
      </c>
      <c r="H632" s="4" t="s">
        <v>9219</v>
      </c>
    </row>
    <row r="633" spans="1:8" x14ac:dyDescent="0.25">
      <c r="A633" s="2" t="s">
        <v>647</v>
      </c>
      <c r="B633" s="3"/>
      <c r="C633" s="3"/>
      <c r="D633" s="3"/>
      <c r="E633" s="4" t="str">
        <f>HYPERLINK("https://dpmzos25m8ivg.cloudfront.net/Documentos/631/01889801569/6310188980156910092023165154.pdf","https://dpmzos25m8ivg.cloudfront.net/Documentos/631/01889801569/6310188980156910092023165154.pdf")</f>
        <v>https://dpmzos25m8ivg.cloudfront.net/Documentos/631/01889801569/6310188980156910092023165154.pdf</v>
      </c>
      <c r="F633" s="5" t="str">
        <f>HYPERLINK("https://dpmzos25m8ivg.cloudfront.net/Documentos/631/01889801569/6310188980156910092023165216.pdf","https://dpmzos25m8ivg.cloudfront.net/Documentos/631/01889801569/6310188980156910092023165216.pdf")</f>
        <v>https://dpmzos25m8ivg.cloudfront.net/Documentos/631/01889801569/6310188980156910092023165216.pdf</v>
      </c>
      <c r="G633" s="5" t="str">
        <f>HYPERLINK("https://dpmzos25m8ivg.cloudfront.net/Documentos/631/01889801569/6310188980156910092023165238.pdf","https://dpmzos25m8ivg.cloudfront.net/Documentos/631/01889801569/6310188980156910092023165238.pdf")</f>
        <v>https://dpmzos25m8ivg.cloudfront.net/Documentos/631/01889801569/6310188980156910092023165238.pdf</v>
      </c>
      <c r="H633" s="4" t="s">
        <v>9220</v>
      </c>
    </row>
    <row r="634" spans="1:8" x14ac:dyDescent="0.25">
      <c r="A634" s="2" t="s">
        <v>648</v>
      </c>
      <c r="B634" s="3"/>
      <c r="C634" s="3"/>
      <c r="D634" s="3"/>
      <c r="E634" s="4" t="str">
        <f>HYPERLINK("https://dpmzos25m8ivg.cloudfront.net/Documentos/631/01891601369/6310189160136914092023154016.jpg","https://dpmzos25m8ivg.cloudfront.net/Documentos/631/01891601369/6310189160136914092023154016.jpg")</f>
        <v>https://dpmzos25m8ivg.cloudfront.net/Documentos/631/01891601369/6310189160136914092023154016.jpg</v>
      </c>
      <c r="F634" s="5" t="str">
        <f>HYPERLINK("https://dpmzos25m8ivg.cloudfront.net/Documentos/631/01891601369/6310189160136914092023154030.jpg","https://dpmzos25m8ivg.cloudfront.net/Documentos/631/01891601369/6310189160136914092023154030.jpg")</f>
        <v>https://dpmzos25m8ivg.cloudfront.net/Documentos/631/01891601369/6310189160136914092023154030.jpg</v>
      </c>
      <c r="G634" s="5" t="str">
        <f>HYPERLINK("https://dpmzos25m8ivg.cloudfront.net/Documentos/631/01891601369/6310189160136914092023154054.jpg","https://dpmzos25m8ivg.cloudfront.net/Documentos/631/01891601369/6310189160136914092023154054.jpg")</f>
        <v>https://dpmzos25m8ivg.cloudfront.net/Documentos/631/01891601369/6310189160136914092023154054.jpg</v>
      </c>
      <c r="H634" s="4" t="s">
        <v>9221</v>
      </c>
    </row>
    <row r="635" spans="1:8" x14ac:dyDescent="0.25">
      <c r="A635" s="2" t="s">
        <v>649</v>
      </c>
      <c r="B635" s="3"/>
      <c r="C635" s="3"/>
      <c r="D635" s="3"/>
      <c r="E635" s="4" t="str">
        <f>HYPERLINK("https://dpmzos25m8ivg.cloudfront.net/Documentos/631/01895077214/6310189507721413092023224224.pdf","https://dpmzos25m8ivg.cloudfront.net/Documentos/631/01895077214/6310189507721413092023224224.pdf")</f>
        <v>https://dpmzos25m8ivg.cloudfront.net/Documentos/631/01895077214/6310189507721413092023224224.pdf</v>
      </c>
      <c r="F635" s="5" t="str">
        <f>HYPERLINK("https://dpmzos25m8ivg.cloudfront.net/Documentos/631/01895077214/6310189507721413092023224340.pdf","https://dpmzos25m8ivg.cloudfront.net/Documentos/631/01895077214/6310189507721413092023224340.pdf")</f>
        <v>https://dpmzos25m8ivg.cloudfront.net/Documentos/631/01895077214/6310189507721413092023224340.pdf</v>
      </c>
      <c r="G635" s="5" t="str">
        <f>HYPERLINK("https://dpmzos25m8ivg.cloudfront.net/Documentos/631/01895077214/6310189507721413092023224556.pdf","https://dpmzos25m8ivg.cloudfront.net/Documentos/631/01895077214/6310189507721413092023224556.pdf")</f>
        <v>https://dpmzos25m8ivg.cloudfront.net/Documentos/631/01895077214/6310189507721413092023224556.pdf</v>
      </c>
      <c r="H635" s="4" t="s">
        <v>9222</v>
      </c>
    </row>
    <row r="636" spans="1:8" x14ac:dyDescent="0.25">
      <c r="A636" s="2" t="s">
        <v>650</v>
      </c>
      <c r="B636" s="3"/>
      <c r="C636" s="3"/>
      <c r="D636" s="3"/>
      <c r="E636" s="4" t="str">
        <f>HYPERLINK("https://dpmzos25m8ivg.cloudfront.net/Documentos/631/01897881789/6310189788178906092023173105.pdf","https://dpmzos25m8ivg.cloudfront.net/Documentos/631/01897881789/6310189788178906092023173105.pdf")</f>
        <v>https://dpmzos25m8ivg.cloudfront.net/Documentos/631/01897881789/6310189788178906092023173105.pdf</v>
      </c>
      <c r="F636" s="5" t="str">
        <f>HYPERLINK("https://dpmzos25m8ivg.cloudfront.net/Documentos/631/01897881789/6310189788178906092023173119.pdf","https://dpmzos25m8ivg.cloudfront.net/Documentos/631/01897881789/6310189788178906092023173119.pdf")</f>
        <v>https://dpmzos25m8ivg.cloudfront.net/Documentos/631/01897881789/6310189788178906092023173119.pdf</v>
      </c>
      <c r="G636" s="5" t="str">
        <f>HYPERLINK("https://dpmzos25m8ivg.cloudfront.net/Documentos/631/01897881789/6310189788178906092023173132.pdf","https://dpmzos25m8ivg.cloudfront.net/Documentos/631/01897881789/6310189788178906092023173132.pdf")</f>
        <v>https://dpmzos25m8ivg.cloudfront.net/Documentos/631/01897881789/6310189788178906092023173132.pdf</v>
      </c>
      <c r="H636" s="4" t="s">
        <v>9223</v>
      </c>
    </row>
    <row r="637" spans="1:8" x14ac:dyDescent="0.25">
      <c r="A637" s="2" t="s">
        <v>651</v>
      </c>
      <c r="B637" s="3"/>
      <c r="C637" s="3"/>
      <c r="D637" s="3"/>
      <c r="E637" s="4" t="str">
        <f>HYPERLINK("https://dpmzos25m8ivg.cloudfront.net/Documentos/631/01898827605/6310189882760508092023213114.pdf","https://dpmzos25m8ivg.cloudfront.net/Documentos/631/01898827605/6310189882760508092023213114.pdf")</f>
        <v>https://dpmzos25m8ivg.cloudfront.net/Documentos/631/01898827605/6310189882760508092023213114.pdf</v>
      </c>
      <c r="F637" s="5" t="str">
        <f>HYPERLINK("https://dpmzos25m8ivg.cloudfront.net/Documentos/631/01898827605/6310189882760508092023213145.pdf","https://dpmzos25m8ivg.cloudfront.net/Documentos/631/01898827605/6310189882760508092023213145.pdf")</f>
        <v>https://dpmzos25m8ivg.cloudfront.net/Documentos/631/01898827605/6310189882760508092023213145.pdf</v>
      </c>
      <c r="G637" s="5" t="str">
        <f>HYPERLINK("https://dpmzos25m8ivg.cloudfront.net/Documentos/631/01898827605/6310189882760508092023213209.pdf","https://dpmzos25m8ivg.cloudfront.net/Documentos/631/01898827605/6310189882760508092023213209.pdf")</f>
        <v>https://dpmzos25m8ivg.cloudfront.net/Documentos/631/01898827605/6310189882760508092023213209.pdf</v>
      </c>
      <c r="H637" s="4" t="s">
        <v>9224</v>
      </c>
    </row>
    <row r="638" spans="1:8" x14ac:dyDescent="0.25">
      <c r="A638" s="2" t="s">
        <v>652</v>
      </c>
      <c r="B638" s="3"/>
      <c r="C638" s="3"/>
      <c r="D638" s="3"/>
      <c r="E638" s="4" t="str">
        <f>HYPERLINK("https://dpmzos25m8ivg.cloudfront.net/Documentos/631/01903259924/6310190325992413092023192222.pdf","https://dpmzos25m8ivg.cloudfront.net/Documentos/631/01903259924/6310190325992413092023192222.pdf")</f>
        <v>https://dpmzos25m8ivg.cloudfront.net/Documentos/631/01903259924/6310190325992413092023192222.pdf</v>
      </c>
      <c r="F638" s="5" t="str">
        <f>HYPERLINK("https://dpmzos25m8ivg.cloudfront.net/Documentos/631/01903259924/6310190325992413092023192343.pdf","https://dpmzos25m8ivg.cloudfront.net/Documentos/631/01903259924/6310190325992413092023192343.pdf")</f>
        <v>https://dpmzos25m8ivg.cloudfront.net/Documentos/631/01903259924/6310190325992413092023192343.pdf</v>
      </c>
      <c r="G638" s="5" t="str">
        <f>HYPERLINK("https://dpmzos25m8ivg.cloudfront.net/Documentos/631/01903259924/6310190325992413092023192426.pdf","https://dpmzos25m8ivg.cloudfront.net/Documentos/631/01903259924/6310190325992413092023192426.pdf")</f>
        <v>https://dpmzos25m8ivg.cloudfront.net/Documentos/631/01903259924/6310190325992413092023192426.pdf</v>
      </c>
      <c r="H638" s="4" t="s">
        <v>9225</v>
      </c>
    </row>
    <row r="639" spans="1:8" x14ac:dyDescent="0.25">
      <c r="A639" s="2" t="s">
        <v>653</v>
      </c>
      <c r="B639" s="3"/>
      <c r="C639" s="3"/>
      <c r="D639" s="3"/>
      <c r="E639" s="4" t="str">
        <f>HYPERLINK("https://dpmzos25m8ivg.cloudfront.net/Documentos/631/01904503551/6310190450355111092023164620.jpg","https://dpmzos25m8ivg.cloudfront.net/Documentos/631/01904503551/6310190450355111092023164620.jpg")</f>
        <v>https://dpmzos25m8ivg.cloudfront.net/Documentos/631/01904503551/6310190450355111092023164620.jpg</v>
      </c>
      <c r="F639" s="5" t="str">
        <f>HYPERLINK("https://dpmzos25m8ivg.cloudfront.net/Documentos/631/01904503551/6310190450355111092023164634.jpg","https://dpmzos25m8ivg.cloudfront.net/Documentos/631/01904503551/6310190450355111092023164634.jpg")</f>
        <v>https://dpmzos25m8ivg.cloudfront.net/Documentos/631/01904503551/6310190450355111092023164634.jpg</v>
      </c>
      <c r="G639" s="5" t="str">
        <f>HYPERLINK("https://dpmzos25m8ivg.cloudfront.net/Documentos/631/01904503551/6310190450355111092023164651.jpg","https://dpmzos25m8ivg.cloudfront.net/Documentos/631/01904503551/6310190450355111092023164651.jpg")</f>
        <v>https://dpmzos25m8ivg.cloudfront.net/Documentos/631/01904503551/6310190450355111092023164651.jpg</v>
      </c>
      <c r="H639" s="4" t="s">
        <v>9226</v>
      </c>
    </row>
    <row r="640" spans="1:8" x14ac:dyDescent="0.25">
      <c r="A640" s="2" t="s">
        <v>654</v>
      </c>
      <c r="B640" s="3"/>
      <c r="C640" s="3"/>
      <c r="D640" s="3"/>
      <c r="E640" s="4" t="str">
        <f>HYPERLINK("https://dpmzos25m8ivg.cloudfront.net/Documentos/631/01906136378/6310190613637808092023230846.pdf","https://dpmzos25m8ivg.cloudfront.net/Documentos/631/01906136378/6310190613637808092023230846.pdf")</f>
        <v>https://dpmzos25m8ivg.cloudfront.net/Documentos/631/01906136378/6310190613637808092023230846.pdf</v>
      </c>
      <c r="F640" s="5" t="str">
        <f>HYPERLINK("https://dpmzos25m8ivg.cloudfront.net/Documentos/631/01906136378/6310190613637808092023230902.pdf","https://dpmzos25m8ivg.cloudfront.net/Documentos/631/01906136378/6310190613637808092023230902.pdf")</f>
        <v>https://dpmzos25m8ivg.cloudfront.net/Documentos/631/01906136378/6310190613637808092023230902.pdf</v>
      </c>
      <c r="G640" s="5" t="str">
        <f>HYPERLINK("https://dpmzos25m8ivg.cloudfront.net/Documentos/631/01906136378/6310190613637808092023230917.pdf","https://dpmzos25m8ivg.cloudfront.net/Documentos/631/01906136378/6310190613637808092023230917.pdf")</f>
        <v>https://dpmzos25m8ivg.cloudfront.net/Documentos/631/01906136378/6310190613637808092023230917.pdf</v>
      </c>
      <c r="H640" s="4" t="s">
        <v>9227</v>
      </c>
    </row>
    <row r="641" spans="1:8" x14ac:dyDescent="0.25">
      <c r="A641" s="2" t="s">
        <v>655</v>
      </c>
      <c r="B641" s="3"/>
      <c r="C641" s="3"/>
      <c r="D641" s="3"/>
      <c r="E641" s="4" t="str">
        <f>HYPERLINK("https://dpmzos25m8ivg.cloudfront.net/Documentos/631/01906815356/6310190681535611092023155540.jpeg","https://dpmzos25m8ivg.cloudfront.net/Documentos/631/01906815356/6310190681535611092023155540.jpeg")</f>
        <v>https://dpmzos25m8ivg.cloudfront.net/Documentos/631/01906815356/6310190681535611092023155540.jpeg</v>
      </c>
      <c r="F641" s="5" t="str">
        <f>HYPERLINK("https://dpmzos25m8ivg.cloudfront.net/Documentos/631/01906815356/6310190681535611092023155557.jpeg","https://dpmzos25m8ivg.cloudfront.net/Documentos/631/01906815356/6310190681535611092023155557.jpeg")</f>
        <v>https://dpmzos25m8ivg.cloudfront.net/Documentos/631/01906815356/6310190681535611092023155557.jpeg</v>
      </c>
      <c r="G641" s="5" t="str">
        <f>HYPERLINK("https://dpmzos25m8ivg.cloudfront.net/Documentos/631/01906815356/6310190681535611092023155607.jpeg","https://dpmzos25m8ivg.cloudfront.net/Documentos/631/01906815356/6310190681535611092023155607.jpeg")</f>
        <v>https://dpmzos25m8ivg.cloudfront.net/Documentos/631/01906815356/6310190681535611092023155607.jpeg</v>
      </c>
      <c r="H641" s="4" t="s">
        <v>9228</v>
      </c>
    </row>
    <row r="642" spans="1:8" x14ac:dyDescent="0.25">
      <c r="A642" s="2" t="s">
        <v>656</v>
      </c>
      <c r="B642" s="3"/>
      <c r="C642" s="3"/>
      <c r="D642" s="3"/>
      <c r="E642" s="4" t="str">
        <f>HYPERLINK("https://dpmzos25m8ivg.cloudfront.net/Documentos/631/01908827190/6310190882719009092023164805.pdf","https://dpmzos25m8ivg.cloudfront.net/Documentos/631/01908827190/6310190882719009092023164805.pdf")</f>
        <v>https://dpmzos25m8ivg.cloudfront.net/Documentos/631/01908827190/6310190882719009092023164805.pdf</v>
      </c>
      <c r="F642" s="5" t="str">
        <f>HYPERLINK("https://dpmzos25m8ivg.cloudfront.net/Documentos/631/01908827190/6310190882719009092023164816.pdf","https://dpmzos25m8ivg.cloudfront.net/Documentos/631/01908827190/6310190882719009092023164816.pdf")</f>
        <v>https://dpmzos25m8ivg.cloudfront.net/Documentos/631/01908827190/6310190882719009092023164816.pdf</v>
      </c>
      <c r="G642" s="5" t="str">
        <f>HYPERLINK("https://dpmzos25m8ivg.cloudfront.net/Documentos/631/01908827190/6310190882719009092023164824.pdf","https://dpmzos25m8ivg.cloudfront.net/Documentos/631/01908827190/6310190882719009092023164824.pdf")</f>
        <v>https://dpmzos25m8ivg.cloudfront.net/Documentos/631/01908827190/6310190882719009092023164824.pdf</v>
      </c>
      <c r="H642" s="4" t="s">
        <v>9229</v>
      </c>
    </row>
    <row r="643" spans="1:8" x14ac:dyDescent="0.25">
      <c r="A643" s="2" t="s">
        <v>657</v>
      </c>
      <c r="B643" s="3"/>
      <c r="C643" s="3"/>
      <c r="D643" s="3"/>
      <c r="E643" s="4" t="str">
        <f>HYPERLINK("https://dpmzos25m8ivg.cloudfront.net/Documentos/631/01909659169/6310190965916905092023235211.pdf","https://dpmzos25m8ivg.cloudfront.net/Documentos/631/01909659169/6310190965916905092023235211.pdf")</f>
        <v>https://dpmzos25m8ivg.cloudfront.net/Documentos/631/01909659169/6310190965916905092023235211.pdf</v>
      </c>
      <c r="F643" s="5" t="str">
        <f>HYPERLINK("https://dpmzos25m8ivg.cloudfront.net/Documentos/631/01909659169/6310190965916905092023235227.pdf","https://dpmzos25m8ivg.cloudfront.net/Documentos/631/01909659169/6310190965916905092023235227.pdf")</f>
        <v>https://dpmzos25m8ivg.cloudfront.net/Documentos/631/01909659169/6310190965916905092023235227.pdf</v>
      </c>
      <c r="G643" s="5" t="str">
        <f>HYPERLINK("https://dpmzos25m8ivg.cloudfront.net/Documentos/631/01909659169/6310190965916905092023235239.pdf","https://dpmzos25m8ivg.cloudfront.net/Documentos/631/01909659169/6310190965916905092023235239.pdf")</f>
        <v>https://dpmzos25m8ivg.cloudfront.net/Documentos/631/01909659169/6310190965916905092023235239.pdf</v>
      </c>
      <c r="H643" s="4" t="s">
        <v>9230</v>
      </c>
    </row>
    <row r="644" spans="1:8" x14ac:dyDescent="0.25">
      <c r="A644" s="2" t="s">
        <v>658</v>
      </c>
      <c r="B644" s="3"/>
      <c r="C644" s="3"/>
      <c r="D644" s="3"/>
      <c r="E644" s="4" t="str">
        <f>HYPERLINK("https://dpmzos25m8ivg.cloudfront.net/Documentos/631/01911725610/6310191172561011092023102043.pdf","https://dpmzos25m8ivg.cloudfront.net/Documentos/631/01911725610/6310191172561011092023102043.pdf")</f>
        <v>https://dpmzos25m8ivg.cloudfront.net/Documentos/631/01911725610/6310191172561011092023102043.pdf</v>
      </c>
      <c r="F644" s="5" t="str">
        <f>HYPERLINK("https://dpmzos25m8ivg.cloudfront.net/Documentos/631/01911725610/6310191172561011092023102329.pdf","https://dpmzos25m8ivg.cloudfront.net/Documentos/631/01911725610/6310191172561011092023102329.pdf")</f>
        <v>https://dpmzos25m8ivg.cloudfront.net/Documentos/631/01911725610/6310191172561011092023102329.pdf</v>
      </c>
      <c r="G644" s="5" t="str">
        <f>HYPERLINK("https://dpmzos25m8ivg.cloudfront.net/Documentos/631/01911725610/6310191172561011092023102346.pdf","https://dpmzos25m8ivg.cloudfront.net/Documentos/631/01911725610/6310191172561011092023102346.pdf")</f>
        <v>https://dpmzos25m8ivg.cloudfront.net/Documentos/631/01911725610/6310191172561011092023102346.pdf</v>
      </c>
      <c r="H644" s="4" t="s">
        <v>9231</v>
      </c>
    </row>
    <row r="645" spans="1:8" x14ac:dyDescent="0.25">
      <c r="A645" s="2" t="s">
        <v>659</v>
      </c>
      <c r="B645" s="3"/>
      <c r="C645" s="3"/>
      <c r="D645" s="3"/>
      <c r="E645" s="4" t="str">
        <f>HYPERLINK("https://dpmzos25m8ivg.cloudfront.net/Documentos/631/01912459256/6310191245925611092023144721.pdf","https://dpmzos25m8ivg.cloudfront.net/Documentos/631/01912459256/6310191245925611092023144721.pdf")</f>
        <v>https://dpmzos25m8ivg.cloudfront.net/Documentos/631/01912459256/6310191245925611092023144721.pdf</v>
      </c>
      <c r="F645" s="5" t="str">
        <f>HYPERLINK("https://dpmzos25m8ivg.cloudfront.net/Documentos/631/01912459256/6310191245925611092023144732.pdf","https://dpmzos25m8ivg.cloudfront.net/Documentos/631/01912459256/6310191245925611092023144732.pdf")</f>
        <v>https://dpmzos25m8ivg.cloudfront.net/Documentos/631/01912459256/6310191245925611092023144732.pdf</v>
      </c>
      <c r="G645" s="5" t="str">
        <f>HYPERLINK("https://dpmzos25m8ivg.cloudfront.net/Documentos/631/01912459256/6310191245925611092023144741.pdf","https://dpmzos25m8ivg.cloudfront.net/Documentos/631/01912459256/6310191245925611092023144741.pdf")</f>
        <v>https://dpmzos25m8ivg.cloudfront.net/Documentos/631/01912459256/6310191245925611092023144741.pdf</v>
      </c>
      <c r="H645" s="4" t="s">
        <v>9232</v>
      </c>
    </row>
    <row r="646" spans="1:8" x14ac:dyDescent="0.25">
      <c r="A646" s="2" t="s">
        <v>660</v>
      </c>
      <c r="B646" s="3" t="s">
        <v>42</v>
      </c>
      <c r="C646" s="3"/>
      <c r="D646" s="3"/>
      <c r="E646" s="4" t="str">
        <f>HYPERLINK("https://dpmzos25m8ivg.cloudfront.net/Documentos/631/01918112541/6310191811254111092023114135.jpg","https://dpmzos25m8ivg.cloudfront.net/Documentos/631/01918112541/6310191811254111092023114135.jpg")</f>
        <v>https://dpmzos25m8ivg.cloudfront.net/Documentos/631/01918112541/6310191811254111092023114135.jpg</v>
      </c>
      <c r="F646" s="5" t="str">
        <f>HYPERLINK("https://dpmzos25m8ivg.cloudfront.net/Documentos/631/01918112541/6310191811254111092023114157.jpg","https://dpmzos25m8ivg.cloudfront.net/Documentos/631/01918112541/6310191811254111092023114157.jpg")</f>
        <v>https://dpmzos25m8ivg.cloudfront.net/Documentos/631/01918112541/6310191811254111092023114157.jpg</v>
      </c>
      <c r="G646" s="5" t="str">
        <f>HYPERLINK("https://dpmzos25m8ivg.cloudfront.net/Documentos/631/01918112541/6310191811254111092023114221.jpg","https://dpmzos25m8ivg.cloudfront.net/Documentos/631/01918112541/6310191811254111092023114221.jpg")</f>
        <v>https://dpmzos25m8ivg.cloudfront.net/Documentos/631/01918112541/6310191811254111092023114221.jpg</v>
      </c>
      <c r="H646" s="4" t="s">
        <v>9233</v>
      </c>
    </row>
    <row r="647" spans="1:8" x14ac:dyDescent="0.25">
      <c r="A647" s="2" t="s">
        <v>661</v>
      </c>
      <c r="B647" s="3"/>
      <c r="C647" s="3"/>
      <c r="D647" s="3"/>
      <c r="E647" s="4" t="str">
        <f>HYPERLINK("https://dpmzos25m8ivg.cloudfront.net/Documentos/631/01918344248/6310191834424805092023143007.pdf","https://dpmzos25m8ivg.cloudfront.net/Documentos/631/01918344248/6310191834424805092023143007.pdf")</f>
        <v>https://dpmzos25m8ivg.cloudfront.net/Documentos/631/01918344248/6310191834424805092023143007.pdf</v>
      </c>
      <c r="F647" s="5" t="str">
        <f>HYPERLINK("https://dpmzos25m8ivg.cloudfront.net/Documentos/631/01918344248/6310191834424805092023143019.pdf","https://dpmzos25m8ivg.cloudfront.net/Documentos/631/01918344248/6310191834424805092023143019.pdf")</f>
        <v>https://dpmzos25m8ivg.cloudfront.net/Documentos/631/01918344248/6310191834424805092023143019.pdf</v>
      </c>
      <c r="G647" s="5" t="str">
        <f>HYPERLINK("https://dpmzos25m8ivg.cloudfront.net/Documentos/631/01918344248/6310191834424805092023143033.pdf","https://dpmzos25m8ivg.cloudfront.net/Documentos/631/01918344248/6310191834424805092023143033.pdf")</f>
        <v>https://dpmzos25m8ivg.cloudfront.net/Documentos/631/01918344248/6310191834424805092023143033.pdf</v>
      </c>
      <c r="H647" s="4" t="s">
        <v>9234</v>
      </c>
    </row>
    <row r="648" spans="1:8" x14ac:dyDescent="0.25">
      <c r="A648" s="2" t="s">
        <v>662</v>
      </c>
      <c r="B648" s="3"/>
      <c r="C648" s="3"/>
      <c r="D648" s="3"/>
      <c r="E648" s="4" t="str">
        <f>HYPERLINK("https://dpmzos25m8ivg.cloudfront.net/Documentos/631/01919001255/6310191900125505092023144608.pdf","https://dpmzos25m8ivg.cloudfront.net/Documentos/631/01919001255/6310191900125505092023144608.pdf")</f>
        <v>https://dpmzos25m8ivg.cloudfront.net/Documentos/631/01919001255/6310191900125505092023144608.pdf</v>
      </c>
      <c r="F648" s="5" t="str">
        <f>HYPERLINK("https://dpmzos25m8ivg.cloudfront.net/Documentos/631/01919001255/6310191900125505092023144618.pdf","https://dpmzos25m8ivg.cloudfront.net/Documentos/631/01919001255/6310191900125505092023144618.pdf")</f>
        <v>https://dpmzos25m8ivg.cloudfront.net/Documentos/631/01919001255/6310191900125505092023144618.pdf</v>
      </c>
      <c r="G648" s="5" t="str">
        <f>HYPERLINK("https://dpmzos25m8ivg.cloudfront.net/Documentos/631/01919001255/6310191900125505092023144629.pdf","https://dpmzos25m8ivg.cloudfront.net/Documentos/631/01919001255/6310191900125505092023144629.pdf")</f>
        <v>https://dpmzos25m8ivg.cloudfront.net/Documentos/631/01919001255/6310191900125505092023144629.pdf</v>
      </c>
      <c r="H648" s="4" t="s">
        <v>9235</v>
      </c>
    </row>
    <row r="649" spans="1:8" x14ac:dyDescent="0.25">
      <c r="A649" s="2" t="s">
        <v>663</v>
      </c>
      <c r="B649" s="3"/>
      <c r="C649" s="3"/>
      <c r="D649" s="3"/>
      <c r="E649" s="4" t="str">
        <f>HYPERLINK("https://dpmzos25m8ivg.cloudfront.net/Documentos/631/01921776560/6310192177656011092023111250.jpg","https://dpmzos25m8ivg.cloudfront.net/Documentos/631/01921776560/6310192177656011092023111250.jpg")</f>
        <v>https://dpmzos25m8ivg.cloudfront.net/Documentos/631/01921776560/6310192177656011092023111250.jpg</v>
      </c>
      <c r="F649" s="5" t="str">
        <f>HYPERLINK("https://dpmzos25m8ivg.cloudfront.net/Documentos/631/01921776560/6310192177656011092023111258.jpg","https://dpmzos25m8ivg.cloudfront.net/Documentos/631/01921776560/6310192177656011092023111258.jpg")</f>
        <v>https://dpmzos25m8ivg.cloudfront.net/Documentos/631/01921776560/6310192177656011092023111258.jpg</v>
      </c>
      <c r="G649" s="5" t="str">
        <f>HYPERLINK("https://dpmzos25m8ivg.cloudfront.net/Documentos/631/01921776560/6310192177656011092023111307.jpg","https://dpmzos25m8ivg.cloudfront.net/Documentos/631/01921776560/6310192177656011092023111307.jpg")</f>
        <v>https://dpmzos25m8ivg.cloudfront.net/Documentos/631/01921776560/6310192177656011092023111307.jpg</v>
      </c>
      <c r="H649" s="4" t="s">
        <v>9236</v>
      </c>
    </row>
    <row r="650" spans="1:8" x14ac:dyDescent="0.25">
      <c r="A650" s="2" t="s">
        <v>664</v>
      </c>
      <c r="B650" s="3"/>
      <c r="C650" s="3"/>
      <c r="D650" s="3"/>
      <c r="E650" s="4" t="str">
        <f>HYPERLINK("https://dpmzos25m8ivg.cloudfront.net/Documentos/631/01923330110/6310192333011011092023143919.pdf","https://dpmzos25m8ivg.cloudfront.net/Documentos/631/01923330110/6310192333011011092023143919.pdf")</f>
        <v>https://dpmzos25m8ivg.cloudfront.net/Documentos/631/01923330110/6310192333011011092023143919.pdf</v>
      </c>
      <c r="F650" s="5" t="str">
        <f>HYPERLINK("https://dpmzos25m8ivg.cloudfront.net/Documentos/631/01923330110/6310192333011011092023143927.pdf","https://dpmzos25m8ivg.cloudfront.net/Documentos/631/01923330110/6310192333011011092023143927.pdf")</f>
        <v>https://dpmzos25m8ivg.cloudfront.net/Documentos/631/01923330110/6310192333011011092023143927.pdf</v>
      </c>
      <c r="G650" s="5" t="str">
        <f>HYPERLINK("https://dpmzos25m8ivg.cloudfront.net/Documentos/631/01923330110/6310192333011011092023143939.pdf","https://dpmzos25m8ivg.cloudfront.net/Documentos/631/01923330110/6310192333011011092023143939.pdf")</f>
        <v>https://dpmzos25m8ivg.cloudfront.net/Documentos/631/01923330110/6310192333011011092023143939.pdf</v>
      </c>
      <c r="H650" s="4" t="s">
        <v>9237</v>
      </c>
    </row>
    <row r="651" spans="1:8" x14ac:dyDescent="0.25">
      <c r="A651" s="2" t="s">
        <v>665</v>
      </c>
      <c r="B651" s="3"/>
      <c r="C651" s="3"/>
      <c r="D651" s="3"/>
      <c r="E651" s="4" t="str">
        <f>HYPERLINK("https://dpmzos25m8ivg.cloudfront.net/Documentos/631/01924669099/6310192466909914092023142450.jpg","https://dpmzos25m8ivg.cloudfront.net/Documentos/631/01924669099/6310192466909914092023142450.jpg")</f>
        <v>https://dpmzos25m8ivg.cloudfront.net/Documentos/631/01924669099/6310192466909914092023142450.jpg</v>
      </c>
      <c r="F651" s="5" t="str">
        <f>HYPERLINK("https://dpmzos25m8ivg.cloudfront.net/Documentos/631/01924669099/6310192466909914092023142532.jpg","https://dpmzos25m8ivg.cloudfront.net/Documentos/631/01924669099/6310192466909914092023142532.jpg")</f>
        <v>https://dpmzos25m8ivg.cloudfront.net/Documentos/631/01924669099/6310192466909914092023142532.jpg</v>
      </c>
      <c r="G651" s="5" t="str">
        <f>HYPERLINK("https://dpmzos25m8ivg.cloudfront.net/Documentos/631/01924669099/6310192466909914092023142611.jpg","https://dpmzos25m8ivg.cloudfront.net/Documentos/631/01924669099/6310192466909914092023142611.jpg")</f>
        <v>https://dpmzos25m8ivg.cloudfront.net/Documentos/631/01924669099/6310192466909914092023142611.jpg</v>
      </c>
      <c r="H651" s="4" t="s">
        <v>9238</v>
      </c>
    </row>
    <row r="652" spans="1:8" x14ac:dyDescent="0.25">
      <c r="A652" s="2" t="s">
        <v>666</v>
      </c>
      <c r="B652" s="3"/>
      <c r="C652" s="3"/>
      <c r="D652" s="3"/>
      <c r="E652" s="4" t="str">
        <f>HYPERLINK("https://dpmzos25m8ivg.cloudfront.net/Documentos/631/01928293190/6310192829319013092023105624.jpeg","https://dpmzos25m8ivg.cloudfront.net/Documentos/631/01928293190/6310192829319013092023105624.jpeg")</f>
        <v>https://dpmzos25m8ivg.cloudfront.net/Documentos/631/01928293190/6310192829319013092023105624.jpeg</v>
      </c>
      <c r="F652" s="5" t="str">
        <f>HYPERLINK("https://dpmzos25m8ivg.cloudfront.net/Documentos/631/01928293190/6310192829319013092023105556.jpeg","https://dpmzos25m8ivg.cloudfront.net/Documentos/631/01928293190/6310192829319013092023105556.jpeg")</f>
        <v>https://dpmzos25m8ivg.cloudfront.net/Documentos/631/01928293190/6310192829319013092023105556.jpeg</v>
      </c>
      <c r="G652" s="5" t="str">
        <f>HYPERLINK("https://dpmzos25m8ivg.cloudfront.net/Documentos/631/01928293190/6310192829319013092023105527.jpeg","https://dpmzos25m8ivg.cloudfront.net/Documentos/631/01928293190/6310192829319013092023105527.jpeg")</f>
        <v>https://dpmzos25m8ivg.cloudfront.net/Documentos/631/01928293190/6310192829319013092023105527.jpeg</v>
      </c>
      <c r="H652" s="4" t="s">
        <v>9239</v>
      </c>
    </row>
    <row r="653" spans="1:8" x14ac:dyDescent="0.25">
      <c r="A653" s="2" t="s">
        <v>667</v>
      </c>
      <c r="B653" s="3"/>
      <c r="C653" s="3"/>
      <c r="D653" s="3"/>
      <c r="E653" s="4" t="str">
        <f>HYPERLINK("https://dpmzos25m8ivg.cloudfront.net/Documentos/631/01931974055/6310193197405508092023163449.pdf","https://dpmzos25m8ivg.cloudfront.net/Documentos/631/01931974055/6310193197405508092023163449.pdf")</f>
        <v>https://dpmzos25m8ivg.cloudfront.net/Documentos/631/01931974055/6310193197405508092023163449.pdf</v>
      </c>
      <c r="F653" s="5" t="str">
        <f>HYPERLINK("https://dpmzos25m8ivg.cloudfront.net/Documentos/631/01931974055/6310193197405508092023163501.pdf","https://dpmzos25m8ivg.cloudfront.net/Documentos/631/01931974055/6310193197405508092023163501.pdf")</f>
        <v>https://dpmzos25m8ivg.cloudfront.net/Documentos/631/01931974055/6310193197405508092023163501.pdf</v>
      </c>
      <c r="G653" s="5" t="str">
        <f>HYPERLINK("https://dpmzos25m8ivg.cloudfront.net/Documentos/631/01931974055/6310193197405508092023163511.pdf","https://dpmzos25m8ivg.cloudfront.net/Documentos/631/01931974055/6310193197405508092023163511.pdf")</f>
        <v>https://dpmzos25m8ivg.cloudfront.net/Documentos/631/01931974055/6310193197405508092023163511.pdf</v>
      </c>
      <c r="H653" s="4" t="s">
        <v>9240</v>
      </c>
    </row>
    <row r="654" spans="1:8" x14ac:dyDescent="0.25">
      <c r="A654" s="2" t="s">
        <v>668</v>
      </c>
      <c r="B654" s="3"/>
      <c r="C654" s="3"/>
      <c r="D654" s="3"/>
      <c r="E654" s="4" t="str">
        <f>HYPERLINK("https://dpmzos25m8ivg.cloudfront.net/Documentos/631/01934777501/6310193477750111092023152604.pdf","https://dpmzos25m8ivg.cloudfront.net/Documentos/631/01934777501/6310193477750111092023152604.pdf")</f>
        <v>https://dpmzos25m8ivg.cloudfront.net/Documentos/631/01934777501/6310193477750111092023152604.pdf</v>
      </c>
      <c r="F654" s="5" t="str">
        <f>HYPERLINK("https://dpmzos25m8ivg.cloudfront.net/Documentos/631/01934777501/6310193477750111092023151438.pdf","https://dpmzos25m8ivg.cloudfront.net/Documentos/631/01934777501/6310193477750111092023151438.pdf")</f>
        <v>https://dpmzos25m8ivg.cloudfront.net/Documentos/631/01934777501/6310193477750111092023151438.pdf</v>
      </c>
      <c r="G654" s="5" t="str">
        <f>HYPERLINK("https://dpmzos25m8ivg.cloudfront.net/Documentos/631/01934777501/6310193477750111092023152524.pdf","https://dpmzos25m8ivg.cloudfront.net/Documentos/631/01934777501/6310193477750111092023152524.pdf")</f>
        <v>https://dpmzos25m8ivg.cloudfront.net/Documentos/631/01934777501/6310193477750111092023152524.pdf</v>
      </c>
      <c r="H654" s="4" t="s">
        <v>9241</v>
      </c>
    </row>
    <row r="655" spans="1:8" x14ac:dyDescent="0.25">
      <c r="A655" s="2" t="s">
        <v>669</v>
      </c>
      <c r="B655" s="3"/>
      <c r="C655" s="3"/>
      <c r="D655" s="3"/>
      <c r="E655" s="4" t="str">
        <f>HYPERLINK("https://dpmzos25m8ivg.cloudfront.net/Documentos/631/01936072122/6310193607212207092023135353.jpg","https://dpmzos25m8ivg.cloudfront.net/Documentos/631/01936072122/6310193607212207092023135353.jpg")</f>
        <v>https://dpmzos25m8ivg.cloudfront.net/Documentos/631/01936072122/6310193607212207092023135353.jpg</v>
      </c>
      <c r="F655" s="5" t="str">
        <f>HYPERLINK("https://dpmzos25m8ivg.cloudfront.net/Documentos/631/01936072122/6310193607212207092023135529.jpg","https://dpmzos25m8ivg.cloudfront.net/Documentos/631/01936072122/6310193607212207092023135529.jpg")</f>
        <v>https://dpmzos25m8ivg.cloudfront.net/Documentos/631/01936072122/6310193607212207092023135529.jpg</v>
      </c>
      <c r="G655" s="5" t="str">
        <f>HYPERLINK("https://dpmzos25m8ivg.cloudfront.net/Documentos/631/01936072122/6310193607212207092023135550.jpg","https://dpmzos25m8ivg.cloudfront.net/Documentos/631/01936072122/6310193607212207092023135550.jpg")</f>
        <v>https://dpmzos25m8ivg.cloudfront.net/Documentos/631/01936072122/6310193607212207092023135550.jpg</v>
      </c>
      <c r="H655" s="4" t="s">
        <v>9242</v>
      </c>
    </row>
    <row r="656" spans="1:8" x14ac:dyDescent="0.25">
      <c r="A656" s="2" t="s">
        <v>670</v>
      </c>
      <c r="B656" s="3"/>
      <c r="C656" s="3"/>
      <c r="D656" s="3"/>
      <c r="E656" s="4" t="str">
        <f>HYPERLINK("https://dpmzos25m8ivg.cloudfront.net/Documentos/631/01936792052/6310193679205205092023134927.pdf","https://dpmzos25m8ivg.cloudfront.net/Documentos/631/01936792052/6310193679205205092023134927.pdf")</f>
        <v>https://dpmzos25m8ivg.cloudfront.net/Documentos/631/01936792052/6310193679205205092023134927.pdf</v>
      </c>
      <c r="F656" s="5" t="str">
        <f>HYPERLINK("https://dpmzos25m8ivg.cloudfront.net/Documentos/631/01936792052/6310193679205205092023134938.pdf","https://dpmzos25m8ivg.cloudfront.net/Documentos/631/01936792052/6310193679205205092023134938.pdf")</f>
        <v>https://dpmzos25m8ivg.cloudfront.net/Documentos/631/01936792052/6310193679205205092023134938.pdf</v>
      </c>
      <c r="G656" s="5" t="str">
        <f>HYPERLINK("https://dpmzos25m8ivg.cloudfront.net/Documentos/631/01936792052/6310193679205205092023134948.pdf","https://dpmzos25m8ivg.cloudfront.net/Documentos/631/01936792052/6310193679205205092023134948.pdf")</f>
        <v>https://dpmzos25m8ivg.cloudfront.net/Documentos/631/01936792052/6310193679205205092023134948.pdf</v>
      </c>
      <c r="H656" s="4" t="s">
        <v>9243</v>
      </c>
    </row>
    <row r="657" spans="1:8" x14ac:dyDescent="0.25">
      <c r="A657" s="2" t="s">
        <v>671</v>
      </c>
      <c r="B657" s="3"/>
      <c r="C657" s="3"/>
      <c r="D657" s="3"/>
      <c r="E657" s="4" t="str">
        <f>HYPERLINK("https://dpmzos25m8ivg.cloudfront.net/Documentos/631/01937165698/6310193716569811092023105643.pdf","https://dpmzos25m8ivg.cloudfront.net/Documentos/631/01937165698/6310193716569811092023105643.pdf")</f>
        <v>https://dpmzos25m8ivg.cloudfront.net/Documentos/631/01937165698/6310193716569811092023105643.pdf</v>
      </c>
      <c r="F657" s="5" t="str">
        <f>HYPERLINK("https://dpmzos25m8ivg.cloudfront.net/Documentos/631/01937165698/6310193716569811092023105706.pdf","https://dpmzos25m8ivg.cloudfront.net/Documentos/631/01937165698/6310193716569811092023105706.pdf")</f>
        <v>https://dpmzos25m8ivg.cloudfront.net/Documentos/631/01937165698/6310193716569811092023105706.pdf</v>
      </c>
      <c r="G657" s="5" t="str">
        <f>HYPERLINK("https://dpmzos25m8ivg.cloudfront.net/Documentos/631/01937165698/6310193716569811092023105748.pdf","https://dpmzos25m8ivg.cloudfront.net/Documentos/631/01937165698/6310193716569811092023105748.pdf")</f>
        <v>https://dpmzos25m8ivg.cloudfront.net/Documentos/631/01937165698/6310193716569811092023105748.pdf</v>
      </c>
      <c r="H657" s="4" t="s">
        <v>9244</v>
      </c>
    </row>
    <row r="658" spans="1:8" x14ac:dyDescent="0.25">
      <c r="A658" s="2" t="s">
        <v>672</v>
      </c>
      <c r="B658" s="3"/>
      <c r="C658" s="3"/>
      <c r="D658" s="3"/>
      <c r="E658" s="4" t="str">
        <f>HYPERLINK("https://dpmzos25m8ivg.cloudfront.net/Documentos/631/01937516822/6310193751682211092023132451.pdf","https://dpmzos25m8ivg.cloudfront.net/Documentos/631/01937516822/6310193751682211092023132451.pdf")</f>
        <v>https://dpmzos25m8ivg.cloudfront.net/Documentos/631/01937516822/6310193751682211092023132451.pdf</v>
      </c>
      <c r="F658" s="5" t="str">
        <f>HYPERLINK("https://dpmzos25m8ivg.cloudfront.net/Documentos/631/01937516822/6310193751682211092023132618.pdf","https://dpmzos25m8ivg.cloudfront.net/Documentos/631/01937516822/6310193751682211092023132618.pdf")</f>
        <v>https://dpmzos25m8ivg.cloudfront.net/Documentos/631/01937516822/6310193751682211092023132618.pdf</v>
      </c>
      <c r="G658" s="5" t="str">
        <f>HYPERLINK("https://dpmzos25m8ivg.cloudfront.net/Documentos/631/01937516822/6310193751682211092023132806.pdf","https://dpmzos25m8ivg.cloudfront.net/Documentos/631/01937516822/6310193751682211092023132806.pdf")</f>
        <v>https://dpmzos25m8ivg.cloudfront.net/Documentos/631/01937516822/6310193751682211092023132806.pdf</v>
      </c>
      <c r="H658" s="4" t="s">
        <v>9245</v>
      </c>
    </row>
    <row r="659" spans="1:8" x14ac:dyDescent="0.25">
      <c r="A659" s="2" t="s">
        <v>673</v>
      </c>
      <c r="B659" s="3" t="s">
        <v>23</v>
      </c>
      <c r="C659" s="3"/>
      <c r="D659" s="3"/>
      <c r="E659" s="4" t="str">
        <f>HYPERLINK("https://dpmzos25m8ivg.cloudfront.net/Documentos/631/01945901195/6310194590119511092023131656.pdf","https://dpmzos25m8ivg.cloudfront.net/Documentos/631/01945901195/6310194590119511092023131656.pdf")</f>
        <v>https://dpmzos25m8ivg.cloudfront.net/Documentos/631/01945901195/6310194590119511092023131656.pdf</v>
      </c>
      <c r="F659" s="5" t="str">
        <f>HYPERLINK("https://dpmzos25m8ivg.cloudfront.net/Documentos/631/01945901195/6310194590119511092023131704.pdf","https://dpmzos25m8ivg.cloudfront.net/Documentos/631/01945901195/6310194590119511092023131704.pdf")</f>
        <v>https://dpmzos25m8ivg.cloudfront.net/Documentos/631/01945901195/6310194590119511092023131704.pdf</v>
      </c>
      <c r="G659" s="5" t="str">
        <f>HYPERLINK("https://dpmzos25m8ivg.cloudfront.net/Documentos/631/01945901195/6310194590119511092023131714.pdf","https://dpmzos25m8ivg.cloudfront.net/Documentos/631/01945901195/6310194590119511092023131714.pdf")</f>
        <v>https://dpmzos25m8ivg.cloudfront.net/Documentos/631/01945901195/6310194590119511092023131714.pdf</v>
      </c>
      <c r="H659" s="4" t="s">
        <v>9246</v>
      </c>
    </row>
    <row r="660" spans="1:8" x14ac:dyDescent="0.25">
      <c r="A660" s="2" t="s">
        <v>674</v>
      </c>
      <c r="B660" s="3"/>
      <c r="C660" s="3"/>
      <c r="D660" s="3"/>
      <c r="E660" s="4" t="str">
        <f>HYPERLINK("https://dpmzos25m8ivg.cloudfront.net/Documentos/631/01949196763/6310194919676311092023153745.pdf","https://dpmzos25m8ivg.cloudfront.net/Documentos/631/01949196763/6310194919676311092023153745.pdf")</f>
        <v>https://dpmzos25m8ivg.cloudfront.net/Documentos/631/01949196763/6310194919676311092023153745.pdf</v>
      </c>
      <c r="F660" s="5" t="str">
        <f>HYPERLINK("https://dpmzos25m8ivg.cloudfront.net/Documentos/631/01949196763/6310194919676311092023153815.pdf","https://dpmzos25m8ivg.cloudfront.net/Documentos/631/01949196763/6310194919676311092023153815.pdf")</f>
        <v>https://dpmzos25m8ivg.cloudfront.net/Documentos/631/01949196763/6310194919676311092023153815.pdf</v>
      </c>
      <c r="G660" s="5" t="str">
        <f>HYPERLINK("https://dpmzos25m8ivg.cloudfront.net/Documentos/631/01949196763/6310194919676311092023153838.pdf","https://dpmzos25m8ivg.cloudfront.net/Documentos/631/01949196763/6310194919676311092023153838.pdf")</f>
        <v>https://dpmzos25m8ivg.cloudfront.net/Documentos/631/01949196763/6310194919676311092023153838.pdf</v>
      </c>
      <c r="H660" s="4" t="s">
        <v>9247</v>
      </c>
    </row>
    <row r="661" spans="1:8" x14ac:dyDescent="0.25">
      <c r="A661" s="2" t="s">
        <v>675</v>
      </c>
      <c r="B661" s="3" t="s">
        <v>23</v>
      </c>
      <c r="C661" s="3"/>
      <c r="D661" s="3"/>
      <c r="E661" s="4" t="str">
        <f>HYPERLINK("https://dpmzos25m8ivg.cloudfront.net/Documentos/631/01950814718/6310195081471805092023204105.pdf","https://dpmzos25m8ivg.cloudfront.net/Documentos/631/01950814718/6310195081471805092023204105.pdf")</f>
        <v>https://dpmzos25m8ivg.cloudfront.net/Documentos/631/01950814718/6310195081471805092023204105.pdf</v>
      </c>
      <c r="F661" s="5" t="str">
        <f>HYPERLINK("https://dpmzos25m8ivg.cloudfront.net/Documentos/631/01950814718/6310195081471805092023204116.pdf","https://dpmzos25m8ivg.cloudfront.net/Documentos/631/01950814718/6310195081471805092023204116.pdf")</f>
        <v>https://dpmzos25m8ivg.cloudfront.net/Documentos/631/01950814718/6310195081471805092023204116.pdf</v>
      </c>
      <c r="G661" s="5" t="str">
        <f>HYPERLINK("https://dpmzos25m8ivg.cloudfront.net/Documentos/631/01950814718/6310195081471805092023204128.pdf","https://dpmzos25m8ivg.cloudfront.net/Documentos/631/01950814718/6310195081471805092023204128.pdf")</f>
        <v>https://dpmzos25m8ivg.cloudfront.net/Documentos/631/01950814718/6310195081471805092023204128.pdf</v>
      </c>
      <c r="H661" s="4" t="s">
        <v>9248</v>
      </c>
    </row>
    <row r="662" spans="1:8" x14ac:dyDescent="0.25">
      <c r="A662" s="2" t="s">
        <v>676</v>
      </c>
      <c r="B662" s="3"/>
      <c r="C662" s="3"/>
      <c r="D662" s="3"/>
      <c r="E662" s="4" t="str">
        <f>HYPERLINK("https://dpmzos25m8ivg.cloudfront.net/Documentos/631/01951390202/6310195139020211092023153401.pdf","https://dpmzos25m8ivg.cloudfront.net/Documentos/631/01951390202/6310195139020211092023153401.pdf")</f>
        <v>https://dpmzos25m8ivg.cloudfront.net/Documentos/631/01951390202/6310195139020211092023153401.pdf</v>
      </c>
      <c r="F662" s="5" t="str">
        <f>HYPERLINK("https://dpmzos25m8ivg.cloudfront.net/Documentos/631/01951390202/6310195139020211092023153551.pdf","https://dpmzos25m8ivg.cloudfront.net/Documentos/631/01951390202/6310195139020211092023153551.pdf")</f>
        <v>https://dpmzos25m8ivg.cloudfront.net/Documentos/631/01951390202/6310195139020211092023153551.pdf</v>
      </c>
      <c r="G662" s="5" t="str">
        <f>HYPERLINK("https://dpmzos25m8ivg.cloudfront.net/Documentos/631/01951390202/6310195139020211092023153608.pdf","https://dpmzos25m8ivg.cloudfront.net/Documentos/631/01951390202/6310195139020211092023153608.pdf")</f>
        <v>https://dpmzos25m8ivg.cloudfront.net/Documentos/631/01951390202/6310195139020211092023153608.pdf</v>
      </c>
      <c r="H662" s="4" t="s">
        <v>9249</v>
      </c>
    </row>
    <row r="663" spans="1:8" x14ac:dyDescent="0.25">
      <c r="A663" s="2" t="s">
        <v>677</v>
      </c>
      <c r="B663" s="3"/>
      <c r="C663" s="3"/>
      <c r="D663" s="3"/>
      <c r="E663" s="4" t="str">
        <f>HYPERLINK("https://dpmzos25m8ivg.cloudfront.net/Documentos/631/01951669223/6310195166922310092023132924.pdf","https://dpmzos25m8ivg.cloudfront.net/Documentos/631/01951669223/6310195166922310092023132924.pdf")</f>
        <v>https://dpmzos25m8ivg.cloudfront.net/Documentos/631/01951669223/6310195166922310092023132924.pdf</v>
      </c>
      <c r="F663" s="5" t="str">
        <f>HYPERLINK("https://dpmzos25m8ivg.cloudfront.net/Documentos/631/01951669223/6310195166922310092023132949.pdf","https://dpmzos25m8ivg.cloudfront.net/Documentos/631/01951669223/6310195166922310092023132949.pdf")</f>
        <v>https://dpmzos25m8ivg.cloudfront.net/Documentos/631/01951669223/6310195166922310092023132949.pdf</v>
      </c>
      <c r="G663" s="5" t="str">
        <f>HYPERLINK("https://dpmzos25m8ivg.cloudfront.net/Documentos/631/01951669223/6310195166922310092023133016.pdf","https://dpmzos25m8ivg.cloudfront.net/Documentos/631/01951669223/6310195166922310092023133016.pdf")</f>
        <v>https://dpmzos25m8ivg.cloudfront.net/Documentos/631/01951669223/6310195166922310092023133016.pdf</v>
      </c>
      <c r="H663" s="4" t="s">
        <v>9250</v>
      </c>
    </row>
    <row r="664" spans="1:8" x14ac:dyDescent="0.25">
      <c r="A664" s="2" t="s">
        <v>678</v>
      </c>
      <c r="B664" s="3" t="s">
        <v>8</v>
      </c>
      <c r="C664" s="3"/>
      <c r="D664" s="3"/>
      <c r="E664" s="4" t="str">
        <f>HYPERLINK("https://dpmzos25m8ivg.cloudfront.net/Documentos/631/01956431195/6310195643119510092023175808.jpg","https://dpmzos25m8ivg.cloudfront.net/Documentos/631/01956431195/6310195643119510092023175808.jpg")</f>
        <v>https://dpmzos25m8ivg.cloudfront.net/Documentos/631/01956431195/6310195643119510092023175808.jpg</v>
      </c>
      <c r="F664" s="5" t="str">
        <f>HYPERLINK("https://dpmzos25m8ivg.cloudfront.net/Documentos/631/01956431195/6310195643119510092023175835.jpg","https://dpmzos25m8ivg.cloudfront.net/Documentos/631/01956431195/6310195643119510092023175835.jpg")</f>
        <v>https://dpmzos25m8ivg.cloudfront.net/Documentos/631/01956431195/6310195643119510092023175835.jpg</v>
      </c>
      <c r="G664" s="5" t="str">
        <f>HYPERLINK("https://dpmzos25m8ivg.cloudfront.net/Documentos/631/01956431195/6310195643119510092023175948.jpg","https://dpmzos25m8ivg.cloudfront.net/Documentos/631/01956431195/6310195643119510092023175948.jpg")</f>
        <v>https://dpmzos25m8ivg.cloudfront.net/Documentos/631/01956431195/6310195643119510092023175948.jpg</v>
      </c>
      <c r="H664" s="4" t="s">
        <v>9251</v>
      </c>
    </row>
    <row r="665" spans="1:8" x14ac:dyDescent="0.25">
      <c r="A665" s="2" t="s">
        <v>679</v>
      </c>
      <c r="B665" s="3"/>
      <c r="C665" s="3"/>
      <c r="D665" s="3"/>
      <c r="E665" s="4" t="str">
        <f>HYPERLINK("https://dpmzos25m8ivg.cloudfront.net/Documentos/631/01958465593/6310195846559304092023192526.pdf","https://dpmzos25m8ivg.cloudfront.net/Documentos/631/01958465593/6310195846559304092023192526.pdf")</f>
        <v>https://dpmzos25m8ivg.cloudfront.net/Documentos/631/01958465593/6310195846559304092023192526.pdf</v>
      </c>
      <c r="F665" s="5" t="str">
        <f>HYPERLINK("https://dpmzos25m8ivg.cloudfront.net/Documentos/631/01958465593/6310195846559304092023192614.pdf","https://dpmzos25m8ivg.cloudfront.net/Documentos/631/01958465593/6310195846559304092023192614.pdf")</f>
        <v>https://dpmzos25m8ivg.cloudfront.net/Documentos/631/01958465593/6310195846559304092023192614.pdf</v>
      </c>
      <c r="G665" s="5" t="str">
        <f>HYPERLINK("https://dpmzos25m8ivg.cloudfront.net/Documentos/631/01958465593/6310195846559304092023192803.pdf","https://dpmzos25m8ivg.cloudfront.net/Documentos/631/01958465593/6310195846559304092023192803.pdf")</f>
        <v>https://dpmzos25m8ivg.cloudfront.net/Documentos/631/01958465593/6310195846559304092023192803.pdf</v>
      </c>
      <c r="H665" s="4" t="s">
        <v>9252</v>
      </c>
    </row>
    <row r="666" spans="1:8" x14ac:dyDescent="0.25">
      <c r="A666" s="2" t="s">
        <v>680</v>
      </c>
      <c r="B666" s="3"/>
      <c r="C666" s="3"/>
      <c r="D666" s="3"/>
      <c r="E666" s="4" t="str">
        <f>HYPERLINK("https://dpmzos25m8ivg.cloudfront.net/Documentos/631/01958627240/6310195862724006092023122558.pdf","https://dpmzos25m8ivg.cloudfront.net/Documentos/631/01958627240/6310195862724006092023122558.pdf")</f>
        <v>https://dpmzos25m8ivg.cloudfront.net/Documentos/631/01958627240/6310195862724006092023122558.pdf</v>
      </c>
      <c r="F666" s="5" t="str">
        <f>HYPERLINK("https://dpmzos25m8ivg.cloudfront.net/Documentos/631/01958627240/6310195862724006092023122611.pdf","https://dpmzos25m8ivg.cloudfront.net/Documentos/631/01958627240/6310195862724006092023122611.pdf")</f>
        <v>https://dpmzos25m8ivg.cloudfront.net/Documentos/631/01958627240/6310195862724006092023122611.pdf</v>
      </c>
      <c r="G666" s="5" t="str">
        <f>HYPERLINK("https://dpmzos25m8ivg.cloudfront.net/Documentos/631/01958627240/6310195862724006092023122624.pdf","https://dpmzos25m8ivg.cloudfront.net/Documentos/631/01958627240/6310195862724006092023122624.pdf")</f>
        <v>https://dpmzos25m8ivg.cloudfront.net/Documentos/631/01958627240/6310195862724006092023122624.pdf</v>
      </c>
      <c r="H666" s="4" t="s">
        <v>9253</v>
      </c>
    </row>
    <row r="667" spans="1:8" x14ac:dyDescent="0.25">
      <c r="A667" s="2" t="s">
        <v>681</v>
      </c>
      <c r="B667" s="3"/>
      <c r="C667" s="3"/>
      <c r="D667" s="3"/>
      <c r="E667" s="4" t="str">
        <f>HYPERLINK("https://dpmzos25m8ivg.cloudfront.net/Documentos/631/01958825204/6310195882520405092023204758.pdf","https://dpmzos25m8ivg.cloudfront.net/Documentos/631/01958825204/6310195882520405092023204758.pdf")</f>
        <v>https://dpmzos25m8ivg.cloudfront.net/Documentos/631/01958825204/6310195882520405092023204758.pdf</v>
      </c>
      <c r="F667" s="5" t="str">
        <f>HYPERLINK("https://dpmzos25m8ivg.cloudfront.net/Documentos/631/01958825204/6310195882520405092023204805.pdf","https://dpmzos25m8ivg.cloudfront.net/Documentos/631/01958825204/6310195882520405092023204805.pdf")</f>
        <v>https://dpmzos25m8ivg.cloudfront.net/Documentos/631/01958825204/6310195882520405092023204805.pdf</v>
      </c>
      <c r="G667" s="5" t="str">
        <f>HYPERLINK("https://dpmzos25m8ivg.cloudfront.net/Documentos/631/01958825204/6310195882520405092023204814.pdf","https://dpmzos25m8ivg.cloudfront.net/Documentos/631/01958825204/6310195882520405092023204814.pdf")</f>
        <v>https://dpmzos25m8ivg.cloudfront.net/Documentos/631/01958825204/6310195882520405092023204814.pdf</v>
      </c>
      <c r="H667" s="4" t="s">
        <v>9254</v>
      </c>
    </row>
    <row r="668" spans="1:8" x14ac:dyDescent="0.25">
      <c r="A668" s="2" t="s">
        <v>682</v>
      </c>
      <c r="B668" s="3"/>
      <c r="C668" s="3"/>
      <c r="D668" s="3"/>
      <c r="E668" s="4" t="str">
        <f>HYPERLINK("https://dpmzos25m8ivg.cloudfront.net/Documentos/631/01959910108/6310195991010811092023163757.jpeg","https://dpmzos25m8ivg.cloudfront.net/Documentos/631/01959910108/6310195991010811092023163757.jpeg")</f>
        <v>https://dpmzos25m8ivg.cloudfront.net/Documentos/631/01959910108/6310195991010811092023163757.jpeg</v>
      </c>
      <c r="F668" s="5" t="str">
        <f>HYPERLINK("https://dpmzos25m8ivg.cloudfront.net/Documentos/631/01959910108/6310195991010811092023163805.jpeg","https://dpmzos25m8ivg.cloudfront.net/Documentos/631/01959910108/6310195991010811092023163805.jpeg")</f>
        <v>https://dpmzos25m8ivg.cloudfront.net/Documentos/631/01959910108/6310195991010811092023163805.jpeg</v>
      </c>
      <c r="G668" s="5" t="str">
        <f>HYPERLINK("https://dpmzos25m8ivg.cloudfront.net/Documentos/631/01959910108/6310195991010811092023163813.jpeg","https://dpmzos25m8ivg.cloudfront.net/Documentos/631/01959910108/6310195991010811092023163813.jpeg")</f>
        <v>https://dpmzos25m8ivg.cloudfront.net/Documentos/631/01959910108/6310195991010811092023163813.jpeg</v>
      </c>
      <c r="H668" s="4" t="s">
        <v>9255</v>
      </c>
    </row>
    <row r="669" spans="1:8" x14ac:dyDescent="0.25">
      <c r="A669" s="2" t="s">
        <v>683</v>
      </c>
      <c r="B669" s="3"/>
      <c r="C669" s="3"/>
      <c r="D669" s="3"/>
      <c r="E669" s="4" t="str">
        <f>HYPERLINK("https://dpmzos25m8ivg.cloudfront.net/Documentos/631/01963812239/6310196381223911092023093629.pdf","https://dpmzos25m8ivg.cloudfront.net/Documentos/631/01963812239/6310196381223911092023093629.pdf")</f>
        <v>https://dpmzos25m8ivg.cloudfront.net/Documentos/631/01963812239/6310196381223911092023093629.pdf</v>
      </c>
      <c r="F669" s="5" t="str">
        <f>HYPERLINK("https://dpmzos25m8ivg.cloudfront.net/Documentos/631/01963812239/6310196381223911092023093640.pdf","https://dpmzos25m8ivg.cloudfront.net/Documentos/631/01963812239/6310196381223911092023093640.pdf")</f>
        <v>https://dpmzos25m8ivg.cloudfront.net/Documentos/631/01963812239/6310196381223911092023093640.pdf</v>
      </c>
      <c r="G669" s="5" t="str">
        <f>HYPERLINK("https://dpmzos25m8ivg.cloudfront.net/Documentos/631/01963812239/6310196381223911092023093650.pdf","https://dpmzos25m8ivg.cloudfront.net/Documentos/631/01963812239/6310196381223911092023093650.pdf")</f>
        <v>https://dpmzos25m8ivg.cloudfront.net/Documentos/631/01963812239/6310196381223911092023093650.pdf</v>
      </c>
      <c r="H669" s="4" t="s">
        <v>9256</v>
      </c>
    </row>
    <row r="670" spans="1:8" x14ac:dyDescent="0.25">
      <c r="A670" s="2" t="s">
        <v>684</v>
      </c>
      <c r="B670" s="3"/>
      <c r="C670" s="3"/>
      <c r="D670" s="3"/>
      <c r="E670" s="4" t="str">
        <f>HYPERLINK("https://dpmzos25m8ivg.cloudfront.net/Documentos/631/01969697601/6310196969760111092023150733.pdf","https://dpmzos25m8ivg.cloudfront.net/Documentos/631/01969697601/6310196969760111092023150733.pdf")</f>
        <v>https://dpmzos25m8ivg.cloudfront.net/Documentos/631/01969697601/6310196969760111092023150733.pdf</v>
      </c>
      <c r="F670" s="5" t="str">
        <f>HYPERLINK("https://dpmzos25m8ivg.cloudfront.net/Documentos/631/01969697601/6310196969760111092023150744.pdf","https://dpmzos25m8ivg.cloudfront.net/Documentos/631/01969697601/6310196969760111092023150744.pdf")</f>
        <v>https://dpmzos25m8ivg.cloudfront.net/Documentos/631/01969697601/6310196969760111092023150744.pdf</v>
      </c>
      <c r="G670" s="5" t="str">
        <f>HYPERLINK("https://dpmzos25m8ivg.cloudfront.net/Documentos/631/01969697601/6310196969760111092023150756.pdf","https://dpmzos25m8ivg.cloudfront.net/Documentos/631/01969697601/6310196969760111092023150756.pdf")</f>
        <v>https://dpmzos25m8ivg.cloudfront.net/Documentos/631/01969697601/6310196969760111092023150756.pdf</v>
      </c>
      <c r="H670" s="4" t="s">
        <v>9257</v>
      </c>
    </row>
    <row r="671" spans="1:8" x14ac:dyDescent="0.25">
      <c r="A671" s="2" t="s">
        <v>685</v>
      </c>
      <c r="B671" s="3"/>
      <c r="C671" s="3"/>
      <c r="D671" s="3"/>
      <c r="E671" s="4" t="str">
        <f>HYPERLINK("https://dpmzos25m8ivg.cloudfront.net/Documentos/631/01975433246/6310197543324611092023135436.jpg","https://dpmzos25m8ivg.cloudfront.net/Documentos/631/01975433246/6310197543324611092023135436.jpg")</f>
        <v>https://dpmzos25m8ivg.cloudfront.net/Documentos/631/01975433246/6310197543324611092023135436.jpg</v>
      </c>
      <c r="F671" s="5" t="str">
        <f>HYPERLINK("https://dpmzos25m8ivg.cloudfront.net/Documentos/631/01975433246/6310197543324611092023135502.jpg","https://dpmzos25m8ivg.cloudfront.net/Documentos/631/01975433246/6310197543324611092023135502.jpg")</f>
        <v>https://dpmzos25m8ivg.cloudfront.net/Documentos/631/01975433246/6310197543324611092023135502.jpg</v>
      </c>
      <c r="G671" s="5" t="str">
        <f>HYPERLINK("https://dpmzos25m8ivg.cloudfront.net/Documentos/631/01975433246/6310197543324611092023135658.jpg","https://dpmzos25m8ivg.cloudfront.net/Documentos/631/01975433246/6310197543324611092023135658.jpg")</f>
        <v>https://dpmzos25m8ivg.cloudfront.net/Documentos/631/01975433246/6310197543324611092023135658.jpg</v>
      </c>
      <c r="H671" s="4" t="s">
        <v>9258</v>
      </c>
    </row>
    <row r="672" spans="1:8" x14ac:dyDescent="0.25">
      <c r="A672" s="2" t="s">
        <v>686</v>
      </c>
      <c r="B672" s="3"/>
      <c r="C672" s="3"/>
      <c r="D672" s="3"/>
      <c r="E672" s="4" t="str">
        <f>HYPERLINK("https://dpmzos25m8ivg.cloudfront.net/Documentos/631/01976446279/6310197644627905092023181158.jpeg","https://dpmzos25m8ivg.cloudfront.net/Documentos/631/01976446279/6310197644627905092023181158.jpeg")</f>
        <v>https://dpmzos25m8ivg.cloudfront.net/Documentos/631/01976446279/6310197644627905092023181158.jpeg</v>
      </c>
      <c r="F672" s="5" t="str">
        <f>HYPERLINK("https://dpmzos25m8ivg.cloudfront.net/Documentos/631/01976446279/6310197644627905092023181225.jpeg","https://dpmzos25m8ivg.cloudfront.net/Documentos/631/01976446279/6310197644627905092023181225.jpeg")</f>
        <v>https://dpmzos25m8ivg.cloudfront.net/Documentos/631/01976446279/6310197644627905092023181225.jpeg</v>
      </c>
      <c r="G672" s="5" t="str">
        <f>HYPERLINK("https://dpmzos25m8ivg.cloudfront.net/Documentos/631/01976446279/6310197644627905092023181244.jpeg","https://dpmzos25m8ivg.cloudfront.net/Documentos/631/01976446279/6310197644627905092023181244.jpeg")</f>
        <v>https://dpmzos25m8ivg.cloudfront.net/Documentos/631/01976446279/6310197644627905092023181244.jpeg</v>
      </c>
      <c r="H672" s="4" t="s">
        <v>9259</v>
      </c>
    </row>
    <row r="673" spans="1:8" x14ac:dyDescent="0.25">
      <c r="A673" s="2" t="s">
        <v>687</v>
      </c>
      <c r="B673" s="3" t="s">
        <v>42</v>
      </c>
      <c r="C673" s="3"/>
      <c r="D673" s="3"/>
      <c r="E673" s="4" t="str">
        <f>HYPERLINK("https://dpmzos25m8ivg.cloudfront.net/Documentos/631/01978582285/6310197858228506092023110049.pdf","https://dpmzos25m8ivg.cloudfront.net/Documentos/631/01978582285/6310197858228506092023110049.pdf")</f>
        <v>https://dpmzos25m8ivg.cloudfront.net/Documentos/631/01978582285/6310197858228506092023110049.pdf</v>
      </c>
      <c r="F673" s="5" t="str">
        <f>HYPERLINK("https://dpmzos25m8ivg.cloudfront.net/Documentos/631/01978582285/6310197858228506092023110103.pdf","https://dpmzos25m8ivg.cloudfront.net/Documentos/631/01978582285/6310197858228506092023110103.pdf")</f>
        <v>https://dpmzos25m8ivg.cloudfront.net/Documentos/631/01978582285/6310197858228506092023110103.pdf</v>
      </c>
      <c r="G673" s="5" t="str">
        <f>HYPERLINK("https://dpmzos25m8ivg.cloudfront.net/Documentos/631/01978582285/6310197858228506092023110118.pdf","https://dpmzos25m8ivg.cloudfront.net/Documentos/631/01978582285/6310197858228506092023110118.pdf")</f>
        <v>https://dpmzos25m8ivg.cloudfront.net/Documentos/631/01978582285/6310197858228506092023110118.pdf</v>
      </c>
      <c r="H673" s="4" t="s">
        <v>9260</v>
      </c>
    </row>
    <row r="674" spans="1:8" x14ac:dyDescent="0.25">
      <c r="A674" s="2" t="s">
        <v>688</v>
      </c>
      <c r="B674" s="3" t="s">
        <v>8</v>
      </c>
      <c r="C674" s="3"/>
      <c r="D674" s="3"/>
      <c r="E674" s="4" t="str">
        <f>HYPERLINK("https://dpmzos25m8ivg.cloudfront.net/Documentos/631/01980085030/6310198008503005092023133911.jpeg","https://dpmzos25m8ivg.cloudfront.net/Documentos/631/01980085030/6310198008503005092023133911.jpeg")</f>
        <v>https://dpmzos25m8ivg.cloudfront.net/Documentos/631/01980085030/6310198008503005092023133911.jpeg</v>
      </c>
      <c r="F674" s="5" t="str">
        <f>HYPERLINK("https://dpmzos25m8ivg.cloudfront.net/Documentos/631/01980085030/6310198008503005092023133928.jpeg","https://dpmzos25m8ivg.cloudfront.net/Documentos/631/01980085030/6310198008503005092023133928.jpeg")</f>
        <v>https://dpmzos25m8ivg.cloudfront.net/Documentos/631/01980085030/6310198008503005092023133928.jpeg</v>
      </c>
      <c r="G674" s="5" t="str">
        <f>HYPERLINK("https://dpmzos25m8ivg.cloudfront.net/Documentos/631/01980085030/6310198008503005092023133944.jpeg","https://dpmzos25m8ivg.cloudfront.net/Documentos/631/01980085030/6310198008503005092023133944.jpeg")</f>
        <v>https://dpmzos25m8ivg.cloudfront.net/Documentos/631/01980085030/6310198008503005092023133944.jpeg</v>
      </c>
      <c r="H674" s="4" t="s">
        <v>9261</v>
      </c>
    </row>
    <row r="675" spans="1:8" x14ac:dyDescent="0.25">
      <c r="A675" s="2" t="s">
        <v>689</v>
      </c>
      <c r="B675" s="3"/>
      <c r="C675" s="3"/>
      <c r="D675" s="3"/>
      <c r="E675" s="4" t="str">
        <f>HYPERLINK("https://dpmzos25m8ivg.cloudfront.net/Documentos/631/01980695962/6310198069596206092023100210.pdf","https://dpmzos25m8ivg.cloudfront.net/Documentos/631/01980695962/6310198069596206092023100210.pdf")</f>
        <v>https://dpmzos25m8ivg.cloudfront.net/Documentos/631/01980695962/6310198069596206092023100210.pdf</v>
      </c>
      <c r="F675" s="5" t="str">
        <f>HYPERLINK("https://dpmzos25m8ivg.cloudfront.net/Documentos/631/01980695962/6310198069596206092023100231.pdf","https://dpmzos25m8ivg.cloudfront.net/Documentos/631/01980695962/6310198069596206092023100231.pdf")</f>
        <v>https://dpmzos25m8ivg.cloudfront.net/Documentos/631/01980695962/6310198069596206092023100231.pdf</v>
      </c>
      <c r="G675" s="5" t="str">
        <f>HYPERLINK("https://dpmzos25m8ivg.cloudfront.net/Documentos/631/01980695962/6310198069596206092023100405.pdf","https://dpmzos25m8ivg.cloudfront.net/Documentos/631/01980695962/6310198069596206092023100405.pdf")</f>
        <v>https://dpmzos25m8ivg.cloudfront.net/Documentos/631/01980695962/6310198069596206092023100405.pdf</v>
      </c>
      <c r="H675" s="4" t="s">
        <v>9262</v>
      </c>
    </row>
    <row r="676" spans="1:8" x14ac:dyDescent="0.25">
      <c r="A676" s="2" t="s">
        <v>690</v>
      </c>
      <c r="B676" s="3"/>
      <c r="C676" s="3"/>
      <c r="D676" s="3"/>
      <c r="E676" s="4" t="str">
        <f>HYPERLINK("https://dpmzos25m8ivg.cloudfront.net/Documentos/631/01981813616/6310198181361610092023103756.pdf","https://dpmzos25m8ivg.cloudfront.net/Documentos/631/01981813616/6310198181361610092023103756.pdf")</f>
        <v>https://dpmzos25m8ivg.cloudfront.net/Documentos/631/01981813616/6310198181361610092023103756.pdf</v>
      </c>
      <c r="F676" s="5" t="str">
        <f>HYPERLINK("https://dpmzos25m8ivg.cloudfront.net/Documentos/631/01981813616/6310198181361610092023103805.pdf","https://dpmzos25m8ivg.cloudfront.net/Documentos/631/01981813616/6310198181361610092023103805.pdf")</f>
        <v>https://dpmzos25m8ivg.cloudfront.net/Documentos/631/01981813616/6310198181361610092023103805.pdf</v>
      </c>
      <c r="G676" s="5" t="str">
        <f>HYPERLINK("https://dpmzos25m8ivg.cloudfront.net/Documentos/631/01981813616/6310198181361610092023103813.pdf","https://dpmzos25m8ivg.cloudfront.net/Documentos/631/01981813616/6310198181361610092023103813.pdf")</f>
        <v>https://dpmzos25m8ivg.cloudfront.net/Documentos/631/01981813616/6310198181361610092023103813.pdf</v>
      </c>
      <c r="H676" s="4" t="s">
        <v>9263</v>
      </c>
    </row>
    <row r="677" spans="1:8" x14ac:dyDescent="0.25">
      <c r="A677" s="2" t="s">
        <v>691</v>
      </c>
      <c r="B677" s="3"/>
      <c r="C677" s="3"/>
      <c r="D677" s="3"/>
      <c r="E677" s="4" t="str">
        <f>HYPERLINK("https://dpmzos25m8ivg.cloudfront.net/Documentos/631/01982164247/6310198216424710092023223623.jpeg","https://dpmzos25m8ivg.cloudfront.net/Documentos/631/01982164247/6310198216424710092023223623.jpeg")</f>
        <v>https://dpmzos25m8ivg.cloudfront.net/Documentos/631/01982164247/6310198216424710092023223623.jpeg</v>
      </c>
      <c r="F677" s="5" t="str">
        <f>HYPERLINK("https://dpmzos25m8ivg.cloudfront.net/Documentos/631/01982164247/6310198216424710092023223706.jpeg","https://dpmzos25m8ivg.cloudfront.net/Documentos/631/01982164247/6310198216424710092023223706.jpeg")</f>
        <v>https://dpmzos25m8ivg.cloudfront.net/Documentos/631/01982164247/6310198216424710092023223706.jpeg</v>
      </c>
      <c r="G677" s="5" t="str">
        <f>HYPERLINK("https://dpmzos25m8ivg.cloudfront.net/Documentos/631/01982164247/6310198216424710092023223742.jpeg","https://dpmzos25m8ivg.cloudfront.net/Documentos/631/01982164247/6310198216424710092023223742.jpeg")</f>
        <v>https://dpmzos25m8ivg.cloudfront.net/Documentos/631/01982164247/6310198216424710092023223742.jpeg</v>
      </c>
      <c r="H677" s="4" t="s">
        <v>9264</v>
      </c>
    </row>
    <row r="678" spans="1:8" x14ac:dyDescent="0.25">
      <c r="A678" s="2" t="s">
        <v>692</v>
      </c>
      <c r="B678" s="3"/>
      <c r="C678" s="3"/>
      <c r="D678" s="3"/>
      <c r="E678" s="4" t="str">
        <f>HYPERLINK("https://dpmzos25m8ivg.cloudfront.net/Documentos/631/01986782581/6310198678258105092023104159.pdf","https://dpmzos25m8ivg.cloudfront.net/Documentos/631/01986782581/6310198678258105092023104159.pdf")</f>
        <v>https://dpmzos25m8ivg.cloudfront.net/Documentos/631/01986782581/6310198678258105092023104159.pdf</v>
      </c>
      <c r="F678" s="5" t="str">
        <f>HYPERLINK("https://dpmzos25m8ivg.cloudfront.net/Documentos/631/01986782581/6310198678258105092023105050.pdf","https://dpmzos25m8ivg.cloudfront.net/Documentos/631/01986782581/6310198678258105092023105050.pdf")</f>
        <v>https://dpmzos25m8ivg.cloudfront.net/Documentos/631/01986782581/6310198678258105092023105050.pdf</v>
      </c>
      <c r="G678" s="5" t="str">
        <f>HYPERLINK("https://dpmzos25m8ivg.cloudfront.net/Documentos/631/01986782581/6310198678258105092023111247.pdf","https://dpmzos25m8ivg.cloudfront.net/Documentos/631/01986782581/6310198678258105092023111247.pdf")</f>
        <v>https://dpmzos25m8ivg.cloudfront.net/Documentos/631/01986782581/6310198678258105092023111247.pdf</v>
      </c>
      <c r="H678" s="4" t="s">
        <v>9265</v>
      </c>
    </row>
    <row r="679" spans="1:8" x14ac:dyDescent="0.25">
      <c r="A679" s="2" t="s">
        <v>693</v>
      </c>
      <c r="B679" s="3"/>
      <c r="C679" s="3"/>
      <c r="D679" s="3"/>
      <c r="E679" s="4" t="str">
        <f>HYPERLINK("https://dpmzos25m8ivg.cloudfront.net/Documentos/631/01987273133/6310198727313308092023122225.pdf","https://dpmzos25m8ivg.cloudfront.net/Documentos/631/01987273133/6310198727313308092023122225.pdf")</f>
        <v>https://dpmzos25m8ivg.cloudfront.net/Documentos/631/01987273133/6310198727313308092023122225.pdf</v>
      </c>
      <c r="F679" s="5" t="str">
        <f>HYPERLINK("https://dpmzos25m8ivg.cloudfront.net/Documentos/631/01987273133/6310198727313308092023122245.pdf","https://dpmzos25m8ivg.cloudfront.net/Documentos/631/01987273133/6310198727313308092023122245.pdf")</f>
        <v>https://dpmzos25m8ivg.cloudfront.net/Documentos/631/01987273133/6310198727313308092023122245.pdf</v>
      </c>
      <c r="G679" s="5" t="str">
        <f>HYPERLINK("https://dpmzos25m8ivg.cloudfront.net/Documentos/631/01987273133/6310198727313308092023122339.pdf","https://dpmzos25m8ivg.cloudfront.net/Documentos/631/01987273133/6310198727313308092023122339.pdf")</f>
        <v>https://dpmzos25m8ivg.cloudfront.net/Documentos/631/01987273133/6310198727313308092023122339.pdf</v>
      </c>
      <c r="H679" s="4" t="s">
        <v>9266</v>
      </c>
    </row>
    <row r="680" spans="1:8" x14ac:dyDescent="0.25">
      <c r="A680" s="2" t="s">
        <v>694</v>
      </c>
      <c r="B680" s="3"/>
      <c r="C680" s="3"/>
      <c r="D680" s="3"/>
      <c r="E680" s="4" t="str">
        <f>HYPERLINK("https://dpmzos25m8ivg.cloudfront.net/Documentos/631/01987359100/6310198735910010092023162716.pdf","https://dpmzos25m8ivg.cloudfront.net/Documentos/631/01987359100/6310198735910010092023162716.pdf")</f>
        <v>https://dpmzos25m8ivg.cloudfront.net/Documentos/631/01987359100/6310198735910010092023162716.pdf</v>
      </c>
      <c r="F680" s="5" t="str">
        <f>HYPERLINK("https://dpmzos25m8ivg.cloudfront.net/Documentos/631/01987359100/6310198735910010092023162728.pdf","https://dpmzos25m8ivg.cloudfront.net/Documentos/631/01987359100/6310198735910010092023162728.pdf")</f>
        <v>https://dpmzos25m8ivg.cloudfront.net/Documentos/631/01987359100/6310198735910010092023162728.pdf</v>
      </c>
      <c r="G680" s="5" t="str">
        <f>HYPERLINK("https://dpmzos25m8ivg.cloudfront.net/Documentos/631/01987359100/6310198735910010092023162741.pdf","https://dpmzos25m8ivg.cloudfront.net/Documentos/631/01987359100/6310198735910010092023162741.pdf")</f>
        <v>https://dpmzos25m8ivg.cloudfront.net/Documentos/631/01987359100/6310198735910010092023162741.pdf</v>
      </c>
      <c r="H680" s="4" t="s">
        <v>9267</v>
      </c>
    </row>
    <row r="681" spans="1:8" x14ac:dyDescent="0.25">
      <c r="A681" s="2" t="s">
        <v>695</v>
      </c>
      <c r="B681" s="3"/>
      <c r="C681" s="3"/>
      <c r="D681" s="3"/>
      <c r="E681" s="4" t="str">
        <f>HYPERLINK("https://dpmzos25m8ivg.cloudfront.net/Documentos/631/01990088503/6310199008850305092023002825.pdf","https://dpmzos25m8ivg.cloudfront.net/Documentos/631/01990088503/6310199008850305092023002825.pdf")</f>
        <v>https://dpmzos25m8ivg.cloudfront.net/Documentos/631/01990088503/6310199008850305092023002825.pdf</v>
      </c>
      <c r="F681" s="5" t="str">
        <f>HYPERLINK("https://dpmzos25m8ivg.cloudfront.net/Documentos/631/01990088503/6310199008850305092023002912.pdf","https://dpmzos25m8ivg.cloudfront.net/Documentos/631/01990088503/6310199008850305092023002912.pdf")</f>
        <v>https://dpmzos25m8ivg.cloudfront.net/Documentos/631/01990088503/6310199008850305092023002912.pdf</v>
      </c>
      <c r="G681" s="5" t="str">
        <f>HYPERLINK("https://dpmzos25m8ivg.cloudfront.net/Documentos/631/01990088503/6310199008850305092023003838.pdf","https://dpmzos25m8ivg.cloudfront.net/Documentos/631/01990088503/6310199008850305092023003838.pdf")</f>
        <v>https://dpmzos25m8ivg.cloudfront.net/Documentos/631/01990088503/6310199008850305092023003838.pdf</v>
      </c>
      <c r="H681" s="4" t="s">
        <v>9268</v>
      </c>
    </row>
    <row r="682" spans="1:8" x14ac:dyDescent="0.25">
      <c r="A682" s="2" t="s">
        <v>696</v>
      </c>
      <c r="B682" s="3"/>
      <c r="C682" s="3"/>
      <c r="D682" s="3"/>
      <c r="E682" s="4" t="str">
        <f>HYPERLINK("https://dpmzos25m8ivg.cloudfront.net/Documentos/631/01992780595/6310199278059511092023083502.pdf","https://dpmzos25m8ivg.cloudfront.net/Documentos/631/01992780595/6310199278059511092023083502.pdf")</f>
        <v>https://dpmzos25m8ivg.cloudfront.net/Documentos/631/01992780595/6310199278059511092023083502.pdf</v>
      </c>
      <c r="F682" s="5" t="str">
        <f>HYPERLINK("https://dpmzos25m8ivg.cloudfront.net/Documentos/631/01992780595/6310199278059511092023083440.pdf","https://dpmzos25m8ivg.cloudfront.net/Documentos/631/01992780595/6310199278059511092023083440.pdf")</f>
        <v>https://dpmzos25m8ivg.cloudfront.net/Documentos/631/01992780595/6310199278059511092023083440.pdf</v>
      </c>
      <c r="G682" s="5" t="str">
        <f>HYPERLINK("https://dpmzos25m8ivg.cloudfront.net/Documentos/631/01992780595/6310199278059511092023083425.pdf","https://dpmzos25m8ivg.cloudfront.net/Documentos/631/01992780595/6310199278059511092023083425.pdf")</f>
        <v>https://dpmzos25m8ivg.cloudfront.net/Documentos/631/01992780595/6310199278059511092023083425.pdf</v>
      </c>
      <c r="H682" s="4" t="s">
        <v>9269</v>
      </c>
    </row>
    <row r="683" spans="1:8" x14ac:dyDescent="0.25">
      <c r="A683" s="2" t="s">
        <v>697</v>
      </c>
      <c r="B683" s="3"/>
      <c r="C683" s="3"/>
      <c r="D683" s="3"/>
      <c r="E683" s="4" t="str">
        <f>HYPERLINK("https://dpmzos25m8ivg.cloudfront.net/Documentos/631/01993409513/6310199340951313092023172536.pdf","https://dpmzos25m8ivg.cloudfront.net/Documentos/631/01993409513/6310199340951313092023172536.pdf")</f>
        <v>https://dpmzos25m8ivg.cloudfront.net/Documentos/631/01993409513/6310199340951313092023172536.pdf</v>
      </c>
      <c r="F683" s="5" t="str">
        <f>HYPERLINK("https://dpmzos25m8ivg.cloudfront.net/Documentos/631/01993409513/6310199340951313092023172603.pdf","https://dpmzos25m8ivg.cloudfront.net/Documentos/631/01993409513/6310199340951313092023172603.pdf")</f>
        <v>https://dpmzos25m8ivg.cloudfront.net/Documentos/631/01993409513/6310199340951313092023172603.pdf</v>
      </c>
      <c r="G683" s="5" t="str">
        <f>HYPERLINK("https://dpmzos25m8ivg.cloudfront.net/Documentos/631/01993409513/6310199340951313092023172614.pdf","https://dpmzos25m8ivg.cloudfront.net/Documentos/631/01993409513/6310199340951313092023172614.pdf")</f>
        <v>https://dpmzos25m8ivg.cloudfront.net/Documentos/631/01993409513/6310199340951313092023172614.pdf</v>
      </c>
      <c r="H683" s="4" t="s">
        <v>9270</v>
      </c>
    </row>
    <row r="684" spans="1:8" x14ac:dyDescent="0.25">
      <c r="A684" s="2" t="s">
        <v>698</v>
      </c>
      <c r="B684" s="3" t="s">
        <v>42</v>
      </c>
      <c r="C684" s="3"/>
      <c r="D684" s="3"/>
      <c r="E684" s="4" t="str">
        <f>HYPERLINK("https://dpmzos25m8ivg.cloudfront.net/Documentos/631/01997675641/6310199767564111092023002805.pdf","https://dpmzos25m8ivg.cloudfront.net/Documentos/631/01997675641/6310199767564111092023002805.pdf")</f>
        <v>https://dpmzos25m8ivg.cloudfront.net/Documentos/631/01997675641/6310199767564111092023002805.pdf</v>
      </c>
      <c r="F684" s="5" t="str">
        <f>HYPERLINK("https://dpmzos25m8ivg.cloudfront.net/Documentos/631/01997675641/6310199767564111092023002818.pdf","https://dpmzos25m8ivg.cloudfront.net/Documentos/631/01997675641/6310199767564111092023002818.pdf")</f>
        <v>https://dpmzos25m8ivg.cloudfront.net/Documentos/631/01997675641/6310199767564111092023002818.pdf</v>
      </c>
      <c r="G684" s="5" t="str">
        <f>HYPERLINK("https://dpmzos25m8ivg.cloudfront.net/Documentos/631/01997675641/6310199767564111092023002831.pdf","https://dpmzos25m8ivg.cloudfront.net/Documentos/631/01997675641/6310199767564111092023002831.pdf")</f>
        <v>https://dpmzos25m8ivg.cloudfront.net/Documentos/631/01997675641/6310199767564111092023002831.pdf</v>
      </c>
      <c r="H684" s="4" t="s">
        <v>9271</v>
      </c>
    </row>
    <row r="685" spans="1:8" x14ac:dyDescent="0.25">
      <c r="A685" s="2" t="s">
        <v>699</v>
      </c>
      <c r="B685" s="3"/>
      <c r="C685" s="3"/>
      <c r="D685" s="3"/>
      <c r="E685" s="4" t="str">
        <f>HYPERLINK("https://dpmzos25m8ivg.cloudfront.net/Documentos/631/01999056736/6310199905673605092023221201.pdf","https://dpmzos25m8ivg.cloudfront.net/Documentos/631/01999056736/6310199905673605092023221201.pdf")</f>
        <v>https://dpmzos25m8ivg.cloudfront.net/Documentos/631/01999056736/6310199905673605092023221201.pdf</v>
      </c>
      <c r="F685" s="5" t="str">
        <f>HYPERLINK("https://dpmzos25m8ivg.cloudfront.net/Documentos/631/01999056736/6310199905673605092023221338.pdf","https://dpmzos25m8ivg.cloudfront.net/Documentos/631/01999056736/6310199905673605092023221338.pdf")</f>
        <v>https://dpmzos25m8ivg.cloudfront.net/Documentos/631/01999056736/6310199905673605092023221338.pdf</v>
      </c>
      <c r="G685" s="5" t="str">
        <f>HYPERLINK("https://dpmzos25m8ivg.cloudfront.net/Documentos/631/01999056736/6310199905673605092023221422.pdf","https://dpmzos25m8ivg.cloudfront.net/Documentos/631/01999056736/6310199905673605092023221422.pdf")</f>
        <v>https://dpmzos25m8ivg.cloudfront.net/Documentos/631/01999056736/6310199905673605092023221422.pdf</v>
      </c>
      <c r="H685" s="4" t="s">
        <v>9272</v>
      </c>
    </row>
    <row r="686" spans="1:8" x14ac:dyDescent="0.25">
      <c r="A686" s="2" t="s">
        <v>700</v>
      </c>
      <c r="B686" s="3"/>
      <c r="C686" s="3"/>
      <c r="D686" s="3"/>
      <c r="E686" s="4" t="str">
        <f>HYPERLINK("https://dpmzos25m8ivg.cloudfront.net/Documentos/631/02000518222/6310200051822211092023162554.jpg","https://dpmzos25m8ivg.cloudfront.net/Documentos/631/02000518222/6310200051822211092023162554.jpg")</f>
        <v>https://dpmzos25m8ivg.cloudfront.net/Documentos/631/02000518222/6310200051822211092023162554.jpg</v>
      </c>
      <c r="F686" s="5" t="str">
        <f>HYPERLINK("https://dpmzos25m8ivg.cloudfront.net/Documentos/631/02000518222/6310200051822211092023162631.jpg","https://dpmzos25m8ivg.cloudfront.net/Documentos/631/02000518222/6310200051822211092023162631.jpg")</f>
        <v>https://dpmzos25m8ivg.cloudfront.net/Documentos/631/02000518222/6310200051822211092023162631.jpg</v>
      </c>
      <c r="G686" s="5" t="str">
        <f>HYPERLINK("https://dpmzos25m8ivg.cloudfront.net/Documentos/631/02000518222/6310200051822211092023162646.jpg","https://dpmzos25m8ivg.cloudfront.net/Documentos/631/02000518222/6310200051822211092023162646.jpg")</f>
        <v>https://dpmzos25m8ivg.cloudfront.net/Documentos/631/02000518222/6310200051822211092023162646.jpg</v>
      </c>
      <c r="H686" s="4" t="s">
        <v>9273</v>
      </c>
    </row>
    <row r="687" spans="1:8" x14ac:dyDescent="0.25">
      <c r="A687" s="2" t="s">
        <v>701</v>
      </c>
      <c r="B687" s="3"/>
      <c r="C687" s="3"/>
      <c r="D687" s="3"/>
      <c r="E687" s="4" t="str">
        <f>HYPERLINK("https://dpmzos25m8ivg.cloudfront.net/Documentos/631/02006185128/6310200618512807092023124110.jpg","https://dpmzos25m8ivg.cloudfront.net/Documentos/631/02006185128/6310200618512807092023124110.jpg")</f>
        <v>https://dpmzos25m8ivg.cloudfront.net/Documentos/631/02006185128/6310200618512807092023124110.jpg</v>
      </c>
      <c r="F687" s="5" t="str">
        <f>HYPERLINK("https://dpmzos25m8ivg.cloudfront.net/Documentos/631/02006185128/6310200618512807092023124120.jpg","https://dpmzos25m8ivg.cloudfront.net/Documentos/631/02006185128/6310200618512807092023124120.jpg")</f>
        <v>https://dpmzos25m8ivg.cloudfront.net/Documentos/631/02006185128/6310200618512807092023124120.jpg</v>
      </c>
      <c r="G687" s="5" t="str">
        <f>HYPERLINK("https://dpmzos25m8ivg.cloudfront.net/Documentos/631/02006185128/6310200618512807092023124131.jpg","https://dpmzos25m8ivg.cloudfront.net/Documentos/631/02006185128/6310200618512807092023124131.jpg")</f>
        <v>https://dpmzos25m8ivg.cloudfront.net/Documentos/631/02006185128/6310200618512807092023124131.jpg</v>
      </c>
      <c r="H687" s="4" t="s">
        <v>9274</v>
      </c>
    </row>
    <row r="688" spans="1:8" x14ac:dyDescent="0.25">
      <c r="A688" s="2" t="s">
        <v>702</v>
      </c>
      <c r="B688" s="3"/>
      <c r="C688" s="3"/>
      <c r="D688" s="3"/>
      <c r="E688" s="4" t="str">
        <f>HYPERLINK("https://dpmzos25m8ivg.cloudfront.net/Documentos/631/02013357435/6310201335743511092023124029.jpg","https://dpmzos25m8ivg.cloudfront.net/Documentos/631/02013357435/6310201335743511092023124029.jpg")</f>
        <v>https://dpmzos25m8ivg.cloudfront.net/Documentos/631/02013357435/6310201335743511092023124029.jpg</v>
      </c>
      <c r="F688" s="5" t="str">
        <f>HYPERLINK("https://dpmzos25m8ivg.cloudfront.net/Documentos/631/02013357435/6310201335743511092023124048.jpg","https://dpmzos25m8ivg.cloudfront.net/Documentos/631/02013357435/6310201335743511092023124048.jpg")</f>
        <v>https://dpmzos25m8ivg.cloudfront.net/Documentos/631/02013357435/6310201335743511092023124048.jpg</v>
      </c>
      <c r="G688" s="5" t="str">
        <f>HYPERLINK("https://dpmzos25m8ivg.cloudfront.net/Documentos/631/02013357435/6310201335743511092023124105.jpg","https://dpmzos25m8ivg.cloudfront.net/Documentos/631/02013357435/6310201335743511092023124105.jpg")</f>
        <v>https://dpmzos25m8ivg.cloudfront.net/Documentos/631/02013357435/6310201335743511092023124105.jpg</v>
      </c>
      <c r="H688" s="4" t="s">
        <v>9275</v>
      </c>
    </row>
    <row r="689" spans="1:8" x14ac:dyDescent="0.25">
      <c r="A689" s="2" t="s">
        <v>703</v>
      </c>
      <c r="B689" s="3" t="s">
        <v>42</v>
      </c>
      <c r="C689" s="3"/>
      <c r="D689" s="3"/>
      <c r="E689" s="4" t="str">
        <f>HYPERLINK("https://dpmzos25m8ivg.cloudfront.net/Documentos/631/02017314285/6310201731428511092023121652.pdf","https://dpmzos25m8ivg.cloudfront.net/Documentos/631/02017314285/6310201731428511092023121652.pdf")</f>
        <v>https://dpmzos25m8ivg.cloudfront.net/Documentos/631/02017314285/6310201731428511092023121652.pdf</v>
      </c>
      <c r="F689" s="5" t="str">
        <f>HYPERLINK("https://dpmzos25m8ivg.cloudfront.net/Documentos/631/02017314285/6310201731428511092023121710.pdf","https://dpmzos25m8ivg.cloudfront.net/Documentos/631/02017314285/6310201731428511092023121710.pdf")</f>
        <v>https://dpmzos25m8ivg.cloudfront.net/Documentos/631/02017314285/6310201731428511092023121710.pdf</v>
      </c>
      <c r="G689" s="5" t="str">
        <f>HYPERLINK("https://dpmzos25m8ivg.cloudfront.net/Documentos/631/02017314285/6310201731428511092023121724.pdf","https://dpmzos25m8ivg.cloudfront.net/Documentos/631/02017314285/6310201731428511092023121724.pdf")</f>
        <v>https://dpmzos25m8ivg.cloudfront.net/Documentos/631/02017314285/6310201731428511092023121724.pdf</v>
      </c>
      <c r="H689" s="4" t="s">
        <v>9276</v>
      </c>
    </row>
    <row r="690" spans="1:8" x14ac:dyDescent="0.25">
      <c r="A690" s="2" t="s">
        <v>704</v>
      </c>
      <c r="B690" s="3"/>
      <c r="C690" s="3"/>
      <c r="D690" s="3"/>
      <c r="E690" s="4" t="str">
        <f>HYPERLINK("https://dpmzos25m8ivg.cloudfront.net/Documentos/631/02017340600/6310201734060010092023141245.pdf","https://dpmzos25m8ivg.cloudfront.net/Documentos/631/02017340600/6310201734060010092023141245.pdf")</f>
        <v>https://dpmzos25m8ivg.cloudfront.net/Documentos/631/02017340600/6310201734060010092023141245.pdf</v>
      </c>
      <c r="F690" s="5" t="str">
        <f>HYPERLINK("https://dpmzos25m8ivg.cloudfront.net/Documentos/631/02017340600/6310201734060010092023141256.pdf","https://dpmzos25m8ivg.cloudfront.net/Documentos/631/02017340600/6310201734060010092023141256.pdf")</f>
        <v>https://dpmzos25m8ivg.cloudfront.net/Documentos/631/02017340600/6310201734060010092023141256.pdf</v>
      </c>
      <c r="G690" s="5" t="str">
        <f>HYPERLINK("https://dpmzos25m8ivg.cloudfront.net/Documentos/631/02017340600/6310201734060010092023141306.pdf","https://dpmzos25m8ivg.cloudfront.net/Documentos/631/02017340600/6310201734060010092023141306.pdf")</f>
        <v>https://dpmzos25m8ivg.cloudfront.net/Documentos/631/02017340600/6310201734060010092023141306.pdf</v>
      </c>
      <c r="H690" s="4" t="s">
        <v>9277</v>
      </c>
    </row>
    <row r="691" spans="1:8" x14ac:dyDescent="0.25">
      <c r="A691" s="2" t="s">
        <v>705</v>
      </c>
      <c r="B691" s="3"/>
      <c r="C691" s="3"/>
      <c r="D691" s="3"/>
      <c r="E691" s="4" t="str">
        <f>HYPERLINK("https://dpmzos25m8ivg.cloudfront.net/Documentos/631/02020110547/6310202011054707092023151815.pdf","https://dpmzos25m8ivg.cloudfront.net/Documentos/631/02020110547/6310202011054707092023151815.pdf")</f>
        <v>https://dpmzos25m8ivg.cloudfront.net/Documentos/631/02020110547/6310202011054707092023151815.pdf</v>
      </c>
      <c r="F691" s="5" t="str">
        <f>HYPERLINK("https://dpmzos25m8ivg.cloudfront.net/Documentos/631/02020110547/6310202011054707092023151843.pdf","https://dpmzos25m8ivg.cloudfront.net/Documentos/631/02020110547/6310202011054707092023151843.pdf")</f>
        <v>https://dpmzos25m8ivg.cloudfront.net/Documentos/631/02020110547/6310202011054707092023151843.pdf</v>
      </c>
      <c r="G691" s="5" t="str">
        <f>HYPERLINK("https://dpmzos25m8ivg.cloudfront.net/Documentos/631/02020110547/6310202011054707092023151903.pdf","https://dpmzos25m8ivg.cloudfront.net/Documentos/631/02020110547/6310202011054707092023151903.pdf")</f>
        <v>https://dpmzos25m8ivg.cloudfront.net/Documentos/631/02020110547/6310202011054707092023151903.pdf</v>
      </c>
      <c r="H691" s="4" t="s">
        <v>9278</v>
      </c>
    </row>
    <row r="692" spans="1:8" x14ac:dyDescent="0.25">
      <c r="A692" s="2" t="s">
        <v>706</v>
      </c>
      <c r="B692" s="3"/>
      <c r="C692" s="3"/>
      <c r="D692" s="3"/>
      <c r="E692" s="4" t="str">
        <f>HYPERLINK("https://dpmzos25m8ivg.cloudfront.net/Documentos/631/02020276518/6310202027651814092023143009.pdf","https://dpmzos25m8ivg.cloudfront.net/Documentos/631/02020276518/6310202027651814092023143009.pdf")</f>
        <v>https://dpmzos25m8ivg.cloudfront.net/Documentos/631/02020276518/6310202027651814092023143009.pdf</v>
      </c>
      <c r="F692" s="5" t="str">
        <f>HYPERLINK("https://dpmzos25m8ivg.cloudfront.net/Documentos/631/02020276518/6310202027651814092023143046.pdf","https://dpmzos25m8ivg.cloudfront.net/Documentos/631/02020276518/6310202027651814092023143046.pdf")</f>
        <v>https://dpmzos25m8ivg.cloudfront.net/Documentos/631/02020276518/6310202027651814092023143046.pdf</v>
      </c>
      <c r="G692" s="5" t="str">
        <f>HYPERLINK("https://dpmzos25m8ivg.cloudfront.net/Documentos/631/02020276518/6310202027651814092023142243.pdf","https://dpmzos25m8ivg.cloudfront.net/Documentos/631/02020276518/6310202027651814092023142243.pdf")</f>
        <v>https://dpmzos25m8ivg.cloudfront.net/Documentos/631/02020276518/6310202027651814092023142243.pdf</v>
      </c>
      <c r="H692" s="4" t="s">
        <v>9279</v>
      </c>
    </row>
    <row r="693" spans="1:8" x14ac:dyDescent="0.25">
      <c r="A693" s="2" t="s">
        <v>707</v>
      </c>
      <c r="B693" s="3"/>
      <c r="C693" s="3"/>
      <c r="D693" s="3"/>
      <c r="E693" s="4" t="str">
        <f>HYPERLINK("https://dpmzos25m8ivg.cloudfront.net/Documentos/631/02022197208/6310202219720811092023142201.pdf","https://dpmzos25m8ivg.cloudfront.net/Documentos/631/02022197208/6310202219720811092023142201.pdf")</f>
        <v>https://dpmzos25m8ivg.cloudfront.net/Documentos/631/02022197208/6310202219720811092023142201.pdf</v>
      </c>
      <c r="F693" s="5" t="str">
        <f>HYPERLINK("https://dpmzos25m8ivg.cloudfront.net/Documentos/631/02022197208/6310202219720811092023142214.pdf","https://dpmzos25m8ivg.cloudfront.net/Documentos/631/02022197208/6310202219720811092023142214.pdf")</f>
        <v>https://dpmzos25m8ivg.cloudfront.net/Documentos/631/02022197208/6310202219720811092023142214.pdf</v>
      </c>
      <c r="G693" s="5" t="str">
        <f>HYPERLINK("https://dpmzos25m8ivg.cloudfront.net/Documentos/631/02022197208/6310202219720811092023142228.pdf","https://dpmzos25m8ivg.cloudfront.net/Documentos/631/02022197208/6310202219720811092023142228.pdf")</f>
        <v>https://dpmzos25m8ivg.cloudfront.net/Documentos/631/02022197208/6310202219720811092023142228.pdf</v>
      </c>
      <c r="H693" s="4" t="s">
        <v>9280</v>
      </c>
    </row>
    <row r="694" spans="1:8" x14ac:dyDescent="0.25">
      <c r="A694" s="2" t="s">
        <v>708</v>
      </c>
      <c r="B694" s="3"/>
      <c r="C694" s="3"/>
      <c r="D694" s="3"/>
      <c r="E694" s="4" t="str">
        <f>HYPERLINK("https://dpmzos25m8ivg.cloudfront.net/Documentos/631/02030067636/6310203006763610092023220347.jpeg","https://dpmzos25m8ivg.cloudfront.net/Documentos/631/02030067636/6310203006763610092023220347.jpeg")</f>
        <v>https://dpmzos25m8ivg.cloudfront.net/Documentos/631/02030067636/6310203006763610092023220347.jpeg</v>
      </c>
      <c r="F694" s="5" t="str">
        <f>HYPERLINK("https://dpmzos25m8ivg.cloudfront.net/Documentos/631/02030067636/6310203006763610092023220403.jpeg","https://dpmzos25m8ivg.cloudfront.net/Documentos/631/02030067636/6310203006763610092023220403.jpeg")</f>
        <v>https://dpmzos25m8ivg.cloudfront.net/Documentos/631/02030067636/6310203006763610092023220403.jpeg</v>
      </c>
      <c r="G694" s="5" t="str">
        <f>HYPERLINK("https://dpmzos25m8ivg.cloudfront.net/Documentos/631/02030067636/6310203006763610092023220434.jpeg","https://dpmzos25m8ivg.cloudfront.net/Documentos/631/02030067636/6310203006763610092023220434.jpeg")</f>
        <v>https://dpmzos25m8ivg.cloudfront.net/Documentos/631/02030067636/6310203006763610092023220434.jpeg</v>
      </c>
      <c r="H694" s="4" t="s">
        <v>9281</v>
      </c>
    </row>
    <row r="695" spans="1:8" x14ac:dyDescent="0.25">
      <c r="A695" s="2" t="s">
        <v>709</v>
      </c>
      <c r="B695" s="3"/>
      <c r="C695" s="3"/>
      <c r="D695" s="3"/>
      <c r="E695" s="4" t="str">
        <f>HYPERLINK("https://dpmzos25m8ivg.cloudfront.net/Documentos/631/02031225189/6310203122518911092023081130.pdf","https://dpmzos25m8ivg.cloudfront.net/Documentos/631/02031225189/6310203122518911092023081130.pdf")</f>
        <v>https://dpmzos25m8ivg.cloudfront.net/Documentos/631/02031225189/6310203122518911092023081130.pdf</v>
      </c>
      <c r="F695" s="5" t="str">
        <f>HYPERLINK("https://dpmzos25m8ivg.cloudfront.net/Documentos/631/02031225189/6310203122518911092023081139.pdf","https://dpmzos25m8ivg.cloudfront.net/Documentos/631/02031225189/6310203122518911092023081139.pdf")</f>
        <v>https://dpmzos25m8ivg.cloudfront.net/Documentos/631/02031225189/6310203122518911092023081139.pdf</v>
      </c>
      <c r="G695" s="5" t="str">
        <f>HYPERLINK("https://dpmzos25m8ivg.cloudfront.net/Documentos/631/02031225189/6310203122518911092023081150.pdf","https://dpmzos25m8ivg.cloudfront.net/Documentos/631/02031225189/6310203122518911092023081150.pdf")</f>
        <v>https://dpmzos25m8ivg.cloudfront.net/Documentos/631/02031225189/6310203122518911092023081150.pdf</v>
      </c>
      <c r="H695" s="4" t="s">
        <v>9282</v>
      </c>
    </row>
    <row r="696" spans="1:8" x14ac:dyDescent="0.25">
      <c r="A696" s="2" t="s">
        <v>710</v>
      </c>
      <c r="B696" s="3" t="s">
        <v>8</v>
      </c>
      <c r="C696" s="3"/>
      <c r="D696" s="3"/>
      <c r="E696" s="4" t="str">
        <f>HYPERLINK("https://dpmzos25m8ivg.cloudfront.net/Documentos/631/02031832077/6310203183207711092023142047.pdf","https://dpmzos25m8ivg.cloudfront.net/Documentos/631/02031832077/6310203183207711092023142047.pdf")</f>
        <v>https://dpmzos25m8ivg.cloudfront.net/Documentos/631/02031832077/6310203183207711092023142047.pdf</v>
      </c>
      <c r="F696" s="5" t="str">
        <f>HYPERLINK("https://dpmzos25m8ivg.cloudfront.net/Documentos/631/02031832077/6310203183207711092023142104.pdf","https://dpmzos25m8ivg.cloudfront.net/Documentos/631/02031832077/6310203183207711092023142104.pdf")</f>
        <v>https://dpmzos25m8ivg.cloudfront.net/Documentos/631/02031832077/6310203183207711092023142104.pdf</v>
      </c>
      <c r="G696" s="5" t="str">
        <f>HYPERLINK("https://dpmzos25m8ivg.cloudfront.net/Documentos/631/02031832077/6310203183207711092023142113.pdf","https://dpmzos25m8ivg.cloudfront.net/Documentos/631/02031832077/6310203183207711092023142113.pdf")</f>
        <v>https://dpmzos25m8ivg.cloudfront.net/Documentos/631/02031832077/6310203183207711092023142113.pdf</v>
      </c>
      <c r="H696" s="4" t="s">
        <v>9283</v>
      </c>
    </row>
    <row r="697" spans="1:8" x14ac:dyDescent="0.25">
      <c r="A697" s="2" t="s">
        <v>711</v>
      </c>
      <c r="B697" s="3"/>
      <c r="C697" s="3"/>
      <c r="D697" s="3"/>
      <c r="E697" s="4" t="str">
        <f>HYPERLINK("https://dpmzos25m8ivg.cloudfront.net/Documentos/631/02031977202/6310203197720207092023144813.pdf","https://dpmzos25m8ivg.cloudfront.net/Documentos/631/02031977202/6310203197720207092023144813.pdf")</f>
        <v>https://dpmzos25m8ivg.cloudfront.net/Documentos/631/02031977202/6310203197720207092023144813.pdf</v>
      </c>
      <c r="F697" s="5" t="str">
        <f>HYPERLINK("https://dpmzos25m8ivg.cloudfront.net/Documentos/631/02031977202/6310203197720207092023144824.pdf","https://dpmzos25m8ivg.cloudfront.net/Documentos/631/02031977202/6310203197720207092023144824.pdf")</f>
        <v>https://dpmzos25m8ivg.cloudfront.net/Documentos/631/02031977202/6310203197720207092023144824.pdf</v>
      </c>
      <c r="G697" s="5" t="str">
        <f>HYPERLINK("https://dpmzos25m8ivg.cloudfront.net/Documentos/631/02031977202/6310203197720207092023144840.pdf","https://dpmzos25m8ivg.cloudfront.net/Documentos/631/02031977202/6310203197720207092023144840.pdf")</f>
        <v>https://dpmzos25m8ivg.cloudfront.net/Documentos/631/02031977202/6310203197720207092023144840.pdf</v>
      </c>
      <c r="H697" s="4" t="s">
        <v>9284</v>
      </c>
    </row>
    <row r="698" spans="1:8" x14ac:dyDescent="0.25">
      <c r="A698" s="2" t="s">
        <v>712</v>
      </c>
      <c r="B698" s="3"/>
      <c r="C698" s="3"/>
      <c r="D698" s="3"/>
      <c r="E698" s="4" t="str">
        <f>HYPERLINK("https://dpmzos25m8ivg.cloudfront.net/Documentos/631/02032377225/6310203237722514092023160818.pdf","https://dpmzos25m8ivg.cloudfront.net/Documentos/631/02032377225/6310203237722514092023160818.pdf")</f>
        <v>https://dpmzos25m8ivg.cloudfront.net/Documentos/631/02032377225/6310203237722514092023160818.pdf</v>
      </c>
      <c r="F698" s="5" t="str">
        <f>HYPERLINK("https://dpmzos25m8ivg.cloudfront.net/Documentos/631/02032377225/6310203237722514092023160827.pdf","https://dpmzos25m8ivg.cloudfront.net/Documentos/631/02032377225/6310203237722514092023160827.pdf")</f>
        <v>https://dpmzos25m8ivg.cloudfront.net/Documentos/631/02032377225/6310203237722514092023160827.pdf</v>
      </c>
      <c r="G698" s="5" t="str">
        <f>HYPERLINK("https://dpmzos25m8ivg.cloudfront.net/Documentos/631/02032377225/6310203237722514092023160836.pdf","https://dpmzos25m8ivg.cloudfront.net/Documentos/631/02032377225/6310203237722514092023160836.pdf")</f>
        <v>https://dpmzos25m8ivg.cloudfront.net/Documentos/631/02032377225/6310203237722514092023160836.pdf</v>
      </c>
      <c r="H698" s="4" t="s">
        <v>9285</v>
      </c>
    </row>
    <row r="699" spans="1:8" x14ac:dyDescent="0.25">
      <c r="A699" s="2" t="s">
        <v>713</v>
      </c>
      <c r="B699" s="3"/>
      <c r="C699" s="3"/>
      <c r="D699" s="3"/>
      <c r="E699" s="4" t="str">
        <f>HYPERLINK("https://dpmzos25m8ivg.cloudfront.net/Documentos/631/02036730698/6310203673069810092023101307.pdf","https://dpmzos25m8ivg.cloudfront.net/Documentos/631/02036730698/6310203673069810092023101307.pdf")</f>
        <v>https://dpmzos25m8ivg.cloudfront.net/Documentos/631/02036730698/6310203673069810092023101307.pdf</v>
      </c>
      <c r="F699" s="5" t="str">
        <f>HYPERLINK("https://dpmzos25m8ivg.cloudfront.net/Documentos/631/02036730698/6310203673069810092023101323.pdf","https://dpmzos25m8ivg.cloudfront.net/Documentos/631/02036730698/6310203673069810092023101323.pdf")</f>
        <v>https://dpmzos25m8ivg.cloudfront.net/Documentos/631/02036730698/6310203673069810092023101323.pdf</v>
      </c>
      <c r="G699" s="5" t="str">
        <f>HYPERLINK("https://dpmzos25m8ivg.cloudfront.net/Documentos/631/02036730698/6310203673069810092023101349.pdf","https://dpmzos25m8ivg.cloudfront.net/Documentos/631/02036730698/6310203673069810092023101349.pdf")</f>
        <v>https://dpmzos25m8ivg.cloudfront.net/Documentos/631/02036730698/6310203673069810092023101349.pdf</v>
      </c>
      <c r="H699" s="4" t="s">
        <v>9286</v>
      </c>
    </row>
    <row r="700" spans="1:8" x14ac:dyDescent="0.25">
      <c r="A700" s="2" t="s">
        <v>714</v>
      </c>
      <c r="B700" s="3"/>
      <c r="C700" s="3"/>
      <c r="D700" s="3"/>
      <c r="E700" s="4" t="str">
        <f>HYPERLINK("https://dpmzos25m8ivg.cloudfront.net/Documentos/631/02041277343/6310204127734306092023074527.pdf","https://dpmzos25m8ivg.cloudfront.net/Documentos/631/02041277343/6310204127734306092023074527.pdf")</f>
        <v>https://dpmzos25m8ivg.cloudfront.net/Documentos/631/02041277343/6310204127734306092023074527.pdf</v>
      </c>
      <c r="F700" s="5" t="str">
        <f>HYPERLINK("https://dpmzos25m8ivg.cloudfront.net/Documentos/631/02041277343/6310204127734306092023081440.pdf","https://dpmzos25m8ivg.cloudfront.net/Documentos/631/02041277343/6310204127734306092023081440.pdf")</f>
        <v>https://dpmzos25m8ivg.cloudfront.net/Documentos/631/02041277343/6310204127734306092023081440.pdf</v>
      </c>
      <c r="G700" s="5" t="str">
        <f>HYPERLINK("https://dpmzos25m8ivg.cloudfront.net/Documentos/631/02041277343/6310204127734306092023081615.pdf","https://dpmzos25m8ivg.cloudfront.net/Documentos/631/02041277343/6310204127734306092023081615.pdf")</f>
        <v>https://dpmzos25m8ivg.cloudfront.net/Documentos/631/02041277343/6310204127734306092023081615.pdf</v>
      </c>
      <c r="H700" s="4" t="s">
        <v>9287</v>
      </c>
    </row>
    <row r="701" spans="1:8" x14ac:dyDescent="0.25">
      <c r="A701" s="2" t="s">
        <v>715</v>
      </c>
      <c r="B701" s="3"/>
      <c r="C701" s="3"/>
      <c r="D701" s="3"/>
      <c r="E701" s="4" t="str">
        <f>HYPERLINK("https://dpmzos25m8ivg.cloudfront.net/Documentos/631/02044922380/6310204492238011092023162240.pdf","https://dpmzos25m8ivg.cloudfront.net/Documentos/631/02044922380/6310204492238011092023162240.pdf")</f>
        <v>https://dpmzos25m8ivg.cloudfront.net/Documentos/631/02044922380/6310204492238011092023162240.pdf</v>
      </c>
      <c r="F701" s="5" t="str">
        <f>HYPERLINK("https://dpmzos25m8ivg.cloudfront.net/Documentos/631/02044922380/6310204492238011092023162252.pdf","https://dpmzos25m8ivg.cloudfront.net/Documentos/631/02044922380/6310204492238011092023162252.pdf")</f>
        <v>https://dpmzos25m8ivg.cloudfront.net/Documentos/631/02044922380/6310204492238011092023162252.pdf</v>
      </c>
      <c r="G701" s="5" t="str">
        <f>HYPERLINK("https://dpmzos25m8ivg.cloudfront.net/Documentos/631/02044922380/6310204492238011092023162316.pdf","https://dpmzos25m8ivg.cloudfront.net/Documentos/631/02044922380/6310204492238011092023162316.pdf")</f>
        <v>https://dpmzos25m8ivg.cloudfront.net/Documentos/631/02044922380/6310204492238011092023162316.pdf</v>
      </c>
      <c r="H701" s="4" t="s">
        <v>9288</v>
      </c>
    </row>
    <row r="702" spans="1:8" x14ac:dyDescent="0.25">
      <c r="A702" s="2" t="s">
        <v>716</v>
      </c>
      <c r="B702" s="3"/>
      <c r="C702" s="3"/>
      <c r="D702" s="3"/>
      <c r="E702" s="4" t="str">
        <f>HYPERLINK("https://dpmzos25m8ivg.cloudfront.net/Documentos/631/02046417720/6310204641772011092023032351.pdf","https://dpmzos25m8ivg.cloudfront.net/Documentos/631/02046417720/6310204641772011092023032351.pdf")</f>
        <v>https://dpmzos25m8ivg.cloudfront.net/Documentos/631/02046417720/6310204641772011092023032351.pdf</v>
      </c>
      <c r="F702" s="5" t="str">
        <f>HYPERLINK("https://dpmzos25m8ivg.cloudfront.net/Documentos/631/02046417720/6310204641772011092023032546.pdf","https://dpmzos25m8ivg.cloudfront.net/Documentos/631/02046417720/6310204641772011092023032546.pdf")</f>
        <v>https://dpmzos25m8ivg.cloudfront.net/Documentos/631/02046417720/6310204641772011092023032546.pdf</v>
      </c>
      <c r="G702" s="5" t="str">
        <f>HYPERLINK("https://dpmzos25m8ivg.cloudfront.net/Documentos/631/02046417720/6310204641772011092023032632.pdf","https://dpmzos25m8ivg.cloudfront.net/Documentos/631/02046417720/6310204641772011092023032632.pdf")</f>
        <v>https://dpmzos25m8ivg.cloudfront.net/Documentos/631/02046417720/6310204641772011092023032632.pdf</v>
      </c>
      <c r="H702" s="4" t="s">
        <v>9289</v>
      </c>
    </row>
    <row r="703" spans="1:8" x14ac:dyDescent="0.25">
      <c r="A703" s="2" t="s">
        <v>717</v>
      </c>
      <c r="B703" s="3"/>
      <c r="C703" s="3"/>
      <c r="D703" s="3"/>
      <c r="E703" s="4" t="str">
        <f>HYPERLINK("https://dpmzos25m8ivg.cloudfront.net/Documentos/631/02048115462/6310204811546207092023172447.pdf","https://dpmzos25m8ivg.cloudfront.net/Documentos/631/02048115462/6310204811546207092023172447.pdf")</f>
        <v>https://dpmzos25m8ivg.cloudfront.net/Documentos/631/02048115462/6310204811546207092023172447.pdf</v>
      </c>
      <c r="F703" s="5" t="str">
        <f>HYPERLINK("https://dpmzos25m8ivg.cloudfront.net/Documentos/631/02048115462/6310204811546207092023172502.pdf","https://dpmzos25m8ivg.cloudfront.net/Documentos/631/02048115462/6310204811546207092023172502.pdf")</f>
        <v>https://dpmzos25m8ivg.cloudfront.net/Documentos/631/02048115462/6310204811546207092023172502.pdf</v>
      </c>
      <c r="G703" s="5" t="str">
        <f>HYPERLINK("https://dpmzos25m8ivg.cloudfront.net/Documentos/631/02048115462/6310204811546207092023172512.pdf","https://dpmzos25m8ivg.cloudfront.net/Documentos/631/02048115462/6310204811546207092023172512.pdf")</f>
        <v>https://dpmzos25m8ivg.cloudfront.net/Documentos/631/02048115462/6310204811546207092023172512.pdf</v>
      </c>
      <c r="H703" s="4" t="s">
        <v>9290</v>
      </c>
    </row>
    <row r="704" spans="1:8" x14ac:dyDescent="0.25">
      <c r="A704" s="2" t="s">
        <v>718</v>
      </c>
      <c r="B704" s="3"/>
      <c r="C704" s="3"/>
      <c r="D704" s="3"/>
      <c r="E704" s="4" t="str">
        <f>HYPERLINK("https://dpmzos25m8ivg.cloudfront.net/Documentos/631/02055479237/6310205547923710092023121121.jpg","https://dpmzos25m8ivg.cloudfront.net/Documentos/631/02055479237/6310205547923710092023121121.jpg")</f>
        <v>https://dpmzos25m8ivg.cloudfront.net/Documentos/631/02055479237/6310205547923710092023121121.jpg</v>
      </c>
      <c r="F704" s="5" t="str">
        <f>HYPERLINK("https://dpmzos25m8ivg.cloudfront.net/Documentos/631/02055479237/6310205547923710092023121141.jpg","https://dpmzos25m8ivg.cloudfront.net/Documentos/631/02055479237/6310205547923710092023121141.jpg")</f>
        <v>https://dpmzos25m8ivg.cloudfront.net/Documentos/631/02055479237/6310205547923710092023121141.jpg</v>
      </c>
      <c r="G704" s="5" t="str">
        <f>HYPERLINK("https://dpmzos25m8ivg.cloudfront.net/Documentos/631/02055479237/6310205547923710092023121158.jpg","https://dpmzos25m8ivg.cloudfront.net/Documentos/631/02055479237/6310205547923710092023121158.jpg")</f>
        <v>https://dpmzos25m8ivg.cloudfront.net/Documentos/631/02055479237/6310205547923710092023121158.jpg</v>
      </c>
      <c r="H704" s="4" t="s">
        <v>9291</v>
      </c>
    </row>
    <row r="705" spans="1:8" x14ac:dyDescent="0.25">
      <c r="A705" s="2" t="s">
        <v>719</v>
      </c>
      <c r="B705" s="3"/>
      <c r="C705" s="3"/>
      <c r="D705" s="3"/>
      <c r="E705" s="4" t="str">
        <f>HYPERLINK("https://dpmzos25m8ivg.cloudfront.net/Documentos/631/02055584103/6310205558410308092023150821.pdf","https://dpmzos25m8ivg.cloudfront.net/Documentos/631/02055584103/6310205558410308092023150821.pdf")</f>
        <v>https://dpmzos25m8ivg.cloudfront.net/Documentos/631/02055584103/6310205558410308092023150821.pdf</v>
      </c>
      <c r="F705" s="5" t="str">
        <f>HYPERLINK("https://dpmzos25m8ivg.cloudfront.net/Documentos/631/02055584103/6310205558410308092023150828.pdf","https://dpmzos25m8ivg.cloudfront.net/Documentos/631/02055584103/6310205558410308092023150828.pdf")</f>
        <v>https://dpmzos25m8ivg.cloudfront.net/Documentos/631/02055584103/6310205558410308092023150828.pdf</v>
      </c>
      <c r="G705" s="5" t="str">
        <f>HYPERLINK("https://dpmzos25m8ivg.cloudfront.net/Documentos/631/02055584103/6310205558410308092023150836.pdf","https://dpmzos25m8ivg.cloudfront.net/Documentos/631/02055584103/6310205558410308092023150836.pdf")</f>
        <v>https://dpmzos25m8ivg.cloudfront.net/Documentos/631/02055584103/6310205558410308092023150836.pdf</v>
      </c>
      <c r="H705" s="4" t="s">
        <v>9292</v>
      </c>
    </row>
    <row r="706" spans="1:8" x14ac:dyDescent="0.25">
      <c r="A706" s="2" t="s">
        <v>720</v>
      </c>
      <c r="B706" s="3"/>
      <c r="C706" s="3"/>
      <c r="D706" s="3"/>
      <c r="E706" s="4" t="str">
        <f>HYPERLINK("https://dpmzos25m8ivg.cloudfront.net/Documentos/631/02056252317/6310205625231710092023214235.pdf","https://dpmzos25m8ivg.cloudfront.net/Documentos/631/02056252317/6310205625231710092023214235.pdf")</f>
        <v>https://dpmzos25m8ivg.cloudfront.net/Documentos/631/02056252317/6310205625231710092023214235.pdf</v>
      </c>
      <c r="F706" s="5" t="str">
        <f>HYPERLINK("https://dpmzos25m8ivg.cloudfront.net/Documentos/631/02056252317/6310205625231710092023214250.pdf","https://dpmzos25m8ivg.cloudfront.net/Documentos/631/02056252317/6310205625231710092023214250.pdf")</f>
        <v>https://dpmzos25m8ivg.cloudfront.net/Documentos/631/02056252317/6310205625231710092023214250.pdf</v>
      </c>
      <c r="G706" s="5" t="str">
        <f>HYPERLINK("https://dpmzos25m8ivg.cloudfront.net/Documentos/631/02056252317/6310205625231710092023214258.pdf","https://dpmzos25m8ivg.cloudfront.net/Documentos/631/02056252317/6310205625231710092023214258.pdf")</f>
        <v>https://dpmzos25m8ivg.cloudfront.net/Documentos/631/02056252317/6310205625231710092023214258.pdf</v>
      </c>
      <c r="H706" s="4" t="s">
        <v>9293</v>
      </c>
    </row>
    <row r="707" spans="1:8" x14ac:dyDescent="0.25">
      <c r="A707" s="2" t="s">
        <v>721</v>
      </c>
      <c r="B707" s="3"/>
      <c r="C707" s="3"/>
      <c r="D707" s="3"/>
      <c r="E707" s="4" t="str">
        <f>HYPERLINK("https://dpmzos25m8ivg.cloudfront.net/Documentos/631/02056507323/6310205650732314092023141659.jpg","https://dpmzos25m8ivg.cloudfront.net/Documentos/631/02056507323/6310205650732314092023141659.jpg")</f>
        <v>https://dpmzos25m8ivg.cloudfront.net/Documentos/631/02056507323/6310205650732314092023141659.jpg</v>
      </c>
      <c r="F707" s="5" t="str">
        <f>HYPERLINK("https://dpmzos25m8ivg.cloudfront.net/Documentos/631/02056507323/6310205650732314092023141718.jpg","https://dpmzos25m8ivg.cloudfront.net/Documentos/631/02056507323/6310205650732314092023141718.jpg")</f>
        <v>https://dpmzos25m8ivg.cloudfront.net/Documentos/631/02056507323/6310205650732314092023141718.jpg</v>
      </c>
      <c r="G707" s="5" t="str">
        <f>HYPERLINK("https://dpmzos25m8ivg.cloudfront.net/Documentos/631/02056507323/6310205650732314092023141738.jpg","https://dpmzos25m8ivg.cloudfront.net/Documentos/631/02056507323/6310205650732314092023141738.jpg")</f>
        <v>https://dpmzos25m8ivg.cloudfront.net/Documentos/631/02056507323/6310205650732314092023141738.jpg</v>
      </c>
      <c r="H707" s="4" t="s">
        <v>9294</v>
      </c>
    </row>
    <row r="708" spans="1:8" x14ac:dyDescent="0.25">
      <c r="A708" s="2" t="s">
        <v>722</v>
      </c>
      <c r="B708" s="3"/>
      <c r="C708" s="3"/>
      <c r="D708" s="3"/>
      <c r="E708" s="4" t="str">
        <f>HYPERLINK("https://dpmzos25m8ivg.cloudfront.net/Documentos/631/02058044380/6310205804438014092023073505.jpg","https://dpmzos25m8ivg.cloudfront.net/Documentos/631/02058044380/6310205804438014092023073505.jpg")</f>
        <v>https://dpmzos25m8ivg.cloudfront.net/Documentos/631/02058044380/6310205804438014092023073505.jpg</v>
      </c>
      <c r="F708" s="5" t="str">
        <f>HYPERLINK("https://dpmzos25m8ivg.cloudfront.net/Documentos/631/02058044380/6310205804438014092023073545.jpg","https://dpmzos25m8ivg.cloudfront.net/Documentos/631/02058044380/6310205804438014092023073545.jpg")</f>
        <v>https://dpmzos25m8ivg.cloudfront.net/Documentos/631/02058044380/6310205804438014092023073545.jpg</v>
      </c>
      <c r="G708" s="5" t="str">
        <f>HYPERLINK("https://dpmzos25m8ivg.cloudfront.net/Documentos/631/02058044380/6310205804438014092023073616.jpg","https://dpmzos25m8ivg.cloudfront.net/Documentos/631/02058044380/6310205804438014092023073616.jpg")</f>
        <v>https://dpmzos25m8ivg.cloudfront.net/Documentos/631/02058044380/6310205804438014092023073616.jpg</v>
      </c>
      <c r="H708" s="4" t="s">
        <v>9295</v>
      </c>
    </row>
    <row r="709" spans="1:8" x14ac:dyDescent="0.25">
      <c r="A709" s="2" t="s">
        <v>723</v>
      </c>
      <c r="B709" s="3" t="s">
        <v>8</v>
      </c>
      <c r="C709" s="3"/>
      <c r="D709" s="3"/>
      <c r="E709" s="4" t="str">
        <f>HYPERLINK("https://dpmzos25m8ivg.cloudfront.net/Documentos/631/02058160614/6310205816061404092023222927.pdf","https://dpmzos25m8ivg.cloudfront.net/Documentos/631/02058160614/6310205816061404092023222927.pdf")</f>
        <v>https://dpmzos25m8ivg.cloudfront.net/Documentos/631/02058160614/6310205816061404092023222927.pdf</v>
      </c>
      <c r="F709" s="5" t="str">
        <f>HYPERLINK("https://dpmzos25m8ivg.cloudfront.net/Documentos/631/02058160614/6310205816061404092023223335.pdf","https://dpmzos25m8ivg.cloudfront.net/Documentos/631/02058160614/6310205816061404092023223335.pdf")</f>
        <v>https://dpmzos25m8ivg.cloudfront.net/Documentos/631/02058160614/6310205816061404092023223335.pdf</v>
      </c>
      <c r="G709" s="5" t="str">
        <f>HYPERLINK("https://dpmzos25m8ivg.cloudfront.net/Documentos/631/02058160614/6310205816061404092023223935.pdf","https://dpmzos25m8ivg.cloudfront.net/Documentos/631/02058160614/6310205816061404092023223935.pdf")</f>
        <v>https://dpmzos25m8ivg.cloudfront.net/Documentos/631/02058160614/6310205816061404092023223935.pdf</v>
      </c>
      <c r="H709" s="4" t="s">
        <v>9296</v>
      </c>
    </row>
    <row r="710" spans="1:8" x14ac:dyDescent="0.25">
      <c r="A710" s="2" t="s">
        <v>724</v>
      </c>
      <c r="B710" s="3"/>
      <c r="C710" s="3"/>
      <c r="D710" s="3"/>
      <c r="E710" s="4" t="str">
        <f>HYPERLINK("https://dpmzos25m8ivg.cloudfront.net/Documentos/631/02060602629/6310206060262910092023190025.pdf","https://dpmzos25m8ivg.cloudfront.net/Documentos/631/02060602629/6310206060262910092023190025.pdf")</f>
        <v>https://dpmzos25m8ivg.cloudfront.net/Documentos/631/02060602629/6310206060262910092023190025.pdf</v>
      </c>
      <c r="F710" s="5" t="str">
        <f>HYPERLINK("https://dpmzos25m8ivg.cloudfront.net/Documentos/631/02060602629/6310206060262910092023190039.pdf","https://dpmzos25m8ivg.cloudfront.net/Documentos/631/02060602629/6310206060262910092023190039.pdf")</f>
        <v>https://dpmzos25m8ivg.cloudfront.net/Documentos/631/02060602629/6310206060262910092023190039.pdf</v>
      </c>
      <c r="G710" s="5" t="str">
        <f>HYPERLINK("https://dpmzos25m8ivg.cloudfront.net/Documentos/631/02060602629/6310206060262910092023190050.pdf","https://dpmzos25m8ivg.cloudfront.net/Documentos/631/02060602629/6310206060262910092023190050.pdf")</f>
        <v>https://dpmzos25m8ivg.cloudfront.net/Documentos/631/02060602629/6310206060262910092023190050.pdf</v>
      </c>
      <c r="H710" s="4" t="s">
        <v>9297</v>
      </c>
    </row>
    <row r="711" spans="1:8" x14ac:dyDescent="0.25">
      <c r="A711" s="2" t="s">
        <v>725</v>
      </c>
      <c r="B711" s="3"/>
      <c r="C711" s="3"/>
      <c r="D711" s="3"/>
      <c r="E711" s="4" t="str">
        <f>HYPERLINK("https://dpmzos25m8ivg.cloudfront.net/Documentos/631/02067610236/6310206761023608092023122708.pdf","https://dpmzos25m8ivg.cloudfront.net/Documentos/631/02067610236/6310206761023608092023122708.pdf")</f>
        <v>https://dpmzos25m8ivg.cloudfront.net/Documentos/631/02067610236/6310206761023608092023122708.pdf</v>
      </c>
      <c r="F711" s="5" t="str">
        <f>HYPERLINK("https://dpmzos25m8ivg.cloudfront.net/Documentos/631/02067610236/6310206761023608092023122753.pdf","https://dpmzos25m8ivg.cloudfront.net/Documentos/631/02067610236/6310206761023608092023122753.pdf")</f>
        <v>https://dpmzos25m8ivg.cloudfront.net/Documentos/631/02067610236/6310206761023608092023122753.pdf</v>
      </c>
      <c r="G711" s="5" t="str">
        <f>HYPERLINK("https://dpmzos25m8ivg.cloudfront.net/Documentos/631/02067610236/6310206761023608092023122815.pdf","https://dpmzos25m8ivg.cloudfront.net/Documentos/631/02067610236/6310206761023608092023122815.pdf")</f>
        <v>https://dpmzos25m8ivg.cloudfront.net/Documentos/631/02067610236/6310206761023608092023122815.pdf</v>
      </c>
      <c r="H711" s="4" t="s">
        <v>9298</v>
      </c>
    </row>
    <row r="712" spans="1:8" x14ac:dyDescent="0.25">
      <c r="A712" s="2" t="s">
        <v>726</v>
      </c>
      <c r="B712" s="3"/>
      <c r="C712" s="3"/>
      <c r="D712" s="3"/>
      <c r="E712" s="4" t="str">
        <f>HYPERLINK("https://dpmzos25m8ivg.cloudfront.net/Documentos/631/02069519147/6310206951914711092023140821.pdf","https://dpmzos25m8ivg.cloudfront.net/Documentos/631/02069519147/6310206951914711092023140821.pdf")</f>
        <v>https://dpmzos25m8ivg.cloudfront.net/Documentos/631/02069519147/6310206951914711092023140821.pdf</v>
      </c>
      <c r="F712" s="5" t="str">
        <f>HYPERLINK("https://dpmzos25m8ivg.cloudfront.net/Documentos/631/02069519147/6310206951914711092023140835.pdf","https://dpmzos25m8ivg.cloudfront.net/Documentos/631/02069519147/6310206951914711092023140835.pdf")</f>
        <v>https://dpmzos25m8ivg.cloudfront.net/Documentos/631/02069519147/6310206951914711092023140835.pdf</v>
      </c>
      <c r="G712" s="5" t="str">
        <f>HYPERLINK("https://dpmzos25m8ivg.cloudfront.net/Documentos/631/02069519147/6310206951914711092023140847.pdf","https://dpmzos25m8ivg.cloudfront.net/Documentos/631/02069519147/6310206951914711092023140847.pdf")</f>
        <v>https://dpmzos25m8ivg.cloudfront.net/Documentos/631/02069519147/6310206951914711092023140847.pdf</v>
      </c>
      <c r="H712" s="4" t="s">
        <v>9299</v>
      </c>
    </row>
    <row r="713" spans="1:8" x14ac:dyDescent="0.25">
      <c r="A713" s="2" t="s">
        <v>727</v>
      </c>
      <c r="B713" s="3"/>
      <c r="C713" s="3"/>
      <c r="D713" s="3"/>
      <c r="E713" s="4" t="str">
        <f>HYPERLINK("https://dpmzos25m8ivg.cloudfront.net/Documentos/631/02070341178/6310207034117805092023182442.pdf","https://dpmzos25m8ivg.cloudfront.net/Documentos/631/02070341178/6310207034117805092023182442.pdf")</f>
        <v>https://dpmzos25m8ivg.cloudfront.net/Documentos/631/02070341178/6310207034117805092023182442.pdf</v>
      </c>
      <c r="F713" s="5" t="str">
        <f>HYPERLINK("https://dpmzos25m8ivg.cloudfront.net/Documentos/631/02070341178/6310207034117805092023182515.pdf","https://dpmzos25m8ivg.cloudfront.net/Documentos/631/02070341178/6310207034117805092023182515.pdf")</f>
        <v>https://dpmzos25m8ivg.cloudfront.net/Documentos/631/02070341178/6310207034117805092023182515.pdf</v>
      </c>
      <c r="G713" s="5" t="str">
        <f>HYPERLINK("https://dpmzos25m8ivg.cloudfront.net/Documentos/631/02070341178/6310207034117805092023182538.pdf","https://dpmzos25m8ivg.cloudfront.net/Documentos/631/02070341178/6310207034117805092023182538.pdf")</f>
        <v>https://dpmzos25m8ivg.cloudfront.net/Documentos/631/02070341178/6310207034117805092023182538.pdf</v>
      </c>
      <c r="H713" s="4" t="s">
        <v>9300</v>
      </c>
    </row>
    <row r="714" spans="1:8" x14ac:dyDescent="0.25">
      <c r="A714" s="2" t="s">
        <v>728</v>
      </c>
      <c r="B714" s="3" t="s">
        <v>90</v>
      </c>
      <c r="C714" s="3"/>
      <c r="D714" s="3"/>
      <c r="E714" s="4" t="str">
        <f>HYPERLINK("https://dpmzos25m8ivg.cloudfront.net/Documentos/631/02071764692/6310207176469213092023215637.pdf","https://dpmzos25m8ivg.cloudfront.net/Documentos/631/02071764692/6310207176469213092023215637.pdf")</f>
        <v>https://dpmzos25m8ivg.cloudfront.net/Documentos/631/02071764692/6310207176469213092023215637.pdf</v>
      </c>
      <c r="F714" s="5" t="str">
        <f>HYPERLINK("https://dpmzos25m8ivg.cloudfront.net/Documentos/631/02071764692/6310207176469213092023215656.pdf","https://dpmzos25m8ivg.cloudfront.net/Documentos/631/02071764692/6310207176469213092023215656.pdf")</f>
        <v>https://dpmzos25m8ivg.cloudfront.net/Documentos/631/02071764692/6310207176469213092023215656.pdf</v>
      </c>
      <c r="G714" s="5" t="str">
        <f>HYPERLINK("https://dpmzos25m8ivg.cloudfront.net/Documentos/631/02071764692/6310207176469213092023215727.pdf","https://dpmzos25m8ivg.cloudfront.net/Documentos/631/02071764692/6310207176469213092023215727.pdf")</f>
        <v>https://dpmzos25m8ivg.cloudfront.net/Documentos/631/02071764692/6310207176469213092023215727.pdf</v>
      </c>
      <c r="H714" s="4" t="s">
        <v>9301</v>
      </c>
    </row>
    <row r="715" spans="1:8" x14ac:dyDescent="0.25">
      <c r="A715" s="2" t="s">
        <v>729</v>
      </c>
      <c r="B715" s="3"/>
      <c r="C715" s="3"/>
      <c r="D715" s="3"/>
      <c r="E715" s="4" t="str">
        <f>HYPERLINK("https://dpmzos25m8ivg.cloudfront.net/Documentos/631/02074476671/6310207447667111092023134823.jpg","https://dpmzos25m8ivg.cloudfront.net/Documentos/631/02074476671/6310207447667111092023134823.jpg")</f>
        <v>https://dpmzos25m8ivg.cloudfront.net/Documentos/631/02074476671/6310207447667111092023134823.jpg</v>
      </c>
      <c r="F715" s="5" t="str">
        <f>HYPERLINK("https://dpmzos25m8ivg.cloudfront.net/Documentos/631/02074476671/6310207447667111092023134835.jpg","https://dpmzos25m8ivg.cloudfront.net/Documentos/631/02074476671/6310207447667111092023134835.jpg")</f>
        <v>https://dpmzos25m8ivg.cloudfront.net/Documentos/631/02074476671/6310207447667111092023134835.jpg</v>
      </c>
      <c r="G715" s="5" t="str">
        <f>HYPERLINK("https://dpmzos25m8ivg.cloudfront.net/Documentos/631/02074476671/6310207447667111092023134843.jpg","https://dpmzos25m8ivg.cloudfront.net/Documentos/631/02074476671/6310207447667111092023134843.jpg")</f>
        <v>https://dpmzos25m8ivg.cloudfront.net/Documentos/631/02074476671/6310207447667111092023134843.jpg</v>
      </c>
      <c r="H715" s="4" t="s">
        <v>9302</v>
      </c>
    </row>
    <row r="716" spans="1:8" x14ac:dyDescent="0.25">
      <c r="A716" s="2" t="s">
        <v>730</v>
      </c>
      <c r="B716" s="3"/>
      <c r="C716" s="3"/>
      <c r="D716" s="3"/>
      <c r="E716" s="4" t="str">
        <f>HYPERLINK("https://dpmzos25m8ivg.cloudfront.net/Documentos/631/02079951505/6310207995150510092023001713.pdf","https://dpmzos25m8ivg.cloudfront.net/Documentos/631/02079951505/6310207995150510092023001713.pdf")</f>
        <v>https://dpmzos25m8ivg.cloudfront.net/Documentos/631/02079951505/6310207995150510092023001713.pdf</v>
      </c>
      <c r="F716" s="5" t="str">
        <f>HYPERLINK("https://dpmzos25m8ivg.cloudfront.net/Documentos/631/02079951505/6310207995150510092023001746.pdf","https://dpmzos25m8ivg.cloudfront.net/Documentos/631/02079951505/6310207995150510092023001746.pdf")</f>
        <v>https://dpmzos25m8ivg.cloudfront.net/Documentos/631/02079951505/6310207995150510092023001746.pdf</v>
      </c>
      <c r="G716" s="5" t="str">
        <f>HYPERLINK("https://dpmzos25m8ivg.cloudfront.net/Documentos/631/02079951505/6310207995150510092023001819.pdf","https://dpmzos25m8ivg.cloudfront.net/Documentos/631/02079951505/6310207995150510092023001819.pdf")</f>
        <v>https://dpmzos25m8ivg.cloudfront.net/Documentos/631/02079951505/6310207995150510092023001819.pdf</v>
      </c>
      <c r="H716" s="4" t="s">
        <v>9303</v>
      </c>
    </row>
    <row r="717" spans="1:8" x14ac:dyDescent="0.25">
      <c r="A717" s="2" t="s">
        <v>731</v>
      </c>
      <c r="B717" s="3"/>
      <c r="C717" s="3"/>
      <c r="D717" s="3"/>
      <c r="E717" s="4" t="str">
        <f>HYPERLINK("https://dpmzos25m8ivg.cloudfront.net/Documentos/631/02080995227/6310208099522713092023162612.jpg","https://dpmzos25m8ivg.cloudfront.net/Documentos/631/02080995227/6310208099522713092023162612.jpg")</f>
        <v>https://dpmzos25m8ivg.cloudfront.net/Documentos/631/02080995227/6310208099522713092023162612.jpg</v>
      </c>
      <c r="F717" s="5" t="str">
        <f>HYPERLINK("https://dpmzos25m8ivg.cloudfront.net/Documentos/631/02080995227/6310208099522713092023162628.jpg","https://dpmzos25m8ivg.cloudfront.net/Documentos/631/02080995227/6310208099522713092023162628.jpg")</f>
        <v>https://dpmzos25m8ivg.cloudfront.net/Documentos/631/02080995227/6310208099522713092023162628.jpg</v>
      </c>
      <c r="G717" s="5" t="str">
        <f>HYPERLINK("https://dpmzos25m8ivg.cloudfront.net/Documentos/631/02080995227/6310208099522713092023162650.jpg","https://dpmzos25m8ivg.cloudfront.net/Documentos/631/02080995227/6310208099522713092023162650.jpg")</f>
        <v>https://dpmzos25m8ivg.cloudfront.net/Documentos/631/02080995227/6310208099522713092023162650.jpg</v>
      </c>
      <c r="H717" s="4" t="s">
        <v>9304</v>
      </c>
    </row>
    <row r="718" spans="1:8" x14ac:dyDescent="0.25">
      <c r="A718" s="2" t="s">
        <v>732</v>
      </c>
      <c r="B718" s="3" t="s">
        <v>90</v>
      </c>
      <c r="C718" s="3"/>
      <c r="D718" s="3"/>
      <c r="E718" s="4" t="str">
        <f>HYPERLINK("https://dpmzos25m8ivg.cloudfront.net/Documentos/631/02083138341/6310208313834107092023231848.pdf","https://dpmzos25m8ivg.cloudfront.net/Documentos/631/02083138341/6310208313834107092023231848.pdf")</f>
        <v>https://dpmzos25m8ivg.cloudfront.net/Documentos/631/02083138341/6310208313834107092023231848.pdf</v>
      </c>
      <c r="F718" s="5" t="str">
        <f>HYPERLINK("https://dpmzos25m8ivg.cloudfront.net/Documentos/631/02083138341/6310208313834107092023231914.pdf","https://dpmzos25m8ivg.cloudfront.net/Documentos/631/02083138341/6310208313834107092023231914.pdf")</f>
        <v>https://dpmzos25m8ivg.cloudfront.net/Documentos/631/02083138341/6310208313834107092023231914.pdf</v>
      </c>
      <c r="G718" s="5" t="str">
        <f>HYPERLINK("https://dpmzos25m8ivg.cloudfront.net/Documentos/631/02083138341/6310208313834107092023231932.pdf","https://dpmzos25m8ivg.cloudfront.net/Documentos/631/02083138341/6310208313834107092023231932.pdf")</f>
        <v>https://dpmzos25m8ivg.cloudfront.net/Documentos/631/02083138341/6310208313834107092023231932.pdf</v>
      </c>
      <c r="H718" s="4" t="s">
        <v>9305</v>
      </c>
    </row>
    <row r="719" spans="1:8" x14ac:dyDescent="0.25">
      <c r="A719" s="2" t="s">
        <v>733</v>
      </c>
      <c r="B719" s="3"/>
      <c r="C719" s="3"/>
      <c r="D719" s="3"/>
      <c r="E719" s="4" t="str">
        <f>HYPERLINK("https://dpmzos25m8ivg.cloudfront.net/Documentos/631/02083818130/6310208381813011092023134218.jpeg","https://dpmzos25m8ivg.cloudfront.net/Documentos/631/02083818130/6310208381813011092023134218.jpeg")</f>
        <v>https://dpmzos25m8ivg.cloudfront.net/Documentos/631/02083818130/6310208381813011092023134218.jpeg</v>
      </c>
      <c r="F719" s="5" t="str">
        <f>HYPERLINK("https://dpmzos25m8ivg.cloudfront.net/Documentos/631/02083818130/6310208381813011092023134245.jpeg","https://dpmzos25m8ivg.cloudfront.net/Documentos/631/02083818130/6310208381813011092023134245.jpeg")</f>
        <v>https://dpmzos25m8ivg.cloudfront.net/Documentos/631/02083818130/6310208381813011092023134245.jpeg</v>
      </c>
      <c r="G719" s="5" t="str">
        <f>HYPERLINK("https://dpmzos25m8ivg.cloudfront.net/Documentos/631/02083818130/6310208381813011092023134300.jpeg","https://dpmzos25m8ivg.cloudfront.net/Documentos/631/02083818130/6310208381813011092023134300.jpeg")</f>
        <v>https://dpmzos25m8ivg.cloudfront.net/Documentos/631/02083818130/6310208381813011092023134300.jpeg</v>
      </c>
      <c r="H719" s="4" t="s">
        <v>9306</v>
      </c>
    </row>
    <row r="720" spans="1:8" x14ac:dyDescent="0.25">
      <c r="A720" s="2" t="s">
        <v>734</v>
      </c>
      <c r="B720" s="3"/>
      <c r="C720" s="3"/>
      <c r="D720" s="3"/>
      <c r="E720" s="4" t="str">
        <f>HYPERLINK("https://dpmzos25m8ivg.cloudfront.net/Documentos/631/02086955596/6310208695559610092023185454.pdf","https://dpmzos25m8ivg.cloudfront.net/Documentos/631/02086955596/6310208695559610092023185454.pdf")</f>
        <v>https://dpmzos25m8ivg.cloudfront.net/Documentos/631/02086955596/6310208695559610092023185454.pdf</v>
      </c>
      <c r="F720" s="5" t="str">
        <f>HYPERLINK("https://dpmzos25m8ivg.cloudfront.net/Documentos/631/02086955596/6310208695559610092023185506.pdf","https://dpmzos25m8ivg.cloudfront.net/Documentos/631/02086955596/6310208695559610092023185506.pdf")</f>
        <v>https://dpmzos25m8ivg.cloudfront.net/Documentos/631/02086955596/6310208695559610092023185506.pdf</v>
      </c>
      <c r="G720" s="5" t="str">
        <f>HYPERLINK("https://dpmzos25m8ivg.cloudfront.net/Documentos/631/02086955596/6310208695559610092023185519.pdf","https://dpmzos25m8ivg.cloudfront.net/Documentos/631/02086955596/6310208695559610092023185519.pdf")</f>
        <v>https://dpmzos25m8ivg.cloudfront.net/Documentos/631/02086955596/6310208695559610092023185519.pdf</v>
      </c>
      <c r="H720" s="4" t="s">
        <v>9307</v>
      </c>
    </row>
    <row r="721" spans="1:8" x14ac:dyDescent="0.25">
      <c r="A721" s="2" t="s">
        <v>735</v>
      </c>
      <c r="B721" s="3"/>
      <c r="C721" s="3"/>
      <c r="D721" s="3"/>
      <c r="E721" s="4" t="str">
        <f>HYPERLINK("https://dpmzos25m8ivg.cloudfront.net/Documentos/631/02089940255/6310208994025514092023073802.jpg","https://dpmzos25m8ivg.cloudfront.net/Documentos/631/02089940255/6310208994025514092023073802.jpg")</f>
        <v>https://dpmzos25m8ivg.cloudfront.net/Documentos/631/02089940255/6310208994025514092023073802.jpg</v>
      </c>
      <c r="F721" s="5" t="str">
        <f>HYPERLINK("https://dpmzos25m8ivg.cloudfront.net/Documentos/631/02089940255/6310208994025514092023073913.jpg","https://dpmzos25m8ivg.cloudfront.net/Documentos/631/02089940255/6310208994025514092023073913.jpg")</f>
        <v>https://dpmzos25m8ivg.cloudfront.net/Documentos/631/02089940255/6310208994025514092023073913.jpg</v>
      </c>
      <c r="G721" s="5" t="str">
        <f>HYPERLINK("https://dpmzos25m8ivg.cloudfront.net/Documentos/631/02089940255/6310208994025514092023073951.jpg","https://dpmzos25m8ivg.cloudfront.net/Documentos/631/02089940255/6310208994025514092023073951.jpg")</f>
        <v>https://dpmzos25m8ivg.cloudfront.net/Documentos/631/02089940255/6310208994025514092023073951.jpg</v>
      </c>
      <c r="H721" s="4" t="s">
        <v>9308</v>
      </c>
    </row>
    <row r="722" spans="1:8" x14ac:dyDescent="0.25">
      <c r="A722" s="2" t="s">
        <v>736</v>
      </c>
      <c r="B722" s="3"/>
      <c r="C722" s="3"/>
      <c r="D722" s="3"/>
      <c r="E722" s="4" t="str">
        <f>HYPERLINK("https://dpmzos25m8ivg.cloudfront.net/Documentos/631/02094857018/6310209485701805092023132608.pdf","https://dpmzos25m8ivg.cloudfront.net/Documentos/631/02094857018/6310209485701805092023132608.pdf")</f>
        <v>https://dpmzos25m8ivg.cloudfront.net/Documentos/631/02094857018/6310209485701805092023132608.pdf</v>
      </c>
      <c r="F722" s="5" t="str">
        <f>HYPERLINK("https://dpmzos25m8ivg.cloudfront.net/Documentos/631/02094857018/6310209485701805092023132621.pdf","https://dpmzos25m8ivg.cloudfront.net/Documentos/631/02094857018/6310209485701805092023132621.pdf")</f>
        <v>https://dpmzos25m8ivg.cloudfront.net/Documentos/631/02094857018/6310209485701805092023132621.pdf</v>
      </c>
      <c r="G722" s="5" t="str">
        <f>HYPERLINK("https://dpmzos25m8ivg.cloudfront.net/Documentos/631/02094857018/6310209485701805092023132634.pdf","https://dpmzos25m8ivg.cloudfront.net/Documentos/631/02094857018/6310209485701805092023132634.pdf")</f>
        <v>https://dpmzos25m8ivg.cloudfront.net/Documentos/631/02094857018/6310209485701805092023132634.pdf</v>
      </c>
      <c r="H722" s="4" t="s">
        <v>9309</v>
      </c>
    </row>
    <row r="723" spans="1:8" x14ac:dyDescent="0.25">
      <c r="A723" s="2" t="s">
        <v>737</v>
      </c>
      <c r="B723" s="3"/>
      <c r="C723" s="3"/>
      <c r="D723" s="3"/>
      <c r="E723" s="4" t="str">
        <f>HYPERLINK("https://dpmzos25m8ivg.cloudfront.net/Documentos/631/02096788609/6310209678860906092023125248.jpg","https://dpmzos25m8ivg.cloudfront.net/Documentos/631/02096788609/6310209678860906092023125248.jpg")</f>
        <v>https://dpmzos25m8ivg.cloudfront.net/Documentos/631/02096788609/6310209678860906092023125248.jpg</v>
      </c>
      <c r="F723" s="5" t="str">
        <f>HYPERLINK("https://dpmzos25m8ivg.cloudfront.net/Documentos/631/02096788609/6310209678860906092023125432.jpg","https://dpmzos25m8ivg.cloudfront.net/Documentos/631/02096788609/6310209678860906092023125432.jpg")</f>
        <v>https://dpmzos25m8ivg.cloudfront.net/Documentos/631/02096788609/6310209678860906092023125432.jpg</v>
      </c>
      <c r="G723" s="5" t="str">
        <f>HYPERLINK("https://dpmzos25m8ivg.cloudfront.net/Documentos/631/02096788609/6310209678860906092023125512.jpg","https://dpmzos25m8ivg.cloudfront.net/Documentos/631/02096788609/6310209678860906092023125512.jpg")</f>
        <v>https://dpmzos25m8ivg.cloudfront.net/Documentos/631/02096788609/6310209678860906092023125512.jpg</v>
      </c>
      <c r="H723" s="4" t="s">
        <v>9310</v>
      </c>
    </row>
    <row r="724" spans="1:8" x14ac:dyDescent="0.25">
      <c r="A724" s="2" t="s">
        <v>738</v>
      </c>
      <c r="B724" s="3"/>
      <c r="C724" s="3"/>
      <c r="D724" s="3"/>
      <c r="E724" s="4" t="str">
        <f>HYPERLINK("https://dpmzos25m8ivg.cloudfront.net/Documentos/631/02099687102/6310209968710208092023121034.jpeg","https://dpmzos25m8ivg.cloudfront.net/Documentos/631/02099687102/6310209968710208092023121034.jpeg")</f>
        <v>https://dpmzos25m8ivg.cloudfront.net/Documentos/631/02099687102/6310209968710208092023121034.jpeg</v>
      </c>
      <c r="F724" s="5" t="str">
        <f>HYPERLINK("https://dpmzos25m8ivg.cloudfront.net/Documentos/631/02099687102/6310209968710208092023121044.jpeg","https://dpmzos25m8ivg.cloudfront.net/Documentos/631/02099687102/6310209968710208092023121044.jpeg")</f>
        <v>https://dpmzos25m8ivg.cloudfront.net/Documentos/631/02099687102/6310209968710208092023121044.jpeg</v>
      </c>
      <c r="G724" s="5" t="str">
        <f>HYPERLINK("https://dpmzos25m8ivg.cloudfront.net/Documentos/631/02099687102/6310209968710208092023121055.jpeg","https://dpmzos25m8ivg.cloudfront.net/Documentos/631/02099687102/6310209968710208092023121055.jpeg")</f>
        <v>https://dpmzos25m8ivg.cloudfront.net/Documentos/631/02099687102/6310209968710208092023121055.jpeg</v>
      </c>
      <c r="H724" s="4" t="s">
        <v>9311</v>
      </c>
    </row>
    <row r="725" spans="1:8" x14ac:dyDescent="0.25">
      <c r="A725" s="2" t="s">
        <v>739</v>
      </c>
      <c r="B725" s="3"/>
      <c r="C725" s="3"/>
      <c r="D725" s="3"/>
      <c r="E725" s="4" t="str">
        <f>HYPERLINK("https://dpmzos25m8ivg.cloudfront.net/Documentos/631/02100492276/6310210049227606092023195525.pdf","https://dpmzos25m8ivg.cloudfront.net/Documentos/631/02100492276/6310210049227606092023195525.pdf")</f>
        <v>https://dpmzos25m8ivg.cloudfront.net/Documentos/631/02100492276/6310210049227606092023195525.pdf</v>
      </c>
      <c r="F725" s="5" t="str">
        <f>HYPERLINK("https://dpmzos25m8ivg.cloudfront.net/Documentos/631/02100492276/6310210049227606092023195557.pdf","https://dpmzos25m8ivg.cloudfront.net/Documentos/631/02100492276/6310210049227606092023195557.pdf")</f>
        <v>https://dpmzos25m8ivg.cloudfront.net/Documentos/631/02100492276/6310210049227606092023195557.pdf</v>
      </c>
      <c r="G725" s="5" t="str">
        <f>HYPERLINK("https://dpmzos25m8ivg.cloudfront.net/Documentos/631/02100492276/6310210049227606092023195625.pdf","https://dpmzos25m8ivg.cloudfront.net/Documentos/631/02100492276/6310210049227606092023195625.pdf")</f>
        <v>https://dpmzos25m8ivg.cloudfront.net/Documentos/631/02100492276/6310210049227606092023195625.pdf</v>
      </c>
      <c r="H725" s="4" t="s">
        <v>9312</v>
      </c>
    </row>
    <row r="726" spans="1:8" x14ac:dyDescent="0.25">
      <c r="A726" s="2" t="s">
        <v>740</v>
      </c>
      <c r="B726" s="3"/>
      <c r="C726" s="3"/>
      <c r="D726" s="3"/>
      <c r="E726" s="4" t="str">
        <f>HYPERLINK("https://dpmzos25m8ivg.cloudfront.net/Documentos/631/02102907147/6310210290714711092023143106.pdf","https://dpmzos25m8ivg.cloudfront.net/Documentos/631/02102907147/6310210290714711092023143106.pdf")</f>
        <v>https://dpmzos25m8ivg.cloudfront.net/Documentos/631/02102907147/6310210290714711092023143106.pdf</v>
      </c>
      <c r="F726" s="5" t="str">
        <f>HYPERLINK("https://dpmzos25m8ivg.cloudfront.net/Documentos/631/02102907147/6310210290714711092023143155.pdf","https://dpmzos25m8ivg.cloudfront.net/Documentos/631/02102907147/6310210290714711092023143155.pdf")</f>
        <v>https://dpmzos25m8ivg.cloudfront.net/Documentos/631/02102907147/6310210290714711092023143155.pdf</v>
      </c>
      <c r="G726" s="5" t="str">
        <f>HYPERLINK("https://dpmzos25m8ivg.cloudfront.net/Documentos/631/02102907147/6310210290714711092023143241.pdf","https://dpmzos25m8ivg.cloudfront.net/Documentos/631/02102907147/6310210290714711092023143241.pdf")</f>
        <v>https://dpmzos25m8ivg.cloudfront.net/Documentos/631/02102907147/6310210290714711092023143241.pdf</v>
      </c>
      <c r="H726" s="4" t="s">
        <v>9313</v>
      </c>
    </row>
    <row r="727" spans="1:8" x14ac:dyDescent="0.25">
      <c r="A727" s="2" t="s">
        <v>741</v>
      </c>
      <c r="B727" s="3"/>
      <c r="C727" s="3"/>
      <c r="D727" s="3"/>
      <c r="E727" s="4" t="str">
        <f>HYPERLINK("https://dpmzos25m8ivg.cloudfront.net/Documentos/631/02102914518/6310210291451811092023034344.jpeg","https://dpmzos25m8ivg.cloudfront.net/Documentos/631/02102914518/6310210291451811092023034344.jpeg")</f>
        <v>https://dpmzos25m8ivg.cloudfront.net/Documentos/631/02102914518/6310210291451811092023034344.jpeg</v>
      </c>
      <c r="F727" s="5" t="str">
        <f>HYPERLINK("https://dpmzos25m8ivg.cloudfront.net/Documentos/631/02102914518/6310210291451811092023034355.jpeg","https://dpmzos25m8ivg.cloudfront.net/Documentos/631/02102914518/6310210291451811092023034355.jpeg")</f>
        <v>https://dpmzos25m8ivg.cloudfront.net/Documentos/631/02102914518/6310210291451811092023034355.jpeg</v>
      </c>
      <c r="G727" s="5" t="str">
        <f>HYPERLINK("https://dpmzos25m8ivg.cloudfront.net/Documentos/631/02102914518/6310210291451811092023034405.jpeg","https://dpmzos25m8ivg.cloudfront.net/Documentos/631/02102914518/6310210291451811092023034405.jpeg")</f>
        <v>https://dpmzos25m8ivg.cloudfront.net/Documentos/631/02102914518/6310210291451811092023034405.jpeg</v>
      </c>
      <c r="H727" s="4" t="s">
        <v>9314</v>
      </c>
    </row>
    <row r="728" spans="1:8" x14ac:dyDescent="0.25">
      <c r="A728" s="2" t="s">
        <v>742</v>
      </c>
      <c r="B728" s="3"/>
      <c r="C728" s="3"/>
      <c r="D728" s="3"/>
      <c r="E728" s="4" t="str">
        <f>HYPERLINK("https://dpmzos25m8ivg.cloudfront.net/Documentos/631/02103102860/6310210310286010092023114609.pdf","https://dpmzos25m8ivg.cloudfront.net/Documentos/631/02103102860/6310210310286010092023114609.pdf")</f>
        <v>https://dpmzos25m8ivg.cloudfront.net/Documentos/631/02103102860/6310210310286010092023114609.pdf</v>
      </c>
      <c r="F728" s="5" t="str">
        <f>HYPERLINK("https://dpmzos25m8ivg.cloudfront.net/Documentos/631/02103102860/6310210310286010092023114622.pdf","https://dpmzos25m8ivg.cloudfront.net/Documentos/631/02103102860/6310210310286010092023114622.pdf")</f>
        <v>https://dpmzos25m8ivg.cloudfront.net/Documentos/631/02103102860/6310210310286010092023114622.pdf</v>
      </c>
      <c r="G728" s="5" t="str">
        <f>HYPERLINK("https://dpmzos25m8ivg.cloudfront.net/Documentos/631/02103102860/6310210310286010092023114711.pdf","https://dpmzos25m8ivg.cloudfront.net/Documentos/631/02103102860/6310210310286010092023114711.pdf")</f>
        <v>https://dpmzos25m8ivg.cloudfront.net/Documentos/631/02103102860/6310210310286010092023114711.pdf</v>
      </c>
      <c r="H728" s="4" t="s">
        <v>9315</v>
      </c>
    </row>
    <row r="729" spans="1:8" x14ac:dyDescent="0.25">
      <c r="A729" s="2" t="s">
        <v>743</v>
      </c>
      <c r="B729" s="3" t="s">
        <v>308</v>
      </c>
      <c r="C729" s="3"/>
      <c r="D729" s="3"/>
      <c r="E729" s="4" t="str">
        <f>HYPERLINK("https://dpmzos25m8ivg.cloudfront.net/Documentos/631/02103989732/6310210398973211092023170043.pdf","https://dpmzos25m8ivg.cloudfront.net/Documentos/631/02103989732/6310210398973211092023170043.pdf")</f>
        <v>https://dpmzos25m8ivg.cloudfront.net/Documentos/631/02103989732/6310210398973211092023170043.pdf</v>
      </c>
      <c r="F729" s="5" t="str">
        <f>HYPERLINK("https://dpmzos25m8ivg.cloudfront.net/Documentos/631/02103989732/6310210398973211092023170117.pdf","https://dpmzos25m8ivg.cloudfront.net/Documentos/631/02103989732/6310210398973211092023170117.pdf")</f>
        <v>https://dpmzos25m8ivg.cloudfront.net/Documentos/631/02103989732/6310210398973211092023170117.pdf</v>
      </c>
      <c r="G729" s="5" t="str">
        <f>HYPERLINK("https://dpmzos25m8ivg.cloudfront.net/Documentos/631/02103989732/6310210398973211092023170138.pdf","https://dpmzos25m8ivg.cloudfront.net/Documentos/631/02103989732/6310210398973211092023170138.pdf")</f>
        <v>https://dpmzos25m8ivg.cloudfront.net/Documentos/631/02103989732/6310210398973211092023170138.pdf</v>
      </c>
      <c r="H729" s="4" t="s">
        <v>9316</v>
      </c>
    </row>
    <row r="730" spans="1:8" x14ac:dyDescent="0.25">
      <c r="A730" s="2" t="s">
        <v>744</v>
      </c>
      <c r="B730" s="3" t="s">
        <v>42</v>
      </c>
      <c r="C730" s="3"/>
      <c r="D730" s="3"/>
      <c r="E730" s="4" t="str">
        <f>HYPERLINK("https://dpmzos25m8ivg.cloudfront.net/Documentos/631/02110289325/6310211028932507092023115600.pdf","https://dpmzos25m8ivg.cloudfront.net/Documentos/631/02110289325/6310211028932507092023115600.pdf")</f>
        <v>https://dpmzos25m8ivg.cloudfront.net/Documentos/631/02110289325/6310211028932507092023115600.pdf</v>
      </c>
      <c r="F730" s="5" t="str">
        <f>HYPERLINK("https://dpmzos25m8ivg.cloudfront.net/Documentos/631/02110289325/6310211028932507092023115627.pdf","https://dpmzos25m8ivg.cloudfront.net/Documentos/631/02110289325/6310211028932507092023115627.pdf")</f>
        <v>https://dpmzos25m8ivg.cloudfront.net/Documentos/631/02110289325/6310211028932507092023115627.pdf</v>
      </c>
      <c r="G730" s="5" t="str">
        <f>HYPERLINK("https://dpmzos25m8ivg.cloudfront.net/Documentos/631/02110289325/6310211028932507092023115649.pdf","https://dpmzos25m8ivg.cloudfront.net/Documentos/631/02110289325/6310211028932507092023115649.pdf")</f>
        <v>https://dpmzos25m8ivg.cloudfront.net/Documentos/631/02110289325/6310211028932507092023115649.pdf</v>
      </c>
      <c r="H730" s="4" t="s">
        <v>9317</v>
      </c>
    </row>
    <row r="731" spans="1:8" x14ac:dyDescent="0.25">
      <c r="A731" s="2" t="s">
        <v>745</v>
      </c>
      <c r="B731" s="3"/>
      <c r="C731" s="3"/>
      <c r="D731" s="3"/>
      <c r="E731" s="4" t="str">
        <f>HYPERLINK("https://dpmzos25m8ivg.cloudfront.net/Documentos/631/02110479108/6310211047910813092023214250.jpg","https://dpmzos25m8ivg.cloudfront.net/Documentos/631/02110479108/6310211047910813092023214250.jpg")</f>
        <v>https://dpmzos25m8ivg.cloudfront.net/Documentos/631/02110479108/6310211047910813092023214250.jpg</v>
      </c>
      <c r="F731" s="5" t="str">
        <f>HYPERLINK("https://dpmzos25m8ivg.cloudfront.net/Documentos/631/02110479108/6310211047910813092023215444.jpg","https://dpmzos25m8ivg.cloudfront.net/Documentos/631/02110479108/6310211047910813092023215444.jpg")</f>
        <v>https://dpmzos25m8ivg.cloudfront.net/Documentos/631/02110479108/6310211047910813092023215444.jpg</v>
      </c>
      <c r="G731" s="5" t="str">
        <f>HYPERLINK("https://dpmzos25m8ivg.cloudfront.net/Documentos/631/02110479108/6310211047910814092023121539.jpg","https://dpmzos25m8ivg.cloudfront.net/Documentos/631/02110479108/6310211047910814092023121539.jpg")</f>
        <v>https://dpmzos25m8ivg.cloudfront.net/Documentos/631/02110479108/6310211047910814092023121539.jpg</v>
      </c>
      <c r="H731" s="4" t="s">
        <v>9318</v>
      </c>
    </row>
    <row r="732" spans="1:8" x14ac:dyDescent="0.25">
      <c r="A732" s="2" t="s">
        <v>746</v>
      </c>
      <c r="B732" s="3"/>
      <c r="C732" s="3"/>
      <c r="D732" s="3"/>
      <c r="E732" s="4" t="str">
        <f>HYPERLINK("https://dpmzos25m8ivg.cloudfront.net/Documentos/631/02114203280/6310211420328014092023165748.pdf","https://dpmzos25m8ivg.cloudfront.net/Documentos/631/02114203280/6310211420328014092023165748.pdf")</f>
        <v>https://dpmzos25m8ivg.cloudfront.net/Documentos/631/02114203280/6310211420328014092023165748.pdf</v>
      </c>
      <c r="F732" s="5" t="str">
        <f>HYPERLINK("https://dpmzos25m8ivg.cloudfront.net/Documentos/631/02114203280/6310211420328014092023165420.pdf","https://dpmzos25m8ivg.cloudfront.net/Documentos/631/02114203280/6310211420328014092023165420.pdf")</f>
        <v>https://dpmzos25m8ivg.cloudfront.net/Documentos/631/02114203280/6310211420328014092023165420.pdf</v>
      </c>
      <c r="G732" s="5" t="str">
        <f>HYPERLINK("https://dpmzos25m8ivg.cloudfront.net/Documentos/631/02114203280/6310211420328014092023165834.pdf","https://dpmzos25m8ivg.cloudfront.net/Documentos/631/02114203280/6310211420328014092023165834.pdf")</f>
        <v>https://dpmzos25m8ivg.cloudfront.net/Documentos/631/02114203280/6310211420328014092023165834.pdf</v>
      </c>
      <c r="H732" s="4" t="s">
        <v>9319</v>
      </c>
    </row>
    <row r="733" spans="1:8" x14ac:dyDescent="0.25">
      <c r="A733" s="2" t="s">
        <v>747</v>
      </c>
      <c r="B733" s="3"/>
      <c r="C733" s="3"/>
      <c r="D733" s="3"/>
      <c r="E733" s="4" t="str">
        <f>HYPERLINK("https://dpmzos25m8ivg.cloudfront.net/Documentos/631/02115138570/6310211513857005092023114159.pdf","https://dpmzos25m8ivg.cloudfront.net/Documentos/631/02115138570/6310211513857005092023114159.pdf")</f>
        <v>https://dpmzos25m8ivg.cloudfront.net/Documentos/631/02115138570/6310211513857005092023114159.pdf</v>
      </c>
      <c r="F733" s="5" t="str">
        <f>HYPERLINK("https://dpmzos25m8ivg.cloudfront.net/Documentos/631/02115138570/6310211513857005092023114254.pdf","https://dpmzos25m8ivg.cloudfront.net/Documentos/631/02115138570/6310211513857005092023114254.pdf")</f>
        <v>https://dpmzos25m8ivg.cloudfront.net/Documentos/631/02115138570/6310211513857005092023114254.pdf</v>
      </c>
      <c r="G733" s="5" t="str">
        <f>HYPERLINK("https://dpmzos25m8ivg.cloudfront.net/Documentos/631/02115138570/6310211513857005092023114311.pdf","https://dpmzos25m8ivg.cloudfront.net/Documentos/631/02115138570/6310211513857005092023114311.pdf")</f>
        <v>https://dpmzos25m8ivg.cloudfront.net/Documentos/631/02115138570/6310211513857005092023114311.pdf</v>
      </c>
      <c r="H733" s="4" t="s">
        <v>9320</v>
      </c>
    </row>
    <row r="734" spans="1:8" x14ac:dyDescent="0.25">
      <c r="A734" s="2" t="s">
        <v>748</v>
      </c>
      <c r="B734" s="3"/>
      <c r="C734" s="3"/>
      <c r="D734" s="3"/>
      <c r="E734" s="4" t="str">
        <f>HYPERLINK("https://dpmzos25m8ivg.cloudfront.net/Documentos/631/02120504008/6310212050400809092023104401.jpg","https://dpmzos25m8ivg.cloudfront.net/Documentos/631/02120504008/6310212050400809092023104401.jpg")</f>
        <v>https://dpmzos25m8ivg.cloudfront.net/Documentos/631/02120504008/6310212050400809092023104401.jpg</v>
      </c>
      <c r="F734" s="5" t="str">
        <f>HYPERLINK("https://dpmzos25m8ivg.cloudfront.net/Documentos/631/02120504008/6310212050400809092023104413.jpg","https://dpmzos25m8ivg.cloudfront.net/Documentos/631/02120504008/6310212050400809092023104413.jpg")</f>
        <v>https://dpmzos25m8ivg.cloudfront.net/Documentos/631/02120504008/6310212050400809092023104413.jpg</v>
      </c>
      <c r="G734" s="5" t="str">
        <f>HYPERLINK("https://dpmzos25m8ivg.cloudfront.net/Documentos/631/02120504008/6310212050400809092023104426.jpg","https://dpmzos25m8ivg.cloudfront.net/Documentos/631/02120504008/6310212050400809092023104426.jpg")</f>
        <v>https://dpmzos25m8ivg.cloudfront.net/Documentos/631/02120504008/6310212050400809092023104426.jpg</v>
      </c>
      <c r="H734" s="4" t="s">
        <v>9321</v>
      </c>
    </row>
    <row r="735" spans="1:8" x14ac:dyDescent="0.25">
      <c r="A735" s="2" t="s">
        <v>749</v>
      </c>
      <c r="B735" s="3"/>
      <c r="C735" s="3"/>
      <c r="D735" s="3"/>
      <c r="E735" s="4" t="str">
        <f>HYPERLINK("https://dpmzos25m8ivg.cloudfront.net/Documentos/631/02121829199/6310212182919908092023185746.jpg","https://dpmzos25m8ivg.cloudfront.net/Documentos/631/02121829199/6310212182919908092023185746.jpg")</f>
        <v>https://dpmzos25m8ivg.cloudfront.net/Documentos/631/02121829199/6310212182919908092023185746.jpg</v>
      </c>
      <c r="F735" s="5" t="str">
        <f>HYPERLINK("https://dpmzos25m8ivg.cloudfront.net/Documentos/631/02121829199/6310212182919908092023190234.jpg","https://dpmzos25m8ivg.cloudfront.net/Documentos/631/02121829199/6310212182919908092023190234.jpg")</f>
        <v>https://dpmzos25m8ivg.cloudfront.net/Documentos/631/02121829199/6310212182919908092023190234.jpg</v>
      </c>
      <c r="G735" s="5" t="str">
        <f>HYPERLINK("https://dpmzos25m8ivg.cloudfront.net/Documentos/631/02121829199/6310212182919908092023190303.jpg","https://dpmzos25m8ivg.cloudfront.net/Documentos/631/02121829199/6310212182919908092023190303.jpg")</f>
        <v>https://dpmzos25m8ivg.cloudfront.net/Documentos/631/02121829199/6310212182919908092023190303.jpg</v>
      </c>
      <c r="H735" s="4" t="s">
        <v>9322</v>
      </c>
    </row>
    <row r="736" spans="1:8" x14ac:dyDescent="0.25">
      <c r="A736" s="2" t="s">
        <v>750</v>
      </c>
      <c r="B736" s="3"/>
      <c r="C736" s="3"/>
      <c r="D736" s="3"/>
      <c r="E736" s="4" t="str">
        <f>HYPERLINK("https://dpmzos25m8ivg.cloudfront.net/Documentos/631/02122036575/6310212203657505092023145323.pdf","https://dpmzos25m8ivg.cloudfront.net/Documentos/631/02122036575/6310212203657505092023145323.pdf")</f>
        <v>https://dpmzos25m8ivg.cloudfront.net/Documentos/631/02122036575/6310212203657505092023145323.pdf</v>
      </c>
      <c r="F736" s="5" t="str">
        <f>HYPERLINK("https://dpmzos25m8ivg.cloudfront.net/Documentos/631/02122036575/6310212203657505092023145348.pdf","https://dpmzos25m8ivg.cloudfront.net/Documentos/631/02122036575/6310212203657505092023145348.pdf")</f>
        <v>https://dpmzos25m8ivg.cloudfront.net/Documentos/631/02122036575/6310212203657505092023145348.pdf</v>
      </c>
      <c r="G736" s="5" t="str">
        <f>HYPERLINK("https://dpmzos25m8ivg.cloudfront.net/Documentos/631/02122036575/6310212203657505092023145409.pdf","https://dpmzos25m8ivg.cloudfront.net/Documentos/631/02122036575/6310212203657505092023145409.pdf")</f>
        <v>https://dpmzos25m8ivg.cloudfront.net/Documentos/631/02122036575/6310212203657505092023145409.pdf</v>
      </c>
      <c r="H736" s="4" t="s">
        <v>9323</v>
      </c>
    </row>
    <row r="737" spans="1:8" x14ac:dyDescent="0.25">
      <c r="A737" s="2" t="s">
        <v>751</v>
      </c>
      <c r="B737" s="3"/>
      <c r="C737" s="3"/>
      <c r="D737" s="3"/>
      <c r="E737" s="4" t="str">
        <f>HYPERLINK("https://dpmzos25m8ivg.cloudfront.net/Documentos/631/02124434292/6310212443429211092023103831.pdf","https://dpmzos25m8ivg.cloudfront.net/Documentos/631/02124434292/6310212443429211092023103831.pdf")</f>
        <v>https://dpmzos25m8ivg.cloudfront.net/Documentos/631/02124434292/6310212443429211092023103831.pdf</v>
      </c>
      <c r="F737" s="5" t="str">
        <f>HYPERLINK("https://dpmzos25m8ivg.cloudfront.net/Documentos/631/02124434292/6310212443429211092023103844.pdf","https://dpmzos25m8ivg.cloudfront.net/Documentos/631/02124434292/6310212443429211092023103844.pdf")</f>
        <v>https://dpmzos25m8ivg.cloudfront.net/Documentos/631/02124434292/6310212443429211092023103844.pdf</v>
      </c>
      <c r="G737" s="5" t="str">
        <f>HYPERLINK("https://dpmzos25m8ivg.cloudfront.net/Documentos/631/02124434292/6310212443429211092023103858.pdf","https://dpmzos25m8ivg.cloudfront.net/Documentos/631/02124434292/6310212443429211092023103858.pdf")</f>
        <v>https://dpmzos25m8ivg.cloudfront.net/Documentos/631/02124434292/6310212443429211092023103858.pdf</v>
      </c>
      <c r="H737" s="4" t="s">
        <v>9324</v>
      </c>
    </row>
    <row r="738" spans="1:8" x14ac:dyDescent="0.25">
      <c r="A738" s="2" t="s">
        <v>752</v>
      </c>
      <c r="B738" s="3"/>
      <c r="C738" s="3"/>
      <c r="D738" s="3"/>
      <c r="E738" s="4" t="str">
        <f>HYPERLINK("https://dpmzos25m8ivg.cloudfront.net/Documentos/631/02124779516/6310212477951611092023132630.jpg","https://dpmzos25m8ivg.cloudfront.net/Documentos/631/02124779516/6310212477951611092023132630.jpg")</f>
        <v>https://dpmzos25m8ivg.cloudfront.net/Documentos/631/02124779516/6310212477951611092023132630.jpg</v>
      </c>
      <c r="F738" s="5" t="str">
        <f>HYPERLINK("https://dpmzos25m8ivg.cloudfront.net/Documentos/631/02124779516/6310212477951611092023132654.jpg","https://dpmzos25m8ivg.cloudfront.net/Documentos/631/02124779516/6310212477951611092023132654.jpg")</f>
        <v>https://dpmzos25m8ivg.cloudfront.net/Documentos/631/02124779516/6310212477951611092023132654.jpg</v>
      </c>
      <c r="G738" s="5" t="str">
        <f>HYPERLINK("https://dpmzos25m8ivg.cloudfront.net/Documentos/631/02124779516/6310212477951611092023132714.jpg","https://dpmzos25m8ivg.cloudfront.net/Documentos/631/02124779516/6310212477951611092023132714.jpg")</f>
        <v>https://dpmzos25m8ivg.cloudfront.net/Documentos/631/02124779516/6310212477951611092023132714.jpg</v>
      </c>
      <c r="H738" s="4" t="s">
        <v>9325</v>
      </c>
    </row>
    <row r="739" spans="1:8" x14ac:dyDescent="0.25">
      <c r="A739" s="2" t="s">
        <v>753</v>
      </c>
      <c r="B739" s="3"/>
      <c r="C739" s="3"/>
      <c r="D739" s="3"/>
      <c r="E739" s="4" t="str">
        <f>HYPERLINK("https://dpmzos25m8ivg.cloudfront.net/Documentos/631/02125077450/6310212507745011092023131137.jpg","https://dpmzos25m8ivg.cloudfront.net/Documentos/631/02125077450/6310212507745011092023131137.jpg")</f>
        <v>https://dpmzos25m8ivg.cloudfront.net/Documentos/631/02125077450/6310212507745011092023131137.jpg</v>
      </c>
      <c r="F739" s="5" t="str">
        <f>HYPERLINK("https://dpmzos25m8ivg.cloudfront.net/Documentos/631/02125077450/6310212507745011092023131154.jpg","https://dpmzos25m8ivg.cloudfront.net/Documentos/631/02125077450/6310212507745011092023131154.jpg")</f>
        <v>https://dpmzos25m8ivg.cloudfront.net/Documentos/631/02125077450/6310212507745011092023131154.jpg</v>
      </c>
      <c r="G739" s="5" t="str">
        <f>HYPERLINK("https://dpmzos25m8ivg.cloudfront.net/Documentos/631/02125077450/6310212507745011092023131203.jpg","https://dpmzos25m8ivg.cloudfront.net/Documentos/631/02125077450/6310212507745011092023131203.jpg")</f>
        <v>https://dpmzos25m8ivg.cloudfront.net/Documentos/631/02125077450/6310212507745011092023131203.jpg</v>
      </c>
      <c r="H739" s="4" t="s">
        <v>9326</v>
      </c>
    </row>
    <row r="740" spans="1:8" x14ac:dyDescent="0.25">
      <c r="A740" s="2" t="s">
        <v>754</v>
      </c>
      <c r="B740" s="3"/>
      <c r="C740" s="3"/>
      <c r="D740" s="3"/>
      <c r="E740" s="4" t="str">
        <f>HYPERLINK("https://dpmzos25m8ivg.cloudfront.net/Documentos/631/02128627150/6310212862715007092023154411.jpeg","https://dpmzos25m8ivg.cloudfront.net/Documentos/631/02128627150/6310212862715007092023154411.jpeg")</f>
        <v>https://dpmzos25m8ivg.cloudfront.net/Documentos/631/02128627150/6310212862715007092023154411.jpeg</v>
      </c>
      <c r="F740" s="5" t="str">
        <f>HYPERLINK("https://dpmzos25m8ivg.cloudfront.net/Documentos/631/02128627150/6310212862715007092023154434.jpeg","https://dpmzos25m8ivg.cloudfront.net/Documentos/631/02128627150/6310212862715007092023154434.jpeg")</f>
        <v>https://dpmzos25m8ivg.cloudfront.net/Documentos/631/02128627150/6310212862715007092023154434.jpeg</v>
      </c>
      <c r="G740" s="5" t="str">
        <f>HYPERLINK("https://dpmzos25m8ivg.cloudfront.net/Documentos/631/02128627150/6310212862715007092023154456.jpeg","https://dpmzos25m8ivg.cloudfront.net/Documentos/631/02128627150/6310212862715007092023154456.jpeg")</f>
        <v>https://dpmzos25m8ivg.cloudfront.net/Documentos/631/02128627150/6310212862715007092023154456.jpeg</v>
      </c>
      <c r="H740" s="4" t="s">
        <v>9327</v>
      </c>
    </row>
    <row r="741" spans="1:8" x14ac:dyDescent="0.25">
      <c r="A741" s="2" t="s">
        <v>755</v>
      </c>
      <c r="B741" s="3" t="s">
        <v>308</v>
      </c>
      <c r="C741" s="3"/>
      <c r="D741" s="3"/>
      <c r="E741" s="4" t="str">
        <f>HYPERLINK("https://dpmzos25m8ivg.cloudfront.net/Documentos/631/02130241603/6310213024160308092023112810.jpg","https://dpmzos25m8ivg.cloudfront.net/Documentos/631/02130241603/6310213024160308092023112810.jpg")</f>
        <v>https://dpmzos25m8ivg.cloudfront.net/Documentos/631/02130241603/6310213024160308092023112810.jpg</v>
      </c>
      <c r="F741" s="5" t="str">
        <f>HYPERLINK("https://dpmzos25m8ivg.cloudfront.net/Documentos/631/02130241603/6310213024160308092023112828.jpg","https://dpmzos25m8ivg.cloudfront.net/Documentos/631/02130241603/6310213024160308092023112828.jpg")</f>
        <v>https://dpmzos25m8ivg.cloudfront.net/Documentos/631/02130241603/6310213024160308092023112828.jpg</v>
      </c>
      <c r="G741" s="5" t="str">
        <f>HYPERLINK("https://dpmzos25m8ivg.cloudfront.net/Documentos/631/02130241603/6310213024160308092023112837.jpg","https://dpmzos25m8ivg.cloudfront.net/Documentos/631/02130241603/6310213024160308092023112837.jpg")</f>
        <v>https://dpmzos25m8ivg.cloudfront.net/Documentos/631/02130241603/6310213024160308092023112837.jpg</v>
      </c>
      <c r="H741" s="4" t="s">
        <v>9328</v>
      </c>
    </row>
    <row r="742" spans="1:8" x14ac:dyDescent="0.25">
      <c r="A742" s="2" t="s">
        <v>756</v>
      </c>
      <c r="B742" s="3" t="s">
        <v>90</v>
      </c>
      <c r="C742" s="3"/>
      <c r="D742" s="3"/>
      <c r="E742" s="4" t="str">
        <f>HYPERLINK("https://dpmzos25m8ivg.cloudfront.net/Documentos/631/02133853847/6310213385384709092023151843.pdf","https://dpmzos25m8ivg.cloudfront.net/Documentos/631/02133853847/6310213385384709092023151843.pdf")</f>
        <v>https://dpmzos25m8ivg.cloudfront.net/Documentos/631/02133853847/6310213385384709092023151843.pdf</v>
      </c>
      <c r="F742" s="5" t="str">
        <f>HYPERLINK("https://dpmzos25m8ivg.cloudfront.net/Documentos/631/02133853847/6310213385384709092023151914.pdf","https://dpmzos25m8ivg.cloudfront.net/Documentos/631/02133853847/6310213385384709092023151914.pdf")</f>
        <v>https://dpmzos25m8ivg.cloudfront.net/Documentos/631/02133853847/6310213385384709092023151914.pdf</v>
      </c>
      <c r="G742" s="5" t="str">
        <f>HYPERLINK("https://dpmzos25m8ivg.cloudfront.net/Documentos/631/02133853847/6310213385384709092023151947.pdf","https://dpmzos25m8ivg.cloudfront.net/Documentos/631/02133853847/6310213385384709092023151947.pdf")</f>
        <v>https://dpmzos25m8ivg.cloudfront.net/Documentos/631/02133853847/6310213385384709092023151947.pdf</v>
      </c>
      <c r="H742" s="4" t="s">
        <v>9329</v>
      </c>
    </row>
    <row r="743" spans="1:8" x14ac:dyDescent="0.25">
      <c r="A743" s="2" t="s">
        <v>757</v>
      </c>
      <c r="B743" s="3"/>
      <c r="C743" s="3"/>
      <c r="D743" s="3"/>
      <c r="E743" s="4" t="str">
        <f>HYPERLINK("https://dpmzos25m8ivg.cloudfront.net/Documentos/631/02134933224/6310213493322411092023153449.pdf","https://dpmzos25m8ivg.cloudfront.net/Documentos/631/02134933224/6310213493322411092023153449.pdf")</f>
        <v>https://dpmzos25m8ivg.cloudfront.net/Documentos/631/02134933224/6310213493322411092023153449.pdf</v>
      </c>
      <c r="F743" s="5" t="str">
        <f>HYPERLINK("https://dpmzos25m8ivg.cloudfront.net/Documentos/631/02134933224/6310213493322411092023154542.pdf","https://dpmzos25m8ivg.cloudfront.net/Documentos/631/02134933224/6310213493322411092023154542.pdf")</f>
        <v>https://dpmzos25m8ivg.cloudfront.net/Documentos/631/02134933224/6310213493322411092023154542.pdf</v>
      </c>
      <c r="G743" s="5" t="str">
        <f>HYPERLINK("https://dpmzos25m8ivg.cloudfront.net/Documentos/631/02134933224/6310213493322411092023154748.pdf","https://dpmzos25m8ivg.cloudfront.net/Documentos/631/02134933224/6310213493322411092023154748.pdf")</f>
        <v>https://dpmzos25m8ivg.cloudfront.net/Documentos/631/02134933224/6310213493322411092023154748.pdf</v>
      </c>
      <c r="H743" s="4" t="s">
        <v>9330</v>
      </c>
    </row>
    <row r="744" spans="1:8" x14ac:dyDescent="0.25">
      <c r="A744" s="2" t="s">
        <v>758</v>
      </c>
      <c r="B744" s="3"/>
      <c r="C744" s="3"/>
      <c r="D744" s="3"/>
      <c r="E744" s="4" t="str">
        <f>HYPERLINK("https://dpmzos25m8ivg.cloudfront.net/Documentos/631/02136070509/6310213607050911092023164256.jpg","https://dpmzos25m8ivg.cloudfront.net/Documentos/631/02136070509/6310213607050911092023164256.jpg")</f>
        <v>https://dpmzos25m8ivg.cloudfront.net/Documentos/631/02136070509/6310213607050911092023164256.jpg</v>
      </c>
      <c r="F744" s="5" t="str">
        <f>HYPERLINK("https://dpmzos25m8ivg.cloudfront.net/Documentos/631/02136070509/6310213607050911092023164309.jpg","https://dpmzos25m8ivg.cloudfront.net/Documentos/631/02136070509/6310213607050911092023164309.jpg")</f>
        <v>https://dpmzos25m8ivg.cloudfront.net/Documentos/631/02136070509/6310213607050911092023164309.jpg</v>
      </c>
      <c r="G744" s="5" t="str">
        <f>HYPERLINK("https://dpmzos25m8ivg.cloudfront.net/Documentos/631/02136070509/6310213607050911092023164327.jpg","https://dpmzos25m8ivg.cloudfront.net/Documentos/631/02136070509/6310213607050911092023164327.jpg")</f>
        <v>https://dpmzos25m8ivg.cloudfront.net/Documentos/631/02136070509/6310213607050911092023164327.jpg</v>
      </c>
      <c r="H744" s="4" t="s">
        <v>9331</v>
      </c>
    </row>
    <row r="745" spans="1:8" x14ac:dyDescent="0.25">
      <c r="A745" s="2" t="s">
        <v>759</v>
      </c>
      <c r="B745" s="3"/>
      <c r="C745" s="3"/>
      <c r="D745" s="3"/>
      <c r="E745" s="4" t="str">
        <f>HYPERLINK("https://dpmzos25m8ivg.cloudfront.net/Documentos/631/02138098427/6310213809842714092023155353.pdf","https://dpmzos25m8ivg.cloudfront.net/Documentos/631/02138098427/6310213809842714092023155353.pdf")</f>
        <v>https://dpmzos25m8ivg.cloudfront.net/Documentos/631/02138098427/6310213809842714092023155353.pdf</v>
      </c>
      <c r="F745" s="5" t="str">
        <f>HYPERLINK("https://dpmzos25m8ivg.cloudfront.net/Documentos/631/02138098427/6310213809842714092023155422.pdf","https://dpmzos25m8ivg.cloudfront.net/Documentos/631/02138098427/6310213809842714092023155422.pdf")</f>
        <v>https://dpmzos25m8ivg.cloudfront.net/Documentos/631/02138098427/6310213809842714092023155422.pdf</v>
      </c>
      <c r="G745" s="5" t="str">
        <f>HYPERLINK("https://dpmzos25m8ivg.cloudfront.net/Documentos/631/02138098427/6310213809842714092023155439.pdf","https://dpmzos25m8ivg.cloudfront.net/Documentos/631/02138098427/6310213809842714092023155439.pdf")</f>
        <v>https://dpmzos25m8ivg.cloudfront.net/Documentos/631/02138098427/6310213809842714092023155439.pdf</v>
      </c>
      <c r="H745" s="4" t="s">
        <v>9332</v>
      </c>
    </row>
    <row r="746" spans="1:8" x14ac:dyDescent="0.25">
      <c r="A746" s="2" t="s">
        <v>760</v>
      </c>
      <c r="B746" s="3"/>
      <c r="C746" s="3"/>
      <c r="D746" s="3"/>
      <c r="E746" s="4" t="str">
        <f>HYPERLINK("https://dpmzos25m8ivg.cloudfront.net/Documentos/631/02138845508/6310213884550805092023184957.jpeg","https://dpmzos25m8ivg.cloudfront.net/Documentos/631/02138845508/6310213884550805092023184957.jpeg")</f>
        <v>https://dpmzos25m8ivg.cloudfront.net/Documentos/631/02138845508/6310213884550805092023184957.jpeg</v>
      </c>
      <c r="F746" s="5" t="str">
        <f>HYPERLINK("https://dpmzos25m8ivg.cloudfront.net/Documentos/631/02138845508/6310213884550805092023190617.jpeg","https://dpmzos25m8ivg.cloudfront.net/Documentos/631/02138845508/6310213884550805092023190617.jpeg")</f>
        <v>https://dpmzos25m8ivg.cloudfront.net/Documentos/631/02138845508/6310213884550805092023190617.jpeg</v>
      </c>
      <c r="G746" s="5" t="str">
        <f>HYPERLINK("https://dpmzos25m8ivg.cloudfront.net/Documentos/631/02138845508/6310213884550805092023191933.jpeg","https://dpmzos25m8ivg.cloudfront.net/Documentos/631/02138845508/6310213884550805092023191933.jpeg")</f>
        <v>https://dpmzos25m8ivg.cloudfront.net/Documentos/631/02138845508/6310213884550805092023191933.jpeg</v>
      </c>
      <c r="H746" s="4" t="s">
        <v>9333</v>
      </c>
    </row>
    <row r="747" spans="1:8" x14ac:dyDescent="0.25">
      <c r="A747" s="2" t="s">
        <v>761</v>
      </c>
      <c r="B747" s="3"/>
      <c r="C747" s="3"/>
      <c r="D747" s="3"/>
      <c r="E747" s="4" t="str">
        <f>HYPERLINK("https://dpmzos25m8ivg.cloudfront.net/Documentos/631/02143042213/6310214304221310092023223702.pdf","https://dpmzos25m8ivg.cloudfront.net/Documentos/631/02143042213/6310214304221310092023223702.pdf")</f>
        <v>https://dpmzos25m8ivg.cloudfront.net/Documentos/631/02143042213/6310214304221310092023223702.pdf</v>
      </c>
      <c r="F747" s="5" t="str">
        <f>HYPERLINK("https://dpmzos25m8ivg.cloudfront.net/Documentos/631/02143042213/6310214304221310092023223719.pdf","https://dpmzos25m8ivg.cloudfront.net/Documentos/631/02143042213/6310214304221310092023223719.pdf")</f>
        <v>https://dpmzos25m8ivg.cloudfront.net/Documentos/631/02143042213/6310214304221310092023223719.pdf</v>
      </c>
      <c r="G747" s="5" t="str">
        <f>HYPERLINK("https://dpmzos25m8ivg.cloudfront.net/Documentos/631/02143042213/6310214304221310092023223736.pdf","https://dpmzos25m8ivg.cloudfront.net/Documentos/631/02143042213/6310214304221310092023223736.pdf")</f>
        <v>https://dpmzos25m8ivg.cloudfront.net/Documentos/631/02143042213/6310214304221310092023223736.pdf</v>
      </c>
      <c r="H747" s="4" t="s">
        <v>9334</v>
      </c>
    </row>
    <row r="748" spans="1:8" x14ac:dyDescent="0.25">
      <c r="A748" s="2" t="s">
        <v>762</v>
      </c>
      <c r="B748" s="3"/>
      <c r="C748" s="3"/>
      <c r="D748" s="3"/>
      <c r="E748" s="4" t="str">
        <f>HYPERLINK("https://dpmzos25m8ivg.cloudfront.net/Documentos/631/02143378718/6310214337871808092023104221.pdf","https://dpmzos25m8ivg.cloudfront.net/Documentos/631/02143378718/6310214337871808092023104221.pdf")</f>
        <v>https://dpmzos25m8ivg.cloudfront.net/Documentos/631/02143378718/6310214337871808092023104221.pdf</v>
      </c>
      <c r="F748" s="5" t="str">
        <f>HYPERLINK("https://dpmzos25m8ivg.cloudfront.net/Documentos/631/02143378718/6310214337871808092023104244.pdf","https://dpmzos25m8ivg.cloudfront.net/Documentos/631/02143378718/6310214337871808092023104244.pdf")</f>
        <v>https://dpmzos25m8ivg.cloudfront.net/Documentos/631/02143378718/6310214337871808092023104244.pdf</v>
      </c>
      <c r="G748" s="5" t="str">
        <f>HYPERLINK("https://dpmzos25m8ivg.cloudfront.net/Documentos/631/02143378718/6310214337871808092023104305.pdf","https://dpmzos25m8ivg.cloudfront.net/Documentos/631/02143378718/6310214337871808092023104305.pdf")</f>
        <v>https://dpmzos25m8ivg.cloudfront.net/Documentos/631/02143378718/6310214337871808092023104305.pdf</v>
      </c>
      <c r="H748" s="4" t="s">
        <v>9335</v>
      </c>
    </row>
    <row r="749" spans="1:8" x14ac:dyDescent="0.25">
      <c r="A749" s="2" t="s">
        <v>763</v>
      </c>
      <c r="B749" s="3"/>
      <c r="C749" s="3"/>
      <c r="D749" s="3"/>
      <c r="E749" s="4" t="str">
        <f>HYPERLINK("https://dpmzos25m8ivg.cloudfront.net/Documentos/631/02145993614/6310214599361408092023161215.pdf","https://dpmzos25m8ivg.cloudfront.net/Documentos/631/02145993614/6310214599361408092023161215.pdf")</f>
        <v>https://dpmzos25m8ivg.cloudfront.net/Documentos/631/02145993614/6310214599361408092023161215.pdf</v>
      </c>
      <c r="F749" s="5" t="str">
        <f>HYPERLINK("https://dpmzos25m8ivg.cloudfront.net/Documentos/631/02145993614/6310214599361408092023163114.pdf","https://dpmzos25m8ivg.cloudfront.net/Documentos/631/02145993614/6310214599361408092023163114.pdf")</f>
        <v>https://dpmzos25m8ivg.cloudfront.net/Documentos/631/02145993614/6310214599361408092023163114.pdf</v>
      </c>
      <c r="G749" s="5" t="str">
        <f>HYPERLINK("https://dpmzos25m8ivg.cloudfront.net/Documentos/631/02145993614/6310214599361408092023163123.pdf","https://dpmzos25m8ivg.cloudfront.net/Documentos/631/02145993614/6310214599361408092023163123.pdf")</f>
        <v>https://dpmzos25m8ivg.cloudfront.net/Documentos/631/02145993614/6310214599361408092023163123.pdf</v>
      </c>
      <c r="H749" s="4" t="s">
        <v>9336</v>
      </c>
    </row>
    <row r="750" spans="1:8" x14ac:dyDescent="0.25">
      <c r="A750" s="2" t="s">
        <v>764</v>
      </c>
      <c r="B750" s="3"/>
      <c r="C750" s="3"/>
      <c r="D750" s="3"/>
      <c r="E750" s="4" t="str">
        <f>HYPERLINK("https://dpmzos25m8ivg.cloudfront.net/Documentos/631/02146157151/6310214615715111092023155345.pdf","https://dpmzos25m8ivg.cloudfront.net/Documentos/631/02146157151/6310214615715111092023155345.pdf")</f>
        <v>https://dpmzos25m8ivg.cloudfront.net/Documentos/631/02146157151/6310214615715111092023155345.pdf</v>
      </c>
      <c r="F750" s="5" t="str">
        <f>HYPERLINK("https://dpmzos25m8ivg.cloudfront.net/Documentos/631/02146157151/6310214615715111092023155416.pdf","https://dpmzos25m8ivg.cloudfront.net/Documentos/631/02146157151/6310214615715111092023155416.pdf")</f>
        <v>https://dpmzos25m8ivg.cloudfront.net/Documentos/631/02146157151/6310214615715111092023155416.pdf</v>
      </c>
      <c r="G750" s="5" t="str">
        <f>HYPERLINK("https://dpmzos25m8ivg.cloudfront.net/Documentos/631/02146157151/6310214615715111092023155432.pdf","https://dpmzos25m8ivg.cloudfront.net/Documentos/631/02146157151/6310214615715111092023155432.pdf")</f>
        <v>https://dpmzos25m8ivg.cloudfront.net/Documentos/631/02146157151/6310214615715111092023155432.pdf</v>
      </c>
      <c r="H750" s="4" t="s">
        <v>9337</v>
      </c>
    </row>
    <row r="751" spans="1:8" x14ac:dyDescent="0.25">
      <c r="A751" s="2" t="s">
        <v>765</v>
      </c>
      <c r="B751" s="3"/>
      <c r="C751" s="3"/>
      <c r="D751" s="3"/>
      <c r="E751" s="4" t="str">
        <f>HYPERLINK("https://dpmzos25m8ivg.cloudfront.net/Documentos/631/02149799111/6310214979911111092023123029.pdf","https://dpmzos25m8ivg.cloudfront.net/Documentos/631/02149799111/6310214979911111092023123029.pdf")</f>
        <v>https://dpmzos25m8ivg.cloudfront.net/Documentos/631/02149799111/6310214979911111092023123029.pdf</v>
      </c>
      <c r="F751" s="5" t="str">
        <f>HYPERLINK("https://dpmzos25m8ivg.cloudfront.net/Documentos/631/02149799111/6310214979911111092023123112.pdf","https://dpmzos25m8ivg.cloudfront.net/Documentos/631/02149799111/6310214979911111092023123112.pdf")</f>
        <v>https://dpmzos25m8ivg.cloudfront.net/Documentos/631/02149799111/6310214979911111092023123112.pdf</v>
      </c>
      <c r="G751" s="5" t="str">
        <f>HYPERLINK("https://dpmzos25m8ivg.cloudfront.net/Documentos/631/02149799111/6310214979911111092023123141.pdf","https://dpmzos25m8ivg.cloudfront.net/Documentos/631/02149799111/6310214979911111092023123141.pdf")</f>
        <v>https://dpmzos25m8ivg.cloudfront.net/Documentos/631/02149799111/6310214979911111092023123141.pdf</v>
      </c>
      <c r="H751" s="4" t="s">
        <v>9338</v>
      </c>
    </row>
    <row r="752" spans="1:8" x14ac:dyDescent="0.25">
      <c r="A752" s="2" t="s">
        <v>766</v>
      </c>
      <c r="B752" s="3"/>
      <c r="C752" s="3"/>
      <c r="D752" s="3"/>
      <c r="E752" s="4" t="str">
        <f>HYPERLINK("https://dpmzos25m8ivg.cloudfront.net/Documentos/631/02150725533/6310215072553309092023022947.jpg","https://dpmzos25m8ivg.cloudfront.net/Documentos/631/02150725533/6310215072553309092023022947.jpg")</f>
        <v>https://dpmzos25m8ivg.cloudfront.net/Documentos/631/02150725533/6310215072553309092023022947.jpg</v>
      </c>
      <c r="F752" s="5" t="str">
        <f>HYPERLINK("https://dpmzos25m8ivg.cloudfront.net/Documentos/631/02150725533/6310215072553309092023023811.jpg","https://dpmzos25m8ivg.cloudfront.net/Documentos/631/02150725533/6310215072553309092023023811.jpg")</f>
        <v>https://dpmzos25m8ivg.cloudfront.net/Documentos/631/02150725533/6310215072553309092023023811.jpg</v>
      </c>
      <c r="G752" s="5" t="str">
        <f>HYPERLINK("https://dpmzos25m8ivg.cloudfront.net/Documentos/631/02150725533/6310215072553309092023182819.jpg","https://dpmzos25m8ivg.cloudfront.net/Documentos/631/02150725533/6310215072553309092023182819.jpg")</f>
        <v>https://dpmzos25m8ivg.cloudfront.net/Documentos/631/02150725533/6310215072553309092023182819.jpg</v>
      </c>
      <c r="H752" s="4" t="s">
        <v>9339</v>
      </c>
    </row>
    <row r="753" spans="1:8" x14ac:dyDescent="0.25">
      <c r="A753" s="2" t="s">
        <v>767</v>
      </c>
      <c r="B753" s="3"/>
      <c r="C753" s="3"/>
      <c r="D753" s="3"/>
      <c r="E753" s="4" t="str">
        <f>HYPERLINK("https://dpmzos25m8ivg.cloudfront.net/Documentos/631/02154472397/6310215447239710092023165509.pdf","https://dpmzos25m8ivg.cloudfront.net/Documentos/631/02154472397/6310215447239710092023165509.pdf")</f>
        <v>https://dpmzos25m8ivg.cloudfront.net/Documentos/631/02154472397/6310215447239710092023165509.pdf</v>
      </c>
      <c r="F753" s="5" t="str">
        <f>HYPERLINK("https://dpmzos25m8ivg.cloudfront.net/Documentos/631/02154472397/6310215447239710092023165632.pdf","https://dpmzos25m8ivg.cloudfront.net/Documentos/631/02154472397/6310215447239710092023165632.pdf")</f>
        <v>https://dpmzos25m8ivg.cloudfront.net/Documentos/631/02154472397/6310215447239710092023165632.pdf</v>
      </c>
      <c r="G753" s="5" t="str">
        <f>HYPERLINK("https://dpmzos25m8ivg.cloudfront.net/Documentos/631/02154472397/6310215447239710092023165656.pdf","https://dpmzos25m8ivg.cloudfront.net/Documentos/631/02154472397/6310215447239710092023165656.pdf")</f>
        <v>https://dpmzos25m8ivg.cloudfront.net/Documentos/631/02154472397/6310215447239710092023165656.pdf</v>
      </c>
      <c r="H753" s="4" t="s">
        <v>9340</v>
      </c>
    </row>
    <row r="754" spans="1:8" x14ac:dyDescent="0.25">
      <c r="A754" s="2" t="s">
        <v>768</v>
      </c>
      <c r="B754" s="3"/>
      <c r="C754" s="3"/>
      <c r="D754" s="3"/>
      <c r="E754" s="4" t="str">
        <f>HYPERLINK("https://dpmzos25m8ivg.cloudfront.net/Documentos/631/02155573103/6310215557310310092023220017.pdf","https://dpmzos25m8ivg.cloudfront.net/Documentos/631/02155573103/6310215557310310092023220017.pdf")</f>
        <v>https://dpmzos25m8ivg.cloudfront.net/Documentos/631/02155573103/6310215557310310092023220017.pdf</v>
      </c>
      <c r="F754" s="5" t="str">
        <f>HYPERLINK("https://dpmzos25m8ivg.cloudfront.net/Documentos/631/02155573103/6310215557310310092023220034.pdf","https://dpmzos25m8ivg.cloudfront.net/Documentos/631/02155573103/6310215557310310092023220034.pdf")</f>
        <v>https://dpmzos25m8ivg.cloudfront.net/Documentos/631/02155573103/6310215557310310092023220034.pdf</v>
      </c>
      <c r="G754" s="5" t="str">
        <f>HYPERLINK("https://dpmzos25m8ivg.cloudfront.net/Documentos/631/02155573103/6310215557310310092023220049.pdf","https://dpmzos25m8ivg.cloudfront.net/Documentos/631/02155573103/6310215557310310092023220049.pdf")</f>
        <v>https://dpmzos25m8ivg.cloudfront.net/Documentos/631/02155573103/6310215557310310092023220049.pdf</v>
      </c>
      <c r="H754" s="4" t="s">
        <v>9341</v>
      </c>
    </row>
    <row r="755" spans="1:8" x14ac:dyDescent="0.25">
      <c r="A755" s="2" t="s">
        <v>769</v>
      </c>
      <c r="B755" s="3"/>
      <c r="C755" s="3"/>
      <c r="D755" s="3"/>
      <c r="E755" s="4" t="str">
        <f>HYPERLINK("https://dpmzos25m8ivg.cloudfront.net/Documentos/631/02157962506/6310215796250611092023153913.pdf","https://dpmzos25m8ivg.cloudfront.net/Documentos/631/02157962506/6310215796250611092023153913.pdf")</f>
        <v>https://dpmzos25m8ivg.cloudfront.net/Documentos/631/02157962506/6310215796250611092023153913.pdf</v>
      </c>
      <c r="F755" s="5" t="str">
        <f>HYPERLINK("https://dpmzos25m8ivg.cloudfront.net/Documentos/631/02157962506/6310215796250611092023153936.pdf","https://dpmzos25m8ivg.cloudfront.net/Documentos/631/02157962506/6310215796250611092023153936.pdf")</f>
        <v>https://dpmzos25m8ivg.cloudfront.net/Documentos/631/02157962506/6310215796250611092023153936.pdf</v>
      </c>
      <c r="G755" s="5" t="str">
        <f>HYPERLINK("https://dpmzos25m8ivg.cloudfront.net/Documentos/631/02157962506/6310215796250611092023153956.pdf","https://dpmzos25m8ivg.cloudfront.net/Documentos/631/02157962506/6310215796250611092023153956.pdf")</f>
        <v>https://dpmzos25m8ivg.cloudfront.net/Documentos/631/02157962506/6310215796250611092023153956.pdf</v>
      </c>
      <c r="H755" s="4" t="s">
        <v>9342</v>
      </c>
    </row>
    <row r="756" spans="1:8" x14ac:dyDescent="0.25">
      <c r="A756" s="2" t="s">
        <v>770</v>
      </c>
      <c r="B756" s="3" t="s">
        <v>90</v>
      </c>
      <c r="C756" s="3"/>
      <c r="D756" s="3"/>
      <c r="E756" s="4" t="str">
        <f>HYPERLINK("https://dpmzos25m8ivg.cloudfront.net/Documentos/631/02161669699/6310216166969911092023164532.pdf","https://dpmzos25m8ivg.cloudfront.net/Documentos/631/02161669699/6310216166969911092023164532.pdf")</f>
        <v>https://dpmzos25m8ivg.cloudfront.net/Documentos/631/02161669699/6310216166969911092023164532.pdf</v>
      </c>
      <c r="F756" s="5" t="str">
        <f>HYPERLINK("https://dpmzos25m8ivg.cloudfront.net/Documentos/631/02161669699/6310216166969911092023164558.pdf","https://dpmzos25m8ivg.cloudfront.net/Documentos/631/02161669699/6310216166969911092023164558.pdf")</f>
        <v>https://dpmzos25m8ivg.cloudfront.net/Documentos/631/02161669699/6310216166969911092023164558.pdf</v>
      </c>
      <c r="G756" s="5" t="str">
        <f>HYPERLINK("https://dpmzos25m8ivg.cloudfront.net/Documentos/631/02161669699/6310216166969911092023164615.pdf","https://dpmzos25m8ivg.cloudfront.net/Documentos/631/02161669699/6310216166969911092023164615.pdf")</f>
        <v>https://dpmzos25m8ivg.cloudfront.net/Documentos/631/02161669699/6310216166969911092023164615.pdf</v>
      </c>
      <c r="H756" s="4" t="s">
        <v>9343</v>
      </c>
    </row>
    <row r="757" spans="1:8" x14ac:dyDescent="0.25">
      <c r="A757" s="2" t="s">
        <v>771</v>
      </c>
      <c r="B757" s="3"/>
      <c r="C757" s="3"/>
      <c r="D757" s="3"/>
      <c r="E757" s="4" t="str">
        <f>HYPERLINK("https://dpmzos25m8ivg.cloudfront.net/Documentos/631/02165170109/6310216517010909092023235510.pdf","https://dpmzos25m8ivg.cloudfront.net/Documentos/631/02165170109/6310216517010909092023235510.pdf")</f>
        <v>https://dpmzos25m8ivg.cloudfront.net/Documentos/631/02165170109/6310216517010909092023235510.pdf</v>
      </c>
      <c r="F757" s="5" t="str">
        <f>HYPERLINK("https://dpmzos25m8ivg.cloudfront.net/Documentos/631/02165170109/6310216517010909092023235531.pdf","https://dpmzos25m8ivg.cloudfront.net/Documentos/631/02165170109/6310216517010909092023235531.pdf")</f>
        <v>https://dpmzos25m8ivg.cloudfront.net/Documentos/631/02165170109/6310216517010909092023235531.pdf</v>
      </c>
      <c r="G757" s="5" t="str">
        <f>HYPERLINK("https://dpmzos25m8ivg.cloudfront.net/Documentos/631/02165170109/6310216517010910092023140325.pdf","https://dpmzos25m8ivg.cloudfront.net/Documentos/631/02165170109/6310216517010910092023140325.pdf")</f>
        <v>https://dpmzos25m8ivg.cloudfront.net/Documentos/631/02165170109/6310216517010910092023140325.pdf</v>
      </c>
      <c r="H757" s="4" t="s">
        <v>9344</v>
      </c>
    </row>
    <row r="758" spans="1:8" x14ac:dyDescent="0.25">
      <c r="A758" s="2" t="s">
        <v>772</v>
      </c>
      <c r="B758" s="3" t="s">
        <v>8</v>
      </c>
      <c r="C758" s="3"/>
      <c r="D758" s="3"/>
      <c r="E758" s="4" t="str">
        <f>HYPERLINK("https://dpmzos25m8ivg.cloudfront.net/Documentos/631/02166185339/6310216618533905092023095213.pdf","https://dpmzos25m8ivg.cloudfront.net/Documentos/631/02166185339/6310216618533905092023095213.pdf")</f>
        <v>https://dpmzos25m8ivg.cloudfront.net/Documentos/631/02166185339/6310216618533905092023095213.pdf</v>
      </c>
      <c r="F758" s="5" t="str">
        <f>HYPERLINK("https://dpmzos25m8ivg.cloudfront.net/Documentos/631/02166185339/6310216618533905092023095236.pdf","https://dpmzos25m8ivg.cloudfront.net/Documentos/631/02166185339/6310216618533905092023095236.pdf")</f>
        <v>https://dpmzos25m8ivg.cloudfront.net/Documentos/631/02166185339/6310216618533905092023095236.pdf</v>
      </c>
      <c r="G758" s="5" t="str">
        <f>HYPERLINK("https://dpmzos25m8ivg.cloudfront.net/Documentos/631/02166185339/6310216618533905092023095248.pdf","https://dpmzos25m8ivg.cloudfront.net/Documentos/631/02166185339/6310216618533905092023095248.pdf")</f>
        <v>https://dpmzos25m8ivg.cloudfront.net/Documentos/631/02166185339/6310216618533905092023095248.pdf</v>
      </c>
      <c r="H758" s="4" t="s">
        <v>9345</v>
      </c>
    </row>
    <row r="759" spans="1:8" x14ac:dyDescent="0.25">
      <c r="A759" s="2" t="s">
        <v>773</v>
      </c>
      <c r="B759" s="3"/>
      <c r="C759" s="3"/>
      <c r="D759" s="3"/>
      <c r="E759" s="4" t="str">
        <f>HYPERLINK("https://dpmzos25m8ivg.cloudfront.net/Documentos/631/02167171242/6310216717124205092023091604.jpg","https://dpmzos25m8ivg.cloudfront.net/Documentos/631/02167171242/6310216717124205092023091604.jpg")</f>
        <v>https://dpmzos25m8ivg.cloudfront.net/Documentos/631/02167171242/6310216717124205092023091604.jpg</v>
      </c>
      <c r="F759" s="5" t="str">
        <f>HYPERLINK("https://dpmzos25m8ivg.cloudfront.net/Documentos/631/02167171242/6310216717124205092023091622.jpg","https://dpmzos25m8ivg.cloudfront.net/Documentos/631/02167171242/6310216717124205092023091622.jpg")</f>
        <v>https://dpmzos25m8ivg.cloudfront.net/Documentos/631/02167171242/6310216717124205092023091622.jpg</v>
      </c>
      <c r="G759" s="5" t="str">
        <f>HYPERLINK("https://dpmzos25m8ivg.cloudfront.net/Documentos/631/02167171242/6310216717124205092023091638.jpg","https://dpmzos25m8ivg.cloudfront.net/Documentos/631/02167171242/6310216717124205092023091638.jpg")</f>
        <v>https://dpmzos25m8ivg.cloudfront.net/Documentos/631/02167171242/6310216717124205092023091638.jpg</v>
      </c>
      <c r="H759" s="4" t="s">
        <v>9346</v>
      </c>
    </row>
    <row r="760" spans="1:8" x14ac:dyDescent="0.25">
      <c r="A760" s="2" t="s">
        <v>774</v>
      </c>
      <c r="B760" s="3"/>
      <c r="C760" s="3"/>
      <c r="D760" s="3"/>
      <c r="E760" s="4" t="str">
        <f>HYPERLINK("https://dpmzos25m8ivg.cloudfront.net/Documentos/631/02171536314/6310217153631413092023200822.pdf","https://dpmzos25m8ivg.cloudfront.net/Documentos/631/02171536314/6310217153631413092023200822.pdf")</f>
        <v>https://dpmzos25m8ivg.cloudfront.net/Documentos/631/02171536314/6310217153631413092023200822.pdf</v>
      </c>
      <c r="F760" s="5" t="str">
        <f>HYPERLINK("https://dpmzos25m8ivg.cloudfront.net/Documentos/631/02171536314/6310217153631413092023200841.pdf","https://dpmzos25m8ivg.cloudfront.net/Documentos/631/02171536314/6310217153631413092023200841.pdf")</f>
        <v>https://dpmzos25m8ivg.cloudfront.net/Documentos/631/02171536314/6310217153631413092023200841.pdf</v>
      </c>
      <c r="G760" s="5" t="str">
        <f>HYPERLINK("https://dpmzos25m8ivg.cloudfront.net/Documentos/631/02171536314/6310217153631413092023200854.pdf","https://dpmzos25m8ivg.cloudfront.net/Documentos/631/02171536314/6310217153631413092023200854.pdf")</f>
        <v>https://dpmzos25m8ivg.cloudfront.net/Documentos/631/02171536314/6310217153631413092023200854.pdf</v>
      </c>
      <c r="H760" s="4" t="s">
        <v>9347</v>
      </c>
    </row>
    <row r="761" spans="1:8" x14ac:dyDescent="0.25">
      <c r="A761" s="2" t="s">
        <v>775</v>
      </c>
      <c r="B761" s="3" t="s">
        <v>8</v>
      </c>
      <c r="C761" s="3"/>
      <c r="D761" s="3"/>
      <c r="E761" s="4" t="str">
        <f>HYPERLINK("https://dpmzos25m8ivg.cloudfront.net/Documentos/631/02172333174/6310217233317408092023192822.pdf","https://dpmzos25m8ivg.cloudfront.net/Documentos/631/02172333174/6310217233317408092023192822.pdf")</f>
        <v>https://dpmzos25m8ivg.cloudfront.net/Documentos/631/02172333174/6310217233317408092023192822.pdf</v>
      </c>
      <c r="F761" s="5" t="str">
        <f>HYPERLINK("https://dpmzos25m8ivg.cloudfront.net/Documentos/631/02172333174/6310217233317408092023192859.pdf","https://dpmzos25m8ivg.cloudfront.net/Documentos/631/02172333174/6310217233317408092023192859.pdf")</f>
        <v>https://dpmzos25m8ivg.cloudfront.net/Documentos/631/02172333174/6310217233317408092023192859.pdf</v>
      </c>
      <c r="G761" s="5" t="str">
        <f>HYPERLINK("https://dpmzos25m8ivg.cloudfront.net/Documentos/631/02172333174/6310217233317408092023193005.pdf","https://dpmzos25m8ivg.cloudfront.net/Documentos/631/02172333174/6310217233317408092023193005.pdf")</f>
        <v>https://dpmzos25m8ivg.cloudfront.net/Documentos/631/02172333174/6310217233317408092023193005.pdf</v>
      </c>
      <c r="H761" s="4" t="s">
        <v>9348</v>
      </c>
    </row>
    <row r="762" spans="1:8" x14ac:dyDescent="0.25">
      <c r="A762" s="2" t="s">
        <v>776</v>
      </c>
      <c r="B762" s="3"/>
      <c r="C762" s="3"/>
      <c r="D762" s="3"/>
      <c r="E762" s="4" t="str">
        <f>HYPERLINK("https://dpmzos25m8ivg.cloudfront.net/Documentos/631/02172999113/6310217299911308092023232801.pdf","https://dpmzos25m8ivg.cloudfront.net/Documentos/631/02172999113/6310217299911308092023232801.pdf")</f>
        <v>https://dpmzos25m8ivg.cloudfront.net/Documentos/631/02172999113/6310217299911308092023232801.pdf</v>
      </c>
      <c r="F762" s="5" t="str">
        <f>HYPERLINK("https://dpmzos25m8ivg.cloudfront.net/Documentos/631/02172999113/6310217299911308092023232816.pdf","https://dpmzos25m8ivg.cloudfront.net/Documentos/631/02172999113/6310217299911308092023232816.pdf")</f>
        <v>https://dpmzos25m8ivg.cloudfront.net/Documentos/631/02172999113/6310217299911308092023232816.pdf</v>
      </c>
      <c r="G762" s="5" t="str">
        <f>HYPERLINK("https://dpmzos25m8ivg.cloudfront.net/Documentos/631/02172999113/6310217299911308092023232836.pdf","https://dpmzos25m8ivg.cloudfront.net/Documentos/631/02172999113/6310217299911308092023232836.pdf")</f>
        <v>https://dpmzos25m8ivg.cloudfront.net/Documentos/631/02172999113/6310217299911308092023232836.pdf</v>
      </c>
      <c r="H762" s="4" t="s">
        <v>9349</v>
      </c>
    </row>
    <row r="763" spans="1:8" x14ac:dyDescent="0.25">
      <c r="A763" s="2" t="s">
        <v>777</v>
      </c>
      <c r="B763" s="3"/>
      <c r="C763" s="3"/>
      <c r="D763" s="3"/>
      <c r="E763" s="4" t="str">
        <f>HYPERLINK("https://dpmzos25m8ivg.cloudfront.net/Documentos/631/02173268112/6310217326811211092023161622.jpeg","https://dpmzos25m8ivg.cloudfront.net/Documentos/631/02173268112/6310217326811211092023161622.jpeg")</f>
        <v>https://dpmzos25m8ivg.cloudfront.net/Documentos/631/02173268112/6310217326811211092023161622.jpeg</v>
      </c>
      <c r="F763" s="5" t="str">
        <f>HYPERLINK("https://dpmzos25m8ivg.cloudfront.net/Documentos/631/02173268112/6310217326811211092023161639.jpeg","https://dpmzos25m8ivg.cloudfront.net/Documentos/631/02173268112/6310217326811211092023161639.jpeg")</f>
        <v>https://dpmzos25m8ivg.cloudfront.net/Documentos/631/02173268112/6310217326811211092023161639.jpeg</v>
      </c>
      <c r="G763" s="5" t="str">
        <f>HYPERLINK("https://dpmzos25m8ivg.cloudfront.net/Documentos/631/02173268112/6310217326811211092023161702.jpeg","https://dpmzos25m8ivg.cloudfront.net/Documentos/631/02173268112/6310217326811211092023161702.jpeg")</f>
        <v>https://dpmzos25m8ivg.cloudfront.net/Documentos/631/02173268112/6310217326811211092023161702.jpeg</v>
      </c>
      <c r="H763" s="4" t="s">
        <v>9350</v>
      </c>
    </row>
    <row r="764" spans="1:8" x14ac:dyDescent="0.25">
      <c r="A764" s="2" t="s">
        <v>778</v>
      </c>
      <c r="B764" s="3" t="s">
        <v>8</v>
      </c>
      <c r="C764" s="3"/>
      <c r="D764" s="3"/>
      <c r="E764" s="4" t="str">
        <f>HYPERLINK("https://dpmzos25m8ivg.cloudfront.net/Documentos/631/02173855751/6310217385575108092023222645.pdf","https://dpmzos25m8ivg.cloudfront.net/Documentos/631/02173855751/6310217385575108092023222645.pdf")</f>
        <v>https://dpmzos25m8ivg.cloudfront.net/Documentos/631/02173855751/6310217385575108092023222645.pdf</v>
      </c>
      <c r="F764" s="5" t="str">
        <f>HYPERLINK("https://dpmzos25m8ivg.cloudfront.net/Documentos/631/02173855751/6310217385575108092023222708.pdf","https://dpmzos25m8ivg.cloudfront.net/Documentos/631/02173855751/6310217385575108092023222708.pdf")</f>
        <v>https://dpmzos25m8ivg.cloudfront.net/Documentos/631/02173855751/6310217385575108092023222708.pdf</v>
      </c>
      <c r="G764" s="5" t="str">
        <f>HYPERLINK("https://dpmzos25m8ivg.cloudfront.net/Documentos/631/02173855751/6310217385575108092023222719.pdf","https://dpmzos25m8ivg.cloudfront.net/Documentos/631/02173855751/6310217385575108092023222719.pdf")</f>
        <v>https://dpmzos25m8ivg.cloudfront.net/Documentos/631/02173855751/6310217385575108092023222719.pdf</v>
      </c>
      <c r="H764" s="4" t="s">
        <v>9351</v>
      </c>
    </row>
    <row r="765" spans="1:8" x14ac:dyDescent="0.25">
      <c r="A765" s="2" t="s">
        <v>779</v>
      </c>
      <c r="B765" s="3"/>
      <c r="C765" s="3"/>
      <c r="D765" s="3"/>
      <c r="E765" s="4" t="str">
        <f>HYPERLINK("https://dpmzos25m8ivg.cloudfront.net/Documentos/631/02180763638/6310218076363808092023183416.pdf","https://dpmzos25m8ivg.cloudfront.net/Documentos/631/02180763638/6310218076363808092023183416.pdf")</f>
        <v>https://dpmzos25m8ivg.cloudfront.net/Documentos/631/02180763638/6310218076363808092023183416.pdf</v>
      </c>
      <c r="F765" s="5" t="str">
        <f>HYPERLINK("https://dpmzos25m8ivg.cloudfront.net/Documentos/631/02180763638/6310218076363808092023183427.pdf","https://dpmzos25m8ivg.cloudfront.net/Documentos/631/02180763638/6310218076363808092023183427.pdf")</f>
        <v>https://dpmzos25m8ivg.cloudfront.net/Documentos/631/02180763638/6310218076363808092023183427.pdf</v>
      </c>
      <c r="G765" s="5" t="str">
        <f>HYPERLINK("https://dpmzos25m8ivg.cloudfront.net/Documentos/631/02180763638/6310218076363808092023183436.pdf","https://dpmzos25m8ivg.cloudfront.net/Documentos/631/02180763638/6310218076363808092023183436.pdf")</f>
        <v>https://dpmzos25m8ivg.cloudfront.net/Documentos/631/02180763638/6310218076363808092023183436.pdf</v>
      </c>
      <c r="H765" s="4" t="s">
        <v>9352</v>
      </c>
    </row>
    <row r="766" spans="1:8" x14ac:dyDescent="0.25">
      <c r="A766" s="2" t="s">
        <v>780</v>
      </c>
      <c r="B766" s="3"/>
      <c r="C766" s="3"/>
      <c r="D766" s="3"/>
      <c r="E766" s="4" t="str">
        <f>HYPERLINK("https://dpmzos25m8ivg.cloudfront.net/Documentos/631/02186979020/6310218697902011092023114021.pdf","https://dpmzos25m8ivg.cloudfront.net/Documentos/631/02186979020/6310218697902011092023114021.pdf")</f>
        <v>https://dpmzos25m8ivg.cloudfront.net/Documentos/631/02186979020/6310218697902011092023114021.pdf</v>
      </c>
      <c r="F766" s="5" t="str">
        <f>HYPERLINK("https://dpmzos25m8ivg.cloudfront.net/Documentos/631/02186979020/6310218697902011092023114005.pdf","https://dpmzos25m8ivg.cloudfront.net/Documentos/631/02186979020/6310218697902011092023114005.pdf")</f>
        <v>https://dpmzos25m8ivg.cloudfront.net/Documentos/631/02186979020/6310218697902011092023114005.pdf</v>
      </c>
      <c r="G766" s="5" t="str">
        <f>HYPERLINK("https://dpmzos25m8ivg.cloudfront.net/Documentos/631/02186979020/6310218697902011092023113951.pdf","https://dpmzos25m8ivg.cloudfront.net/Documentos/631/02186979020/6310218697902011092023113951.pdf")</f>
        <v>https://dpmzos25m8ivg.cloudfront.net/Documentos/631/02186979020/6310218697902011092023113951.pdf</v>
      </c>
      <c r="H766" s="4" t="s">
        <v>9353</v>
      </c>
    </row>
    <row r="767" spans="1:8" x14ac:dyDescent="0.25">
      <c r="A767" s="2" t="s">
        <v>781</v>
      </c>
      <c r="B767" s="3"/>
      <c r="C767" s="3"/>
      <c r="D767" s="3"/>
      <c r="E767" s="4" t="str">
        <f>HYPERLINK("https://dpmzos25m8ivg.cloudfront.net/Documentos/631/02188667557/6310218866755711092023160730.pdf","https://dpmzos25m8ivg.cloudfront.net/Documentos/631/02188667557/6310218866755711092023160730.pdf")</f>
        <v>https://dpmzos25m8ivg.cloudfront.net/Documentos/631/02188667557/6310218866755711092023160730.pdf</v>
      </c>
      <c r="F767" s="5" t="str">
        <f>HYPERLINK("https://dpmzos25m8ivg.cloudfront.net/Documentos/631/02188667557/6310218866755711092023160739.pdf","https://dpmzos25m8ivg.cloudfront.net/Documentos/631/02188667557/6310218866755711092023160739.pdf")</f>
        <v>https://dpmzos25m8ivg.cloudfront.net/Documentos/631/02188667557/6310218866755711092023160739.pdf</v>
      </c>
      <c r="G767" s="5" t="str">
        <f>HYPERLINK("https://dpmzos25m8ivg.cloudfront.net/Documentos/631/02188667557/6310218866755711092023160749.pdf","https://dpmzos25m8ivg.cloudfront.net/Documentos/631/02188667557/6310218866755711092023160749.pdf")</f>
        <v>https://dpmzos25m8ivg.cloudfront.net/Documentos/631/02188667557/6310218866755711092023160749.pdf</v>
      </c>
      <c r="H767" s="4" t="s">
        <v>9354</v>
      </c>
    </row>
    <row r="768" spans="1:8" x14ac:dyDescent="0.25">
      <c r="A768" s="2" t="s">
        <v>782</v>
      </c>
      <c r="B768" s="3"/>
      <c r="C768" s="3"/>
      <c r="D768" s="3"/>
      <c r="E768" s="4" t="str">
        <f>HYPERLINK("https://dpmzos25m8ivg.cloudfront.net/Documentos/631/02194581111/6310219458111111092023123318.pdf","https://dpmzos25m8ivg.cloudfront.net/Documentos/631/02194581111/6310219458111111092023123318.pdf")</f>
        <v>https://dpmzos25m8ivg.cloudfront.net/Documentos/631/02194581111/6310219458111111092023123318.pdf</v>
      </c>
      <c r="F768" s="5" t="str">
        <f>HYPERLINK("https://dpmzos25m8ivg.cloudfront.net/Documentos/631/02194581111/6310219458111111092023123337.pdf","https://dpmzos25m8ivg.cloudfront.net/Documentos/631/02194581111/6310219458111111092023123337.pdf")</f>
        <v>https://dpmzos25m8ivg.cloudfront.net/Documentos/631/02194581111/6310219458111111092023123337.pdf</v>
      </c>
      <c r="G768" s="5" t="str">
        <f>HYPERLINK("https://dpmzos25m8ivg.cloudfront.net/Documentos/631/02194581111/6310219458111111092023123355.pdf","https://dpmzos25m8ivg.cloudfront.net/Documentos/631/02194581111/6310219458111111092023123355.pdf")</f>
        <v>https://dpmzos25m8ivg.cloudfront.net/Documentos/631/02194581111/6310219458111111092023123355.pdf</v>
      </c>
      <c r="H768" s="4" t="s">
        <v>9355</v>
      </c>
    </row>
    <row r="769" spans="1:8" x14ac:dyDescent="0.25">
      <c r="A769" s="2" t="s">
        <v>783</v>
      </c>
      <c r="B769" s="3"/>
      <c r="C769" s="3"/>
      <c r="D769" s="3"/>
      <c r="E769" s="4" t="str">
        <f>HYPERLINK("https://dpmzos25m8ivg.cloudfront.net/Documentos/631/02194797122/6310219479712211092023093553.pdf","https://dpmzos25m8ivg.cloudfront.net/Documentos/631/02194797122/6310219479712211092023093553.pdf")</f>
        <v>https://dpmzos25m8ivg.cloudfront.net/Documentos/631/02194797122/6310219479712211092023093553.pdf</v>
      </c>
      <c r="F769" s="5" t="str">
        <f>HYPERLINK("https://dpmzos25m8ivg.cloudfront.net/Documentos/631/02194797122/6310219479712211092023093604.pdf","https://dpmzos25m8ivg.cloudfront.net/Documentos/631/02194797122/6310219479712211092023093604.pdf")</f>
        <v>https://dpmzos25m8ivg.cloudfront.net/Documentos/631/02194797122/6310219479712211092023093604.pdf</v>
      </c>
      <c r="G769" s="5" t="str">
        <f>HYPERLINK("https://dpmzos25m8ivg.cloudfront.net/Documentos/631/02194797122/6310219479712211092023093615.pdf","https://dpmzos25m8ivg.cloudfront.net/Documentos/631/02194797122/6310219479712211092023093615.pdf")</f>
        <v>https://dpmzos25m8ivg.cloudfront.net/Documentos/631/02194797122/6310219479712211092023093615.pdf</v>
      </c>
      <c r="H769" s="4" t="s">
        <v>9356</v>
      </c>
    </row>
    <row r="770" spans="1:8" x14ac:dyDescent="0.25">
      <c r="A770" s="2" t="s">
        <v>784</v>
      </c>
      <c r="B770" s="3"/>
      <c r="C770" s="3"/>
      <c r="D770" s="3"/>
      <c r="E770" s="4" t="str">
        <f>HYPERLINK("https://dpmzos25m8ivg.cloudfront.net/Documentos/631/02195843624/6310219584362405092023195736.pdf","https://dpmzos25m8ivg.cloudfront.net/Documentos/631/02195843624/6310219584362405092023195736.pdf")</f>
        <v>https://dpmzos25m8ivg.cloudfront.net/Documentos/631/02195843624/6310219584362405092023195736.pdf</v>
      </c>
      <c r="F770" s="5" t="str">
        <f>HYPERLINK("https://dpmzos25m8ivg.cloudfront.net/Documentos/631/02195843624/6310219584362405092023195747.pdf","https://dpmzos25m8ivg.cloudfront.net/Documentos/631/02195843624/6310219584362405092023195747.pdf")</f>
        <v>https://dpmzos25m8ivg.cloudfront.net/Documentos/631/02195843624/6310219584362405092023195747.pdf</v>
      </c>
      <c r="G770" s="5" t="str">
        <f>HYPERLINK("https://dpmzos25m8ivg.cloudfront.net/Documentos/631/02195843624/6310219584362405092023195803.pdf","https://dpmzos25m8ivg.cloudfront.net/Documentos/631/02195843624/6310219584362405092023195803.pdf")</f>
        <v>https://dpmzos25m8ivg.cloudfront.net/Documentos/631/02195843624/6310219584362405092023195803.pdf</v>
      </c>
      <c r="H770" s="4" t="s">
        <v>9357</v>
      </c>
    </row>
    <row r="771" spans="1:8" x14ac:dyDescent="0.25">
      <c r="A771" s="2" t="s">
        <v>785</v>
      </c>
      <c r="B771" s="3"/>
      <c r="C771" s="3"/>
      <c r="D771" s="3"/>
      <c r="E771" s="4" t="str">
        <f>HYPERLINK("https://dpmzos25m8ivg.cloudfront.net/Documentos/631/02199958345/6310219995834511092023103020.jpeg","https://dpmzos25m8ivg.cloudfront.net/Documentos/631/02199958345/6310219995834511092023103020.jpeg")</f>
        <v>https://dpmzos25m8ivg.cloudfront.net/Documentos/631/02199958345/6310219995834511092023103020.jpeg</v>
      </c>
      <c r="F771" s="5" t="str">
        <f>HYPERLINK("https://dpmzos25m8ivg.cloudfront.net/Documentos/631/02199958345/6310219995834511092023103110.jpeg","https://dpmzos25m8ivg.cloudfront.net/Documentos/631/02199958345/6310219995834511092023103110.jpeg")</f>
        <v>https://dpmzos25m8ivg.cloudfront.net/Documentos/631/02199958345/6310219995834511092023103110.jpeg</v>
      </c>
      <c r="G771" s="5" t="str">
        <f>HYPERLINK("https://dpmzos25m8ivg.cloudfront.net/Documentos/631/02199958345/6310219995834511092023103120.jpeg","https://dpmzos25m8ivg.cloudfront.net/Documentos/631/02199958345/6310219995834511092023103120.jpeg")</f>
        <v>https://dpmzos25m8ivg.cloudfront.net/Documentos/631/02199958345/6310219995834511092023103120.jpeg</v>
      </c>
      <c r="H771" s="4" t="s">
        <v>9358</v>
      </c>
    </row>
    <row r="772" spans="1:8" x14ac:dyDescent="0.25">
      <c r="A772" s="2" t="s">
        <v>786</v>
      </c>
      <c r="B772" s="3"/>
      <c r="C772" s="3"/>
      <c r="D772" s="3"/>
      <c r="E772" s="4" t="str">
        <f>HYPERLINK("https://dpmzos25m8ivg.cloudfront.net/Documentos/631/02201608059/6310220160805905092023084321.pdf","https://dpmzos25m8ivg.cloudfront.net/Documentos/631/02201608059/6310220160805905092023084321.pdf")</f>
        <v>https://dpmzos25m8ivg.cloudfront.net/Documentos/631/02201608059/6310220160805905092023084321.pdf</v>
      </c>
      <c r="F772" s="5" t="str">
        <f>HYPERLINK("https://dpmzos25m8ivg.cloudfront.net/Documentos/631/02201608059/6310220160805905092023084334.pdf","https://dpmzos25m8ivg.cloudfront.net/Documentos/631/02201608059/6310220160805905092023084334.pdf")</f>
        <v>https://dpmzos25m8ivg.cloudfront.net/Documentos/631/02201608059/6310220160805905092023084334.pdf</v>
      </c>
      <c r="G772" s="5" t="str">
        <f>HYPERLINK("https://dpmzos25m8ivg.cloudfront.net/Documentos/631/02201608059/6310220160805905092023081537.pdf","https://dpmzos25m8ivg.cloudfront.net/Documentos/631/02201608059/6310220160805905092023081537.pdf")</f>
        <v>https://dpmzos25m8ivg.cloudfront.net/Documentos/631/02201608059/6310220160805905092023081537.pdf</v>
      </c>
      <c r="H772" s="4" t="s">
        <v>9359</v>
      </c>
    </row>
    <row r="773" spans="1:8" x14ac:dyDescent="0.25">
      <c r="A773" s="2" t="s">
        <v>787</v>
      </c>
      <c r="B773" s="3"/>
      <c r="C773" s="3"/>
      <c r="D773" s="3"/>
      <c r="E773" s="4" t="str">
        <f>HYPERLINK("https://dpmzos25m8ivg.cloudfront.net/Documentos/631/02201758379/6310220175837911092023140418.pdf","https://dpmzos25m8ivg.cloudfront.net/Documentos/631/02201758379/6310220175837911092023140418.pdf")</f>
        <v>https://dpmzos25m8ivg.cloudfront.net/Documentos/631/02201758379/6310220175837911092023140418.pdf</v>
      </c>
      <c r="F773" s="5" t="str">
        <f>HYPERLINK("https://dpmzos25m8ivg.cloudfront.net/Documentos/631/02201758379/6310220175837911092023140432.pdf","https://dpmzos25m8ivg.cloudfront.net/Documentos/631/02201758379/6310220175837911092023140432.pdf")</f>
        <v>https://dpmzos25m8ivg.cloudfront.net/Documentos/631/02201758379/6310220175837911092023140432.pdf</v>
      </c>
      <c r="G773" s="5" t="str">
        <f>HYPERLINK("https://dpmzos25m8ivg.cloudfront.net/Documentos/631/02201758379/6310220175837911092023140443.pdf","https://dpmzos25m8ivg.cloudfront.net/Documentos/631/02201758379/6310220175837911092023140443.pdf")</f>
        <v>https://dpmzos25m8ivg.cloudfront.net/Documentos/631/02201758379/6310220175837911092023140443.pdf</v>
      </c>
      <c r="H773" s="4" t="s">
        <v>9360</v>
      </c>
    </row>
    <row r="774" spans="1:8" x14ac:dyDescent="0.25">
      <c r="A774" s="2" t="s">
        <v>788</v>
      </c>
      <c r="B774" s="3" t="s">
        <v>8</v>
      </c>
      <c r="C774" s="3"/>
      <c r="D774" s="3"/>
      <c r="E774" s="4" t="str">
        <f>HYPERLINK("https://dpmzos25m8ivg.cloudfront.net/Documentos/631/02209029252/6310220902925214092023012529.pdf","https://dpmzos25m8ivg.cloudfront.net/Documentos/631/02209029252/6310220902925214092023012529.pdf")</f>
        <v>https://dpmzos25m8ivg.cloudfront.net/Documentos/631/02209029252/6310220902925214092023012529.pdf</v>
      </c>
      <c r="F774" s="5" t="str">
        <f>HYPERLINK("https://dpmzos25m8ivg.cloudfront.net/Documentos/631/02209029252/6310220902925214092023012612.pdf","https://dpmzos25m8ivg.cloudfront.net/Documentos/631/02209029252/6310220902925214092023012612.pdf")</f>
        <v>https://dpmzos25m8ivg.cloudfront.net/Documentos/631/02209029252/6310220902925214092023012612.pdf</v>
      </c>
      <c r="G774" s="5" t="str">
        <f>HYPERLINK("https://dpmzos25m8ivg.cloudfront.net/Documentos/631/02209029252/6310220902925214092023012758.pdf","https://dpmzos25m8ivg.cloudfront.net/Documentos/631/02209029252/6310220902925214092023012758.pdf")</f>
        <v>https://dpmzos25m8ivg.cloudfront.net/Documentos/631/02209029252/6310220902925214092023012758.pdf</v>
      </c>
      <c r="H774" s="4" t="s">
        <v>9361</v>
      </c>
    </row>
    <row r="775" spans="1:8" x14ac:dyDescent="0.25">
      <c r="A775" s="2" t="s">
        <v>789</v>
      </c>
      <c r="B775" s="3"/>
      <c r="C775" s="3"/>
      <c r="D775" s="3"/>
      <c r="E775" s="4" t="str">
        <f>HYPERLINK("https://dpmzos25m8ivg.cloudfront.net/Documentos/631/02213668302/6310221366830211092023154539.pdf","https://dpmzos25m8ivg.cloudfront.net/Documentos/631/02213668302/6310221366830211092023154539.pdf")</f>
        <v>https://dpmzos25m8ivg.cloudfront.net/Documentos/631/02213668302/6310221366830211092023154539.pdf</v>
      </c>
      <c r="F775" s="5" t="str">
        <f>HYPERLINK("https://dpmzos25m8ivg.cloudfront.net/Documentos/631/02213668302/6310221366830211092023154606.pdf","https://dpmzos25m8ivg.cloudfront.net/Documentos/631/02213668302/6310221366830211092023154606.pdf")</f>
        <v>https://dpmzos25m8ivg.cloudfront.net/Documentos/631/02213668302/6310221366830211092023154606.pdf</v>
      </c>
      <c r="G775" s="5" t="str">
        <f>HYPERLINK("https://dpmzos25m8ivg.cloudfront.net/Documentos/631/02213668302/6310221366830211092023154626.pdf","https://dpmzos25m8ivg.cloudfront.net/Documentos/631/02213668302/6310221366830211092023154626.pdf")</f>
        <v>https://dpmzos25m8ivg.cloudfront.net/Documentos/631/02213668302/6310221366830211092023154626.pdf</v>
      </c>
      <c r="H775" s="4" t="s">
        <v>9362</v>
      </c>
    </row>
    <row r="776" spans="1:8" x14ac:dyDescent="0.25">
      <c r="A776" s="2" t="s">
        <v>790</v>
      </c>
      <c r="B776" s="3"/>
      <c r="C776" s="3"/>
      <c r="D776" s="3"/>
      <c r="E776" s="4" t="str">
        <f>HYPERLINK("https://dpmzos25m8ivg.cloudfront.net/Documentos/631/02214187251/6310221418725113092023182539.jpeg","https://dpmzos25m8ivg.cloudfront.net/Documentos/631/02214187251/6310221418725113092023182539.jpeg")</f>
        <v>https://dpmzos25m8ivg.cloudfront.net/Documentos/631/02214187251/6310221418725113092023182539.jpeg</v>
      </c>
      <c r="F776" s="5" t="str">
        <f>HYPERLINK("https://dpmzos25m8ivg.cloudfront.net/Documentos/631/02214187251/6310221418725113092023182716.jpeg","https://dpmzos25m8ivg.cloudfront.net/Documentos/631/02214187251/6310221418725113092023182716.jpeg")</f>
        <v>https://dpmzos25m8ivg.cloudfront.net/Documentos/631/02214187251/6310221418725113092023182716.jpeg</v>
      </c>
      <c r="G776" s="5" t="str">
        <f>HYPERLINK("https://dpmzos25m8ivg.cloudfront.net/Documentos/631/02214187251/6310221418725113092023182732.jpeg","https://dpmzos25m8ivg.cloudfront.net/Documentos/631/02214187251/6310221418725113092023182732.jpeg")</f>
        <v>https://dpmzos25m8ivg.cloudfront.net/Documentos/631/02214187251/6310221418725113092023182732.jpeg</v>
      </c>
      <c r="H776" s="4" t="s">
        <v>9363</v>
      </c>
    </row>
    <row r="777" spans="1:8" x14ac:dyDescent="0.25">
      <c r="A777" s="2" t="s">
        <v>791</v>
      </c>
      <c r="B777" s="3"/>
      <c r="C777" s="3"/>
      <c r="D777" s="3"/>
      <c r="E777" s="4" t="str">
        <f>HYPERLINK("https://dpmzos25m8ivg.cloudfront.net/Documentos/631/02217488228/6310221748822811092023122406.pdf","https://dpmzos25m8ivg.cloudfront.net/Documentos/631/02217488228/6310221748822811092023122406.pdf")</f>
        <v>https://dpmzos25m8ivg.cloudfront.net/Documentos/631/02217488228/6310221748822811092023122406.pdf</v>
      </c>
      <c r="F777" s="5" t="str">
        <f>HYPERLINK("https://dpmzos25m8ivg.cloudfront.net/Documentos/631/02217488228/6310221748822811092023122427.pdf","https://dpmzos25m8ivg.cloudfront.net/Documentos/631/02217488228/6310221748822811092023122427.pdf")</f>
        <v>https://dpmzos25m8ivg.cloudfront.net/Documentos/631/02217488228/6310221748822811092023122427.pdf</v>
      </c>
      <c r="G777" s="5" t="str">
        <f>HYPERLINK("https://dpmzos25m8ivg.cloudfront.net/Documentos/631/02217488228/6310221748822811092023122504.pdf","https://dpmzos25m8ivg.cloudfront.net/Documentos/631/02217488228/6310221748822811092023122504.pdf")</f>
        <v>https://dpmzos25m8ivg.cloudfront.net/Documentos/631/02217488228/6310221748822811092023122504.pdf</v>
      </c>
      <c r="H777" s="4" t="s">
        <v>9364</v>
      </c>
    </row>
    <row r="778" spans="1:8" x14ac:dyDescent="0.25">
      <c r="A778" s="2" t="s">
        <v>792</v>
      </c>
      <c r="B778" s="3"/>
      <c r="C778" s="3"/>
      <c r="D778" s="3"/>
      <c r="E778" s="4" t="str">
        <f>HYPERLINK("https://dpmzos25m8ivg.cloudfront.net/Documentos/631/02219002500/6310221900250010092023134940.pdf","https://dpmzos25m8ivg.cloudfront.net/Documentos/631/02219002500/6310221900250010092023134940.pdf")</f>
        <v>https://dpmzos25m8ivg.cloudfront.net/Documentos/631/02219002500/6310221900250010092023134940.pdf</v>
      </c>
      <c r="F778" s="5" t="str">
        <f>HYPERLINK("https://dpmzos25m8ivg.cloudfront.net/Documentos/631/02219002500/6310221900250010092023134953.pdf","https://dpmzos25m8ivg.cloudfront.net/Documentos/631/02219002500/6310221900250010092023134953.pdf")</f>
        <v>https://dpmzos25m8ivg.cloudfront.net/Documentos/631/02219002500/6310221900250010092023134953.pdf</v>
      </c>
      <c r="G778" s="5" t="str">
        <f>HYPERLINK("https://dpmzos25m8ivg.cloudfront.net/Documentos/631/02219002500/6310221900250010092023135006.pdf","https://dpmzos25m8ivg.cloudfront.net/Documentos/631/02219002500/6310221900250010092023135006.pdf")</f>
        <v>https://dpmzos25m8ivg.cloudfront.net/Documentos/631/02219002500/6310221900250010092023135006.pdf</v>
      </c>
      <c r="H778" s="4" t="s">
        <v>9365</v>
      </c>
    </row>
    <row r="779" spans="1:8" x14ac:dyDescent="0.25">
      <c r="A779" s="2" t="s">
        <v>793</v>
      </c>
      <c r="B779" s="3"/>
      <c r="C779" s="3"/>
      <c r="D779" s="3"/>
      <c r="E779" s="4" t="str">
        <f>HYPERLINK("https://dpmzos25m8ivg.cloudfront.net/Documentos/631/02220771407/6310222077140706092023121003.jpeg","https://dpmzos25m8ivg.cloudfront.net/Documentos/631/02220771407/6310222077140706092023121003.jpeg")</f>
        <v>https://dpmzos25m8ivg.cloudfront.net/Documentos/631/02220771407/6310222077140706092023121003.jpeg</v>
      </c>
      <c r="F779" s="5" t="str">
        <f>HYPERLINK("https://dpmzos25m8ivg.cloudfront.net/Documentos/631/02220771407/6310222077140706092023121011.jpeg","https://dpmzos25m8ivg.cloudfront.net/Documentos/631/02220771407/6310222077140706092023121011.jpeg")</f>
        <v>https://dpmzos25m8ivg.cloudfront.net/Documentos/631/02220771407/6310222077140706092023121011.jpeg</v>
      </c>
      <c r="G779" s="5" t="str">
        <f>HYPERLINK("https://dpmzos25m8ivg.cloudfront.net/Documentos/631/02220771407/6310222077140706092023121020.jpeg","https://dpmzos25m8ivg.cloudfront.net/Documentos/631/02220771407/6310222077140706092023121020.jpeg")</f>
        <v>https://dpmzos25m8ivg.cloudfront.net/Documentos/631/02220771407/6310222077140706092023121020.jpeg</v>
      </c>
      <c r="H779" s="4" t="s">
        <v>9366</v>
      </c>
    </row>
    <row r="780" spans="1:8" x14ac:dyDescent="0.25">
      <c r="A780" s="2" t="s">
        <v>794</v>
      </c>
      <c r="B780" s="3"/>
      <c r="C780" s="3"/>
      <c r="D780" s="3"/>
      <c r="E780" s="4" t="str">
        <f>HYPERLINK("https://dpmzos25m8ivg.cloudfront.net/Documentos/631/02228353205/6310222835320510092023225326.jpg","https://dpmzos25m8ivg.cloudfront.net/Documentos/631/02228353205/6310222835320510092023225326.jpg")</f>
        <v>https://dpmzos25m8ivg.cloudfront.net/Documentos/631/02228353205/6310222835320510092023225326.jpg</v>
      </c>
      <c r="F780" s="5" t="str">
        <f>HYPERLINK("https://dpmzos25m8ivg.cloudfront.net/Documentos/631/02228353205/6310222835320510092023225343.jpg","https://dpmzos25m8ivg.cloudfront.net/Documentos/631/02228353205/6310222835320510092023225343.jpg")</f>
        <v>https://dpmzos25m8ivg.cloudfront.net/Documentos/631/02228353205/6310222835320510092023225343.jpg</v>
      </c>
      <c r="G780" s="5" t="str">
        <f>HYPERLINK("https://dpmzos25m8ivg.cloudfront.net/Documentos/631/02228353205/6310222835320510092023225401.jpg","https://dpmzos25m8ivg.cloudfront.net/Documentos/631/02228353205/6310222835320510092023225401.jpg")</f>
        <v>https://dpmzos25m8ivg.cloudfront.net/Documentos/631/02228353205/6310222835320510092023225401.jpg</v>
      </c>
      <c r="H780" s="4" t="s">
        <v>9367</v>
      </c>
    </row>
    <row r="781" spans="1:8" x14ac:dyDescent="0.25">
      <c r="A781" s="2" t="s">
        <v>795</v>
      </c>
      <c r="B781" s="3" t="s">
        <v>90</v>
      </c>
      <c r="C781" s="3"/>
      <c r="D781" s="3"/>
      <c r="E781" s="4" t="str">
        <f>HYPERLINK("https://dpmzos25m8ivg.cloudfront.net/Documentos/631/02230515519/6310223051551906092023210032.jpg","https://dpmzos25m8ivg.cloudfront.net/Documentos/631/02230515519/6310223051551906092023210032.jpg")</f>
        <v>https://dpmzos25m8ivg.cloudfront.net/Documentos/631/02230515519/6310223051551906092023210032.jpg</v>
      </c>
      <c r="F781" s="5" t="str">
        <f>HYPERLINK("https://dpmzos25m8ivg.cloudfront.net/Documentos/631/02230515519/6310223051551906092023210038.jpg","https://dpmzos25m8ivg.cloudfront.net/Documentos/631/02230515519/6310223051551906092023210038.jpg")</f>
        <v>https://dpmzos25m8ivg.cloudfront.net/Documentos/631/02230515519/6310223051551906092023210038.jpg</v>
      </c>
      <c r="G781" s="5" t="str">
        <f>HYPERLINK("https://dpmzos25m8ivg.cloudfront.net/Documentos/631/02230515519/6310223051551906092023210050.jpg","https://dpmzos25m8ivg.cloudfront.net/Documentos/631/02230515519/6310223051551906092023210050.jpg")</f>
        <v>https://dpmzos25m8ivg.cloudfront.net/Documentos/631/02230515519/6310223051551906092023210050.jpg</v>
      </c>
      <c r="H781" s="4" t="s">
        <v>9368</v>
      </c>
    </row>
    <row r="782" spans="1:8" x14ac:dyDescent="0.25">
      <c r="A782" s="2" t="s">
        <v>796</v>
      </c>
      <c r="B782" s="3"/>
      <c r="C782" s="3"/>
      <c r="D782" s="3"/>
      <c r="E782" s="4" t="str">
        <f>HYPERLINK("https://dpmzos25m8ivg.cloudfront.net/Documentos/631/02236422237/6310223642223707092023175219.pdf","https://dpmzos25m8ivg.cloudfront.net/Documentos/631/02236422237/6310223642223707092023175219.pdf")</f>
        <v>https://dpmzos25m8ivg.cloudfront.net/Documentos/631/02236422237/6310223642223707092023175219.pdf</v>
      </c>
      <c r="F782" s="5" t="str">
        <f>HYPERLINK("https://dpmzos25m8ivg.cloudfront.net/Documentos/631/02236422237/6310223642223707092023175229.pdf","https://dpmzos25m8ivg.cloudfront.net/Documentos/631/02236422237/6310223642223707092023175229.pdf")</f>
        <v>https://dpmzos25m8ivg.cloudfront.net/Documentos/631/02236422237/6310223642223707092023175229.pdf</v>
      </c>
      <c r="G782" s="5" t="str">
        <f>HYPERLINK("https://dpmzos25m8ivg.cloudfront.net/Documentos/631/02236422237/6310223642223707092023175239.pdf","https://dpmzos25m8ivg.cloudfront.net/Documentos/631/02236422237/6310223642223707092023175239.pdf")</f>
        <v>https://dpmzos25m8ivg.cloudfront.net/Documentos/631/02236422237/6310223642223707092023175239.pdf</v>
      </c>
      <c r="H782" s="4" t="s">
        <v>9369</v>
      </c>
    </row>
    <row r="783" spans="1:8" x14ac:dyDescent="0.25">
      <c r="A783" s="2" t="s">
        <v>797</v>
      </c>
      <c r="B783" s="3"/>
      <c r="C783" s="3"/>
      <c r="D783" s="3"/>
      <c r="E783" s="4" t="str">
        <f>HYPERLINK("https://dpmzos25m8ivg.cloudfront.net/Documentos/631/02236969198/6310223696919810092023214517.jpg","https://dpmzos25m8ivg.cloudfront.net/Documentos/631/02236969198/6310223696919810092023214517.jpg")</f>
        <v>https://dpmzos25m8ivg.cloudfront.net/Documentos/631/02236969198/6310223696919810092023214517.jpg</v>
      </c>
      <c r="F783" s="5" t="str">
        <f>HYPERLINK("https://dpmzos25m8ivg.cloudfront.net/Documentos/631/02236969198/6310223696919810092023214543.jpg","https://dpmzos25m8ivg.cloudfront.net/Documentos/631/02236969198/6310223696919810092023214543.jpg")</f>
        <v>https://dpmzos25m8ivg.cloudfront.net/Documentos/631/02236969198/6310223696919810092023214543.jpg</v>
      </c>
      <c r="G783" s="5" t="str">
        <f>HYPERLINK("https://dpmzos25m8ivg.cloudfront.net/Documentos/631/02236969198/6310223696919810092023214630.jpg","https://dpmzos25m8ivg.cloudfront.net/Documentos/631/02236969198/6310223696919810092023214630.jpg")</f>
        <v>https://dpmzos25m8ivg.cloudfront.net/Documentos/631/02236969198/6310223696919810092023214630.jpg</v>
      </c>
      <c r="H783" s="4" t="s">
        <v>9370</v>
      </c>
    </row>
    <row r="784" spans="1:8" x14ac:dyDescent="0.25">
      <c r="A784" s="2" t="s">
        <v>798</v>
      </c>
      <c r="B784" s="3"/>
      <c r="C784" s="3"/>
      <c r="D784" s="3"/>
      <c r="E784" s="4" t="str">
        <f>HYPERLINK("https://dpmzos25m8ivg.cloudfront.net/Documentos/631/02241585114/6310224158511411092023153704.pdf","https://dpmzos25m8ivg.cloudfront.net/Documentos/631/02241585114/6310224158511411092023153704.pdf")</f>
        <v>https://dpmzos25m8ivg.cloudfront.net/Documentos/631/02241585114/6310224158511411092023153704.pdf</v>
      </c>
      <c r="F784" s="5" t="str">
        <f>HYPERLINK("https://dpmzos25m8ivg.cloudfront.net/Documentos/631/02241585114/6310224158511411092023153718.pdf","https://dpmzos25m8ivg.cloudfront.net/Documentos/631/02241585114/6310224158511411092023153718.pdf")</f>
        <v>https://dpmzos25m8ivg.cloudfront.net/Documentos/631/02241585114/6310224158511411092023153718.pdf</v>
      </c>
      <c r="G784" s="5" t="str">
        <f>HYPERLINK("https://dpmzos25m8ivg.cloudfront.net/Documentos/631/02241585114/6310224158511411092023153734.pdf","https://dpmzos25m8ivg.cloudfront.net/Documentos/631/02241585114/6310224158511411092023153734.pdf")</f>
        <v>https://dpmzos25m8ivg.cloudfront.net/Documentos/631/02241585114/6310224158511411092023153734.pdf</v>
      </c>
      <c r="H784" s="4" t="s">
        <v>9371</v>
      </c>
    </row>
    <row r="785" spans="1:8" x14ac:dyDescent="0.25">
      <c r="A785" s="2" t="s">
        <v>799</v>
      </c>
      <c r="B785" s="3"/>
      <c r="C785" s="3"/>
      <c r="D785" s="3"/>
      <c r="E785" s="4" t="str">
        <f>HYPERLINK("https://dpmzos25m8ivg.cloudfront.net/Documentos/631/02241819123/6310224181912308092023010607.jpg","https://dpmzos25m8ivg.cloudfront.net/Documentos/631/02241819123/6310224181912308092023010607.jpg")</f>
        <v>https://dpmzos25m8ivg.cloudfront.net/Documentos/631/02241819123/6310224181912308092023010607.jpg</v>
      </c>
      <c r="F785" s="5" t="str">
        <f>HYPERLINK("https://dpmzos25m8ivg.cloudfront.net/Documentos/631/02241819123/6310224181912308092023010624.jpg","https://dpmzos25m8ivg.cloudfront.net/Documentos/631/02241819123/6310224181912308092023010624.jpg")</f>
        <v>https://dpmzos25m8ivg.cloudfront.net/Documentos/631/02241819123/6310224181912308092023010624.jpg</v>
      </c>
      <c r="G785" s="5" t="str">
        <f>HYPERLINK("https://dpmzos25m8ivg.cloudfront.net/Documentos/631/02241819123/6310224181912308092023010641.jpg","https://dpmzos25m8ivg.cloudfront.net/Documentos/631/02241819123/6310224181912308092023010641.jpg")</f>
        <v>https://dpmzos25m8ivg.cloudfront.net/Documentos/631/02241819123/6310224181912308092023010641.jpg</v>
      </c>
      <c r="H785" s="4" t="s">
        <v>9372</v>
      </c>
    </row>
    <row r="786" spans="1:8" x14ac:dyDescent="0.25">
      <c r="A786" s="2" t="s">
        <v>800</v>
      </c>
      <c r="B786" s="3"/>
      <c r="C786" s="3"/>
      <c r="D786" s="3"/>
      <c r="E786" s="4" t="str">
        <f>HYPERLINK("https://dpmzos25m8ivg.cloudfront.net/Documentos/631/02247602622/6310224760262206092023093409.pdf","https://dpmzos25m8ivg.cloudfront.net/Documentos/631/02247602622/6310224760262206092023093409.pdf")</f>
        <v>https://dpmzos25m8ivg.cloudfront.net/Documentos/631/02247602622/6310224760262206092023093409.pdf</v>
      </c>
      <c r="F786" s="5" t="str">
        <f>HYPERLINK("https://dpmzos25m8ivg.cloudfront.net/Documentos/631/02247602622/6310224760262206092023093436.pdf","https://dpmzos25m8ivg.cloudfront.net/Documentos/631/02247602622/6310224760262206092023093436.pdf")</f>
        <v>https://dpmzos25m8ivg.cloudfront.net/Documentos/631/02247602622/6310224760262206092023093436.pdf</v>
      </c>
      <c r="G786" s="5" t="str">
        <f>HYPERLINK("https://dpmzos25m8ivg.cloudfront.net/Documentos/631/02247602622/6310224760262206092023093450.pdf","https://dpmzos25m8ivg.cloudfront.net/Documentos/631/02247602622/6310224760262206092023093450.pdf")</f>
        <v>https://dpmzos25m8ivg.cloudfront.net/Documentos/631/02247602622/6310224760262206092023093450.pdf</v>
      </c>
      <c r="H786" s="4" t="s">
        <v>9373</v>
      </c>
    </row>
    <row r="787" spans="1:8" x14ac:dyDescent="0.25">
      <c r="A787" s="2" t="s">
        <v>801</v>
      </c>
      <c r="B787" s="3" t="s">
        <v>8</v>
      </c>
      <c r="C787" s="3"/>
      <c r="D787" s="3"/>
      <c r="E787" s="4" t="str">
        <f>HYPERLINK("https://dpmzos25m8ivg.cloudfront.net/Documentos/631/02251130233/6310225113023311092023151117.pdf","https://dpmzos25m8ivg.cloudfront.net/Documentos/631/02251130233/6310225113023311092023151117.pdf")</f>
        <v>https://dpmzos25m8ivg.cloudfront.net/Documentos/631/02251130233/6310225113023311092023151117.pdf</v>
      </c>
      <c r="F787" s="5" t="str">
        <f>HYPERLINK("https://dpmzos25m8ivg.cloudfront.net/Documentos/631/02251130233/6310225113023311092023151139.pdf","https://dpmzos25m8ivg.cloudfront.net/Documentos/631/02251130233/6310225113023311092023151139.pdf")</f>
        <v>https://dpmzos25m8ivg.cloudfront.net/Documentos/631/02251130233/6310225113023311092023151139.pdf</v>
      </c>
      <c r="G787" s="5" t="str">
        <f>HYPERLINK("https://dpmzos25m8ivg.cloudfront.net/Documentos/631/02251130233/6310225113023311092023151159.pdf","https://dpmzos25m8ivg.cloudfront.net/Documentos/631/02251130233/6310225113023311092023151159.pdf")</f>
        <v>https://dpmzos25m8ivg.cloudfront.net/Documentos/631/02251130233/6310225113023311092023151159.pdf</v>
      </c>
      <c r="H787" s="4" t="s">
        <v>9010</v>
      </c>
    </row>
    <row r="788" spans="1:8" x14ac:dyDescent="0.25">
      <c r="A788" s="2" t="s">
        <v>802</v>
      </c>
      <c r="B788" s="3"/>
      <c r="C788" s="3"/>
      <c r="D788" s="3"/>
      <c r="E788" s="4" t="str">
        <f>HYPERLINK("https://dpmzos25m8ivg.cloudfront.net/Documentos/631/02259286127/6310225928612711092023145105.pdf","https://dpmzos25m8ivg.cloudfront.net/Documentos/631/02259286127/6310225928612711092023145105.pdf")</f>
        <v>https://dpmzos25m8ivg.cloudfront.net/Documentos/631/02259286127/6310225928612711092023145105.pdf</v>
      </c>
      <c r="F788" s="5" t="str">
        <f>HYPERLINK("https://dpmzos25m8ivg.cloudfront.net/Documentos/631/02259286127/6310225928612711092023145114.pdf","https://dpmzos25m8ivg.cloudfront.net/Documentos/631/02259286127/6310225928612711092023145114.pdf")</f>
        <v>https://dpmzos25m8ivg.cloudfront.net/Documentos/631/02259286127/6310225928612711092023145114.pdf</v>
      </c>
      <c r="G788" s="5" t="str">
        <f>HYPERLINK("https://dpmzos25m8ivg.cloudfront.net/Documentos/631/02259286127/6310225928612711092023145128.pdf","https://dpmzos25m8ivg.cloudfront.net/Documentos/631/02259286127/6310225928612711092023145128.pdf")</f>
        <v>https://dpmzos25m8ivg.cloudfront.net/Documentos/631/02259286127/6310225928612711092023145128.pdf</v>
      </c>
      <c r="H788" s="4" t="s">
        <v>9374</v>
      </c>
    </row>
    <row r="789" spans="1:8" x14ac:dyDescent="0.25">
      <c r="A789" s="2" t="s">
        <v>803</v>
      </c>
      <c r="B789" s="3"/>
      <c r="C789" s="3"/>
      <c r="D789" s="3"/>
      <c r="E789" s="4" t="str">
        <f>HYPERLINK("https://dpmzos25m8ivg.cloudfront.net/Documentos/631/02264228288/6310226422828811092023101056.pdf","https://dpmzos25m8ivg.cloudfront.net/Documentos/631/02264228288/6310226422828811092023101056.pdf")</f>
        <v>https://dpmzos25m8ivg.cloudfront.net/Documentos/631/02264228288/6310226422828811092023101056.pdf</v>
      </c>
      <c r="F789" s="5" t="str">
        <f>HYPERLINK("https://dpmzos25m8ivg.cloudfront.net/Documentos/631/02264228288/6310226422828811092023101112.pdf","https://dpmzos25m8ivg.cloudfront.net/Documentos/631/02264228288/6310226422828811092023101112.pdf")</f>
        <v>https://dpmzos25m8ivg.cloudfront.net/Documentos/631/02264228288/6310226422828811092023101112.pdf</v>
      </c>
      <c r="G789" s="5" t="str">
        <f>HYPERLINK("https://dpmzos25m8ivg.cloudfront.net/Documentos/631/02264228288/6310226422828811092023101119.pdf","https://dpmzos25m8ivg.cloudfront.net/Documentos/631/02264228288/6310226422828811092023101119.pdf")</f>
        <v>https://dpmzos25m8ivg.cloudfront.net/Documentos/631/02264228288/6310226422828811092023101119.pdf</v>
      </c>
      <c r="H789" s="4" t="s">
        <v>9375</v>
      </c>
    </row>
    <row r="790" spans="1:8" x14ac:dyDescent="0.25">
      <c r="A790" s="2" t="s">
        <v>804</v>
      </c>
      <c r="B790" s="3"/>
      <c r="C790" s="3"/>
      <c r="D790" s="3"/>
      <c r="E790" s="4" t="str">
        <f>HYPERLINK("https://dpmzos25m8ivg.cloudfront.net/Documentos/631/02264320176/6310226432017611092023130002.pdf","https://dpmzos25m8ivg.cloudfront.net/Documentos/631/02264320176/6310226432017611092023130002.pdf")</f>
        <v>https://dpmzos25m8ivg.cloudfront.net/Documentos/631/02264320176/6310226432017611092023130002.pdf</v>
      </c>
      <c r="F790" s="5" t="str">
        <f>HYPERLINK("https://dpmzos25m8ivg.cloudfront.net/Documentos/631/02264320176/6310226432017611092023130013.pdf","https://dpmzos25m8ivg.cloudfront.net/Documentos/631/02264320176/6310226432017611092023130013.pdf")</f>
        <v>https://dpmzos25m8ivg.cloudfront.net/Documentos/631/02264320176/6310226432017611092023130013.pdf</v>
      </c>
      <c r="G790" s="5" t="str">
        <f>HYPERLINK("https://dpmzos25m8ivg.cloudfront.net/Documentos/631/02264320176/6310226432017611092023130022.pdf","https://dpmzos25m8ivg.cloudfront.net/Documentos/631/02264320176/6310226432017611092023130022.pdf")</f>
        <v>https://dpmzos25m8ivg.cloudfront.net/Documentos/631/02264320176/6310226432017611092023130022.pdf</v>
      </c>
      <c r="H790" s="4" t="s">
        <v>9376</v>
      </c>
    </row>
    <row r="791" spans="1:8" x14ac:dyDescent="0.25">
      <c r="A791" s="2" t="s">
        <v>805</v>
      </c>
      <c r="B791" s="3"/>
      <c r="C791" s="3"/>
      <c r="D791" s="3"/>
      <c r="E791" s="4" t="str">
        <f>HYPERLINK("https://dpmzos25m8ivg.cloudfront.net/Documentos/631/02265747254/6310226574725411092023162019.pdf","https://dpmzos25m8ivg.cloudfront.net/Documentos/631/02265747254/6310226574725411092023162019.pdf")</f>
        <v>https://dpmzos25m8ivg.cloudfront.net/Documentos/631/02265747254/6310226574725411092023162019.pdf</v>
      </c>
      <c r="F791" s="5" t="str">
        <f>HYPERLINK("https://dpmzos25m8ivg.cloudfront.net/Documentos/631/02265747254/6310226574725411092023162140.pdf","https://dpmzos25m8ivg.cloudfront.net/Documentos/631/02265747254/6310226574725411092023162140.pdf")</f>
        <v>https://dpmzos25m8ivg.cloudfront.net/Documentos/631/02265747254/6310226574725411092023162140.pdf</v>
      </c>
      <c r="G791" s="5" t="str">
        <f>HYPERLINK("https://dpmzos25m8ivg.cloudfront.net/Documentos/631/02265747254/6310226574725411092023162241.pdf","https://dpmzos25m8ivg.cloudfront.net/Documentos/631/02265747254/6310226574725411092023162241.pdf")</f>
        <v>https://dpmzos25m8ivg.cloudfront.net/Documentos/631/02265747254/6310226574725411092023162241.pdf</v>
      </c>
      <c r="H791" s="4" t="s">
        <v>9377</v>
      </c>
    </row>
    <row r="792" spans="1:8" x14ac:dyDescent="0.25">
      <c r="A792" s="2" t="s">
        <v>806</v>
      </c>
      <c r="B792" s="3"/>
      <c r="C792" s="3"/>
      <c r="D792" s="3"/>
      <c r="E792" s="4" t="str">
        <f>HYPERLINK("https://dpmzos25m8ivg.cloudfront.net/Documentos/631/02267868628/6310226786862806092023100552.pdf","https://dpmzos25m8ivg.cloudfront.net/Documentos/631/02267868628/6310226786862806092023100552.pdf")</f>
        <v>https://dpmzos25m8ivg.cloudfront.net/Documentos/631/02267868628/6310226786862806092023100552.pdf</v>
      </c>
      <c r="F792" s="5" t="str">
        <f>HYPERLINK("https://dpmzos25m8ivg.cloudfront.net/Documentos/631/02267868628/6310226786862806092023100937.pdf","https://dpmzos25m8ivg.cloudfront.net/Documentos/631/02267868628/6310226786862806092023100937.pdf")</f>
        <v>https://dpmzos25m8ivg.cloudfront.net/Documentos/631/02267868628/6310226786862806092023100937.pdf</v>
      </c>
      <c r="G792" s="5" t="str">
        <f>HYPERLINK("https://dpmzos25m8ivg.cloudfront.net/Documentos/631/02267868628/6310226786862806092023100956.pdf","https://dpmzos25m8ivg.cloudfront.net/Documentos/631/02267868628/6310226786862806092023100956.pdf")</f>
        <v>https://dpmzos25m8ivg.cloudfront.net/Documentos/631/02267868628/6310226786862806092023100956.pdf</v>
      </c>
      <c r="H792" s="4" t="s">
        <v>9378</v>
      </c>
    </row>
    <row r="793" spans="1:8" x14ac:dyDescent="0.25">
      <c r="A793" s="2" t="s">
        <v>807</v>
      </c>
      <c r="B793" s="3"/>
      <c r="C793" s="3"/>
      <c r="D793" s="3"/>
      <c r="E793" s="4" t="str">
        <f>HYPERLINK("https://dpmzos25m8ivg.cloudfront.net/Documentos/631/02268196127/6310226819612711092023132512.pdf","https://dpmzos25m8ivg.cloudfront.net/Documentos/631/02268196127/6310226819612711092023132512.pdf")</f>
        <v>https://dpmzos25m8ivg.cloudfront.net/Documentos/631/02268196127/6310226819612711092023132512.pdf</v>
      </c>
      <c r="F793" s="5" t="str">
        <f>HYPERLINK("https://dpmzos25m8ivg.cloudfront.net/Documentos/631/02268196127/6310226819612711092023132506.pdf","https://dpmzos25m8ivg.cloudfront.net/Documentos/631/02268196127/6310226819612711092023132506.pdf")</f>
        <v>https://dpmzos25m8ivg.cloudfront.net/Documentos/631/02268196127/6310226819612711092023132506.pdf</v>
      </c>
      <c r="G793" s="5" t="str">
        <f>HYPERLINK("https://dpmzos25m8ivg.cloudfront.net/Documentos/631/02268196127/6310226819612711092023132500.pdf","https://dpmzos25m8ivg.cloudfront.net/Documentos/631/02268196127/6310226819612711092023132500.pdf")</f>
        <v>https://dpmzos25m8ivg.cloudfront.net/Documentos/631/02268196127/6310226819612711092023132500.pdf</v>
      </c>
      <c r="H793" s="4" t="s">
        <v>9379</v>
      </c>
    </row>
    <row r="794" spans="1:8" x14ac:dyDescent="0.25">
      <c r="A794" s="2" t="s">
        <v>808</v>
      </c>
      <c r="B794" s="3"/>
      <c r="C794" s="3"/>
      <c r="D794" s="3"/>
      <c r="E794" s="4" t="str">
        <f>HYPERLINK("https://dpmzos25m8ivg.cloudfront.net/Documentos/631/02268530124/6310226853012406092023180109.jpeg","https://dpmzos25m8ivg.cloudfront.net/Documentos/631/02268530124/6310226853012406092023180109.jpeg")</f>
        <v>https://dpmzos25m8ivg.cloudfront.net/Documentos/631/02268530124/6310226853012406092023180109.jpeg</v>
      </c>
      <c r="F794" s="5" t="str">
        <f>HYPERLINK("https://dpmzos25m8ivg.cloudfront.net/Documentos/631/02268530124/6310226853012406092023180125.jpeg","https://dpmzos25m8ivg.cloudfront.net/Documentos/631/02268530124/6310226853012406092023180125.jpeg")</f>
        <v>https://dpmzos25m8ivg.cloudfront.net/Documentos/631/02268530124/6310226853012406092023180125.jpeg</v>
      </c>
      <c r="G794" s="5" t="str">
        <f>HYPERLINK("https://dpmzos25m8ivg.cloudfront.net/Documentos/631/02268530124/6310226853012406092023180139.jpeg","https://dpmzos25m8ivg.cloudfront.net/Documentos/631/02268530124/6310226853012406092023180139.jpeg")</f>
        <v>https://dpmzos25m8ivg.cloudfront.net/Documentos/631/02268530124/6310226853012406092023180139.jpeg</v>
      </c>
      <c r="H794" s="4" t="s">
        <v>9380</v>
      </c>
    </row>
    <row r="795" spans="1:8" x14ac:dyDescent="0.25">
      <c r="A795" s="2" t="s">
        <v>809</v>
      </c>
      <c r="B795" s="3"/>
      <c r="C795" s="3"/>
      <c r="D795" s="3"/>
      <c r="E795" s="4" t="str">
        <f>HYPERLINK("https://dpmzos25m8ivg.cloudfront.net/Documentos/631/02268936341/6310226893634105092023181825.pdf","https://dpmzos25m8ivg.cloudfront.net/Documentos/631/02268936341/6310226893634105092023181825.pdf")</f>
        <v>https://dpmzos25m8ivg.cloudfront.net/Documentos/631/02268936341/6310226893634105092023181825.pdf</v>
      </c>
      <c r="F795" s="5" t="str">
        <f>HYPERLINK("https://dpmzos25m8ivg.cloudfront.net/Documentos/631/02268936341/6310226893634105092023181850.pdf","https://dpmzos25m8ivg.cloudfront.net/Documentos/631/02268936341/6310226893634105092023181850.pdf")</f>
        <v>https://dpmzos25m8ivg.cloudfront.net/Documentos/631/02268936341/6310226893634105092023181850.pdf</v>
      </c>
      <c r="G795" s="5" t="str">
        <f>HYPERLINK("https://dpmzos25m8ivg.cloudfront.net/Documentos/631/02268936341/6310226893634105092023181917.pdf","https://dpmzos25m8ivg.cloudfront.net/Documentos/631/02268936341/6310226893634105092023181917.pdf")</f>
        <v>https://dpmzos25m8ivg.cloudfront.net/Documentos/631/02268936341/6310226893634105092023181917.pdf</v>
      </c>
      <c r="H795" s="4" t="s">
        <v>9381</v>
      </c>
    </row>
    <row r="796" spans="1:8" x14ac:dyDescent="0.25">
      <c r="A796" s="2" t="s">
        <v>810</v>
      </c>
      <c r="B796" s="3"/>
      <c r="C796" s="3"/>
      <c r="D796" s="3"/>
      <c r="E796" s="4" t="str">
        <f>HYPERLINK("https://dpmzos25m8ivg.cloudfront.net/Documentos/631/02270492099/6310227049209907092023134309.pdf","https://dpmzos25m8ivg.cloudfront.net/Documentos/631/02270492099/6310227049209907092023134309.pdf")</f>
        <v>https://dpmzos25m8ivg.cloudfront.net/Documentos/631/02270492099/6310227049209907092023134309.pdf</v>
      </c>
      <c r="F796" s="5" t="str">
        <f>HYPERLINK("https://dpmzos25m8ivg.cloudfront.net/Documentos/631/02270492099/6310227049209907092023134338.pdf","https://dpmzos25m8ivg.cloudfront.net/Documentos/631/02270492099/6310227049209907092023134338.pdf")</f>
        <v>https://dpmzos25m8ivg.cloudfront.net/Documentos/631/02270492099/6310227049209907092023134338.pdf</v>
      </c>
      <c r="G796" s="5" t="str">
        <f>HYPERLINK("https://dpmzos25m8ivg.cloudfront.net/Documentos/631/02270492099/6310227049209907092023134345.pdf","https://dpmzos25m8ivg.cloudfront.net/Documentos/631/02270492099/6310227049209907092023134345.pdf")</f>
        <v>https://dpmzos25m8ivg.cloudfront.net/Documentos/631/02270492099/6310227049209907092023134345.pdf</v>
      </c>
      <c r="H796" s="4" t="s">
        <v>9382</v>
      </c>
    </row>
    <row r="797" spans="1:8" x14ac:dyDescent="0.25">
      <c r="A797" s="2" t="s">
        <v>811</v>
      </c>
      <c r="B797" s="3"/>
      <c r="C797" s="3"/>
      <c r="D797" s="3"/>
      <c r="E797" s="4" t="str">
        <f>HYPERLINK("https://dpmzos25m8ivg.cloudfront.net/Documentos/631/02272025200/6310227202520013092023104813.pdf","https://dpmzos25m8ivg.cloudfront.net/Documentos/631/02272025200/6310227202520013092023104813.pdf")</f>
        <v>https://dpmzos25m8ivg.cloudfront.net/Documentos/631/02272025200/6310227202520013092023104813.pdf</v>
      </c>
      <c r="F797" s="5" t="str">
        <f>HYPERLINK("https://dpmzos25m8ivg.cloudfront.net/Documentos/631/02272025200/6310227202520013092023104824.pdf","https://dpmzos25m8ivg.cloudfront.net/Documentos/631/02272025200/6310227202520013092023104824.pdf")</f>
        <v>https://dpmzos25m8ivg.cloudfront.net/Documentos/631/02272025200/6310227202520013092023104824.pdf</v>
      </c>
      <c r="G797" s="5" t="str">
        <f>HYPERLINK("https://dpmzos25m8ivg.cloudfront.net/Documentos/631/02272025200/6310227202520013092023104835.pdf","https://dpmzos25m8ivg.cloudfront.net/Documentos/631/02272025200/6310227202520013092023104835.pdf")</f>
        <v>https://dpmzos25m8ivg.cloudfront.net/Documentos/631/02272025200/6310227202520013092023104835.pdf</v>
      </c>
      <c r="H797" s="4" t="s">
        <v>9383</v>
      </c>
    </row>
    <row r="798" spans="1:8" x14ac:dyDescent="0.25">
      <c r="A798" s="2" t="s">
        <v>812</v>
      </c>
      <c r="B798" s="3" t="s">
        <v>8</v>
      </c>
      <c r="C798" s="3"/>
      <c r="D798" s="3"/>
      <c r="E798" s="4" t="str">
        <f>HYPERLINK("https://dpmzos25m8ivg.cloudfront.net/Documentos/631/02273122950/6310227312295014092023162333.pdf","https://dpmzos25m8ivg.cloudfront.net/Documentos/631/02273122950/6310227312295014092023162333.pdf")</f>
        <v>https://dpmzos25m8ivg.cloudfront.net/Documentos/631/02273122950/6310227312295014092023162333.pdf</v>
      </c>
      <c r="F798" s="5" t="str">
        <f>HYPERLINK("https://dpmzos25m8ivg.cloudfront.net/Documentos/631/02273122950/6310227312295014092023162343.pdf","https://dpmzos25m8ivg.cloudfront.net/Documentos/631/02273122950/6310227312295014092023162343.pdf")</f>
        <v>https://dpmzos25m8ivg.cloudfront.net/Documentos/631/02273122950/6310227312295014092023162343.pdf</v>
      </c>
      <c r="G798" s="5" t="str">
        <f>HYPERLINK("https://dpmzos25m8ivg.cloudfront.net/Documentos/631/02273122950/6310227312295014092023162352.pdf","https://dpmzos25m8ivg.cloudfront.net/Documentos/631/02273122950/6310227312295014092023162352.pdf")</f>
        <v>https://dpmzos25m8ivg.cloudfront.net/Documentos/631/02273122950/6310227312295014092023162352.pdf</v>
      </c>
      <c r="H798" s="4" t="s">
        <v>9384</v>
      </c>
    </row>
    <row r="799" spans="1:8" x14ac:dyDescent="0.25">
      <c r="A799" s="2" t="s">
        <v>813</v>
      </c>
      <c r="B799" s="3" t="s">
        <v>8</v>
      </c>
      <c r="C799" s="3"/>
      <c r="D799" s="3"/>
      <c r="E799" s="4" t="str">
        <f>HYPERLINK("https://dpmzos25m8ivg.cloudfront.net/Documentos/631/02274168130/6310227416813012092023195815.jpg","https://dpmzos25m8ivg.cloudfront.net/Documentos/631/02274168130/6310227416813012092023195815.jpg")</f>
        <v>https://dpmzos25m8ivg.cloudfront.net/Documentos/631/02274168130/6310227416813012092023195815.jpg</v>
      </c>
      <c r="F799" s="5" t="str">
        <f>HYPERLINK("https://dpmzos25m8ivg.cloudfront.net/Documentos/631/02274168130/6310227416813012092023195840.jpg","https://dpmzos25m8ivg.cloudfront.net/Documentos/631/02274168130/6310227416813012092023195840.jpg")</f>
        <v>https://dpmzos25m8ivg.cloudfront.net/Documentos/631/02274168130/6310227416813012092023195840.jpg</v>
      </c>
      <c r="G799" s="5" t="str">
        <f>HYPERLINK("https://dpmzos25m8ivg.cloudfront.net/Documentos/631/02274168130/6310227416813012092023195859.jpg","https://dpmzos25m8ivg.cloudfront.net/Documentos/631/02274168130/6310227416813012092023195859.jpg")</f>
        <v>https://dpmzos25m8ivg.cloudfront.net/Documentos/631/02274168130/6310227416813012092023195859.jpg</v>
      </c>
      <c r="H799" s="4" t="s">
        <v>9385</v>
      </c>
    </row>
    <row r="800" spans="1:8" x14ac:dyDescent="0.25">
      <c r="A800" s="2" t="s">
        <v>814</v>
      </c>
      <c r="B800" s="3"/>
      <c r="C800" s="3"/>
      <c r="D800" s="3"/>
      <c r="E800" s="4" t="str">
        <f>HYPERLINK("https://dpmzos25m8ivg.cloudfront.net/Documentos/631/02276306459/6310227630645911092023101320.pdf","https://dpmzos25m8ivg.cloudfront.net/Documentos/631/02276306459/6310227630645911092023101320.pdf")</f>
        <v>https://dpmzos25m8ivg.cloudfront.net/Documentos/631/02276306459/6310227630645911092023101320.pdf</v>
      </c>
      <c r="F800" s="5" t="str">
        <f>HYPERLINK("https://dpmzos25m8ivg.cloudfront.net/Documentos/631/02276306459/6310227630645911092023101332.pdf","https://dpmzos25m8ivg.cloudfront.net/Documentos/631/02276306459/6310227630645911092023101332.pdf")</f>
        <v>https://dpmzos25m8ivg.cloudfront.net/Documentos/631/02276306459/6310227630645911092023101332.pdf</v>
      </c>
      <c r="G800" s="5" t="str">
        <f>HYPERLINK("https://dpmzos25m8ivg.cloudfront.net/Documentos/631/02276306459/6310227630645911092023101342.pdf","https://dpmzos25m8ivg.cloudfront.net/Documentos/631/02276306459/6310227630645911092023101342.pdf")</f>
        <v>https://dpmzos25m8ivg.cloudfront.net/Documentos/631/02276306459/6310227630645911092023101342.pdf</v>
      </c>
      <c r="H800" s="4" t="s">
        <v>9386</v>
      </c>
    </row>
    <row r="801" spans="1:8" x14ac:dyDescent="0.25">
      <c r="A801" s="2" t="s">
        <v>815</v>
      </c>
      <c r="B801" s="3"/>
      <c r="C801" s="3"/>
      <c r="D801" s="3"/>
      <c r="E801" s="4" t="str">
        <f>HYPERLINK("https://dpmzos25m8ivg.cloudfront.net/Documentos/631/02279899299/6310227989929905092023101003.pdf","https://dpmzos25m8ivg.cloudfront.net/Documentos/631/02279899299/6310227989929905092023101003.pdf")</f>
        <v>https://dpmzos25m8ivg.cloudfront.net/Documentos/631/02279899299/6310227989929905092023101003.pdf</v>
      </c>
      <c r="F801" s="5" t="str">
        <f>HYPERLINK("https://dpmzos25m8ivg.cloudfront.net/Documentos/631/02279899299/6310227989929905092023101017.pdf","https://dpmzos25m8ivg.cloudfront.net/Documentos/631/02279899299/6310227989929905092023101017.pdf")</f>
        <v>https://dpmzos25m8ivg.cloudfront.net/Documentos/631/02279899299/6310227989929905092023101017.pdf</v>
      </c>
      <c r="G801" s="5" t="str">
        <f>HYPERLINK("https://dpmzos25m8ivg.cloudfront.net/Documentos/631/02279899299/6310227989929905092023101038.pdf","https://dpmzos25m8ivg.cloudfront.net/Documentos/631/02279899299/6310227989929905092023101038.pdf")</f>
        <v>https://dpmzos25m8ivg.cloudfront.net/Documentos/631/02279899299/6310227989929905092023101038.pdf</v>
      </c>
      <c r="H801" s="4" t="s">
        <v>9387</v>
      </c>
    </row>
    <row r="802" spans="1:8" x14ac:dyDescent="0.25">
      <c r="A802" s="2" t="s">
        <v>816</v>
      </c>
      <c r="B802" s="3" t="s">
        <v>90</v>
      </c>
      <c r="C802" s="3"/>
      <c r="D802" s="3"/>
      <c r="E802" s="4" t="str">
        <f>HYPERLINK("https://dpmzos25m8ivg.cloudfront.net/Documentos/631/02283039312/6310228303931211092023145600.jpeg","https://dpmzos25m8ivg.cloudfront.net/Documentos/631/02283039312/6310228303931211092023145600.jpeg")</f>
        <v>https://dpmzos25m8ivg.cloudfront.net/Documentos/631/02283039312/6310228303931211092023145600.jpeg</v>
      </c>
      <c r="F802" s="5" t="str">
        <f>HYPERLINK("https://dpmzos25m8ivg.cloudfront.net/Documentos/631/02283039312/6310228303931211092023145616.jpeg","https://dpmzos25m8ivg.cloudfront.net/Documentos/631/02283039312/6310228303931211092023145616.jpeg")</f>
        <v>https://dpmzos25m8ivg.cloudfront.net/Documentos/631/02283039312/6310228303931211092023145616.jpeg</v>
      </c>
      <c r="G802" s="5" t="str">
        <f>HYPERLINK("https://dpmzos25m8ivg.cloudfront.net/Documentos/631/02283039312/6310228303931211092023145641.jpeg","https://dpmzos25m8ivg.cloudfront.net/Documentos/631/02283039312/6310228303931211092023145641.jpeg")</f>
        <v>https://dpmzos25m8ivg.cloudfront.net/Documentos/631/02283039312/6310228303931211092023145641.jpeg</v>
      </c>
      <c r="H802" s="4" t="s">
        <v>9388</v>
      </c>
    </row>
    <row r="803" spans="1:8" x14ac:dyDescent="0.25">
      <c r="A803" s="2" t="s">
        <v>817</v>
      </c>
      <c r="B803" s="3"/>
      <c r="C803" s="3"/>
      <c r="D803" s="3"/>
      <c r="E803" s="4" t="str">
        <f>HYPERLINK("https://dpmzos25m8ivg.cloudfront.net/Documentos/631/02284891136/6310228489113612092023183437.pdf","https://dpmzos25m8ivg.cloudfront.net/Documentos/631/02284891136/6310228489113612092023183437.pdf")</f>
        <v>https://dpmzos25m8ivg.cloudfront.net/Documentos/631/02284891136/6310228489113612092023183437.pdf</v>
      </c>
      <c r="F803" s="5" t="str">
        <f>HYPERLINK("https://dpmzos25m8ivg.cloudfront.net/Documentos/631/02284891136/6310228489113612092023183503.pdf","https://dpmzos25m8ivg.cloudfront.net/Documentos/631/02284891136/6310228489113612092023183503.pdf")</f>
        <v>https://dpmzos25m8ivg.cloudfront.net/Documentos/631/02284891136/6310228489113612092023183503.pdf</v>
      </c>
      <c r="G803" s="5" t="str">
        <f>HYPERLINK("https://dpmzos25m8ivg.cloudfront.net/Documentos/631/02284891136/6310228489113612092023183529.pdf","https://dpmzos25m8ivg.cloudfront.net/Documentos/631/02284891136/6310228489113612092023183529.pdf")</f>
        <v>https://dpmzos25m8ivg.cloudfront.net/Documentos/631/02284891136/6310228489113612092023183529.pdf</v>
      </c>
      <c r="H803" s="4" t="s">
        <v>9389</v>
      </c>
    </row>
    <row r="804" spans="1:8" x14ac:dyDescent="0.25">
      <c r="A804" s="2" t="s">
        <v>818</v>
      </c>
      <c r="B804" s="3"/>
      <c r="C804" s="3"/>
      <c r="D804" s="3"/>
      <c r="E804" s="4" t="str">
        <f>HYPERLINK("https://dpmzos25m8ivg.cloudfront.net/Documentos/631/02289672440/6310228967244005092023105336.pdf","https://dpmzos25m8ivg.cloudfront.net/Documentos/631/02289672440/6310228967244005092023105336.pdf")</f>
        <v>https://dpmzos25m8ivg.cloudfront.net/Documentos/631/02289672440/6310228967244005092023105336.pdf</v>
      </c>
      <c r="F804" s="5" t="str">
        <f>HYPERLINK("https://dpmzos25m8ivg.cloudfront.net/Documentos/631/02289672440/6310228967244005092023105349.pdf","https://dpmzos25m8ivg.cloudfront.net/Documentos/631/02289672440/6310228967244005092023105349.pdf")</f>
        <v>https://dpmzos25m8ivg.cloudfront.net/Documentos/631/02289672440/6310228967244005092023105349.pdf</v>
      </c>
      <c r="G804" s="5" t="str">
        <f>HYPERLINK("https://dpmzos25m8ivg.cloudfront.net/Documentos/631/02289672440/6310228967244005092023105357.pdf","https://dpmzos25m8ivg.cloudfront.net/Documentos/631/02289672440/6310228967244005092023105357.pdf")</f>
        <v>https://dpmzos25m8ivg.cloudfront.net/Documentos/631/02289672440/6310228967244005092023105357.pdf</v>
      </c>
      <c r="H804" s="4" t="s">
        <v>9390</v>
      </c>
    </row>
    <row r="805" spans="1:8" x14ac:dyDescent="0.25">
      <c r="A805" s="2" t="s">
        <v>819</v>
      </c>
      <c r="B805" s="3"/>
      <c r="C805" s="3"/>
      <c r="D805" s="3"/>
      <c r="E805" s="4" t="str">
        <f>HYPERLINK("https://dpmzos25m8ivg.cloudfront.net/Documentos/631/02290673102/6310229067310206092023065056.jpg","https://dpmzos25m8ivg.cloudfront.net/Documentos/631/02290673102/6310229067310206092023065056.jpg")</f>
        <v>https://dpmzos25m8ivg.cloudfront.net/Documentos/631/02290673102/6310229067310206092023065056.jpg</v>
      </c>
      <c r="F805" s="5" t="str">
        <f>HYPERLINK("https://dpmzos25m8ivg.cloudfront.net/Documentos/631/02290673102/6310229067310206092023065115.jpg","https://dpmzos25m8ivg.cloudfront.net/Documentos/631/02290673102/6310229067310206092023065115.jpg")</f>
        <v>https://dpmzos25m8ivg.cloudfront.net/Documentos/631/02290673102/6310229067310206092023065115.jpg</v>
      </c>
      <c r="G805" s="5" t="str">
        <f>HYPERLINK("https://dpmzos25m8ivg.cloudfront.net/Documentos/631/02290673102/6310229067310206092023065127.jpg","https://dpmzos25m8ivg.cloudfront.net/Documentos/631/02290673102/6310229067310206092023065127.jpg")</f>
        <v>https://dpmzos25m8ivg.cloudfront.net/Documentos/631/02290673102/6310229067310206092023065127.jpg</v>
      </c>
      <c r="H805" s="4" t="s">
        <v>9391</v>
      </c>
    </row>
    <row r="806" spans="1:8" x14ac:dyDescent="0.25">
      <c r="A806" s="2" t="s">
        <v>820</v>
      </c>
      <c r="B806" s="3"/>
      <c r="C806" s="3"/>
      <c r="D806" s="3"/>
      <c r="E806" s="4" t="str">
        <f>HYPERLINK("https://dpmzos25m8ivg.cloudfront.net/Documentos/631/02291721992/6310229172199207092023192522.pdf","https://dpmzos25m8ivg.cloudfront.net/Documentos/631/02291721992/6310229172199207092023192522.pdf")</f>
        <v>https://dpmzos25m8ivg.cloudfront.net/Documentos/631/02291721992/6310229172199207092023192522.pdf</v>
      </c>
      <c r="F806" s="5" t="str">
        <f>HYPERLINK("https://dpmzos25m8ivg.cloudfront.net/Documentos/631/02291721992/6310229172199207092023192548.pdf","https://dpmzos25m8ivg.cloudfront.net/Documentos/631/02291721992/6310229172199207092023192548.pdf")</f>
        <v>https://dpmzos25m8ivg.cloudfront.net/Documentos/631/02291721992/6310229172199207092023192548.pdf</v>
      </c>
      <c r="G806" s="5" t="str">
        <f>HYPERLINK("https://dpmzos25m8ivg.cloudfront.net/Documentos/631/02291721992/6310229172199207092023192608.pdf","https://dpmzos25m8ivg.cloudfront.net/Documentos/631/02291721992/6310229172199207092023192608.pdf")</f>
        <v>https://dpmzos25m8ivg.cloudfront.net/Documentos/631/02291721992/6310229172199207092023192608.pdf</v>
      </c>
      <c r="H806" s="4" t="s">
        <v>9392</v>
      </c>
    </row>
    <row r="807" spans="1:8" x14ac:dyDescent="0.25">
      <c r="A807" s="2" t="s">
        <v>821</v>
      </c>
      <c r="B807" s="3" t="s">
        <v>42</v>
      </c>
      <c r="C807" s="3"/>
      <c r="D807" s="3"/>
      <c r="E807" s="4" t="str">
        <f>HYPERLINK("https://dpmzos25m8ivg.cloudfront.net/Documentos/631/02295518580/6310229551858006092023210022.pdf","https://dpmzos25m8ivg.cloudfront.net/Documentos/631/02295518580/6310229551858006092023210022.pdf")</f>
        <v>https://dpmzos25m8ivg.cloudfront.net/Documentos/631/02295518580/6310229551858006092023210022.pdf</v>
      </c>
      <c r="F807" s="5" t="str">
        <f>HYPERLINK("https://dpmzos25m8ivg.cloudfront.net/Documentos/631/02295518580/6310229551858006092023210033.pdf","https://dpmzos25m8ivg.cloudfront.net/Documentos/631/02295518580/6310229551858006092023210033.pdf")</f>
        <v>https://dpmzos25m8ivg.cloudfront.net/Documentos/631/02295518580/6310229551858006092023210033.pdf</v>
      </c>
      <c r="G807" s="5" t="str">
        <f>HYPERLINK("https://dpmzos25m8ivg.cloudfront.net/Documentos/631/02295518580/6310229551858006092023210048.pdf","https://dpmzos25m8ivg.cloudfront.net/Documentos/631/02295518580/6310229551858006092023210048.pdf")</f>
        <v>https://dpmzos25m8ivg.cloudfront.net/Documentos/631/02295518580/6310229551858006092023210048.pdf</v>
      </c>
      <c r="H807" s="4" t="s">
        <v>9393</v>
      </c>
    </row>
    <row r="808" spans="1:8" x14ac:dyDescent="0.25">
      <c r="A808" s="2" t="s">
        <v>822</v>
      </c>
      <c r="B808" s="3"/>
      <c r="C808" s="3"/>
      <c r="D808" s="3"/>
      <c r="E808" s="4" t="str">
        <f>HYPERLINK("https://dpmzos25m8ivg.cloudfront.net/Documentos/631/02301184293/6310230118429305092023103905.pdf","https://dpmzos25m8ivg.cloudfront.net/Documentos/631/02301184293/6310230118429305092023103905.pdf")</f>
        <v>https://dpmzos25m8ivg.cloudfront.net/Documentos/631/02301184293/6310230118429305092023103905.pdf</v>
      </c>
      <c r="F808" s="5" t="str">
        <f>HYPERLINK("https://dpmzos25m8ivg.cloudfront.net/Documentos/631/02301184293/6310230118429305092023103916.pdf","https://dpmzos25m8ivg.cloudfront.net/Documentos/631/02301184293/6310230118429305092023103916.pdf")</f>
        <v>https://dpmzos25m8ivg.cloudfront.net/Documentos/631/02301184293/6310230118429305092023103916.pdf</v>
      </c>
      <c r="G808" s="5" t="str">
        <f>HYPERLINK("https://dpmzos25m8ivg.cloudfront.net/Documentos/631/02301184293/6310230118429305092023103929.pdf","https://dpmzos25m8ivg.cloudfront.net/Documentos/631/02301184293/6310230118429305092023103929.pdf")</f>
        <v>https://dpmzos25m8ivg.cloudfront.net/Documentos/631/02301184293/6310230118429305092023103929.pdf</v>
      </c>
      <c r="H808" s="4" t="s">
        <v>9394</v>
      </c>
    </row>
    <row r="809" spans="1:8" x14ac:dyDescent="0.25">
      <c r="A809" s="2" t="s">
        <v>823</v>
      </c>
      <c r="B809" s="3"/>
      <c r="C809" s="3"/>
      <c r="D809" s="3"/>
      <c r="E809" s="4" t="str">
        <f>HYPERLINK("https://dpmzos25m8ivg.cloudfront.net/Documentos/631/02301684261/6310230168426111092023133013.jpeg","https://dpmzos25m8ivg.cloudfront.net/Documentos/631/02301684261/6310230168426111092023133013.jpeg")</f>
        <v>https://dpmzos25m8ivg.cloudfront.net/Documentos/631/02301684261/6310230168426111092023133013.jpeg</v>
      </c>
      <c r="F809" s="5" t="str">
        <f>HYPERLINK("https://dpmzos25m8ivg.cloudfront.net/Documentos/631/02301684261/6310230168426111092023133025.jpeg","https://dpmzos25m8ivg.cloudfront.net/Documentos/631/02301684261/6310230168426111092023133025.jpeg")</f>
        <v>https://dpmzos25m8ivg.cloudfront.net/Documentos/631/02301684261/6310230168426111092023133025.jpeg</v>
      </c>
      <c r="G809" s="5" t="str">
        <f>HYPERLINK("https://dpmzos25m8ivg.cloudfront.net/Documentos/631/02301684261/6310230168426111092023133043.jpeg","https://dpmzos25m8ivg.cloudfront.net/Documentos/631/02301684261/6310230168426111092023133043.jpeg")</f>
        <v>https://dpmzos25m8ivg.cloudfront.net/Documentos/631/02301684261/6310230168426111092023133043.jpeg</v>
      </c>
      <c r="H809" s="4" t="s">
        <v>9395</v>
      </c>
    </row>
    <row r="810" spans="1:8" x14ac:dyDescent="0.25">
      <c r="A810" s="2" t="s">
        <v>824</v>
      </c>
      <c r="B810" s="3"/>
      <c r="C810" s="3"/>
      <c r="D810" s="3"/>
      <c r="E810" s="4" t="str">
        <f>HYPERLINK("https://dpmzos25m8ivg.cloudfront.net/Documentos/631/02303193001/6310230319300111092023153301.pdf","https://dpmzos25m8ivg.cloudfront.net/Documentos/631/02303193001/6310230319300111092023153301.pdf")</f>
        <v>https://dpmzos25m8ivg.cloudfront.net/Documentos/631/02303193001/6310230319300111092023153301.pdf</v>
      </c>
      <c r="F810" s="5" t="str">
        <f>HYPERLINK("https://dpmzos25m8ivg.cloudfront.net/Documentos/631/02303193001/6310230319300111092023153311.pdf","https://dpmzos25m8ivg.cloudfront.net/Documentos/631/02303193001/6310230319300111092023153311.pdf")</f>
        <v>https://dpmzos25m8ivg.cloudfront.net/Documentos/631/02303193001/6310230319300111092023153311.pdf</v>
      </c>
      <c r="G810" s="5" t="str">
        <f>HYPERLINK("https://dpmzos25m8ivg.cloudfront.net/Documentos/631/02303193001/6310230319300111092023153323.pdf","https://dpmzos25m8ivg.cloudfront.net/Documentos/631/02303193001/6310230319300111092023153323.pdf")</f>
        <v>https://dpmzos25m8ivg.cloudfront.net/Documentos/631/02303193001/6310230319300111092023153323.pdf</v>
      </c>
      <c r="H810" s="4" t="s">
        <v>9396</v>
      </c>
    </row>
    <row r="811" spans="1:8" x14ac:dyDescent="0.25">
      <c r="A811" s="2" t="s">
        <v>825</v>
      </c>
      <c r="B811" s="3" t="s">
        <v>197</v>
      </c>
      <c r="C811" s="3"/>
      <c r="D811" s="3"/>
      <c r="E811" s="4" t="str">
        <f>HYPERLINK("https://dpmzos25m8ivg.cloudfront.net/Documentos/631/02306221197/6310230622119711092023151750.pdf","https://dpmzos25m8ivg.cloudfront.net/Documentos/631/02306221197/6310230622119711092023151750.pdf")</f>
        <v>https://dpmzos25m8ivg.cloudfront.net/Documentos/631/02306221197/6310230622119711092023151750.pdf</v>
      </c>
      <c r="F811" s="5" t="str">
        <f>HYPERLINK("https://dpmzos25m8ivg.cloudfront.net/Documentos/631/02306221197/6310230622119711092023151724.pdf","https://dpmzos25m8ivg.cloudfront.net/Documentos/631/02306221197/6310230622119711092023151724.pdf")</f>
        <v>https://dpmzos25m8ivg.cloudfront.net/Documentos/631/02306221197/6310230622119711092023151724.pdf</v>
      </c>
      <c r="G811" s="5" t="str">
        <f>HYPERLINK("https://dpmzos25m8ivg.cloudfront.net/Documentos/631/02306221197/6310230622119711092023151649.pdf","https://dpmzos25m8ivg.cloudfront.net/Documentos/631/02306221197/6310230622119711092023151649.pdf")</f>
        <v>https://dpmzos25m8ivg.cloudfront.net/Documentos/631/02306221197/6310230622119711092023151649.pdf</v>
      </c>
      <c r="H811" s="4" t="s">
        <v>9397</v>
      </c>
    </row>
    <row r="812" spans="1:8" x14ac:dyDescent="0.25">
      <c r="A812" s="2" t="s">
        <v>826</v>
      </c>
      <c r="B812" s="3"/>
      <c r="C812" s="3"/>
      <c r="D812" s="3"/>
      <c r="E812" s="4" t="str">
        <f>HYPERLINK("https://dpmzos25m8ivg.cloudfront.net/Documentos/631/02306431752/6310230643175214092023000528.pdf","https://dpmzos25m8ivg.cloudfront.net/Documentos/631/02306431752/6310230643175214092023000528.pdf")</f>
        <v>https://dpmzos25m8ivg.cloudfront.net/Documentos/631/02306431752/6310230643175214092023000528.pdf</v>
      </c>
      <c r="F812" s="5" t="str">
        <f>HYPERLINK("https://dpmzos25m8ivg.cloudfront.net/Documentos/631/02306431752/6310230643175214092023000541.pdf","https://dpmzos25m8ivg.cloudfront.net/Documentos/631/02306431752/6310230643175214092023000541.pdf")</f>
        <v>https://dpmzos25m8ivg.cloudfront.net/Documentos/631/02306431752/6310230643175214092023000541.pdf</v>
      </c>
      <c r="G812" s="5" t="str">
        <f>HYPERLINK("https://dpmzos25m8ivg.cloudfront.net/Documentos/631/02306431752/6310230643175214092023000555.pdf","https://dpmzos25m8ivg.cloudfront.net/Documentos/631/02306431752/6310230643175214092023000555.pdf")</f>
        <v>https://dpmzos25m8ivg.cloudfront.net/Documentos/631/02306431752/6310230643175214092023000555.pdf</v>
      </c>
      <c r="H812" s="4" t="s">
        <v>9398</v>
      </c>
    </row>
    <row r="813" spans="1:8" x14ac:dyDescent="0.25">
      <c r="A813" s="2" t="s">
        <v>827</v>
      </c>
      <c r="B813" s="3"/>
      <c r="C813" s="3"/>
      <c r="D813" s="3"/>
      <c r="E813" s="4" t="str">
        <f>HYPERLINK("https://dpmzos25m8ivg.cloudfront.net/Documentos/631/02308907681/6310230890768111092023162415.pdf","https://dpmzos25m8ivg.cloudfront.net/Documentos/631/02308907681/6310230890768111092023162415.pdf")</f>
        <v>https://dpmzos25m8ivg.cloudfront.net/Documentos/631/02308907681/6310230890768111092023162415.pdf</v>
      </c>
      <c r="F813" s="5" t="str">
        <f>HYPERLINK("https://dpmzos25m8ivg.cloudfront.net/Documentos/631/02308907681/6310230890768111092023162431.pdf","https://dpmzos25m8ivg.cloudfront.net/Documentos/631/02308907681/6310230890768111092023162431.pdf")</f>
        <v>https://dpmzos25m8ivg.cloudfront.net/Documentos/631/02308907681/6310230890768111092023162431.pdf</v>
      </c>
      <c r="G813" s="5" t="str">
        <f>HYPERLINK("https://dpmzos25m8ivg.cloudfront.net/Documentos/631/02308907681/6310230890768111092023162445.pdf","https://dpmzos25m8ivg.cloudfront.net/Documentos/631/02308907681/6310230890768111092023162445.pdf")</f>
        <v>https://dpmzos25m8ivg.cloudfront.net/Documentos/631/02308907681/6310230890768111092023162445.pdf</v>
      </c>
      <c r="H813" s="4" t="s">
        <v>9399</v>
      </c>
    </row>
    <row r="814" spans="1:8" x14ac:dyDescent="0.25">
      <c r="A814" s="2" t="s">
        <v>828</v>
      </c>
      <c r="B814" s="3"/>
      <c r="C814" s="3"/>
      <c r="D814" s="3"/>
      <c r="E814" s="4" t="str">
        <f>HYPERLINK("https://dpmzos25m8ivg.cloudfront.net/Documentos/631/02312053250/6310231205325009092023145351.pdf","https://dpmzos25m8ivg.cloudfront.net/Documentos/631/02312053250/6310231205325009092023145351.pdf")</f>
        <v>https://dpmzos25m8ivg.cloudfront.net/Documentos/631/02312053250/6310231205325009092023145351.pdf</v>
      </c>
      <c r="F814" s="5" t="str">
        <f>HYPERLINK("https://dpmzos25m8ivg.cloudfront.net/Documentos/631/02312053250/6310231205325009092023145416.pdf","https://dpmzos25m8ivg.cloudfront.net/Documentos/631/02312053250/6310231205325009092023145416.pdf")</f>
        <v>https://dpmzos25m8ivg.cloudfront.net/Documentos/631/02312053250/6310231205325009092023145416.pdf</v>
      </c>
      <c r="G814" s="5" t="str">
        <f>HYPERLINK("https://dpmzos25m8ivg.cloudfront.net/Documentos/631/02312053250/6310231205325009092023145423.pdf","https://dpmzos25m8ivg.cloudfront.net/Documentos/631/02312053250/6310231205325009092023145423.pdf")</f>
        <v>https://dpmzos25m8ivg.cloudfront.net/Documentos/631/02312053250/6310231205325009092023145423.pdf</v>
      </c>
      <c r="H814" s="4" t="s">
        <v>9400</v>
      </c>
    </row>
    <row r="815" spans="1:8" x14ac:dyDescent="0.25">
      <c r="A815" s="2" t="s">
        <v>829</v>
      </c>
      <c r="B815" s="3"/>
      <c r="C815" s="3"/>
      <c r="D815" s="3"/>
      <c r="E815" s="4" t="str">
        <f>HYPERLINK("https://dpmzos25m8ivg.cloudfront.net/Documentos/631/02312101670/6310231210167008092023172751.jpg","https://dpmzos25m8ivg.cloudfront.net/Documentos/631/02312101670/6310231210167008092023172751.jpg")</f>
        <v>https://dpmzos25m8ivg.cloudfront.net/Documentos/631/02312101670/6310231210167008092023172751.jpg</v>
      </c>
      <c r="F815" s="5" t="str">
        <f>HYPERLINK("https://dpmzos25m8ivg.cloudfront.net/Documentos/631/02312101670/6310231210167008092023172801.jpg","https://dpmzos25m8ivg.cloudfront.net/Documentos/631/02312101670/6310231210167008092023172801.jpg")</f>
        <v>https://dpmzos25m8ivg.cloudfront.net/Documentos/631/02312101670/6310231210167008092023172801.jpg</v>
      </c>
      <c r="G815" s="5" t="str">
        <f>HYPERLINK("https://dpmzos25m8ivg.cloudfront.net/Documentos/631/02312101670/6310231210167008092023172813.jpg","https://dpmzos25m8ivg.cloudfront.net/Documentos/631/02312101670/6310231210167008092023172813.jpg")</f>
        <v>https://dpmzos25m8ivg.cloudfront.net/Documentos/631/02312101670/6310231210167008092023172813.jpg</v>
      </c>
      <c r="H815" s="4" t="s">
        <v>9401</v>
      </c>
    </row>
    <row r="816" spans="1:8" x14ac:dyDescent="0.25">
      <c r="A816" s="2" t="s">
        <v>830</v>
      </c>
      <c r="B816" s="3"/>
      <c r="C816" s="3"/>
      <c r="D816" s="3"/>
      <c r="E816" s="4" t="str">
        <f>HYPERLINK("https://dpmzos25m8ivg.cloudfront.net/Documentos/631/02314120108/6310231412010807092023112912.jpg","https://dpmzos25m8ivg.cloudfront.net/Documentos/631/02314120108/6310231412010807092023112912.jpg")</f>
        <v>https://dpmzos25m8ivg.cloudfront.net/Documentos/631/02314120108/6310231412010807092023112912.jpg</v>
      </c>
      <c r="F816" s="5" t="str">
        <f>HYPERLINK("https://dpmzos25m8ivg.cloudfront.net/Documentos/631/02314120108/6310231412010807092023112934.jpg","https://dpmzos25m8ivg.cloudfront.net/Documentos/631/02314120108/6310231412010807092023112934.jpg")</f>
        <v>https://dpmzos25m8ivg.cloudfront.net/Documentos/631/02314120108/6310231412010807092023112934.jpg</v>
      </c>
      <c r="G816" s="5" t="str">
        <f>HYPERLINK("https://dpmzos25m8ivg.cloudfront.net/Documentos/631/02314120108/6310231412010807092023112958.jpg","https://dpmzos25m8ivg.cloudfront.net/Documentos/631/02314120108/6310231412010807092023112958.jpg")</f>
        <v>https://dpmzos25m8ivg.cloudfront.net/Documentos/631/02314120108/6310231412010807092023112958.jpg</v>
      </c>
      <c r="H816" s="4" t="s">
        <v>9402</v>
      </c>
    </row>
    <row r="817" spans="1:8" x14ac:dyDescent="0.25">
      <c r="A817" s="2" t="s">
        <v>831</v>
      </c>
      <c r="B817" s="3"/>
      <c r="C817" s="3"/>
      <c r="D817" s="3"/>
      <c r="E817" s="4" t="str">
        <f>HYPERLINK("https://dpmzos25m8ivg.cloudfront.net/Documentos/631/02314839706/6310231483970611092023094926.jpeg","https://dpmzos25m8ivg.cloudfront.net/Documentos/631/02314839706/6310231483970611092023094926.jpeg")</f>
        <v>https://dpmzos25m8ivg.cloudfront.net/Documentos/631/02314839706/6310231483970611092023094926.jpeg</v>
      </c>
      <c r="F817" s="5" t="str">
        <f>HYPERLINK("https://dpmzos25m8ivg.cloudfront.net/Documentos/631/02314839706/6310231483970611092023095007.jpeg","https://dpmzos25m8ivg.cloudfront.net/Documentos/631/02314839706/6310231483970611092023095007.jpeg")</f>
        <v>https://dpmzos25m8ivg.cloudfront.net/Documentos/631/02314839706/6310231483970611092023095007.jpeg</v>
      </c>
      <c r="G817" s="5" t="str">
        <f>HYPERLINK("https://dpmzos25m8ivg.cloudfront.net/Documentos/631/02314839706/6310231483970611092023095019.jpeg","https://dpmzos25m8ivg.cloudfront.net/Documentos/631/02314839706/6310231483970611092023095019.jpeg")</f>
        <v>https://dpmzos25m8ivg.cloudfront.net/Documentos/631/02314839706/6310231483970611092023095019.jpeg</v>
      </c>
      <c r="H817" s="4" t="s">
        <v>9403</v>
      </c>
    </row>
    <row r="818" spans="1:8" x14ac:dyDescent="0.25">
      <c r="A818" s="2" t="s">
        <v>832</v>
      </c>
      <c r="B818" s="3"/>
      <c r="C818" s="3"/>
      <c r="D818" s="3"/>
      <c r="E818" s="4" t="str">
        <f>HYPERLINK("https://dpmzos25m8ivg.cloudfront.net/Documentos/631/02320154221/6310232015422111092023160018.jpeg","https://dpmzos25m8ivg.cloudfront.net/Documentos/631/02320154221/6310232015422111092023160018.jpeg")</f>
        <v>https://dpmzos25m8ivg.cloudfront.net/Documentos/631/02320154221/6310232015422111092023160018.jpeg</v>
      </c>
      <c r="F818" s="5" t="str">
        <f>HYPERLINK("https://dpmzos25m8ivg.cloudfront.net/Documentos/631/02320154221/6310232015422111092023160032.jpeg","https://dpmzos25m8ivg.cloudfront.net/Documentos/631/02320154221/6310232015422111092023160032.jpeg")</f>
        <v>https://dpmzos25m8ivg.cloudfront.net/Documentos/631/02320154221/6310232015422111092023160032.jpeg</v>
      </c>
      <c r="G818" s="5" t="str">
        <f>HYPERLINK("https://dpmzos25m8ivg.cloudfront.net/Documentos/631/02320154221/6310232015422111092023160052.jpeg","https://dpmzos25m8ivg.cloudfront.net/Documentos/631/02320154221/6310232015422111092023160052.jpeg")</f>
        <v>https://dpmzos25m8ivg.cloudfront.net/Documentos/631/02320154221/6310232015422111092023160052.jpeg</v>
      </c>
      <c r="H818" s="4" t="s">
        <v>9404</v>
      </c>
    </row>
    <row r="819" spans="1:8" x14ac:dyDescent="0.25">
      <c r="A819" s="2" t="s">
        <v>833</v>
      </c>
      <c r="B819" s="3"/>
      <c r="C819" s="3"/>
      <c r="D819" s="3"/>
      <c r="E819" s="4" t="str">
        <f>HYPERLINK("https://dpmzos25m8ivg.cloudfront.net/Documentos/631/02320689508/6310232068950811092023154418.jpg","https://dpmzos25m8ivg.cloudfront.net/Documentos/631/02320689508/6310232068950811092023154418.jpg")</f>
        <v>https://dpmzos25m8ivg.cloudfront.net/Documentos/631/02320689508/6310232068950811092023154418.jpg</v>
      </c>
      <c r="F819" s="5" t="str">
        <f>HYPERLINK("https://dpmzos25m8ivg.cloudfront.net/Documentos/631/02320689508/6310232068950811092023154450.jpg","https://dpmzos25m8ivg.cloudfront.net/Documentos/631/02320689508/6310232068950811092023154450.jpg")</f>
        <v>https://dpmzos25m8ivg.cloudfront.net/Documentos/631/02320689508/6310232068950811092023154450.jpg</v>
      </c>
      <c r="G819" s="5" t="str">
        <f>HYPERLINK("https://dpmzos25m8ivg.cloudfront.net/Documentos/631/02320689508/6310232068950811092023154521.jpg","https://dpmzos25m8ivg.cloudfront.net/Documentos/631/02320689508/6310232068950811092023154521.jpg")</f>
        <v>https://dpmzos25m8ivg.cloudfront.net/Documentos/631/02320689508/6310232068950811092023154521.jpg</v>
      </c>
      <c r="H819" s="4" t="s">
        <v>9405</v>
      </c>
    </row>
    <row r="820" spans="1:8" x14ac:dyDescent="0.25">
      <c r="A820" s="2" t="s">
        <v>834</v>
      </c>
      <c r="B820" s="3"/>
      <c r="C820" s="3"/>
      <c r="D820" s="3"/>
      <c r="E820" s="4" t="str">
        <f>HYPERLINK("https://dpmzos25m8ivg.cloudfront.net/Documentos/631/02324100622/6310232410062209092023120123.jpeg","https://dpmzos25m8ivg.cloudfront.net/Documentos/631/02324100622/6310232410062209092023120123.jpeg")</f>
        <v>https://dpmzos25m8ivg.cloudfront.net/Documentos/631/02324100622/6310232410062209092023120123.jpeg</v>
      </c>
      <c r="F820" s="5" t="str">
        <f>HYPERLINK("https://dpmzos25m8ivg.cloudfront.net/Documentos/631/02324100622/6310232410062209092023120137.jpeg","https://dpmzos25m8ivg.cloudfront.net/Documentos/631/02324100622/6310232410062209092023120137.jpeg")</f>
        <v>https://dpmzos25m8ivg.cloudfront.net/Documentos/631/02324100622/6310232410062209092023120137.jpeg</v>
      </c>
      <c r="G820" s="5" t="str">
        <f>HYPERLINK("https://dpmzos25m8ivg.cloudfront.net/Documentos/631/02324100622/6310232410062209092023120155.jpeg","https://dpmzos25m8ivg.cloudfront.net/Documentos/631/02324100622/6310232410062209092023120155.jpeg")</f>
        <v>https://dpmzos25m8ivg.cloudfront.net/Documentos/631/02324100622/6310232410062209092023120155.jpeg</v>
      </c>
      <c r="H820" s="4" t="s">
        <v>9406</v>
      </c>
    </row>
    <row r="821" spans="1:8" x14ac:dyDescent="0.25">
      <c r="A821" s="2" t="s">
        <v>835</v>
      </c>
      <c r="B821" s="3"/>
      <c r="C821" s="3"/>
      <c r="D821" s="3"/>
      <c r="E821" s="4" t="str">
        <f>HYPERLINK("https://dpmzos25m8ivg.cloudfront.net/Documentos/631/02326707575/6310232670757505092023211308.jpg","https://dpmzos25m8ivg.cloudfront.net/Documentos/631/02326707575/6310232670757505092023211308.jpg")</f>
        <v>https://dpmzos25m8ivg.cloudfront.net/Documentos/631/02326707575/6310232670757505092023211308.jpg</v>
      </c>
      <c r="F821" s="5" t="str">
        <f>HYPERLINK("https://dpmzos25m8ivg.cloudfront.net/Documentos/631/02326707575/6310232670757505092023211321.jpg","https://dpmzos25m8ivg.cloudfront.net/Documentos/631/02326707575/6310232670757505092023211321.jpg")</f>
        <v>https://dpmzos25m8ivg.cloudfront.net/Documentos/631/02326707575/6310232670757505092023211321.jpg</v>
      </c>
      <c r="G821" s="5" t="str">
        <f>HYPERLINK("https://dpmzos25m8ivg.cloudfront.net/Documentos/631/02326707575/6310232670757505092023211335.jpg","https://dpmzos25m8ivg.cloudfront.net/Documentos/631/02326707575/6310232670757505092023211335.jpg")</f>
        <v>https://dpmzos25m8ivg.cloudfront.net/Documentos/631/02326707575/6310232670757505092023211335.jpg</v>
      </c>
      <c r="H821" s="4" t="s">
        <v>9407</v>
      </c>
    </row>
    <row r="822" spans="1:8" x14ac:dyDescent="0.25">
      <c r="A822" s="2" t="s">
        <v>836</v>
      </c>
      <c r="B822" s="3" t="s">
        <v>90</v>
      </c>
      <c r="C822" s="3"/>
      <c r="D822" s="3"/>
      <c r="E822" s="4" t="str">
        <f>HYPERLINK("https://dpmzos25m8ivg.cloudfront.net/Documentos/631/02332291164/6310233229116410092023192641.pdf","https://dpmzos25m8ivg.cloudfront.net/Documentos/631/02332291164/6310233229116410092023192641.pdf")</f>
        <v>https://dpmzos25m8ivg.cloudfront.net/Documentos/631/02332291164/6310233229116410092023192641.pdf</v>
      </c>
      <c r="F822" s="5" t="str">
        <f>HYPERLINK("https://dpmzos25m8ivg.cloudfront.net/Documentos/631/02332291164/6310233229116410092023192913.pdf","https://dpmzos25m8ivg.cloudfront.net/Documentos/631/02332291164/6310233229116410092023192913.pdf")</f>
        <v>https://dpmzos25m8ivg.cloudfront.net/Documentos/631/02332291164/6310233229116410092023192913.pdf</v>
      </c>
      <c r="G822" s="5" t="str">
        <f>HYPERLINK("https://dpmzos25m8ivg.cloudfront.net/Documentos/631/02332291164/6310233229116410092023192940.pdf","https://dpmzos25m8ivg.cloudfront.net/Documentos/631/02332291164/6310233229116410092023192940.pdf")</f>
        <v>https://dpmzos25m8ivg.cloudfront.net/Documentos/631/02332291164/6310233229116410092023192940.pdf</v>
      </c>
      <c r="H822" s="4" t="s">
        <v>9408</v>
      </c>
    </row>
    <row r="823" spans="1:8" x14ac:dyDescent="0.25">
      <c r="A823" s="2" t="s">
        <v>837</v>
      </c>
      <c r="B823" s="3"/>
      <c r="C823" s="3"/>
      <c r="D823" s="3"/>
      <c r="E823" s="4" t="str">
        <f>HYPERLINK("https://dpmzos25m8ivg.cloudfront.net/Documentos/631/02335886045/6310233588604510092023214208.pdf","https://dpmzos25m8ivg.cloudfront.net/Documentos/631/02335886045/6310233588604510092023214208.pdf")</f>
        <v>https://dpmzos25m8ivg.cloudfront.net/Documentos/631/02335886045/6310233588604510092023214208.pdf</v>
      </c>
      <c r="F823" s="5" t="str">
        <f>HYPERLINK("https://dpmzos25m8ivg.cloudfront.net/Documentos/631/02335886045/6310233588604510092023214223.pdf","https://dpmzos25m8ivg.cloudfront.net/Documentos/631/02335886045/6310233588604510092023214223.pdf")</f>
        <v>https://dpmzos25m8ivg.cloudfront.net/Documentos/631/02335886045/6310233588604510092023214223.pdf</v>
      </c>
      <c r="G823" s="5" t="str">
        <f>HYPERLINK("https://dpmzos25m8ivg.cloudfront.net/Documentos/631/02335886045/6310233588604510092023214235.pdf","https://dpmzos25m8ivg.cloudfront.net/Documentos/631/02335886045/6310233588604510092023214235.pdf")</f>
        <v>https://dpmzos25m8ivg.cloudfront.net/Documentos/631/02335886045/6310233588604510092023214235.pdf</v>
      </c>
      <c r="H823" s="4" t="s">
        <v>9409</v>
      </c>
    </row>
    <row r="824" spans="1:8" x14ac:dyDescent="0.25">
      <c r="A824" s="2" t="s">
        <v>838</v>
      </c>
      <c r="B824" s="3"/>
      <c r="C824" s="3"/>
      <c r="D824" s="3"/>
      <c r="E824" s="4" t="str">
        <f>HYPERLINK("https://dpmzos25m8ivg.cloudfront.net/Documentos/631/02337292240/6310233729224005092023223352.pdf","https://dpmzos25m8ivg.cloudfront.net/Documentos/631/02337292240/6310233729224005092023223352.pdf")</f>
        <v>https://dpmzos25m8ivg.cloudfront.net/Documentos/631/02337292240/6310233729224005092023223352.pdf</v>
      </c>
      <c r="F824" s="5" t="str">
        <f>HYPERLINK("https://dpmzos25m8ivg.cloudfront.net/Documentos/631/02337292240/6310233729224005092023223419.pdf","https://dpmzos25m8ivg.cloudfront.net/Documentos/631/02337292240/6310233729224005092023223419.pdf")</f>
        <v>https://dpmzos25m8ivg.cloudfront.net/Documentos/631/02337292240/6310233729224005092023223419.pdf</v>
      </c>
      <c r="G824" s="5" t="str">
        <f>HYPERLINK("https://dpmzos25m8ivg.cloudfront.net/Documentos/631/02337292240/6310233729224005092023223429.pdf","https://dpmzos25m8ivg.cloudfront.net/Documentos/631/02337292240/6310233729224005092023223429.pdf")</f>
        <v>https://dpmzos25m8ivg.cloudfront.net/Documentos/631/02337292240/6310233729224005092023223429.pdf</v>
      </c>
      <c r="H824" s="4" t="s">
        <v>9410</v>
      </c>
    </row>
    <row r="825" spans="1:8" x14ac:dyDescent="0.25">
      <c r="A825" s="2" t="s">
        <v>839</v>
      </c>
      <c r="B825" s="3"/>
      <c r="C825" s="3"/>
      <c r="D825" s="3"/>
      <c r="E825" s="4" t="str">
        <f>HYPERLINK("https://dpmzos25m8ivg.cloudfront.net/Documentos/631/02338298225/6310233829822511092023144547.pdf","https://dpmzos25m8ivg.cloudfront.net/Documentos/631/02338298225/6310233829822511092023144547.pdf")</f>
        <v>https://dpmzos25m8ivg.cloudfront.net/Documentos/631/02338298225/6310233829822511092023144547.pdf</v>
      </c>
      <c r="F825" s="5" t="str">
        <f>HYPERLINK("https://dpmzos25m8ivg.cloudfront.net/Documentos/631/02338298225/6310233829822511092023144554.pdf","https://dpmzos25m8ivg.cloudfront.net/Documentos/631/02338298225/6310233829822511092023144554.pdf")</f>
        <v>https://dpmzos25m8ivg.cloudfront.net/Documentos/631/02338298225/6310233829822511092023144554.pdf</v>
      </c>
      <c r="G825" s="5" t="str">
        <f>HYPERLINK("https://dpmzos25m8ivg.cloudfront.net/Documentos/631/02338298225/6310233829822511092023144604.pdf","https://dpmzos25m8ivg.cloudfront.net/Documentos/631/02338298225/6310233829822511092023144604.pdf")</f>
        <v>https://dpmzos25m8ivg.cloudfront.net/Documentos/631/02338298225/6310233829822511092023144604.pdf</v>
      </c>
      <c r="H825" s="4" t="s">
        <v>9411</v>
      </c>
    </row>
    <row r="826" spans="1:8" x14ac:dyDescent="0.25">
      <c r="A826" s="2" t="s">
        <v>840</v>
      </c>
      <c r="B826" s="3"/>
      <c r="C826" s="3"/>
      <c r="D826" s="3"/>
      <c r="E826" s="4" t="str">
        <f>HYPERLINK("https://dpmzos25m8ivg.cloudfront.net/Documentos/631/02339424917/6310233942491704092023222216.pdf","https://dpmzos25m8ivg.cloudfront.net/Documentos/631/02339424917/6310233942491704092023222216.pdf")</f>
        <v>https://dpmzos25m8ivg.cloudfront.net/Documentos/631/02339424917/6310233942491704092023222216.pdf</v>
      </c>
      <c r="F826" s="5" t="str">
        <f>HYPERLINK("https://dpmzos25m8ivg.cloudfront.net/Documentos/631/02339424917/6310233942491704092023222239.pdf","https://dpmzos25m8ivg.cloudfront.net/Documentos/631/02339424917/6310233942491704092023222239.pdf")</f>
        <v>https://dpmzos25m8ivg.cloudfront.net/Documentos/631/02339424917/6310233942491704092023222239.pdf</v>
      </c>
      <c r="G826" s="5" t="str">
        <f>HYPERLINK("https://dpmzos25m8ivg.cloudfront.net/Documentos/631/02339424917/6310233942491704092023222249.pdf","https://dpmzos25m8ivg.cloudfront.net/Documentos/631/02339424917/6310233942491704092023222249.pdf")</f>
        <v>https://dpmzos25m8ivg.cloudfront.net/Documentos/631/02339424917/6310233942491704092023222249.pdf</v>
      </c>
      <c r="H826" s="4" t="s">
        <v>9412</v>
      </c>
    </row>
    <row r="827" spans="1:8" x14ac:dyDescent="0.25">
      <c r="A827" s="2" t="s">
        <v>841</v>
      </c>
      <c r="B827" s="3"/>
      <c r="C827" s="3"/>
      <c r="D827" s="3"/>
      <c r="E827" s="4" t="str">
        <f>HYPERLINK("https://dpmzos25m8ivg.cloudfront.net/Documentos/631/02341426506/6310234142650609092023114732.jpeg","https://dpmzos25m8ivg.cloudfront.net/Documentos/631/02341426506/6310234142650609092023114732.jpeg")</f>
        <v>https://dpmzos25m8ivg.cloudfront.net/Documentos/631/02341426506/6310234142650609092023114732.jpeg</v>
      </c>
      <c r="F827" s="5" t="str">
        <f>HYPERLINK("https://dpmzos25m8ivg.cloudfront.net/Documentos/631/02341426506/6310234142650609092023114715.jpeg","https://dpmzos25m8ivg.cloudfront.net/Documentos/631/02341426506/6310234142650609092023114715.jpeg")</f>
        <v>https://dpmzos25m8ivg.cloudfront.net/Documentos/631/02341426506/6310234142650609092023114715.jpeg</v>
      </c>
      <c r="G827" s="5" t="str">
        <f>HYPERLINK("https://dpmzos25m8ivg.cloudfront.net/Documentos/631/02341426506/6310234142650609092023114654.jpeg","https://dpmzos25m8ivg.cloudfront.net/Documentos/631/02341426506/6310234142650609092023114654.jpeg")</f>
        <v>https://dpmzos25m8ivg.cloudfront.net/Documentos/631/02341426506/6310234142650609092023114654.jpeg</v>
      </c>
      <c r="H827" s="4" t="s">
        <v>9413</v>
      </c>
    </row>
    <row r="828" spans="1:8" x14ac:dyDescent="0.25">
      <c r="A828" s="2" t="s">
        <v>842</v>
      </c>
      <c r="B828" s="3"/>
      <c r="C828" s="3"/>
      <c r="D828" s="3"/>
      <c r="E828" s="4" t="str">
        <f>HYPERLINK("https://dpmzos25m8ivg.cloudfront.net/Documentos/631/02342007582/6310234200758205092023112516.pdf","https://dpmzos25m8ivg.cloudfront.net/Documentos/631/02342007582/6310234200758205092023112516.pdf")</f>
        <v>https://dpmzos25m8ivg.cloudfront.net/Documentos/631/02342007582/6310234200758205092023112516.pdf</v>
      </c>
      <c r="F828" s="5" t="str">
        <f>HYPERLINK("https://dpmzos25m8ivg.cloudfront.net/Documentos/631/02342007582/6310234200758205092023112529.pdf","https://dpmzos25m8ivg.cloudfront.net/Documentos/631/02342007582/6310234200758205092023112529.pdf")</f>
        <v>https://dpmzos25m8ivg.cloudfront.net/Documentos/631/02342007582/6310234200758205092023112529.pdf</v>
      </c>
      <c r="G828" s="5" t="str">
        <f>HYPERLINK("https://dpmzos25m8ivg.cloudfront.net/Documentos/631/02342007582/6310234200758205092023112544.pdf","https://dpmzos25m8ivg.cloudfront.net/Documentos/631/02342007582/6310234200758205092023112544.pdf")</f>
        <v>https://dpmzos25m8ivg.cloudfront.net/Documentos/631/02342007582/6310234200758205092023112544.pdf</v>
      </c>
      <c r="H828" s="4" t="s">
        <v>9414</v>
      </c>
    </row>
    <row r="829" spans="1:8" x14ac:dyDescent="0.25">
      <c r="A829" s="2" t="s">
        <v>843</v>
      </c>
      <c r="B829" s="3"/>
      <c r="C829" s="3"/>
      <c r="D829" s="3"/>
      <c r="E829" s="4" t="str">
        <f>HYPERLINK("https://dpmzos25m8ivg.cloudfront.net/Documentos/631/02342070276/6310234207027611092023163201.pdf","https://dpmzos25m8ivg.cloudfront.net/Documentos/631/02342070276/6310234207027611092023163201.pdf")</f>
        <v>https://dpmzos25m8ivg.cloudfront.net/Documentos/631/02342070276/6310234207027611092023163201.pdf</v>
      </c>
      <c r="F829" s="5" t="str">
        <f>HYPERLINK("https://dpmzos25m8ivg.cloudfront.net/Documentos/631/02342070276/6310234207027611092023163256.pdf","https://dpmzos25m8ivg.cloudfront.net/Documentos/631/02342070276/6310234207027611092023163256.pdf")</f>
        <v>https://dpmzos25m8ivg.cloudfront.net/Documentos/631/02342070276/6310234207027611092023163256.pdf</v>
      </c>
      <c r="G829" s="5" t="str">
        <f>HYPERLINK("https://dpmzos25m8ivg.cloudfront.net/Documentos/631/02342070276/6310234207027611092023163311.pdf","https://dpmzos25m8ivg.cloudfront.net/Documentos/631/02342070276/6310234207027611092023163311.pdf")</f>
        <v>https://dpmzos25m8ivg.cloudfront.net/Documentos/631/02342070276/6310234207027611092023163311.pdf</v>
      </c>
      <c r="H829" s="4" t="s">
        <v>9415</v>
      </c>
    </row>
    <row r="830" spans="1:8" x14ac:dyDescent="0.25">
      <c r="A830" s="2" t="s">
        <v>844</v>
      </c>
      <c r="B830" s="3"/>
      <c r="C830" s="3"/>
      <c r="D830" s="3"/>
      <c r="E830" s="4" t="str">
        <f>HYPERLINK("https://dpmzos25m8ivg.cloudfront.net/Documentos/631/02344509160/6310234450916013092023182448.pdf","https://dpmzos25m8ivg.cloudfront.net/Documentos/631/02344509160/6310234450916013092023182448.pdf")</f>
        <v>https://dpmzos25m8ivg.cloudfront.net/Documentos/631/02344509160/6310234450916013092023182448.pdf</v>
      </c>
      <c r="F830" s="5" t="str">
        <f>HYPERLINK("https://dpmzos25m8ivg.cloudfront.net/Documentos/631/02344509160/6310234450916013092023182458.pdf","https://dpmzos25m8ivg.cloudfront.net/Documentos/631/02344509160/6310234450916013092023182458.pdf")</f>
        <v>https://dpmzos25m8ivg.cloudfront.net/Documentos/631/02344509160/6310234450916013092023182458.pdf</v>
      </c>
      <c r="G830" s="5" t="str">
        <f>HYPERLINK("https://dpmzos25m8ivg.cloudfront.net/Documentos/631/02344509160/6310234450916013092023182507.pdf","https://dpmzos25m8ivg.cloudfront.net/Documentos/631/02344509160/6310234450916013092023182507.pdf")</f>
        <v>https://dpmzos25m8ivg.cloudfront.net/Documentos/631/02344509160/6310234450916013092023182507.pdf</v>
      </c>
      <c r="H830" s="4" t="s">
        <v>9416</v>
      </c>
    </row>
    <row r="831" spans="1:8" x14ac:dyDescent="0.25">
      <c r="A831" s="2" t="s">
        <v>845</v>
      </c>
      <c r="B831" s="3"/>
      <c r="C831" s="3"/>
      <c r="D831" s="3"/>
      <c r="E831" s="4" t="str">
        <f>HYPERLINK("https://dpmzos25m8ivg.cloudfront.net/Documentos/631/02346205524/6310234620552407092023105037.pdf","https://dpmzos25m8ivg.cloudfront.net/Documentos/631/02346205524/6310234620552407092023105037.pdf")</f>
        <v>https://dpmzos25m8ivg.cloudfront.net/Documentos/631/02346205524/6310234620552407092023105037.pdf</v>
      </c>
      <c r="F831" s="5" t="str">
        <f>HYPERLINK("https://dpmzos25m8ivg.cloudfront.net/Documentos/631/02346205524/6310234620552407092023105050.pdf","https://dpmzos25m8ivg.cloudfront.net/Documentos/631/02346205524/6310234620552407092023105050.pdf")</f>
        <v>https://dpmzos25m8ivg.cloudfront.net/Documentos/631/02346205524/6310234620552407092023105050.pdf</v>
      </c>
      <c r="G831" s="5" t="str">
        <f>HYPERLINK("https://dpmzos25m8ivg.cloudfront.net/Documentos/631/02346205524/6310234620552407092023105104.pdf","https://dpmzos25m8ivg.cloudfront.net/Documentos/631/02346205524/6310234620552407092023105104.pdf")</f>
        <v>https://dpmzos25m8ivg.cloudfront.net/Documentos/631/02346205524/6310234620552407092023105104.pdf</v>
      </c>
      <c r="H831" s="4" t="s">
        <v>9417</v>
      </c>
    </row>
    <row r="832" spans="1:8" x14ac:dyDescent="0.25">
      <c r="A832" s="2" t="s">
        <v>846</v>
      </c>
      <c r="B832" s="3" t="s">
        <v>90</v>
      </c>
      <c r="C832" s="3"/>
      <c r="D832" s="3"/>
      <c r="E832" s="4" t="str">
        <f>HYPERLINK("https://dpmzos25m8ivg.cloudfront.net/Documentos/631/02346452882/6310234645288207092023181505.jpg","https://dpmzos25m8ivg.cloudfront.net/Documentos/631/02346452882/6310234645288207092023181505.jpg")</f>
        <v>https://dpmzos25m8ivg.cloudfront.net/Documentos/631/02346452882/6310234645288207092023181505.jpg</v>
      </c>
      <c r="F832" s="5" t="str">
        <f>HYPERLINK("https://dpmzos25m8ivg.cloudfront.net/Documentos/631/02346452882/6310234645288207092023181432.jpg","https://dpmzos25m8ivg.cloudfront.net/Documentos/631/02346452882/6310234645288207092023181432.jpg")</f>
        <v>https://dpmzos25m8ivg.cloudfront.net/Documentos/631/02346452882/6310234645288207092023181432.jpg</v>
      </c>
      <c r="G832" s="5" t="str">
        <f>HYPERLINK("https://dpmzos25m8ivg.cloudfront.net/Documentos/631/02346452882/6310234645288207092023181346.jpg","https://dpmzos25m8ivg.cloudfront.net/Documentos/631/02346452882/6310234645288207092023181346.jpg")</f>
        <v>https://dpmzos25m8ivg.cloudfront.net/Documentos/631/02346452882/6310234645288207092023181346.jpg</v>
      </c>
      <c r="H832" s="4" t="s">
        <v>9418</v>
      </c>
    </row>
    <row r="833" spans="1:8" x14ac:dyDescent="0.25">
      <c r="A833" s="2" t="s">
        <v>847</v>
      </c>
      <c r="B833" s="3"/>
      <c r="C833" s="3"/>
      <c r="D833" s="3"/>
      <c r="E833" s="4" t="str">
        <f>HYPERLINK("https://dpmzos25m8ivg.cloudfront.net/Documentos/631/02347042092/6310234704209214092023161005.pdf","https://dpmzos25m8ivg.cloudfront.net/Documentos/631/02347042092/6310234704209214092023161005.pdf")</f>
        <v>https://dpmzos25m8ivg.cloudfront.net/Documentos/631/02347042092/6310234704209214092023161005.pdf</v>
      </c>
      <c r="F833" s="5" t="str">
        <f>HYPERLINK("https://dpmzos25m8ivg.cloudfront.net/Documentos/631/02347042092/6310234704209214092023161021.pdf","https://dpmzos25m8ivg.cloudfront.net/Documentos/631/02347042092/6310234704209214092023161021.pdf")</f>
        <v>https://dpmzos25m8ivg.cloudfront.net/Documentos/631/02347042092/6310234704209214092023161021.pdf</v>
      </c>
      <c r="G833" s="5" t="str">
        <f>HYPERLINK("https://dpmzos25m8ivg.cloudfront.net/Documentos/631/02347042092/6310234704209214092023161035.pdf","https://dpmzos25m8ivg.cloudfront.net/Documentos/631/02347042092/6310234704209214092023161035.pdf")</f>
        <v>https://dpmzos25m8ivg.cloudfront.net/Documentos/631/02347042092/6310234704209214092023161035.pdf</v>
      </c>
      <c r="H833" s="4" t="s">
        <v>9419</v>
      </c>
    </row>
    <row r="834" spans="1:8" x14ac:dyDescent="0.25">
      <c r="A834" s="2" t="s">
        <v>848</v>
      </c>
      <c r="B834" s="3"/>
      <c r="C834" s="3"/>
      <c r="D834" s="3"/>
      <c r="E834" s="4" t="str">
        <f>HYPERLINK("https://dpmzos25m8ivg.cloudfront.net/Documentos/631/02347978276/6310234797827611092023162042.pdf","https://dpmzos25m8ivg.cloudfront.net/Documentos/631/02347978276/6310234797827611092023162042.pdf")</f>
        <v>https://dpmzos25m8ivg.cloudfront.net/Documentos/631/02347978276/6310234797827611092023162042.pdf</v>
      </c>
      <c r="F834" s="5" t="str">
        <f>HYPERLINK("https://dpmzos25m8ivg.cloudfront.net/Documentos/631/02347978276/6310234797827611092023162106.pdf","https://dpmzos25m8ivg.cloudfront.net/Documentos/631/02347978276/6310234797827611092023162106.pdf")</f>
        <v>https://dpmzos25m8ivg.cloudfront.net/Documentos/631/02347978276/6310234797827611092023162106.pdf</v>
      </c>
      <c r="G834" s="5" t="str">
        <f>HYPERLINK("https://dpmzos25m8ivg.cloudfront.net/Documentos/631/02347978276/6310234797827611092023162131.pdf","https://dpmzos25m8ivg.cloudfront.net/Documentos/631/02347978276/6310234797827611092023162131.pdf")</f>
        <v>https://dpmzos25m8ivg.cloudfront.net/Documentos/631/02347978276/6310234797827611092023162131.pdf</v>
      </c>
      <c r="H834" s="4" t="s">
        <v>9420</v>
      </c>
    </row>
    <row r="835" spans="1:8" x14ac:dyDescent="0.25">
      <c r="A835" s="2" t="s">
        <v>849</v>
      </c>
      <c r="B835" s="3"/>
      <c r="C835" s="3"/>
      <c r="D835" s="3"/>
      <c r="E835" s="4" t="str">
        <f>HYPERLINK("https://dpmzos25m8ivg.cloudfront.net/Documentos/631/02352305020/6310235230502004092023205642.pdf","https://dpmzos25m8ivg.cloudfront.net/Documentos/631/02352305020/6310235230502004092023205642.pdf")</f>
        <v>https://dpmzos25m8ivg.cloudfront.net/Documentos/631/02352305020/6310235230502004092023205642.pdf</v>
      </c>
      <c r="F835" s="5" t="str">
        <f>HYPERLINK("https://dpmzos25m8ivg.cloudfront.net/Documentos/631/02352305020/6310235230502004092023211033.pdf","https://dpmzos25m8ivg.cloudfront.net/Documentos/631/02352305020/6310235230502004092023211033.pdf")</f>
        <v>https://dpmzos25m8ivg.cloudfront.net/Documentos/631/02352305020/6310235230502004092023211033.pdf</v>
      </c>
      <c r="G835" s="5" t="str">
        <f>HYPERLINK("https://dpmzos25m8ivg.cloudfront.net/Documentos/631/02352305020/6310235230502005092023192128.pdf","https://dpmzos25m8ivg.cloudfront.net/Documentos/631/02352305020/6310235230502005092023192128.pdf")</f>
        <v>https://dpmzos25m8ivg.cloudfront.net/Documentos/631/02352305020/6310235230502005092023192128.pdf</v>
      </c>
      <c r="H835" s="4" t="s">
        <v>9421</v>
      </c>
    </row>
    <row r="836" spans="1:8" x14ac:dyDescent="0.25">
      <c r="A836" s="2" t="s">
        <v>850</v>
      </c>
      <c r="B836" s="3"/>
      <c r="C836" s="3"/>
      <c r="D836" s="3"/>
      <c r="E836" s="4" t="str">
        <f>HYPERLINK("https://dpmzos25m8ivg.cloudfront.net/Documentos/631/02352884039/6310235288403914092023155926.jpg","https://dpmzos25m8ivg.cloudfront.net/Documentos/631/02352884039/6310235288403914092023155926.jpg")</f>
        <v>https://dpmzos25m8ivg.cloudfront.net/Documentos/631/02352884039/6310235288403914092023155926.jpg</v>
      </c>
      <c r="F836" s="5" t="str">
        <f>HYPERLINK("https://dpmzos25m8ivg.cloudfront.net/Documentos/631/02352884039/6310235288403914092023155932.jpg","https://dpmzos25m8ivg.cloudfront.net/Documentos/631/02352884039/6310235288403914092023155932.jpg")</f>
        <v>https://dpmzos25m8ivg.cloudfront.net/Documentos/631/02352884039/6310235288403914092023155932.jpg</v>
      </c>
      <c r="G836" s="5" t="str">
        <f>HYPERLINK("https://dpmzos25m8ivg.cloudfront.net/Documentos/631/02352884039/6310235288403914092023155955.jpg","https://dpmzos25m8ivg.cloudfront.net/Documentos/631/02352884039/6310235288403914092023155955.jpg")</f>
        <v>https://dpmzos25m8ivg.cloudfront.net/Documentos/631/02352884039/6310235288403914092023155955.jpg</v>
      </c>
      <c r="H836" s="4" t="s">
        <v>9422</v>
      </c>
    </row>
    <row r="837" spans="1:8" x14ac:dyDescent="0.25">
      <c r="A837" s="2" t="s">
        <v>851</v>
      </c>
      <c r="B837" s="3"/>
      <c r="C837" s="3"/>
      <c r="D837" s="3"/>
      <c r="E837" s="4" t="str">
        <f>HYPERLINK("https://dpmzos25m8ivg.cloudfront.net/Documentos/631/02353564330/6310235356433009092023213734.pdf","https://dpmzos25m8ivg.cloudfront.net/Documentos/631/02353564330/6310235356433009092023213734.pdf")</f>
        <v>https://dpmzos25m8ivg.cloudfront.net/Documentos/631/02353564330/6310235356433009092023213734.pdf</v>
      </c>
      <c r="F837" s="5" t="str">
        <f>HYPERLINK("https://dpmzos25m8ivg.cloudfront.net/Documentos/631/02353564330/6310235356433009092023213745.pdf","https://dpmzos25m8ivg.cloudfront.net/Documentos/631/02353564330/6310235356433009092023213745.pdf")</f>
        <v>https://dpmzos25m8ivg.cloudfront.net/Documentos/631/02353564330/6310235356433009092023213745.pdf</v>
      </c>
      <c r="G837" s="5" t="str">
        <f>HYPERLINK("https://dpmzos25m8ivg.cloudfront.net/Documentos/631/02353564330/6310235356433009092023213757.pdf","https://dpmzos25m8ivg.cloudfront.net/Documentos/631/02353564330/6310235356433009092023213757.pdf")</f>
        <v>https://dpmzos25m8ivg.cloudfront.net/Documentos/631/02353564330/6310235356433009092023213757.pdf</v>
      </c>
      <c r="H837" s="4" t="s">
        <v>9423</v>
      </c>
    </row>
    <row r="838" spans="1:8" x14ac:dyDescent="0.25">
      <c r="A838" s="2" t="s">
        <v>852</v>
      </c>
      <c r="B838" s="3"/>
      <c r="C838" s="3"/>
      <c r="D838" s="3"/>
      <c r="E838" s="4" t="str">
        <f>HYPERLINK("https://dpmzos25m8ivg.cloudfront.net/Documentos/631/02355358427/6310235535842707092023234548.jpeg","https://dpmzos25m8ivg.cloudfront.net/Documentos/631/02355358427/6310235535842707092023234548.jpeg")</f>
        <v>https://dpmzos25m8ivg.cloudfront.net/Documentos/631/02355358427/6310235535842707092023234548.jpeg</v>
      </c>
      <c r="F838" s="5" t="str">
        <f>HYPERLINK("https://dpmzos25m8ivg.cloudfront.net/Documentos/631/02355358427/6310235535842707092023234610.jpeg","https://dpmzos25m8ivg.cloudfront.net/Documentos/631/02355358427/6310235535842707092023234610.jpeg")</f>
        <v>https://dpmzos25m8ivg.cloudfront.net/Documentos/631/02355358427/6310235535842707092023234610.jpeg</v>
      </c>
      <c r="G838" s="5" t="str">
        <f>HYPERLINK("https://dpmzos25m8ivg.cloudfront.net/Documentos/631/02355358427/6310235535842707092023234630.jpeg","https://dpmzos25m8ivg.cloudfront.net/Documentos/631/02355358427/6310235535842707092023234630.jpeg")</f>
        <v>https://dpmzos25m8ivg.cloudfront.net/Documentos/631/02355358427/6310235535842707092023234630.jpeg</v>
      </c>
      <c r="H838" s="4" t="s">
        <v>9424</v>
      </c>
    </row>
    <row r="839" spans="1:8" x14ac:dyDescent="0.25">
      <c r="A839" s="2" t="s">
        <v>853</v>
      </c>
      <c r="B839" s="3" t="s">
        <v>8</v>
      </c>
      <c r="C839" s="3"/>
      <c r="D839" s="3"/>
      <c r="E839" s="4" t="str">
        <f>HYPERLINK("https://dpmzos25m8ivg.cloudfront.net/Documentos/631/02357336790/6310235733679011092023161515.pdf","https://dpmzos25m8ivg.cloudfront.net/Documentos/631/02357336790/6310235733679011092023161515.pdf")</f>
        <v>https://dpmzos25m8ivg.cloudfront.net/Documentos/631/02357336790/6310235733679011092023161515.pdf</v>
      </c>
      <c r="F839" s="5" t="str">
        <f>HYPERLINK("https://dpmzos25m8ivg.cloudfront.net/Documentos/631/02357336790/6310235733679011092023161525.pdf","https://dpmzos25m8ivg.cloudfront.net/Documentos/631/02357336790/6310235733679011092023161525.pdf")</f>
        <v>https://dpmzos25m8ivg.cloudfront.net/Documentos/631/02357336790/6310235733679011092023161525.pdf</v>
      </c>
      <c r="G839" s="5" t="str">
        <f>HYPERLINK("https://dpmzos25m8ivg.cloudfront.net/Documentos/631/02357336790/6310235733679011092023161540.pdf","https://dpmzos25m8ivg.cloudfront.net/Documentos/631/02357336790/6310235733679011092023161540.pdf")</f>
        <v>https://dpmzos25m8ivg.cloudfront.net/Documentos/631/02357336790/6310235733679011092023161540.pdf</v>
      </c>
      <c r="H839" s="4" t="s">
        <v>9425</v>
      </c>
    </row>
    <row r="840" spans="1:8" x14ac:dyDescent="0.25">
      <c r="A840" s="2" t="s">
        <v>854</v>
      </c>
      <c r="B840" s="3"/>
      <c r="C840" s="3"/>
      <c r="D840" s="3"/>
      <c r="E840" s="4" t="str">
        <f>HYPERLINK("https://dpmzos25m8ivg.cloudfront.net/Documentos/631/02358659150/6310235865915005092023111318.jpeg","https://dpmzos25m8ivg.cloudfront.net/Documentos/631/02358659150/6310235865915005092023111318.jpeg")</f>
        <v>https://dpmzos25m8ivg.cloudfront.net/Documentos/631/02358659150/6310235865915005092023111318.jpeg</v>
      </c>
      <c r="F840" s="5" t="str">
        <f>HYPERLINK("https://dpmzos25m8ivg.cloudfront.net/Documentos/631/02358659150/6310235865915005092023111327.jpeg","https://dpmzos25m8ivg.cloudfront.net/Documentos/631/02358659150/6310235865915005092023111327.jpeg")</f>
        <v>https://dpmzos25m8ivg.cloudfront.net/Documentos/631/02358659150/6310235865915005092023111327.jpeg</v>
      </c>
      <c r="G840" s="5" t="str">
        <f>HYPERLINK("https://dpmzos25m8ivg.cloudfront.net/Documentos/631/02358659150/6310235865915005092023111404.jpeg","https://dpmzos25m8ivg.cloudfront.net/Documentos/631/02358659150/6310235865915005092023111404.jpeg")</f>
        <v>https://dpmzos25m8ivg.cloudfront.net/Documentos/631/02358659150/6310235865915005092023111404.jpeg</v>
      </c>
      <c r="H840" s="4" t="s">
        <v>9426</v>
      </c>
    </row>
    <row r="841" spans="1:8" x14ac:dyDescent="0.25">
      <c r="A841" s="2" t="s">
        <v>855</v>
      </c>
      <c r="B841" s="3"/>
      <c r="C841" s="3"/>
      <c r="D841" s="3"/>
      <c r="E841" s="4" t="str">
        <f>HYPERLINK("https://dpmzos25m8ivg.cloudfront.net/Documentos/631/02358800279/6310235880027911092023111602.pdf","https://dpmzos25m8ivg.cloudfront.net/Documentos/631/02358800279/6310235880027911092023111602.pdf")</f>
        <v>https://dpmzos25m8ivg.cloudfront.net/Documentos/631/02358800279/6310235880027911092023111602.pdf</v>
      </c>
      <c r="F841" s="5" t="str">
        <f>HYPERLINK("https://dpmzos25m8ivg.cloudfront.net/Documentos/631/02358800279/6310235880027911092023111613.pdf","https://dpmzos25m8ivg.cloudfront.net/Documentos/631/02358800279/6310235880027911092023111613.pdf")</f>
        <v>https://dpmzos25m8ivg.cloudfront.net/Documentos/631/02358800279/6310235880027911092023111613.pdf</v>
      </c>
      <c r="G841" s="5" t="str">
        <f>HYPERLINK("https://dpmzos25m8ivg.cloudfront.net/Documentos/631/02358800279/6310235880027911092023111622.pdf","https://dpmzos25m8ivg.cloudfront.net/Documentos/631/02358800279/6310235880027911092023111622.pdf")</f>
        <v>https://dpmzos25m8ivg.cloudfront.net/Documentos/631/02358800279/6310235880027911092023111622.pdf</v>
      </c>
      <c r="H841" s="4" t="s">
        <v>9427</v>
      </c>
    </row>
    <row r="842" spans="1:8" x14ac:dyDescent="0.25">
      <c r="A842" s="2" t="s">
        <v>856</v>
      </c>
      <c r="B842" s="3"/>
      <c r="C842" s="3"/>
      <c r="D842" s="3"/>
      <c r="E842" s="4" t="str">
        <f>HYPERLINK("https://dpmzos25m8ivg.cloudfront.net/Documentos/631/02359708244/6310235970824409092023140925.jpg","https://dpmzos25m8ivg.cloudfront.net/Documentos/631/02359708244/6310235970824409092023140925.jpg")</f>
        <v>https://dpmzos25m8ivg.cloudfront.net/Documentos/631/02359708244/6310235970824409092023140925.jpg</v>
      </c>
      <c r="F842" s="5" t="str">
        <f>HYPERLINK("https://dpmzos25m8ivg.cloudfront.net/Documentos/631/02359708244/6310235970824409092023141022.jpg","https://dpmzos25m8ivg.cloudfront.net/Documentos/631/02359708244/6310235970824409092023141022.jpg")</f>
        <v>https://dpmzos25m8ivg.cloudfront.net/Documentos/631/02359708244/6310235970824409092023141022.jpg</v>
      </c>
      <c r="G842" s="5" t="str">
        <f>HYPERLINK("https://dpmzos25m8ivg.cloudfront.net/Documentos/631/02359708244/6310235970824409092023141047.jpg","https://dpmzos25m8ivg.cloudfront.net/Documentos/631/02359708244/6310235970824409092023141047.jpg")</f>
        <v>https://dpmzos25m8ivg.cloudfront.net/Documentos/631/02359708244/6310235970824409092023141047.jpg</v>
      </c>
      <c r="H842" s="4" t="s">
        <v>9428</v>
      </c>
    </row>
    <row r="843" spans="1:8" x14ac:dyDescent="0.25">
      <c r="A843" s="2" t="s">
        <v>857</v>
      </c>
      <c r="B843" s="3"/>
      <c r="C843" s="3"/>
      <c r="D843" s="3"/>
      <c r="E843" s="4" t="str">
        <f>HYPERLINK("https://dpmzos25m8ivg.cloudfront.net/Documentos/631/02360316273/6310236031627311092023130444.pdf","https://dpmzos25m8ivg.cloudfront.net/Documentos/631/02360316273/6310236031627311092023130444.pdf")</f>
        <v>https://dpmzos25m8ivg.cloudfront.net/Documentos/631/02360316273/6310236031627311092023130444.pdf</v>
      </c>
      <c r="F843" s="5" t="str">
        <f>HYPERLINK("https://dpmzos25m8ivg.cloudfront.net/Documentos/631/02360316273/6310236031627311092023130456.pdf","https://dpmzos25m8ivg.cloudfront.net/Documentos/631/02360316273/6310236031627311092023130456.pdf")</f>
        <v>https://dpmzos25m8ivg.cloudfront.net/Documentos/631/02360316273/6310236031627311092023130456.pdf</v>
      </c>
      <c r="G843" s="5" t="str">
        <f>HYPERLINK("https://dpmzos25m8ivg.cloudfront.net/Documentos/631/02360316273/6310236031627311092023130507.pdf","https://dpmzos25m8ivg.cloudfront.net/Documentos/631/02360316273/6310236031627311092023130507.pdf")</f>
        <v>https://dpmzos25m8ivg.cloudfront.net/Documentos/631/02360316273/6310236031627311092023130507.pdf</v>
      </c>
      <c r="H843" s="4" t="s">
        <v>9429</v>
      </c>
    </row>
    <row r="844" spans="1:8" x14ac:dyDescent="0.25">
      <c r="A844" s="2" t="s">
        <v>858</v>
      </c>
      <c r="B844" s="3"/>
      <c r="C844" s="3"/>
      <c r="D844" s="3"/>
      <c r="E844" s="4" t="str">
        <f>HYPERLINK("https://dpmzos25m8ivg.cloudfront.net/Documentos/631/02362518213/6310236251821311092023103004.pdf","https://dpmzos25m8ivg.cloudfront.net/Documentos/631/02362518213/6310236251821311092023103004.pdf")</f>
        <v>https://dpmzos25m8ivg.cloudfront.net/Documentos/631/02362518213/6310236251821311092023103004.pdf</v>
      </c>
      <c r="F844" s="5" t="str">
        <f>HYPERLINK("https://dpmzos25m8ivg.cloudfront.net/Documentos/631/02362518213/6310236251821311092023103020.pdf","https://dpmzos25m8ivg.cloudfront.net/Documentos/631/02362518213/6310236251821311092023103020.pdf")</f>
        <v>https://dpmzos25m8ivg.cloudfront.net/Documentos/631/02362518213/6310236251821311092023103020.pdf</v>
      </c>
      <c r="G844" s="5" t="str">
        <f>HYPERLINK("https://dpmzos25m8ivg.cloudfront.net/Documentos/631/02362518213/6310236251821311092023103039.pdf","https://dpmzos25m8ivg.cloudfront.net/Documentos/631/02362518213/6310236251821311092023103039.pdf")</f>
        <v>https://dpmzos25m8ivg.cloudfront.net/Documentos/631/02362518213/6310236251821311092023103039.pdf</v>
      </c>
      <c r="H844" s="4" t="s">
        <v>9430</v>
      </c>
    </row>
    <row r="845" spans="1:8" x14ac:dyDescent="0.25">
      <c r="A845" s="2" t="s">
        <v>859</v>
      </c>
      <c r="B845" s="3" t="s">
        <v>23</v>
      </c>
      <c r="C845" s="3"/>
      <c r="D845" s="3"/>
      <c r="E845" s="4" t="str">
        <f>HYPERLINK("https://dpmzos25m8ivg.cloudfront.net/Documentos/631/02362943267/6310236294326706092023023733.pdf","https://dpmzos25m8ivg.cloudfront.net/Documentos/631/02362943267/6310236294326706092023023733.pdf")</f>
        <v>https://dpmzos25m8ivg.cloudfront.net/Documentos/631/02362943267/6310236294326706092023023733.pdf</v>
      </c>
      <c r="F845" s="5" t="str">
        <f>HYPERLINK("https://dpmzos25m8ivg.cloudfront.net/Documentos/631/02362943267/6310236294326706092023023748.pdf","https://dpmzos25m8ivg.cloudfront.net/Documentos/631/02362943267/6310236294326706092023023748.pdf")</f>
        <v>https://dpmzos25m8ivg.cloudfront.net/Documentos/631/02362943267/6310236294326706092023023748.pdf</v>
      </c>
      <c r="G845" s="5" t="str">
        <f>HYPERLINK("https://dpmzos25m8ivg.cloudfront.net/Documentos/631/02362943267/6310236294326706092023023802.pdf","https://dpmzos25m8ivg.cloudfront.net/Documentos/631/02362943267/6310236294326706092023023802.pdf")</f>
        <v>https://dpmzos25m8ivg.cloudfront.net/Documentos/631/02362943267/6310236294326706092023023802.pdf</v>
      </c>
      <c r="H845" s="4" t="s">
        <v>9431</v>
      </c>
    </row>
    <row r="846" spans="1:8" x14ac:dyDescent="0.25">
      <c r="A846" s="2" t="s">
        <v>860</v>
      </c>
      <c r="B846" s="3"/>
      <c r="C846" s="3"/>
      <c r="D846" s="3"/>
      <c r="E846" s="4" t="str">
        <f>HYPERLINK("https://dpmzos25m8ivg.cloudfront.net/Documentos/631/02363235630/6310236323563010092023133323.pdf","https://dpmzos25m8ivg.cloudfront.net/Documentos/631/02363235630/6310236323563010092023133323.pdf")</f>
        <v>https://dpmzos25m8ivg.cloudfront.net/Documentos/631/02363235630/6310236323563010092023133323.pdf</v>
      </c>
      <c r="F846" s="5" t="str">
        <f>HYPERLINK("https://dpmzos25m8ivg.cloudfront.net/Documentos/631/02363235630/6310236323563010092023133732.pdf","https://dpmzos25m8ivg.cloudfront.net/Documentos/631/02363235630/6310236323563010092023133732.pdf")</f>
        <v>https://dpmzos25m8ivg.cloudfront.net/Documentos/631/02363235630/6310236323563010092023133732.pdf</v>
      </c>
      <c r="G846" s="5" t="str">
        <f>HYPERLINK("https://dpmzos25m8ivg.cloudfront.net/Documentos/631/02363235630/6310236323563010092023133748.pdf","https://dpmzos25m8ivg.cloudfront.net/Documentos/631/02363235630/6310236323563010092023133748.pdf")</f>
        <v>https://dpmzos25m8ivg.cloudfront.net/Documentos/631/02363235630/6310236323563010092023133748.pdf</v>
      </c>
      <c r="H846" s="4" t="s">
        <v>9432</v>
      </c>
    </row>
    <row r="847" spans="1:8" x14ac:dyDescent="0.25">
      <c r="A847" s="2" t="s">
        <v>861</v>
      </c>
      <c r="B847" s="3"/>
      <c r="C847" s="3"/>
      <c r="D847" s="3"/>
      <c r="E847" s="4" t="str">
        <f>HYPERLINK("https://dpmzos25m8ivg.cloudfront.net/Documentos/631/02363394356/6310236339435610092023001802.pdf","https://dpmzos25m8ivg.cloudfront.net/Documentos/631/02363394356/6310236339435610092023001802.pdf")</f>
        <v>https://dpmzos25m8ivg.cloudfront.net/Documentos/631/02363394356/6310236339435610092023001802.pdf</v>
      </c>
      <c r="F847" s="5" t="str">
        <f>HYPERLINK("https://dpmzos25m8ivg.cloudfront.net/Documentos/631/02363394356/6310236339435610092023001816.pdf","https://dpmzos25m8ivg.cloudfront.net/Documentos/631/02363394356/6310236339435610092023001816.pdf")</f>
        <v>https://dpmzos25m8ivg.cloudfront.net/Documentos/631/02363394356/6310236339435610092023001816.pdf</v>
      </c>
      <c r="G847" s="5" t="str">
        <f>HYPERLINK("https://dpmzos25m8ivg.cloudfront.net/Documentos/631/02363394356/6310236339435610092023001830.pdf","https://dpmzos25m8ivg.cloudfront.net/Documentos/631/02363394356/6310236339435610092023001830.pdf")</f>
        <v>https://dpmzos25m8ivg.cloudfront.net/Documentos/631/02363394356/6310236339435610092023001830.pdf</v>
      </c>
      <c r="H847" s="4" t="s">
        <v>9433</v>
      </c>
    </row>
    <row r="848" spans="1:8" x14ac:dyDescent="0.25">
      <c r="A848" s="2" t="s">
        <v>862</v>
      </c>
      <c r="B848" s="3"/>
      <c r="C848" s="3"/>
      <c r="D848" s="3"/>
      <c r="E848" s="4" t="str">
        <f>HYPERLINK("https://dpmzos25m8ivg.cloudfront.net/Documentos/631/02364193230/6310236419323012092023223110.jpeg","https://dpmzos25m8ivg.cloudfront.net/Documentos/631/02364193230/6310236419323012092023223110.jpeg")</f>
        <v>https://dpmzos25m8ivg.cloudfront.net/Documentos/631/02364193230/6310236419323012092023223110.jpeg</v>
      </c>
      <c r="F848" s="5" t="str">
        <f>HYPERLINK("https://dpmzos25m8ivg.cloudfront.net/Documentos/631/02364193230/6310236419323012092023223117.jpeg","https://dpmzos25m8ivg.cloudfront.net/Documentos/631/02364193230/6310236419323012092023223117.jpeg")</f>
        <v>https://dpmzos25m8ivg.cloudfront.net/Documentos/631/02364193230/6310236419323012092023223117.jpeg</v>
      </c>
      <c r="G848" s="5" t="str">
        <f>HYPERLINK("https://dpmzos25m8ivg.cloudfront.net/Documentos/631/02364193230/6310236419323012092023223128.jpeg","https://dpmzos25m8ivg.cloudfront.net/Documentos/631/02364193230/6310236419323012092023223128.jpeg")</f>
        <v>https://dpmzos25m8ivg.cloudfront.net/Documentos/631/02364193230/6310236419323012092023223128.jpeg</v>
      </c>
      <c r="H848" s="4" t="s">
        <v>9434</v>
      </c>
    </row>
    <row r="849" spans="1:8" x14ac:dyDescent="0.25">
      <c r="A849" s="2" t="s">
        <v>863</v>
      </c>
      <c r="B849" s="3"/>
      <c r="C849" s="3"/>
      <c r="D849" s="3"/>
      <c r="E849" s="4" t="str">
        <f>HYPERLINK("https://dpmzos25m8ivg.cloudfront.net/Documentos/631/02364323541/6310236432354105092023123021.pdf","https://dpmzos25m8ivg.cloudfront.net/Documentos/631/02364323541/6310236432354105092023123021.pdf")</f>
        <v>https://dpmzos25m8ivg.cloudfront.net/Documentos/631/02364323541/6310236432354105092023123021.pdf</v>
      </c>
      <c r="F849" s="5" t="str">
        <f>HYPERLINK("https://dpmzos25m8ivg.cloudfront.net/Documentos/631/02364323541/6310236432354105092023123039.pdf","https://dpmzos25m8ivg.cloudfront.net/Documentos/631/02364323541/6310236432354105092023123039.pdf")</f>
        <v>https://dpmzos25m8ivg.cloudfront.net/Documentos/631/02364323541/6310236432354105092023123039.pdf</v>
      </c>
      <c r="G849" s="5" t="str">
        <f>HYPERLINK("https://dpmzos25m8ivg.cloudfront.net/Documentos/631/02364323541/6310236432354105092023123052.pdf","https://dpmzos25m8ivg.cloudfront.net/Documentos/631/02364323541/6310236432354105092023123052.pdf")</f>
        <v>https://dpmzos25m8ivg.cloudfront.net/Documentos/631/02364323541/6310236432354105092023123052.pdf</v>
      </c>
      <c r="H849" s="4" t="s">
        <v>9435</v>
      </c>
    </row>
    <row r="850" spans="1:8" x14ac:dyDescent="0.25">
      <c r="A850" s="2" t="s">
        <v>864</v>
      </c>
      <c r="B850" s="3"/>
      <c r="C850" s="3"/>
      <c r="D850" s="3"/>
      <c r="E850" s="4" t="str">
        <f>HYPERLINK("https://dpmzos25m8ivg.cloudfront.net/Documentos/631/02365194176/6310236519417611092023091039.pdf","https://dpmzos25m8ivg.cloudfront.net/Documentos/631/02365194176/6310236519417611092023091039.pdf")</f>
        <v>https://dpmzos25m8ivg.cloudfront.net/Documentos/631/02365194176/6310236519417611092023091039.pdf</v>
      </c>
      <c r="F850" s="5" t="str">
        <f>HYPERLINK("https://dpmzos25m8ivg.cloudfront.net/Documentos/631/02365194176/6310236519417611092023091049.pdf","https://dpmzos25m8ivg.cloudfront.net/Documentos/631/02365194176/6310236519417611092023091049.pdf")</f>
        <v>https://dpmzos25m8ivg.cloudfront.net/Documentos/631/02365194176/6310236519417611092023091049.pdf</v>
      </c>
      <c r="G850" s="5" t="str">
        <f>HYPERLINK("https://dpmzos25m8ivg.cloudfront.net/Documentos/631/02365194176/6310236519417611092023091100.pdf","https://dpmzos25m8ivg.cloudfront.net/Documentos/631/02365194176/6310236519417611092023091100.pdf")</f>
        <v>https://dpmzos25m8ivg.cloudfront.net/Documentos/631/02365194176/6310236519417611092023091100.pdf</v>
      </c>
      <c r="H850" s="4" t="s">
        <v>9436</v>
      </c>
    </row>
    <row r="851" spans="1:8" x14ac:dyDescent="0.25">
      <c r="A851" s="2" t="s">
        <v>865</v>
      </c>
      <c r="B851" s="3"/>
      <c r="C851" s="3"/>
      <c r="D851" s="3"/>
      <c r="E851" s="4" t="str">
        <f>HYPERLINK("https://dpmzos25m8ivg.cloudfront.net/Documentos/631/02369765160/6310236976516011092023143946.jpeg","https://dpmzos25m8ivg.cloudfront.net/Documentos/631/02369765160/6310236976516011092023143946.jpeg")</f>
        <v>https://dpmzos25m8ivg.cloudfront.net/Documentos/631/02369765160/6310236976516011092023143946.jpeg</v>
      </c>
      <c r="F851" s="5" t="str">
        <f>HYPERLINK("https://dpmzos25m8ivg.cloudfront.net/Documentos/631/02369765160/6310236976516011092023144330.jpeg","https://dpmzos25m8ivg.cloudfront.net/Documentos/631/02369765160/6310236976516011092023144330.jpeg")</f>
        <v>https://dpmzos25m8ivg.cloudfront.net/Documentos/631/02369765160/6310236976516011092023144330.jpeg</v>
      </c>
      <c r="G851" s="5" t="str">
        <f>HYPERLINK("https://dpmzos25m8ivg.cloudfront.net/Documentos/631/02369765160/6310236976516011092023144536.jpeg","https://dpmzos25m8ivg.cloudfront.net/Documentos/631/02369765160/6310236976516011092023144536.jpeg")</f>
        <v>https://dpmzos25m8ivg.cloudfront.net/Documentos/631/02369765160/6310236976516011092023144536.jpeg</v>
      </c>
      <c r="H851" s="4" t="s">
        <v>9437</v>
      </c>
    </row>
    <row r="852" spans="1:8" x14ac:dyDescent="0.25">
      <c r="A852" s="2" t="s">
        <v>866</v>
      </c>
      <c r="B852" s="3"/>
      <c r="C852" s="3"/>
      <c r="D852" s="3"/>
      <c r="E852" s="4" t="str">
        <f>HYPERLINK("https://dpmzos25m8ivg.cloudfront.net/Documentos/631/02369911166/6310236991116611092023162451.jpg","https://dpmzos25m8ivg.cloudfront.net/Documentos/631/02369911166/6310236991116611092023162451.jpg")</f>
        <v>https://dpmzos25m8ivg.cloudfront.net/Documentos/631/02369911166/6310236991116611092023162451.jpg</v>
      </c>
      <c r="F852" s="5" t="str">
        <f>HYPERLINK("https://dpmzos25m8ivg.cloudfront.net/Documentos/631/02369911166/6310236991116611092023162515.jpg","https://dpmzos25m8ivg.cloudfront.net/Documentos/631/02369911166/6310236991116611092023162515.jpg")</f>
        <v>https://dpmzos25m8ivg.cloudfront.net/Documentos/631/02369911166/6310236991116611092023162515.jpg</v>
      </c>
      <c r="G852" s="5" t="str">
        <f>HYPERLINK("https://dpmzos25m8ivg.cloudfront.net/Documentos/631/02369911166/6310236991116611092023162536.jpg","https://dpmzos25m8ivg.cloudfront.net/Documentos/631/02369911166/6310236991116611092023162536.jpg")</f>
        <v>https://dpmzos25m8ivg.cloudfront.net/Documentos/631/02369911166/6310236991116611092023162536.jpg</v>
      </c>
      <c r="H852" s="4" t="s">
        <v>9438</v>
      </c>
    </row>
    <row r="853" spans="1:8" x14ac:dyDescent="0.25">
      <c r="A853" s="2" t="s">
        <v>867</v>
      </c>
      <c r="B853" s="3"/>
      <c r="C853" s="3"/>
      <c r="D853" s="3"/>
      <c r="E853" s="4" t="str">
        <f>HYPERLINK("https://dpmzos25m8ivg.cloudfront.net/Documentos/631/02370521562/6310237052156211092023160630.pdf","https://dpmzos25m8ivg.cloudfront.net/Documentos/631/02370521562/6310237052156211092023160630.pdf")</f>
        <v>https://dpmzos25m8ivg.cloudfront.net/Documentos/631/02370521562/6310237052156211092023160630.pdf</v>
      </c>
      <c r="F853" s="5" t="str">
        <f>HYPERLINK("https://dpmzos25m8ivg.cloudfront.net/Documentos/631/02370521562/6310237052156211092023160651.pdf","https://dpmzos25m8ivg.cloudfront.net/Documentos/631/02370521562/6310237052156211092023160651.pdf")</f>
        <v>https://dpmzos25m8ivg.cloudfront.net/Documentos/631/02370521562/6310237052156211092023160651.pdf</v>
      </c>
      <c r="G853" s="5" t="str">
        <f>HYPERLINK("https://dpmzos25m8ivg.cloudfront.net/Documentos/631/02370521562/6310237052156211092023160706.pdf","https://dpmzos25m8ivg.cloudfront.net/Documentos/631/02370521562/6310237052156211092023160706.pdf")</f>
        <v>https://dpmzos25m8ivg.cloudfront.net/Documentos/631/02370521562/6310237052156211092023160706.pdf</v>
      </c>
      <c r="H853" s="4" t="s">
        <v>9439</v>
      </c>
    </row>
    <row r="854" spans="1:8" x14ac:dyDescent="0.25">
      <c r="A854" s="2" t="s">
        <v>868</v>
      </c>
      <c r="B854" s="3"/>
      <c r="C854" s="3"/>
      <c r="D854" s="3"/>
      <c r="E854" s="4" t="str">
        <f>HYPERLINK("https://dpmzos25m8ivg.cloudfront.net/Documentos/631/02371026336/6310237102633606092023114339.pdf","https://dpmzos25m8ivg.cloudfront.net/Documentos/631/02371026336/6310237102633606092023114339.pdf")</f>
        <v>https://dpmzos25m8ivg.cloudfront.net/Documentos/631/02371026336/6310237102633606092023114339.pdf</v>
      </c>
      <c r="F854" s="5" t="str">
        <f>HYPERLINK("https://dpmzos25m8ivg.cloudfront.net/Documentos/631/02371026336/6310237102633606092023114352.pdf","https://dpmzos25m8ivg.cloudfront.net/Documentos/631/02371026336/6310237102633606092023114352.pdf")</f>
        <v>https://dpmzos25m8ivg.cloudfront.net/Documentos/631/02371026336/6310237102633606092023114352.pdf</v>
      </c>
      <c r="G854" s="5" t="str">
        <f>HYPERLINK("https://dpmzos25m8ivg.cloudfront.net/Documentos/631/02371026336/6310237102633606092023114406.pdf","https://dpmzos25m8ivg.cloudfront.net/Documentos/631/02371026336/6310237102633606092023114406.pdf")</f>
        <v>https://dpmzos25m8ivg.cloudfront.net/Documentos/631/02371026336/6310237102633606092023114406.pdf</v>
      </c>
      <c r="H854" s="4" t="s">
        <v>9440</v>
      </c>
    </row>
    <row r="855" spans="1:8" x14ac:dyDescent="0.25">
      <c r="A855" s="2" t="s">
        <v>869</v>
      </c>
      <c r="B855" s="3"/>
      <c r="C855" s="3"/>
      <c r="D855" s="3"/>
      <c r="E855" s="4" t="str">
        <f>HYPERLINK("https://dpmzos25m8ivg.cloudfront.net/Documentos/631/02371253316/6310237125331611092023104414.jpg","https://dpmzos25m8ivg.cloudfront.net/Documentos/631/02371253316/6310237125331611092023104414.jpg")</f>
        <v>https://dpmzos25m8ivg.cloudfront.net/Documentos/631/02371253316/6310237125331611092023104414.jpg</v>
      </c>
      <c r="F855" s="5" t="str">
        <f>HYPERLINK("https://dpmzos25m8ivg.cloudfront.net/Documentos/631/02371253316/6310237125331611092023104427.jpg","https://dpmzos25m8ivg.cloudfront.net/Documentos/631/02371253316/6310237125331611092023104427.jpg")</f>
        <v>https://dpmzos25m8ivg.cloudfront.net/Documentos/631/02371253316/6310237125331611092023104427.jpg</v>
      </c>
      <c r="G855" s="5" t="str">
        <f>HYPERLINK("https://dpmzos25m8ivg.cloudfront.net/Documentos/631/02371253316/6310237125331611092023104550.jpg","https://dpmzos25m8ivg.cloudfront.net/Documentos/631/02371253316/6310237125331611092023104550.jpg")</f>
        <v>https://dpmzos25m8ivg.cloudfront.net/Documentos/631/02371253316/6310237125331611092023104550.jpg</v>
      </c>
      <c r="H855" s="4" t="s">
        <v>9441</v>
      </c>
    </row>
    <row r="856" spans="1:8" x14ac:dyDescent="0.25">
      <c r="A856" s="2" t="s">
        <v>870</v>
      </c>
      <c r="B856" s="3"/>
      <c r="C856" s="3"/>
      <c r="D856" s="3"/>
      <c r="E856" s="4" t="str">
        <f>HYPERLINK("https://dpmzos25m8ivg.cloudfront.net/Documentos/631/02373581906/6310237358190611092023154119.pdf","https://dpmzos25m8ivg.cloudfront.net/Documentos/631/02373581906/6310237358190611092023154119.pdf")</f>
        <v>https://dpmzos25m8ivg.cloudfront.net/Documentos/631/02373581906/6310237358190611092023154119.pdf</v>
      </c>
      <c r="F856" s="5" t="str">
        <f>HYPERLINK("https://dpmzos25m8ivg.cloudfront.net/Documentos/631/02373581906/6310237358190611092023154129.pdf","https://dpmzos25m8ivg.cloudfront.net/Documentos/631/02373581906/6310237358190611092023154129.pdf")</f>
        <v>https://dpmzos25m8ivg.cloudfront.net/Documentos/631/02373581906/6310237358190611092023154129.pdf</v>
      </c>
      <c r="G856" s="5" t="str">
        <f>HYPERLINK("https://dpmzos25m8ivg.cloudfront.net/Documentos/631/02373581906/6310237358190611092023154137.pdf","https://dpmzos25m8ivg.cloudfront.net/Documentos/631/02373581906/6310237358190611092023154137.pdf")</f>
        <v>https://dpmzos25m8ivg.cloudfront.net/Documentos/631/02373581906/6310237358190611092023154137.pdf</v>
      </c>
      <c r="H856" s="4" t="s">
        <v>9442</v>
      </c>
    </row>
    <row r="857" spans="1:8" x14ac:dyDescent="0.25">
      <c r="A857" s="2" t="s">
        <v>871</v>
      </c>
      <c r="B857" s="3"/>
      <c r="C857" s="3"/>
      <c r="D857" s="3"/>
      <c r="E857" s="4" t="str">
        <f>HYPERLINK("https://dpmzos25m8ivg.cloudfront.net/Documentos/631/02374947106/6310237494710605092023124111.pdf","https://dpmzos25m8ivg.cloudfront.net/Documentos/631/02374947106/6310237494710605092023124111.pdf")</f>
        <v>https://dpmzos25m8ivg.cloudfront.net/Documentos/631/02374947106/6310237494710605092023124111.pdf</v>
      </c>
      <c r="F857" s="5" t="str">
        <f>HYPERLINK("https://dpmzos25m8ivg.cloudfront.net/Documentos/631/02374947106/6310237494710605092023124117.pdf","https://dpmzos25m8ivg.cloudfront.net/Documentos/631/02374947106/6310237494710605092023124117.pdf")</f>
        <v>https://dpmzos25m8ivg.cloudfront.net/Documentos/631/02374947106/6310237494710605092023124117.pdf</v>
      </c>
      <c r="G857" s="5" t="str">
        <f>HYPERLINK("https://dpmzos25m8ivg.cloudfront.net/Documentos/631/02374947106/6310237494710605092023124123.pdf","https://dpmzos25m8ivg.cloudfront.net/Documentos/631/02374947106/6310237494710605092023124123.pdf")</f>
        <v>https://dpmzos25m8ivg.cloudfront.net/Documentos/631/02374947106/6310237494710605092023124123.pdf</v>
      </c>
      <c r="H857" s="4" t="s">
        <v>9443</v>
      </c>
    </row>
    <row r="858" spans="1:8" x14ac:dyDescent="0.25">
      <c r="A858" s="2" t="s">
        <v>872</v>
      </c>
      <c r="B858" s="3" t="s">
        <v>8</v>
      </c>
      <c r="C858" s="3"/>
      <c r="D858" s="3"/>
      <c r="E858" s="4" t="str">
        <f>HYPERLINK("https://dpmzos25m8ivg.cloudfront.net/Documentos/631/02375100220/6310237510022007092023140701.pdf","https://dpmzos25m8ivg.cloudfront.net/Documentos/631/02375100220/6310237510022007092023140701.pdf")</f>
        <v>https://dpmzos25m8ivg.cloudfront.net/Documentos/631/02375100220/6310237510022007092023140701.pdf</v>
      </c>
      <c r="F858" s="5" t="str">
        <f>HYPERLINK("https://dpmzos25m8ivg.cloudfront.net/Documentos/631/02375100220/6310237510022007092023140710.pdf","https://dpmzos25m8ivg.cloudfront.net/Documentos/631/02375100220/6310237510022007092023140710.pdf")</f>
        <v>https://dpmzos25m8ivg.cloudfront.net/Documentos/631/02375100220/6310237510022007092023140710.pdf</v>
      </c>
      <c r="G858" s="5" t="str">
        <f>HYPERLINK("https://dpmzos25m8ivg.cloudfront.net/Documentos/631/02375100220/6310237510022007092023140717.pdf","https://dpmzos25m8ivg.cloudfront.net/Documentos/631/02375100220/6310237510022007092023140717.pdf")</f>
        <v>https://dpmzos25m8ivg.cloudfront.net/Documentos/631/02375100220/6310237510022007092023140717.pdf</v>
      </c>
      <c r="H858" s="4" t="s">
        <v>9444</v>
      </c>
    </row>
    <row r="859" spans="1:8" x14ac:dyDescent="0.25">
      <c r="A859" s="2" t="s">
        <v>873</v>
      </c>
      <c r="B859" s="3"/>
      <c r="C859" s="3"/>
      <c r="D859" s="3"/>
      <c r="E859" s="4" t="str">
        <f>HYPERLINK("https://dpmzos25m8ivg.cloudfront.net/Documentos/631/02375446100/6310237544610011092023152253.jpg","https://dpmzos25m8ivg.cloudfront.net/Documentos/631/02375446100/6310237544610011092023152253.jpg")</f>
        <v>https://dpmzos25m8ivg.cloudfront.net/Documentos/631/02375446100/6310237544610011092023152253.jpg</v>
      </c>
      <c r="F859" s="5" t="str">
        <f>HYPERLINK("https://dpmzos25m8ivg.cloudfront.net/Documentos/631/02375446100/6310237544610011092023152310.jpg","https://dpmzos25m8ivg.cloudfront.net/Documentos/631/02375446100/6310237544610011092023152310.jpg")</f>
        <v>https://dpmzos25m8ivg.cloudfront.net/Documentos/631/02375446100/6310237544610011092023152310.jpg</v>
      </c>
      <c r="G859" s="5" t="str">
        <f>HYPERLINK("https://dpmzos25m8ivg.cloudfront.net/Documentos/631/02375446100/6310237544610011092023152323.jpg","https://dpmzos25m8ivg.cloudfront.net/Documentos/631/02375446100/6310237544610011092023152323.jpg")</f>
        <v>https://dpmzos25m8ivg.cloudfront.net/Documentos/631/02375446100/6310237544610011092023152323.jpg</v>
      </c>
      <c r="H859" s="4" t="s">
        <v>9445</v>
      </c>
    </row>
    <row r="860" spans="1:8" x14ac:dyDescent="0.25">
      <c r="A860" s="2" t="s">
        <v>874</v>
      </c>
      <c r="B860" s="3" t="s">
        <v>42</v>
      </c>
      <c r="C860" s="3"/>
      <c r="D860" s="3"/>
      <c r="E860" s="4" t="str">
        <f>HYPERLINK("https://dpmzos25m8ivg.cloudfront.net/Documentos/631/02376341124/6310237634112405092023223421.jpg","https://dpmzos25m8ivg.cloudfront.net/Documentos/631/02376341124/6310237634112405092023223421.jpg")</f>
        <v>https://dpmzos25m8ivg.cloudfront.net/Documentos/631/02376341124/6310237634112405092023223421.jpg</v>
      </c>
      <c r="F860" s="5" t="str">
        <f>HYPERLINK("https://dpmzos25m8ivg.cloudfront.net/Documentos/631/02376341124/6310237634112405092023223450.jpg","https://dpmzos25m8ivg.cloudfront.net/Documentos/631/02376341124/6310237634112405092023223450.jpg")</f>
        <v>https://dpmzos25m8ivg.cloudfront.net/Documentos/631/02376341124/6310237634112405092023223450.jpg</v>
      </c>
      <c r="G860" s="5" t="str">
        <f>HYPERLINK("https://dpmzos25m8ivg.cloudfront.net/Documentos/631/02376341124/6310237634112405092023223501.jpg","https://dpmzos25m8ivg.cloudfront.net/Documentos/631/02376341124/6310237634112405092023223501.jpg")</f>
        <v>https://dpmzos25m8ivg.cloudfront.net/Documentos/631/02376341124/6310237634112405092023223501.jpg</v>
      </c>
      <c r="H860" s="4" t="s">
        <v>9446</v>
      </c>
    </row>
    <row r="861" spans="1:8" x14ac:dyDescent="0.25">
      <c r="A861" s="2" t="s">
        <v>875</v>
      </c>
      <c r="B861" s="3"/>
      <c r="C861" s="3"/>
      <c r="D861" s="3"/>
      <c r="E861" s="4" t="str">
        <f>HYPERLINK("https://dpmzos25m8ivg.cloudfront.net/Documentos/631/02389516424/6310238951642408092023140749.pdf","https://dpmzos25m8ivg.cloudfront.net/Documentos/631/02389516424/6310238951642408092023140749.pdf")</f>
        <v>https://dpmzos25m8ivg.cloudfront.net/Documentos/631/02389516424/6310238951642408092023140749.pdf</v>
      </c>
      <c r="F861" s="5" t="str">
        <f>HYPERLINK("https://dpmzos25m8ivg.cloudfront.net/Documentos/631/02389516424/6310238951642408092023140759.pdf","https://dpmzos25m8ivg.cloudfront.net/Documentos/631/02389516424/6310238951642408092023140759.pdf")</f>
        <v>https://dpmzos25m8ivg.cloudfront.net/Documentos/631/02389516424/6310238951642408092023140759.pdf</v>
      </c>
      <c r="G861" s="5" t="str">
        <f>HYPERLINK("https://dpmzos25m8ivg.cloudfront.net/Documentos/631/02389516424/6310238951642408092023140809.pdf","https://dpmzos25m8ivg.cloudfront.net/Documentos/631/02389516424/6310238951642408092023140809.pdf")</f>
        <v>https://dpmzos25m8ivg.cloudfront.net/Documentos/631/02389516424/6310238951642408092023140809.pdf</v>
      </c>
      <c r="H861" s="4" t="s">
        <v>9447</v>
      </c>
    </row>
    <row r="862" spans="1:8" x14ac:dyDescent="0.25">
      <c r="A862" s="2" t="s">
        <v>876</v>
      </c>
      <c r="B862" s="3"/>
      <c r="C862" s="3"/>
      <c r="D862" s="3"/>
      <c r="E862" s="4" t="str">
        <f>HYPERLINK("https://dpmzos25m8ivg.cloudfront.net/Documentos/631/02390994199/6310239099419907092023120753.jpeg","https://dpmzos25m8ivg.cloudfront.net/Documentos/631/02390994199/6310239099419907092023120753.jpeg")</f>
        <v>https://dpmzos25m8ivg.cloudfront.net/Documentos/631/02390994199/6310239099419907092023120753.jpeg</v>
      </c>
      <c r="F862" s="5" t="str">
        <f>HYPERLINK("https://dpmzos25m8ivg.cloudfront.net/Documentos/631/02390994199/6310239099419907092023120817.jpeg","https://dpmzos25m8ivg.cloudfront.net/Documentos/631/02390994199/6310239099419907092023120817.jpeg")</f>
        <v>https://dpmzos25m8ivg.cloudfront.net/Documentos/631/02390994199/6310239099419907092023120817.jpeg</v>
      </c>
      <c r="G862" s="5" t="str">
        <f>HYPERLINK("https://dpmzos25m8ivg.cloudfront.net/Documentos/631/02390994199/6310239099419907092023120832.jpeg","https://dpmzos25m8ivg.cloudfront.net/Documentos/631/02390994199/6310239099419907092023120832.jpeg")</f>
        <v>https://dpmzos25m8ivg.cloudfront.net/Documentos/631/02390994199/6310239099419907092023120832.jpeg</v>
      </c>
      <c r="H862" s="4" t="s">
        <v>9448</v>
      </c>
    </row>
    <row r="863" spans="1:8" x14ac:dyDescent="0.25">
      <c r="A863" s="2" t="s">
        <v>877</v>
      </c>
      <c r="B863" s="3" t="s">
        <v>42</v>
      </c>
      <c r="C863" s="3"/>
      <c r="D863" s="3"/>
      <c r="E863" s="4" t="str">
        <f>HYPERLINK("https://dpmzos25m8ivg.cloudfront.net/Documentos/631/02396176145/6310239617614511092023002414.pdf","https://dpmzos25m8ivg.cloudfront.net/Documentos/631/02396176145/6310239617614511092023002414.pdf")</f>
        <v>https://dpmzos25m8ivg.cloudfront.net/Documentos/631/02396176145/6310239617614511092023002414.pdf</v>
      </c>
      <c r="F863" s="5" t="str">
        <f>HYPERLINK("https://dpmzos25m8ivg.cloudfront.net/Documentos/631/02396176145/6310239617614511092023002430.pdf","https://dpmzos25m8ivg.cloudfront.net/Documentos/631/02396176145/6310239617614511092023002430.pdf")</f>
        <v>https://dpmzos25m8ivg.cloudfront.net/Documentos/631/02396176145/6310239617614511092023002430.pdf</v>
      </c>
      <c r="G863" s="5" t="str">
        <f>HYPERLINK("https://dpmzos25m8ivg.cloudfront.net/Documentos/631/02396176145/6310239617614511092023002445.pdf","https://dpmzos25m8ivg.cloudfront.net/Documentos/631/02396176145/6310239617614511092023002445.pdf")</f>
        <v>https://dpmzos25m8ivg.cloudfront.net/Documentos/631/02396176145/6310239617614511092023002445.pdf</v>
      </c>
      <c r="H863" s="4" t="s">
        <v>9449</v>
      </c>
    </row>
    <row r="864" spans="1:8" x14ac:dyDescent="0.25">
      <c r="A864" s="2" t="s">
        <v>878</v>
      </c>
      <c r="B864" s="3"/>
      <c r="C864" s="3"/>
      <c r="D864" s="3"/>
      <c r="E864" s="4" t="str">
        <f>HYPERLINK("https://dpmzos25m8ivg.cloudfront.net/Documentos/631/02397754223/6310239775422311092023122053.pdf","https://dpmzos25m8ivg.cloudfront.net/Documentos/631/02397754223/6310239775422311092023122053.pdf")</f>
        <v>https://dpmzos25m8ivg.cloudfront.net/Documentos/631/02397754223/6310239775422311092023122053.pdf</v>
      </c>
      <c r="F864" s="5" t="str">
        <f>HYPERLINK("https://dpmzos25m8ivg.cloudfront.net/Documentos/631/02397754223/6310239775422311092023122242.pdf","https://dpmzos25m8ivg.cloudfront.net/Documentos/631/02397754223/6310239775422311092023122242.pdf")</f>
        <v>https://dpmzos25m8ivg.cloudfront.net/Documentos/631/02397754223/6310239775422311092023122242.pdf</v>
      </c>
      <c r="G864" s="5" t="str">
        <f>HYPERLINK("https://dpmzos25m8ivg.cloudfront.net/Documentos/631/02397754223/6310239775422311092023122310.pdf","https://dpmzos25m8ivg.cloudfront.net/Documentos/631/02397754223/6310239775422311092023122310.pdf")</f>
        <v>https://dpmzos25m8ivg.cloudfront.net/Documentos/631/02397754223/6310239775422311092023122310.pdf</v>
      </c>
      <c r="H864" s="4" t="s">
        <v>9450</v>
      </c>
    </row>
    <row r="865" spans="1:8" x14ac:dyDescent="0.25">
      <c r="A865" s="2" t="s">
        <v>879</v>
      </c>
      <c r="B865" s="3" t="s">
        <v>42</v>
      </c>
      <c r="C865" s="3"/>
      <c r="D865" s="3"/>
      <c r="E865" s="4" t="str">
        <f>HYPERLINK("https://dpmzos25m8ivg.cloudfront.net/Documentos/631/02398158152/6310239815815205092023232351.pdf","https://dpmzos25m8ivg.cloudfront.net/Documentos/631/02398158152/6310239815815205092023232351.pdf")</f>
        <v>https://dpmzos25m8ivg.cloudfront.net/Documentos/631/02398158152/6310239815815205092023232351.pdf</v>
      </c>
      <c r="F865" s="5" t="str">
        <f>HYPERLINK("https://dpmzos25m8ivg.cloudfront.net/Documentos/631/02398158152/6310239815815205092023232409.pdf","https://dpmzos25m8ivg.cloudfront.net/Documentos/631/02398158152/6310239815815205092023232409.pdf")</f>
        <v>https://dpmzos25m8ivg.cloudfront.net/Documentos/631/02398158152/6310239815815205092023232409.pdf</v>
      </c>
      <c r="G865" s="5" t="str">
        <f>HYPERLINK("https://dpmzos25m8ivg.cloudfront.net/Documentos/631/02398158152/6310239815815205092023232445.pdf","https://dpmzos25m8ivg.cloudfront.net/Documentos/631/02398158152/6310239815815205092023232445.pdf")</f>
        <v>https://dpmzos25m8ivg.cloudfront.net/Documentos/631/02398158152/6310239815815205092023232445.pdf</v>
      </c>
      <c r="H865" s="4" t="s">
        <v>9451</v>
      </c>
    </row>
    <row r="866" spans="1:8" x14ac:dyDescent="0.25">
      <c r="A866" s="2" t="s">
        <v>880</v>
      </c>
      <c r="B866" s="3"/>
      <c r="C866" s="3"/>
      <c r="D866" s="3"/>
      <c r="E866" s="4" t="str">
        <f>HYPERLINK("https://dpmzos25m8ivg.cloudfront.net/Documentos/631/02403987778/6310240398777805092023181628.pdf","https://dpmzos25m8ivg.cloudfront.net/Documentos/631/02403987778/6310240398777805092023181628.pdf")</f>
        <v>https://dpmzos25m8ivg.cloudfront.net/Documentos/631/02403987778/6310240398777805092023181628.pdf</v>
      </c>
      <c r="F866" s="5" t="str">
        <f>HYPERLINK("https://dpmzos25m8ivg.cloudfront.net/Documentos/631/02403987778/6310240398777805092023181711.pdf","https://dpmzos25m8ivg.cloudfront.net/Documentos/631/02403987778/6310240398777805092023181711.pdf")</f>
        <v>https://dpmzos25m8ivg.cloudfront.net/Documentos/631/02403987778/6310240398777805092023181711.pdf</v>
      </c>
      <c r="G866" s="5" t="str">
        <f>HYPERLINK("https://dpmzos25m8ivg.cloudfront.net/Documentos/631/02403987778/6310240398777805092023181734.pdf","https://dpmzos25m8ivg.cloudfront.net/Documentos/631/02403987778/6310240398777805092023181734.pdf")</f>
        <v>https://dpmzos25m8ivg.cloudfront.net/Documentos/631/02403987778/6310240398777805092023181734.pdf</v>
      </c>
      <c r="H866" s="4" t="s">
        <v>9452</v>
      </c>
    </row>
    <row r="867" spans="1:8" x14ac:dyDescent="0.25">
      <c r="A867" s="2" t="s">
        <v>881</v>
      </c>
      <c r="B867" s="3"/>
      <c r="C867" s="3"/>
      <c r="D867" s="3"/>
      <c r="E867" s="4" t="str">
        <f>HYPERLINK("https://dpmzos25m8ivg.cloudfront.net/Documentos/631/02405918102/6310240591810211092023134943.pdf","https://dpmzos25m8ivg.cloudfront.net/Documentos/631/02405918102/6310240591810211092023134943.pdf")</f>
        <v>https://dpmzos25m8ivg.cloudfront.net/Documentos/631/02405918102/6310240591810211092023134943.pdf</v>
      </c>
      <c r="F867" s="5" t="str">
        <f>HYPERLINK("https://dpmzos25m8ivg.cloudfront.net/Documentos/631/02405918102/6310240591810211092023135218.pdf","https://dpmzos25m8ivg.cloudfront.net/Documentos/631/02405918102/6310240591810211092023135218.pdf")</f>
        <v>https://dpmzos25m8ivg.cloudfront.net/Documentos/631/02405918102/6310240591810211092023135218.pdf</v>
      </c>
      <c r="G867" s="5" t="str">
        <f>HYPERLINK("https://dpmzos25m8ivg.cloudfront.net/Documentos/631/02405918102/6310240591810211092023135229.pdf","https://dpmzos25m8ivg.cloudfront.net/Documentos/631/02405918102/6310240591810211092023135229.pdf")</f>
        <v>https://dpmzos25m8ivg.cloudfront.net/Documentos/631/02405918102/6310240591810211092023135229.pdf</v>
      </c>
      <c r="H867" s="4" t="s">
        <v>9453</v>
      </c>
    </row>
    <row r="868" spans="1:8" x14ac:dyDescent="0.25">
      <c r="A868" s="2" t="s">
        <v>882</v>
      </c>
      <c r="B868" s="3"/>
      <c r="C868" s="3"/>
      <c r="D868" s="3"/>
      <c r="E868" s="4" t="str">
        <f>HYPERLINK("https://dpmzos25m8ivg.cloudfront.net/Documentos/631/02409806201/6310240980620111092023135103.jpg","https://dpmzos25m8ivg.cloudfront.net/Documentos/631/02409806201/6310240980620111092023135103.jpg")</f>
        <v>https://dpmzos25m8ivg.cloudfront.net/Documentos/631/02409806201/6310240980620111092023135103.jpg</v>
      </c>
      <c r="F868" s="5" t="str">
        <f>HYPERLINK("https://dpmzos25m8ivg.cloudfront.net/Documentos/631/02409806201/6310240980620111092023135138.jpg","https://dpmzos25m8ivg.cloudfront.net/Documentos/631/02409806201/6310240980620111092023135138.jpg")</f>
        <v>https://dpmzos25m8ivg.cloudfront.net/Documentos/631/02409806201/6310240980620111092023135138.jpg</v>
      </c>
      <c r="G868" s="5" t="str">
        <f>HYPERLINK("https://dpmzos25m8ivg.cloudfront.net/Documentos/631/02409806201/6310240980620111092023135155.jpg","https://dpmzos25m8ivg.cloudfront.net/Documentos/631/02409806201/6310240980620111092023135155.jpg")</f>
        <v>https://dpmzos25m8ivg.cloudfront.net/Documentos/631/02409806201/6310240980620111092023135155.jpg</v>
      </c>
      <c r="H868" s="4" t="s">
        <v>9454</v>
      </c>
    </row>
    <row r="869" spans="1:8" x14ac:dyDescent="0.25">
      <c r="A869" s="2" t="s">
        <v>883</v>
      </c>
      <c r="B869" s="3" t="s">
        <v>8</v>
      </c>
      <c r="C869" s="3"/>
      <c r="D869" s="3"/>
      <c r="E869" s="4" t="str">
        <f>HYPERLINK("https://dpmzos25m8ivg.cloudfront.net/Documentos/631/02413851216/6310241385121611092023153941.pdf","https://dpmzos25m8ivg.cloudfront.net/Documentos/631/02413851216/6310241385121611092023153941.pdf")</f>
        <v>https://dpmzos25m8ivg.cloudfront.net/Documentos/631/02413851216/6310241385121611092023153941.pdf</v>
      </c>
      <c r="F869" s="5" t="str">
        <f>HYPERLINK("https://dpmzos25m8ivg.cloudfront.net/Documentos/631/02413851216/6310241385121611092023153954.pdf","https://dpmzos25m8ivg.cloudfront.net/Documentos/631/02413851216/6310241385121611092023153954.pdf")</f>
        <v>https://dpmzos25m8ivg.cloudfront.net/Documentos/631/02413851216/6310241385121611092023153954.pdf</v>
      </c>
      <c r="G869" s="5" t="str">
        <f>HYPERLINK("https://dpmzos25m8ivg.cloudfront.net/Documentos/631/02413851216/6310241385121611092023154008.pdf","https://dpmzos25m8ivg.cloudfront.net/Documentos/631/02413851216/6310241385121611092023154008.pdf")</f>
        <v>https://dpmzos25m8ivg.cloudfront.net/Documentos/631/02413851216/6310241385121611092023154008.pdf</v>
      </c>
      <c r="H869" s="4" t="s">
        <v>9455</v>
      </c>
    </row>
    <row r="870" spans="1:8" x14ac:dyDescent="0.25">
      <c r="A870" s="2" t="s">
        <v>884</v>
      </c>
      <c r="B870" s="3"/>
      <c r="C870" s="3"/>
      <c r="D870" s="3"/>
      <c r="E870" s="4" t="str">
        <f>HYPERLINK("https://dpmzos25m8ivg.cloudfront.net/Documentos/631/02415314200/6310241531420011092023133528.pdf","https://dpmzos25m8ivg.cloudfront.net/Documentos/631/02415314200/6310241531420011092023133528.pdf")</f>
        <v>https://dpmzos25m8ivg.cloudfront.net/Documentos/631/02415314200/6310241531420011092023133528.pdf</v>
      </c>
      <c r="F870" s="5" t="str">
        <f>HYPERLINK("https://dpmzos25m8ivg.cloudfront.net/Documentos/631/02415314200/6310241531420011092023133543.pdf","https://dpmzos25m8ivg.cloudfront.net/Documentos/631/02415314200/6310241531420011092023133543.pdf")</f>
        <v>https://dpmzos25m8ivg.cloudfront.net/Documentos/631/02415314200/6310241531420011092023133543.pdf</v>
      </c>
      <c r="G870" s="5" t="str">
        <f>HYPERLINK("https://dpmzos25m8ivg.cloudfront.net/Documentos/631/02415314200/6310241531420011092023133614.pdf","https://dpmzos25m8ivg.cloudfront.net/Documentos/631/02415314200/6310241531420011092023133614.pdf")</f>
        <v>https://dpmzos25m8ivg.cloudfront.net/Documentos/631/02415314200/6310241531420011092023133614.pdf</v>
      </c>
      <c r="H870" s="4" t="s">
        <v>9456</v>
      </c>
    </row>
    <row r="871" spans="1:8" x14ac:dyDescent="0.25">
      <c r="A871" s="2" t="s">
        <v>885</v>
      </c>
      <c r="B871" s="3"/>
      <c r="C871" s="3"/>
      <c r="D871" s="3"/>
      <c r="E871" s="4" t="str">
        <f>HYPERLINK("https://dpmzos25m8ivg.cloudfront.net/Documentos/631/02416067567/6310241606756705092023212435.pdf","https://dpmzos25m8ivg.cloudfront.net/Documentos/631/02416067567/6310241606756705092023212435.pdf")</f>
        <v>https://dpmzos25m8ivg.cloudfront.net/Documentos/631/02416067567/6310241606756705092023212435.pdf</v>
      </c>
      <c r="F871" s="5" t="str">
        <f>HYPERLINK("https://dpmzos25m8ivg.cloudfront.net/Documentos/631/02416067567/6310241606756705092023212617.pdf","https://dpmzos25m8ivg.cloudfront.net/Documentos/631/02416067567/6310241606756705092023212617.pdf")</f>
        <v>https://dpmzos25m8ivg.cloudfront.net/Documentos/631/02416067567/6310241606756705092023212617.pdf</v>
      </c>
      <c r="G871" s="5" t="str">
        <f>HYPERLINK("https://dpmzos25m8ivg.cloudfront.net/Documentos/631/02416067567/6310241606756705092023212739.pdf","https://dpmzos25m8ivg.cloudfront.net/Documentos/631/02416067567/6310241606756705092023212739.pdf")</f>
        <v>https://dpmzos25m8ivg.cloudfront.net/Documentos/631/02416067567/6310241606756705092023212739.pdf</v>
      </c>
      <c r="H871" s="4" t="s">
        <v>9457</v>
      </c>
    </row>
    <row r="872" spans="1:8" x14ac:dyDescent="0.25">
      <c r="A872" s="2" t="s">
        <v>886</v>
      </c>
      <c r="B872" s="3"/>
      <c r="C872" s="3"/>
      <c r="D872" s="3"/>
      <c r="E872" s="4" t="str">
        <f>HYPERLINK("https://dpmzos25m8ivg.cloudfront.net/Documentos/631/02425245243/6310242524524310092023224929.pdf","https://dpmzos25m8ivg.cloudfront.net/Documentos/631/02425245243/6310242524524310092023224929.pdf")</f>
        <v>https://dpmzos25m8ivg.cloudfront.net/Documentos/631/02425245243/6310242524524310092023224929.pdf</v>
      </c>
      <c r="F872" s="5" t="str">
        <f>HYPERLINK("https://dpmzos25m8ivg.cloudfront.net/Documentos/631/02425245243/6310242524524310092023224949.pdf","https://dpmzos25m8ivg.cloudfront.net/Documentos/631/02425245243/6310242524524310092023224949.pdf")</f>
        <v>https://dpmzos25m8ivg.cloudfront.net/Documentos/631/02425245243/6310242524524310092023224949.pdf</v>
      </c>
      <c r="G872" s="5" t="str">
        <f>HYPERLINK("https://dpmzos25m8ivg.cloudfront.net/Documentos/631/02425245243/6310242524524310092023225006.pdf","https://dpmzos25m8ivg.cloudfront.net/Documentos/631/02425245243/6310242524524310092023225006.pdf")</f>
        <v>https://dpmzos25m8ivg.cloudfront.net/Documentos/631/02425245243/6310242524524310092023225006.pdf</v>
      </c>
      <c r="H872" s="4" t="s">
        <v>9458</v>
      </c>
    </row>
    <row r="873" spans="1:8" x14ac:dyDescent="0.25">
      <c r="A873" s="2" t="s">
        <v>887</v>
      </c>
      <c r="B873" s="3" t="s">
        <v>8</v>
      </c>
      <c r="C873" s="3"/>
      <c r="D873" s="3"/>
      <c r="E873" s="4" t="str">
        <f>HYPERLINK("https://dpmzos25m8ivg.cloudfront.net/Documentos/631/02428014200/6310242801420011092023102755.pdf","https://dpmzos25m8ivg.cloudfront.net/Documentos/631/02428014200/6310242801420011092023102755.pdf")</f>
        <v>https://dpmzos25m8ivg.cloudfront.net/Documentos/631/02428014200/6310242801420011092023102755.pdf</v>
      </c>
      <c r="F873" s="5" t="str">
        <f>HYPERLINK("https://dpmzos25m8ivg.cloudfront.net/Documentos/631/02428014200/6310242801420011092023102847.pdf","https://dpmzos25m8ivg.cloudfront.net/Documentos/631/02428014200/6310242801420011092023102847.pdf")</f>
        <v>https://dpmzos25m8ivg.cloudfront.net/Documentos/631/02428014200/6310242801420011092023102847.pdf</v>
      </c>
      <c r="G873" s="5" t="str">
        <f>HYPERLINK("https://dpmzos25m8ivg.cloudfront.net/Documentos/631/02428014200/6310242801420011092023102924.pdf","https://dpmzos25m8ivg.cloudfront.net/Documentos/631/02428014200/6310242801420011092023102924.pdf")</f>
        <v>https://dpmzos25m8ivg.cloudfront.net/Documentos/631/02428014200/6310242801420011092023102924.pdf</v>
      </c>
      <c r="H873" s="4" t="s">
        <v>9459</v>
      </c>
    </row>
    <row r="874" spans="1:8" x14ac:dyDescent="0.25">
      <c r="A874" s="2" t="s">
        <v>888</v>
      </c>
      <c r="B874" s="3"/>
      <c r="C874" s="3"/>
      <c r="D874" s="3"/>
      <c r="E874" s="4" t="str">
        <f>HYPERLINK("https://dpmzos25m8ivg.cloudfront.net/Documentos/631/02431600467/6310243160046706092023203255.pdf","https://dpmzos25m8ivg.cloudfront.net/Documentos/631/02431600467/6310243160046706092023203255.pdf")</f>
        <v>https://dpmzos25m8ivg.cloudfront.net/Documentos/631/02431600467/6310243160046706092023203255.pdf</v>
      </c>
      <c r="F874" s="5" t="str">
        <f>HYPERLINK("https://dpmzos25m8ivg.cloudfront.net/Documentos/631/02431600467/6310243160046706092023203309.pdf","https://dpmzos25m8ivg.cloudfront.net/Documentos/631/02431600467/6310243160046706092023203309.pdf")</f>
        <v>https://dpmzos25m8ivg.cloudfront.net/Documentos/631/02431600467/6310243160046706092023203309.pdf</v>
      </c>
      <c r="G874" s="5" t="str">
        <f>HYPERLINK("https://dpmzos25m8ivg.cloudfront.net/Documentos/631/02431600467/6310243160046706092023203316.pdf","https://dpmzos25m8ivg.cloudfront.net/Documentos/631/02431600467/6310243160046706092023203316.pdf")</f>
        <v>https://dpmzos25m8ivg.cloudfront.net/Documentos/631/02431600467/6310243160046706092023203316.pdf</v>
      </c>
      <c r="H874" s="4" t="s">
        <v>9460</v>
      </c>
    </row>
    <row r="875" spans="1:8" x14ac:dyDescent="0.25">
      <c r="A875" s="2" t="s">
        <v>889</v>
      </c>
      <c r="B875" s="3"/>
      <c r="C875" s="3"/>
      <c r="D875" s="3"/>
      <c r="E875" s="4" t="str">
        <f>HYPERLINK("https://dpmzos25m8ivg.cloudfront.net/Documentos/631/02433241383/6310243324138309092023122231.pdf","https://dpmzos25m8ivg.cloudfront.net/Documentos/631/02433241383/6310243324138309092023122231.pdf")</f>
        <v>https://dpmzos25m8ivg.cloudfront.net/Documentos/631/02433241383/6310243324138309092023122231.pdf</v>
      </c>
      <c r="F875" s="5" t="str">
        <f>HYPERLINK("https://dpmzos25m8ivg.cloudfront.net/Documentos/631/02433241383/6310243324138309092023122247.pdf","https://dpmzos25m8ivg.cloudfront.net/Documentos/631/02433241383/6310243324138309092023122247.pdf")</f>
        <v>https://dpmzos25m8ivg.cloudfront.net/Documentos/631/02433241383/6310243324138309092023122247.pdf</v>
      </c>
      <c r="G875" s="5" t="str">
        <f>HYPERLINK("https://dpmzos25m8ivg.cloudfront.net/Documentos/631/02433241383/6310243324138309092023122303.pdf","https://dpmzos25m8ivg.cloudfront.net/Documentos/631/02433241383/6310243324138309092023122303.pdf")</f>
        <v>https://dpmzos25m8ivg.cloudfront.net/Documentos/631/02433241383/6310243324138309092023122303.pdf</v>
      </c>
      <c r="H875" s="4" t="s">
        <v>9461</v>
      </c>
    </row>
    <row r="876" spans="1:8" x14ac:dyDescent="0.25">
      <c r="A876" s="2" t="s">
        <v>890</v>
      </c>
      <c r="B876" s="3"/>
      <c r="C876" s="3"/>
      <c r="D876" s="3"/>
      <c r="E876" s="4" t="str">
        <f>HYPERLINK("https://dpmzos25m8ivg.cloudfront.net/Documentos/631/02435112211/6310243511221108092023092839.pdf","https://dpmzos25m8ivg.cloudfront.net/Documentos/631/02435112211/6310243511221108092023092839.pdf")</f>
        <v>https://dpmzos25m8ivg.cloudfront.net/Documentos/631/02435112211/6310243511221108092023092839.pdf</v>
      </c>
      <c r="F876" s="5" t="str">
        <f>HYPERLINK("https://dpmzos25m8ivg.cloudfront.net/Documentos/631/02435112211/6310243511221108092023092909.pdf","https://dpmzos25m8ivg.cloudfront.net/Documentos/631/02435112211/6310243511221108092023092909.pdf")</f>
        <v>https://dpmzos25m8ivg.cloudfront.net/Documentos/631/02435112211/6310243511221108092023092909.pdf</v>
      </c>
      <c r="G876" s="5" t="str">
        <f>HYPERLINK("https://dpmzos25m8ivg.cloudfront.net/Documentos/631/02435112211/6310243511221108092023092934.pdf","https://dpmzos25m8ivg.cloudfront.net/Documentos/631/02435112211/6310243511221108092023092934.pdf")</f>
        <v>https://dpmzos25m8ivg.cloudfront.net/Documentos/631/02435112211/6310243511221108092023092934.pdf</v>
      </c>
      <c r="H876" s="4" t="s">
        <v>9462</v>
      </c>
    </row>
    <row r="877" spans="1:8" x14ac:dyDescent="0.25">
      <c r="A877" s="2" t="s">
        <v>891</v>
      </c>
      <c r="B877" s="3"/>
      <c r="C877" s="3"/>
      <c r="D877" s="3"/>
      <c r="E877" s="4" t="str">
        <f>HYPERLINK("https://dpmzos25m8ivg.cloudfront.net/Documentos/631/02436284202/6310243628420209092023165949.pdf","https://dpmzos25m8ivg.cloudfront.net/Documentos/631/02436284202/6310243628420209092023165949.pdf")</f>
        <v>https://dpmzos25m8ivg.cloudfront.net/Documentos/631/02436284202/6310243628420209092023165949.pdf</v>
      </c>
      <c r="F877" s="5" t="str">
        <f>HYPERLINK("https://dpmzos25m8ivg.cloudfront.net/Documentos/631/02436284202/6310243628420209092023165957.pdf","https://dpmzos25m8ivg.cloudfront.net/Documentos/631/02436284202/6310243628420209092023165957.pdf")</f>
        <v>https://dpmzos25m8ivg.cloudfront.net/Documentos/631/02436284202/6310243628420209092023165957.pdf</v>
      </c>
      <c r="G877" s="5" t="str">
        <f>HYPERLINK("https://dpmzos25m8ivg.cloudfront.net/Documentos/631/02436284202/6310243628420209092023170005.pdf","https://dpmzos25m8ivg.cloudfront.net/Documentos/631/02436284202/6310243628420209092023170005.pdf")</f>
        <v>https://dpmzos25m8ivg.cloudfront.net/Documentos/631/02436284202/6310243628420209092023170005.pdf</v>
      </c>
      <c r="H877" s="4" t="s">
        <v>9463</v>
      </c>
    </row>
    <row r="878" spans="1:8" x14ac:dyDescent="0.25">
      <c r="A878" s="2" t="s">
        <v>892</v>
      </c>
      <c r="B878" s="3"/>
      <c r="C878" s="3"/>
      <c r="D878" s="3"/>
      <c r="E878" s="4" t="str">
        <f>HYPERLINK("https://dpmzos25m8ivg.cloudfront.net/Documentos/631/02437676929/6310243767692911092023144258.pdf","https://dpmzos25m8ivg.cloudfront.net/Documentos/631/02437676929/6310243767692911092023144258.pdf")</f>
        <v>https://dpmzos25m8ivg.cloudfront.net/Documentos/631/02437676929/6310243767692911092023144258.pdf</v>
      </c>
      <c r="F878" s="5" t="str">
        <f>HYPERLINK("https://dpmzos25m8ivg.cloudfront.net/Documentos/631/02437676929/6310243767692911092023144330.pdf","https://dpmzos25m8ivg.cloudfront.net/Documentos/631/02437676929/6310243767692911092023144330.pdf")</f>
        <v>https://dpmzos25m8ivg.cloudfront.net/Documentos/631/02437676929/6310243767692911092023144330.pdf</v>
      </c>
      <c r="G878" s="5" t="str">
        <f>HYPERLINK("https://dpmzos25m8ivg.cloudfront.net/Documentos/631/02437676929/6310243767692911092023144345.pdf","https://dpmzos25m8ivg.cloudfront.net/Documentos/631/02437676929/6310243767692911092023144345.pdf")</f>
        <v>https://dpmzos25m8ivg.cloudfront.net/Documentos/631/02437676929/6310243767692911092023144345.pdf</v>
      </c>
      <c r="H878" s="4" t="s">
        <v>9464</v>
      </c>
    </row>
    <row r="879" spans="1:8" x14ac:dyDescent="0.25">
      <c r="A879" s="2" t="s">
        <v>893</v>
      </c>
      <c r="B879" s="3"/>
      <c r="C879" s="3"/>
      <c r="D879" s="3"/>
      <c r="E879" s="4" t="str">
        <f>HYPERLINK("https://dpmzos25m8ivg.cloudfront.net/Documentos/631/02439314170/6310243931417005092023183755.pdf","https://dpmzos25m8ivg.cloudfront.net/Documentos/631/02439314170/6310243931417005092023183755.pdf")</f>
        <v>https://dpmzos25m8ivg.cloudfront.net/Documentos/631/02439314170/6310243931417005092023183755.pdf</v>
      </c>
      <c r="F879" s="5" t="str">
        <f>HYPERLINK("https://dpmzos25m8ivg.cloudfront.net/Documentos/631/02439314170/6310243931417005092023183803.pdf","https://dpmzos25m8ivg.cloudfront.net/Documentos/631/02439314170/6310243931417005092023183803.pdf")</f>
        <v>https://dpmzos25m8ivg.cloudfront.net/Documentos/631/02439314170/6310243931417005092023183803.pdf</v>
      </c>
      <c r="G879" s="5" t="str">
        <f>HYPERLINK("https://dpmzos25m8ivg.cloudfront.net/Documentos/631/02439314170/6310243931417005092023183811.pdf","https://dpmzos25m8ivg.cloudfront.net/Documentos/631/02439314170/6310243931417005092023183811.pdf")</f>
        <v>https://dpmzos25m8ivg.cloudfront.net/Documentos/631/02439314170/6310243931417005092023183811.pdf</v>
      </c>
      <c r="H879" s="4" t="s">
        <v>9465</v>
      </c>
    </row>
    <row r="880" spans="1:8" x14ac:dyDescent="0.25">
      <c r="A880" s="2" t="s">
        <v>894</v>
      </c>
      <c r="B880" s="3"/>
      <c r="C880" s="3"/>
      <c r="D880" s="3"/>
      <c r="E880" s="4" t="str">
        <f>HYPERLINK("https://dpmzos25m8ivg.cloudfront.net/Documentos/631/02441475231/6310244147523110092023194755.pdf","https://dpmzos25m8ivg.cloudfront.net/Documentos/631/02441475231/6310244147523110092023194755.pdf")</f>
        <v>https://dpmzos25m8ivg.cloudfront.net/Documentos/631/02441475231/6310244147523110092023194755.pdf</v>
      </c>
      <c r="F880" s="5" t="str">
        <f>HYPERLINK("https://dpmzos25m8ivg.cloudfront.net/Documentos/631/02441475231/6310244147523110092023194813.pdf","https://dpmzos25m8ivg.cloudfront.net/Documentos/631/02441475231/6310244147523110092023194813.pdf")</f>
        <v>https://dpmzos25m8ivg.cloudfront.net/Documentos/631/02441475231/6310244147523110092023194813.pdf</v>
      </c>
      <c r="G880" s="5" t="str">
        <f>HYPERLINK("https://dpmzos25m8ivg.cloudfront.net/Documentos/631/02441475231/6310244147523110092023194830.pdf","https://dpmzos25m8ivg.cloudfront.net/Documentos/631/02441475231/6310244147523110092023194830.pdf")</f>
        <v>https://dpmzos25m8ivg.cloudfront.net/Documentos/631/02441475231/6310244147523110092023194830.pdf</v>
      </c>
      <c r="H880" s="4" t="s">
        <v>9466</v>
      </c>
    </row>
    <row r="881" spans="1:8" x14ac:dyDescent="0.25">
      <c r="A881" s="2" t="s">
        <v>895</v>
      </c>
      <c r="B881" s="3"/>
      <c r="C881" s="3"/>
      <c r="D881" s="3"/>
      <c r="E881" s="4" t="str">
        <f>HYPERLINK("https://dpmzos25m8ivg.cloudfront.net/Documentos/631/02444567552/6310244456755211092023121049.pdf","https://dpmzos25m8ivg.cloudfront.net/Documentos/631/02444567552/6310244456755211092023121049.pdf")</f>
        <v>https://dpmzos25m8ivg.cloudfront.net/Documentos/631/02444567552/6310244456755211092023121049.pdf</v>
      </c>
      <c r="F881" s="5" t="str">
        <f>HYPERLINK("https://dpmzos25m8ivg.cloudfront.net/Documentos/631/02444567552/6310244456755211092023121107.pdf","https://dpmzos25m8ivg.cloudfront.net/Documentos/631/02444567552/6310244456755211092023121107.pdf")</f>
        <v>https://dpmzos25m8ivg.cloudfront.net/Documentos/631/02444567552/6310244456755211092023121107.pdf</v>
      </c>
      <c r="G881" s="5" t="str">
        <f>HYPERLINK("https://dpmzos25m8ivg.cloudfront.net/Documentos/631/02444567552/6310244456755211092023121127.pdf","https://dpmzos25m8ivg.cloudfront.net/Documentos/631/02444567552/6310244456755211092023121127.pdf")</f>
        <v>https://dpmzos25m8ivg.cloudfront.net/Documentos/631/02444567552/6310244456755211092023121127.pdf</v>
      </c>
      <c r="H881" s="4" t="s">
        <v>9467</v>
      </c>
    </row>
    <row r="882" spans="1:8" x14ac:dyDescent="0.25">
      <c r="A882" s="2" t="s">
        <v>896</v>
      </c>
      <c r="B882" s="3"/>
      <c r="C882" s="3"/>
      <c r="D882" s="3"/>
      <c r="E882" s="4" t="str">
        <f>HYPERLINK("https://dpmzos25m8ivg.cloudfront.net/Documentos/631/02444728408/6310244472840808092023200319.pdf","https://dpmzos25m8ivg.cloudfront.net/Documentos/631/02444728408/6310244472840808092023200319.pdf")</f>
        <v>https://dpmzos25m8ivg.cloudfront.net/Documentos/631/02444728408/6310244472840808092023200319.pdf</v>
      </c>
      <c r="F882" s="5" t="str">
        <f>HYPERLINK("https://dpmzos25m8ivg.cloudfront.net/Documentos/631/02444728408/6310244472840808092023200241.pdf","https://dpmzos25m8ivg.cloudfront.net/Documentos/631/02444728408/6310244472840808092023200241.pdf")</f>
        <v>https://dpmzos25m8ivg.cloudfront.net/Documentos/631/02444728408/6310244472840808092023200241.pdf</v>
      </c>
      <c r="G882" s="5" t="str">
        <f>HYPERLINK("https://dpmzos25m8ivg.cloudfront.net/Documentos/631/02444728408/6310244472840808092023200419.pdf","https://dpmzos25m8ivg.cloudfront.net/Documentos/631/02444728408/6310244472840808092023200419.pdf")</f>
        <v>https://dpmzos25m8ivg.cloudfront.net/Documentos/631/02444728408/6310244472840808092023200419.pdf</v>
      </c>
      <c r="H882" s="4" t="s">
        <v>9468</v>
      </c>
    </row>
    <row r="883" spans="1:8" x14ac:dyDescent="0.25">
      <c r="A883" s="2" t="s">
        <v>897</v>
      </c>
      <c r="B883" s="3"/>
      <c r="C883" s="3"/>
      <c r="D883" s="3"/>
      <c r="E883" s="4" t="str">
        <f>HYPERLINK("https://dpmzos25m8ivg.cloudfront.net/Documentos/631/02445424305/6310244542430511092023123756.pdf","https://dpmzos25m8ivg.cloudfront.net/Documentos/631/02445424305/6310244542430511092023123756.pdf")</f>
        <v>https://dpmzos25m8ivg.cloudfront.net/Documentos/631/02445424305/6310244542430511092023123756.pdf</v>
      </c>
      <c r="F883" s="5" t="str">
        <f>HYPERLINK("https://dpmzos25m8ivg.cloudfront.net/Documentos/631/02445424305/6310244542430511092023123807.pdf","https://dpmzos25m8ivg.cloudfront.net/Documentos/631/02445424305/6310244542430511092023123807.pdf")</f>
        <v>https://dpmzos25m8ivg.cloudfront.net/Documentos/631/02445424305/6310244542430511092023123807.pdf</v>
      </c>
      <c r="G883" s="5" t="str">
        <f>HYPERLINK("https://dpmzos25m8ivg.cloudfront.net/Documentos/631/02445424305/6310244542430511092023123831.pdf","https://dpmzos25m8ivg.cloudfront.net/Documentos/631/02445424305/6310244542430511092023123831.pdf")</f>
        <v>https://dpmzos25m8ivg.cloudfront.net/Documentos/631/02445424305/6310244542430511092023123831.pdf</v>
      </c>
      <c r="H883" s="4" t="s">
        <v>9469</v>
      </c>
    </row>
    <row r="884" spans="1:8" x14ac:dyDescent="0.25">
      <c r="A884" s="2" t="s">
        <v>898</v>
      </c>
      <c r="B884" s="3"/>
      <c r="C884" s="3"/>
      <c r="D884" s="3"/>
      <c r="E884" s="4" t="str">
        <f>HYPERLINK("https://dpmzos25m8ivg.cloudfront.net/Documentos/631/02446296254/6310244629625405092023122515.pdf","https://dpmzos25m8ivg.cloudfront.net/Documentos/631/02446296254/6310244629625405092023122515.pdf")</f>
        <v>https://dpmzos25m8ivg.cloudfront.net/Documentos/631/02446296254/6310244629625405092023122515.pdf</v>
      </c>
      <c r="F884" s="5" t="str">
        <f>HYPERLINK("https://dpmzos25m8ivg.cloudfront.net/Documentos/631/02446296254/6310244629625405092023122523.pdf","https://dpmzos25m8ivg.cloudfront.net/Documentos/631/02446296254/6310244629625405092023122523.pdf")</f>
        <v>https://dpmzos25m8ivg.cloudfront.net/Documentos/631/02446296254/6310244629625405092023122523.pdf</v>
      </c>
      <c r="G884" s="5" t="str">
        <f>HYPERLINK("https://dpmzos25m8ivg.cloudfront.net/Documentos/631/02446296254/6310244629625405092023122533.pdf","https://dpmzos25m8ivg.cloudfront.net/Documentos/631/02446296254/6310244629625405092023122533.pdf")</f>
        <v>https://dpmzos25m8ivg.cloudfront.net/Documentos/631/02446296254/6310244629625405092023122533.pdf</v>
      </c>
      <c r="H884" s="4" t="s">
        <v>9470</v>
      </c>
    </row>
    <row r="885" spans="1:8" x14ac:dyDescent="0.25">
      <c r="A885" s="2" t="s">
        <v>899</v>
      </c>
      <c r="B885" s="3"/>
      <c r="C885" s="3"/>
      <c r="D885" s="3"/>
      <c r="E885" s="4" t="str">
        <f>HYPERLINK("https://dpmzos25m8ivg.cloudfront.net/Documentos/631/02446368506/6310244636850610092023224813.pdf","https://dpmzos25m8ivg.cloudfront.net/Documentos/631/02446368506/6310244636850610092023224813.pdf")</f>
        <v>https://dpmzos25m8ivg.cloudfront.net/Documentos/631/02446368506/6310244636850610092023224813.pdf</v>
      </c>
      <c r="F885" s="5" t="str">
        <f>HYPERLINK("https://dpmzos25m8ivg.cloudfront.net/Documentos/631/02446368506/6310244636850610092023224840.pdf","https://dpmzos25m8ivg.cloudfront.net/Documentos/631/02446368506/6310244636850610092023224840.pdf")</f>
        <v>https://dpmzos25m8ivg.cloudfront.net/Documentos/631/02446368506/6310244636850610092023224840.pdf</v>
      </c>
      <c r="G885" s="5" t="str">
        <f>HYPERLINK("https://dpmzos25m8ivg.cloudfront.net/Documentos/631/02446368506/6310244636850610092023224901.pdf","https://dpmzos25m8ivg.cloudfront.net/Documentos/631/02446368506/6310244636850610092023224901.pdf")</f>
        <v>https://dpmzos25m8ivg.cloudfront.net/Documentos/631/02446368506/6310244636850610092023224901.pdf</v>
      </c>
      <c r="H885" s="4" t="s">
        <v>9471</v>
      </c>
    </row>
    <row r="886" spans="1:8" x14ac:dyDescent="0.25">
      <c r="A886" s="2" t="s">
        <v>900</v>
      </c>
      <c r="B886" s="3"/>
      <c r="C886" s="3"/>
      <c r="D886" s="3"/>
      <c r="E886" s="4" t="str">
        <f>HYPERLINK("https://dpmzos25m8ivg.cloudfront.net/Documentos/631/02448283346/6310244828334608092023145010.pdf","https://dpmzos25m8ivg.cloudfront.net/Documentos/631/02448283346/6310244828334608092023145010.pdf")</f>
        <v>https://dpmzos25m8ivg.cloudfront.net/Documentos/631/02448283346/6310244828334608092023145010.pdf</v>
      </c>
      <c r="F886" s="5" t="str">
        <f>HYPERLINK("https://dpmzos25m8ivg.cloudfront.net/Documentos/631/02448283346/6310244828334608092023145023.pdf","https://dpmzos25m8ivg.cloudfront.net/Documentos/631/02448283346/6310244828334608092023145023.pdf")</f>
        <v>https://dpmzos25m8ivg.cloudfront.net/Documentos/631/02448283346/6310244828334608092023145023.pdf</v>
      </c>
      <c r="G886" s="5" t="str">
        <f>HYPERLINK("https://dpmzos25m8ivg.cloudfront.net/Documentos/631/02448283346/6310244828334608092023145031.pdf","https://dpmzos25m8ivg.cloudfront.net/Documentos/631/02448283346/6310244828334608092023145031.pdf")</f>
        <v>https://dpmzos25m8ivg.cloudfront.net/Documentos/631/02448283346/6310244828334608092023145031.pdf</v>
      </c>
      <c r="H886" s="4" t="s">
        <v>9472</v>
      </c>
    </row>
    <row r="887" spans="1:8" x14ac:dyDescent="0.25">
      <c r="A887" s="2" t="s">
        <v>901</v>
      </c>
      <c r="B887" s="3"/>
      <c r="C887" s="3"/>
      <c r="D887" s="3"/>
      <c r="E887" s="4" t="str">
        <f>HYPERLINK("https://dpmzos25m8ivg.cloudfront.net/Documentos/631/02451155280/6310245115528012092023195129.pdf","https://dpmzos25m8ivg.cloudfront.net/Documentos/631/02451155280/6310245115528012092023195129.pdf")</f>
        <v>https://dpmzos25m8ivg.cloudfront.net/Documentos/631/02451155280/6310245115528012092023195129.pdf</v>
      </c>
      <c r="F887" s="5" t="str">
        <f>HYPERLINK("https://dpmzos25m8ivg.cloudfront.net/Documentos/631/02451155280/6310245115528012092023195258.pdf","https://dpmzos25m8ivg.cloudfront.net/Documentos/631/02451155280/6310245115528012092023195258.pdf")</f>
        <v>https://dpmzos25m8ivg.cloudfront.net/Documentos/631/02451155280/6310245115528012092023195258.pdf</v>
      </c>
      <c r="G887" s="5" t="str">
        <f>HYPERLINK("https://dpmzos25m8ivg.cloudfront.net/Documentos/631/02451155280/6310245115528012092023195240.pdf","https://dpmzos25m8ivg.cloudfront.net/Documentos/631/02451155280/6310245115528012092023195240.pdf")</f>
        <v>https://dpmzos25m8ivg.cloudfront.net/Documentos/631/02451155280/6310245115528012092023195240.pdf</v>
      </c>
      <c r="H887" s="4" t="s">
        <v>9473</v>
      </c>
    </row>
    <row r="888" spans="1:8" x14ac:dyDescent="0.25">
      <c r="A888" s="2" t="s">
        <v>902</v>
      </c>
      <c r="B888" s="3"/>
      <c r="C888" s="3"/>
      <c r="D888" s="3"/>
      <c r="E888" s="4" t="str">
        <f>HYPERLINK("https://dpmzos25m8ivg.cloudfront.net/Documentos/631/02452019127/6310245201912711092023154852.jpg","https://dpmzos25m8ivg.cloudfront.net/Documentos/631/02452019127/6310245201912711092023154852.jpg")</f>
        <v>https://dpmzos25m8ivg.cloudfront.net/Documentos/631/02452019127/6310245201912711092023154852.jpg</v>
      </c>
      <c r="F888" s="5" t="str">
        <f>HYPERLINK("https://dpmzos25m8ivg.cloudfront.net/Documentos/631/02452019127/6310245201912711092023154906.jpg","https://dpmzos25m8ivg.cloudfront.net/Documentos/631/02452019127/6310245201912711092023154906.jpg")</f>
        <v>https://dpmzos25m8ivg.cloudfront.net/Documentos/631/02452019127/6310245201912711092023154906.jpg</v>
      </c>
      <c r="G888" s="5" t="str">
        <f>HYPERLINK("https://dpmzos25m8ivg.cloudfront.net/Documentos/631/02452019127/6310245201912711092023154918.jpg","https://dpmzos25m8ivg.cloudfront.net/Documentos/631/02452019127/6310245201912711092023154918.jpg")</f>
        <v>https://dpmzos25m8ivg.cloudfront.net/Documentos/631/02452019127/6310245201912711092023154918.jpg</v>
      </c>
      <c r="H888" s="4" t="s">
        <v>9474</v>
      </c>
    </row>
    <row r="889" spans="1:8" x14ac:dyDescent="0.25">
      <c r="A889" s="2" t="s">
        <v>903</v>
      </c>
      <c r="B889" s="3"/>
      <c r="C889" s="3"/>
      <c r="D889" s="3"/>
      <c r="E889" s="4" t="str">
        <f>HYPERLINK("https://dpmzos25m8ivg.cloudfront.net/Documentos/631/02457137276/6310245713727607092023115248.jpeg","https://dpmzos25m8ivg.cloudfront.net/Documentos/631/02457137276/6310245713727607092023115248.jpeg")</f>
        <v>https://dpmzos25m8ivg.cloudfront.net/Documentos/631/02457137276/6310245713727607092023115248.jpeg</v>
      </c>
      <c r="F889" s="5" t="str">
        <f>HYPERLINK("https://dpmzos25m8ivg.cloudfront.net/Documentos/631/02457137276/6310245713727607092023115331.jpeg","https://dpmzos25m8ivg.cloudfront.net/Documentos/631/02457137276/6310245713727607092023115331.jpeg")</f>
        <v>https://dpmzos25m8ivg.cloudfront.net/Documentos/631/02457137276/6310245713727607092023115331.jpeg</v>
      </c>
      <c r="G889" s="5" t="str">
        <f>HYPERLINK("https://dpmzos25m8ivg.cloudfront.net/Documentos/631/02457137276/6310245713727607092023115348.jpeg","https://dpmzos25m8ivg.cloudfront.net/Documentos/631/02457137276/6310245713727607092023115348.jpeg")</f>
        <v>https://dpmzos25m8ivg.cloudfront.net/Documentos/631/02457137276/6310245713727607092023115348.jpeg</v>
      </c>
      <c r="H889" s="4" t="s">
        <v>9475</v>
      </c>
    </row>
    <row r="890" spans="1:8" x14ac:dyDescent="0.25">
      <c r="A890" s="2" t="s">
        <v>904</v>
      </c>
      <c r="B890" s="3"/>
      <c r="C890" s="3"/>
      <c r="D890" s="3"/>
      <c r="E890" s="4" t="str">
        <f>HYPERLINK("https://dpmzos25m8ivg.cloudfront.net/Documentos/631/02457904110/6310245790411011092023160852.pdf","https://dpmzos25m8ivg.cloudfront.net/Documentos/631/02457904110/6310245790411011092023160852.pdf")</f>
        <v>https://dpmzos25m8ivg.cloudfront.net/Documentos/631/02457904110/6310245790411011092023160852.pdf</v>
      </c>
      <c r="F890" s="5" t="str">
        <f>HYPERLINK("https://dpmzos25m8ivg.cloudfront.net/Documentos/631/02457904110/6310245790411011092023160858.pdf","https://dpmzos25m8ivg.cloudfront.net/Documentos/631/02457904110/6310245790411011092023160858.pdf")</f>
        <v>https://dpmzos25m8ivg.cloudfront.net/Documentos/631/02457904110/6310245790411011092023160858.pdf</v>
      </c>
      <c r="G890" s="5" t="str">
        <f>HYPERLINK("https://dpmzos25m8ivg.cloudfront.net/Documentos/631/02457904110/6310245790411011092023160905.pdf","https://dpmzos25m8ivg.cloudfront.net/Documentos/631/02457904110/6310245790411011092023160905.pdf")</f>
        <v>https://dpmzos25m8ivg.cloudfront.net/Documentos/631/02457904110/6310245790411011092023160905.pdf</v>
      </c>
      <c r="H890" s="4" t="s">
        <v>9476</v>
      </c>
    </row>
    <row r="891" spans="1:8" x14ac:dyDescent="0.25">
      <c r="A891" s="2" t="s">
        <v>905</v>
      </c>
      <c r="B891" s="3" t="s">
        <v>42</v>
      </c>
      <c r="C891" s="3"/>
      <c r="D891" s="3"/>
      <c r="E891" s="4" t="str">
        <f>HYPERLINK("https://dpmzos25m8ivg.cloudfront.net/Documentos/631/02460685742/6310246068574211092023092241.jpg","https://dpmzos25m8ivg.cloudfront.net/Documentos/631/02460685742/6310246068574211092023092241.jpg")</f>
        <v>https://dpmzos25m8ivg.cloudfront.net/Documentos/631/02460685742/6310246068574211092023092241.jpg</v>
      </c>
      <c r="F891" s="5" t="str">
        <f>HYPERLINK("https://dpmzos25m8ivg.cloudfront.net/Documentos/631/02460685742/6310246068574211092023092351.jpg","https://dpmzos25m8ivg.cloudfront.net/Documentos/631/02460685742/6310246068574211092023092351.jpg")</f>
        <v>https://dpmzos25m8ivg.cloudfront.net/Documentos/631/02460685742/6310246068574211092023092351.jpg</v>
      </c>
      <c r="G891" s="5" t="str">
        <f>HYPERLINK("https://dpmzos25m8ivg.cloudfront.net/Documentos/631/02460685742/6310246068574211092023092426.jpg","https://dpmzos25m8ivg.cloudfront.net/Documentos/631/02460685742/6310246068574211092023092426.jpg")</f>
        <v>https://dpmzos25m8ivg.cloudfront.net/Documentos/631/02460685742/6310246068574211092023092426.jpg</v>
      </c>
      <c r="H891" s="4" t="s">
        <v>9477</v>
      </c>
    </row>
    <row r="892" spans="1:8" x14ac:dyDescent="0.25">
      <c r="A892" s="2" t="s">
        <v>906</v>
      </c>
      <c r="B892" s="3"/>
      <c r="C892" s="3"/>
      <c r="D892" s="3"/>
      <c r="E892" s="4" t="str">
        <f>HYPERLINK("https://dpmzos25m8ivg.cloudfront.net/Documentos/631/02461548293/6310246154829310092023141408.jpg","https://dpmzos25m8ivg.cloudfront.net/Documentos/631/02461548293/6310246154829310092023141408.jpg")</f>
        <v>https://dpmzos25m8ivg.cloudfront.net/Documentos/631/02461548293/6310246154829310092023141408.jpg</v>
      </c>
      <c r="F892" s="5" t="str">
        <f>HYPERLINK("https://dpmzos25m8ivg.cloudfront.net/Documentos/631/02461548293/6310246154829310092023141432.jpg","https://dpmzos25m8ivg.cloudfront.net/Documentos/631/02461548293/6310246154829310092023141432.jpg")</f>
        <v>https://dpmzos25m8ivg.cloudfront.net/Documentos/631/02461548293/6310246154829310092023141432.jpg</v>
      </c>
      <c r="G892" s="5" t="str">
        <f>HYPERLINK("https://dpmzos25m8ivg.cloudfront.net/Documentos/631/02461548293/6310246154829310092023141446.jpg","https://dpmzos25m8ivg.cloudfront.net/Documentos/631/02461548293/6310246154829310092023141446.jpg")</f>
        <v>https://dpmzos25m8ivg.cloudfront.net/Documentos/631/02461548293/6310246154829310092023141446.jpg</v>
      </c>
      <c r="H892" s="4" t="s">
        <v>9478</v>
      </c>
    </row>
    <row r="893" spans="1:8" x14ac:dyDescent="0.25">
      <c r="A893" s="2" t="s">
        <v>907</v>
      </c>
      <c r="B893" s="3"/>
      <c r="C893" s="3"/>
      <c r="D893" s="3"/>
      <c r="E893" s="4" t="str">
        <f>HYPERLINK("https://dpmzos25m8ivg.cloudfront.net/Documentos/631/02463653310/6310246365331011092023160942.jpeg","https://dpmzos25m8ivg.cloudfront.net/Documentos/631/02463653310/6310246365331011092023160942.jpeg")</f>
        <v>https://dpmzos25m8ivg.cloudfront.net/Documentos/631/02463653310/6310246365331011092023160942.jpeg</v>
      </c>
      <c r="F893" s="5" t="str">
        <f>HYPERLINK("https://dpmzos25m8ivg.cloudfront.net/Documentos/631/02463653310/6310246365331011092023160959.jpeg","https://dpmzos25m8ivg.cloudfront.net/Documentos/631/02463653310/6310246365331011092023160959.jpeg")</f>
        <v>https://dpmzos25m8ivg.cloudfront.net/Documentos/631/02463653310/6310246365331011092023160959.jpeg</v>
      </c>
      <c r="G893" s="5" t="str">
        <f>HYPERLINK("https://dpmzos25m8ivg.cloudfront.net/Documentos/631/02463653310/6310246365331011092023161013.jpeg","https://dpmzos25m8ivg.cloudfront.net/Documentos/631/02463653310/6310246365331011092023161013.jpeg")</f>
        <v>https://dpmzos25m8ivg.cloudfront.net/Documentos/631/02463653310/6310246365331011092023161013.jpeg</v>
      </c>
      <c r="H893" s="4" t="s">
        <v>9479</v>
      </c>
    </row>
    <row r="894" spans="1:8" x14ac:dyDescent="0.25">
      <c r="A894" s="2" t="s">
        <v>908</v>
      </c>
      <c r="B894" s="3" t="s">
        <v>8</v>
      </c>
      <c r="C894" s="3"/>
      <c r="D894" s="3"/>
      <c r="E894" s="4" t="str">
        <f>HYPERLINK("https://dpmzos25m8ivg.cloudfront.net/Documentos/631/02464274933/6310246427493310092023213023.pdf","https://dpmzos25m8ivg.cloudfront.net/Documentos/631/02464274933/6310246427493310092023213023.pdf")</f>
        <v>https://dpmzos25m8ivg.cloudfront.net/Documentos/631/02464274933/6310246427493310092023213023.pdf</v>
      </c>
      <c r="F894" s="5" t="str">
        <f>HYPERLINK("https://dpmzos25m8ivg.cloudfront.net/Documentos/631/02464274933/6310246427493310092023213041.pdf","https://dpmzos25m8ivg.cloudfront.net/Documentos/631/02464274933/6310246427493310092023213041.pdf")</f>
        <v>https://dpmzos25m8ivg.cloudfront.net/Documentos/631/02464274933/6310246427493310092023213041.pdf</v>
      </c>
      <c r="G894" s="5" t="str">
        <f>HYPERLINK("https://dpmzos25m8ivg.cloudfront.net/Documentos/631/02464274933/6310246427493310092023213110.pdf","https://dpmzos25m8ivg.cloudfront.net/Documentos/631/02464274933/6310246427493310092023213110.pdf")</f>
        <v>https://dpmzos25m8ivg.cloudfront.net/Documentos/631/02464274933/6310246427493310092023213110.pdf</v>
      </c>
      <c r="H894" s="4" t="s">
        <v>9480</v>
      </c>
    </row>
    <row r="895" spans="1:8" x14ac:dyDescent="0.25">
      <c r="A895" s="2" t="s">
        <v>909</v>
      </c>
      <c r="B895" s="3" t="s">
        <v>8</v>
      </c>
      <c r="C895" s="3"/>
      <c r="D895" s="3"/>
      <c r="E895" s="4" t="str">
        <f>HYPERLINK("https://dpmzos25m8ivg.cloudfront.net/Documentos/631/02473169462/6310247316946207092023110004.pdf","https://dpmzos25m8ivg.cloudfront.net/Documentos/631/02473169462/6310247316946207092023110004.pdf")</f>
        <v>https://dpmzos25m8ivg.cloudfront.net/Documentos/631/02473169462/6310247316946207092023110004.pdf</v>
      </c>
      <c r="F895" s="5" t="str">
        <f>HYPERLINK("https://dpmzos25m8ivg.cloudfront.net/Documentos/631/02473169462/6310247316946207092023110025.pdf","https://dpmzos25m8ivg.cloudfront.net/Documentos/631/02473169462/6310247316946207092023110025.pdf")</f>
        <v>https://dpmzos25m8ivg.cloudfront.net/Documentos/631/02473169462/6310247316946207092023110025.pdf</v>
      </c>
      <c r="G895" s="5" t="str">
        <f>HYPERLINK("https://dpmzos25m8ivg.cloudfront.net/Documentos/631/02473169462/6310247316946207092023110046.pdf","https://dpmzos25m8ivg.cloudfront.net/Documentos/631/02473169462/6310247316946207092023110046.pdf")</f>
        <v>https://dpmzos25m8ivg.cloudfront.net/Documentos/631/02473169462/6310247316946207092023110046.pdf</v>
      </c>
      <c r="H895" s="4" t="s">
        <v>9481</v>
      </c>
    </row>
    <row r="896" spans="1:8" x14ac:dyDescent="0.25">
      <c r="A896" s="2" t="s">
        <v>910</v>
      </c>
      <c r="B896" s="3"/>
      <c r="C896" s="3"/>
      <c r="D896" s="3"/>
      <c r="E896" s="4" t="str">
        <f>HYPERLINK("https://dpmzos25m8ivg.cloudfront.net/Documentos/631/02479467457/6310247946745706092023091343.pdf","https://dpmzos25m8ivg.cloudfront.net/Documentos/631/02479467457/6310247946745706092023091343.pdf")</f>
        <v>https://dpmzos25m8ivg.cloudfront.net/Documentos/631/02479467457/6310247946745706092023091343.pdf</v>
      </c>
      <c r="F896" s="5" t="str">
        <f>HYPERLINK("https://dpmzos25m8ivg.cloudfront.net/Documentos/631/02479467457/6310247946745706092023091401.pdf","https://dpmzos25m8ivg.cloudfront.net/Documentos/631/02479467457/6310247946745706092023091401.pdf")</f>
        <v>https://dpmzos25m8ivg.cloudfront.net/Documentos/631/02479467457/6310247946745706092023091401.pdf</v>
      </c>
      <c r="G896" s="5" t="str">
        <f>HYPERLINK("https://dpmzos25m8ivg.cloudfront.net/Documentos/631/02479467457/6310247946745706092023091408.pdf","https://dpmzos25m8ivg.cloudfront.net/Documentos/631/02479467457/6310247946745706092023091408.pdf")</f>
        <v>https://dpmzos25m8ivg.cloudfront.net/Documentos/631/02479467457/6310247946745706092023091408.pdf</v>
      </c>
      <c r="H896" s="4" t="s">
        <v>9482</v>
      </c>
    </row>
    <row r="897" spans="1:8" x14ac:dyDescent="0.25">
      <c r="A897" s="2" t="s">
        <v>911</v>
      </c>
      <c r="B897" s="3"/>
      <c r="C897" s="3"/>
      <c r="D897" s="3"/>
      <c r="E897" s="4" t="str">
        <f>HYPERLINK("https://dpmzos25m8ivg.cloudfront.net/Documentos/631/02480971309/6310248097130908092023171434.pdf","https://dpmzos25m8ivg.cloudfront.net/Documentos/631/02480971309/6310248097130908092023171434.pdf")</f>
        <v>https://dpmzos25m8ivg.cloudfront.net/Documentos/631/02480971309/6310248097130908092023171434.pdf</v>
      </c>
      <c r="F897" s="5" t="str">
        <f>HYPERLINK("https://dpmzos25m8ivg.cloudfront.net/Documentos/631/02480971309/6310248097130908092023171452.pdf","https://dpmzos25m8ivg.cloudfront.net/Documentos/631/02480971309/6310248097130908092023171452.pdf")</f>
        <v>https://dpmzos25m8ivg.cloudfront.net/Documentos/631/02480971309/6310248097130908092023171452.pdf</v>
      </c>
      <c r="G897" s="5" t="str">
        <f>HYPERLINK("https://dpmzos25m8ivg.cloudfront.net/Documentos/631/02480971309/6310248097130908092023171533.pdf","https://dpmzos25m8ivg.cloudfront.net/Documentos/631/02480971309/6310248097130908092023171533.pdf")</f>
        <v>https://dpmzos25m8ivg.cloudfront.net/Documentos/631/02480971309/6310248097130908092023171533.pdf</v>
      </c>
      <c r="H897" s="4" t="s">
        <v>9483</v>
      </c>
    </row>
    <row r="898" spans="1:8" x14ac:dyDescent="0.25">
      <c r="A898" s="2" t="s">
        <v>912</v>
      </c>
      <c r="B898" s="3"/>
      <c r="C898" s="3"/>
      <c r="D898" s="3"/>
      <c r="E898" s="4" t="str">
        <f>HYPERLINK("https://dpmzos25m8ivg.cloudfront.net/Documentos/631/02482039592/6310248203959211092023133123.pdf","https://dpmzos25m8ivg.cloudfront.net/Documentos/631/02482039592/6310248203959211092023133123.pdf")</f>
        <v>https://dpmzos25m8ivg.cloudfront.net/Documentos/631/02482039592/6310248203959211092023133123.pdf</v>
      </c>
      <c r="F898" s="5" t="str">
        <f>HYPERLINK("https://dpmzos25m8ivg.cloudfront.net/Documentos/631/02482039592/6310248203959211092023133136.pdf","https://dpmzos25m8ivg.cloudfront.net/Documentos/631/02482039592/6310248203959211092023133136.pdf")</f>
        <v>https://dpmzos25m8ivg.cloudfront.net/Documentos/631/02482039592/6310248203959211092023133136.pdf</v>
      </c>
      <c r="G898" s="5" t="str">
        <f>HYPERLINK("https://dpmzos25m8ivg.cloudfront.net/Documentos/631/02482039592/6310248203959211092023133149.pdf","https://dpmzos25m8ivg.cloudfront.net/Documentos/631/02482039592/6310248203959211092023133149.pdf")</f>
        <v>https://dpmzos25m8ivg.cloudfront.net/Documentos/631/02482039592/6310248203959211092023133149.pdf</v>
      </c>
      <c r="H898" s="4" t="s">
        <v>9484</v>
      </c>
    </row>
    <row r="899" spans="1:8" x14ac:dyDescent="0.25">
      <c r="A899" s="2" t="s">
        <v>913</v>
      </c>
      <c r="B899" s="3"/>
      <c r="C899" s="3"/>
      <c r="D899" s="3"/>
      <c r="E899" s="4" t="str">
        <f>HYPERLINK("https://dpmzos25m8ivg.cloudfront.net/Documentos/631/02483274293/6310248327429311092023105000.jpg","https://dpmzos25m8ivg.cloudfront.net/Documentos/631/02483274293/6310248327429311092023105000.jpg")</f>
        <v>https://dpmzos25m8ivg.cloudfront.net/Documentos/631/02483274293/6310248327429311092023105000.jpg</v>
      </c>
      <c r="F899" s="5" t="str">
        <f>HYPERLINK("https://dpmzos25m8ivg.cloudfront.net/Documentos/631/02483274293/6310248327429311092023105033.jpg","https://dpmzos25m8ivg.cloudfront.net/Documentos/631/02483274293/6310248327429311092023105033.jpg")</f>
        <v>https://dpmzos25m8ivg.cloudfront.net/Documentos/631/02483274293/6310248327429311092023105033.jpg</v>
      </c>
      <c r="G899" s="5" t="str">
        <f>HYPERLINK("https://dpmzos25m8ivg.cloudfront.net/Documentos/631/02483274293/6310248327429311092023105104.jpg","https://dpmzos25m8ivg.cloudfront.net/Documentos/631/02483274293/6310248327429311092023105104.jpg")</f>
        <v>https://dpmzos25m8ivg.cloudfront.net/Documentos/631/02483274293/6310248327429311092023105104.jpg</v>
      </c>
      <c r="H899" s="4" t="s">
        <v>9485</v>
      </c>
    </row>
    <row r="900" spans="1:8" x14ac:dyDescent="0.25">
      <c r="A900" s="2" t="s">
        <v>914</v>
      </c>
      <c r="B900" s="3" t="s">
        <v>90</v>
      </c>
      <c r="C900" s="3"/>
      <c r="D900" s="3"/>
      <c r="E900" s="4" t="str">
        <f>HYPERLINK("https://dpmzos25m8ivg.cloudfront.net/Documentos/631/02483893198/6310248389319810092023192313.pdf","https://dpmzos25m8ivg.cloudfront.net/Documentos/631/02483893198/6310248389319810092023192313.pdf")</f>
        <v>https://dpmzos25m8ivg.cloudfront.net/Documentos/631/02483893198/6310248389319810092023192313.pdf</v>
      </c>
      <c r="F900" s="5" t="str">
        <f>HYPERLINK("https://dpmzos25m8ivg.cloudfront.net/Documentos/631/02483893198/6310248389319810092023192349.pdf","https://dpmzos25m8ivg.cloudfront.net/Documentos/631/02483893198/6310248389319810092023192349.pdf")</f>
        <v>https://dpmzos25m8ivg.cloudfront.net/Documentos/631/02483893198/6310248389319810092023192349.pdf</v>
      </c>
      <c r="G900" s="5" t="str">
        <f>HYPERLINK("https://dpmzos25m8ivg.cloudfront.net/Documentos/631/02483893198/6310248389319810092023192414.pdf","https://dpmzos25m8ivg.cloudfront.net/Documentos/631/02483893198/6310248389319810092023192414.pdf")</f>
        <v>https://dpmzos25m8ivg.cloudfront.net/Documentos/631/02483893198/6310248389319810092023192414.pdf</v>
      </c>
      <c r="H900" s="4" t="s">
        <v>9486</v>
      </c>
    </row>
    <row r="901" spans="1:8" x14ac:dyDescent="0.25">
      <c r="A901" s="2" t="s">
        <v>915</v>
      </c>
      <c r="B901" s="3"/>
      <c r="C901" s="3"/>
      <c r="D901" s="3"/>
      <c r="E901" s="4" t="str">
        <f>HYPERLINK("https://dpmzos25m8ivg.cloudfront.net/Documentos/631/02486444165/6310248644416510092023190918.pdf","https://dpmzos25m8ivg.cloudfront.net/Documentos/631/02486444165/6310248644416510092023190918.pdf")</f>
        <v>https://dpmzos25m8ivg.cloudfront.net/Documentos/631/02486444165/6310248644416510092023190918.pdf</v>
      </c>
      <c r="F901" s="5" t="str">
        <f>HYPERLINK("https://dpmzos25m8ivg.cloudfront.net/Documentos/631/02486444165/6310248644416510092023190941.pdf","https://dpmzos25m8ivg.cloudfront.net/Documentos/631/02486444165/6310248644416510092023190941.pdf")</f>
        <v>https://dpmzos25m8ivg.cloudfront.net/Documentos/631/02486444165/6310248644416510092023190941.pdf</v>
      </c>
      <c r="G901" s="5" t="str">
        <f>HYPERLINK("https://dpmzos25m8ivg.cloudfront.net/Documentos/631/02486444165/6310248644416510092023191009.pdf","https://dpmzos25m8ivg.cloudfront.net/Documentos/631/02486444165/6310248644416510092023191009.pdf")</f>
        <v>https://dpmzos25m8ivg.cloudfront.net/Documentos/631/02486444165/6310248644416510092023191009.pdf</v>
      </c>
      <c r="H901" s="4" t="s">
        <v>9487</v>
      </c>
    </row>
    <row r="902" spans="1:8" x14ac:dyDescent="0.25">
      <c r="A902" s="2" t="s">
        <v>916</v>
      </c>
      <c r="B902" s="3"/>
      <c r="C902" s="3"/>
      <c r="D902" s="3"/>
      <c r="E902" s="4" t="str">
        <f>HYPERLINK("https://dpmzos25m8ivg.cloudfront.net/Documentos/631/02489596381/6310248959638111092023122737.pdf","https://dpmzos25m8ivg.cloudfront.net/Documentos/631/02489596381/6310248959638111092023122737.pdf")</f>
        <v>https://dpmzos25m8ivg.cloudfront.net/Documentos/631/02489596381/6310248959638111092023122737.pdf</v>
      </c>
      <c r="F902" s="5" t="str">
        <f>HYPERLINK("https://dpmzos25m8ivg.cloudfront.net/Documentos/631/02489596381/6310248959638111092023122748.pdf","https://dpmzos25m8ivg.cloudfront.net/Documentos/631/02489596381/6310248959638111092023122748.pdf")</f>
        <v>https://dpmzos25m8ivg.cloudfront.net/Documentos/631/02489596381/6310248959638111092023122748.pdf</v>
      </c>
      <c r="G902" s="5" t="str">
        <f>HYPERLINK("https://dpmzos25m8ivg.cloudfront.net/Documentos/631/02489596381/6310248959638111092023122759.pdf","https://dpmzos25m8ivg.cloudfront.net/Documentos/631/02489596381/6310248959638111092023122759.pdf")</f>
        <v>https://dpmzos25m8ivg.cloudfront.net/Documentos/631/02489596381/6310248959638111092023122759.pdf</v>
      </c>
      <c r="H902" s="4" t="s">
        <v>9488</v>
      </c>
    </row>
    <row r="903" spans="1:8" x14ac:dyDescent="0.25">
      <c r="A903" s="2" t="s">
        <v>917</v>
      </c>
      <c r="B903" s="3"/>
      <c r="C903" s="3"/>
      <c r="D903" s="3"/>
      <c r="E903" s="4" t="str">
        <f>HYPERLINK("https://dpmzos25m8ivg.cloudfront.net/Documentos/631/02492353400/6310249235340010092023190230.jpeg","https://dpmzos25m8ivg.cloudfront.net/Documentos/631/02492353400/6310249235340010092023190230.jpeg")</f>
        <v>https://dpmzos25m8ivg.cloudfront.net/Documentos/631/02492353400/6310249235340010092023190230.jpeg</v>
      </c>
      <c r="F903" s="5" t="str">
        <f>HYPERLINK("https://dpmzos25m8ivg.cloudfront.net/Documentos/631/02492353400/6310249235340010092023190328.jpeg","https://dpmzos25m8ivg.cloudfront.net/Documentos/631/02492353400/6310249235340010092023190328.jpeg")</f>
        <v>https://dpmzos25m8ivg.cloudfront.net/Documentos/631/02492353400/6310249235340010092023190328.jpeg</v>
      </c>
      <c r="G903" s="5" t="str">
        <f>HYPERLINK("https://dpmzos25m8ivg.cloudfront.net/Documentos/631/02492353400/6310249235340010092023190447.jpeg","https://dpmzos25m8ivg.cloudfront.net/Documentos/631/02492353400/6310249235340010092023190447.jpeg")</f>
        <v>https://dpmzos25m8ivg.cloudfront.net/Documentos/631/02492353400/6310249235340010092023190447.jpeg</v>
      </c>
      <c r="H903" s="4" t="s">
        <v>9489</v>
      </c>
    </row>
    <row r="904" spans="1:8" x14ac:dyDescent="0.25">
      <c r="A904" s="2" t="s">
        <v>918</v>
      </c>
      <c r="B904" s="3" t="s">
        <v>8</v>
      </c>
      <c r="C904" s="3"/>
      <c r="D904" s="3"/>
      <c r="E904" s="4" t="str">
        <f>HYPERLINK("https://dpmzos25m8ivg.cloudfront.net/Documentos/631/02496951116/6310249695111611092023122821.pdf","https://dpmzos25m8ivg.cloudfront.net/Documentos/631/02496951116/6310249695111611092023122821.pdf")</f>
        <v>https://dpmzos25m8ivg.cloudfront.net/Documentos/631/02496951116/6310249695111611092023122821.pdf</v>
      </c>
      <c r="F904" s="5" t="str">
        <f>HYPERLINK("https://dpmzos25m8ivg.cloudfront.net/Documentos/631/02496951116/6310249695111611092023122839.pdf","https://dpmzos25m8ivg.cloudfront.net/Documentos/631/02496951116/6310249695111611092023122839.pdf")</f>
        <v>https://dpmzos25m8ivg.cloudfront.net/Documentos/631/02496951116/6310249695111611092023122839.pdf</v>
      </c>
      <c r="G904" s="5" t="str">
        <f>HYPERLINK("https://dpmzos25m8ivg.cloudfront.net/Documentos/631/02496951116/6310249695111611092023122856.pdf","https://dpmzos25m8ivg.cloudfront.net/Documentos/631/02496951116/6310249695111611092023122856.pdf")</f>
        <v>https://dpmzos25m8ivg.cloudfront.net/Documentos/631/02496951116/6310249695111611092023122856.pdf</v>
      </c>
      <c r="H904" s="4" t="s">
        <v>9490</v>
      </c>
    </row>
    <row r="905" spans="1:8" x14ac:dyDescent="0.25">
      <c r="A905" s="2" t="s">
        <v>919</v>
      </c>
      <c r="B905" s="3"/>
      <c r="C905" s="3"/>
      <c r="D905" s="3"/>
      <c r="E905" s="4" t="str">
        <f>HYPERLINK("https://dpmzos25m8ivg.cloudfront.net/Documentos/631/02498066144/6310249806614407092023230228.pdf","https://dpmzos25m8ivg.cloudfront.net/Documentos/631/02498066144/6310249806614407092023230228.pdf")</f>
        <v>https://dpmzos25m8ivg.cloudfront.net/Documentos/631/02498066144/6310249806614407092023230228.pdf</v>
      </c>
      <c r="F905" s="5" t="str">
        <f>HYPERLINK("https://dpmzos25m8ivg.cloudfront.net/Documentos/631/02498066144/6310249806614407092023230243.pdf","https://dpmzos25m8ivg.cloudfront.net/Documentos/631/02498066144/6310249806614407092023230243.pdf")</f>
        <v>https://dpmzos25m8ivg.cloudfront.net/Documentos/631/02498066144/6310249806614407092023230243.pdf</v>
      </c>
      <c r="G905" s="5" t="str">
        <f>HYPERLINK("https://dpmzos25m8ivg.cloudfront.net/Documentos/631/02498066144/6310249806614407092023230259.pdf","https://dpmzos25m8ivg.cloudfront.net/Documentos/631/02498066144/6310249806614407092023230259.pdf")</f>
        <v>https://dpmzos25m8ivg.cloudfront.net/Documentos/631/02498066144/6310249806614407092023230259.pdf</v>
      </c>
      <c r="H905" s="4" t="s">
        <v>9491</v>
      </c>
    </row>
    <row r="906" spans="1:8" x14ac:dyDescent="0.25">
      <c r="A906" s="2" t="s">
        <v>920</v>
      </c>
      <c r="B906" s="3"/>
      <c r="C906" s="3"/>
      <c r="D906" s="3"/>
      <c r="E906" s="4" t="str">
        <f>HYPERLINK("https://dpmzos25m8ivg.cloudfront.net/Documentos/631/02500985555/6310250098555511092023161823.pdf","https://dpmzos25m8ivg.cloudfront.net/Documentos/631/02500985555/6310250098555511092023161823.pdf")</f>
        <v>https://dpmzos25m8ivg.cloudfront.net/Documentos/631/02500985555/6310250098555511092023161823.pdf</v>
      </c>
      <c r="F906" s="5" t="str">
        <f>HYPERLINK("https://dpmzos25m8ivg.cloudfront.net/Documentos/631/02500985555/6310250098555511092023161833.pdf","https://dpmzos25m8ivg.cloudfront.net/Documentos/631/02500985555/6310250098555511092023161833.pdf")</f>
        <v>https://dpmzos25m8ivg.cloudfront.net/Documentos/631/02500985555/6310250098555511092023161833.pdf</v>
      </c>
      <c r="G906" s="5" t="str">
        <f>HYPERLINK("https://dpmzos25m8ivg.cloudfront.net/Documentos/631/02500985555/6310250098555511092023161843.pdf","https://dpmzos25m8ivg.cloudfront.net/Documentos/631/02500985555/6310250098555511092023161843.pdf")</f>
        <v>https://dpmzos25m8ivg.cloudfront.net/Documentos/631/02500985555/6310250098555511092023161843.pdf</v>
      </c>
      <c r="H906" s="4" t="s">
        <v>9492</v>
      </c>
    </row>
    <row r="907" spans="1:8" x14ac:dyDescent="0.25">
      <c r="A907" s="2" t="s">
        <v>921</v>
      </c>
      <c r="B907" s="3"/>
      <c r="C907" s="3"/>
      <c r="D907" s="3"/>
      <c r="E907" s="4" t="str">
        <f>HYPERLINK("https://dpmzos25m8ivg.cloudfront.net/Documentos/631/02503531300/6310250353130004092023214500.pdf","https://dpmzos25m8ivg.cloudfront.net/Documentos/631/02503531300/6310250353130004092023214500.pdf")</f>
        <v>https://dpmzos25m8ivg.cloudfront.net/Documentos/631/02503531300/6310250353130004092023214500.pdf</v>
      </c>
      <c r="F907" s="5" t="str">
        <f>HYPERLINK("https://dpmzos25m8ivg.cloudfront.net/Documentos/631/02503531300/6310250353130005092023180344.pdf","https://dpmzos25m8ivg.cloudfront.net/Documentos/631/02503531300/6310250353130005092023180344.pdf")</f>
        <v>https://dpmzos25m8ivg.cloudfront.net/Documentos/631/02503531300/6310250353130005092023180344.pdf</v>
      </c>
      <c r="G907" s="5" t="str">
        <f>HYPERLINK("https://dpmzos25m8ivg.cloudfront.net/Documentos/631/02503531300/6310250353130005092023180357.pdf","https://dpmzos25m8ivg.cloudfront.net/Documentos/631/02503531300/6310250353130005092023180357.pdf")</f>
        <v>https://dpmzos25m8ivg.cloudfront.net/Documentos/631/02503531300/6310250353130005092023180357.pdf</v>
      </c>
      <c r="H907" s="4" t="s">
        <v>9493</v>
      </c>
    </row>
    <row r="908" spans="1:8" x14ac:dyDescent="0.25">
      <c r="A908" s="2" t="s">
        <v>922</v>
      </c>
      <c r="B908" s="3"/>
      <c r="C908" s="3"/>
      <c r="D908" s="3"/>
      <c r="E908" s="4" t="str">
        <f>HYPERLINK("https://dpmzos25m8ivg.cloudfront.net/Documentos/631/02503765203/6310250376520311092023173903.pdf","https://dpmzos25m8ivg.cloudfront.net/Documentos/631/02503765203/6310250376520311092023173903.pdf")</f>
        <v>https://dpmzos25m8ivg.cloudfront.net/Documentos/631/02503765203/6310250376520311092023173903.pdf</v>
      </c>
      <c r="F908" s="5" t="str">
        <f>HYPERLINK("https://dpmzos25m8ivg.cloudfront.net/Documentos/631/02503765203/6310250376520311092023173828.pdf","https://dpmzos25m8ivg.cloudfront.net/Documentos/631/02503765203/6310250376520311092023173828.pdf")</f>
        <v>https://dpmzos25m8ivg.cloudfront.net/Documentos/631/02503765203/6310250376520311092023173828.pdf</v>
      </c>
      <c r="G908" s="5" t="str">
        <f>HYPERLINK("https://dpmzos25m8ivg.cloudfront.net/Documentos/631/02503765203/6310250376520311092023173759.pdf","https://dpmzos25m8ivg.cloudfront.net/Documentos/631/02503765203/6310250376520311092023173759.pdf")</f>
        <v>https://dpmzos25m8ivg.cloudfront.net/Documentos/631/02503765203/6310250376520311092023173759.pdf</v>
      </c>
      <c r="H908" s="4" t="s">
        <v>9494</v>
      </c>
    </row>
    <row r="909" spans="1:8" x14ac:dyDescent="0.25">
      <c r="A909" s="2" t="s">
        <v>923</v>
      </c>
      <c r="B909" s="3" t="s">
        <v>8</v>
      </c>
      <c r="C909" s="3"/>
      <c r="D909" s="3"/>
      <c r="E909" s="4" t="str">
        <f>HYPERLINK("https://dpmzos25m8ivg.cloudfront.net/Documentos/631/02506104348/6310250610434811092023164737.pdf","https://dpmzos25m8ivg.cloudfront.net/Documentos/631/02506104348/6310250610434811092023164737.pdf")</f>
        <v>https://dpmzos25m8ivg.cloudfront.net/Documentos/631/02506104348/6310250610434811092023164737.pdf</v>
      </c>
      <c r="F909" s="5" t="str">
        <f>HYPERLINK("https://dpmzos25m8ivg.cloudfront.net/Documentos/631/02506104348/6310250610434811092023164752.pdf","https://dpmzos25m8ivg.cloudfront.net/Documentos/631/02506104348/6310250610434811092023164752.pdf")</f>
        <v>https://dpmzos25m8ivg.cloudfront.net/Documentos/631/02506104348/6310250610434811092023164752.pdf</v>
      </c>
      <c r="G909" s="5" t="str">
        <f>HYPERLINK("https://dpmzos25m8ivg.cloudfront.net/Documentos/631/02506104348/6310250610434811092023164809.pdf","https://dpmzos25m8ivg.cloudfront.net/Documentos/631/02506104348/6310250610434811092023164809.pdf")</f>
        <v>https://dpmzos25m8ivg.cloudfront.net/Documentos/631/02506104348/6310250610434811092023164809.pdf</v>
      </c>
      <c r="H909" s="4" t="s">
        <v>9010</v>
      </c>
    </row>
    <row r="910" spans="1:8" x14ac:dyDescent="0.25">
      <c r="A910" s="2" t="s">
        <v>924</v>
      </c>
      <c r="B910" s="3"/>
      <c r="C910" s="3"/>
      <c r="D910" s="3"/>
      <c r="E910" s="4" t="str">
        <f>HYPERLINK("https://dpmzos25m8ivg.cloudfront.net/Documentos/631/02506249400/6310250624940005092023085848.pdf","https://dpmzos25m8ivg.cloudfront.net/Documentos/631/02506249400/6310250624940005092023085848.pdf")</f>
        <v>https://dpmzos25m8ivg.cloudfront.net/Documentos/631/02506249400/6310250624940005092023085848.pdf</v>
      </c>
      <c r="F910" s="5" t="str">
        <f>HYPERLINK("https://dpmzos25m8ivg.cloudfront.net/Documentos/631/02506249400/6310250624940005092023085858.pdf","https://dpmzos25m8ivg.cloudfront.net/Documentos/631/02506249400/6310250624940005092023085858.pdf")</f>
        <v>https://dpmzos25m8ivg.cloudfront.net/Documentos/631/02506249400/6310250624940005092023085858.pdf</v>
      </c>
      <c r="G910" s="5" t="str">
        <f>HYPERLINK("https://dpmzos25m8ivg.cloudfront.net/Documentos/631/02506249400/6310250624940005092023085907.pdf","https://dpmzos25m8ivg.cloudfront.net/Documentos/631/02506249400/6310250624940005092023085907.pdf")</f>
        <v>https://dpmzos25m8ivg.cloudfront.net/Documentos/631/02506249400/6310250624940005092023085907.pdf</v>
      </c>
      <c r="H910" s="4" t="s">
        <v>9495</v>
      </c>
    </row>
    <row r="911" spans="1:8" x14ac:dyDescent="0.25">
      <c r="A911" s="2" t="s">
        <v>925</v>
      </c>
      <c r="B911" s="3"/>
      <c r="C911" s="3"/>
      <c r="D911" s="3"/>
      <c r="E911" s="4" t="str">
        <f>HYPERLINK("https://dpmzos25m8ivg.cloudfront.net/Documentos/631/02506692185/6310250669218513092023112842.jpeg","https://dpmzos25m8ivg.cloudfront.net/Documentos/631/02506692185/6310250669218513092023112842.jpeg")</f>
        <v>https://dpmzos25m8ivg.cloudfront.net/Documentos/631/02506692185/6310250669218513092023112842.jpeg</v>
      </c>
      <c r="F911" s="5" t="str">
        <f>HYPERLINK("https://dpmzos25m8ivg.cloudfront.net/Documentos/631/02506692185/6310250669218513092023114344.jpg","https://dpmzos25m8ivg.cloudfront.net/Documentos/631/02506692185/6310250669218513092023114344.jpg")</f>
        <v>https://dpmzos25m8ivg.cloudfront.net/Documentos/631/02506692185/6310250669218513092023114344.jpg</v>
      </c>
      <c r="G911" s="5" t="str">
        <f>HYPERLINK("https://dpmzos25m8ivg.cloudfront.net/Documentos/631/02506692185/6310250669218513092023114641.pdf","https://dpmzos25m8ivg.cloudfront.net/Documentos/631/02506692185/6310250669218513092023114641.pdf")</f>
        <v>https://dpmzos25m8ivg.cloudfront.net/Documentos/631/02506692185/6310250669218513092023114641.pdf</v>
      </c>
      <c r="H911" s="4" t="s">
        <v>9496</v>
      </c>
    </row>
    <row r="912" spans="1:8" x14ac:dyDescent="0.25">
      <c r="A912" s="2" t="s">
        <v>926</v>
      </c>
      <c r="B912" s="3"/>
      <c r="C912" s="3"/>
      <c r="D912" s="3"/>
      <c r="E912" s="4" t="str">
        <f>HYPERLINK("https://dpmzos25m8ivg.cloudfront.net/Documentos/631/02508017523/6310250801752311092023113408.pdf","https://dpmzos25m8ivg.cloudfront.net/Documentos/631/02508017523/6310250801752311092023113408.pdf")</f>
        <v>https://dpmzos25m8ivg.cloudfront.net/Documentos/631/02508017523/6310250801752311092023113408.pdf</v>
      </c>
      <c r="F912" s="5" t="str">
        <f>HYPERLINK("https://dpmzos25m8ivg.cloudfront.net/Documentos/631/02508017523/6310250801752311092023113441.pdf","https://dpmzos25m8ivg.cloudfront.net/Documentos/631/02508017523/6310250801752311092023113441.pdf")</f>
        <v>https://dpmzos25m8ivg.cloudfront.net/Documentos/631/02508017523/6310250801752311092023113441.pdf</v>
      </c>
      <c r="G912" s="5" t="str">
        <f>HYPERLINK("https://dpmzos25m8ivg.cloudfront.net/Documentos/631/02508017523/6310250801752311092023113517.pdf","https://dpmzos25m8ivg.cloudfront.net/Documentos/631/02508017523/6310250801752311092023113517.pdf")</f>
        <v>https://dpmzos25m8ivg.cloudfront.net/Documentos/631/02508017523/6310250801752311092023113517.pdf</v>
      </c>
      <c r="H912" s="4" t="s">
        <v>9497</v>
      </c>
    </row>
    <row r="913" spans="1:8" x14ac:dyDescent="0.25">
      <c r="A913" s="2" t="s">
        <v>927</v>
      </c>
      <c r="B913" s="3"/>
      <c r="C913" s="3"/>
      <c r="D913" s="3"/>
      <c r="E913" s="4" t="str">
        <f>HYPERLINK("https://dpmzos25m8ivg.cloudfront.net/Documentos/631/02508943274/6310250894327411092023133551.jpg","https://dpmzos25m8ivg.cloudfront.net/Documentos/631/02508943274/6310250894327411092023133551.jpg")</f>
        <v>https://dpmzos25m8ivg.cloudfront.net/Documentos/631/02508943274/6310250894327411092023133551.jpg</v>
      </c>
      <c r="F913" s="5" t="str">
        <f>HYPERLINK("https://dpmzos25m8ivg.cloudfront.net/Documentos/631/02508943274/6310250894327411092023133604.jpg","https://dpmzos25m8ivg.cloudfront.net/Documentos/631/02508943274/6310250894327411092023133604.jpg")</f>
        <v>https://dpmzos25m8ivg.cloudfront.net/Documentos/631/02508943274/6310250894327411092023133604.jpg</v>
      </c>
      <c r="G913" s="5" t="str">
        <f>HYPERLINK("https://dpmzos25m8ivg.cloudfront.net/Documentos/631/02508943274/6310250894327411092023133618.jpg","https://dpmzos25m8ivg.cloudfront.net/Documentos/631/02508943274/6310250894327411092023133618.jpg")</f>
        <v>https://dpmzos25m8ivg.cloudfront.net/Documentos/631/02508943274/6310250894327411092023133618.jpg</v>
      </c>
      <c r="H913" s="4" t="s">
        <v>9498</v>
      </c>
    </row>
    <row r="914" spans="1:8" x14ac:dyDescent="0.25">
      <c r="A914" s="2" t="s">
        <v>928</v>
      </c>
      <c r="B914" s="3"/>
      <c r="C914" s="3"/>
      <c r="D914" s="3"/>
      <c r="E914" s="4" t="str">
        <f>HYPERLINK("https://dpmzos25m8ivg.cloudfront.net/Documentos/631/02509759558/6310250975955808092023091338.jpeg","https://dpmzos25m8ivg.cloudfront.net/Documentos/631/02509759558/6310250975955808092023091338.jpeg")</f>
        <v>https://dpmzos25m8ivg.cloudfront.net/Documentos/631/02509759558/6310250975955808092023091338.jpeg</v>
      </c>
      <c r="F914" s="5" t="str">
        <f>HYPERLINK("https://dpmzos25m8ivg.cloudfront.net/Documentos/631/02509759558/6310250975955808092023091345.jpeg","https://dpmzos25m8ivg.cloudfront.net/Documentos/631/02509759558/6310250975955808092023091345.jpeg")</f>
        <v>https://dpmzos25m8ivg.cloudfront.net/Documentos/631/02509759558/6310250975955808092023091345.jpeg</v>
      </c>
      <c r="G914" s="5" t="str">
        <f>HYPERLINK("https://dpmzos25m8ivg.cloudfront.net/Documentos/631/02509759558/6310250975955808092023091353.jpeg","https://dpmzos25m8ivg.cloudfront.net/Documentos/631/02509759558/6310250975955808092023091353.jpeg")</f>
        <v>https://dpmzos25m8ivg.cloudfront.net/Documentos/631/02509759558/6310250975955808092023091353.jpeg</v>
      </c>
      <c r="H914" s="4" t="s">
        <v>9499</v>
      </c>
    </row>
    <row r="915" spans="1:8" x14ac:dyDescent="0.25">
      <c r="A915" s="2" t="s">
        <v>929</v>
      </c>
      <c r="B915" s="3" t="s">
        <v>8</v>
      </c>
      <c r="C915" s="3"/>
      <c r="D915" s="3"/>
      <c r="E915" s="4" t="str">
        <f>HYPERLINK("https://dpmzos25m8ivg.cloudfront.net/Documentos/631/02510779184/6310251077918413092023153252.pdf","https://dpmzos25m8ivg.cloudfront.net/Documentos/631/02510779184/6310251077918413092023153252.pdf")</f>
        <v>https://dpmzos25m8ivg.cloudfront.net/Documentos/631/02510779184/6310251077918413092023153252.pdf</v>
      </c>
      <c r="F915" s="5" t="str">
        <f>HYPERLINK("https://dpmzos25m8ivg.cloudfront.net/Documentos/631/02510779184/6310251077918413092023152918.pdf","https://dpmzos25m8ivg.cloudfront.net/Documentos/631/02510779184/6310251077918413092023152918.pdf")</f>
        <v>https://dpmzos25m8ivg.cloudfront.net/Documentos/631/02510779184/6310251077918413092023152918.pdf</v>
      </c>
      <c r="G915" s="5" t="str">
        <f>HYPERLINK("https://dpmzos25m8ivg.cloudfront.net/Documentos/631/02510779184/6310251077918413092023152906.pdf","https://dpmzos25m8ivg.cloudfront.net/Documentos/631/02510779184/6310251077918413092023152906.pdf")</f>
        <v>https://dpmzos25m8ivg.cloudfront.net/Documentos/631/02510779184/6310251077918413092023152906.pdf</v>
      </c>
      <c r="H915" s="4" t="s">
        <v>9500</v>
      </c>
    </row>
    <row r="916" spans="1:8" x14ac:dyDescent="0.25">
      <c r="A916" s="2" t="s">
        <v>930</v>
      </c>
      <c r="B916" s="3" t="s">
        <v>90</v>
      </c>
      <c r="C916" s="3"/>
      <c r="D916" s="3"/>
      <c r="E916" s="4" t="str">
        <f>HYPERLINK("https://dpmzos25m8ivg.cloudfront.net/Documentos/631/02513991095/6310251399109511092023115737.pdf","https://dpmzos25m8ivg.cloudfront.net/Documentos/631/02513991095/6310251399109511092023115737.pdf")</f>
        <v>https://dpmzos25m8ivg.cloudfront.net/Documentos/631/02513991095/6310251399109511092023115737.pdf</v>
      </c>
      <c r="F916" s="5" t="str">
        <f>HYPERLINK("https://dpmzos25m8ivg.cloudfront.net/Documentos/631/02513991095/6310251399109511092023112324.pdf","https://dpmzos25m8ivg.cloudfront.net/Documentos/631/02513991095/6310251399109511092023112324.pdf")</f>
        <v>https://dpmzos25m8ivg.cloudfront.net/Documentos/631/02513991095/6310251399109511092023112324.pdf</v>
      </c>
      <c r="G916" s="5" t="str">
        <f>HYPERLINK("https://dpmzos25m8ivg.cloudfront.net/Documentos/631/02513991095/6310251399109511092023112353.pdf","https://dpmzos25m8ivg.cloudfront.net/Documentos/631/02513991095/6310251399109511092023112353.pdf")</f>
        <v>https://dpmzos25m8ivg.cloudfront.net/Documentos/631/02513991095/6310251399109511092023112353.pdf</v>
      </c>
      <c r="H916" s="4" t="s">
        <v>9501</v>
      </c>
    </row>
    <row r="917" spans="1:8" x14ac:dyDescent="0.25">
      <c r="A917" s="2" t="s">
        <v>931</v>
      </c>
      <c r="B917" s="3"/>
      <c r="C917" s="3"/>
      <c r="D917" s="3"/>
      <c r="E917" s="4" t="str">
        <f>HYPERLINK("https://dpmzos25m8ivg.cloudfront.net/Documentos/631/02515155243/6310251515524309092023002947.pdf","https://dpmzos25m8ivg.cloudfront.net/Documentos/631/02515155243/6310251515524309092023002947.pdf")</f>
        <v>https://dpmzos25m8ivg.cloudfront.net/Documentos/631/02515155243/6310251515524309092023002947.pdf</v>
      </c>
      <c r="F917" s="5" t="str">
        <f>HYPERLINK("https://dpmzos25m8ivg.cloudfront.net/Documentos/631/02515155243/6310251515524309092023003004.pdf","https://dpmzos25m8ivg.cloudfront.net/Documentos/631/02515155243/6310251515524309092023003004.pdf")</f>
        <v>https://dpmzos25m8ivg.cloudfront.net/Documentos/631/02515155243/6310251515524309092023003004.pdf</v>
      </c>
      <c r="G917" s="5" t="str">
        <f>HYPERLINK("https://dpmzos25m8ivg.cloudfront.net/Documentos/631/02515155243/6310251515524309092023003019.pdf","https://dpmzos25m8ivg.cloudfront.net/Documentos/631/02515155243/6310251515524309092023003019.pdf")</f>
        <v>https://dpmzos25m8ivg.cloudfront.net/Documentos/631/02515155243/6310251515524309092023003019.pdf</v>
      </c>
      <c r="H917" s="4" t="s">
        <v>9502</v>
      </c>
    </row>
    <row r="918" spans="1:8" x14ac:dyDescent="0.25">
      <c r="A918" s="2" t="s">
        <v>932</v>
      </c>
      <c r="B918" s="3"/>
      <c r="C918" s="3"/>
      <c r="D918" s="3"/>
      <c r="E918" s="4" t="str">
        <f>HYPERLINK("https://dpmzos25m8ivg.cloudfront.net/Documentos/631/02518820124/6310251882012405092023124708.jpeg","https://dpmzos25m8ivg.cloudfront.net/Documentos/631/02518820124/6310251882012405092023124708.jpeg")</f>
        <v>https://dpmzos25m8ivg.cloudfront.net/Documentos/631/02518820124/6310251882012405092023124708.jpeg</v>
      </c>
      <c r="F918" s="5" t="str">
        <f>HYPERLINK("https://dpmzos25m8ivg.cloudfront.net/Documentos/631/02518820124/6310251882012405092023124725.jpeg","https://dpmzos25m8ivg.cloudfront.net/Documentos/631/02518820124/6310251882012405092023124725.jpeg")</f>
        <v>https://dpmzos25m8ivg.cloudfront.net/Documentos/631/02518820124/6310251882012405092023124725.jpeg</v>
      </c>
      <c r="G918" s="5" t="str">
        <f>HYPERLINK("https://dpmzos25m8ivg.cloudfront.net/Documentos/631/02518820124/6310251882012405092023124744.jpeg","https://dpmzos25m8ivg.cloudfront.net/Documentos/631/02518820124/6310251882012405092023124744.jpeg")</f>
        <v>https://dpmzos25m8ivg.cloudfront.net/Documentos/631/02518820124/6310251882012405092023124744.jpeg</v>
      </c>
      <c r="H918" s="4" t="s">
        <v>9503</v>
      </c>
    </row>
    <row r="919" spans="1:8" x14ac:dyDescent="0.25">
      <c r="A919" s="2" t="s">
        <v>933</v>
      </c>
      <c r="B919" s="3" t="s">
        <v>8</v>
      </c>
      <c r="C919" s="3"/>
      <c r="D919" s="3"/>
      <c r="E919" s="4" t="str">
        <f>HYPERLINK("https://dpmzos25m8ivg.cloudfront.net/Documentos/631/02523559978/6310252355997805092023102552.pdf","https://dpmzos25m8ivg.cloudfront.net/Documentos/631/02523559978/6310252355997805092023102552.pdf")</f>
        <v>https://dpmzos25m8ivg.cloudfront.net/Documentos/631/02523559978/6310252355997805092023102552.pdf</v>
      </c>
      <c r="F919" s="5" t="str">
        <f>HYPERLINK("https://dpmzos25m8ivg.cloudfront.net/Documentos/631/02523559978/6310252355997805092023102604.pdf","https://dpmzos25m8ivg.cloudfront.net/Documentos/631/02523559978/6310252355997805092023102604.pdf")</f>
        <v>https://dpmzos25m8ivg.cloudfront.net/Documentos/631/02523559978/6310252355997805092023102604.pdf</v>
      </c>
      <c r="G919" s="5" t="str">
        <f>HYPERLINK("https://dpmzos25m8ivg.cloudfront.net/Documentos/631/02523559978/6310252355997805092023102616.pdf","https://dpmzos25m8ivg.cloudfront.net/Documentos/631/02523559978/6310252355997805092023102616.pdf")</f>
        <v>https://dpmzos25m8ivg.cloudfront.net/Documentos/631/02523559978/6310252355997805092023102616.pdf</v>
      </c>
      <c r="H919" s="4" t="s">
        <v>9504</v>
      </c>
    </row>
    <row r="920" spans="1:8" x14ac:dyDescent="0.25">
      <c r="A920" s="2" t="s">
        <v>934</v>
      </c>
      <c r="B920" s="3"/>
      <c r="C920" s="3"/>
      <c r="D920" s="3"/>
      <c r="E920" s="4" t="str">
        <f>HYPERLINK("https://dpmzos25m8ivg.cloudfront.net/Documentos/631/02527291295/6310252729129510092023221051.jpeg","https://dpmzos25m8ivg.cloudfront.net/Documentos/631/02527291295/6310252729129510092023221051.jpeg")</f>
        <v>https://dpmzos25m8ivg.cloudfront.net/Documentos/631/02527291295/6310252729129510092023221051.jpeg</v>
      </c>
      <c r="F920" s="5" t="str">
        <f>HYPERLINK("https://dpmzos25m8ivg.cloudfront.net/Documentos/631/02527291295/6310252729129510092023221109.jpeg","https://dpmzos25m8ivg.cloudfront.net/Documentos/631/02527291295/6310252729129510092023221109.jpeg")</f>
        <v>https://dpmzos25m8ivg.cloudfront.net/Documentos/631/02527291295/6310252729129510092023221109.jpeg</v>
      </c>
      <c r="G920" s="5" t="str">
        <f>HYPERLINK("https://dpmzos25m8ivg.cloudfront.net/Documentos/631/02527291295/6310252729129510092023221129.jpeg","https://dpmzos25m8ivg.cloudfront.net/Documentos/631/02527291295/6310252729129510092023221129.jpeg")</f>
        <v>https://dpmzos25m8ivg.cloudfront.net/Documentos/631/02527291295/6310252729129510092023221129.jpeg</v>
      </c>
      <c r="H920" s="4" t="s">
        <v>9505</v>
      </c>
    </row>
    <row r="921" spans="1:8" x14ac:dyDescent="0.25">
      <c r="A921" s="2" t="s">
        <v>935</v>
      </c>
      <c r="B921" s="3"/>
      <c r="C921" s="3"/>
      <c r="D921" s="3"/>
      <c r="E921" s="4" t="str">
        <f>HYPERLINK("https://dpmzos25m8ivg.cloudfront.net/Documentos/631/02530152519/6310253015251911092023120747.pdf","https://dpmzos25m8ivg.cloudfront.net/Documentos/631/02530152519/6310253015251911092023120747.pdf")</f>
        <v>https://dpmzos25m8ivg.cloudfront.net/Documentos/631/02530152519/6310253015251911092023120747.pdf</v>
      </c>
      <c r="F921" s="5" t="str">
        <f>HYPERLINK("https://dpmzos25m8ivg.cloudfront.net/Documentos/631/02530152519/6310253015251911092023120758.pdf","https://dpmzos25m8ivg.cloudfront.net/Documentos/631/02530152519/6310253015251911092023120758.pdf")</f>
        <v>https://dpmzos25m8ivg.cloudfront.net/Documentos/631/02530152519/6310253015251911092023120758.pdf</v>
      </c>
      <c r="G921" s="5" t="str">
        <f>HYPERLINK("https://dpmzos25m8ivg.cloudfront.net/Documentos/631/02530152519/6310253015251911092023120810.pdf","https://dpmzos25m8ivg.cloudfront.net/Documentos/631/02530152519/6310253015251911092023120810.pdf")</f>
        <v>https://dpmzos25m8ivg.cloudfront.net/Documentos/631/02530152519/6310253015251911092023120810.pdf</v>
      </c>
      <c r="H921" s="4" t="s">
        <v>9506</v>
      </c>
    </row>
    <row r="922" spans="1:8" x14ac:dyDescent="0.25">
      <c r="A922" s="2" t="s">
        <v>936</v>
      </c>
      <c r="B922" s="3" t="s">
        <v>8</v>
      </c>
      <c r="C922" s="3"/>
      <c r="D922" s="3"/>
      <c r="E922" s="4" t="str">
        <f>HYPERLINK("https://dpmzos25m8ivg.cloudfront.net/Documentos/631/02530522383/6310253052238308092023100305.pdf","https://dpmzos25m8ivg.cloudfront.net/Documentos/631/02530522383/6310253052238308092023100305.pdf")</f>
        <v>https://dpmzos25m8ivg.cloudfront.net/Documentos/631/02530522383/6310253052238308092023100305.pdf</v>
      </c>
      <c r="F922" s="5" t="str">
        <f>HYPERLINK("https://dpmzos25m8ivg.cloudfront.net/Documentos/631/02530522383/6310253052238308092023100320.pdf","https://dpmzos25m8ivg.cloudfront.net/Documentos/631/02530522383/6310253052238308092023100320.pdf")</f>
        <v>https://dpmzos25m8ivg.cloudfront.net/Documentos/631/02530522383/6310253052238308092023100320.pdf</v>
      </c>
      <c r="G922" s="5" t="str">
        <f>HYPERLINK("https://dpmzos25m8ivg.cloudfront.net/Documentos/631/02530522383/6310253052238308092023100335.pdf","https://dpmzos25m8ivg.cloudfront.net/Documentos/631/02530522383/6310253052238308092023100335.pdf")</f>
        <v>https://dpmzos25m8ivg.cloudfront.net/Documentos/631/02530522383/6310253052238308092023100335.pdf</v>
      </c>
      <c r="H922" s="4" t="s">
        <v>9507</v>
      </c>
    </row>
    <row r="923" spans="1:8" x14ac:dyDescent="0.25">
      <c r="A923" s="2" t="s">
        <v>937</v>
      </c>
      <c r="B923" s="3"/>
      <c r="C923" s="3"/>
      <c r="D923" s="3"/>
      <c r="E923" s="4" t="str">
        <f>HYPERLINK("https://dpmzos25m8ivg.cloudfront.net/Documentos/631/02531087567/6310253108756707092023100718.pdf","https://dpmzos25m8ivg.cloudfront.net/Documentos/631/02531087567/6310253108756707092023100718.pdf")</f>
        <v>https://dpmzos25m8ivg.cloudfront.net/Documentos/631/02531087567/6310253108756707092023100718.pdf</v>
      </c>
      <c r="F923" s="5" t="str">
        <f>HYPERLINK("https://dpmzos25m8ivg.cloudfront.net/Documentos/631/02531087567/6310253108756707092023100739.pdf","https://dpmzos25m8ivg.cloudfront.net/Documentos/631/02531087567/6310253108756707092023100739.pdf")</f>
        <v>https://dpmzos25m8ivg.cloudfront.net/Documentos/631/02531087567/6310253108756707092023100739.pdf</v>
      </c>
      <c r="G923" s="5" t="str">
        <f>HYPERLINK("https://dpmzos25m8ivg.cloudfront.net/Documentos/631/02531087567/6310253108756707092023100756.pdf","https://dpmzos25m8ivg.cloudfront.net/Documentos/631/02531087567/6310253108756707092023100756.pdf")</f>
        <v>https://dpmzos25m8ivg.cloudfront.net/Documentos/631/02531087567/6310253108756707092023100756.pdf</v>
      </c>
      <c r="H923" s="4" t="s">
        <v>9508</v>
      </c>
    </row>
    <row r="924" spans="1:8" x14ac:dyDescent="0.25">
      <c r="A924" s="2" t="s">
        <v>938</v>
      </c>
      <c r="B924" s="3"/>
      <c r="C924" s="3"/>
      <c r="D924" s="3"/>
      <c r="E924" s="4" t="str">
        <f>HYPERLINK("https://dpmzos25m8ivg.cloudfront.net/Documentos/631/02535477416/6310253547741607092023132405.pdf","https://dpmzos25m8ivg.cloudfront.net/Documentos/631/02535477416/6310253547741607092023132405.pdf")</f>
        <v>https://dpmzos25m8ivg.cloudfront.net/Documentos/631/02535477416/6310253547741607092023132405.pdf</v>
      </c>
      <c r="F924" s="5" t="str">
        <f>HYPERLINK("https://dpmzos25m8ivg.cloudfront.net/Documentos/631/02535477416/6310253547741607092023132434.pdf","https://dpmzos25m8ivg.cloudfront.net/Documentos/631/02535477416/6310253547741607092023132434.pdf")</f>
        <v>https://dpmzos25m8ivg.cloudfront.net/Documentos/631/02535477416/6310253547741607092023132434.pdf</v>
      </c>
      <c r="G924" s="5" t="str">
        <f>HYPERLINK("https://dpmzos25m8ivg.cloudfront.net/Documentos/631/02535477416/6310253547741607092023132519.pdf","https://dpmzos25m8ivg.cloudfront.net/Documentos/631/02535477416/6310253547741607092023132519.pdf")</f>
        <v>https://dpmzos25m8ivg.cloudfront.net/Documentos/631/02535477416/6310253547741607092023132519.pdf</v>
      </c>
      <c r="H924" s="4" t="s">
        <v>9509</v>
      </c>
    </row>
    <row r="925" spans="1:8" x14ac:dyDescent="0.25">
      <c r="A925" s="2" t="s">
        <v>939</v>
      </c>
      <c r="B925" s="3"/>
      <c r="C925" s="3"/>
      <c r="D925" s="3"/>
      <c r="E925" s="4" t="str">
        <f>HYPERLINK("https://dpmzos25m8ivg.cloudfront.net/Documentos/631/02536494209/6310253649420907092023123238.jpeg","https://dpmzos25m8ivg.cloudfront.net/Documentos/631/02536494209/6310253649420907092023123238.jpeg")</f>
        <v>https://dpmzos25m8ivg.cloudfront.net/Documentos/631/02536494209/6310253649420907092023123238.jpeg</v>
      </c>
      <c r="F925" s="5" t="str">
        <f>HYPERLINK("https://dpmzos25m8ivg.cloudfront.net/Documentos/631/02536494209/6310253649420907092023123250.jpeg","https://dpmzos25m8ivg.cloudfront.net/Documentos/631/02536494209/6310253649420907092023123250.jpeg")</f>
        <v>https://dpmzos25m8ivg.cloudfront.net/Documentos/631/02536494209/6310253649420907092023123250.jpeg</v>
      </c>
      <c r="G925" s="5" t="str">
        <f>HYPERLINK("https://dpmzos25m8ivg.cloudfront.net/Documentos/631/02536494209/6310253649420907092023123303.jpeg","https://dpmzos25m8ivg.cloudfront.net/Documentos/631/02536494209/6310253649420907092023123303.jpeg")</f>
        <v>https://dpmzos25m8ivg.cloudfront.net/Documentos/631/02536494209/6310253649420907092023123303.jpeg</v>
      </c>
      <c r="H925" s="4" t="s">
        <v>9510</v>
      </c>
    </row>
    <row r="926" spans="1:8" x14ac:dyDescent="0.25">
      <c r="A926" s="2" t="s">
        <v>940</v>
      </c>
      <c r="B926" s="3"/>
      <c r="C926" s="3"/>
      <c r="D926" s="3"/>
      <c r="E926" s="4" t="str">
        <f>HYPERLINK("https://dpmzos25m8ivg.cloudfront.net/Documentos/631/02536508528/6310253650852811092023161917.pdf","https://dpmzos25m8ivg.cloudfront.net/Documentos/631/02536508528/6310253650852811092023161917.pdf")</f>
        <v>https://dpmzos25m8ivg.cloudfront.net/Documentos/631/02536508528/6310253650852811092023161917.pdf</v>
      </c>
      <c r="F926" s="5" t="str">
        <f>HYPERLINK("https://dpmzos25m8ivg.cloudfront.net/Documentos/631/02536508528/6310253650852811092023161951.pdf","https://dpmzos25m8ivg.cloudfront.net/Documentos/631/02536508528/6310253650852811092023161951.pdf")</f>
        <v>https://dpmzos25m8ivg.cloudfront.net/Documentos/631/02536508528/6310253650852811092023161951.pdf</v>
      </c>
      <c r="G926" s="5" t="str">
        <f>HYPERLINK("https://dpmzos25m8ivg.cloudfront.net/Documentos/631/02536508528/6310253650852811092023162041.pdf","https://dpmzos25m8ivg.cloudfront.net/Documentos/631/02536508528/6310253650852811092023162041.pdf")</f>
        <v>https://dpmzos25m8ivg.cloudfront.net/Documentos/631/02536508528/6310253650852811092023162041.pdf</v>
      </c>
      <c r="H926" s="4" t="s">
        <v>9511</v>
      </c>
    </row>
    <row r="927" spans="1:8" x14ac:dyDescent="0.25">
      <c r="A927" s="2" t="s">
        <v>941</v>
      </c>
      <c r="B927" s="3" t="s">
        <v>90</v>
      </c>
      <c r="C927" s="3"/>
      <c r="D927" s="3"/>
      <c r="E927" s="4" t="str">
        <f>HYPERLINK("https://dpmzos25m8ivg.cloudfront.net/Documentos/631/02540749100/6310254074910005092023130354.jpeg","https://dpmzos25m8ivg.cloudfront.net/Documentos/631/02540749100/6310254074910005092023130354.jpeg")</f>
        <v>https://dpmzos25m8ivg.cloudfront.net/Documentos/631/02540749100/6310254074910005092023130354.jpeg</v>
      </c>
      <c r="F927" s="5" t="str">
        <f>HYPERLINK("https://dpmzos25m8ivg.cloudfront.net/Documentos/631/02540749100/6310254074910005092023130825.jpeg","https://dpmzos25m8ivg.cloudfront.net/Documentos/631/02540749100/6310254074910005092023130825.jpeg")</f>
        <v>https://dpmzos25m8ivg.cloudfront.net/Documentos/631/02540749100/6310254074910005092023130825.jpeg</v>
      </c>
      <c r="G927" s="5" t="str">
        <f>HYPERLINK("https://dpmzos25m8ivg.cloudfront.net/Documentos/631/02540749100/6310254074910005092023130847.jpeg","https://dpmzos25m8ivg.cloudfront.net/Documentos/631/02540749100/6310254074910005092023130847.jpeg")</f>
        <v>https://dpmzos25m8ivg.cloudfront.net/Documentos/631/02540749100/6310254074910005092023130847.jpeg</v>
      </c>
      <c r="H927" s="4" t="s">
        <v>9512</v>
      </c>
    </row>
    <row r="928" spans="1:8" x14ac:dyDescent="0.25">
      <c r="A928" s="2" t="s">
        <v>942</v>
      </c>
      <c r="B928" s="3"/>
      <c r="C928" s="3"/>
      <c r="D928" s="3"/>
      <c r="E928" s="4" t="str">
        <f>HYPERLINK("https://dpmzos25m8ivg.cloudfront.net/Documentos/631/02541671520/6310254167152011092023115155.pdf","https://dpmzos25m8ivg.cloudfront.net/Documentos/631/02541671520/6310254167152011092023115155.pdf")</f>
        <v>https://dpmzos25m8ivg.cloudfront.net/Documentos/631/02541671520/6310254167152011092023115155.pdf</v>
      </c>
      <c r="F928" s="5" t="str">
        <f>HYPERLINK("https://dpmzos25m8ivg.cloudfront.net/Documentos/631/02541671520/6310254167152011092023115210.pdf","https://dpmzos25m8ivg.cloudfront.net/Documentos/631/02541671520/6310254167152011092023115210.pdf")</f>
        <v>https://dpmzos25m8ivg.cloudfront.net/Documentos/631/02541671520/6310254167152011092023115210.pdf</v>
      </c>
      <c r="G928" s="5" t="str">
        <f>HYPERLINK("https://dpmzos25m8ivg.cloudfront.net/Documentos/631/02541671520/6310254167152011092023115223.pdf","https://dpmzos25m8ivg.cloudfront.net/Documentos/631/02541671520/6310254167152011092023115223.pdf")</f>
        <v>https://dpmzos25m8ivg.cloudfront.net/Documentos/631/02541671520/6310254167152011092023115223.pdf</v>
      </c>
      <c r="H928" s="4" t="s">
        <v>9513</v>
      </c>
    </row>
    <row r="929" spans="1:8" x14ac:dyDescent="0.25">
      <c r="A929" s="2" t="s">
        <v>943</v>
      </c>
      <c r="B929" s="3"/>
      <c r="C929" s="3"/>
      <c r="D929" s="3"/>
      <c r="E929" s="4" t="str">
        <f>HYPERLINK("https://dpmzos25m8ivg.cloudfront.net/Documentos/631/02541895801/6310254189580110092023221817.pdf","https://dpmzos25m8ivg.cloudfront.net/Documentos/631/02541895801/6310254189580110092023221817.pdf")</f>
        <v>https://dpmzos25m8ivg.cloudfront.net/Documentos/631/02541895801/6310254189580110092023221817.pdf</v>
      </c>
      <c r="F929" s="5" t="str">
        <f>HYPERLINK("https://dpmzos25m8ivg.cloudfront.net/Documentos/631/02541895801/6310254189580110092023221916.pdf","https://dpmzos25m8ivg.cloudfront.net/Documentos/631/02541895801/6310254189580110092023221916.pdf")</f>
        <v>https://dpmzos25m8ivg.cloudfront.net/Documentos/631/02541895801/6310254189580110092023221916.pdf</v>
      </c>
      <c r="G929" s="5" t="str">
        <f>HYPERLINK("https://dpmzos25m8ivg.cloudfront.net/Documentos/631/02541895801/6310254189580110092023222005.pdf","https://dpmzos25m8ivg.cloudfront.net/Documentos/631/02541895801/6310254189580110092023222005.pdf")</f>
        <v>https://dpmzos25m8ivg.cloudfront.net/Documentos/631/02541895801/6310254189580110092023222005.pdf</v>
      </c>
      <c r="H929" s="4" t="s">
        <v>9514</v>
      </c>
    </row>
    <row r="930" spans="1:8" x14ac:dyDescent="0.25">
      <c r="A930" s="2" t="s">
        <v>944</v>
      </c>
      <c r="B930" s="3"/>
      <c r="C930" s="3"/>
      <c r="D930" s="3"/>
      <c r="E930" s="4" t="str">
        <f>HYPERLINK("https://dpmzos25m8ivg.cloudfront.net/Documentos/631/02545364258/6310254536425811092023132416.pdf","https://dpmzos25m8ivg.cloudfront.net/Documentos/631/02545364258/6310254536425811092023132416.pdf")</f>
        <v>https://dpmzos25m8ivg.cloudfront.net/Documentos/631/02545364258/6310254536425811092023132416.pdf</v>
      </c>
      <c r="F930" s="5" t="str">
        <f>HYPERLINK("https://dpmzos25m8ivg.cloudfront.net/Documentos/631/02545364258/6310254536425811092023132442.pdf","https://dpmzos25m8ivg.cloudfront.net/Documentos/631/02545364258/6310254536425811092023132442.pdf")</f>
        <v>https://dpmzos25m8ivg.cloudfront.net/Documentos/631/02545364258/6310254536425811092023132442.pdf</v>
      </c>
      <c r="G930" s="5" t="str">
        <f>HYPERLINK("https://dpmzos25m8ivg.cloudfront.net/Documentos/631/02545364258/6310254536425811092023132454.pdf","https://dpmzos25m8ivg.cloudfront.net/Documentos/631/02545364258/6310254536425811092023132454.pdf")</f>
        <v>https://dpmzos25m8ivg.cloudfront.net/Documentos/631/02545364258/6310254536425811092023132454.pdf</v>
      </c>
      <c r="H930" s="4" t="s">
        <v>9515</v>
      </c>
    </row>
    <row r="931" spans="1:8" x14ac:dyDescent="0.25">
      <c r="A931" s="2" t="s">
        <v>945</v>
      </c>
      <c r="B931" s="3"/>
      <c r="C931" s="3"/>
      <c r="D931" s="3"/>
      <c r="E931" s="4" t="str">
        <f>HYPERLINK("https://dpmzos25m8ivg.cloudfront.net/Documentos/631/02545891541/6310254589154111092023154348.pdf","https://dpmzos25m8ivg.cloudfront.net/Documentos/631/02545891541/6310254589154111092023154348.pdf")</f>
        <v>https://dpmzos25m8ivg.cloudfront.net/Documentos/631/02545891541/6310254589154111092023154348.pdf</v>
      </c>
      <c r="F931" s="5" t="str">
        <f>HYPERLINK("https://dpmzos25m8ivg.cloudfront.net/Documentos/631/02545891541/6310254589154111092023154411.pdf","https://dpmzos25m8ivg.cloudfront.net/Documentos/631/02545891541/6310254589154111092023154411.pdf")</f>
        <v>https://dpmzos25m8ivg.cloudfront.net/Documentos/631/02545891541/6310254589154111092023154411.pdf</v>
      </c>
      <c r="G931" s="5" t="str">
        <f>HYPERLINK("https://dpmzos25m8ivg.cloudfront.net/Documentos/631/02545891541/6310254589154111092023154441.pdf","https://dpmzos25m8ivg.cloudfront.net/Documentos/631/02545891541/6310254589154111092023154441.pdf")</f>
        <v>https://dpmzos25m8ivg.cloudfront.net/Documentos/631/02545891541/6310254589154111092023154441.pdf</v>
      </c>
      <c r="H931" s="4" t="s">
        <v>9516</v>
      </c>
    </row>
    <row r="932" spans="1:8" x14ac:dyDescent="0.25">
      <c r="A932" s="2" t="s">
        <v>946</v>
      </c>
      <c r="B932" s="3"/>
      <c r="C932" s="3"/>
      <c r="D932" s="3"/>
      <c r="E932" s="4" t="str">
        <f>HYPERLINK("https://dpmzos25m8ivg.cloudfront.net/Documentos/631/02546196146/6310254619614610092023132038.jpeg","https://dpmzos25m8ivg.cloudfront.net/Documentos/631/02546196146/6310254619614610092023132038.jpeg")</f>
        <v>https://dpmzos25m8ivg.cloudfront.net/Documentos/631/02546196146/6310254619614610092023132038.jpeg</v>
      </c>
      <c r="F932" s="5" t="str">
        <f>HYPERLINK("https://dpmzos25m8ivg.cloudfront.net/Documentos/631/02546196146/6310254619614610092023132053.jpeg","https://dpmzos25m8ivg.cloudfront.net/Documentos/631/02546196146/6310254619614610092023132053.jpeg")</f>
        <v>https://dpmzos25m8ivg.cloudfront.net/Documentos/631/02546196146/6310254619614610092023132053.jpeg</v>
      </c>
      <c r="G932" s="5" t="str">
        <f>HYPERLINK("https://dpmzos25m8ivg.cloudfront.net/Documentos/631/02546196146/6310254619614610092023132108.jpeg","https://dpmzos25m8ivg.cloudfront.net/Documentos/631/02546196146/6310254619614610092023132108.jpeg")</f>
        <v>https://dpmzos25m8ivg.cloudfront.net/Documentos/631/02546196146/6310254619614610092023132108.jpeg</v>
      </c>
      <c r="H932" s="4" t="s">
        <v>9517</v>
      </c>
    </row>
    <row r="933" spans="1:8" x14ac:dyDescent="0.25">
      <c r="A933" s="2" t="s">
        <v>947</v>
      </c>
      <c r="B933" s="3"/>
      <c r="C933" s="3"/>
      <c r="D933" s="3"/>
      <c r="E933" s="4" t="str">
        <f>HYPERLINK("https://dpmzos25m8ivg.cloudfront.net/Documentos/631/02547121182/6310254712118211092023160056.pdf","https://dpmzos25m8ivg.cloudfront.net/Documentos/631/02547121182/6310254712118211092023160056.pdf")</f>
        <v>https://dpmzos25m8ivg.cloudfront.net/Documentos/631/02547121182/6310254712118211092023160056.pdf</v>
      </c>
      <c r="F933" s="5" t="str">
        <f>HYPERLINK("https://dpmzos25m8ivg.cloudfront.net/Documentos/631/02547121182/6310254712118211092023160044.pdf","https://dpmzos25m8ivg.cloudfront.net/Documentos/631/02547121182/6310254712118211092023160044.pdf")</f>
        <v>https://dpmzos25m8ivg.cloudfront.net/Documentos/631/02547121182/6310254712118211092023160044.pdf</v>
      </c>
      <c r="G933" s="5" t="str">
        <f>HYPERLINK("https://dpmzos25m8ivg.cloudfront.net/Documentos/631/02547121182/6310254712118211092023160031.pdf","https://dpmzos25m8ivg.cloudfront.net/Documentos/631/02547121182/6310254712118211092023160031.pdf")</f>
        <v>https://dpmzos25m8ivg.cloudfront.net/Documentos/631/02547121182/6310254712118211092023160031.pdf</v>
      </c>
      <c r="H933" s="4" t="s">
        <v>9518</v>
      </c>
    </row>
    <row r="934" spans="1:8" x14ac:dyDescent="0.25">
      <c r="A934" s="2" t="s">
        <v>948</v>
      </c>
      <c r="B934" s="3"/>
      <c r="C934" s="3"/>
      <c r="D934" s="3"/>
      <c r="E934" s="4" t="str">
        <f>HYPERLINK("https://dpmzos25m8ivg.cloudfront.net/Documentos/631/02547421658/6310254742165811092023163604.pdf","https://dpmzos25m8ivg.cloudfront.net/Documentos/631/02547421658/6310254742165811092023163604.pdf")</f>
        <v>https://dpmzos25m8ivg.cloudfront.net/Documentos/631/02547421658/6310254742165811092023163604.pdf</v>
      </c>
      <c r="F934" s="5" t="str">
        <f>HYPERLINK("https://dpmzos25m8ivg.cloudfront.net/Documentos/631/02547421658/6310254742165811092023163619.pdf","https://dpmzos25m8ivg.cloudfront.net/Documentos/631/02547421658/6310254742165811092023163619.pdf")</f>
        <v>https://dpmzos25m8ivg.cloudfront.net/Documentos/631/02547421658/6310254742165811092023163619.pdf</v>
      </c>
      <c r="G934" s="5" t="str">
        <f>HYPERLINK("https://dpmzos25m8ivg.cloudfront.net/Documentos/631/02547421658/6310254742165811092023163634.pdf","https://dpmzos25m8ivg.cloudfront.net/Documentos/631/02547421658/6310254742165811092023163634.pdf")</f>
        <v>https://dpmzos25m8ivg.cloudfront.net/Documentos/631/02547421658/6310254742165811092023163634.pdf</v>
      </c>
      <c r="H934" s="4" t="s">
        <v>9519</v>
      </c>
    </row>
    <row r="935" spans="1:8" x14ac:dyDescent="0.25">
      <c r="A935" s="2" t="s">
        <v>949</v>
      </c>
      <c r="B935" s="3"/>
      <c r="C935" s="3"/>
      <c r="D935" s="3"/>
      <c r="E935" s="4" t="str">
        <f>HYPERLINK("https://dpmzos25m8ivg.cloudfront.net/Documentos/631/02548005216/6310254800521613092023151618.jpeg","https://dpmzos25m8ivg.cloudfront.net/Documentos/631/02548005216/6310254800521613092023151618.jpeg")</f>
        <v>https://dpmzos25m8ivg.cloudfront.net/Documentos/631/02548005216/6310254800521613092023151618.jpeg</v>
      </c>
      <c r="F935" s="5" t="str">
        <f>HYPERLINK("https://dpmzos25m8ivg.cloudfront.net/Documentos/631/02548005216/6310254800521613092023151625.jpeg","https://dpmzos25m8ivg.cloudfront.net/Documentos/631/02548005216/6310254800521613092023151625.jpeg")</f>
        <v>https://dpmzos25m8ivg.cloudfront.net/Documentos/631/02548005216/6310254800521613092023151625.jpeg</v>
      </c>
      <c r="G935" s="5" t="str">
        <f>HYPERLINK("https://dpmzos25m8ivg.cloudfront.net/Documentos/631/02548005216/6310254800521613092023151634.jpeg","https://dpmzos25m8ivg.cloudfront.net/Documentos/631/02548005216/6310254800521613092023151634.jpeg")</f>
        <v>https://dpmzos25m8ivg.cloudfront.net/Documentos/631/02548005216/6310254800521613092023151634.jpeg</v>
      </c>
      <c r="H935" s="4" t="s">
        <v>9520</v>
      </c>
    </row>
    <row r="936" spans="1:8" x14ac:dyDescent="0.25">
      <c r="A936" s="2" t="s">
        <v>950</v>
      </c>
      <c r="B936" s="3"/>
      <c r="C936" s="3"/>
      <c r="D936" s="3"/>
      <c r="E936" s="4" t="str">
        <f>HYPERLINK("https://dpmzos25m8ivg.cloudfront.net/Documentos/631/02550994523/6310255099452311092023160141.pdf","https://dpmzos25m8ivg.cloudfront.net/Documentos/631/02550994523/6310255099452311092023160141.pdf")</f>
        <v>https://dpmzos25m8ivg.cloudfront.net/Documentos/631/02550994523/6310255099452311092023160141.pdf</v>
      </c>
      <c r="F936" s="5" t="str">
        <f>HYPERLINK("https://dpmzos25m8ivg.cloudfront.net/Documentos/631/02550994523/6310255099452311092023160148.pdf","https://dpmzos25m8ivg.cloudfront.net/Documentos/631/02550994523/6310255099452311092023160148.pdf")</f>
        <v>https://dpmzos25m8ivg.cloudfront.net/Documentos/631/02550994523/6310255099452311092023160148.pdf</v>
      </c>
      <c r="G936" s="5" t="str">
        <f>HYPERLINK("https://dpmzos25m8ivg.cloudfront.net/Documentos/631/02550994523/6310255099452311092023160157.pdf","https://dpmzos25m8ivg.cloudfront.net/Documentos/631/02550994523/6310255099452311092023160157.pdf")</f>
        <v>https://dpmzos25m8ivg.cloudfront.net/Documentos/631/02550994523/6310255099452311092023160157.pdf</v>
      </c>
      <c r="H936" s="4" t="s">
        <v>9521</v>
      </c>
    </row>
    <row r="937" spans="1:8" x14ac:dyDescent="0.25">
      <c r="A937" s="2" t="s">
        <v>951</v>
      </c>
      <c r="B937" s="3"/>
      <c r="C937" s="3"/>
      <c r="D937" s="3"/>
      <c r="E937" s="4" t="str">
        <f>HYPERLINK("https://dpmzos25m8ivg.cloudfront.net/Documentos/631/02553304560/6310255330456007092023130627.pdf","https://dpmzos25m8ivg.cloudfront.net/Documentos/631/02553304560/6310255330456007092023130627.pdf")</f>
        <v>https://dpmzos25m8ivg.cloudfront.net/Documentos/631/02553304560/6310255330456007092023130627.pdf</v>
      </c>
      <c r="F937" s="5" t="str">
        <f>HYPERLINK("https://dpmzos25m8ivg.cloudfront.net/Documentos/631/02553304560/6310255330456007092023130643.pdf","https://dpmzos25m8ivg.cloudfront.net/Documentos/631/02553304560/6310255330456007092023130643.pdf")</f>
        <v>https://dpmzos25m8ivg.cloudfront.net/Documentos/631/02553304560/6310255330456007092023130643.pdf</v>
      </c>
      <c r="G937" s="5" t="str">
        <f>HYPERLINK("https://dpmzos25m8ivg.cloudfront.net/Documentos/631/02553304560/6310255330456007092023130727.pdf","https://dpmzos25m8ivg.cloudfront.net/Documentos/631/02553304560/6310255330456007092023130727.pdf")</f>
        <v>https://dpmzos25m8ivg.cloudfront.net/Documentos/631/02553304560/6310255330456007092023130727.pdf</v>
      </c>
      <c r="H937" s="4" t="s">
        <v>9522</v>
      </c>
    </row>
    <row r="938" spans="1:8" x14ac:dyDescent="0.25">
      <c r="A938" s="2" t="s">
        <v>952</v>
      </c>
      <c r="B938" s="3" t="s">
        <v>42</v>
      </c>
      <c r="C938" s="3"/>
      <c r="D938" s="3"/>
      <c r="E938" s="4" t="str">
        <f>HYPERLINK("https://dpmzos25m8ivg.cloudfront.net/Documentos/631/02557888273/6310255788827310092023222927.pdf","https://dpmzos25m8ivg.cloudfront.net/Documentos/631/02557888273/6310255788827310092023222927.pdf")</f>
        <v>https://dpmzos25m8ivg.cloudfront.net/Documentos/631/02557888273/6310255788827310092023222927.pdf</v>
      </c>
      <c r="F938" s="5" t="str">
        <f>HYPERLINK("https://dpmzos25m8ivg.cloudfront.net/Documentos/631/02557888273/6310255788827310092023222906.pdf","https://dpmzos25m8ivg.cloudfront.net/Documentos/631/02557888273/6310255788827310092023222906.pdf")</f>
        <v>https://dpmzos25m8ivg.cloudfront.net/Documentos/631/02557888273/6310255788827310092023222906.pdf</v>
      </c>
      <c r="G938" s="5" t="str">
        <f>HYPERLINK("https://dpmzos25m8ivg.cloudfront.net/Documentos/631/02557888273/6310255788827310092023222846.pdf","https://dpmzos25m8ivg.cloudfront.net/Documentos/631/02557888273/6310255788827310092023222846.pdf")</f>
        <v>https://dpmzos25m8ivg.cloudfront.net/Documentos/631/02557888273/6310255788827310092023222846.pdf</v>
      </c>
      <c r="H938" s="4" t="s">
        <v>9523</v>
      </c>
    </row>
    <row r="939" spans="1:8" x14ac:dyDescent="0.25">
      <c r="A939" s="2" t="s">
        <v>953</v>
      </c>
      <c r="B939" s="3"/>
      <c r="C939" s="3"/>
      <c r="D939" s="3"/>
      <c r="E939" s="4" t="str">
        <f>HYPERLINK("https://dpmzos25m8ivg.cloudfront.net/Documentos/631/02558850598/6310255885059810092023112623.jpeg","https://dpmzos25m8ivg.cloudfront.net/Documentos/631/02558850598/6310255885059810092023112623.jpeg")</f>
        <v>https://dpmzos25m8ivg.cloudfront.net/Documentos/631/02558850598/6310255885059810092023112623.jpeg</v>
      </c>
      <c r="F939" s="5" t="str">
        <f>HYPERLINK("https://dpmzos25m8ivg.cloudfront.net/Documentos/631/02558850598/6310255885059810092023112709.jpeg","https://dpmzos25m8ivg.cloudfront.net/Documentos/631/02558850598/6310255885059810092023112709.jpeg")</f>
        <v>https://dpmzos25m8ivg.cloudfront.net/Documentos/631/02558850598/6310255885059810092023112709.jpeg</v>
      </c>
      <c r="G939" s="5" t="str">
        <f>HYPERLINK("https://dpmzos25m8ivg.cloudfront.net/Documentos/631/02558850598/6310255885059810092023112723.jpeg","https://dpmzos25m8ivg.cloudfront.net/Documentos/631/02558850598/6310255885059810092023112723.jpeg")</f>
        <v>https://dpmzos25m8ivg.cloudfront.net/Documentos/631/02558850598/6310255885059810092023112723.jpeg</v>
      </c>
      <c r="H939" s="4" t="s">
        <v>9524</v>
      </c>
    </row>
    <row r="940" spans="1:8" x14ac:dyDescent="0.25">
      <c r="A940" s="2" t="s">
        <v>954</v>
      </c>
      <c r="B940" s="3"/>
      <c r="C940" s="3"/>
      <c r="D940" s="3"/>
      <c r="E940" s="4" t="str">
        <f>HYPERLINK("https://dpmzos25m8ivg.cloudfront.net/Documentos/631/02560413930/6310256041393010092023172747.pdf","https://dpmzos25m8ivg.cloudfront.net/Documentos/631/02560413930/6310256041393010092023172747.pdf")</f>
        <v>https://dpmzos25m8ivg.cloudfront.net/Documentos/631/02560413930/6310256041393010092023172747.pdf</v>
      </c>
      <c r="F940" s="5" t="str">
        <f>HYPERLINK("https://dpmzos25m8ivg.cloudfront.net/Documentos/631/02560413930/6310256041393010092023172810.pdf","https://dpmzos25m8ivg.cloudfront.net/Documentos/631/02560413930/6310256041393010092023172810.pdf")</f>
        <v>https://dpmzos25m8ivg.cloudfront.net/Documentos/631/02560413930/6310256041393010092023172810.pdf</v>
      </c>
      <c r="G940" s="5" t="str">
        <f>HYPERLINK("https://dpmzos25m8ivg.cloudfront.net/Documentos/631/02560413930/6310256041393010092023172825.pdf","https://dpmzos25m8ivg.cloudfront.net/Documentos/631/02560413930/6310256041393010092023172825.pdf")</f>
        <v>https://dpmzos25m8ivg.cloudfront.net/Documentos/631/02560413930/6310256041393010092023172825.pdf</v>
      </c>
      <c r="H940" s="4" t="s">
        <v>9525</v>
      </c>
    </row>
    <row r="941" spans="1:8" x14ac:dyDescent="0.25">
      <c r="A941" s="2" t="s">
        <v>955</v>
      </c>
      <c r="B941" s="3" t="s">
        <v>308</v>
      </c>
      <c r="C941" s="3"/>
      <c r="D941" s="3"/>
      <c r="E941" s="4" t="str">
        <f>HYPERLINK("https://dpmzos25m8ivg.cloudfront.net/Documentos/631/02567767258/6310256776725811092023145413.pdf","https://dpmzos25m8ivg.cloudfront.net/Documentos/631/02567767258/6310256776725811092023145413.pdf")</f>
        <v>https://dpmzos25m8ivg.cloudfront.net/Documentos/631/02567767258/6310256776725811092023145413.pdf</v>
      </c>
      <c r="F941" s="5" t="str">
        <f>HYPERLINK("https://dpmzos25m8ivg.cloudfront.net/Documentos/631/02567767258/6310256776725811092023145428.pdf","https://dpmzos25m8ivg.cloudfront.net/Documentos/631/02567767258/6310256776725811092023145428.pdf")</f>
        <v>https://dpmzos25m8ivg.cloudfront.net/Documentos/631/02567767258/6310256776725811092023145428.pdf</v>
      </c>
      <c r="G941" s="5" t="str">
        <f>HYPERLINK("https://dpmzos25m8ivg.cloudfront.net/Documentos/631/02567767258/6310256776725811092023145444.pdf","https://dpmzos25m8ivg.cloudfront.net/Documentos/631/02567767258/6310256776725811092023145444.pdf")</f>
        <v>https://dpmzos25m8ivg.cloudfront.net/Documentos/631/02567767258/6310256776725811092023145444.pdf</v>
      </c>
      <c r="H941" s="4" t="s">
        <v>9526</v>
      </c>
    </row>
    <row r="942" spans="1:8" x14ac:dyDescent="0.25">
      <c r="A942" s="2" t="s">
        <v>956</v>
      </c>
      <c r="B942" s="3"/>
      <c r="C942" s="3"/>
      <c r="D942" s="3"/>
      <c r="E942" s="4" t="str">
        <f>HYPERLINK("https://dpmzos25m8ivg.cloudfront.net/Documentos/631/02568679174/6310256867917411092023123708.pdf","https://dpmzos25m8ivg.cloudfront.net/Documentos/631/02568679174/6310256867917411092023123708.pdf")</f>
        <v>https://dpmzos25m8ivg.cloudfront.net/Documentos/631/02568679174/6310256867917411092023123708.pdf</v>
      </c>
      <c r="F942" s="5" t="str">
        <f>HYPERLINK("https://dpmzos25m8ivg.cloudfront.net/Documentos/631/02568679174/6310256867917411092023123718.pdf","https://dpmzos25m8ivg.cloudfront.net/Documentos/631/02568679174/6310256867917411092023123718.pdf")</f>
        <v>https://dpmzos25m8ivg.cloudfront.net/Documentos/631/02568679174/6310256867917411092023123718.pdf</v>
      </c>
      <c r="G942" s="5" t="str">
        <f>HYPERLINK("https://dpmzos25m8ivg.cloudfront.net/Documentos/631/02568679174/6310256867917411092023123728.pdf","https://dpmzos25m8ivg.cloudfront.net/Documentos/631/02568679174/6310256867917411092023123728.pdf")</f>
        <v>https://dpmzos25m8ivg.cloudfront.net/Documentos/631/02568679174/6310256867917411092023123728.pdf</v>
      </c>
      <c r="H942" s="4" t="s">
        <v>9527</v>
      </c>
    </row>
    <row r="943" spans="1:8" x14ac:dyDescent="0.25">
      <c r="A943" s="2" t="s">
        <v>957</v>
      </c>
      <c r="B943" s="3"/>
      <c r="C943" s="3"/>
      <c r="D943" s="3"/>
      <c r="E943" s="4" t="str">
        <f>HYPERLINK("https://dpmzos25m8ivg.cloudfront.net/Documentos/631/02570338230/6310257033823011092023170130.pdf","https://dpmzos25m8ivg.cloudfront.net/Documentos/631/02570338230/6310257033823011092023170130.pdf")</f>
        <v>https://dpmzos25m8ivg.cloudfront.net/Documentos/631/02570338230/6310257033823011092023170130.pdf</v>
      </c>
      <c r="F943" s="5" t="str">
        <f>HYPERLINK("https://dpmzos25m8ivg.cloudfront.net/Documentos/631/02570338230/6310257033823011092023170140.pdf","https://dpmzos25m8ivg.cloudfront.net/Documentos/631/02570338230/6310257033823011092023170140.pdf")</f>
        <v>https://dpmzos25m8ivg.cloudfront.net/Documentos/631/02570338230/6310257033823011092023170140.pdf</v>
      </c>
      <c r="G943" s="5" t="str">
        <f>HYPERLINK("https://dpmzos25m8ivg.cloudfront.net/Documentos/631/02570338230/6310257033823011092023170151.pdf","https://dpmzos25m8ivg.cloudfront.net/Documentos/631/02570338230/6310257033823011092023170151.pdf")</f>
        <v>https://dpmzos25m8ivg.cloudfront.net/Documentos/631/02570338230/6310257033823011092023170151.pdf</v>
      </c>
      <c r="H943" s="4" t="s">
        <v>9528</v>
      </c>
    </row>
    <row r="944" spans="1:8" x14ac:dyDescent="0.25">
      <c r="A944" s="2" t="s">
        <v>958</v>
      </c>
      <c r="B944" s="3"/>
      <c r="C944" s="3"/>
      <c r="D944" s="3"/>
      <c r="E944" s="4" t="str">
        <f>HYPERLINK("https://dpmzos25m8ivg.cloudfront.net/Documentos/631/02570902233/6310257090223310092023122546.pdf","https://dpmzos25m8ivg.cloudfront.net/Documentos/631/02570902233/6310257090223310092023122546.pdf")</f>
        <v>https://dpmzos25m8ivg.cloudfront.net/Documentos/631/02570902233/6310257090223310092023122546.pdf</v>
      </c>
      <c r="F944" s="5" t="str">
        <f>HYPERLINK("https://dpmzos25m8ivg.cloudfront.net/Documentos/631/02570902233/6310257090223310092023122606.pdf","https://dpmzos25m8ivg.cloudfront.net/Documentos/631/02570902233/6310257090223310092023122606.pdf")</f>
        <v>https://dpmzos25m8ivg.cloudfront.net/Documentos/631/02570902233/6310257090223310092023122606.pdf</v>
      </c>
      <c r="G944" s="5" t="str">
        <f>HYPERLINK("https://dpmzos25m8ivg.cloudfront.net/Documentos/631/02570902233/6310257090223310092023122626.pdf","https://dpmzos25m8ivg.cloudfront.net/Documentos/631/02570902233/6310257090223310092023122626.pdf")</f>
        <v>https://dpmzos25m8ivg.cloudfront.net/Documentos/631/02570902233/6310257090223310092023122626.pdf</v>
      </c>
      <c r="H944" s="4" t="s">
        <v>9529</v>
      </c>
    </row>
    <row r="945" spans="1:8" x14ac:dyDescent="0.25">
      <c r="A945" s="2" t="s">
        <v>959</v>
      </c>
      <c r="B945" s="3"/>
      <c r="C945" s="3"/>
      <c r="D945" s="3"/>
      <c r="E945" s="4" t="str">
        <f>HYPERLINK("https://dpmzos25m8ivg.cloudfront.net/Documentos/631/02573861147/6310257386114711092023011247.pdf","https://dpmzos25m8ivg.cloudfront.net/Documentos/631/02573861147/6310257386114711092023011247.pdf")</f>
        <v>https://dpmzos25m8ivg.cloudfront.net/Documentos/631/02573861147/6310257386114711092023011247.pdf</v>
      </c>
      <c r="F945" s="5" t="str">
        <f>HYPERLINK("https://dpmzos25m8ivg.cloudfront.net/Documentos/631/02573861147/6310257386114711092023011324.pdf","https://dpmzos25m8ivg.cloudfront.net/Documentos/631/02573861147/6310257386114711092023011324.pdf")</f>
        <v>https://dpmzos25m8ivg.cloudfront.net/Documentos/631/02573861147/6310257386114711092023011324.pdf</v>
      </c>
      <c r="G945" s="5" t="str">
        <f>HYPERLINK("https://dpmzos25m8ivg.cloudfront.net/Documentos/631/02573861147/6310257386114711092023011338.pdf","https://dpmzos25m8ivg.cloudfront.net/Documentos/631/02573861147/6310257386114711092023011338.pdf")</f>
        <v>https://dpmzos25m8ivg.cloudfront.net/Documentos/631/02573861147/6310257386114711092023011338.pdf</v>
      </c>
      <c r="H945" s="4" t="s">
        <v>9530</v>
      </c>
    </row>
    <row r="946" spans="1:8" x14ac:dyDescent="0.25">
      <c r="A946" s="2" t="s">
        <v>960</v>
      </c>
      <c r="B946" s="3"/>
      <c r="C946" s="3"/>
      <c r="D946" s="3"/>
      <c r="E946" s="4" t="str">
        <f>HYPERLINK("https://dpmzos25m8ivg.cloudfront.net/Documentos/631/02574949285/6310257494928505092023191220.pdf","https://dpmzos25m8ivg.cloudfront.net/Documentos/631/02574949285/6310257494928505092023191220.pdf")</f>
        <v>https://dpmzos25m8ivg.cloudfront.net/Documentos/631/02574949285/6310257494928505092023191220.pdf</v>
      </c>
      <c r="F946" s="5" t="str">
        <f>HYPERLINK("https://dpmzos25m8ivg.cloudfront.net/Documentos/631/02574949285/6310257494928505092023191318.pdf","https://dpmzos25m8ivg.cloudfront.net/Documentos/631/02574949285/6310257494928505092023191318.pdf")</f>
        <v>https://dpmzos25m8ivg.cloudfront.net/Documentos/631/02574949285/6310257494928505092023191318.pdf</v>
      </c>
      <c r="G946" s="5" t="str">
        <f>HYPERLINK("https://dpmzos25m8ivg.cloudfront.net/Documentos/631/02574949285/6310257494928505092023191340.pdf","https://dpmzos25m8ivg.cloudfront.net/Documentos/631/02574949285/6310257494928505092023191340.pdf")</f>
        <v>https://dpmzos25m8ivg.cloudfront.net/Documentos/631/02574949285/6310257494928505092023191340.pdf</v>
      </c>
      <c r="H946" s="4" t="s">
        <v>9531</v>
      </c>
    </row>
    <row r="947" spans="1:8" x14ac:dyDescent="0.25">
      <c r="A947" s="2" t="s">
        <v>961</v>
      </c>
      <c r="B947" s="3"/>
      <c r="C947" s="3"/>
      <c r="D947" s="3"/>
      <c r="E947" s="4" t="str">
        <f>HYPERLINK("https://dpmzos25m8ivg.cloudfront.net/Documentos/631/02576209238/6310257620923808092023164834.pdf","https://dpmzos25m8ivg.cloudfront.net/Documentos/631/02576209238/6310257620923808092023164834.pdf")</f>
        <v>https://dpmzos25m8ivg.cloudfront.net/Documentos/631/02576209238/6310257620923808092023164834.pdf</v>
      </c>
      <c r="F947" s="5" t="str">
        <f>HYPERLINK("https://dpmzos25m8ivg.cloudfront.net/Documentos/631/02576209238/6310257620923808092023170427.pdf","https://dpmzos25m8ivg.cloudfront.net/Documentos/631/02576209238/6310257620923808092023170427.pdf")</f>
        <v>https://dpmzos25m8ivg.cloudfront.net/Documentos/631/02576209238/6310257620923808092023170427.pdf</v>
      </c>
      <c r="G947" s="5" t="str">
        <f>HYPERLINK("https://dpmzos25m8ivg.cloudfront.net/Documentos/631/02576209238/6310257620923808092023170510.pdf","https://dpmzos25m8ivg.cloudfront.net/Documentos/631/02576209238/6310257620923808092023170510.pdf")</f>
        <v>https://dpmzos25m8ivg.cloudfront.net/Documentos/631/02576209238/6310257620923808092023170510.pdf</v>
      </c>
      <c r="H947" s="4" t="s">
        <v>9532</v>
      </c>
    </row>
    <row r="948" spans="1:8" x14ac:dyDescent="0.25">
      <c r="A948" s="2" t="s">
        <v>962</v>
      </c>
      <c r="B948" s="3"/>
      <c r="C948" s="3"/>
      <c r="D948" s="3"/>
      <c r="E948" s="4" t="str">
        <f>HYPERLINK("https://dpmzos25m8ivg.cloudfront.net/Documentos/631/02577963203/6310257796320305092023175237.jpeg","https://dpmzos25m8ivg.cloudfront.net/Documentos/631/02577963203/6310257796320305092023175237.jpeg")</f>
        <v>https://dpmzos25m8ivg.cloudfront.net/Documentos/631/02577963203/6310257796320305092023175237.jpeg</v>
      </c>
      <c r="F948" s="5" t="str">
        <f>HYPERLINK("https://dpmzos25m8ivg.cloudfront.net/Documentos/631/02577963203/6310257796320305092023175247.jpeg","https://dpmzos25m8ivg.cloudfront.net/Documentos/631/02577963203/6310257796320305092023175247.jpeg")</f>
        <v>https://dpmzos25m8ivg.cloudfront.net/Documentos/631/02577963203/6310257796320305092023175247.jpeg</v>
      </c>
      <c r="G948" s="5" t="str">
        <f>HYPERLINK("https://dpmzos25m8ivg.cloudfront.net/Documentos/631/02577963203/6310257796320305092023175254.jpeg","https://dpmzos25m8ivg.cloudfront.net/Documentos/631/02577963203/6310257796320305092023175254.jpeg")</f>
        <v>https://dpmzos25m8ivg.cloudfront.net/Documentos/631/02577963203/6310257796320305092023175254.jpeg</v>
      </c>
      <c r="H948" s="4" t="s">
        <v>9533</v>
      </c>
    </row>
    <row r="949" spans="1:8" x14ac:dyDescent="0.25">
      <c r="A949" s="2" t="s">
        <v>963</v>
      </c>
      <c r="B949" s="3"/>
      <c r="C949" s="3"/>
      <c r="D949" s="3"/>
      <c r="E949" s="4" t="str">
        <f>HYPERLINK("https://dpmzos25m8ivg.cloudfront.net/Documentos/631/02577969082/6310257796908205092023194547.jpg","https://dpmzos25m8ivg.cloudfront.net/Documentos/631/02577969082/6310257796908205092023194547.jpg")</f>
        <v>https://dpmzos25m8ivg.cloudfront.net/Documentos/631/02577969082/6310257796908205092023194547.jpg</v>
      </c>
      <c r="F949" s="5" t="str">
        <f>HYPERLINK("https://dpmzos25m8ivg.cloudfront.net/Documentos/631/02577969082/6310257796908205092023194557.jpg","https://dpmzos25m8ivg.cloudfront.net/Documentos/631/02577969082/6310257796908205092023194557.jpg")</f>
        <v>https://dpmzos25m8ivg.cloudfront.net/Documentos/631/02577969082/6310257796908205092023194557.jpg</v>
      </c>
      <c r="G949" s="5" t="str">
        <f>HYPERLINK("https://dpmzos25m8ivg.cloudfront.net/Documentos/631/02577969082/6310257796908205092023194609.jpg","https://dpmzos25m8ivg.cloudfront.net/Documentos/631/02577969082/6310257796908205092023194609.jpg")</f>
        <v>https://dpmzos25m8ivg.cloudfront.net/Documentos/631/02577969082/6310257796908205092023194609.jpg</v>
      </c>
      <c r="H949" s="4" t="s">
        <v>9534</v>
      </c>
    </row>
    <row r="950" spans="1:8" x14ac:dyDescent="0.25">
      <c r="A950" s="2" t="s">
        <v>964</v>
      </c>
      <c r="B950" s="3"/>
      <c r="C950" s="3"/>
      <c r="D950" s="3"/>
      <c r="E950" s="4" t="str">
        <f>HYPERLINK("https://dpmzos25m8ivg.cloudfront.net/Documentos/631/02582202525/6310258220252511092023153916.jpg","https://dpmzos25m8ivg.cloudfront.net/Documentos/631/02582202525/6310258220252511092023153916.jpg")</f>
        <v>https://dpmzos25m8ivg.cloudfront.net/Documentos/631/02582202525/6310258220252511092023153916.jpg</v>
      </c>
      <c r="F950" s="5" t="str">
        <f>HYPERLINK("https://dpmzos25m8ivg.cloudfront.net/Documentos/631/02582202525/6310258220252511092023153929.jpg","https://dpmzos25m8ivg.cloudfront.net/Documentos/631/02582202525/6310258220252511092023153929.jpg")</f>
        <v>https://dpmzos25m8ivg.cloudfront.net/Documentos/631/02582202525/6310258220252511092023153929.jpg</v>
      </c>
      <c r="G950" s="5" t="str">
        <f>HYPERLINK("https://dpmzos25m8ivg.cloudfront.net/Documentos/631/02582202525/6310258220252511092023153941.jpg","https://dpmzos25m8ivg.cloudfront.net/Documentos/631/02582202525/6310258220252511092023153941.jpg")</f>
        <v>https://dpmzos25m8ivg.cloudfront.net/Documentos/631/02582202525/6310258220252511092023153941.jpg</v>
      </c>
      <c r="H950" s="4" t="s">
        <v>9535</v>
      </c>
    </row>
    <row r="951" spans="1:8" x14ac:dyDescent="0.25">
      <c r="A951" s="2" t="s">
        <v>965</v>
      </c>
      <c r="B951" s="3"/>
      <c r="C951" s="3"/>
      <c r="D951" s="3"/>
      <c r="E951" s="4" t="str">
        <f>HYPERLINK("https://dpmzos25m8ivg.cloudfront.net/Documentos/631/02583664271/6310258366427113092023160751.pdf","https://dpmzos25m8ivg.cloudfront.net/Documentos/631/02583664271/6310258366427113092023160751.pdf")</f>
        <v>https://dpmzos25m8ivg.cloudfront.net/Documentos/631/02583664271/6310258366427113092023160751.pdf</v>
      </c>
      <c r="F951" s="5" t="str">
        <f>HYPERLINK("https://dpmzos25m8ivg.cloudfront.net/Documentos/631/02583664271/6310258366427113092023160808.pdf","https://dpmzos25m8ivg.cloudfront.net/Documentos/631/02583664271/6310258366427113092023160808.pdf")</f>
        <v>https://dpmzos25m8ivg.cloudfront.net/Documentos/631/02583664271/6310258366427113092023160808.pdf</v>
      </c>
      <c r="G951" s="5" t="str">
        <f>HYPERLINK("https://dpmzos25m8ivg.cloudfront.net/Documentos/631/02583664271/6310258366427113092023160823.pdf","https://dpmzos25m8ivg.cloudfront.net/Documentos/631/02583664271/6310258366427113092023160823.pdf")</f>
        <v>https://dpmzos25m8ivg.cloudfront.net/Documentos/631/02583664271/6310258366427113092023160823.pdf</v>
      </c>
      <c r="H951" s="4" t="s">
        <v>9536</v>
      </c>
    </row>
    <row r="952" spans="1:8" x14ac:dyDescent="0.25">
      <c r="A952" s="2" t="s">
        <v>966</v>
      </c>
      <c r="B952" s="3" t="s">
        <v>90</v>
      </c>
      <c r="C952" s="3"/>
      <c r="D952" s="3"/>
      <c r="E952" s="4" t="str">
        <f>HYPERLINK("https://dpmzos25m8ivg.cloudfront.net/Documentos/631/02584347598/6310258434759810092023173728.pdf","https://dpmzos25m8ivg.cloudfront.net/Documentos/631/02584347598/6310258434759810092023173728.pdf")</f>
        <v>https://dpmzos25m8ivg.cloudfront.net/Documentos/631/02584347598/6310258434759810092023173728.pdf</v>
      </c>
      <c r="F952" s="5" t="str">
        <f>HYPERLINK("https://dpmzos25m8ivg.cloudfront.net/Documentos/631/02584347598/6310258434759810092023173748.pdf","https://dpmzos25m8ivg.cloudfront.net/Documentos/631/02584347598/6310258434759810092023173748.pdf")</f>
        <v>https://dpmzos25m8ivg.cloudfront.net/Documentos/631/02584347598/6310258434759810092023173748.pdf</v>
      </c>
      <c r="G952" s="5" t="str">
        <f>HYPERLINK("https://dpmzos25m8ivg.cloudfront.net/Documentos/631/02584347598/6310258434759810092023173805.pdf","https://dpmzos25m8ivg.cloudfront.net/Documentos/631/02584347598/6310258434759810092023173805.pdf")</f>
        <v>https://dpmzos25m8ivg.cloudfront.net/Documentos/631/02584347598/6310258434759810092023173805.pdf</v>
      </c>
      <c r="H952" s="4" t="s">
        <v>9537</v>
      </c>
    </row>
    <row r="953" spans="1:8" x14ac:dyDescent="0.25">
      <c r="A953" s="2" t="s">
        <v>967</v>
      </c>
      <c r="B953" s="3" t="s">
        <v>90</v>
      </c>
      <c r="C953" s="3"/>
      <c r="D953" s="3"/>
      <c r="E953" s="4" t="str">
        <f>HYPERLINK("https://dpmzos25m8ivg.cloudfront.net/Documentos/631/02585443507/6310258544350710092023003401.pdf","https://dpmzos25m8ivg.cloudfront.net/Documentos/631/02585443507/6310258544350710092023003401.pdf")</f>
        <v>https://dpmzos25m8ivg.cloudfront.net/Documentos/631/02585443507/6310258544350710092023003401.pdf</v>
      </c>
      <c r="F953" s="5" t="str">
        <f>HYPERLINK("https://dpmzos25m8ivg.cloudfront.net/Documentos/631/02585443507/6310258544350710092023003410.pdf","https://dpmzos25m8ivg.cloudfront.net/Documentos/631/02585443507/6310258544350710092023003410.pdf")</f>
        <v>https://dpmzos25m8ivg.cloudfront.net/Documentos/631/02585443507/6310258544350710092023003410.pdf</v>
      </c>
      <c r="G953" s="5" t="str">
        <f>HYPERLINK("https://dpmzos25m8ivg.cloudfront.net/Documentos/631/02585443507/6310258544350710092023003421.pdf","https://dpmzos25m8ivg.cloudfront.net/Documentos/631/02585443507/6310258544350710092023003421.pdf")</f>
        <v>https://dpmzos25m8ivg.cloudfront.net/Documentos/631/02585443507/6310258544350710092023003421.pdf</v>
      </c>
      <c r="H953" s="4" t="s">
        <v>9538</v>
      </c>
    </row>
    <row r="954" spans="1:8" x14ac:dyDescent="0.25">
      <c r="A954" s="2" t="s">
        <v>968</v>
      </c>
      <c r="B954" s="3"/>
      <c r="C954" s="3"/>
      <c r="D954" s="3"/>
      <c r="E954" s="4" t="str">
        <f>HYPERLINK("https://dpmzos25m8ivg.cloudfront.net/Documentos/631/02600665323/6310260066532311092023105557.pdf","https://dpmzos25m8ivg.cloudfront.net/Documentos/631/02600665323/6310260066532311092023105557.pdf")</f>
        <v>https://dpmzos25m8ivg.cloudfront.net/Documentos/631/02600665323/6310260066532311092023105557.pdf</v>
      </c>
      <c r="F954" s="5" t="str">
        <f>HYPERLINK("https://dpmzos25m8ivg.cloudfront.net/Documentos/631/02600665323/6310260066532311092023105917.pdf","https://dpmzos25m8ivg.cloudfront.net/Documentos/631/02600665323/6310260066532311092023105917.pdf")</f>
        <v>https://dpmzos25m8ivg.cloudfront.net/Documentos/631/02600665323/6310260066532311092023105917.pdf</v>
      </c>
      <c r="G954" s="5" t="str">
        <f>HYPERLINK("https://dpmzos25m8ivg.cloudfront.net/Documentos/631/02600665323/6310260066532311092023105946.pdf","https://dpmzos25m8ivg.cloudfront.net/Documentos/631/02600665323/6310260066532311092023105946.pdf")</f>
        <v>https://dpmzos25m8ivg.cloudfront.net/Documentos/631/02600665323/6310260066532311092023105946.pdf</v>
      </c>
      <c r="H954" s="4" t="s">
        <v>9539</v>
      </c>
    </row>
    <row r="955" spans="1:8" x14ac:dyDescent="0.25">
      <c r="A955" s="2" t="s">
        <v>969</v>
      </c>
      <c r="B955" s="3" t="s">
        <v>308</v>
      </c>
      <c r="C955" s="3"/>
      <c r="D955" s="3"/>
      <c r="E955" s="4" t="str">
        <f>HYPERLINK("https://dpmzos25m8ivg.cloudfront.net/Documentos/631/02601637242/6310260163724211092023112631.pdf","https://dpmzos25m8ivg.cloudfront.net/Documentos/631/02601637242/6310260163724211092023112631.pdf")</f>
        <v>https://dpmzos25m8ivg.cloudfront.net/Documentos/631/02601637242/6310260163724211092023112631.pdf</v>
      </c>
      <c r="F955" s="5" t="str">
        <f>HYPERLINK("https://dpmzos25m8ivg.cloudfront.net/Documentos/631/02601637242/6310260163724211092023112641.pdf","https://dpmzos25m8ivg.cloudfront.net/Documentos/631/02601637242/6310260163724211092023112641.pdf")</f>
        <v>https://dpmzos25m8ivg.cloudfront.net/Documentos/631/02601637242/6310260163724211092023112641.pdf</v>
      </c>
      <c r="G955" s="5" t="str">
        <f>HYPERLINK("https://dpmzos25m8ivg.cloudfront.net/Documentos/631/02601637242/6310260163724211092023112649.pdf","https://dpmzos25m8ivg.cloudfront.net/Documentos/631/02601637242/6310260163724211092023112649.pdf")</f>
        <v>https://dpmzos25m8ivg.cloudfront.net/Documentos/631/02601637242/6310260163724211092023112649.pdf</v>
      </c>
      <c r="H955" s="4" t="s">
        <v>9540</v>
      </c>
    </row>
    <row r="956" spans="1:8" x14ac:dyDescent="0.25">
      <c r="A956" s="2" t="s">
        <v>970</v>
      </c>
      <c r="B956" s="3"/>
      <c r="C956" s="3"/>
      <c r="D956" s="3"/>
      <c r="E956" s="4" t="str">
        <f>HYPERLINK("https://dpmzos25m8ivg.cloudfront.net/Documentos/631/02608611621/6310260861162111092023093956.pdf","https://dpmzos25m8ivg.cloudfront.net/Documentos/631/02608611621/6310260861162111092023093956.pdf")</f>
        <v>https://dpmzos25m8ivg.cloudfront.net/Documentos/631/02608611621/6310260861162111092023093956.pdf</v>
      </c>
      <c r="F956" s="5" t="str">
        <f>HYPERLINK("https://dpmzos25m8ivg.cloudfront.net/Documentos/631/02608611621/6310260861162111092023094006.pdf","https://dpmzos25m8ivg.cloudfront.net/Documentos/631/02608611621/6310260861162111092023094006.pdf")</f>
        <v>https://dpmzos25m8ivg.cloudfront.net/Documentos/631/02608611621/6310260861162111092023094006.pdf</v>
      </c>
      <c r="G956" s="5" t="str">
        <f>HYPERLINK("https://dpmzos25m8ivg.cloudfront.net/Documentos/631/02608611621/6310260861162111092023094017.pdf","https://dpmzos25m8ivg.cloudfront.net/Documentos/631/02608611621/6310260861162111092023094017.pdf")</f>
        <v>https://dpmzos25m8ivg.cloudfront.net/Documentos/631/02608611621/6310260861162111092023094017.pdf</v>
      </c>
      <c r="H956" s="4" t="s">
        <v>9541</v>
      </c>
    </row>
    <row r="957" spans="1:8" x14ac:dyDescent="0.25">
      <c r="A957" s="2" t="s">
        <v>971</v>
      </c>
      <c r="B957" s="3"/>
      <c r="C957" s="3"/>
      <c r="D957" s="3"/>
      <c r="E957" s="4" t="str">
        <f>HYPERLINK("https://dpmzos25m8ivg.cloudfront.net/Documentos/631/02609354339/6310260935433914092023150713.pdf","https://dpmzos25m8ivg.cloudfront.net/Documentos/631/02609354339/6310260935433914092023150713.pdf")</f>
        <v>https://dpmzos25m8ivg.cloudfront.net/Documentos/631/02609354339/6310260935433914092023150713.pdf</v>
      </c>
      <c r="F957" s="5" t="str">
        <f>HYPERLINK("https://dpmzos25m8ivg.cloudfront.net/Documentos/631/02609354339/6310260935433914092023150726.pdf","https://dpmzos25m8ivg.cloudfront.net/Documentos/631/02609354339/6310260935433914092023150726.pdf")</f>
        <v>https://dpmzos25m8ivg.cloudfront.net/Documentos/631/02609354339/6310260935433914092023150726.pdf</v>
      </c>
      <c r="G957" s="5" t="str">
        <f>HYPERLINK("https://dpmzos25m8ivg.cloudfront.net/Documentos/631/02609354339/6310260935433914092023150737.pdf","https://dpmzos25m8ivg.cloudfront.net/Documentos/631/02609354339/6310260935433914092023150737.pdf")</f>
        <v>https://dpmzos25m8ivg.cloudfront.net/Documentos/631/02609354339/6310260935433914092023150737.pdf</v>
      </c>
      <c r="H957" s="4" t="s">
        <v>9542</v>
      </c>
    </row>
    <row r="958" spans="1:8" x14ac:dyDescent="0.25">
      <c r="A958" s="2" t="s">
        <v>972</v>
      </c>
      <c r="B958" s="3"/>
      <c r="C958" s="3"/>
      <c r="D958" s="3"/>
      <c r="E958" s="4" t="str">
        <f>HYPERLINK("https://dpmzos25m8ivg.cloudfront.net/Documentos/631/02609828225/6310260982822511092023155349.pdf","https://dpmzos25m8ivg.cloudfront.net/Documentos/631/02609828225/6310260982822511092023155349.pdf")</f>
        <v>https://dpmzos25m8ivg.cloudfront.net/Documentos/631/02609828225/6310260982822511092023155349.pdf</v>
      </c>
      <c r="F958" s="5" t="str">
        <f>HYPERLINK("https://dpmzos25m8ivg.cloudfront.net/Documentos/631/02609828225/6310260982822511092023155400.pdf","https://dpmzos25m8ivg.cloudfront.net/Documentos/631/02609828225/6310260982822511092023155400.pdf")</f>
        <v>https://dpmzos25m8ivg.cloudfront.net/Documentos/631/02609828225/6310260982822511092023155400.pdf</v>
      </c>
      <c r="G958" s="5" t="str">
        <f>HYPERLINK("https://dpmzos25m8ivg.cloudfront.net/Documentos/631/02609828225/6310260982822511092023155412.pdf","https://dpmzos25m8ivg.cloudfront.net/Documentos/631/02609828225/6310260982822511092023155412.pdf")</f>
        <v>https://dpmzos25m8ivg.cloudfront.net/Documentos/631/02609828225/6310260982822511092023155412.pdf</v>
      </c>
      <c r="H958" s="4" t="s">
        <v>9543</v>
      </c>
    </row>
    <row r="959" spans="1:8" x14ac:dyDescent="0.25">
      <c r="A959" s="2" t="s">
        <v>973</v>
      </c>
      <c r="B959" s="3"/>
      <c r="C959" s="3"/>
      <c r="D959" s="3"/>
      <c r="E959" s="4" t="str">
        <f>HYPERLINK("https://dpmzos25m8ivg.cloudfront.net/Documentos/631/02612922938/6310261292293805092023170835.pdf","https://dpmzos25m8ivg.cloudfront.net/Documentos/631/02612922938/6310261292293805092023170835.pdf")</f>
        <v>https://dpmzos25m8ivg.cloudfront.net/Documentos/631/02612922938/6310261292293805092023170835.pdf</v>
      </c>
      <c r="F959" s="5" t="str">
        <f>HYPERLINK("https://dpmzos25m8ivg.cloudfront.net/Documentos/631/02612922938/6310261292293805092023170851.pdf","https://dpmzos25m8ivg.cloudfront.net/Documentos/631/02612922938/6310261292293805092023170851.pdf")</f>
        <v>https://dpmzos25m8ivg.cloudfront.net/Documentos/631/02612922938/6310261292293805092023170851.pdf</v>
      </c>
      <c r="G959" s="5" t="str">
        <f>HYPERLINK("https://dpmzos25m8ivg.cloudfront.net/Documentos/631/02612922938/6310261292293805092023170935.pdf","https://dpmzos25m8ivg.cloudfront.net/Documentos/631/02612922938/6310261292293805092023170935.pdf")</f>
        <v>https://dpmzos25m8ivg.cloudfront.net/Documentos/631/02612922938/6310261292293805092023170935.pdf</v>
      </c>
      <c r="H959" s="4" t="s">
        <v>9544</v>
      </c>
    </row>
    <row r="960" spans="1:8" x14ac:dyDescent="0.25">
      <c r="A960" s="2" t="s">
        <v>974</v>
      </c>
      <c r="B960" s="3"/>
      <c r="C960" s="3"/>
      <c r="D960" s="3"/>
      <c r="E960" s="4" t="str">
        <f>HYPERLINK("https://dpmzos25m8ivg.cloudfront.net/Documentos/631/02613398779/6310261339877905092023221604.pdf","https://dpmzos25m8ivg.cloudfront.net/Documentos/631/02613398779/6310261339877905092023221604.pdf")</f>
        <v>https://dpmzos25m8ivg.cloudfront.net/Documentos/631/02613398779/6310261339877905092023221604.pdf</v>
      </c>
      <c r="F960" s="5" t="str">
        <f>HYPERLINK("https://dpmzos25m8ivg.cloudfront.net/Documentos/631/02613398779/6310261339877905092023221631.pdf","https://dpmzos25m8ivg.cloudfront.net/Documentos/631/02613398779/6310261339877905092023221631.pdf")</f>
        <v>https://dpmzos25m8ivg.cloudfront.net/Documentos/631/02613398779/6310261339877905092023221631.pdf</v>
      </c>
      <c r="G960" s="5" t="str">
        <f>HYPERLINK("https://dpmzos25m8ivg.cloudfront.net/Documentos/631/02613398779/6310261339877905092023221652.pdf","https://dpmzos25m8ivg.cloudfront.net/Documentos/631/02613398779/6310261339877905092023221652.pdf")</f>
        <v>https://dpmzos25m8ivg.cloudfront.net/Documentos/631/02613398779/6310261339877905092023221652.pdf</v>
      </c>
      <c r="H960" s="4" t="s">
        <v>9545</v>
      </c>
    </row>
    <row r="961" spans="1:8" x14ac:dyDescent="0.25">
      <c r="A961" s="2" t="s">
        <v>975</v>
      </c>
      <c r="B961" s="3"/>
      <c r="C961" s="3"/>
      <c r="D961" s="3"/>
      <c r="E961" s="4" t="str">
        <f>HYPERLINK("https://dpmzos25m8ivg.cloudfront.net/Documentos/631/02615570170/6310261557017008092023200841.jpg","https://dpmzos25m8ivg.cloudfront.net/Documentos/631/02615570170/6310261557017008092023200841.jpg")</f>
        <v>https://dpmzos25m8ivg.cloudfront.net/Documentos/631/02615570170/6310261557017008092023200841.jpg</v>
      </c>
      <c r="F961" s="5" t="str">
        <f>HYPERLINK("https://dpmzos25m8ivg.cloudfront.net/Documentos/631/02615570170/6310261557017008092023200900.jpg","https://dpmzos25m8ivg.cloudfront.net/Documentos/631/02615570170/6310261557017008092023200900.jpg")</f>
        <v>https://dpmzos25m8ivg.cloudfront.net/Documentos/631/02615570170/6310261557017008092023200900.jpg</v>
      </c>
      <c r="G961" s="5" t="str">
        <f>HYPERLINK("https://dpmzos25m8ivg.cloudfront.net/Documentos/631/02615570170/6310261557017008092023200913.jpg","https://dpmzos25m8ivg.cloudfront.net/Documentos/631/02615570170/6310261557017008092023200913.jpg")</f>
        <v>https://dpmzos25m8ivg.cloudfront.net/Documentos/631/02615570170/6310261557017008092023200913.jpg</v>
      </c>
      <c r="H961" s="4" t="s">
        <v>9546</v>
      </c>
    </row>
    <row r="962" spans="1:8" x14ac:dyDescent="0.25">
      <c r="A962" s="2" t="s">
        <v>976</v>
      </c>
      <c r="B962" s="3"/>
      <c r="C962" s="3"/>
      <c r="D962" s="3"/>
      <c r="E962" s="4" t="str">
        <f>HYPERLINK("https://dpmzos25m8ivg.cloudfront.net/Documentos/631/02617939260/6310261793926008092023011746.jpg","https://dpmzos25m8ivg.cloudfront.net/Documentos/631/02617939260/6310261793926008092023011746.jpg")</f>
        <v>https://dpmzos25m8ivg.cloudfront.net/Documentos/631/02617939260/6310261793926008092023011746.jpg</v>
      </c>
      <c r="F962" s="5" t="str">
        <f>HYPERLINK("https://dpmzos25m8ivg.cloudfront.net/Documentos/631/02617939260/6310261793926008092023011833.jpg","https://dpmzos25m8ivg.cloudfront.net/Documentos/631/02617939260/6310261793926008092023011833.jpg")</f>
        <v>https://dpmzos25m8ivg.cloudfront.net/Documentos/631/02617939260/6310261793926008092023011833.jpg</v>
      </c>
      <c r="G962" s="5" t="str">
        <f>HYPERLINK("https://dpmzos25m8ivg.cloudfront.net/Documentos/631/02617939260/6310261793926008092023011847.jpg","https://dpmzos25m8ivg.cloudfront.net/Documentos/631/02617939260/6310261793926008092023011847.jpg")</f>
        <v>https://dpmzos25m8ivg.cloudfront.net/Documentos/631/02617939260/6310261793926008092023011847.jpg</v>
      </c>
      <c r="H962" s="4" t="s">
        <v>9547</v>
      </c>
    </row>
    <row r="963" spans="1:8" x14ac:dyDescent="0.25">
      <c r="A963" s="2" t="s">
        <v>977</v>
      </c>
      <c r="B963" s="3"/>
      <c r="C963" s="3"/>
      <c r="D963" s="3"/>
      <c r="E963" s="4" t="str">
        <f>HYPERLINK("https://dpmzos25m8ivg.cloudfront.net/Documentos/631/02619906326/6310261990632611092023094807.pdf","https://dpmzos25m8ivg.cloudfront.net/Documentos/631/02619906326/6310261990632611092023094807.pdf")</f>
        <v>https://dpmzos25m8ivg.cloudfront.net/Documentos/631/02619906326/6310261990632611092023094807.pdf</v>
      </c>
      <c r="F963" s="5" t="str">
        <f>HYPERLINK("https://dpmzos25m8ivg.cloudfront.net/Documentos/631/02619906326/6310261990632611092023094817.pdf","https://dpmzos25m8ivg.cloudfront.net/Documentos/631/02619906326/6310261990632611092023094817.pdf")</f>
        <v>https://dpmzos25m8ivg.cloudfront.net/Documentos/631/02619906326/6310261990632611092023094817.pdf</v>
      </c>
      <c r="G963" s="5" t="str">
        <f>HYPERLINK("https://dpmzos25m8ivg.cloudfront.net/Documentos/631/02619906326/6310261990632611092023094828.pdf","https://dpmzos25m8ivg.cloudfront.net/Documentos/631/02619906326/6310261990632611092023094828.pdf")</f>
        <v>https://dpmzos25m8ivg.cloudfront.net/Documentos/631/02619906326/6310261990632611092023094828.pdf</v>
      </c>
      <c r="H963" s="4" t="s">
        <v>9548</v>
      </c>
    </row>
    <row r="964" spans="1:8" x14ac:dyDescent="0.25">
      <c r="A964" s="2" t="s">
        <v>978</v>
      </c>
      <c r="B964" s="3" t="s">
        <v>90</v>
      </c>
      <c r="C964" s="3"/>
      <c r="D964" s="3"/>
      <c r="E964" s="4" t="str">
        <f>HYPERLINK("https://dpmzos25m8ivg.cloudfront.net/Documentos/631/02620114250/6310262011425010092023100036.jpeg","https://dpmzos25m8ivg.cloudfront.net/Documentos/631/02620114250/6310262011425010092023100036.jpeg")</f>
        <v>https://dpmzos25m8ivg.cloudfront.net/Documentos/631/02620114250/6310262011425010092023100036.jpeg</v>
      </c>
      <c r="F964" s="5" t="str">
        <f>HYPERLINK("https://dpmzos25m8ivg.cloudfront.net/Documentos/631/02620114250/6310262011425010092023213133.jpeg","https://dpmzos25m8ivg.cloudfront.net/Documentos/631/02620114250/6310262011425010092023213133.jpeg")</f>
        <v>https://dpmzos25m8ivg.cloudfront.net/Documentos/631/02620114250/6310262011425010092023213133.jpeg</v>
      </c>
      <c r="G964" s="5" t="str">
        <f>HYPERLINK("https://dpmzos25m8ivg.cloudfront.net/Documentos/631/02620114250/6310262011425010092023213219.jpeg","https://dpmzos25m8ivg.cloudfront.net/Documentos/631/02620114250/6310262011425010092023213219.jpeg")</f>
        <v>https://dpmzos25m8ivg.cloudfront.net/Documentos/631/02620114250/6310262011425010092023213219.jpeg</v>
      </c>
      <c r="H964" s="4" t="s">
        <v>9549</v>
      </c>
    </row>
    <row r="965" spans="1:8" x14ac:dyDescent="0.25">
      <c r="A965" s="2" t="s">
        <v>979</v>
      </c>
      <c r="B965" s="3"/>
      <c r="C965" s="3"/>
      <c r="D965" s="3"/>
      <c r="E965" s="4" t="str">
        <f>HYPERLINK("https://dpmzos25m8ivg.cloudfront.net/Documentos/631/02620319730/6310262031973009092023165007.pdf","https://dpmzos25m8ivg.cloudfront.net/Documentos/631/02620319730/6310262031973009092023165007.pdf")</f>
        <v>https://dpmzos25m8ivg.cloudfront.net/Documentos/631/02620319730/6310262031973009092023165007.pdf</v>
      </c>
      <c r="F965" s="5" t="str">
        <f>HYPERLINK("https://dpmzos25m8ivg.cloudfront.net/Documentos/631/02620319730/6310262031973009092023165103.pdf","https://dpmzos25m8ivg.cloudfront.net/Documentos/631/02620319730/6310262031973009092023165103.pdf")</f>
        <v>https://dpmzos25m8ivg.cloudfront.net/Documentos/631/02620319730/6310262031973009092023165103.pdf</v>
      </c>
      <c r="G965" s="5" t="str">
        <f>HYPERLINK("https://dpmzos25m8ivg.cloudfront.net/Documentos/631/02620319730/6310262031973009092023165229.pdf","https://dpmzos25m8ivg.cloudfront.net/Documentos/631/02620319730/6310262031973009092023165229.pdf")</f>
        <v>https://dpmzos25m8ivg.cloudfront.net/Documentos/631/02620319730/6310262031973009092023165229.pdf</v>
      </c>
      <c r="H965" s="4" t="s">
        <v>9550</v>
      </c>
    </row>
    <row r="966" spans="1:8" x14ac:dyDescent="0.25">
      <c r="A966" s="2" t="s">
        <v>980</v>
      </c>
      <c r="B966" s="3"/>
      <c r="C966" s="3"/>
      <c r="D966" s="3"/>
      <c r="E966" s="4" t="str">
        <f>HYPERLINK("https://dpmzos25m8ivg.cloudfront.net/Documentos/631/02621997260/6310262199726011092023150028.pdf","https://dpmzos25m8ivg.cloudfront.net/Documentos/631/02621997260/6310262199726011092023150028.pdf")</f>
        <v>https://dpmzos25m8ivg.cloudfront.net/Documentos/631/02621997260/6310262199726011092023150028.pdf</v>
      </c>
      <c r="F966" s="5" t="str">
        <f>HYPERLINK("https://dpmzos25m8ivg.cloudfront.net/Documentos/631/02621997260/6310262199726011092023150043.pdf","https://dpmzos25m8ivg.cloudfront.net/Documentos/631/02621997260/6310262199726011092023150043.pdf")</f>
        <v>https://dpmzos25m8ivg.cloudfront.net/Documentos/631/02621997260/6310262199726011092023150043.pdf</v>
      </c>
      <c r="G966" s="5" t="str">
        <f>HYPERLINK("https://dpmzos25m8ivg.cloudfront.net/Documentos/631/02621997260/6310262199726011092023150051.pdf","https://dpmzos25m8ivg.cloudfront.net/Documentos/631/02621997260/6310262199726011092023150051.pdf")</f>
        <v>https://dpmzos25m8ivg.cloudfront.net/Documentos/631/02621997260/6310262199726011092023150051.pdf</v>
      </c>
      <c r="H966" s="4" t="s">
        <v>9551</v>
      </c>
    </row>
    <row r="967" spans="1:8" x14ac:dyDescent="0.25">
      <c r="A967" s="2" t="s">
        <v>981</v>
      </c>
      <c r="B967" s="3"/>
      <c r="C967" s="3"/>
      <c r="D967" s="3"/>
      <c r="E967" s="4" t="str">
        <f>HYPERLINK("https://dpmzos25m8ivg.cloudfront.net/Documentos/631/02622200161/6310262220016105092023103916.pdf","https://dpmzos25m8ivg.cloudfront.net/Documentos/631/02622200161/6310262220016105092023103916.pdf")</f>
        <v>https://dpmzos25m8ivg.cloudfront.net/Documentos/631/02622200161/6310262220016105092023103916.pdf</v>
      </c>
      <c r="F967" s="5" t="str">
        <f>HYPERLINK("https://dpmzos25m8ivg.cloudfront.net/Documentos/631/02622200161/6310262220016105092023103928.pdf","https://dpmzos25m8ivg.cloudfront.net/Documentos/631/02622200161/6310262220016105092023103928.pdf")</f>
        <v>https://dpmzos25m8ivg.cloudfront.net/Documentos/631/02622200161/6310262220016105092023103928.pdf</v>
      </c>
      <c r="G967" s="5" t="str">
        <f>HYPERLINK("https://dpmzos25m8ivg.cloudfront.net/Documentos/631/02622200161/6310262220016105092023110455.jpg","https://dpmzos25m8ivg.cloudfront.net/Documentos/631/02622200161/6310262220016105092023110455.jpg")</f>
        <v>https://dpmzos25m8ivg.cloudfront.net/Documentos/631/02622200161/6310262220016105092023110455.jpg</v>
      </c>
      <c r="H967" s="4" t="s">
        <v>9552</v>
      </c>
    </row>
    <row r="968" spans="1:8" x14ac:dyDescent="0.25">
      <c r="A968" s="2" t="s">
        <v>982</v>
      </c>
      <c r="B968" s="3"/>
      <c r="C968" s="3"/>
      <c r="D968" s="3"/>
      <c r="E968" s="4" t="str">
        <f>HYPERLINK("https://dpmzos25m8ivg.cloudfront.net/Documentos/631/02624377247/6310262437724706092023150426.pdf","https://dpmzos25m8ivg.cloudfront.net/Documentos/631/02624377247/6310262437724706092023150426.pdf")</f>
        <v>https://dpmzos25m8ivg.cloudfront.net/Documentos/631/02624377247/6310262437724706092023150426.pdf</v>
      </c>
      <c r="F968" s="5" t="str">
        <f>HYPERLINK("https://dpmzos25m8ivg.cloudfront.net/Documentos/631/02624377247/6310262437724706092023150440.pdf","https://dpmzos25m8ivg.cloudfront.net/Documentos/631/02624377247/6310262437724706092023150440.pdf")</f>
        <v>https://dpmzos25m8ivg.cloudfront.net/Documentos/631/02624377247/6310262437724706092023150440.pdf</v>
      </c>
      <c r="G968" s="5" t="str">
        <f>HYPERLINK("https://dpmzos25m8ivg.cloudfront.net/Documentos/631/02624377247/6310262437724706092023150451.pdf","https://dpmzos25m8ivg.cloudfront.net/Documentos/631/02624377247/6310262437724706092023150451.pdf")</f>
        <v>https://dpmzos25m8ivg.cloudfront.net/Documentos/631/02624377247/6310262437724706092023150451.pdf</v>
      </c>
      <c r="H968" s="4" t="s">
        <v>9553</v>
      </c>
    </row>
    <row r="969" spans="1:8" x14ac:dyDescent="0.25">
      <c r="A969" s="2" t="s">
        <v>983</v>
      </c>
      <c r="B969" s="3"/>
      <c r="C969" s="3"/>
      <c r="D969" s="3"/>
      <c r="E969" s="4" t="str">
        <f>HYPERLINK("https://dpmzos25m8ivg.cloudfront.net/Documentos/631/02628412586/6310262841258605092023125645.pdf","https://dpmzos25m8ivg.cloudfront.net/Documentos/631/02628412586/6310262841258605092023125645.pdf")</f>
        <v>https://dpmzos25m8ivg.cloudfront.net/Documentos/631/02628412586/6310262841258605092023125645.pdf</v>
      </c>
      <c r="F969" s="5" t="str">
        <f>HYPERLINK("https://dpmzos25m8ivg.cloudfront.net/Documentos/631/02628412586/6310262841258605092023125659.pdf","https://dpmzos25m8ivg.cloudfront.net/Documentos/631/02628412586/6310262841258605092023125659.pdf")</f>
        <v>https://dpmzos25m8ivg.cloudfront.net/Documentos/631/02628412586/6310262841258605092023125659.pdf</v>
      </c>
      <c r="G969" s="5" t="str">
        <f>HYPERLINK("https://dpmzos25m8ivg.cloudfront.net/Documentos/631/02628412586/6310262841258605092023125717.pdf","https://dpmzos25m8ivg.cloudfront.net/Documentos/631/02628412586/6310262841258605092023125717.pdf")</f>
        <v>https://dpmzos25m8ivg.cloudfront.net/Documentos/631/02628412586/6310262841258605092023125717.pdf</v>
      </c>
      <c r="H969" s="4" t="s">
        <v>9554</v>
      </c>
    </row>
    <row r="970" spans="1:8" x14ac:dyDescent="0.25">
      <c r="A970" s="2" t="s">
        <v>984</v>
      </c>
      <c r="B970" s="3"/>
      <c r="C970" s="3"/>
      <c r="D970" s="3"/>
      <c r="E970" s="4" t="str">
        <f>HYPERLINK("https://dpmzos25m8ivg.cloudfront.net/Documentos/631/02629007260/6310262900726005092023112019.pdf","https://dpmzos25m8ivg.cloudfront.net/Documentos/631/02629007260/6310262900726005092023112019.pdf")</f>
        <v>https://dpmzos25m8ivg.cloudfront.net/Documentos/631/02629007260/6310262900726005092023112019.pdf</v>
      </c>
      <c r="F970" s="5" t="str">
        <f>HYPERLINK("https://dpmzos25m8ivg.cloudfront.net/Documentos/631/02629007260/6310262900726005092023112035.pdf","https://dpmzos25m8ivg.cloudfront.net/Documentos/631/02629007260/6310262900726005092023112035.pdf")</f>
        <v>https://dpmzos25m8ivg.cloudfront.net/Documentos/631/02629007260/6310262900726005092023112035.pdf</v>
      </c>
      <c r="G970" s="5" t="str">
        <f>HYPERLINK("https://dpmzos25m8ivg.cloudfront.net/Documentos/631/02629007260/6310262900726005092023115815.pdf","https://dpmzos25m8ivg.cloudfront.net/Documentos/631/02629007260/6310262900726005092023115815.pdf")</f>
        <v>https://dpmzos25m8ivg.cloudfront.net/Documentos/631/02629007260/6310262900726005092023115815.pdf</v>
      </c>
      <c r="H970" s="4" t="s">
        <v>9555</v>
      </c>
    </row>
    <row r="971" spans="1:8" x14ac:dyDescent="0.25">
      <c r="A971" s="2" t="s">
        <v>985</v>
      </c>
      <c r="B971" s="3"/>
      <c r="C971" s="3"/>
      <c r="D971" s="3"/>
      <c r="E971" s="4" t="str">
        <f>HYPERLINK("https://dpmzos25m8ivg.cloudfront.net/Documentos/631/02629745503/6310262974550311092023100651.jpg","https://dpmzos25m8ivg.cloudfront.net/Documentos/631/02629745503/6310262974550311092023100651.jpg")</f>
        <v>https://dpmzos25m8ivg.cloudfront.net/Documentos/631/02629745503/6310262974550311092023100651.jpg</v>
      </c>
      <c r="F971" s="5" t="str">
        <f>HYPERLINK("https://dpmzos25m8ivg.cloudfront.net/Documentos/631/02629745503/6310262974550311092023100714.jpg","https://dpmzos25m8ivg.cloudfront.net/Documentos/631/02629745503/6310262974550311092023100714.jpg")</f>
        <v>https://dpmzos25m8ivg.cloudfront.net/Documentos/631/02629745503/6310262974550311092023100714.jpg</v>
      </c>
      <c r="G971" s="5" t="str">
        <f>HYPERLINK("https://dpmzos25m8ivg.cloudfront.net/Documentos/631/02629745503/6310262974550311092023100737.jpg","https://dpmzos25m8ivg.cloudfront.net/Documentos/631/02629745503/6310262974550311092023100737.jpg")</f>
        <v>https://dpmzos25m8ivg.cloudfront.net/Documentos/631/02629745503/6310262974550311092023100737.jpg</v>
      </c>
      <c r="H971" s="4" t="s">
        <v>9556</v>
      </c>
    </row>
    <row r="972" spans="1:8" x14ac:dyDescent="0.25">
      <c r="A972" s="2" t="s">
        <v>986</v>
      </c>
      <c r="B972" s="3"/>
      <c r="C972" s="3"/>
      <c r="D972" s="3"/>
      <c r="E972" s="4" t="str">
        <f>HYPERLINK("https://dpmzos25m8ivg.cloudfront.net/Documentos/631/02630385132/6310263038513211092023092656.pdf","https://dpmzos25m8ivg.cloudfront.net/Documentos/631/02630385132/6310263038513211092023092656.pdf")</f>
        <v>https://dpmzos25m8ivg.cloudfront.net/Documentos/631/02630385132/6310263038513211092023092656.pdf</v>
      </c>
      <c r="F972" s="5" t="str">
        <f>HYPERLINK("https://dpmzos25m8ivg.cloudfront.net/Documentos/631/02630385132/6310263038513211092023092706.pdf","https://dpmzos25m8ivg.cloudfront.net/Documentos/631/02630385132/6310263038513211092023092706.pdf")</f>
        <v>https://dpmzos25m8ivg.cloudfront.net/Documentos/631/02630385132/6310263038513211092023092706.pdf</v>
      </c>
      <c r="G972" s="5" t="str">
        <f>HYPERLINK("https://dpmzos25m8ivg.cloudfront.net/Documentos/631/02630385132/6310263038513211092023092717.pdf","https://dpmzos25m8ivg.cloudfront.net/Documentos/631/02630385132/6310263038513211092023092717.pdf")</f>
        <v>https://dpmzos25m8ivg.cloudfront.net/Documentos/631/02630385132/6310263038513211092023092717.pdf</v>
      </c>
      <c r="H972" s="4" t="s">
        <v>9557</v>
      </c>
    </row>
    <row r="973" spans="1:8" x14ac:dyDescent="0.25">
      <c r="A973" s="2" t="s">
        <v>987</v>
      </c>
      <c r="B973" s="3" t="s">
        <v>312</v>
      </c>
      <c r="C973" s="3"/>
      <c r="D973" s="3"/>
      <c r="E973" s="4" t="str">
        <f>HYPERLINK("https://dpmzos25m8ivg.cloudfront.net/Documentos/631/02630589560/6310263058956010092023093523.jpg","https://dpmzos25m8ivg.cloudfront.net/Documentos/631/02630589560/6310263058956010092023093523.jpg")</f>
        <v>https://dpmzos25m8ivg.cloudfront.net/Documentos/631/02630589560/6310263058956010092023093523.jpg</v>
      </c>
      <c r="F973" s="5" t="str">
        <f>HYPERLINK("https://dpmzos25m8ivg.cloudfront.net/Documentos/631/02630589560/6310263058956010092023093544.jpg","https://dpmzos25m8ivg.cloudfront.net/Documentos/631/02630589560/6310263058956010092023093544.jpg")</f>
        <v>https://dpmzos25m8ivg.cloudfront.net/Documentos/631/02630589560/6310263058956010092023093544.jpg</v>
      </c>
      <c r="G973" s="5" t="str">
        <f>HYPERLINK("https://dpmzos25m8ivg.cloudfront.net/Documentos/631/02630589560/6310263058956010092023093605.jpg","https://dpmzos25m8ivg.cloudfront.net/Documentos/631/02630589560/6310263058956010092023093605.jpg")</f>
        <v>https://dpmzos25m8ivg.cloudfront.net/Documentos/631/02630589560/6310263058956010092023093605.jpg</v>
      </c>
      <c r="H973" s="4" t="s">
        <v>9558</v>
      </c>
    </row>
    <row r="974" spans="1:8" x14ac:dyDescent="0.25">
      <c r="A974" s="2" t="s">
        <v>988</v>
      </c>
      <c r="B974" s="3"/>
      <c r="C974" s="3"/>
      <c r="D974" s="3"/>
      <c r="E974" s="4" t="str">
        <f>HYPERLINK("https://dpmzos25m8ivg.cloudfront.net/Documentos/631/02630875571/6310263087557111092023093634.jpg","https://dpmzos25m8ivg.cloudfront.net/Documentos/631/02630875571/6310263087557111092023093634.jpg")</f>
        <v>https://dpmzos25m8ivg.cloudfront.net/Documentos/631/02630875571/6310263087557111092023093634.jpg</v>
      </c>
      <c r="F974" s="5" t="str">
        <f>HYPERLINK("https://dpmzos25m8ivg.cloudfront.net/Documentos/631/02630875571/6310263087557111092023093649.jpg","https://dpmzos25m8ivg.cloudfront.net/Documentos/631/02630875571/6310263087557111092023093649.jpg")</f>
        <v>https://dpmzos25m8ivg.cloudfront.net/Documentos/631/02630875571/6310263087557111092023093649.jpg</v>
      </c>
      <c r="G974" s="5" t="str">
        <f>HYPERLINK("https://dpmzos25m8ivg.cloudfront.net/Documentos/631/02630875571/6310263087557111092023093705.jpg","https://dpmzos25m8ivg.cloudfront.net/Documentos/631/02630875571/6310263087557111092023093705.jpg")</f>
        <v>https://dpmzos25m8ivg.cloudfront.net/Documentos/631/02630875571/6310263087557111092023093705.jpg</v>
      </c>
      <c r="H974" s="4" t="s">
        <v>9559</v>
      </c>
    </row>
    <row r="975" spans="1:8" x14ac:dyDescent="0.25">
      <c r="A975" s="2" t="s">
        <v>989</v>
      </c>
      <c r="B975" s="3"/>
      <c r="C975" s="3"/>
      <c r="D975" s="3"/>
      <c r="E975" s="4" t="str">
        <f>HYPERLINK("https://dpmzos25m8ivg.cloudfront.net/Documentos/631/02638928240/6310263892824010092023183759.pdf","https://dpmzos25m8ivg.cloudfront.net/Documentos/631/02638928240/6310263892824010092023183759.pdf")</f>
        <v>https://dpmzos25m8ivg.cloudfront.net/Documentos/631/02638928240/6310263892824010092023183759.pdf</v>
      </c>
      <c r="F975" s="5" t="str">
        <f>HYPERLINK("https://dpmzos25m8ivg.cloudfront.net/Documentos/631/02638928240/6310263892824010092023183827.pdf","https://dpmzos25m8ivg.cloudfront.net/Documentos/631/02638928240/6310263892824010092023183827.pdf")</f>
        <v>https://dpmzos25m8ivg.cloudfront.net/Documentos/631/02638928240/6310263892824010092023183827.pdf</v>
      </c>
      <c r="G975" s="5" t="str">
        <f>HYPERLINK("https://dpmzos25m8ivg.cloudfront.net/Documentos/631/02638928240/6310263892824010092023183842.pdf","https://dpmzos25m8ivg.cloudfront.net/Documentos/631/02638928240/6310263892824010092023183842.pdf")</f>
        <v>https://dpmzos25m8ivg.cloudfront.net/Documentos/631/02638928240/6310263892824010092023183842.pdf</v>
      </c>
      <c r="H975" s="4" t="s">
        <v>9560</v>
      </c>
    </row>
    <row r="976" spans="1:8" x14ac:dyDescent="0.25">
      <c r="A976" s="2" t="s">
        <v>990</v>
      </c>
      <c r="B976" s="3"/>
      <c r="C976" s="3"/>
      <c r="D976" s="3"/>
      <c r="E976" s="4" t="str">
        <f>HYPERLINK("https://dpmzos25m8ivg.cloudfront.net/Documentos/631/02639125311/6310263912531109092023183336.pdf","https://dpmzos25m8ivg.cloudfront.net/Documentos/631/02639125311/6310263912531109092023183336.pdf")</f>
        <v>https://dpmzos25m8ivg.cloudfront.net/Documentos/631/02639125311/6310263912531109092023183336.pdf</v>
      </c>
      <c r="F976" s="5" t="str">
        <f>HYPERLINK("https://dpmzos25m8ivg.cloudfront.net/Documentos/631/02639125311/6310263912531109092023183347.pdf","https://dpmzos25m8ivg.cloudfront.net/Documentos/631/02639125311/6310263912531109092023183347.pdf")</f>
        <v>https://dpmzos25m8ivg.cloudfront.net/Documentos/631/02639125311/6310263912531109092023183347.pdf</v>
      </c>
      <c r="G976" s="5" t="str">
        <f>HYPERLINK("https://dpmzos25m8ivg.cloudfront.net/Documentos/631/02639125311/6310263912531109092023183355.pdf","https://dpmzos25m8ivg.cloudfront.net/Documentos/631/02639125311/6310263912531109092023183355.pdf")</f>
        <v>https://dpmzos25m8ivg.cloudfront.net/Documentos/631/02639125311/6310263912531109092023183355.pdf</v>
      </c>
      <c r="H976" s="4" t="s">
        <v>9561</v>
      </c>
    </row>
    <row r="977" spans="1:8" x14ac:dyDescent="0.25">
      <c r="A977" s="2" t="s">
        <v>991</v>
      </c>
      <c r="B977" s="3"/>
      <c r="C977" s="3"/>
      <c r="D977" s="3"/>
      <c r="E977" s="4" t="str">
        <f>HYPERLINK("https://dpmzos25m8ivg.cloudfront.net/Documentos/631/02640866192/6310264086619207092023114137.jpeg","https://dpmzos25m8ivg.cloudfront.net/Documentos/631/02640866192/6310264086619207092023114137.jpeg")</f>
        <v>https://dpmzos25m8ivg.cloudfront.net/Documentos/631/02640866192/6310264086619207092023114137.jpeg</v>
      </c>
      <c r="F977" s="5" t="str">
        <f>HYPERLINK("https://dpmzos25m8ivg.cloudfront.net/Documentos/631/02640866192/6310264086619207092023114149.jpeg","https://dpmzos25m8ivg.cloudfront.net/Documentos/631/02640866192/6310264086619207092023114149.jpeg")</f>
        <v>https://dpmzos25m8ivg.cloudfront.net/Documentos/631/02640866192/6310264086619207092023114149.jpeg</v>
      </c>
      <c r="G977" s="5" t="str">
        <f>HYPERLINK("https://dpmzos25m8ivg.cloudfront.net/Documentos/631/02640866192/6310264086619207092023114208.jpeg","https://dpmzos25m8ivg.cloudfront.net/Documentos/631/02640866192/6310264086619207092023114208.jpeg")</f>
        <v>https://dpmzos25m8ivg.cloudfront.net/Documentos/631/02640866192/6310264086619207092023114208.jpeg</v>
      </c>
      <c r="H977" s="4" t="s">
        <v>9562</v>
      </c>
    </row>
    <row r="978" spans="1:8" x14ac:dyDescent="0.25">
      <c r="A978" s="2" t="s">
        <v>992</v>
      </c>
      <c r="B978" s="3"/>
      <c r="C978" s="3"/>
      <c r="D978" s="3"/>
      <c r="E978" s="4" t="str">
        <f>HYPERLINK("https://dpmzos25m8ivg.cloudfront.net/Documentos/631/02646648502/6310264664850205092023191644.pdf","https://dpmzos25m8ivg.cloudfront.net/Documentos/631/02646648502/6310264664850205092023191644.pdf")</f>
        <v>https://dpmzos25m8ivg.cloudfront.net/Documentos/631/02646648502/6310264664850205092023191644.pdf</v>
      </c>
      <c r="F978" s="5" t="str">
        <f>HYPERLINK("https://dpmzos25m8ivg.cloudfront.net/Documentos/631/02646648502/6310264664850205092023191652.pdf","https://dpmzos25m8ivg.cloudfront.net/Documentos/631/02646648502/6310264664850205092023191652.pdf")</f>
        <v>https://dpmzos25m8ivg.cloudfront.net/Documentos/631/02646648502/6310264664850205092023191652.pdf</v>
      </c>
      <c r="G978" s="5" t="str">
        <f>HYPERLINK("https://dpmzos25m8ivg.cloudfront.net/Documentos/631/02646648502/6310264664850205092023191701.pdf","https://dpmzos25m8ivg.cloudfront.net/Documentos/631/02646648502/6310264664850205092023191701.pdf")</f>
        <v>https://dpmzos25m8ivg.cloudfront.net/Documentos/631/02646648502/6310264664850205092023191701.pdf</v>
      </c>
      <c r="H978" s="4" t="s">
        <v>9563</v>
      </c>
    </row>
    <row r="979" spans="1:8" x14ac:dyDescent="0.25">
      <c r="A979" s="2" t="s">
        <v>993</v>
      </c>
      <c r="B979" s="3" t="s">
        <v>312</v>
      </c>
      <c r="C979" s="3"/>
      <c r="D979" s="3"/>
      <c r="E979" s="4" t="str">
        <f>HYPERLINK("https://dpmzos25m8ivg.cloudfront.net/Documentos/631/02647291101/6310264729110111092023085945.pdf","https://dpmzos25m8ivg.cloudfront.net/Documentos/631/02647291101/6310264729110111092023085945.pdf")</f>
        <v>https://dpmzos25m8ivg.cloudfront.net/Documentos/631/02647291101/6310264729110111092023085945.pdf</v>
      </c>
      <c r="F979" s="5" t="str">
        <f>HYPERLINK("https://dpmzos25m8ivg.cloudfront.net/Documentos/631/02647291101/6310264729110111092023090025.pdf","https://dpmzos25m8ivg.cloudfront.net/Documentos/631/02647291101/6310264729110111092023090025.pdf")</f>
        <v>https://dpmzos25m8ivg.cloudfront.net/Documentos/631/02647291101/6310264729110111092023090025.pdf</v>
      </c>
      <c r="G979" s="5" t="str">
        <f>HYPERLINK("https://dpmzos25m8ivg.cloudfront.net/Documentos/631/02647291101/6310264729110111092023090039.pdf","https://dpmzos25m8ivg.cloudfront.net/Documentos/631/02647291101/6310264729110111092023090039.pdf")</f>
        <v>https://dpmzos25m8ivg.cloudfront.net/Documentos/631/02647291101/6310264729110111092023090039.pdf</v>
      </c>
      <c r="H979" s="4" t="s">
        <v>9564</v>
      </c>
    </row>
    <row r="980" spans="1:8" x14ac:dyDescent="0.25">
      <c r="A980" s="2" t="s">
        <v>994</v>
      </c>
      <c r="B980" s="3"/>
      <c r="C980" s="3"/>
      <c r="D980" s="3"/>
      <c r="E980" s="4" t="str">
        <f>HYPERLINK("https://dpmzos25m8ivg.cloudfront.net/Documentos/631/02648690956/6310264869095609092023235739.pdf","https://dpmzos25m8ivg.cloudfront.net/Documentos/631/02648690956/6310264869095609092023235739.pdf")</f>
        <v>https://dpmzos25m8ivg.cloudfront.net/Documentos/631/02648690956/6310264869095609092023235739.pdf</v>
      </c>
      <c r="F980" s="5" t="str">
        <f>HYPERLINK("https://dpmzos25m8ivg.cloudfront.net/Documentos/631/02648690956/6310264869095609092023235758.pdf","https://dpmzos25m8ivg.cloudfront.net/Documentos/631/02648690956/6310264869095609092023235758.pdf")</f>
        <v>https://dpmzos25m8ivg.cloudfront.net/Documentos/631/02648690956/6310264869095609092023235758.pdf</v>
      </c>
      <c r="G980" s="5" t="str">
        <f>HYPERLINK("https://dpmzos25m8ivg.cloudfront.net/Documentos/631/02648690956/6310264869095609092023235807.pdf","https://dpmzos25m8ivg.cloudfront.net/Documentos/631/02648690956/6310264869095609092023235807.pdf")</f>
        <v>https://dpmzos25m8ivg.cloudfront.net/Documentos/631/02648690956/6310264869095609092023235807.pdf</v>
      </c>
      <c r="H980" s="4" t="s">
        <v>9565</v>
      </c>
    </row>
    <row r="981" spans="1:8" x14ac:dyDescent="0.25">
      <c r="A981" s="2" t="s">
        <v>995</v>
      </c>
      <c r="B981" s="3"/>
      <c r="C981" s="3"/>
      <c r="D981" s="3"/>
      <c r="E981" s="4" t="str">
        <f>HYPERLINK("https://dpmzos25m8ivg.cloudfront.net/Documentos/631/02652162730/6310265216273013092023084705.jpg","https://dpmzos25m8ivg.cloudfront.net/Documentos/631/02652162730/6310265216273013092023084705.jpg")</f>
        <v>https://dpmzos25m8ivg.cloudfront.net/Documentos/631/02652162730/6310265216273013092023084705.jpg</v>
      </c>
      <c r="F981" s="5" t="str">
        <f>HYPERLINK("https://dpmzos25m8ivg.cloudfront.net/Documentos/631/02652162730/6310265216273013092023084742.jpg","https://dpmzos25m8ivg.cloudfront.net/Documentos/631/02652162730/6310265216273013092023084742.jpg")</f>
        <v>https://dpmzos25m8ivg.cloudfront.net/Documentos/631/02652162730/6310265216273013092023084742.jpg</v>
      </c>
      <c r="G981" s="5" t="str">
        <f>HYPERLINK("https://dpmzos25m8ivg.cloudfront.net/Documentos/631/02652162730/6310265216273013092023084811.jpg","https://dpmzos25m8ivg.cloudfront.net/Documentos/631/02652162730/6310265216273013092023084811.jpg")</f>
        <v>https://dpmzos25m8ivg.cloudfront.net/Documentos/631/02652162730/6310265216273013092023084811.jpg</v>
      </c>
      <c r="H981" s="4" t="s">
        <v>9566</v>
      </c>
    </row>
    <row r="982" spans="1:8" x14ac:dyDescent="0.25">
      <c r="A982" s="2" t="s">
        <v>996</v>
      </c>
      <c r="B982" s="3"/>
      <c r="C982" s="3"/>
      <c r="D982" s="3"/>
      <c r="E982" s="4" t="str">
        <f>HYPERLINK("https://dpmzos25m8ivg.cloudfront.net/Documentos/631/02657400299/6310265740029912092023192100.pdf","https://dpmzos25m8ivg.cloudfront.net/Documentos/631/02657400299/6310265740029912092023192100.pdf")</f>
        <v>https://dpmzos25m8ivg.cloudfront.net/Documentos/631/02657400299/6310265740029912092023192100.pdf</v>
      </c>
      <c r="F982" s="5" t="str">
        <f>HYPERLINK("https://dpmzos25m8ivg.cloudfront.net/Documentos/631/02657400299/6310265740029912092023192112.pdf","https://dpmzos25m8ivg.cloudfront.net/Documentos/631/02657400299/6310265740029912092023192112.pdf")</f>
        <v>https://dpmzos25m8ivg.cloudfront.net/Documentos/631/02657400299/6310265740029912092023192112.pdf</v>
      </c>
      <c r="G982" s="5" t="str">
        <f>HYPERLINK("https://dpmzos25m8ivg.cloudfront.net/Documentos/631/02657400299/6310265740029912092023192120.pdf","https://dpmzos25m8ivg.cloudfront.net/Documentos/631/02657400299/6310265740029912092023192120.pdf")</f>
        <v>https://dpmzos25m8ivg.cloudfront.net/Documentos/631/02657400299/6310265740029912092023192120.pdf</v>
      </c>
      <c r="H982" s="4" t="s">
        <v>9567</v>
      </c>
    </row>
    <row r="983" spans="1:8" x14ac:dyDescent="0.25">
      <c r="A983" s="2" t="s">
        <v>997</v>
      </c>
      <c r="B983" s="3"/>
      <c r="C983" s="3"/>
      <c r="D983" s="3"/>
      <c r="E983" s="4" t="str">
        <f>HYPERLINK("https://dpmzos25m8ivg.cloudfront.net/Documentos/631/02659759219/6310265975921911092023162301.pdf","https://dpmzos25m8ivg.cloudfront.net/Documentos/631/02659759219/6310265975921911092023162301.pdf")</f>
        <v>https://dpmzos25m8ivg.cloudfront.net/Documentos/631/02659759219/6310265975921911092023162301.pdf</v>
      </c>
      <c r="F983" s="5" t="str">
        <f>HYPERLINK("https://dpmzos25m8ivg.cloudfront.net/Documentos/631/02659759219/6310265975921911092023162319.pdf","https://dpmzos25m8ivg.cloudfront.net/Documentos/631/02659759219/6310265975921911092023162319.pdf")</f>
        <v>https://dpmzos25m8ivg.cloudfront.net/Documentos/631/02659759219/6310265975921911092023162319.pdf</v>
      </c>
      <c r="G983" s="5" t="str">
        <f>HYPERLINK("https://dpmzos25m8ivg.cloudfront.net/Documentos/631/02659759219/6310265975921911092023162335.pdf","https://dpmzos25m8ivg.cloudfront.net/Documentos/631/02659759219/6310265975921911092023162335.pdf")</f>
        <v>https://dpmzos25m8ivg.cloudfront.net/Documentos/631/02659759219/6310265975921911092023162335.pdf</v>
      </c>
      <c r="H983" s="4" t="s">
        <v>9568</v>
      </c>
    </row>
    <row r="984" spans="1:8" x14ac:dyDescent="0.25">
      <c r="A984" s="2" t="s">
        <v>998</v>
      </c>
      <c r="B984" s="3"/>
      <c r="C984" s="3"/>
      <c r="D984" s="3"/>
      <c r="E984" s="4" t="str">
        <f>HYPERLINK("https://dpmzos25m8ivg.cloudfront.net/Documentos/631/02660684138/6310266068413809092023195621.pdf","https://dpmzos25m8ivg.cloudfront.net/Documentos/631/02660684138/6310266068413809092023195621.pdf")</f>
        <v>https://dpmzos25m8ivg.cloudfront.net/Documentos/631/02660684138/6310266068413809092023195621.pdf</v>
      </c>
      <c r="F984" s="5" t="str">
        <f>HYPERLINK("https://dpmzos25m8ivg.cloudfront.net/Documentos/631/02660684138/6310266068413809092023195646.pdf","https://dpmzos25m8ivg.cloudfront.net/Documentos/631/02660684138/6310266068413809092023195646.pdf")</f>
        <v>https://dpmzos25m8ivg.cloudfront.net/Documentos/631/02660684138/6310266068413809092023195646.pdf</v>
      </c>
      <c r="G984" s="5" t="str">
        <f>HYPERLINK("https://dpmzos25m8ivg.cloudfront.net/Documentos/631/02660684138/6310266068413809092023195706.pdf","https://dpmzos25m8ivg.cloudfront.net/Documentos/631/02660684138/6310266068413809092023195706.pdf")</f>
        <v>https://dpmzos25m8ivg.cloudfront.net/Documentos/631/02660684138/6310266068413809092023195706.pdf</v>
      </c>
      <c r="H984" s="4" t="s">
        <v>9569</v>
      </c>
    </row>
    <row r="985" spans="1:8" x14ac:dyDescent="0.25">
      <c r="A985" s="2" t="s">
        <v>999</v>
      </c>
      <c r="B985" s="3"/>
      <c r="C985" s="3"/>
      <c r="D985" s="3"/>
      <c r="E985" s="4" t="str">
        <f>HYPERLINK("https://dpmzos25m8ivg.cloudfront.net/Documentos/631/02663703575/6310266370357505092023145303.pdf","https://dpmzos25m8ivg.cloudfront.net/Documentos/631/02663703575/6310266370357505092023145303.pdf")</f>
        <v>https://dpmzos25m8ivg.cloudfront.net/Documentos/631/02663703575/6310266370357505092023145303.pdf</v>
      </c>
      <c r="F985" s="5" t="str">
        <f>HYPERLINK("https://dpmzos25m8ivg.cloudfront.net/Documentos/631/02663703575/6310266370357505092023145320.pdf","https://dpmzos25m8ivg.cloudfront.net/Documentos/631/02663703575/6310266370357505092023145320.pdf")</f>
        <v>https://dpmzos25m8ivg.cloudfront.net/Documentos/631/02663703575/6310266370357505092023145320.pdf</v>
      </c>
      <c r="G985" s="5" t="str">
        <f>HYPERLINK("https://dpmzos25m8ivg.cloudfront.net/Documentos/631/02663703575/6310266370357505092023145334.pdf","https://dpmzos25m8ivg.cloudfront.net/Documentos/631/02663703575/6310266370357505092023145334.pdf")</f>
        <v>https://dpmzos25m8ivg.cloudfront.net/Documentos/631/02663703575/6310266370357505092023145334.pdf</v>
      </c>
      <c r="H985" s="4" t="s">
        <v>9570</v>
      </c>
    </row>
    <row r="986" spans="1:8" x14ac:dyDescent="0.25">
      <c r="A986" s="2" t="s">
        <v>1000</v>
      </c>
      <c r="B986" s="3"/>
      <c r="C986" s="3"/>
      <c r="D986" s="3"/>
      <c r="E986" s="4" t="str">
        <f>HYPERLINK("https://dpmzos25m8ivg.cloudfront.net/Documentos/631/02665369486/6310266536948605092023222732.pdf","https://dpmzos25m8ivg.cloudfront.net/Documentos/631/02665369486/6310266536948605092023222732.pdf")</f>
        <v>https://dpmzos25m8ivg.cloudfront.net/Documentos/631/02665369486/6310266536948605092023222732.pdf</v>
      </c>
      <c r="F986" s="5" t="str">
        <f>HYPERLINK("https://dpmzos25m8ivg.cloudfront.net/Documentos/631/02665369486/6310266536948605092023222750.pdf","https://dpmzos25m8ivg.cloudfront.net/Documentos/631/02665369486/6310266536948605092023222750.pdf")</f>
        <v>https://dpmzos25m8ivg.cloudfront.net/Documentos/631/02665369486/6310266536948605092023222750.pdf</v>
      </c>
      <c r="G986" s="5" t="str">
        <f>HYPERLINK("https://dpmzos25m8ivg.cloudfront.net/Documentos/631/02665369486/6310266536948605092023222802.pdf","https://dpmzos25m8ivg.cloudfront.net/Documentos/631/02665369486/6310266536948605092023222802.pdf")</f>
        <v>https://dpmzos25m8ivg.cloudfront.net/Documentos/631/02665369486/6310266536948605092023222802.pdf</v>
      </c>
      <c r="H986" s="4" t="s">
        <v>9571</v>
      </c>
    </row>
    <row r="987" spans="1:8" x14ac:dyDescent="0.25">
      <c r="A987" s="2" t="s">
        <v>1001</v>
      </c>
      <c r="B987" s="3"/>
      <c r="C987" s="3"/>
      <c r="D987" s="3"/>
      <c r="E987" s="4" t="str">
        <f>HYPERLINK("https://dpmzos25m8ivg.cloudfront.net/Documentos/631/02667496906/6310266749690610092023143024.pdf","https://dpmzos25m8ivg.cloudfront.net/Documentos/631/02667496906/6310266749690610092023143024.pdf")</f>
        <v>https://dpmzos25m8ivg.cloudfront.net/Documentos/631/02667496906/6310266749690610092023143024.pdf</v>
      </c>
      <c r="F987" s="5" t="str">
        <f>HYPERLINK("https://dpmzos25m8ivg.cloudfront.net/Documentos/631/02667496906/6310266749690610092023143038.pdf","https://dpmzos25m8ivg.cloudfront.net/Documentos/631/02667496906/6310266749690610092023143038.pdf")</f>
        <v>https://dpmzos25m8ivg.cloudfront.net/Documentos/631/02667496906/6310266749690610092023143038.pdf</v>
      </c>
      <c r="G987" s="5" t="str">
        <f>HYPERLINK("https://dpmzos25m8ivg.cloudfront.net/Documentos/631/02667496906/6310266749690610092023143239.pdf","https://dpmzos25m8ivg.cloudfront.net/Documentos/631/02667496906/6310266749690610092023143239.pdf")</f>
        <v>https://dpmzos25m8ivg.cloudfront.net/Documentos/631/02667496906/6310266749690610092023143239.pdf</v>
      </c>
      <c r="H987" s="4" t="s">
        <v>9572</v>
      </c>
    </row>
    <row r="988" spans="1:8" x14ac:dyDescent="0.25">
      <c r="A988" s="2" t="s">
        <v>1002</v>
      </c>
      <c r="B988" s="3"/>
      <c r="C988" s="3"/>
      <c r="D988" s="3"/>
      <c r="E988" s="4" t="str">
        <f>HYPERLINK("https://dpmzos25m8ivg.cloudfront.net/Documentos/631/02668333300/6310266833330011092023164849.pdf","https://dpmzos25m8ivg.cloudfront.net/Documentos/631/02668333300/6310266833330011092023164849.pdf")</f>
        <v>https://dpmzos25m8ivg.cloudfront.net/Documentos/631/02668333300/6310266833330011092023164849.pdf</v>
      </c>
      <c r="F988" s="5" t="str">
        <f>HYPERLINK("https://dpmzos25m8ivg.cloudfront.net/Documentos/631/02668333300/6310266833330011092023164857.pdf","https://dpmzos25m8ivg.cloudfront.net/Documentos/631/02668333300/6310266833330011092023164857.pdf")</f>
        <v>https://dpmzos25m8ivg.cloudfront.net/Documentos/631/02668333300/6310266833330011092023164857.pdf</v>
      </c>
      <c r="G988" s="5" t="str">
        <f>HYPERLINK("https://dpmzos25m8ivg.cloudfront.net/Documentos/631/02668333300/6310266833330011092023164914.pdf","https://dpmzos25m8ivg.cloudfront.net/Documentos/631/02668333300/6310266833330011092023164914.pdf")</f>
        <v>https://dpmzos25m8ivg.cloudfront.net/Documentos/631/02668333300/6310266833330011092023164914.pdf</v>
      </c>
      <c r="H988" s="4" t="s">
        <v>9573</v>
      </c>
    </row>
    <row r="989" spans="1:8" x14ac:dyDescent="0.25">
      <c r="A989" s="2" t="s">
        <v>1003</v>
      </c>
      <c r="B989" s="3"/>
      <c r="C989" s="3"/>
      <c r="D989" s="3"/>
      <c r="E989" s="4" t="str">
        <f>HYPERLINK("https://dpmzos25m8ivg.cloudfront.net/Documentos/631/02669283152/6310266928315206092023215712.pdf","https://dpmzos25m8ivg.cloudfront.net/Documentos/631/02669283152/6310266928315206092023215712.pdf")</f>
        <v>https://dpmzos25m8ivg.cloudfront.net/Documentos/631/02669283152/6310266928315206092023215712.pdf</v>
      </c>
      <c r="F989" s="5" t="str">
        <f>HYPERLINK("https://dpmzos25m8ivg.cloudfront.net/Documentos/631/02669283152/6310266928315206092023215719.pdf","https://dpmzos25m8ivg.cloudfront.net/Documentos/631/02669283152/6310266928315206092023215719.pdf")</f>
        <v>https://dpmzos25m8ivg.cloudfront.net/Documentos/631/02669283152/6310266928315206092023215719.pdf</v>
      </c>
      <c r="G989" s="5" t="str">
        <f>HYPERLINK("https://dpmzos25m8ivg.cloudfront.net/Documentos/631/02669283152/6310266928315206092023215726.pdf","https://dpmzos25m8ivg.cloudfront.net/Documentos/631/02669283152/6310266928315206092023215726.pdf")</f>
        <v>https://dpmzos25m8ivg.cloudfront.net/Documentos/631/02669283152/6310266928315206092023215726.pdf</v>
      </c>
      <c r="H989" s="4" t="s">
        <v>9574</v>
      </c>
    </row>
    <row r="990" spans="1:8" x14ac:dyDescent="0.25">
      <c r="A990" s="2" t="s">
        <v>1004</v>
      </c>
      <c r="B990" s="3"/>
      <c r="C990" s="3"/>
      <c r="D990" s="3"/>
      <c r="E990" s="4" t="str">
        <f>HYPERLINK("https://dpmzos25m8ivg.cloudfront.net/Documentos/631/02670047700/6310267004770013092023191905.pdf","https://dpmzos25m8ivg.cloudfront.net/Documentos/631/02670047700/6310267004770013092023191905.pdf")</f>
        <v>https://dpmzos25m8ivg.cloudfront.net/Documentos/631/02670047700/6310267004770013092023191905.pdf</v>
      </c>
      <c r="F990" s="5" t="str">
        <f>HYPERLINK("https://dpmzos25m8ivg.cloudfront.net/Documentos/631/02670047700/6310267004770013092023191920.pdf","https://dpmzos25m8ivg.cloudfront.net/Documentos/631/02670047700/6310267004770013092023191920.pdf")</f>
        <v>https://dpmzos25m8ivg.cloudfront.net/Documentos/631/02670047700/6310267004770013092023191920.pdf</v>
      </c>
      <c r="G990" s="5" t="str">
        <f>HYPERLINK("https://dpmzos25m8ivg.cloudfront.net/Documentos/631/02670047700/6310267004770013092023191934.pdf","https://dpmzos25m8ivg.cloudfront.net/Documentos/631/02670047700/6310267004770013092023191934.pdf")</f>
        <v>https://dpmzos25m8ivg.cloudfront.net/Documentos/631/02670047700/6310267004770013092023191934.pdf</v>
      </c>
      <c r="H990" s="4" t="s">
        <v>9575</v>
      </c>
    </row>
    <row r="991" spans="1:8" x14ac:dyDescent="0.25">
      <c r="A991" s="2" t="s">
        <v>1005</v>
      </c>
      <c r="B991" s="3" t="s">
        <v>312</v>
      </c>
      <c r="C991" s="3"/>
      <c r="D991" s="3"/>
      <c r="E991" s="4" t="str">
        <f>HYPERLINK("https://dpmzos25m8ivg.cloudfront.net/Documentos/631/02670880940/6310267088094014092023095320.pdf","https://dpmzos25m8ivg.cloudfront.net/Documentos/631/02670880940/6310267088094014092023095320.pdf")</f>
        <v>https://dpmzos25m8ivg.cloudfront.net/Documentos/631/02670880940/6310267088094014092023095320.pdf</v>
      </c>
      <c r="F991" s="5" t="str">
        <f>HYPERLINK("https://dpmzos25m8ivg.cloudfront.net/Documentos/631/02670880940/6310267088094014092023095339.pdf","https://dpmzos25m8ivg.cloudfront.net/Documentos/631/02670880940/6310267088094014092023095339.pdf")</f>
        <v>https://dpmzos25m8ivg.cloudfront.net/Documentos/631/02670880940/6310267088094014092023095339.pdf</v>
      </c>
      <c r="G991" s="5" t="str">
        <f>HYPERLINK("https://dpmzos25m8ivg.cloudfront.net/Documentos/631/02670880940/6310267088094014092023095356.pdf","https://dpmzos25m8ivg.cloudfront.net/Documentos/631/02670880940/6310267088094014092023095356.pdf")</f>
        <v>https://dpmzos25m8ivg.cloudfront.net/Documentos/631/02670880940/6310267088094014092023095356.pdf</v>
      </c>
      <c r="H991" s="4" t="s">
        <v>9576</v>
      </c>
    </row>
    <row r="992" spans="1:8" x14ac:dyDescent="0.25">
      <c r="A992" s="2" t="s">
        <v>1006</v>
      </c>
      <c r="B992" s="3"/>
      <c r="C992" s="3"/>
      <c r="D992" s="3"/>
      <c r="E992" s="4" t="str">
        <f>HYPERLINK("https://dpmzos25m8ivg.cloudfront.net/Documentos/631/02672775206/6310267277520611092023112340.pdf","https://dpmzos25m8ivg.cloudfront.net/Documentos/631/02672775206/6310267277520611092023112340.pdf")</f>
        <v>https://dpmzos25m8ivg.cloudfront.net/Documentos/631/02672775206/6310267277520611092023112340.pdf</v>
      </c>
      <c r="F992" s="5" t="str">
        <f>HYPERLINK("https://dpmzos25m8ivg.cloudfront.net/Documentos/631/02672775206/6310267277520611092023111132.pdf","https://dpmzos25m8ivg.cloudfront.net/Documentos/631/02672775206/6310267277520611092023111132.pdf")</f>
        <v>https://dpmzos25m8ivg.cloudfront.net/Documentos/631/02672775206/6310267277520611092023111132.pdf</v>
      </c>
      <c r="G992" s="5" t="str">
        <f>HYPERLINK("https://dpmzos25m8ivg.cloudfront.net/Documentos/631/02672775206/6310267277520611092023150907.pdf","https://dpmzos25m8ivg.cloudfront.net/Documentos/631/02672775206/6310267277520611092023150907.pdf")</f>
        <v>https://dpmzos25m8ivg.cloudfront.net/Documentos/631/02672775206/6310267277520611092023150907.pdf</v>
      </c>
      <c r="H992" s="4" t="s">
        <v>9577</v>
      </c>
    </row>
    <row r="993" spans="1:8" x14ac:dyDescent="0.25">
      <c r="A993" s="2" t="s">
        <v>1007</v>
      </c>
      <c r="B993" s="3" t="s">
        <v>90</v>
      </c>
      <c r="C993" s="3"/>
      <c r="D993" s="3"/>
      <c r="E993" s="4" t="str">
        <f>HYPERLINK("https://dpmzos25m8ivg.cloudfront.net/Documentos/631/02676831704/6310267683170410092023192315.pdf","https://dpmzos25m8ivg.cloudfront.net/Documentos/631/02676831704/6310267683170410092023192315.pdf")</f>
        <v>https://dpmzos25m8ivg.cloudfront.net/Documentos/631/02676831704/6310267683170410092023192315.pdf</v>
      </c>
      <c r="F993" s="5" t="str">
        <f>HYPERLINK("https://dpmzos25m8ivg.cloudfront.net/Documentos/631/02676831704/6310267683170410092023192332.pdf","https://dpmzos25m8ivg.cloudfront.net/Documentos/631/02676831704/6310267683170410092023192332.pdf")</f>
        <v>https://dpmzos25m8ivg.cloudfront.net/Documentos/631/02676831704/6310267683170410092023192332.pdf</v>
      </c>
      <c r="G993" s="5" t="str">
        <f>HYPERLINK("https://dpmzos25m8ivg.cloudfront.net/Documentos/631/02676831704/6310267683170410092023192344.pdf","https://dpmzos25m8ivg.cloudfront.net/Documentos/631/02676831704/6310267683170410092023192344.pdf")</f>
        <v>https://dpmzos25m8ivg.cloudfront.net/Documentos/631/02676831704/6310267683170410092023192344.pdf</v>
      </c>
      <c r="H993" s="4" t="s">
        <v>9578</v>
      </c>
    </row>
    <row r="994" spans="1:8" x14ac:dyDescent="0.25">
      <c r="A994" s="2" t="s">
        <v>1008</v>
      </c>
      <c r="B994" s="3"/>
      <c r="C994" s="3"/>
      <c r="D994" s="3"/>
      <c r="E994" s="4" t="str">
        <f>HYPERLINK("https://dpmzos25m8ivg.cloudfront.net/Documentos/631/02680390466/6310268039046611092023153213.pdf","https://dpmzos25m8ivg.cloudfront.net/Documentos/631/02680390466/6310268039046611092023153213.pdf")</f>
        <v>https://dpmzos25m8ivg.cloudfront.net/Documentos/631/02680390466/6310268039046611092023153213.pdf</v>
      </c>
      <c r="F994" s="5" t="str">
        <f>HYPERLINK("https://dpmzos25m8ivg.cloudfront.net/Documentos/631/02680390466/6310268039046611092023153308.pdf","https://dpmzos25m8ivg.cloudfront.net/Documentos/631/02680390466/6310268039046611092023153308.pdf")</f>
        <v>https://dpmzos25m8ivg.cloudfront.net/Documentos/631/02680390466/6310268039046611092023153308.pdf</v>
      </c>
      <c r="G994" s="5" t="str">
        <f>HYPERLINK("https://dpmzos25m8ivg.cloudfront.net/Documentos/631/02680390466/6310268039046611092023153319.pdf","https://dpmzos25m8ivg.cloudfront.net/Documentos/631/02680390466/6310268039046611092023153319.pdf")</f>
        <v>https://dpmzos25m8ivg.cloudfront.net/Documentos/631/02680390466/6310268039046611092023153319.pdf</v>
      </c>
      <c r="H994" s="4" t="s">
        <v>9579</v>
      </c>
    </row>
    <row r="995" spans="1:8" x14ac:dyDescent="0.25">
      <c r="A995" s="2" t="s">
        <v>1009</v>
      </c>
      <c r="B995" s="3" t="s">
        <v>312</v>
      </c>
      <c r="C995" s="3"/>
      <c r="D995" s="3"/>
      <c r="E995" s="4" t="str">
        <f>HYPERLINK("https://dpmzos25m8ivg.cloudfront.net/Documentos/631/02681352312/6310268135231211092023162847.pdf","https://dpmzos25m8ivg.cloudfront.net/Documentos/631/02681352312/6310268135231211092023162847.pdf")</f>
        <v>https://dpmzos25m8ivg.cloudfront.net/Documentos/631/02681352312/6310268135231211092023162847.pdf</v>
      </c>
      <c r="F995" s="5" t="str">
        <f>HYPERLINK("https://dpmzos25m8ivg.cloudfront.net/Documentos/631/02681352312/6310268135231211092023162858.pdf","https://dpmzos25m8ivg.cloudfront.net/Documentos/631/02681352312/6310268135231211092023162858.pdf")</f>
        <v>https://dpmzos25m8ivg.cloudfront.net/Documentos/631/02681352312/6310268135231211092023162858.pdf</v>
      </c>
      <c r="G995" s="5" t="str">
        <f>HYPERLINK("https://dpmzos25m8ivg.cloudfront.net/Documentos/631/02681352312/6310268135231211092023162908.pdf","https://dpmzos25m8ivg.cloudfront.net/Documentos/631/02681352312/6310268135231211092023162908.pdf")</f>
        <v>https://dpmzos25m8ivg.cloudfront.net/Documentos/631/02681352312/6310268135231211092023162908.pdf</v>
      </c>
      <c r="H995" s="4" t="s">
        <v>9580</v>
      </c>
    </row>
    <row r="996" spans="1:8" x14ac:dyDescent="0.25">
      <c r="A996" s="2" t="s">
        <v>1010</v>
      </c>
      <c r="B996" s="3"/>
      <c r="C996" s="3"/>
      <c r="D996" s="3"/>
      <c r="E996" s="4" t="str">
        <f>HYPERLINK("https://dpmzos25m8ivg.cloudfront.net/Documentos/631/02685803327/6310268580332711092023140921.jpeg","https://dpmzos25m8ivg.cloudfront.net/Documentos/631/02685803327/6310268580332711092023140921.jpeg")</f>
        <v>https://dpmzos25m8ivg.cloudfront.net/Documentos/631/02685803327/6310268580332711092023140921.jpeg</v>
      </c>
      <c r="F996" s="5" t="str">
        <f>HYPERLINK("https://dpmzos25m8ivg.cloudfront.net/Documentos/631/02685803327/6310268580332711092023140937.jpeg","https://dpmzos25m8ivg.cloudfront.net/Documentos/631/02685803327/6310268580332711092023140937.jpeg")</f>
        <v>https://dpmzos25m8ivg.cloudfront.net/Documentos/631/02685803327/6310268580332711092023140937.jpeg</v>
      </c>
      <c r="G996" s="5" t="str">
        <f>HYPERLINK("https://dpmzos25m8ivg.cloudfront.net/Documentos/631/02685803327/6310268580332711092023140947.jpeg","https://dpmzos25m8ivg.cloudfront.net/Documentos/631/02685803327/6310268580332711092023140947.jpeg")</f>
        <v>https://dpmzos25m8ivg.cloudfront.net/Documentos/631/02685803327/6310268580332711092023140947.jpeg</v>
      </c>
      <c r="H996" s="4" t="s">
        <v>9581</v>
      </c>
    </row>
    <row r="997" spans="1:8" x14ac:dyDescent="0.25">
      <c r="A997" s="2" t="s">
        <v>1011</v>
      </c>
      <c r="B997" s="3" t="s">
        <v>308</v>
      </c>
      <c r="C997" s="3"/>
      <c r="D997" s="3"/>
      <c r="E997" s="4" t="str">
        <f>HYPERLINK("https://dpmzos25m8ivg.cloudfront.net/Documentos/631/02686808764/6310268680876412092023193901.pdf","https://dpmzos25m8ivg.cloudfront.net/Documentos/631/02686808764/6310268680876412092023193901.pdf")</f>
        <v>https://dpmzos25m8ivg.cloudfront.net/Documentos/631/02686808764/6310268680876412092023193901.pdf</v>
      </c>
      <c r="F997" s="5" t="str">
        <f>HYPERLINK("https://dpmzos25m8ivg.cloudfront.net/Documentos/631/02686808764/6310268680876412092023193913.pdf","https://dpmzos25m8ivg.cloudfront.net/Documentos/631/02686808764/6310268680876412092023193913.pdf")</f>
        <v>https://dpmzos25m8ivg.cloudfront.net/Documentos/631/02686808764/6310268680876412092023193913.pdf</v>
      </c>
      <c r="G997" s="5" t="str">
        <f>HYPERLINK("https://dpmzos25m8ivg.cloudfront.net/Documentos/631/02686808764/6310268680876412092023193930.pdf","https://dpmzos25m8ivg.cloudfront.net/Documentos/631/02686808764/6310268680876412092023193930.pdf")</f>
        <v>https://dpmzos25m8ivg.cloudfront.net/Documentos/631/02686808764/6310268680876412092023193930.pdf</v>
      </c>
      <c r="H997" s="4" t="s">
        <v>9010</v>
      </c>
    </row>
    <row r="998" spans="1:8" x14ac:dyDescent="0.25">
      <c r="A998" s="2" t="s">
        <v>1012</v>
      </c>
      <c r="B998" s="3"/>
      <c r="C998" s="3"/>
      <c r="D998" s="3"/>
      <c r="E998" s="4" t="str">
        <f>HYPERLINK("https://dpmzos25m8ivg.cloudfront.net/Documentos/631/02687600636/6310268760063611092023170635.pdf","https://dpmzos25m8ivg.cloudfront.net/Documentos/631/02687600636/6310268760063611092023170635.pdf")</f>
        <v>https://dpmzos25m8ivg.cloudfront.net/Documentos/631/02687600636/6310268760063611092023170635.pdf</v>
      </c>
      <c r="F998" s="5" t="str">
        <f>HYPERLINK("https://dpmzos25m8ivg.cloudfront.net/Documentos/631/02687600636/6310268760063611092023170643.pdf","https://dpmzos25m8ivg.cloudfront.net/Documentos/631/02687600636/6310268760063611092023170643.pdf")</f>
        <v>https://dpmzos25m8ivg.cloudfront.net/Documentos/631/02687600636/6310268760063611092023170643.pdf</v>
      </c>
      <c r="G998" s="5" t="str">
        <f>HYPERLINK("https://dpmzos25m8ivg.cloudfront.net/Documentos/631/02687600636/6310268760063611092023170658.pdf","https://dpmzos25m8ivg.cloudfront.net/Documentos/631/02687600636/6310268760063611092023170658.pdf")</f>
        <v>https://dpmzos25m8ivg.cloudfront.net/Documentos/631/02687600636/6310268760063611092023170658.pdf</v>
      </c>
      <c r="H998" s="4" t="s">
        <v>9582</v>
      </c>
    </row>
    <row r="999" spans="1:8" x14ac:dyDescent="0.25">
      <c r="A999" s="2" t="s">
        <v>1013</v>
      </c>
      <c r="B999" s="3"/>
      <c r="C999" s="3"/>
      <c r="D999" s="3"/>
      <c r="E999" s="4" t="str">
        <f>HYPERLINK("https://dpmzos25m8ivg.cloudfront.net/Documentos/631/02693403359/6310269340335911092023101140.pdf","https://dpmzos25m8ivg.cloudfront.net/Documentos/631/02693403359/6310269340335911092023101140.pdf")</f>
        <v>https://dpmzos25m8ivg.cloudfront.net/Documentos/631/02693403359/6310269340335911092023101140.pdf</v>
      </c>
      <c r="F999" s="5" t="str">
        <f>HYPERLINK("https://dpmzos25m8ivg.cloudfront.net/Documentos/631/02693403359/6310269340335911092023101030.pdf","https://dpmzos25m8ivg.cloudfront.net/Documentos/631/02693403359/6310269340335911092023101030.pdf")</f>
        <v>https://dpmzos25m8ivg.cloudfront.net/Documentos/631/02693403359/6310269340335911092023101030.pdf</v>
      </c>
      <c r="G999" s="5" t="str">
        <f>HYPERLINK("https://dpmzos25m8ivg.cloudfront.net/Documentos/631/02693403359/6310269340335911092023101041.pdf","https://dpmzos25m8ivg.cloudfront.net/Documentos/631/02693403359/6310269340335911092023101041.pdf")</f>
        <v>https://dpmzos25m8ivg.cloudfront.net/Documentos/631/02693403359/6310269340335911092023101041.pdf</v>
      </c>
      <c r="H999" s="4" t="s">
        <v>9583</v>
      </c>
    </row>
    <row r="1000" spans="1:8" x14ac:dyDescent="0.25">
      <c r="A1000" s="2" t="s">
        <v>1014</v>
      </c>
      <c r="B1000" s="3" t="s">
        <v>312</v>
      </c>
      <c r="C1000" s="3"/>
      <c r="D1000" s="3"/>
      <c r="E1000" s="4" t="str">
        <f>HYPERLINK("https://dpmzos25m8ivg.cloudfront.net/Documentos/631/02694539386/6310269453938614092023154045.pdf","https://dpmzos25m8ivg.cloudfront.net/Documentos/631/02694539386/6310269453938614092023154045.pdf")</f>
        <v>https://dpmzos25m8ivg.cloudfront.net/Documentos/631/02694539386/6310269453938614092023154045.pdf</v>
      </c>
      <c r="F1000" s="5" t="str">
        <f>HYPERLINK("https://dpmzos25m8ivg.cloudfront.net/Documentos/631/02694539386/6310269453938614092023154106.pdf","https://dpmzos25m8ivg.cloudfront.net/Documentos/631/02694539386/6310269453938614092023154106.pdf")</f>
        <v>https://dpmzos25m8ivg.cloudfront.net/Documentos/631/02694539386/6310269453938614092023154106.pdf</v>
      </c>
      <c r="G1000" s="5" t="str">
        <f>HYPERLINK("https://dpmzos25m8ivg.cloudfront.net/Documentos/631/02694539386/6310269453938614092023154124.pdf","https://dpmzos25m8ivg.cloudfront.net/Documentos/631/02694539386/6310269453938614092023154124.pdf")</f>
        <v>https://dpmzos25m8ivg.cloudfront.net/Documentos/631/02694539386/6310269453938614092023154124.pdf</v>
      </c>
      <c r="H1000" s="4" t="s">
        <v>9584</v>
      </c>
    </row>
    <row r="1001" spans="1:8" x14ac:dyDescent="0.25">
      <c r="A1001" s="2" t="s">
        <v>1015</v>
      </c>
      <c r="B1001" s="3"/>
      <c r="C1001" s="3"/>
      <c r="D1001" s="3"/>
      <c r="E1001" s="4" t="str">
        <f>HYPERLINK("https://dpmzos25m8ivg.cloudfront.net/Documentos/631/02697499342/6310269749934208092023072643.jpg","https://dpmzos25m8ivg.cloudfront.net/Documentos/631/02697499342/6310269749934208092023072643.jpg")</f>
        <v>https://dpmzos25m8ivg.cloudfront.net/Documentos/631/02697499342/6310269749934208092023072643.jpg</v>
      </c>
      <c r="F1001" s="5" t="str">
        <f>HYPERLINK("https://dpmzos25m8ivg.cloudfront.net/Documentos/631/02697499342/6310269749934208092023072655.jpg","https://dpmzos25m8ivg.cloudfront.net/Documentos/631/02697499342/6310269749934208092023072655.jpg")</f>
        <v>https://dpmzos25m8ivg.cloudfront.net/Documentos/631/02697499342/6310269749934208092023072655.jpg</v>
      </c>
      <c r="G1001" s="5" t="str">
        <f>HYPERLINK("https://dpmzos25m8ivg.cloudfront.net/Documentos/631/02697499342/6310269749934208092023072709.jpg","https://dpmzos25m8ivg.cloudfront.net/Documentos/631/02697499342/6310269749934208092023072709.jpg")</f>
        <v>https://dpmzos25m8ivg.cloudfront.net/Documentos/631/02697499342/6310269749934208092023072709.jpg</v>
      </c>
      <c r="H1001" s="4" t="s">
        <v>9585</v>
      </c>
    </row>
    <row r="1002" spans="1:8" x14ac:dyDescent="0.25">
      <c r="A1002" s="2" t="s">
        <v>1016</v>
      </c>
      <c r="B1002" s="3"/>
      <c r="C1002" s="3"/>
      <c r="D1002" s="3"/>
      <c r="E1002" s="4" t="str">
        <f>HYPERLINK("https://dpmzos25m8ivg.cloudfront.net/Documentos/631/02698132760/6310269813276009092023204327.pdf","https://dpmzos25m8ivg.cloudfront.net/Documentos/631/02698132760/6310269813276009092023204327.pdf")</f>
        <v>https://dpmzos25m8ivg.cloudfront.net/Documentos/631/02698132760/6310269813276009092023204327.pdf</v>
      </c>
      <c r="F1002" s="5" t="str">
        <f>HYPERLINK("https://dpmzos25m8ivg.cloudfront.net/Documentos/631/02698132760/6310269813276009092023204348.pdf","https://dpmzos25m8ivg.cloudfront.net/Documentos/631/02698132760/6310269813276009092023204348.pdf")</f>
        <v>https://dpmzos25m8ivg.cloudfront.net/Documentos/631/02698132760/6310269813276009092023204348.pdf</v>
      </c>
      <c r="G1002" s="5" t="str">
        <f>HYPERLINK("https://dpmzos25m8ivg.cloudfront.net/Documentos/631/02698132760/6310269813276009092023204402.pdf","https://dpmzos25m8ivg.cloudfront.net/Documentos/631/02698132760/6310269813276009092023204402.pdf")</f>
        <v>https://dpmzos25m8ivg.cloudfront.net/Documentos/631/02698132760/6310269813276009092023204402.pdf</v>
      </c>
      <c r="H1002" s="4" t="s">
        <v>9586</v>
      </c>
    </row>
    <row r="1003" spans="1:8" x14ac:dyDescent="0.25">
      <c r="A1003" s="2" t="s">
        <v>1017</v>
      </c>
      <c r="B1003" s="3" t="s">
        <v>312</v>
      </c>
      <c r="C1003" s="3"/>
      <c r="D1003" s="3"/>
      <c r="E1003" s="4" t="str">
        <f>HYPERLINK("https://dpmzos25m8ivg.cloudfront.net/Documentos/631/02699772364/6310269977236411092023153322.pdf","https://dpmzos25m8ivg.cloudfront.net/Documentos/631/02699772364/6310269977236411092023153322.pdf")</f>
        <v>https://dpmzos25m8ivg.cloudfront.net/Documentos/631/02699772364/6310269977236411092023153322.pdf</v>
      </c>
      <c r="F1003" s="5" t="str">
        <f>HYPERLINK("https://dpmzos25m8ivg.cloudfront.net/Documentos/631/02699772364/6310269977236411092023153339.pdf","https://dpmzos25m8ivg.cloudfront.net/Documentos/631/02699772364/6310269977236411092023153339.pdf")</f>
        <v>https://dpmzos25m8ivg.cloudfront.net/Documentos/631/02699772364/6310269977236411092023153339.pdf</v>
      </c>
      <c r="G1003" s="5" t="str">
        <f>HYPERLINK("https://dpmzos25m8ivg.cloudfront.net/Documentos/631/02699772364/6310269977236411092023153352.pdf","https://dpmzos25m8ivg.cloudfront.net/Documentos/631/02699772364/6310269977236411092023153352.pdf")</f>
        <v>https://dpmzos25m8ivg.cloudfront.net/Documentos/631/02699772364/6310269977236411092023153352.pdf</v>
      </c>
      <c r="H1003" s="4" t="s">
        <v>9587</v>
      </c>
    </row>
    <row r="1004" spans="1:8" x14ac:dyDescent="0.25">
      <c r="A1004" s="2" t="s">
        <v>1018</v>
      </c>
      <c r="B1004" s="3"/>
      <c r="C1004" s="3"/>
      <c r="D1004" s="3"/>
      <c r="E1004" s="4" t="str">
        <f>HYPERLINK("https://dpmzos25m8ivg.cloudfront.net/Documentos/631/02700400216/6310270040021611092023120337.pdf","https://dpmzos25m8ivg.cloudfront.net/Documentos/631/02700400216/6310270040021611092023120337.pdf")</f>
        <v>https://dpmzos25m8ivg.cloudfront.net/Documentos/631/02700400216/6310270040021611092023120337.pdf</v>
      </c>
      <c r="F1004" s="5" t="str">
        <f>HYPERLINK("https://dpmzos25m8ivg.cloudfront.net/Documentos/631/02700400216/6310270040021611092023120348.pdf","https://dpmzos25m8ivg.cloudfront.net/Documentos/631/02700400216/6310270040021611092023120348.pdf")</f>
        <v>https://dpmzos25m8ivg.cloudfront.net/Documentos/631/02700400216/6310270040021611092023120348.pdf</v>
      </c>
      <c r="G1004" s="5" t="str">
        <f>HYPERLINK("https://dpmzos25m8ivg.cloudfront.net/Documentos/631/02700400216/6310270040021611092023120405.pdf","https://dpmzos25m8ivg.cloudfront.net/Documentos/631/02700400216/6310270040021611092023120405.pdf")</f>
        <v>https://dpmzos25m8ivg.cloudfront.net/Documentos/631/02700400216/6310270040021611092023120405.pdf</v>
      </c>
      <c r="H1004" s="4" t="s">
        <v>9588</v>
      </c>
    </row>
    <row r="1005" spans="1:8" x14ac:dyDescent="0.25">
      <c r="A1005" s="2" t="s">
        <v>1019</v>
      </c>
      <c r="B1005" s="3"/>
      <c r="C1005" s="3"/>
      <c r="D1005" s="3"/>
      <c r="E1005" s="4" t="str">
        <f>HYPERLINK("https://dpmzos25m8ivg.cloudfront.net/Documentos/631/02702200117/6310270220011711092023165800.pdf","https://dpmzos25m8ivg.cloudfront.net/Documentos/631/02702200117/6310270220011711092023165800.pdf")</f>
        <v>https://dpmzos25m8ivg.cloudfront.net/Documentos/631/02702200117/6310270220011711092023165800.pdf</v>
      </c>
      <c r="F1005" s="5" t="str">
        <f>HYPERLINK("https://dpmzos25m8ivg.cloudfront.net/Documentos/631/02702200117/6310270220011711092023165814.pdf","https://dpmzos25m8ivg.cloudfront.net/Documentos/631/02702200117/6310270220011711092023165814.pdf")</f>
        <v>https://dpmzos25m8ivg.cloudfront.net/Documentos/631/02702200117/6310270220011711092023165814.pdf</v>
      </c>
      <c r="G1005" s="5" t="str">
        <f>HYPERLINK("https://dpmzos25m8ivg.cloudfront.net/Documentos/631/02702200117/6310270220011711092023165831.pdf","https://dpmzos25m8ivg.cloudfront.net/Documentos/631/02702200117/6310270220011711092023165831.pdf")</f>
        <v>https://dpmzos25m8ivg.cloudfront.net/Documentos/631/02702200117/6310270220011711092023165831.pdf</v>
      </c>
      <c r="H1005" s="4" t="s">
        <v>9589</v>
      </c>
    </row>
    <row r="1006" spans="1:8" x14ac:dyDescent="0.25">
      <c r="A1006" s="2" t="s">
        <v>1020</v>
      </c>
      <c r="B1006" s="3"/>
      <c r="C1006" s="3"/>
      <c r="D1006" s="3"/>
      <c r="E1006" s="4" t="str">
        <f>HYPERLINK("https://dpmzos25m8ivg.cloudfront.net/Documentos/631/02702582133/6310270258213310092023211746.jpeg","https://dpmzos25m8ivg.cloudfront.net/Documentos/631/02702582133/6310270258213310092023211746.jpeg")</f>
        <v>https://dpmzos25m8ivg.cloudfront.net/Documentos/631/02702582133/6310270258213310092023211746.jpeg</v>
      </c>
      <c r="F1006" s="5" t="str">
        <f>HYPERLINK("https://dpmzos25m8ivg.cloudfront.net/Documentos/631/02702582133/6310270258213310092023234020.jpeg","https://dpmzos25m8ivg.cloudfront.net/Documentos/631/02702582133/6310270258213310092023234020.jpeg")</f>
        <v>https://dpmzos25m8ivg.cloudfront.net/Documentos/631/02702582133/6310270258213310092023234020.jpeg</v>
      </c>
      <c r="G1006" s="5" t="str">
        <f>HYPERLINK("https://dpmzos25m8ivg.cloudfront.net/Documentos/631/02702582133/6310270258213310092023234035.jpeg","https://dpmzos25m8ivg.cloudfront.net/Documentos/631/02702582133/6310270258213310092023234035.jpeg")</f>
        <v>https://dpmzos25m8ivg.cloudfront.net/Documentos/631/02702582133/6310270258213310092023234035.jpeg</v>
      </c>
      <c r="H1006" s="4" t="s">
        <v>9590</v>
      </c>
    </row>
    <row r="1007" spans="1:8" x14ac:dyDescent="0.25">
      <c r="A1007" s="2" t="s">
        <v>1021</v>
      </c>
      <c r="B1007" s="3"/>
      <c r="C1007" s="3"/>
      <c r="D1007" s="3"/>
      <c r="E1007" s="4" t="str">
        <f>HYPERLINK("https://dpmzos25m8ivg.cloudfront.net/Documentos/631/02703533136/6310270353313611092023135842.jpg","https://dpmzos25m8ivg.cloudfront.net/Documentos/631/02703533136/6310270353313611092023135842.jpg")</f>
        <v>https://dpmzos25m8ivg.cloudfront.net/Documentos/631/02703533136/6310270353313611092023135842.jpg</v>
      </c>
      <c r="F1007" s="5" t="str">
        <f>HYPERLINK("https://dpmzos25m8ivg.cloudfront.net/Documentos/631/02703533136/6310270353313611092023140015.jpg","https://dpmzos25m8ivg.cloudfront.net/Documentos/631/02703533136/6310270353313611092023140015.jpg")</f>
        <v>https://dpmzos25m8ivg.cloudfront.net/Documentos/631/02703533136/6310270353313611092023140015.jpg</v>
      </c>
      <c r="G1007" s="5" t="str">
        <f>HYPERLINK("https://dpmzos25m8ivg.cloudfront.net/Documentos/631/02703533136/6310270353313611092023140110.jpg","https://dpmzos25m8ivg.cloudfront.net/Documentos/631/02703533136/6310270353313611092023140110.jpg")</f>
        <v>https://dpmzos25m8ivg.cloudfront.net/Documentos/631/02703533136/6310270353313611092023140110.jpg</v>
      </c>
      <c r="H1007" s="4" t="s">
        <v>9591</v>
      </c>
    </row>
    <row r="1008" spans="1:8" x14ac:dyDescent="0.25">
      <c r="A1008" s="2" t="s">
        <v>1022</v>
      </c>
      <c r="B1008" s="3"/>
      <c r="C1008" s="3"/>
      <c r="D1008" s="3"/>
      <c r="E1008" s="4" t="str">
        <f>HYPERLINK("https://dpmzos25m8ivg.cloudfront.net/Documentos/631/02703977360/6310270397736014092023144044.pdf","https://dpmzos25m8ivg.cloudfront.net/Documentos/631/02703977360/6310270397736014092023144044.pdf")</f>
        <v>https://dpmzos25m8ivg.cloudfront.net/Documentos/631/02703977360/6310270397736014092023144044.pdf</v>
      </c>
      <c r="F1008" s="5" t="str">
        <f>HYPERLINK("https://dpmzos25m8ivg.cloudfront.net/Documentos/631/02703977360/6310270397736014092023144059.pdf","https://dpmzos25m8ivg.cloudfront.net/Documentos/631/02703977360/6310270397736014092023144059.pdf")</f>
        <v>https://dpmzos25m8ivg.cloudfront.net/Documentos/631/02703977360/6310270397736014092023144059.pdf</v>
      </c>
      <c r="G1008" s="5" t="str">
        <f>HYPERLINK("https://dpmzos25m8ivg.cloudfront.net/Documentos/631/02703977360/6310270397736014092023144129.pdf","https://dpmzos25m8ivg.cloudfront.net/Documentos/631/02703977360/6310270397736014092023144129.pdf")</f>
        <v>https://dpmzos25m8ivg.cloudfront.net/Documentos/631/02703977360/6310270397736014092023144129.pdf</v>
      </c>
      <c r="H1008" s="4" t="s">
        <v>9592</v>
      </c>
    </row>
    <row r="1009" spans="1:8" x14ac:dyDescent="0.25">
      <c r="A1009" s="2" t="s">
        <v>1023</v>
      </c>
      <c r="B1009" s="3"/>
      <c r="C1009" s="3"/>
      <c r="D1009" s="3"/>
      <c r="E1009" s="4" t="str">
        <f>HYPERLINK("https://dpmzos25m8ivg.cloudfront.net/Documentos/631/02705777423/6310270577742304092023233902.pdf","https://dpmzos25m8ivg.cloudfront.net/Documentos/631/02705777423/6310270577742304092023233902.pdf")</f>
        <v>https://dpmzos25m8ivg.cloudfront.net/Documentos/631/02705777423/6310270577742304092023233902.pdf</v>
      </c>
      <c r="F1009" s="5" t="str">
        <f>HYPERLINK("https://dpmzos25m8ivg.cloudfront.net/Documentos/631/02705777423/6310270577742304092023233926.pdf","https://dpmzos25m8ivg.cloudfront.net/Documentos/631/02705777423/6310270577742304092023233926.pdf")</f>
        <v>https://dpmzos25m8ivg.cloudfront.net/Documentos/631/02705777423/6310270577742304092023233926.pdf</v>
      </c>
      <c r="G1009" s="5" t="str">
        <f>HYPERLINK("https://dpmzos25m8ivg.cloudfront.net/Documentos/631/02705777423/6310270577742304092023233959.pdf","https://dpmzos25m8ivg.cloudfront.net/Documentos/631/02705777423/6310270577742304092023233959.pdf")</f>
        <v>https://dpmzos25m8ivg.cloudfront.net/Documentos/631/02705777423/6310270577742304092023233959.pdf</v>
      </c>
      <c r="H1009" s="4" t="s">
        <v>9593</v>
      </c>
    </row>
    <row r="1010" spans="1:8" x14ac:dyDescent="0.25">
      <c r="A1010" s="2" t="s">
        <v>1024</v>
      </c>
      <c r="B1010" s="3"/>
      <c r="C1010" s="3"/>
      <c r="D1010" s="3"/>
      <c r="E1010" s="4" t="str">
        <f>HYPERLINK("https://dpmzos25m8ivg.cloudfront.net/Documentos/631/02706436301/6310270643630106092023095930.jpeg","https://dpmzos25m8ivg.cloudfront.net/Documentos/631/02706436301/6310270643630106092023095930.jpeg")</f>
        <v>https://dpmzos25m8ivg.cloudfront.net/Documentos/631/02706436301/6310270643630106092023095930.jpeg</v>
      </c>
      <c r="F1010" s="5" t="str">
        <f>HYPERLINK("https://dpmzos25m8ivg.cloudfront.net/Documentos/631/02706436301/6310270643630106092023095947.jpeg","https://dpmzos25m8ivg.cloudfront.net/Documentos/631/02706436301/6310270643630106092023095947.jpeg")</f>
        <v>https://dpmzos25m8ivg.cloudfront.net/Documentos/631/02706436301/6310270643630106092023095947.jpeg</v>
      </c>
      <c r="G1010" s="5" t="str">
        <f>HYPERLINK("https://dpmzos25m8ivg.cloudfront.net/Documentos/631/02706436301/6310270643630106092023100006.jpeg","https://dpmzos25m8ivg.cloudfront.net/Documentos/631/02706436301/6310270643630106092023100006.jpeg")</f>
        <v>https://dpmzos25m8ivg.cloudfront.net/Documentos/631/02706436301/6310270643630106092023100006.jpeg</v>
      </c>
      <c r="H1010" s="4" t="s">
        <v>9594</v>
      </c>
    </row>
    <row r="1011" spans="1:8" x14ac:dyDescent="0.25">
      <c r="A1011" s="2" t="s">
        <v>1025</v>
      </c>
      <c r="B1011" s="3"/>
      <c r="C1011" s="3"/>
      <c r="D1011" s="3"/>
      <c r="E1011" s="4" t="str">
        <f>HYPERLINK("https://dpmzos25m8ivg.cloudfront.net/Documentos/631/02707333450/6310270733345011092023163559.pdf","https://dpmzos25m8ivg.cloudfront.net/Documentos/631/02707333450/6310270733345011092023163559.pdf")</f>
        <v>https://dpmzos25m8ivg.cloudfront.net/Documentos/631/02707333450/6310270733345011092023163559.pdf</v>
      </c>
      <c r="F1011" s="5" t="str">
        <f>HYPERLINK("https://dpmzos25m8ivg.cloudfront.net/Documentos/631/02707333450/6310270733345011092023163307.pdf","https://dpmzos25m8ivg.cloudfront.net/Documentos/631/02707333450/6310270733345011092023163307.pdf")</f>
        <v>https://dpmzos25m8ivg.cloudfront.net/Documentos/631/02707333450/6310270733345011092023163307.pdf</v>
      </c>
      <c r="G1011" s="5" t="str">
        <f>HYPERLINK("https://dpmzos25m8ivg.cloudfront.net/Documentos/631/02707333450/6310270733345011092023163202.pdf","https://dpmzos25m8ivg.cloudfront.net/Documentos/631/02707333450/6310270733345011092023163202.pdf")</f>
        <v>https://dpmzos25m8ivg.cloudfront.net/Documentos/631/02707333450/6310270733345011092023163202.pdf</v>
      </c>
      <c r="H1011" s="4" t="s">
        <v>9595</v>
      </c>
    </row>
    <row r="1012" spans="1:8" x14ac:dyDescent="0.25">
      <c r="A1012" s="2" t="s">
        <v>1026</v>
      </c>
      <c r="B1012" s="3"/>
      <c r="C1012" s="3"/>
      <c r="D1012" s="3"/>
      <c r="E1012" s="4" t="str">
        <f>HYPERLINK("https://dpmzos25m8ivg.cloudfront.net/Documentos/631/02708715194/6310270871519411092023123423.pdf","https://dpmzos25m8ivg.cloudfront.net/Documentos/631/02708715194/6310270871519411092023123423.pdf")</f>
        <v>https://dpmzos25m8ivg.cloudfront.net/Documentos/631/02708715194/6310270871519411092023123423.pdf</v>
      </c>
      <c r="F1012" s="5" t="str">
        <f>HYPERLINK("https://dpmzos25m8ivg.cloudfront.net/Documentos/631/02708715194/6310270871519411092023123433.pdf","https://dpmzos25m8ivg.cloudfront.net/Documentos/631/02708715194/6310270871519411092023123433.pdf")</f>
        <v>https://dpmzos25m8ivg.cloudfront.net/Documentos/631/02708715194/6310270871519411092023123433.pdf</v>
      </c>
      <c r="G1012" s="5" t="str">
        <f>HYPERLINK("https://dpmzos25m8ivg.cloudfront.net/Documentos/631/02708715194/6310270871519411092023123443.pdf","https://dpmzos25m8ivg.cloudfront.net/Documentos/631/02708715194/6310270871519411092023123443.pdf")</f>
        <v>https://dpmzos25m8ivg.cloudfront.net/Documentos/631/02708715194/6310270871519411092023123443.pdf</v>
      </c>
      <c r="H1012" s="4" t="s">
        <v>9596</v>
      </c>
    </row>
    <row r="1013" spans="1:8" x14ac:dyDescent="0.25">
      <c r="A1013" s="2" t="s">
        <v>1027</v>
      </c>
      <c r="B1013" s="3"/>
      <c r="C1013" s="3"/>
      <c r="D1013" s="3"/>
      <c r="E1013" s="4" t="str">
        <f>HYPERLINK("https://dpmzos25m8ivg.cloudfront.net/Documentos/631/02711992373/6310271199237309092023143308.pdf","https://dpmzos25m8ivg.cloudfront.net/Documentos/631/02711992373/6310271199237309092023143308.pdf")</f>
        <v>https://dpmzos25m8ivg.cloudfront.net/Documentos/631/02711992373/6310271199237309092023143308.pdf</v>
      </c>
      <c r="F1013" s="5" t="str">
        <f>HYPERLINK("https://dpmzos25m8ivg.cloudfront.net/Documentos/631/02711992373/6310271199237309092023143320.pdf","https://dpmzos25m8ivg.cloudfront.net/Documentos/631/02711992373/6310271199237309092023143320.pdf")</f>
        <v>https://dpmzos25m8ivg.cloudfront.net/Documentos/631/02711992373/6310271199237309092023143320.pdf</v>
      </c>
      <c r="G1013" s="5" t="str">
        <f>HYPERLINK("https://dpmzos25m8ivg.cloudfront.net/Documentos/631/02711992373/6310271199237309092023143333.pdf","https://dpmzos25m8ivg.cloudfront.net/Documentos/631/02711992373/6310271199237309092023143333.pdf")</f>
        <v>https://dpmzos25m8ivg.cloudfront.net/Documentos/631/02711992373/6310271199237309092023143333.pdf</v>
      </c>
      <c r="H1013" s="4" t="s">
        <v>9597</v>
      </c>
    </row>
    <row r="1014" spans="1:8" x14ac:dyDescent="0.25">
      <c r="A1014" s="2" t="s">
        <v>1028</v>
      </c>
      <c r="B1014" s="3"/>
      <c r="C1014" s="3"/>
      <c r="D1014" s="3"/>
      <c r="E1014" s="4" t="str">
        <f>HYPERLINK("https://dpmzos25m8ivg.cloudfront.net/Documentos/631/02713359201/6310271335920109092023085723.pdf","https://dpmzos25m8ivg.cloudfront.net/Documentos/631/02713359201/6310271335920109092023085723.pdf")</f>
        <v>https://dpmzos25m8ivg.cloudfront.net/Documentos/631/02713359201/6310271335920109092023085723.pdf</v>
      </c>
      <c r="F1014" s="5" t="str">
        <f>HYPERLINK("https://dpmzos25m8ivg.cloudfront.net/Documentos/631/02713359201/6310271335920109092023093747.pdf","https://dpmzos25m8ivg.cloudfront.net/Documentos/631/02713359201/6310271335920109092023093747.pdf")</f>
        <v>https://dpmzos25m8ivg.cloudfront.net/Documentos/631/02713359201/6310271335920109092023093747.pdf</v>
      </c>
      <c r="G1014" s="5" t="str">
        <f>HYPERLINK("https://dpmzos25m8ivg.cloudfront.net/Documentos/631/02713359201/6310271335920109092023093804.pdf","https://dpmzos25m8ivg.cloudfront.net/Documentos/631/02713359201/6310271335920109092023093804.pdf")</f>
        <v>https://dpmzos25m8ivg.cloudfront.net/Documentos/631/02713359201/6310271335920109092023093804.pdf</v>
      </c>
      <c r="H1014" s="4" t="s">
        <v>9598</v>
      </c>
    </row>
    <row r="1015" spans="1:8" x14ac:dyDescent="0.25">
      <c r="A1015" s="2" t="s">
        <v>1029</v>
      </c>
      <c r="B1015" s="3"/>
      <c r="C1015" s="3"/>
      <c r="D1015" s="3"/>
      <c r="E1015" s="4" t="str">
        <f>HYPERLINK("https://dpmzos25m8ivg.cloudfront.net/Documentos/631/02714235360/6310271423536009092023231547.pdf","https://dpmzos25m8ivg.cloudfront.net/Documentos/631/02714235360/6310271423536009092023231547.pdf")</f>
        <v>https://dpmzos25m8ivg.cloudfront.net/Documentos/631/02714235360/6310271423536009092023231547.pdf</v>
      </c>
      <c r="F1015" s="5" t="str">
        <f>HYPERLINK("https://dpmzos25m8ivg.cloudfront.net/Documentos/631/02714235360/6310271423536009092023231630.pdf","https://dpmzos25m8ivg.cloudfront.net/Documentos/631/02714235360/6310271423536009092023231630.pdf")</f>
        <v>https://dpmzos25m8ivg.cloudfront.net/Documentos/631/02714235360/6310271423536009092023231630.pdf</v>
      </c>
      <c r="G1015" s="5" t="str">
        <f>HYPERLINK("https://dpmzos25m8ivg.cloudfront.net/Documentos/631/02714235360/6310271423536009092023231653.pdf","https://dpmzos25m8ivg.cloudfront.net/Documentos/631/02714235360/6310271423536009092023231653.pdf")</f>
        <v>https://dpmzos25m8ivg.cloudfront.net/Documentos/631/02714235360/6310271423536009092023231653.pdf</v>
      </c>
      <c r="H1015" s="4" t="s">
        <v>9599</v>
      </c>
    </row>
    <row r="1016" spans="1:8" x14ac:dyDescent="0.25">
      <c r="A1016" s="2" t="s">
        <v>1030</v>
      </c>
      <c r="B1016" s="3" t="s">
        <v>308</v>
      </c>
      <c r="C1016" s="3"/>
      <c r="D1016" s="3"/>
      <c r="E1016" s="4" t="str">
        <f>HYPERLINK("https://dpmzos25m8ivg.cloudfront.net/Documentos/631/02715715196/6310271571519605092023133420.jpg","https://dpmzos25m8ivg.cloudfront.net/Documentos/631/02715715196/6310271571519605092023133420.jpg")</f>
        <v>https://dpmzos25m8ivg.cloudfront.net/Documentos/631/02715715196/6310271571519605092023133420.jpg</v>
      </c>
      <c r="F1016" s="5" t="str">
        <f>HYPERLINK("https://dpmzos25m8ivg.cloudfront.net/Documentos/631/02715715196/6310271571519605092023133437.jpg","https://dpmzos25m8ivg.cloudfront.net/Documentos/631/02715715196/6310271571519605092023133437.jpg")</f>
        <v>https://dpmzos25m8ivg.cloudfront.net/Documentos/631/02715715196/6310271571519605092023133437.jpg</v>
      </c>
      <c r="G1016" s="5" t="str">
        <f>HYPERLINK("https://dpmzos25m8ivg.cloudfront.net/Documentos/631/02715715196/6310271571519605092023133454.jpg","https://dpmzos25m8ivg.cloudfront.net/Documentos/631/02715715196/6310271571519605092023133454.jpg")</f>
        <v>https://dpmzos25m8ivg.cloudfront.net/Documentos/631/02715715196/6310271571519605092023133454.jpg</v>
      </c>
      <c r="H1016" s="4" t="s">
        <v>9600</v>
      </c>
    </row>
    <row r="1017" spans="1:8" x14ac:dyDescent="0.25">
      <c r="A1017" s="2" t="s">
        <v>1031</v>
      </c>
      <c r="B1017" s="3"/>
      <c r="C1017" s="3"/>
      <c r="D1017" s="3"/>
      <c r="E1017" s="4" t="str">
        <f>HYPERLINK("https://dpmzos25m8ivg.cloudfront.net/Documentos/631/02718785179/6310271878517908092023084202.pdf","https://dpmzos25m8ivg.cloudfront.net/Documentos/631/02718785179/6310271878517908092023084202.pdf")</f>
        <v>https://dpmzos25m8ivg.cloudfront.net/Documentos/631/02718785179/6310271878517908092023084202.pdf</v>
      </c>
      <c r="F1017" s="5" t="str">
        <f>HYPERLINK("https://dpmzos25m8ivg.cloudfront.net/Documentos/631/02718785179/6310271878517908092023084220.pdf","https://dpmzos25m8ivg.cloudfront.net/Documentos/631/02718785179/6310271878517908092023084220.pdf")</f>
        <v>https://dpmzos25m8ivg.cloudfront.net/Documentos/631/02718785179/6310271878517908092023084220.pdf</v>
      </c>
      <c r="G1017" s="5" t="str">
        <f>HYPERLINK("https://dpmzos25m8ivg.cloudfront.net/Documentos/631/02718785179/6310271878517908092023084238.pdf","https://dpmzos25m8ivg.cloudfront.net/Documentos/631/02718785179/6310271878517908092023084238.pdf")</f>
        <v>https://dpmzos25m8ivg.cloudfront.net/Documentos/631/02718785179/6310271878517908092023084238.pdf</v>
      </c>
      <c r="H1017" s="4" t="s">
        <v>9601</v>
      </c>
    </row>
    <row r="1018" spans="1:8" x14ac:dyDescent="0.25">
      <c r="A1018" s="2" t="s">
        <v>1032</v>
      </c>
      <c r="B1018" s="3"/>
      <c r="C1018" s="3"/>
      <c r="D1018" s="3"/>
      <c r="E1018" s="4" t="str">
        <f>HYPERLINK("https://dpmzos25m8ivg.cloudfront.net/Documentos/631/02719709360/6310271970936008092023150017.pdf","https://dpmzos25m8ivg.cloudfront.net/Documentos/631/02719709360/6310271970936008092023150017.pdf")</f>
        <v>https://dpmzos25m8ivg.cloudfront.net/Documentos/631/02719709360/6310271970936008092023150017.pdf</v>
      </c>
      <c r="F1018" s="5" t="str">
        <f>HYPERLINK("https://dpmzos25m8ivg.cloudfront.net/Documentos/631/02719709360/6310271970936008092023150027.pdf","https://dpmzos25m8ivg.cloudfront.net/Documentos/631/02719709360/6310271970936008092023150027.pdf")</f>
        <v>https://dpmzos25m8ivg.cloudfront.net/Documentos/631/02719709360/6310271970936008092023150027.pdf</v>
      </c>
      <c r="G1018" s="5" t="str">
        <f>HYPERLINK("https://dpmzos25m8ivg.cloudfront.net/Documentos/631/02719709360/6310271970936008092023150054.pdf","https://dpmzos25m8ivg.cloudfront.net/Documentos/631/02719709360/6310271970936008092023150054.pdf")</f>
        <v>https://dpmzos25m8ivg.cloudfront.net/Documentos/631/02719709360/6310271970936008092023150054.pdf</v>
      </c>
      <c r="H1018" s="4" t="s">
        <v>9602</v>
      </c>
    </row>
    <row r="1019" spans="1:8" x14ac:dyDescent="0.25">
      <c r="A1019" s="2" t="s">
        <v>1033</v>
      </c>
      <c r="B1019" s="3" t="s">
        <v>90</v>
      </c>
      <c r="C1019" s="3"/>
      <c r="D1019" s="3"/>
      <c r="E1019" s="4" t="str">
        <f>HYPERLINK("https://dpmzos25m8ivg.cloudfront.net/Documentos/631/02725375606/6310272537560611092023092828.pdf","https://dpmzos25m8ivg.cloudfront.net/Documentos/631/02725375606/6310272537560611092023092828.pdf")</f>
        <v>https://dpmzos25m8ivg.cloudfront.net/Documentos/631/02725375606/6310272537560611092023092828.pdf</v>
      </c>
      <c r="F1019" s="5" t="str">
        <f>HYPERLINK("https://dpmzos25m8ivg.cloudfront.net/Documentos/631/02725375606/6310272537560611092023092853.pdf","https://dpmzos25m8ivg.cloudfront.net/Documentos/631/02725375606/6310272537560611092023092853.pdf")</f>
        <v>https://dpmzos25m8ivg.cloudfront.net/Documentos/631/02725375606/6310272537560611092023092853.pdf</v>
      </c>
      <c r="G1019" s="5" t="str">
        <f>HYPERLINK("https://dpmzos25m8ivg.cloudfront.net/Documentos/631/02725375606/6310272537560611092023092917.pdf","https://dpmzos25m8ivg.cloudfront.net/Documentos/631/02725375606/6310272537560611092023092917.pdf")</f>
        <v>https://dpmzos25m8ivg.cloudfront.net/Documentos/631/02725375606/6310272537560611092023092917.pdf</v>
      </c>
      <c r="H1019" s="4" t="s">
        <v>9603</v>
      </c>
    </row>
    <row r="1020" spans="1:8" x14ac:dyDescent="0.25">
      <c r="A1020" s="2" t="s">
        <v>1034</v>
      </c>
      <c r="B1020" s="3"/>
      <c r="C1020" s="3"/>
      <c r="D1020" s="3"/>
      <c r="E1020" s="4" t="str">
        <f>HYPERLINK("https://dpmzos25m8ivg.cloudfront.net/Documentos/631/02728298114/6310272829811410092023190655.pdf","https://dpmzos25m8ivg.cloudfront.net/Documentos/631/02728298114/6310272829811410092023190655.pdf")</f>
        <v>https://dpmzos25m8ivg.cloudfront.net/Documentos/631/02728298114/6310272829811410092023190655.pdf</v>
      </c>
      <c r="F1020" s="5" t="str">
        <f>HYPERLINK("https://dpmzos25m8ivg.cloudfront.net/Documentos/631/02728298114/6310272829811410092023190704.pdf","https://dpmzos25m8ivg.cloudfront.net/Documentos/631/02728298114/6310272829811410092023190704.pdf")</f>
        <v>https://dpmzos25m8ivg.cloudfront.net/Documentos/631/02728298114/6310272829811410092023190704.pdf</v>
      </c>
      <c r="G1020" s="5" t="str">
        <f>HYPERLINK("https://dpmzos25m8ivg.cloudfront.net/Documentos/631/02728298114/6310272829811410092023190716.pdf","https://dpmzos25m8ivg.cloudfront.net/Documentos/631/02728298114/6310272829811410092023190716.pdf")</f>
        <v>https://dpmzos25m8ivg.cloudfront.net/Documentos/631/02728298114/6310272829811410092023190716.pdf</v>
      </c>
      <c r="H1020" s="4" t="s">
        <v>9604</v>
      </c>
    </row>
    <row r="1021" spans="1:8" x14ac:dyDescent="0.25">
      <c r="A1021" s="2" t="s">
        <v>1035</v>
      </c>
      <c r="B1021" s="3"/>
      <c r="C1021" s="3"/>
      <c r="D1021" s="3"/>
      <c r="E1021" s="4" t="str">
        <f>HYPERLINK("https://dpmzos25m8ivg.cloudfront.net/Documentos/631/02730775978/6310273077597811092023130936.pdf","https://dpmzos25m8ivg.cloudfront.net/Documentos/631/02730775978/6310273077597811092023130936.pdf")</f>
        <v>https://dpmzos25m8ivg.cloudfront.net/Documentos/631/02730775978/6310273077597811092023130936.pdf</v>
      </c>
      <c r="F1021" s="5" t="str">
        <f>HYPERLINK("https://dpmzos25m8ivg.cloudfront.net/Documentos/631/02730775978/6310273077597811092023130949.pdf","https://dpmzos25m8ivg.cloudfront.net/Documentos/631/02730775978/6310273077597811092023130949.pdf")</f>
        <v>https://dpmzos25m8ivg.cloudfront.net/Documentos/631/02730775978/6310273077597811092023130949.pdf</v>
      </c>
      <c r="G1021" s="5" t="str">
        <f>HYPERLINK("https://dpmzos25m8ivg.cloudfront.net/Documentos/631/02730775978/6310273077597811092023130959.pdf","https://dpmzos25m8ivg.cloudfront.net/Documentos/631/02730775978/6310273077597811092023130959.pdf")</f>
        <v>https://dpmzos25m8ivg.cloudfront.net/Documentos/631/02730775978/6310273077597811092023130959.pdf</v>
      </c>
      <c r="H1021" s="4" t="s">
        <v>9605</v>
      </c>
    </row>
    <row r="1022" spans="1:8" x14ac:dyDescent="0.25">
      <c r="A1022" s="2" t="s">
        <v>1036</v>
      </c>
      <c r="B1022" s="3"/>
      <c r="C1022" s="3"/>
      <c r="D1022" s="3"/>
      <c r="E1022" s="4" t="str">
        <f>HYPERLINK("https://dpmzos25m8ivg.cloudfront.net/Documentos/631/02732701254/6310273270125409092023181925.pdf","https://dpmzos25m8ivg.cloudfront.net/Documentos/631/02732701254/6310273270125409092023181925.pdf")</f>
        <v>https://dpmzos25m8ivg.cloudfront.net/Documentos/631/02732701254/6310273270125409092023181925.pdf</v>
      </c>
      <c r="F1022" s="5" t="str">
        <f>HYPERLINK("https://dpmzos25m8ivg.cloudfront.net/Documentos/631/02732701254/6310273270125409092023182344.pdf","https://dpmzos25m8ivg.cloudfront.net/Documentos/631/02732701254/6310273270125409092023182344.pdf")</f>
        <v>https://dpmzos25m8ivg.cloudfront.net/Documentos/631/02732701254/6310273270125409092023182344.pdf</v>
      </c>
      <c r="G1022" s="5" t="str">
        <f>HYPERLINK("https://dpmzos25m8ivg.cloudfront.net/Documentos/631/02732701254/6310273270125409092023182356.pdf","https://dpmzos25m8ivg.cloudfront.net/Documentos/631/02732701254/6310273270125409092023182356.pdf")</f>
        <v>https://dpmzos25m8ivg.cloudfront.net/Documentos/631/02732701254/6310273270125409092023182356.pdf</v>
      </c>
      <c r="H1022" s="4" t="s">
        <v>9606</v>
      </c>
    </row>
    <row r="1023" spans="1:8" x14ac:dyDescent="0.25">
      <c r="A1023" s="2" t="s">
        <v>1037</v>
      </c>
      <c r="B1023" s="3"/>
      <c r="C1023" s="3"/>
      <c r="D1023" s="3"/>
      <c r="E1023" s="4" t="str">
        <f>HYPERLINK("https://dpmzos25m8ivg.cloudfront.net/Documentos/631/02734189631/6310273418963106092023184555.pdf","https://dpmzos25m8ivg.cloudfront.net/Documentos/631/02734189631/6310273418963106092023184555.pdf")</f>
        <v>https://dpmzos25m8ivg.cloudfront.net/Documentos/631/02734189631/6310273418963106092023184555.pdf</v>
      </c>
      <c r="F1023" s="5" t="str">
        <f>HYPERLINK("https://dpmzos25m8ivg.cloudfront.net/Documentos/631/02734189631/6310273418963106092023184619.pdf","https://dpmzos25m8ivg.cloudfront.net/Documentos/631/02734189631/6310273418963106092023184619.pdf")</f>
        <v>https://dpmzos25m8ivg.cloudfront.net/Documentos/631/02734189631/6310273418963106092023184619.pdf</v>
      </c>
      <c r="G1023" s="5" t="str">
        <f>HYPERLINK("https://dpmzos25m8ivg.cloudfront.net/Documentos/631/02734189631/6310273418963106092023184634.pdf","https://dpmzos25m8ivg.cloudfront.net/Documentos/631/02734189631/6310273418963106092023184634.pdf")</f>
        <v>https://dpmzos25m8ivg.cloudfront.net/Documentos/631/02734189631/6310273418963106092023184634.pdf</v>
      </c>
      <c r="H1023" s="4" t="s">
        <v>9607</v>
      </c>
    </row>
    <row r="1024" spans="1:8" x14ac:dyDescent="0.25">
      <c r="A1024" s="2" t="s">
        <v>1038</v>
      </c>
      <c r="B1024" s="3" t="s">
        <v>23</v>
      </c>
      <c r="C1024" s="3"/>
      <c r="D1024" s="3"/>
      <c r="E1024" s="4" t="str">
        <f>HYPERLINK("https://dpmzos25m8ivg.cloudfront.net/Documentos/631/02736485351/6310273648535108092023152345.pdf","https://dpmzos25m8ivg.cloudfront.net/Documentos/631/02736485351/6310273648535108092023152345.pdf")</f>
        <v>https://dpmzos25m8ivg.cloudfront.net/Documentos/631/02736485351/6310273648535108092023152345.pdf</v>
      </c>
      <c r="F1024" s="5" t="str">
        <f>HYPERLINK("https://dpmzos25m8ivg.cloudfront.net/Documentos/631/02736485351/6310273648535108092023152408.pdf","https://dpmzos25m8ivg.cloudfront.net/Documentos/631/02736485351/6310273648535108092023152408.pdf")</f>
        <v>https://dpmzos25m8ivg.cloudfront.net/Documentos/631/02736485351/6310273648535108092023152408.pdf</v>
      </c>
      <c r="G1024" s="5" t="str">
        <f>HYPERLINK("https://dpmzos25m8ivg.cloudfront.net/Documentos/631/02736485351/6310273648535108092023152419.pdf","https://dpmzos25m8ivg.cloudfront.net/Documentos/631/02736485351/6310273648535108092023152419.pdf")</f>
        <v>https://dpmzos25m8ivg.cloudfront.net/Documentos/631/02736485351/6310273648535108092023152419.pdf</v>
      </c>
      <c r="H1024" s="4" t="s">
        <v>9608</v>
      </c>
    </row>
    <row r="1025" spans="1:8" x14ac:dyDescent="0.25">
      <c r="A1025" s="2" t="s">
        <v>1039</v>
      </c>
      <c r="B1025" s="3"/>
      <c r="C1025" s="3"/>
      <c r="D1025" s="3"/>
      <c r="E1025" s="4" t="str">
        <f>HYPERLINK("https://dpmzos25m8ivg.cloudfront.net/Documentos/631/02736746252/6310273674625207092023104305.pdf","https://dpmzos25m8ivg.cloudfront.net/Documentos/631/02736746252/6310273674625207092023104305.pdf")</f>
        <v>https://dpmzos25m8ivg.cloudfront.net/Documentos/631/02736746252/6310273674625207092023104305.pdf</v>
      </c>
      <c r="F1025" s="5" t="str">
        <f>HYPERLINK("https://dpmzos25m8ivg.cloudfront.net/Documentos/631/02736746252/6310273674625207092023104342.pdf","https://dpmzos25m8ivg.cloudfront.net/Documentos/631/02736746252/6310273674625207092023104342.pdf")</f>
        <v>https://dpmzos25m8ivg.cloudfront.net/Documentos/631/02736746252/6310273674625207092023104342.pdf</v>
      </c>
      <c r="G1025" s="5" t="str">
        <f>HYPERLINK("https://dpmzos25m8ivg.cloudfront.net/Documentos/631/02736746252/6310273674625207092023104356.pdf","https://dpmzos25m8ivg.cloudfront.net/Documentos/631/02736746252/6310273674625207092023104356.pdf")</f>
        <v>https://dpmzos25m8ivg.cloudfront.net/Documentos/631/02736746252/6310273674625207092023104356.pdf</v>
      </c>
      <c r="H1025" s="4" t="s">
        <v>9609</v>
      </c>
    </row>
    <row r="1026" spans="1:8" x14ac:dyDescent="0.25">
      <c r="A1026" s="2" t="s">
        <v>1040</v>
      </c>
      <c r="B1026" s="3"/>
      <c r="C1026" s="3"/>
      <c r="D1026" s="3"/>
      <c r="E1026" s="4" t="str">
        <f>HYPERLINK("https://dpmzos25m8ivg.cloudfront.net/Documentos/631/02737870127/6310273787012713092023112443.pdf","https://dpmzos25m8ivg.cloudfront.net/Documentos/631/02737870127/6310273787012713092023112443.pdf")</f>
        <v>https://dpmzos25m8ivg.cloudfront.net/Documentos/631/02737870127/6310273787012713092023112443.pdf</v>
      </c>
      <c r="F1026" s="5" t="str">
        <f>HYPERLINK("https://dpmzos25m8ivg.cloudfront.net/Documentos/631/02737870127/6310273787012713092023112456.pdf","https://dpmzos25m8ivg.cloudfront.net/Documentos/631/02737870127/6310273787012713092023112456.pdf")</f>
        <v>https://dpmzos25m8ivg.cloudfront.net/Documentos/631/02737870127/6310273787012713092023112456.pdf</v>
      </c>
      <c r="G1026" s="5" t="str">
        <f>HYPERLINK("https://dpmzos25m8ivg.cloudfront.net/Documentos/631/02737870127/6310273787012713092023112505.pdf","https://dpmzos25m8ivg.cloudfront.net/Documentos/631/02737870127/6310273787012713092023112505.pdf")</f>
        <v>https://dpmzos25m8ivg.cloudfront.net/Documentos/631/02737870127/6310273787012713092023112505.pdf</v>
      </c>
      <c r="H1026" s="4" t="s">
        <v>9610</v>
      </c>
    </row>
    <row r="1027" spans="1:8" x14ac:dyDescent="0.25">
      <c r="A1027" s="2" t="s">
        <v>1041</v>
      </c>
      <c r="B1027" s="3"/>
      <c r="C1027" s="3"/>
      <c r="D1027" s="3"/>
      <c r="E1027" s="4" t="str">
        <f>HYPERLINK("https://dpmzos25m8ivg.cloudfront.net/Documentos/631/02740780400/6310274078040006092023202542.pdf","https://dpmzos25m8ivg.cloudfront.net/Documentos/631/02740780400/6310274078040006092023202542.pdf")</f>
        <v>https://dpmzos25m8ivg.cloudfront.net/Documentos/631/02740780400/6310274078040006092023202542.pdf</v>
      </c>
      <c r="F1027" s="5" t="str">
        <f>HYPERLINK("https://dpmzos25m8ivg.cloudfront.net/Documentos/631/02740780400/6310274078040006092023202613.pdf","https://dpmzos25m8ivg.cloudfront.net/Documentos/631/02740780400/6310274078040006092023202613.pdf")</f>
        <v>https://dpmzos25m8ivg.cloudfront.net/Documentos/631/02740780400/6310274078040006092023202613.pdf</v>
      </c>
      <c r="G1027" s="5" t="str">
        <f>HYPERLINK("https://dpmzos25m8ivg.cloudfront.net/Documentos/631/02740780400/6310274078040006092023202628.pdf","https://dpmzos25m8ivg.cloudfront.net/Documentos/631/02740780400/6310274078040006092023202628.pdf")</f>
        <v>https://dpmzos25m8ivg.cloudfront.net/Documentos/631/02740780400/6310274078040006092023202628.pdf</v>
      </c>
      <c r="H1027" s="4" t="s">
        <v>9611</v>
      </c>
    </row>
    <row r="1028" spans="1:8" x14ac:dyDescent="0.25">
      <c r="A1028" s="2" t="s">
        <v>1042</v>
      </c>
      <c r="B1028" s="3" t="s">
        <v>308</v>
      </c>
      <c r="C1028" s="3"/>
      <c r="D1028" s="3"/>
      <c r="E1028" s="4" t="str">
        <f>HYPERLINK("https://dpmzos25m8ivg.cloudfront.net/Documentos/631/02742783164/6310274278316410092023125706.pdf","https://dpmzos25m8ivg.cloudfront.net/Documentos/631/02742783164/6310274278316410092023125706.pdf")</f>
        <v>https://dpmzos25m8ivg.cloudfront.net/Documentos/631/02742783164/6310274278316410092023125706.pdf</v>
      </c>
      <c r="F1028" s="5" t="str">
        <f>HYPERLINK("https://dpmzos25m8ivg.cloudfront.net/Documentos/631/02742783164/6310274278316410092023130543.pdf","https://dpmzos25m8ivg.cloudfront.net/Documentos/631/02742783164/6310274278316410092023130543.pdf")</f>
        <v>https://dpmzos25m8ivg.cloudfront.net/Documentos/631/02742783164/6310274278316410092023130543.pdf</v>
      </c>
      <c r="G1028" s="5" t="str">
        <f>HYPERLINK("https://dpmzos25m8ivg.cloudfront.net/Documentos/631/02742783164/6310274278316410092023130558.pdf","https://dpmzos25m8ivg.cloudfront.net/Documentos/631/02742783164/6310274278316410092023130558.pdf")</f>
        <v>https://dpmzos25m8ivg.cloudfront.net/Documentos/631/02742783164/6310274278316410092023130558.pdf</v>
      </c>
      <c r="H1028" s="4" t="s">
        <v>9612</v>
      </c>
    </row>
    <row r="1029" spans="1:8" x14ac:dyDescent="0.25">
      <c r="A1029" s="2" t="s">
        <v>1043</v>
      </c>
      <c r="B1029" s="3"/>
      <c r="C1029" s="3"/>
      <c r="D1029" s="3"/>
      <c r="E1029" s="4" t="str">
        <f>HYPERLINK("https://dpmzos25m8ivg.cloudfront.net/Documentos/631/02746274183/6310274627418305092023173326.pdf","https://dpmzos25m8ivg.cloudfront.net/Documentos/631/02746274183/6310274627418305092023173326.pdf")</f>
        <v>https://dpmzos25m8ivg.cloudfront.net/Documentos/631/02746274183/6310274627418305092023173326.pdf</v>
      </c>
      <c r="F1029" s="5" t="str">
        <f>HYPERLINK("https://dpmzos25m8ivg.cloudfront.net/Documentos/631/02746274183/6310274627418305092023173341.pdf","https://dpmzos25m8ivg.cloudfront.net/Documentos/631/02746274183/6310274627418305092023173341.pdf")</f>
        <v>https://dpmzos25m8ivg.cloudfront.net/Documentos/631/02746274183/6310274627418305092023173341.pdf</v>
      </c>
      <c r="G1029" s="5" t="str">
        <f>HYPERLINK("https://dpmzos25m8ivg.cloudfront.net/Documentos/631/02746274183/6310274627418305092023173358.pdf","https://dpmzos25m8ivg.cloudfront.net/Documentos/631/02746274183/6310274627418305092023173358.pdf")</f>
        <v>https://dpmzos25m8ivg.cloudfront.net/Documentos/631/02746274183/6310274627418305092023173358.pdf</v>
      </c>
      <c r="H1029" s="4" t="s">
        <v>9613</v>
      </c>
    </row>
    <row r="1030" spans="1:8" x14ac:dyDescent="0.25">
      <c r="A1030" s="2" t="s">
        <v>1044</v>
      </c>
      <c r="B1030" s="3"/>
      <c r="C1030" s="3"/>
      <c r="D1030" s="3"/>
      <c r="E1030" s="4" t="str">
        <f>HYPERLINK("https://dpmzos25m8ivg.cloudfront.net/Documentos/631/02747232557/6310274723255710092023112115.pdf","https://dpmzos25m8ivg.cloudfront.net/Documentos/631/02747232557/6310274723255710092023112115.pdf")</f>
        <v>https://dpmzos25m8ivg.cloudfront.net/Documentos/631/02747232557/6310274723255710092023112115.pdf</v>
      </c>
      <c r="F1030" s="5" t="str">
        <f>HYPERLINK("https://dpmzos25m8ivg.cloudfront.net/Documentos/631/02747232557/6310274723255710092023112135.pdf","https://dpmzos25m8ivg.cloudfront.net/Documentos/631/02747232557/6310274723255710092023112135.pdf")</f>
        <v>https://dpmzos25m8ivg.cloudfront.net/Documentos/631/02747232557/6310274723255710092023112135.pdf</v>
      </c>
      <c r="G1030" s="5" t="str">
        <f>HYPERLINK("https://dpmzos25m8ivg.cloudfront.net/Documentos/631/02747232557/6310274723255710092023112145.pdf","https://dpmzos25m8ivg.cloudfront.net/Documentos/631/02747232557/6310274723255710092023112145.pdf")</f>
        <v>https://dpmzos25m8ivg.cloudfront.net/Documentos/631/02747232557/6310274723255710092023112145.pdf</v>
      </c>
      <c r="H1030" s="4" t="s">
        <v>9614</v>
      </c>
    </row>
    <row r="1031" spans="1:8" x14ac:dyDescent="0.25">
      <c r="A1031" s="2" t="s">
        <v>1045</v>
      </c>
      <c r="B1031" s="3"/>
      <c r="C1031" s="3"/>
      <c r="D1031" s="3"/>
      <c r="E1031" s="4" t="str">
        <f>HYPERLINK("https://dpmzos25m8ivg.cloudfront.net/Documentos/631/02747661164/6310274766116411092023150458.jpeg","https://dpmzos25m8ivg.cloudfront.net/Documentos/631/02747661164/6310274766116411092023150458.jpeg")</f>
        <v>https://dpmzos25m8ivg.cloudfront.net/Documentos/631/02747661164/6310274766116411092023150458.jpeg</v>
      </c>
      <c r="F1031" s="5" t="str">
        <f>HYPERLINK("https://dpmzos25m8ivg.cloudfront.net/Documentos/631/02747661164/6310274766116411092023150506.jpeg","https://dpmzos25m8ivg.cloudfront.net/Documentos/631/02747661164/6310274766116411092023150506.jpeg")</f>
        <v>https://dpmzos25m8ivg.cloudfront.net/Documentos/631/02747661164/6310274766116411092023150506.jpeg</v>
      </c>
      <c r="G1031" s="5" t="str">
        <f>HYPERLINK("https://dpmzos25m8ivg.cloudfront.net/Documentos/631/02747661164/6310274766116411092023150520.jpeg","https://dpmzos25m8ivg.cloudfront.net/Documentos/631/02747661164/6310274766116411092023150520.jpeg")</f>
        <v>https://dpmzos25m8ivg.cloudfront.net/Documentos/631/02747661164/6310274766116411092023150520.jpeg</v>
      </c>
      <c r="H1031" s="4" t="s">
        <v>9615</v>
      </c>
    </row>
    <row r="1032" spans="1:8" x14ac:dyDescent="0.25">
      <c r="A1032" s="2" t="s">
        <v>1046</v>
      </c>
      <c r="B1032" s="3"/>
      <c r="C1032" s="3"/>
      <c r="D1032" s="3"/>
      <c r="E1032" s="4" t="str">
        <f>HYPERLINK("https://dpmzos25m8ivg.cloudfront.net/Documentos/631/02749473071/6310274947307109092023124336.pdf","https://dpmzos25m8ivg.cloudfront.net/Documentos/631/02749473071/6310274947307109092023124336.pdf")</f>
        <v>https://dpmzos25m8ivg.cloudfront.net/Documentos/631/02749473071/6310274947307109092023124336.pdf</v>
      </c>
      <c r="F1032" s="5" t="str">
        <f>HYPERLINK("https://dpmzos25m8ivg.cloudfront.net/Documentos/631/02749473071/6310274947307109092023124430.pdf","https://dpmzos25m8ivg.cloudfront.net/Documentos/631/02749473071/6310274947307109092023124430.pdf")</f>
        <v>https://dpmzos25m8ivg.cloudfront.net/Documentos/631/02749473071/6310274947307109092023124430.pdf</v>
      </c>
      <c r="G1032" s="5" t="str">
        <f>HYPERLINK("https://dpmzos25m8ivg.cloudfront.net/Documentos/631/02749473071/6310274947307109092023124528.pdf","https://dpmzos25m8ivg.cloudfront.net/Documentos/631/02749473071/6310274947307109092023124528.pdf")</f>
        <v>https://dpmzos25m8ivg.cloudfront.net/Documentos/631/02749473071/6310274947307109092023124528.pdf</v>
      </c>
      <c r="H1032" s="4" t="s">
        <v>9616</v>
      </c>
    </row>
    <row r="1033" spans="1:8" x14ac:dyDescent="0.25">
      <c r="A1033" s="2" t="s">
        <v>1047</v>
      </c>
      <c r="B1033" s="3"/>
      <c r="C1033" s="3"/>
      <c r="D1033" s="3"/>
      <c r="E1033" s="4" t="str">
        <f>HYPERLINK("https://dpmzos25m8ivg.cloudfront.net/Documentos/631/02751873570/6310275187357010092023141707.jpg","https://dpmzos25m8ivg.cloudfront.net/Documentos/631/02751873570/6310275187357010092023141707.jpg")</f>
        <v>https://dpmzos25m8ivg.cloudfront.net/Documentos/631/02751873570/6310275187357010092023141707.jpg</v>
      </c>
      <c r="F1033" s="5" t="str">
        <f>HYPERLINK("https://dpmzos25m8ivg.cloudfront.net/Documentos/631/02751873570/6310275187357010092023141724.jpg","https://dpmzos25m8ivg.cloudfront.net/Documentos/631/02751873570/6310275187357010092023141724.jpg")</f>
        <v>https://dpmzos25m8ivg.cloudfront.net/Documentos/631/02751873570/6310275187357010092023141724.jpg</v>
      </c>
      <c r="G1033" s="5" t="str">
        <f>HYPERLINK("https://dpmzos25m8ivg.cloudfront.net/Documentos/631/02751873570/6310275187357010092023141746.jpg","https://dpmzos25m8ivg.cloudfront.net/Documentos/631/02751873570/6310275187357010092023141746.jpg")</f>
        <v>https://dpmzos25m8ivg.cloudfront.net/Documentos/631/02751873570/6310275187357010092023141746.jpg</v>
      </c>
      <c r="H1033" s="4" t="s">
        <v>9617</v>
      </c>
    </row>
    <row r="1034" spans="1:8" x14ac:dyDescent="0.25">
      <c r="A1034" s="2" t="s">
        <v>1048</v>
      </c>
      <c r="B1034" s="3"/>
      <c r="C1034" s="3"/>
      <c r="D1034" s="3"/>
      <c r="E1034" s="4" t="str">
        <f>HYPERLINK("https://dpmzos25m8ivg.cloudfront.net/Documentos/631/02757144111/6310275714411108092023172217.pdf","https://dpmzos25m8ivg.cloudfront.net/Documentos/631/02757144111/6310275714411108092023172217.pdf")</f>
        <v>https://dpmzos25m8ivg.cloudfront.net/Documentos/631/02757144111/6310275714411108092023172217.pdf</v>
      </c>
      <c r="F1034" s="5" t="str">
        <f>HYPERLINK("https://dpmzos25m8ivg.cloudfront.net/Documentos/631/02757144111/6310275714411108092023172232.pdf","https://dpmzos25m8ivg.cloudfront.net/Documentos/631/02757144111/6310275714411108092023172232.pdf")</f>
        <v>https://dpmzos25m8ivg.cloudfront.net/Documentos/631/02757144111/6310275714411108092023172232.pdf</v>
      </c>
      <c r="G1034" s="5" t="str">
        <f>HYPERLINK("https://dpmzos25m8ivg.cloudfront.net/Documentos/631/02757144111/6310275714411108092023172242.pdf","https://dpmzos25m8ivg.cloudfront.net/Documentos/631/02757144111/6310275714411108092023172242.pdf")</f>
        <v>https://dpmzos25m8ivg.cloudfront.net/Documentos/631/02757144111/6310275714411108092023172242.pdf</v>
      </c>
      <c r="H1034" s="4" t="s">
        <v>9618</v>
      </c>
    </row>
    <row r="1035" spans="1:8" x14ac:dyDescent="0.25">
      <c r="A1035" s="2" t="s">
        <v>1049</v>
      </c>
      <c r="B1035" s="3"/>
      <c r="C1035" s="3"/>
      <c r="D1035" s="3"/>
      <c r="E1035" s="4" t="str">
        <f>HYPERLINK("https://dpmzos25m8ivg.cloudfront.net/Documentos/631/02758916312/6310275891631209092023203611.jpg","https://dpmzos25m8ivg.cloudfront.net/Documentos/631/02758916312/6310275891631209092023203611.jpg")</f>
        <v>https://dpmzos25m8ivg.cloudfront.net/Documentos/631/02758916312/6310275891631209092023203611.jpg</v>
      </c>
      <c r="F1035" s="5" t="str">
        <f>HYPERLINK("https://dpmzos25m8ivg.cloudfront.net/Documentos/631/02758916312/6310275891631209092023203649.jpg","https://dpmzos25m8ivg.cloudfront.net/Documentos/631/02758916312/6310275891631209092023203649.jpg")</f>
        <v>https://dpmzos25m8ivg.cloudfront.net/Documentos/631/02758916312/6310275891631209092023203649.jpg</v>
      </c>
      <c r="G1035" s="5" t="str">
        <f>HYPERLINK("https://dpmzos25m8ivg.cloudfront.net/Documentos/631/02758916312/6310275891631209092023203706.jpg","https://dpmzos25m8ivg.cloudfront.net/Documentos/631/02758916312/6310275891631209092023203706.jpg")</f>
        <v>https://dpmzos25m8ivg.cloudfront.net/Documentos/631/02758916312/6310275891631209092023203706.jpg</v>
      </c>
      <c r="H1035" s="4" t="s">
        <v>9619</v>
      </c>
    </row>
    <row r="1036" spans="1:8" x14ac:dyDescent="0.25">
      <c r="A1036" s="2" t="s">
        <v>1050</v>
      </c>
      <c r="B1036" s="3"/>
      <c r="C1036" s="3"/>
      <c r="D1036" s="3"/>
      <c r="E1036" s="4" t="str">
        <f>HYPERLINK("https://dpmzos25m8ivg.cloudfront.net/Documentos/631/02759508242/6310275950824206092023092856.pdf","https://dpmzos25m8ivg.cloudfront.net/Documentos/631/02759508242/6310275950824206092023092856.pdf")</f>
        <v>https://dpmzos25m8ivg.cloudfront.net/Documentos/631/02759508242/6310275950824206092023092856.pdf</v>
      </c>
      <c r="F1036" s="5" t="str">
        <f>HYPERLINK("https://dpmzos25m8ivg.cloudfront.net/Documentos/631/02759508242/6310275950824206092023092926.pdf","https://dpmzos25m8ivg.cloudfront.net/Documentos/631/02759508242/6310275950824206092023092926.pdf")</f>
        <v>https://dpmzos25m8ivg.cloudfront.net/Documentos/631/02759508242/6310275950824206092023092926.pdf</v>
      </c>
      <c r="G1036" s="5" t="str">
        <f>HYPERLINK("https://dpmzos25m8ivg.cloudfront.net/Documentos/631/02759508242/6310275950824206092023092944.pdf","https://dpmzos25m8ivg.cloudfront.net/Documentos/631/02759508242/6310275950824206092023092944.pdf")</f>
        <v>https://dpmzos25m8ivg.cloudfront.net/Documentos/631/02759508242/6310275950824206092023092944.pdf</v>
      </c>
      <c r="H1036" s="4" t="s">
        <v>9620</v>
      </c>
    </row>
    <row r="1037" spans="1:8" x14ac:dyDescent="0.25">
      <c r="A1037" s="2" t="s">
        <v>1051</v>
      </c>
      <c r="B1037" s="3" t="s">
        <v>23</v>
      </c>
      <c r="C1037" s="3"/>
      <c r="D1037" s="3"/>
      <c r="E1037" s="4" t="str">
        <f>HYPERLINK("https://dpmzos25m8ivg.cloudfront.net/Documentos/631/02763378242/6310276337824211092023160816.pdf","https://dpmzos25m8ivg.cloudfront.net/Documentos/631/02763378242/6310276337824211092023160816.pdf")</f>
        <v>https://dpmzos25m8ivg.cloudfront.net/Documentos/631/02763378242/6310276337824211092023160816.pdf</v>
      </c>
      <c r="F1037" s="5" t="str">
        <f>HYPERLINK("https://dpmzos25m8ivg.cloudfront.net/Documentos/631/02763378242/6310276337824211092023163713.pdf","https://dpmzos25m8ivg.cloudfront.net/Documentos/631/02763378242/6310276337824211092023163713.pdf")</f>
        <v>https://dpmzos25m8ivg.cloudfront.net/Documentos/631/02763378242/6310276337824211092023163713.pdf</v>
      </c>
      <c r="G1037" s="5" t="str">
        <f>HYPERLINK("https://dpmzos25m8ivg.cloudfront.net/Documentos/631/02763378242/6310276337824211092023163721.pdf","https://dpmzos25m8ivg.cloudfront.net/Documentos/631/02763378242/6310276337824211092023163721.pdf")</f>
        <v>https://dpmzos25m8ivg.cloudfront.net/Documentos/631/02763378242/6310276337824211092023163721.pdf</v>
      </c>
      <c r="H1037" s="4" t="s">
        <v>9621</v>
      </c>
    </row>
    <row r="1038" spans="1:8" x14ac:dyDescent="0.25">
      <c r="A1038" s="2" t="s">
        <v>1052</v>
      </c>
      <c r="B1038" s="3"/>
      <c r="C1038" s="3"/>
      <c r="D1038" s="3"/>
      <c r="E1038" s="4" t="str">
        <f>HYPERLINK("https://dpmzos25m8ivg.cloudfront.net/Documentos/631/02763571166/6310276357116611092023164330.pdf","https://dpmzos25m8ivg.cloudfront.net/Documentos/631/02763571166/6310276357116611092023164330.pdf")</f>
        <v>https://dpmzos25m8ivg.cloudfront.net/Documentos/631/02763571166/6310276357116611092023164330.pdf</v>
      </c>
      <c r="F1038" s="5" t="str">
        <f>HYPERLINK("https://dpmzos25m8ivg.cloudfront.net/Documentos/631/02763571166/6310276357116611092023164342.pdf","https://dpmzos25m8ivg.cloudfront.net/Documentos/631/02763571166/6310276357116611092023164342.pdf")</f>
        <v>https://dpmzos25m8ivg.cloudfront.net/Documentos/631/02763571166/6310276357116611092023164342.pdf</v>
      </c>
      <c r="G1038" s="5" t="str">
        <f>HYPERLINK("https://dpmzos25m8ivg.cloudfront.net/Documentos/631/02763571166/6310276357116611092023164357.pdf","https://dpmzos25m8ivg.cloudfront.net/Documentos/631/02763571166/6310276357116611092023164357.pdf")</f>
        <v>https://dpmzos25m8ivg.cloudfront.net/Documentos/631/02763571166/6310276357116611092023164357.pdf</v>
      </c>
      <c r="H1038" s="4" t="s">
        <v>9622</v>
      </c>
    </row>
    <row r="1039" spans="1:8" x14ac:dyDescent="0.25">
      <c r="A1039" s="2" t="s">
        <v>1053</v>
      </c>
      <c r="B1039" s="3"/>
      <c r="C1039" s="3"/>
      <c r="D1039" s="3"/>
      <c r="E1039" s="4" t="str">
        <f>HYPERLINK("https://dpmzos25m8ivg.cloudfront.net/Documentos/631/02764262400/6310276426240009092023194444.pdf","https://dpmzos25m8ivg.cloudfront.net/Documentos/631/02764262400/6310276426240009092023194444.pdf")</f>
        <v>https://dpmzos25m8ivg.cloudfront.net/Documentos/631/02764262400/6310276426240009092023194444.pdf</v>
      </c>
      <c r="F1039" s="5" t="str">
        <f>HYPERLINK("https://dpmzos25m8ivg.cloudfront.net/Documentos/631/02764262400/6310276426240009092023194457.pdf","https://dpmzos25m8ivg.cloudfront.net/Documentos/631/02764262400/6310276426240009092023194457.pdf")</f>
        <v>https://dpmzos25m8ivg.cloudfront.net/Documentos/631/02764262400/6310276426240009092023194457.pdf</v>
      </c>
      <c r="G1039" s="5" t="str">
        <f>HYPERLINK("https://dpmzos25m8ivg.cloudfront.net/Documentos/631/02764262400/6310276426240009092023194506.pdf","https://dpmzos25m8ivg.cloudfront.net/Documentos/631/02764262400/6310276426240009092023194506.pdf")</f>
        <v>https://dpmzos25m8ivg.cloudfront.net/Documentos/631/02764262400/6310276426240009092023194506.pdf</v>
      </c>
      <c r="H1039" s="4" t="s">
        <v>9623</v>
      </c>
    </row>
    <row r="1040" spans="1:8" x14ac:dyDescent="0.25">
      <c r="A1040" s="2" t="s">
        <v>1054</v>
      </c>
      <c r="B1040" s="3"/>
      <c r="C1040" s="3"/>
      <c r="D1040" s="3"/>
      <c r="E1040" s="4" t="str">
        <f>HYPERLINK("https://dpmzos25m8ivg.cloudfront.net/Documentos/631/02769881329/6310276988132909092023101812.pdf","https://dpmzos25m8ivg.cloudfront.net/Documentos/631/02769881329/6310276988132909092023101812.pdf")</f>
        <v>https://dpmzos25m8ivg.cloudfront.net/Documentos/631/02769881329/6310276988132909092023101812.pdf</v>
      </c>
      <c r="F1040" s="5" t="str">
        <f>HYPERLINK("https://dpmzos25m8ivg.cloudfront.net/Documentos/631/02769881329/6310276988132909092023101826.pdf","https://dpmzos25m8ivg.cloudfront.net/Documentos/631/02769881329/6310276988132909092023101826.pdf")</f>
        <v>https://dpmzos25m8ivg.cloudfront.net/Documentos/631/02769881329/6310276988132909092023101826.pdf</v>
      </c>
      <c r="G1040" s="5" t="str">
        <f>HYPERLINK("https://dpmzos25m8ivg.cloudfront.net/Documentos/631/02769881329/6310276988132909092023101838.pdf","https://dpmzos25m8ivg.cloudfront.net/Documentos/631/02769881329/6310276988132909092023101838.pdf")</f>
        <v>https://dpmzos25m8ivg.cloudfront.net/Documentos/631/02769881329/6310276988132909092023101838.pdf</v>
      </c>
      <c r="H1040" s="4" t="s">
        <v>9624</v>
      </c>
    </row>
    <row r="1041" spans="1:8" x14ac:dyDescent="0.25">
      <c r="A1041" s="2" t="s">
        <v>1055</v>
      </c>
      <c r="B1041" s="3" t="s">
        <v>312</v>
      </c>
      <c r="C1041" s="3"/>
      <c r="D1041" s="3"/>
      <c r="E1041" s="4" t="str">
        <f>HYPERLINK("https://dpmzos25m8ivg.cloudfront.net/Documentos/631/02774794366/6310277479436611092023135504.pdf","https://dpmzos25m8ivg.cloudfront.net/Documentos/631/02774794366/6310277479436611092023135504.pdf")</f>
        <v>https://dpmzos25m8ivg.cloudfront.net/Documentos/631/02774794366/6310277479436611092023135504.pdf</v>
      </c>
      <c r="F1041" s="5" t="str">
        <f>HYPERLINK("https://dpmzos25m8ivg.cloudfront.net/Documentos/631/02774794366/6310277479436611092023135522.pdf","https://dpmzos25m8ivg.cloudfront.net/Documentos/631/02774794366/6310277479436611092023135522.pdf")</f>
        <v>https://dpmzos25m8ivg.cloudfront.net/Documentos/631/02774794366/6310277479436611092023135522.pdf</v>
      </c>
      <c r="G1041" s="5" t="str">
        <f>HYPERLINK("https://dpmzos25m8ivg.cloudfront.net/Documentos/631/02774794366/6310277479436611092023135543.pdf","https://dpmzos25m8ivg.cloudfront.net/Documentos/631/02774794366/6310277479436611092023135543.pdf")</f>
        <v>https://dpmzos25m8ivg.cloudfront.net/Documentos/631/02774794366/6310277479436611092023135543.pdf</v>
      </c>
      <c r="H1041" s="4" t="s">
        <v>9625</v>
      </c>
    </row>
    <row r="1042" spans="1:8" x14ac:dyDescent="0.25">
      <c r="A1042" s="2" t="s">
        <v>1056</v>
      </c>
      <c r="B1042" s="3"/>
      <c r="C1042" s="3"/>
      <c r="D1042" s="3"/>
      <c r="E1042" s="4" t="str">
        <f>HYPERLINK("https://dpmzos25m8ivg.cloudfront.net/Documentos/631/02776469101/6310277646910105092023090512.pdf","https://dpmzos25m8ivg.cloudfront.net/Documentos/631/02776469101/6310277646910105092023090512.pdf")</f>
        <v>https://dpmzos25m8ivg.cloudfront.net/Documentos/631/02776469101/6310277646910105092023090512.pdf</v>
      </c>
      <c r="F1042" s="5" t="str">
        <f>HYPERLINK("https://dpmzos25m8ivg.cloudfront.net/Documentos/631/02776469101/6310277646910105092023090519.pdf","https://dpmzos25m8ivg.cloudfront.net/Documentos/631/02776469101/6310277646910105092023090519.pdf")</f>
        <v>https://dpmzos25m8ivg.cloudfront.net/Documentos/631/02776469101/6310277646910105092023090519.pdf</v>
      </c>
      <c r="G1042" s="5" t="str">
        <f>HYPERLINK("https://dpmzos25m8ivg.cloudfront.net/Documentos/631/02776469101/6310277646910105092023090525.pdf","https://dpmzos25m8ivg.cloudfront.net/Documentos/631/02776469101/6310277646910105092023090525.pdf")</f>
        <v>https://dpmzos25m8ivg.cloudfront.net/Documentos/631/02776469101/6310277646910105092023090525.pdf</v>
      </c>
      <c r="H1042" s="4" t="s">
        <v>9626</v>
      </c>
    </row>
    <row r="1043" spans="1:8" x14ac:dyDescent="0.25">
      <c r="A1043" s="2" t="s">
        <v>1057</v>
      </c>
      <c r="B1043" s="3"/>
      <c r="C1043" s="3"/>
      <c r="D1043" s="3"/>
      <c r="E1043" s="4" t="str">
        <f>HYPERLINK("https://dpmzos25m8ivg.cloudfront.net/Documentos/631/02777035490/6310277703549009092023102659.pdf","https://dpmzos25m8ivg.cloudfront.net/Documentos/631/02777035490/6310277703549009092023102659.pdf")</f>
        <v>https://dpmzos25m8ivg.cloudfront.net/Documentos/631/02777035490/6310277703549009092023102659.pdf</v>
      </c>
      <c r="F1043" s="5" t="str">
        <f>HYPERLINK("https://dpmzos25m8ivg.cloudfront.net/Documentos/631/02777035490/6310277703549009092023102711.pdf","https://dpmzos25m8ivg.cloudfront.net/Documentos/631/02777035490/6310277703549009092023102711.pdf")</f>
        <v>https://dpmzos25m8ivg.cloudfront.net/Documentos/631/02777035490/6310277703549009092023102711.pdf</v>
      </c>
      <c r="G1043" s="5" t="str">
        <f>HYPERLINK("https://dpmzos25m8ivg.cloudfront.net/Documentos/631/02777035490/6310277703549009092023102725.pdf","https://dpmzos25m8ivg.cloudfront.net/Documentos/631/02777035490/6310277703549009092023102725.pdf")</f>
        <v>https://dpmzos25m8ivg.cloudfront.net/Documentos/631/02777035490/6310277703549009092023102725.pdf</v>
      </c>
      <c r="H1043" s="4" t="s">
        <v>9627</v>
      </c>
    </row>
    <row r="1044" spans="1:8" x14ac:dyDescent="0.25">
      <c r="A1044" s="2" t="s">
        <v>1058</v>
      </c>
      <c r="B1044" s="3"/>
      <c r="C1044" s="3"/>
      <c r="D1044" s="3"/>
      <c r="E1044" s="4" t="str">
        <f>HYPERLINK("https://dpmzos25m8ivg.cloudfront.net/Documentos/631/02778257098/6310277825709814092023160259.pdf","https://dpmzos25m8ivg.cloudfront.net/Documentos/631/02778257098/6310277825709814092023160259.pdf")</f>
        <v>https://dpmzos25m8ivg.cloudfront.net/Documentos/631/02778257098/6310277825709814092023160259.pdf</v>
      </c>
      <c r="F1044" s="5" t="str">
        <f>HYPERLINK("https://dpmzos25m8ivg.cloudfront.net/Documentos/631/02778257098/6310277825709814092023160601.pdf","https://dpmzos25m8ivg.cloudfront.net/Documentos/631/02778257098/6310277825709814092023160601.pdf")</f>
        <v>https://dpmzos25m8ivg.cloudfront.net/Documentos/631/02778257098/6310277825709814092023160601.pdf</v>
      </c>
      <c r="G1044" s="5" t="str">
        <f>HYPERLINK("https://dpmzos25m8ivg.cloudfront.net/Documentos/631/02778257098/6310277825709814092023160625.pdf","https://dpmzos25m8ivg.cloudfront.net/Documentos/631/02778257098/6310277825709814092023160625.pdf")</f>
        <v>https://dpmzos25m8ivg.cloudfront.net/Documentos/631/02778257098/6310277825709814092023160625.pdf</v>
      </c>
      <c r="H1044" s="4" t="s">
        <v>9628</v>
      </c>
    </row>
    <row r="1045" spans="1:8" x14ac:dyDescent="0.25">
      <c r="A1045" s="2" t="s">
        <v>1059</v>
      </c>
      <c r="B1045" s="3" t="s">
        <v>312</v>
      </c>
      <c r="C1045" s="3"/>
      <c r="D1045" s="3"/>
      <c r="E1045" s="4" t="str">
        <f>HYPERLINK("https://dpmzos25m8ivg.cloudfront.net/Documentos/631/02780586206/6310278058620611092023103458.pdf","https://dpmzos25m8ivg.cloudfront.net/Documentos/631/02780586206/6310278058620611092023103458.pdf")</f>
        <v>https://dpmzos25m8ivg.cloudfront.net/Documentos/631/02780586206/6310278058620611092023103458.pdf</v>
      </c>
      <c r="F1045" s="5" t="str">
        <f>HYPERLINK("https://dpmzos25m8ivg.cloudfront.net/Documentos/631/02780586206/6310278058620611092023103529.pdf","https://dpmzos25m8ivg.cloudfront.net/Documentos/631/02780586206/6310278058620611092023103529.pdf")</f>
        <v>https://dpmzos25m8ivg.cloudfront.net/Documentos/631/02780586206/6310278058620611092023103529.pdf</v>
      </c>
      <c r="G1045" s="5" t="str">
        <f>HYPERLINK("https://dpmzos25m8ivg.cloudfront.net/Documentos/631/02780586206/6310278058620611092023103549.pdf","https://dpmzos25m8ivg.cloudfront.net/Documentos/631/02780586206/6310278058620611092023103549.pdf")</f>
        <v>https://dpmzos25m8ivg.cloudfront.net/Documentos/631/02780586206/6310278058620611092023103549.pdf</v>
      </c>
      <c r="H1045" s="4" t="s">
        <v>9629</v>
      </c>
    </row>
    <row r="1046" spans="1:8" x14ac:dyDescent="0.25">
      <c r="A1046" s="2" t="s">
        <v>1060</v>
      </c>
      <c r="B1046" s="3" t="s">
        <v>308</v>
      </c>
      <c r="C1046" s="3"/>
      <c r="D1046" s="3"/>
      <c r="E1046" s="4" t="str">
        <f>HYPERLINK("https://dpmzos25m8ivg.cloudfront.net/Documentos/631/02782718126/6310278271812610092023181635.pdf","https://dpmzos25m8ivg.cloudfront.net/Documentos/631/02782718126/6310278271812610092023181635.pdf")</f>
        <v>https://dpmzos25m8ivg.cloudfront.net/Documentos/631/02782718126/6310278271812610092023181635.pdf</v>
      </c>
      <c r="F1046" s="5" t="str">
        <f>HYPERLINK("https://dpmzos25m8ivg.cloudfront.net/Documentos/631/02782718126/6310278271812610092023181701.pdf","https://dpmzos25m8ivg.cloudfront.net/Documentos/631/02782718126/6310278271812610092023181701.pdf")</f>
        <v>https://dpmzos25m8ivg.cloudfront.net/Documentos/631/02782718126/6310278271812610092023181701.pdf</v>
      </c>
      <c r="G1046" s="5" t="str">
        <f>HYPERLINK("https://dpmzos25m8ivg.cloudfront.net/Documentos/631/02782718126/6310278271812610092023181729.pdf","https://dpmzos25m8ivg.cloudfront.net/Documentos/631/02782718126/6310278271812610092023181729.pdf")</f>
        <v>https://dpmzos25m8ivg.cloudfront.net/Documentos/631/02782718126/6310278271812610092023181729.pdf</v>
      </c>
      <c r="H1046" s="4" t="s">
        <v>9630</v>
      </c>
    </row>
    <row r="1047" spans="1:8" x14ac:dyDescent="0.25">
      <c r="A1047" s="2" t="s">
        <v>1061</v>
      </c>
      <c r="B1047" s="3"/>
      <c r="C1047" s="3"/>
      <c r="D1047" s="3"/>
      <c r="E1047" s="4" t="str">
        <f>HYPERLINK("https://dpmzos25m8ivg.cloudfront.net/Documentos/631/02786957605/6310278695760511092023093643.jpeg","https://dpmzos25m8ivg.cloudfront.net/Documentos/631/02786957605/6310278695760511092023093643.jpeg")</f>
        <v>https://dpmzos25m8ivg.cloudfront.net/Documentos/631/02786957605/6310278695760511092023093643.jpeg</v>
      </c>
      <c r="F1047" s="5" t="str">
        <f>HYPERLINK("https://dpmzos25m8ivg.cloudfront.net/Documentos/631/02786957605/6310278695760511092023093702.jpeg","https://dpmzos25m8ivg.cloudfront.net/Documentos/631/02786957605/6310278695760511092023093702.jpeg")</f>
        <v>https://dpmzos25m8ivg.cloudfront.net/Documentos/631/02786957605/6310278695760511092023093702.jpeg</v>
      </c>
      <c r="G1047" s="5" t="str">
        <f>HYPERLINK("https://dpmzos25m8ivg.cloudfront.net/Documentos/631/02786957605/6310278695760511092023093717.jpeg","https://dpmzos25m8ivg.cloudfront.net/Documentos/631/02786957605/6310278695760511092023093717.jpeg")</f>
        <v>https://dpmzos25m8ivg.cloudfront.net/Documentos/631/02786957605/6310278695760511092023093717.jpeg</v>
      </c>
      <c r="H1047" s="4" t="s">
        <v>9631</v>
      </c>
    </row>
    <row r="1048" spans="1:8" x14ac:dyDescent="0.25">
      <c r="A1048" s="2" t="s">
        <v>1062</v>
      </c>
      <c r="B1048" s="3" t="s">
        <v>308</v>
      </c>
      <c r="C1048" s="3"/>
      <c r="D1048" s="3"/>
      <c r="E1048" s="4" t="str">
        <f>HYPERLINK("https://dpmzos25m8ivg.cloudfront.net/Documentos/631/02788397542/6310278839754209092023172209.jpg","https://dpmzos25m8ivg.cloudfront.net/Documentos/631/02788397542/6310278839754209092023172209.jpg")</f>
        <v>https://dpmzos25m8ivg.cloudfront.net/Documentos/631/02788397542/6310278839754209092023172209.jpg</v>
      </c>
      <c r="F1048" s="5" t="str">
        <f>HYPERLINK("https://dpmzos25m8ivg.cloudfront.net/Documentos/631/02788397542/6310278839754209092023172519.jpg","https://dpmzos25m8ivg.cloudfront.net/Documentos/631/02788397542/6310278839754209092023172519.jpg")</f>
        <v>https://dpmzos25m8ivg.cloudfront.net/Documentos/631/02788397542/6310278839754209092023172519.jpg</v>
      </c>
      <c r="G1048" s="5" t="str">
        <f>HYPERLINK("https://dpmzos25m8ivg.cloudfront.net/Documentos/631/02788397542/6310278839754209092023172532.jpg","https://dpmzos25m8ivg.cloudfront.net/Documentos/631/02788397542/6310278839754209092023172532.jpg")</f>
        <v>https://dpmzos25m8ivg.cloudfront.net/Documentos/631/02788397542/6310278839754209092023172532.jpg</v>
      </c>
      <c r="H1048" s="4" t="s">
        <v>9632</v>
      </c>
    </row>
    <row r="1049" spans="1:8" x14ac:dyDescent="0.25">
      <c r="A1049" s="2" t="s">
        <v>1063</v>
      </c>
      <c r="B1049" s="3"/>
      <c r="C1049" s="3"/>
      <c r="D1049" s="3"/>
      <c r="E1049" s="4" t="str">
        <f>HYPERLINK("https://dpmzos25m8ivg.cloudfront.net/Documentos/631/02790112533/6310279011253309092023181003.pdf","https://dpmzos25m8ivg.cloudfront.net/Documentos/631/02790112533/6310279011253309092023181003.pdf")</f>
        <v>https://dpmzos25m8ivg.cloudfront.net/Documentos/631/02790112533/6310279011253309092023181003.pdf</v>
      </c>
      <c r="F1049" s="5" t="str">
        <f>HYPERLINK("https://dpmzos25m8ivg.cloudfront.net/Documentos/631/02790112533/6310279011253309092023180937.pdf","https://dpmzos25m8ivg.cloudfront.net/Documentos/631/02790112533/6310279011253309092023180937.pdf")</f>
        <v>https://dpmzos25m8ivg.cloudfront.net/Documentos/631/02790112533/6310279011253309092023180937.pdf</v>
      </c>
      <c r="G1049" s="5" t="str">
        <f>HYPERLINK("https://dpmzos25m8ivg.cloudfront.net/Documentos/631/02790112533/6310279011253309092023180901.pdf","https://dpmzos25m8ivg.cloudfront.net/Documentos/631/02790112533/6310279011253309092023180901.pdf")</f>
        <v>https://dpmzos25m8ivg.cloudfront.net/Documentos/631/02790112533/6310279011253309092023180901.pdf</v>
      </c>
      <c r="H1049" s="4" t="s">
        <v>9633</v>
      </c>
    </row>
    <row r="1050" spans="1:8" x14ac:dyDescent="0.25">
      <c r="A1050" s="2" t="s">
        <v>1064</v>
      </c>
      <c r="B1050" s="3"/>
      <c r="C1050" s="3"/>
      <c r="D1050" s="3"/>
      <c r="E1050" s="4" t="str">
        <f>HYPERLINK("https://dpmzos25m8ivg.cloudfront.net/Documentos/631/02793205150/6310279320515005092023084146.pdf","https://dpmzos25m8ivg.cloudfront.net/Documentos/631/02793205150/6310279320515005092023084146.pdf")</f>
        <v>https://dpmzos25m8ivg.cloudfront.net/Documentos/631/02793205150/6310279320515005092023084146.pdf</v>
      </c>
      <c r="F1050" s="5" t="str">
        <f>HYPERLINK("https://dpmzos25m8ivg.cloudfront.net/Documentos/631/02793205150/6310279320515005092023084137.pdf","https://dpmzos25m8ivg.cloudfront.net/Documentos/631/02793205150/6310279320515005092023084137.pdf")</f>
        <v>https://dpmzos25m8ivg.cloudfront.net/Documentos/631/02793205150/6310279320515005092023084137.pdf</v>
      </c>
      <c r="G1050" s="5" t="str">
        <f>HYPERLINK("https://dpmzos25m8ivg.cloudfront.net/Documentos/631/02793205150/6310279320515005092023084018.pdf","https://dpmzos25m8ivg.cloudfront.net/Documentos/631/02793205150/6310279320515005092023084018.pdf")</f>
        <v>https://dpmzos25m8ivg.cloudfront.net/Documentos/631/02793205150/6310279320515005092023084018.pdf</v>
      </c>
      <c r="H1050" s="4" t="s">
        <v>9634</v>
      </c>
    </row>
    <row r="1051" spans="1:8" x14ac:dyDescent="0.25">
      <c r="A1051" s="2" t="s">
        <v>1065</v>
      </c>
      <c r="B1051" s="3"/>
      <c r="C1051" s="3"/>
      <c r="D1051" s="3"/>
      <c r="E1051" s="4" t="str">
        <f>HYPERLINK("https://dpmzos25m8ivg.cloudfront.net/Documentos/631/02799322190/6310279932219011092023120753.jpg","https://dpmzos25m8ivg.cloudfront.net/Documentos/631/02799322190/6310279932219011092023120753.jpg")</f>
        <v>https://dpmzos25m8ivg.cloudfront.net/Documentos/631/02799322190/6310279932219011092023120753.jpg</v>
      </c>
      <c r="F1051" s="5" t="str">
        <f>HYPERLINK("https://dpmzos25m8ivg.cloudfront.net/Documentos/631/02799322190/6310279932219011092023120809.jpg","https://dpmzos25m8ivg.cloudfront.net/Documentos/631/02799322190/6310279932219011092023120809.jpg")</f>
        <v>https://dpmzos25m8ivg.cloudfront.net/Documentos/631/02799322190/6310279932219011092023120809.jpg</v>
      </c>
      <c r="G1051" s="5" t="str">
        <f>HYPERLINK("https://dpmzos25m8ivg.cloudfront.net/Documentos/631/02799322190/6310279932219011092023120837.jpg","https://dpmzos25m8ivg.cloudfront.net/Documentos/631/02799322190/6310279932219011092023120837.jpg")</f>
        <v>https://dpmzos25m8ivg.cloudfront.net/Documentos/631/02799322190/6310279932219011092023120837.jpg</v>
      </c>
      <c r="H1051" s="4" t="s">
        <v>9635</v>
      </c>
    </row>
    <row r="1052" spans="1:8" x14ac:dyDescent="0.25">
      <c r="A1052" s="2" t="s">
        <v>1066</v>
      </c>
      <c r="B1052" s="3" t="s">
        <v>308</v>
      </c>
      <c r="C1052" s="3"/>
      <c r="D1052" s="3"/>
      <c r="E1052" s="4" t="str">
        <f>HYPERLINK("https://dpmzos25m8ivg.cloudfront.net/Documentos/631/02802322338/6310280232233811092023121139.pdf","https://dpmzos25m8ivg.cloudfront.net/Documentos/631/02802322338/6310280232233811092023121139.pdf")</f>
        <v>https://dpmzos25m8ivg.cloudfront.net/Documentos/631/02802322338/6310280232233811092023121139.pdf</v>
      </c>
      <c r="F1052" s="5" t="str">
        <f>HYPERLINK("https://dpmzos25m8ivg.cloudfront.net/Documentos/631/02802322338/6310280232233811092023121158.pdf","https://dpmzos25m8ivg.cloudfront.net/Documentos/631/02802322338/6310280232233811092023121158.pdf")</f>
        <v>https://dpmzos25m8ivg.cloudfront.net/Documentos/631/02802322338/6310280232233811092023121158.pdf</v>
      </c>
      <c r="G1052" s="5" t="str">
        <f>HYPERLINK("https://dpmzos25m8ivg.cloudfront.net/Documentos/631/02802322338/6310280232233811092023122033.pdf","https://dpmzos25m8ivg.cloudfront.net/Documentos/631/02802322338/6310280232233811092023122033.pdf")</f>
        <v>https://dpmzos25m8ivg.cloudfront.net/Documentos/631/02802322338/6310280232233811092023122033.pdf</v>
      </c>
      <c r="H1052" s="4" t="s">
        <v>9010</v>
      </c>
    </row>
    <row r="1053" spans="1:8" x14ac:dyDescent="0.25">
      <c r="A1053" s="2" t="s">
        <v>1067</v>
      </c>
      <c r="B1053" s="3"/>
      <c r="C1053" s="3"/>
      <c r="D1053" s="3"/>
      <c r="E1053" s="4" t="str">
        <f>HYPERLINK("https://dpmzos25m8ivg.cloudfront.net/Documentos/631/02803503255/6310280350325505092023200120.pdf","https://dpmzos25m8ivg.cloudfront.net/Documentos/631/02803503255/6310280350325505092023200120.pdf")</f>
        <v>https://dpmzos25m8ivg.cloudfront.net/Documentos/631/02803503255/6310280350325505092023200120.pdf</v>
      </c>
      <c r="F1053" s="5" t="str">
        <f>HYPERLINK("https://dpmzos25m8ivg.cloudfront.net/Documentos/631/02803503255/6310280350325505092023200138.pdf","https://dpmzos25m8ivg.cloudfront.net/Documentos/631/02803503255/6310280350325505092023200138.pdf")</f>
        <v>https://dpmzos25m8ivg.cloudfront.net/Documentos/631/02803503255/6310280350325505092023200138.pdf</v>
      </c>
      <c r="G1053" s="5" t="str">
        <f>HYPERLINK("https://dpmzos25m8ivg.cloudfront.net/Documentos/631/02803503255/6310280350325505092023200213.pdf","https://dpmzos25m8ivg.cloudfront.net/Documentos/631/02803503255/6310280350325505092023200213.pdf")</f>
        <v>https://dpmzos25m8ivg.cloudfront.net/Documentos/631/02803503255/6310280350325505092023200213.pdf</v>
      </c>
      <c r="H1053" s="4" t="s">
        <v>9636</v>
      </c>
    </row>
    <row r="1054" spans="1:8" x14ac:dyDescent="0.25">
      <c r="A1054" s="2" t="s">
        <v>1068</v>
      </c>
      <c r="B1054" s="3"/>
      <c r="C1054" s="3"/>
      <c r="D1054" s="3"/>
      <c r="E1054" s="4" t="str">
        <f>HYPERLINK("https://dpmzos25m8ivg.cloudfront.net/Documentos/631/02805899563/6310280589956305092023163630.pdf","https://dpmzos25m8ivg.cloudfront.net/Documentos/631/02805899563/6310280589956305092023163630.pdf")</f>
        <v>https://dpmzos25m8ivg.cloudfront.net/Documentos/631/02805899563/6310280589956305092023163630.pdf</v>
      </c>
      <c r="F1054" s="5" t="str">
        <f>HYPERLINK("https://dpmzos25m8ivg.cloudfront.net/Documentos/631/02805899563/6310280589956305092023163645.pdf","https://dpmzos25m8ivg.cloudfront.net/Documentos/631/02805899563/6310280589956305092023163645.pdf")</f>
        <v>https://dpmzos25m8ivg.cloudfront.net/Documentos/631/02805899563/6310280589956305092023163645.pdf</v>
      </c>
      <c r="G1054" s="5" t="str">
        <f>HYPERLINK("https://dpmzos25m8ivg.cloudfront.net/Documentos/631/02805899563/6310280589956305092023163714.pdf","https://dpmzos25m8ivg.cloudfront.net/Documentos/631/02805899563/6310280589956305092023163714.pdf")</f>
        <v>https://dpmzos25m8ivg.cloudfront.net/Documentos/631/02805899563/6310280589956305092023163714.pdf</v>
      </c>
      <c r="H1054" s="4" t="s">
        <v>9637</v>
      </c>
    </row>
    <row r="1055" spans="1:8" x14ac:dyDescent="0.25">
      <c r="A1055" s="2" t="s">
        <v>1069</v>
      </c>
      <c r="B1055" s="3" t="s">
        <v>90</v>
      </c>
      <c r="C1055" s="3"/>
      <c r="D1055" s="3"/>
      <c r="E1055" s="4" t="str">
        <f>HYPERLINK("https://dpmzos25m8ivg.cloudfront.net/Documentos/631/02808050208/6310280805020809092023164744.pdf","https://dpmzos25m8ivg.cloudfront.net/Documentos/631/02808050208/6310280805020809092023164744.pdf")</f>
        <v>https://dpmzos25m8ivg.cloudfront.net/Documentos/631/02808050208/6310280805020809092023164744.pdf</v>
      </c>
      <c r="F1055" s="5" t="str">
        <f>HYPERLINK("https://dpmzos25m8ivg.cloudfront.net/Documentos/631/02808050208/6310280805020809092023165013.pdf","https://dpmzos25m8ivg.cloudfront.net/Documentos/631/02808050208/6310280805020809092023165013.pdf")</f>
        <v>https://dpmzos25m8ivg.cloudfront.net/Documentos/631/02808050208/6310280805020809092023165013.pdf</v>
      </c>
      <c r="G1055" s="5" t="str">
        <f>HYPERLINK("https://dpmzos25m8ivg.cloudfront.net/Documentos/631/02808050208/6310280805020809092023165022.pdf","https://dpmzos25m8ivg.cloudfront.net/Documentos/631/02808050208/6310280805020809092023165022.pdf")</f>
        <v>https://dpmzos25m8ivg.cloudfront.net/Documentos/631/02808050208/6310280805020809092023165022.pdf</v>
      </c>
      <c r="H1055" s="4" t="s">
        <v>9638</v>
      </c>
    </row>
    <row r="1056" spans="1:8" x14ac:dyDescent="0.25">
      <c r="A1056" s="2" t="s">
        <v>1070</v>
      </c>
      <c r="B1056" s="3"/>
      <c r="C1056" s="3"/>
      <c r="D1056" s="3"/>
      <c r="E1056" s="4" t="str">
        <f>HYPERLINK("https://dpmzos25m8ivg.cloudfront.net/Documentos/631/02809655243/6310280965524306092023122806.pdf","https://dpmzos25m8ivg.cloudfront.net/Documentos/631/02809655243/6310280965524306092023122806.pdf")</f>
        <v>https://dpmzos25m8ivg.cloudfront.net/Documentos/631/02809655243/6310280965524306092023122806.pdf</v>
      </c>
      <c r="F1056" s="5" t="str">
        <f>HYPERLINK("https://dpmzos25m8ivg.cloudfront.net/Documentos/631/02809655243/6310280965524306092023122823.pdf","https://dpmzos25m8ivg.cloudfront.net/Documentos/631/02809655243/6310280965524306092023122823.pdf")</f>
        <v>https://dpmzos25m8ivg.cloudfront.net/Documentos/631/02809655243/6310280965524306092023122823.pdf</v>
      </c>
      <c r="G1056" s="5" t="str">
        <f>HYPERLINK("https://dpmzos25m8ivg.cloudfront.net/Documentos/631/02809655243/6310280965524306092023122841.pdf","https://dpmzos25m8ivg.cloudfront.net/Documentos/631/02809655243/6310280965524306092023122841.pdf")</f>
        <v>https://dpmzos25m8ivg.cloudfront.net/Documentos/631/02809655243/6310280965524306092023122841.pdf</v>
      </c>
      <c r="H1056" s="4" t="s">
        <v>9639</v>
      </c>
    </row>
    <row r="1057" spans="1:8" x14ac:dyDescent="0.25">
      <c r="A1057" s="2" t="s">
        <v>1071</v>
      </c>
      <c r="B1057" s="3" t="s">
        <v>312</v>
      </c>
      <c r="C1057" s="3"/>
      <c r="D1057" s="3"/>
      <c r="E1057" s="4" t="str">
        <f>HYPERLINK("https://dpmzos25m8ivg.cloudfront.net/Documentos/631/02812604000/6310281260400011092023011711.jpeg","https://dpmzos25m8ivg.cloudfront.net/Documentos/631/02812604000/6310281260400011092023011711.jpeg")</f>
        <v>https://dpmzos25m8ivg.cloudfront.net/Documentos/631/02812604000/6310281260400011092023011711.jpeg</v>
      </c>
      <c r="F1057" s="5" t="str">
        <f>HYPERLINK("https://dpmzos25m8ivg.cloudfront.net/Documentos/631/02812604000/6310281260400011092023011733.jpeg","https://dpmzos25m8ivg.cloudfront.net/Documentos/631/02812604000/6310281260400011092023011733.jpeg")</f>
        <v>https://dpmzos25m8ivg.cloudfront.net/Documentos/631/02812604000/6310281260400011092023011733.jpeg</v>
      </c>
      <c r="G1057" s="5" t="str">
        <f>HYPERLINK("https://dpmzos25m8ivg.cloudfront.net/Documentos/631/02812604000/6310281260400011092023011757.jpeg","https://dpmzos25m8ivg.cloudfront.net/Documentos/631/02812604000/6310281260400011092023011757.jpeg")</f>
        <v>https://dpmzos25m8ivg.cloudfront.net/Documentos/631/02812604000/6310281260400011092023011757.jpeg</v>
      </c>
      <c r="H1057" s="4" t="s">
        <v>9640</v>
      </c>
    </row>
    <row r="1058" spans="1:8" x14ac:dyDescent="0.25">
      <c r="A1058" s="2" t="s">
        <v>1072</v>
      </c>
      <c r="B1058" s="3"/>
      <c r="C1058" s="3"/>
      <c r="D1058" s="3"/>
      <c r="E1058" s="4" t="str">
        <f>HYPERLINK("https://dpmzos25m8ivg.cloudfront.net/Documentos/631/02815860120/6310281586012011092023135416.pdf","https://dpmzos25m8ivg.cloudfront.net/Documentos/631/02815860120/6310281586012011092023135416.pdf")</f>
        <v>https://dpmzos25m8ivg.cloudfront.net/Documentos/631/02815860120/6310281586012011092023135416.pdf</v>
      </c>
      <c r="F1058" s="5" t="str">
        <f>HYPERLINK("https://dpmzos25m8ivg.cloudfront.net/Documentos/631/02815860120/6310281586012011092023135429.pdf","https://dpmzos25m8ivg.cloudfront.net/Documentos/631/02815860120/6310281586012011092023135429.pdf")</f>
        <v>https://dpmzos25m8ivg.cloudfront.net/Documentos/631/02815860120/6310281586012011092023135429.pdf</v>
      </c>
      <c r="G1058" s="5" t="str">
        <f>HYPERLINK("https://dpmzos25m8ivg.cloudfront.net/Documentos/631/02815860120/6310281586012011092023135442.pdf","https://dpmzos25m8ivg.cloudfront.net/Documentos/631/02815860120/6310281586012011092023135442.pdf")</f>
        <v>https://dpmzos25m8ivg.cloudfront.net/Documentos/631/02815860120/6310281586012011092023135442.pdf</v>
      </c>
      <c r="H1058" s="4" t="s">
        <v>9641</v>
      </c>
    </row>
    <row r="1059" spans="1:8" x14ac:dyDescent="0.25">
      <c r="A1059" s="2" t="s">
        <v>1073</v>
      </c>
      <c r="B1059" s="3"/>
      <c r="C1059" s="3"/>
      <c r="D1059" s="3"/>
      <c r="E1059" s="4" t="str">
        <f>HYPERLINK("https://dpmzos25m8ivg.cloudfront.net/Documentos/631/02817517571/6310281751757111092023103531.jpeg","https://dpmzos25m8ivg.cloudfront.net/Documentos/631/02817517571/6310281751757111092023103531.jpeg")</f>
        <v>https://dpmzos25m8ivg.cloudfront.net/Documentos/631/02817517571/6310281751757111092023103531.jpeg</v>
      </c>
      <c r="F1059" s="5" t="str">
        <f>HYPERLINK("https://dpmzos25m8ivg.cloudfront.net/Documentos/631/02817517571/6310281751757111092023103542.jpeg","https://dpmzos25m8ivg.cloudfront.net/Documentos/631/02817517571/6310281751757111092023103542.jpeg")</f>
        <v>https://dpmzos25m8ivg.cloudfront.net/Documentos/631/02817517571/6310281751757111092023103542.jpeg</v>
      </c>
      <c r="G1059" s="5" t="str">
        <f>HYPERLINK("https://dpmzos25m8ivg.cloudfront.net/Documentos/631/02817517571/6310281751757111092023103554.jpeg","https://dpmzos25m8ivg.cloudfront.net/Documentos/631/02817517571/6310281751757111092023103554.jpeg")</f>
        <v>https://dpmzos25m8ivg.cloudfront.net/Documentos/631/02817517571/6310281751757111092023103554.jpeg</v>
      </c>
      <c r="H1059" s="4" t="s">
        <v>9642</v>
      </c>
    </row>
    <row r="1060" spans="1:8" x14ac:dyDescent="0.25">
      <c r="A1060" s="2" t="s">
        <v>1074</v>
      </c>
      <c r="B1060" s="3"/>
      <c r="C1060" s="3"/>
      <c r="D1060" s="3"/>
      <c r="E1060" s="4" t="str">
        <f>HYPERLINK("https://dpmzos25m8ivg.cloudfront.net/Documentos/631/02818243041/6310281824304111092023161656.pdf","https://dpmzos25m8ivg.cloudfront.net/Documentos/631/02818243041/6310281824304111092023161656.pdf")</f>
        <v>https://dpmzos25m8ivg.cloudfront.net/Documentos/631/02818243041/6310281824304111092023161656.pdf</v>
      </c>
      <c r="F1060" s="5" t="str">
        <f>HYPERLINK("https://dpmzos25m8ivg.cloudfront.net/Documentos/631/02818243041/6310281824304111092023161710.pdf","https://dpmzos25m8ivg.cloudfront.net/Documentos/631/02818243041/6310281824304111092023161710.pdf")</f>
        <v>https://dpmzos25m8ivg.cloudfront.net/Documentos/631/02818243041/6310281824304111092023161710.pdf</v>
      </c>
      <c r="G1060" s="5" t="str">
        <f>HYPERLINK("https://dpmzos25m8ivg.cloudfront.net/Documentos/631/02818243041/6310281824304111092023161718.pdf","https://dpmzos25m8ivg.cloudfront.net/Documentos/631/02818243041/6310281824304111092023161718.pdf")</f>
        <v>https://dpmzos25m8ivg.cloudfront.net/Documentos/631/02818243041/6310281824304111092023161718.pdf</v>
      </c>
      <c r="H1060" s="4" t="s">
        <v>9643</v>
      </c>
    </row>
    <row r="1061" spans="1:8" x14ac:dyDescent="0.25">
      <c r="A1061" s="2" t="s">
        <v>1075</v>
      </c>
      <c r="B1061" s="3"/>
      <c r="C1061" s="3"/>
      <c r="D1061" s="3"/>
      <c r="E1061" s="4" t="str">
        <f>HYPERLINK("https://dpmzos25m8ivg.cloudfront.net/Documentos/631/02820710409/6310282071040911092023115721.jpg","https://dpmzos25m8ivg.cloudfront.net/Documentos/631/02820710409/6310282071040911092023115721.jpg")</f>
        <v>https://dpmzos25m8ivg.cloudfront.net/Documentos/631/02820710409/6310282071040911092023115721.jpg</v>
      </c>
      <c r="F1061" s="5" t="str">
        <f>HYPERLINK("https://dpmzos25m8ivg.cloudfront.net/Documentos/631/02820710409/6310282071040911092023115753.jpg","https://dpmzos25m8ivg.cloudfront.net/Documentos/631/02820710409/6310282071040911092023115753.jpg")</f>
        <v>https://dpmzos25m8ivg.cloudfront.net/Documentos/631/02820710409/6310282071040911092023115753.jpg</v>
      </c>
      <c r="G1061" s="5" t="str">
        <f>HYPERLINK("https://dpmzos25m8ivg.cloudfront.net/Documentos/631/02820710409/6310282071040911092023115819.jpg","https://dpmzos25m8ivg.cloudfront.net/Documentos/631/02820710409/6310282071040911092023115819.jpg")</f>
        <v>https://dpmzos25m8ivg.cloudfront.net/Documentos/631/02820710409/6310282071040911092023115819.jpg</v>
      </c>
      <c r="H1061" s="4" t="s">
        <v>9644</v>
      </c>
    </row>
    <row r="1062" spans="1:8" x14ac:dyDescent="0.25">
      <c r="A1062" s="2" t="s">
        <v>1076</v>
      </c>
      <c r="B1062" s="3"/>
      <c r="C1062" s="3"/>
      <c r="D1062" s="3"/>
      <c r="E1062" s="4" t="str">
        <f>HYPERLINK("https://dpmzos25m8ivg.cloudfront.net/Documentos/631/02824014075/6310282401407505092023123046.pdf","https://dpmzos25m8ivg.cloudfront.net/Documentos/631/02824014075/6310282401407505092023123046.pdf")</f>
        <v>https://dpmzos25m8ivg.cloudfront.net/Documentos/631/02824014075/6310282401407505092023123046.pdf</v>
      </c>
      <c r="F1062" s="5" t="str">
        <f>HYPERLINK("https://dpmzos25m8ivg.cloudfront.net/Documentos/631/02824014075/6310282401407505092023123055.pdf","https://dpmzos25m8ivg.cloudfront.net/Documentos/631/02824014075/6310282401407505092023123055.pdf")</f>
        <v>https://dpmzos25m8ivg.cloudfront.net/Documentos/631/02824014075/6310282401407505092023123055.pdf</v>
      </c>
      <c r="G1062" s="5" t="str">
        <f>HYPERLINK("https://dpmzos25m8ivg.cloudfront.net/Documentos/631/02824014075/6310282401407505092023123105.pdf","https://dpmzos25m8ivg.cloudfront.net/Documentos/631/02824014075/6310282401407505092023123105.pdf")</f>
        <v>https://dpmzos25m8ivg.cloudfront.net/Documentos/631/02824014075/6310282401407505092023123105.pdf</v>
      </c>
      <c r="H1062" s="4" t="s">
        <v>9645</v>
      </c>
    </row>
    <row r="1063" spans="1:8" x14ac:dyDescent="0.25">
      <c r="A1063" s="2" t="s">
        <v>1077</v>
      </c>
      <c r="B1063" s="3"/>
      <c r="C1063" s="3"/>
      <c r="D1063" s="3"/>
      <c r="E1063" s="4" t="str">
        <f>HYPERLINK("https://dpmzos25m8ivg.cloudfront.net/Documentos/631/02824578360/6310282457836010092023125639.jpg","https://dpmzos25m8ivg.cloudfront.net/Documentos/631/02824578360/6310282457836010092023125639.jpg")</f>
        <v>https://dpmzos25m8ivg.cloudfront.net/Documentos/631/02824578360/6310282457836010092023125639.jpg</v>
      </c>
      <c r="F1063" s="5" t="str">
        <f>HYPERLINK("https://dpmzos25m8ivg.cloudfront.net/Documentos/631/02824578360/6310282457836010092023125724.jpg","https://dpmzos25m8ivg.cloudfront.net/Documentos/631/02824578360/6310282457836010092023125724.jpg")</f>
        <v>https://dpmzos25m8ivg.cloudfront.net/Documentos/631/02824578360/6310282457836010092023125724.jpg</v>
      </c>
      <c r="G1063" s="5" t="str">
        <f>HYPERLINK("https://dpmzos25m8ivg.cloudfront.net/Documentos/631/02824578360/6310282457836010092023125847.jpg","https://dpmzos25m8ivg.cloudfront.net/Documentos/631/02824578360/6310282457836010092023125847.jpg")</f>
        <v>https://dpmzos25m8ivg.cloudfront.net/Documentos/631/02824578360/6310282457836010092023125847.jpg</v>
      </c>
      <c r="H1063" s="4" t="s">
        <v>9646</v>
      </c>
    </row>
    <row r="1064" spans="1:8" x14ac:dyDescent="0.25">
      <c r="A1064" s="2" t="s">
        <v>1078</v>
      </c>
      <c r="B1064" s="3"/>
      <c r="C1064" s="3"/>
      <c r="D1064" s="3"/>
      <c r="E1064" s="4" t="str">
        <f>HYPERLINK("https://dpmzos25m8ivg.cloudfront.net/Documentos/631/02825922102/6310282592210211092023160744.jpeg","https://dpmzos25m8ivg.cloudfront.net/Documentos/631/02825922102/6310282592210211092023160744.jpeg")</f>
        <v>https://dpmzos25m8ivg.cloudfront.net/Documentos/631/02825922102/6310282592210211092023160744.jpeg</v>
      </c>
      <c r="F1064" s="5" t="str">
        <f>HYPERLINK("https://dpmzos25m8ivg.cloudfront.net/Documentos/631/02825922102/6310282592210211092023160806.jpeg","https://dpmzos25m8ivg.cloudfront.net/Documentos/631/02825922102/6310282592210211092023160806.jpeg")</f>
        <v>https://dpmzos25m8ivg.cloudfront.net/Documentos/631/02825922102/6310282592210211092023160806.jpeg</v>
      </c>
      <c r="G1064" s="5" t="str">
        <f>HYPERLINK("https://dpmzos25m8ivg.cloudfront.net/Documentos/631/02825922102/6310282592210211092023160828.jpeg","https://dpmzos25m8ivg.cloudfront.net/Documentos/631/02825922102/6310282592210211092023160828.jpeg")</f>
        <v>https://dpmzos25m8ivg.cloudfront.net/Documentos/631/02825922102/6310282592210211092023160828.jpeg</v>
      </c>
      <c r="H1064" s="4" t="s">
        <v>9647</v>
      </c>
    </row>
    <row r="1065" spans="1:8" x14ac:dyDescent="0.25">
      <c r="A1065" s="2" t="s">
        <v>1079</v>
      </c>
      <c r="B1065" s="3"/>
      <c r="C1065" s="3"/>
      <c r="D1065" s="3"/>
      <c r="E1065" s="4" t="str">
        <f>HYPERLINK("https://dpmzos25m8ivg.cloudfront.net/Documentos/631/02828399257/6310282839925714092023145214.pdf","https://dpmzos25m8ivg.cloudfront.net/Documentos/631/02828399257/6310282839925714092023145214.pdf")</f>
        <v>https://dpmzos25m8ivg.cloudfront.net/Documentos/631/02828399257/6310282839925714092023145214.pdf</v>
      </c>
      <c r="F1065" s="5" t="str">
        <f>HYPERLINK("https://dpmzos25m8ivg.cloudfront.net/Documentos/631/02828399257/6310282839925714092023145248.pdf","https://dpmzos25m8ivg.cloudfront.net/Documentos/631/02828399257/6310282839925714092023145248.pdf")</f>
        <v>https://dpmzos25m8ivg.cloudfront.net/Documentos/631/02828399257/6310282839925714092023145248.pdf</v>
      </c>
      <c r="G1065" s="5" t="str">
        <f>HYPERLINK("https://dpmzos25m8ivg.cloudfront.net/Documentos/631/02828399257/6310282839925714092023145312.pdf","https://dpmzos25m8ivg.cloudfront.net/Documentos/631/02828399257/6310282839925714092023145312.pdf")</f>
        <v>https://dpmzos25m8ivg.cloudfront.net/Documentos/631/02828399257/6310282839925714092023145312.pdf</v>
      </c>
      <c r="H1065" s="4" t="s">
        <v>9648</v>
      </c>
    </row>
    <row r="1066" spans="1:8" x14ac:dyDescent="0.25">
      <c r="A1066" s="2" t="s">
        <v>1080</v>
      </c>
      <c r="B1066" s="3"/>
      <c r="C1066" s="3"/>
      <c r="D1066" s="3"/>
      <c r="E1066" s="4" t="str">
        <f>HYPERLINK("https://dpmzos25m8ivg.cloudfront.net/Documentos/631/02829086333/6310282908633311092023143024.pdf","https://dpmzos25m8ivg.cloudfront.net/Documentos/631/02829086333/6310282908633311092023143024.pdf")</f>
        <v>https://dpmzos25m8ivg.cloudfront.net/Documentos/631/02829086333/6310282908633311092023143024.pdf</v>
      </c>
      <c r="F1066" s="5" t="str">
        <f>HYPERLINK("https://dpmzos25m8ivg.cloudfront.net/Documentos/631/02829086333/6310282908633311092023143808.pdf","https://dpmzos25m8ivg.cloudfront.net/Documentos/631/02829086333/6310282908633311092023143808.pdf")</f>
        <v>https://dpmzos25m8ivg.cloudfront.net/Documentos/631/02829086333/6310282908633311092023143808.pdf</v>
      </c>
      <c r="G1066" s="5" t="str">
        <f>HYPERLINK("https://dpmzos25m8ivg.cloudfront.net/Documentos/631/02829086333/6310282908633311092023143818.pdf","https://dpmzos25m8ivg.cloudfront.net/Documentos/631/02829086333/6310282908633311092023143818.pdf")</f>
        <v>https://dpmzos25m8ivg.cloudfront.net/Documentos/631/02829086333/6310282908633311092023143818.pdf</v>
      </c>
      <c r="H1066" s="4" t="s">
        <v>9649</v>
      </c>
    </row>
    <row r="1067" spans="1:8" x14ac:dyDescent="0.25">
      <c r="A1067" s="2" t="s">
        <v>1081</v>
      </c>
      <c r="B1067" s="3" t="s">
        <v>308</v>
      </c>
      <c r="C1067" s="3"/>
      <c r="D1067" s="3"/>
      <c r="E1067" s="4" t="str">
        <f>HYPERLINK("https://dpmzos25m8ivg.cloudfront.net/Documentos/631/02833860102/6310283386010208092023143541.pdf","https://dpmzos25m8ivg.cloudfront.net/Documentos/631/02833860102/6310283386010208092023143541.pdf")</f>
        <v>https://dpmzos25m8ivg.cloudfront.net/Documentos/631/02833860102/6310283386010208092023143541.pdf</v>
      </c>
      <c r="F1067" s="5" t="str">
        <f>HYPERLINK("https://dpmzos25m8ivg.cloudfront.net/Documentos/631/02833860102/6310283386010208092023143618.pdf","https://dpmzos25m8ivg.cloudfront.net/Documentos/631/02833860102/6310283386010208092023143618.pdf")</f>
        <v>https://dpmzos25m8ivg.cloudfront.net/Documentos/631/02833860102/6310283386010208092023143618.pdf</v>
      </c>
      <c r="G1067" s="5" t="str">
        <f>HYPERLINK("https://dpmzos25m8ivg.cloudfront.net/Documentos/631/02833860102/6310283386010208092023143718.pdf","https://dpmzos25m8ivg.cloudfront.net/Documentos/631/02833860102/6310283386010208092023143718.pdf")</f>
        <v>https://dpmzos25m8ivg.cloudfront.net/Documentos/631/02833860102/6310283386010208092023143718.pdf</v>
      </c>
      <c r="H1067" s="4" t="s">
        <v>9650</v>
      </c>
    </row>
    <row r="1068" spans="1:8" x14ac:dyDescent="0.25">
      <c r="A1068" s="2" t="s">
        <v>1082</v>
      </c>
      <c r="B1068" s="3"/>
      <c r="C1068" s="3"/>
      <c r="D1068" s="3"/>
      <c r="E1068" s="4" t="str">
        <f>HYPERLINK("https://dpmzos25m8ivg.cloudfront.net/Documentos/631/02834637245/6310283463724511092023154524.jpeg","https://dpmzos25m8ivg.cloudfront.net/Documentos/631/02834637245/6310283463724511092023154524.jpeg")</f>
        <v>https://dpmzos25m8ivg.cloudfront.net/Documentos/631/02834637245/6310283463724511092023154524.jpeg</v>
      </c>
      <c r="F1068" s="5" t="str">
        <f>HYPERLINK("https://dpmzos25m8ivg.cloudfront.net/Documentos/631/02834637245/6310283463724511092023154542.jpeg","https://dpmzos25m8ivg.cloudfront.net/Documentos/631/02834637245/6310283463724511092023154542.jpeg")</f>
        <v>https://dpmzos25m8ivg.cloudfront.net/Documentos/631/02834637245/6310283463724511092023154542.jpeg</v>
      </c>
      <c r="G1068" s="5" t="str">
        <f>HYPERLINK("https://dpmzos25m8ivg.cloudfront.net/Documentos/631/02834637245/6310283463724511092023154554.jpeg","https://dpmzos25m8ivg.cloudfront.net/Documentos/631/02834637245/6310283463724511092023154554.jpeg")</f>
        <v>https://dpmzos25m8ivg.cloudfront.net/Documentos/631/02834637245/6310283463724511092023154554.jpeg</v>
      </c>
      <c r="H1068" s="4" t="s">
        <v>9651</v>
      </c>
    </row>
    <row r="1069" spans="1:8" x14ac:dyDescent="0.25">
      <c r="A1069" s="2" t="s">
        <v>1083</v>
      </c>
      <c r="B1069" s="3" t="s">
        <v>312</v>
      </c>
      <c r="C1069" s="3"/>
      <c r="D1069" s="3"/>
      <c r="E1069" s="4" t="str">
        <f>HYPERLINK("https://dpmzos25m8ivg.cloudfront.net/Documentos/631/02835728503/6310283572850311092023095121.pdf","https://dpmzos25m8ivg.cloudfront.net/Documentos/631/02835728503/6310283572850311092023095121.pdf")</f>
        <v>https://dpmzos25m8ivg.cloudfront.net/Documentos/631/02835728503/6310283572850311092023095121.pdf</v>
      </c>
      <c r="F1069" s="5" t="str">
        <f>HYPERLINK("https://dpmzos25m8ivg.cloudfront.net/Documentos/631/02835728503/6310283572850311092023095138.pdf","https://dpmzos25m8ivg.cloudfront.net/Documentos/631/02835728503/6310283572850311092023095138.pdf")</f>
        <v>https://dpmzos25m8ivg.cloudfront.net/Documentos/631/02835728503/6310283572850311092023095138.pdf</v>
      </c>
      <c r="G1069" s="5" t="str">
        <f>HYPERLINK("https://dpmzos25m8ivg.cloudfront.net/Documentos/631/02835728503/6310283572850311092023095153.pdf","https://dpmzos25m8ivg.cloudfront.net/Documentos/631/02835728503/6310283572850311092023095153.pdf")</f>
        <v>https://dpmzos25m8ivg.cloudfront.net/Documentos/631/02835728503/6310283572850311092023095153.pdf</v>
      </c>
      <c r="H1069" s="4" t="s">
        <v>9652</v>
      </c>
    </row>
    <row r="1070" spans="1:8" x14ac:dyDescent="0.25">
      <c r="A1070" s="2" t="s">
        <v>1084</v>
      </c>
      <c r="B1070" s="3"/>
      <c r="C1070" s="3"/>
      <c r="D1070" s="3"/>
      <c r="E1070" s="4" t="str">
        <f>HYPERLINK("https://dpmzos25m8ivg.cloudfront.net/Documentos/631/02836352230/6310283635223013092023132806.pdf","https://dpmzos25m8ivg.cloudfront.net/Documentos/631/02836352230/6310283635223013092023132806.pdf")</f>
        <v>https://dpmzos25m8ivg.cloudfront.net/Documentos/631/02836352230/6310283635223013092023132806.pdf</v>
      </c>
      <c r="F1070" s="5" t="str">
        <f>HYPERLINK("https://dpmzos25m8ivg.cloudfront.net/Documentos/631/02836352230/6310283635223013092023132829.pdf","https://dpmzos25m8ivg.cloudfront.net/Documentos/631/02836352230/6310283635223013092023132829.pdf")</f>
        <v>https://dpmzos25m8ivg.cloudfront.net/Documentos/631/02836352230/6310283635223013092023132829.pdf</v>
      </c>
      <c r="G1070" s="5" t="str">
        <f>HYPERLINK("https://dpmzos25m8ivg.cloudfront.net/Documentos/631/02836352230/6310283635223013092023132841.pdf","https://dpmzos25m8ivg.cloudfront.net/Documentos/631/02836352230/6310283635223013092023132841.pdf")</f>
        <v>https://dpmzos25m8ivg.cloudfront.net/Documentos/631/02836352230/6310283635223013092023132841.pdf</v>
      </c>
      <c r="H1070" s="4" t="s">
        <v>9653</v>
      </c>
    </row>
    <row r="1071" spans="1:8" x14ac:dyDescent="0.25">
      <c r="A1071" s="2" t="s">
        <v>1085</v>
      </c>
      <c r="B1071" s="3"/>
      <c r="C1071" s="3"/>
      <c r="D1071" s="3"/>
      <c r="E1071" s="4" t="str">
        <f>HYPERLINK("https://dpmzos25m8ivg.cloudfront.net/Documentos/631/02837057525/6310283705752511092023103001.jpg","https://dpmzos25m8ivg.cloudfront.net/Documentos/631/02837057525/6310283705752511092023103001.jpg")</f>
        <v>https://dpmzos25m8ivg.cloudfront.net/Documentos/631/02837057525/6310283705752511092023103001.jpg</v>
      </c>
      <c r="F1071" s="5" t="str">
        <f>HYPERLINK("https://dpmzos25m8ivg.cloudfront.net/Documentos/631/02837057525/6310283705752511092023103017.jpg","https://dpmzos25m8ivg.cloudfront.net/Documentos/631/02837057525/6310283705752511092023103017.jpg")</f>
        <v>https://dpmzos25m8ivg.cloudfront.net/Documentos/631/02837057525/6310283705752511092023103017.jpg</v>
      </c>
      <c r="G1071" s="5" t="str">
        <f>HYPERLINK("https://dpmzos25m8ivg.cloudfront.net/Documentos/631/02837057525/6310283705752511092023103034.jpg","https://dpmzos25m8ivg.cloudfront.net/Documentos/631/02837057525/6310283705752511092023103034.jpg")</f>
        <v>https://dpmzos25m8ivg.cloudfront.net/Documentos/631/02837057525/6310283705752511092023103034.jpg</v>
      </c>
      <c r="H1071" s="4" t="s">
        <v>9654</v>
      </c>
    </row>
    <row r="1072" spans="1:8" x14ac:dyDescent="0.25">
      <c r="A1072" s="2" t="s">
        <v>1086</v>
      </c>
      <c r="B1072" s="3"/>
      <c r="C1072" s="3"/>
      <c r="D1072" s="3"/>
      <c r="E1072" s="4" t="str">
        <f>HYPERLINK("https://dpmzos25m8ivg.cloudfront.net/Documentos/631/02837461300/6310283746130007092023143637.pdf","https://dpmzos25m8ivg.cloudfront.net/Documentos/631/02837461300/6310283746130007092023143637.pdf")</f>
        <v>https://dpmzos25m8ivg.cloudfront.net/Documentos/631/02837461300/6310283746130007092023143637.pdf</v>
      </c>
      <c r="F1072" s="5" t="str">
        <f>HYPERLINK("https://dpmzos25m8ivg.cloudfront.net/Documentos/631/02837461300/6310283746130007092023143649.pdf","https://dpmzos25m8ivg.cloudfront.net/Documentos/631/02837461300/6310283746130007092023143649.pdf")</f>
        <v>https://dpmzos25m8ivg.cloudfront.net/Documentos/631/02837461300/6310283746130007092023143649.pdf</v>
      </c>
      <c r="G1072" s="5" t="str">
        <f>HYPERLINK("https://dpmzos25m8ivg.cloudfront.net/Documentos/631/02837461300/6310283746130007092023143659.pdf","https://dpmzos25m8ivg.cloudfront.net/Documentos/631/02837461300/6310283746130007092023143659.pdf")</f>
        <v>https://dpmzos25m8ivg.cloudfront.net/Documentos/631/02837461300/6310283746130007092023143659.pdf</v>
      </c>
      <c r="H1072" s="4" t="s">
        <v>9655</v>
      </c>
    </row>
    <row r="1073" spans="1:8" x14ac:dyDescent="0.25">
      <c r="A1073" s="2" t="s">
        <v>1087</v>
      </c>
      <c r="B1073" s="3"/>
      <c r="C1073" s="3"/>
      <c r="D1073" s="3"/>
      <c r="E1073" s="4" t="str">
        <f>HYPERLINK("https://dpmzos25m8ivg.cloudfront.net/Documentos/631/02837917567/6310283791756709092023114750.pdf","https://dpmzos25m8ivg.cloudfront.net/Documentos/631/02837917567/6310283791756709092023114750.pdf")</f>
        <v>https://dpmzos25m8ivg.cloudfront.net/Documentos/631/02837917567/6310283791756709092023114750.pdf</v>
      </c>
      <c r="F1073" s="5" t="str">
        <f>HYPERLINK("https://dpmzos25m8ivg.cloudfront.net/Documentos/631/02837917567/6310283791756709092023114824.pdf","https://dpmzos25m8ivg.cloudfront.net/Documentos/631/02837917567/6310283791756709092023114824.pdf")</f>
        <v>https://dpmzos25m8ivg.cloudfront.net/Documentos/631/02837917567/6310283791756709092023114824.pdf</v>
      </c>
      <c r="G1073" s="5" t="str">
        <f>HYPERLINK("https://dpmzos25m8ivg.cloudfront.net/Documentos/631/02837917567/6310283791756709092023114849.pdf","https://dpmzos25m8ivg.cloudfront.net/Documentos/631/02837917567/6310283791756709092023114849.pdf")</f>
        <v>https://dpmzos25m8ivg.cloudfront.net/Documentos/631/02837917567/6310283791756709092023114849.pdf</v>
      </c>
      <c r="H1073" s="4" t="s">
        <v>9656</v>
      </c>
    </row>
    <row r="1074" spans="1:8" x14ac:dyDescent="0.25">
      <c r="A1074" s="2" t="s">
        <v>1088</v>
      </c>
      <c r="B1074" s="3"/>
      <c r="C1074" s="3"/>
      <c r="D1074" s="3"/>
      <c r="E1074" s="4" t="str">
        <f>HYPERLINK("https://dpmzos25m8ivg.cloudfront.net/Documentos/631/02837937592/6310283793759206092023215155.pdf","https://dpmzos25m8ivg.cloudfront.net/Documentos/631/02837937592/6310283793759206092023215155.pdf")</f>
        <v>https://dpmzos25m8ivg.cloudfront.net/Documentos/631/02837937592/6310283793759206092023215155.pdf</v>
      </c>
      <c r="F1074" s="5" t="str">
        <f>HYPERLINK("https://dpmzos25m8ivg.cloudfront.net/Documentos/631/02837937592/6310283793759206092023215234.pdf","https://dpmzos25m8ivg.cloudfront.net/Documentos/631/02837937592/6310283793759206092023215234.pdf")</f>
        <v>https://dpmzos25m8ivg.cloudfront.net/Documentos/631/02837937592/6310283793759206092023215234.pdf</v>
      </c>
      <c r="G1074" s="5" t="str">
        <f>HYPERLINK("https://dpmzos25m8ivg.cloudfront.net/Documentos/631/02837937592/6310283793759206092023215318.pdf","https://dpmzos25m8ivg.cloudfront.net/Documentos/631/02837937592/6310283793759206092023215318.pdf")</f>
        <v>https://dpmzos25m8ivg.cloudfront.net/Documentos/631/02837937592/6310283793759206092023215318.pdf</v>
      </c>
      <c r="H1074" s="4" t="s">
        <v>9657</v>
      </c>
    </row>
    <row r="1075" spans="1:8" x14ac:dyDescent="0.25">
      <c r="A1075" s="2" t="s">
        <v>1089</v>
      </c>
      <c r="B1075" s="3"/>
      <c r="C1075" s="3"/>
      <c r="D1075" s="3"/>
      <c r="E1075" s="4" t="str">
        <f>HYPERLINK("https://dpmzos25m8ivg.cloudfront.net/Documentos/631/02837972150/6310283797215006092023223326.pdf","https://dpmzos25m8ivg.cloudfront.net/Documentos/631/02837972150/6310283797215006092023223326.pdf")</f>
        <v>https://dpmzos25m8ivg.cloudfront.net/Documentos/631/02837972150/6310283797215006092023223326.pdf</v>
      </c>
      <c r="F1075" s="5" t="str">
        <f>HYPERLINK("https://dpmzos25m8ivg.cloudfront.net/Documentos/631/02837972150/6310283797215006092023223345.pdf","https://dpmzos25m8ivg.cloudfront.net/Documentos/631/02837972150/6310283797215006092023223345.pdf")</f>
        <v>https://dpmzos25m8ivg.cloudfront.net/Documentos/631/02837972150/6310283797215006092023223345.pdf</v>
      </c>
      <c r="G1075" s="5" t="str">
        <f>HYPERLINK("https://dpmzos25m8ivg.cloudfront.net/Documentos/631/02837972150/6310283797215006092023223405.pdf","https://dpmzos25m8ivg.cloudfront.net/Documentos/631/02837972150/6310283797215006092023223405.pdf")</f>
        <v>https://dpmzos25m8ivg.cloudfront.net/Documentos/631/02837972150/6310283797215006092023223405.pdf</v>
      </c>
      <c r="H1075" s="4" t="s">
        <v>9658</v>
      </c>
    </row>
    <row r="1076" spans="1:8" x14ac:dyDescent="0.25">
      <c r="A1076" s="2" t="s">
        <v>1090</v>
      </c>
      <c r="B1076" s="3"/>
      <c r="C1076" s="3"/>
      <c r="D1076" s="3"/>
      <c r="E1076" s="4" t="str">
        <f>HYPERLINK("https://dpmzos25m8ivg.cloudfront.net/Documentos/631/02838344633/6310283834463309092023143210.pdf","https://dpmzos25m8ivg.cloudfront.net/Documentos/631/02838344633/6310283834463309092023143210.pdf")</f>
        <v>https://dpmzos25m8ivg.cloudfront.net/Documentos/631/02838344633/6310283834463309092023143210.pdf</v>
      </c>
      <c r="F1076" s="5" t="str">
        <f>HYPERLINK("https://dpmzos25m8ivg.cloudfront.net/Documentos/631/02838344633/6310283834463309092023143335.pdf","https://dpmzos25m8ivg.cloudfront.net/Documentos/631/02838344633/6310283834463309092023143335.pdf")</f>
        <v>https://dpmzos25m8ivg.cloudfront.net/Documentos/631/02838344633/6310283834463309092023143335.pdf</v>
      </c>
      <c r="G1076" s="5" t="str">
        <f>HYPERLINK("https://dpmzos25m8ivg.cloudfront.net/Documentos/631/02838344633/6310283834463309092023143353.pdf","https://dpmzos25m8ivg.cloudfront.net/Documentos/631/02838344633/6310283834463309092023143353.pdf")</f>
        <v>https://dpmzos25m8ivg.cloudfront.net/Documentos/631/02838344633/6310283834463309092023143353.pdf</v>
      </c>
      <c r="H1076" s="4" t="s">
        <v>9659</v>
      </c>
    </row>
    <row r="1077" spans="1:8" x14ac:dyDescent="0.25">
      <c r="A1077" s="2" t="s">
        <v>1091</v>
      </c>
      <c r="B1077" s="3"/>
      <c r="C1077" s="3"/>
      <c r="D1077" s="3"/>
      <c r="E1077" s="4" t="str">
        <f>HYPERLINK("https://dpmzos25m8ivg.cloudfront.net/Documentos/631/02839293323/6310283929332312092023223807.pdf","https://dpmzos25m8ivg.cloudfront.net/Documentos/631/02839293323/6310283929332312092023223807.pdf")</f>
        <v>https://dpmzos25m8ivg.cloudfront.net/Documentos/631/02839293323/6310283929332312092023223807.pdf</v>
      </c>
      <c r="F1077" s="5" t="str">
        <f>HYPERLINK("https://dpmzos25m8ivg.cloudfront.net/Documentos/631/02839293323/6310283929332312092023223819.pdf","https://dpmzos25m8ivg.cloudfront.net/Documentos/631/02839293323/6310283929332312092023223819.pdf")</f>
        <v>https://dpmzos25m8ivg.cloudfront.net/Documentos/631/02839293323/6310283929332312092023223819.pdf</v>
      </c>
      <c r="G1077" s="5" t="str">
        <f>HYPERLINK("https://dpmzos25m8ivg.cloudfront.net/Documentos/631/02839293323/6310283929332312092023223830.pdf","https://dpmzos25m8ivg.cloudfront.net/Documentos/631/02839293323/6310283929332312092023223830.pdf")</f>
        <v>https://dpmzos25m8ivg.cloudfront.net/Documentos/631/02839293323/6310283929332312092023223830.pdf</v>
      </c>
      <c r="H1077" s="4" t="s">
        <v>9660</v>
      </c>
    </row>
    <row r="1078" spans="1:8" x14ac:dyDescent="0.25">
      <c r="A1078" s="2" t="s">
        <v>1092</v>
      </c>
      <c r="B1078" s="3"/>
      <c r="C1078" s="3"/>
      <c r="D1078" s="3"/>
      <c r="E1078" s="4" t="str">
        <f>HYPERLINK("https://dpmzos25m8ivg.cloudfront.net/Documentos/631/02840319250/6310284031925011092023163533.pdf","https://dpmzos25m8ivg.cloudfront.net/Documentos/631/02840319250/6310284031925011092023163533.pdf")</f>
        <v>https://dpmzos25m8ivg.cloudfront.net/Documentos/631/02840319250/6310284031925011092023163533.pdf</v>
      </c>
      <c r="F1078" s="5" t="str">
        <f>HYPERLINK("https://dpmzos25m8ivg.cloudfront.net/Documentos/631/02840319250/6310284031925011092023163545.pdf","https://dpmzos25m8ivg.cloudfront.net/Documentos/631/02840319250/6310284031925011092023163545.pdf")</f>
        <v>https://dpmzos25m8ivg.cloudfront.net/Documentos/631/02840319250/6310284031925011092023163545.pdf</v>
      </c>
      <c r="G1078" s="5" t="str">
        <f>HYPERLINK("https://dpmzos25m8ivg.cloudfront.net/Documentos/631/02840319250/6310284031925011092023163556.pdf","https://dpmzos25m8ivg.cloudfront.net/Documentos/631/02840319250/6310284031925011092023163556.pdf")</f>
        <v>https://dpmzos25m8ivg.cloudfront.net/Documentos/631/02840319250/6310284031925011092023163556.pdf</v>
      </c>
      <c r="H1078" s="4" t="s">
        <v>9661</v>
      </c>
    </row>
    <row r="1079" spans="1:8" x14ac:dyDescent="0.25">
      <c r="A1079" s="2" t="s">
        <v>1093</v>
      </c>
      <c r="B1079" s="3"/>
      <c r="C1079" s="3"/>
      <c r="D1079" s="3"/>
      <c r="E1079" s="4" t="str">
        <f>HYPERLINK("https://dpmzos25m8ivg.cloudfront.net/Documentos/631/02840432730/6310284043273007092023145210.jpg","https://dpmzos25m8ivg.cloudfront.net/Documentos/631/02840432730/6310284043273007092023145210.jpg")</f>
        <v>https://dpmzos25m8ivg.cloudfront.net/Documentos/631/02840432730/6310284043273007092023145210.jpg</v>
      </c>
      <c r="F1079" s="5" t="str">
        <f>HYPERLINK("https://dpmzos25m8ivg.cloudfront.net/Documentos/631/02840432730/6310284043273007092023145123.jpg","https://dpmzos25m8ivg.cloudfront.net/Documentos/631/02840432730/6310284043273007092023145123.jpg")</f>
        <v>https://dpmzos25m8ivg.cloudfront.net/Documentos/631/02840432730/6310284043273007092023145123.jpg</v>
      </c>
      <c r="G1079" s="5" t="str">
        <f>HYPERLINK("https://dpmzos25m8ivg.cloudfront.net/Documentos/631/02840432730/6310284043273007092023135232.jpg","https://dpmzos25m8ivg.cloudfront.net/Documentos/631/02840432730/6310284043273007092023135232.jpg")</f>
        <v>https://dpmzos25m8ivg.cloudfront.net/Documentos/631/02840432730/6310284043273007092023135232.jpg</v>
      </c>
      <c r="H1079" s="4" t="s">
        <v>9662</v>
      </c>
    </row>
    <row r="1080" spans="1:8" x14ac:dyDescent="0.25">
      <c r="A1080" s="2" t="s">
        <v>1094</v>
      </c>
      <c r="B1080" s="3"/>
      <c r="C1080" s="3"/>
      <c r="D1080" s="3"/>
      <c r="E1080" s="4" t="str">
        <f>HYPERLINK("https://dpmzos25m8ivg.cloudfront.net/Documentos/631/02846092508/6310284609250805092023133525.pdf","https://dpmzos25m8ivg.cloudfront.net/Documentos/631/02846092508/6310284609250805092023133525.pdf")</f>
        <v>https://dpmzos25m8ivg.cloudfront.net/Documentos/631/02846092508/6310284609250805092023133525.pdf</v>
      </c>
      <c r="F1080" s="5" t="str">
        <f>HYPERLINK("https://dpmzos25m8ivg.cloudfront.net/Documentos/631/02846092508/6310284609250805092023133543.pdf","https://dpmzos25m8ivg.cloudfront.net/Documentos/631/02846092508/6310284609250805092023133543.pdf")</f>
        <v>https://dpmzos25m8ivg.cloudfront.net/Documentos/631/02846092508/6310284609250805092023133543.pdf</v>
      </c>
      <c r="G1080" s="5" t="str">
        <f>HYPERLINK("https://dpmzos25m8ivg.cloudfront.net/Documentos/631/02846092508/6310284609250805092023133554.pdf","https://dpmzos25m8ivg.cloudfront.net/Documentos/631/02846092508/6310284609250805092023133554.pdf")</f>
        <v>https://dpmzos25m8ivg.cloudfront.net/Documentos/631/02846092508/6310284609250805092023133554.pdf</v>
      </c>
      <c r="H1080" s="4" t="s">
        <v>9663</v>
      </c>
    </row>
    <row r="1081" spans="1:8" x14ac:dyDescent="0.25">
      <c r="A1081" s="2" t="s">
        <v>1095</v>
      </c>
      <c r="B1081" s="3" t="s">
        <v>312</v>
      </c>
      <c r="C1081" s="3"/>
      <c r="D1081" s="3"/>
      <c r="E1081" s="4" t="str">
        <f>HYPERLINK("https://dpmzos25m8ivg.cloudfront.net/Documentos/631/02861713259/6310286171325909092023104834.pdf","https://dpmzos25m8ivg.cloudfront.net/Documentos/631/02861713259/6310286171325909092023104834.pdf")</f>
        <v>https://dpmzos25m8ivg.cloudfront.net/Documentos/631/02861713259/6310286171325909092023104834.pdf</v>
      </c>
      <c r="F1081" s="5" t="str">
        <f>HYPERLINK("https://dpmzos25m8ivg.cloudfront.net/Documentos/631/02861713259/6310286171325909092023104845.pdf","https://dpmzos25m8ivg.cloudfront.net/Documentos/631/02861713259/6310286171325909092023104845.pdf")</f>
        <v>https://dpmzos25m8ivg.cloudfront.net/Documentos/631/02861713259/6310286171325909092023104845.pdf</v>
      </c>
      <c r="G1081" s="5" t="str">
        <f>HYPERLINK("https://dpmzos25m8ivg.cloudfront.net/Documentos/631/02861713259/6310286171325909092023104856.pdf","https://dpmzos25m8ivg.cloudfront.net/Documentos/631/02861713259/6310286171325909092023104856.pdf")</f>
        <v>https://dpmzos25m8ivg.cloudfront.net/Documentos/631/02861713259/6310286171325909092023104856.pdf</v>
      </c>
      <c r="H1081" s="4" t="s">
        <v>9664</v>
      </c>
    </row>
    <row r="1082" spans="1:8" x14ac:dyDescent="0.25">
      <c r="A1082" s="2" t="s">
        <v>1096</v>
      </c>
      <c r="B1082" s="3"/>
      <c r="C1082" s="3"/>
      <c r="D1082" s="3"/>
      <c r="E1082" s="4" t="str">
        <f>HYPERLINK("https://dpmzos25m8ivg.cloudfront.net/Documentos/631/02862152170/6310286215217005092023171655.pdf","https://dpmzos25m8ivg.cloudfront.net/Documentos/631/02862152170/6310286215217005092023171655.pdf")</f>
        <v>https://dpmzos25m8ivg.cloudfront.net/Documentos/631/02862152170/6310286215217005092023171655.pdf</v>
      </c>
      <c r="F1082" s="5" t="str">
        <f>HYPERLINK("https://dpmzos25m8ivg.cloudfront.net/Documentos/631/02862152170/6310286215217005092023171707.pdf","https://dpmzos25m8ivg.cloudfront.net/Documentos/631/02862152170/6310286215217005092023171707.pdf")</f>
        <v>https://dpmzos25m8ivg.cloudfront.net/Documentos/631/02862152170/6310286215217005092023171707.pdf</v>
      </c>
      <c r="G1082" s="5" t="str">
        <f>HYPERLINK("https://dpmzos25m8ivg.cloudfront.net/Documentos/631/02862152170/6310286215217005092023171718.pdf","https://dpmzos25m8ivg.cloudfront.net/Documentos/631/02862152170/6310286215217005092023171718.pdf")</f>
        <v>https://dpmzos25m8ivg.cloudfront.net/Documentos/631/02862152170/6310286215217005092023171718.pdf</v>
      </c>
      <c r="H1082" s="4" t="s">
        <v>9665</v>
      </c>
    </row>
    <row r="1083" spans="1:8" x14ac:dyDescent="0.25">
      <c r="A1083" s="2" t="s">
        <v>1097</v>
      </c>
      <c r="B1083" s="3"/>
      <c r="C1083" s="3"/>
      <c r="D1083" s="3"/>
      <c r="E1083" s="4" t="str">
        <f>HYPERLINK("https://dpmzos25m8ivg.cloudfront.net/Documentos/631/02862369314/6310286236931414092023154440.pdf","https://dpmzos25m8ivg.cloudfront.net/Documentos/631/02862369314/6310286236931414092023154440.pdf")</f>
        <v>https://dpmzos25m8ivg.cloudfront.net/Documentos/631/02862369314/6310286236931414092023154440.pdf</v>
      </c>
      <c r="F1083" s="5" t="str">
        <f>HYPERLINK("https://dpmzos25m8ivg.cloudfront.net/Documentos/631/02862369314/6310286236931414092023154509.pdf","https://dpmzos25m8ivg.cloudfront.net/Documentos/631/02862369314/6310286236931414092023154509.pdf")</f>
        <v>https://dpmzos25m8ivg.cloudfront.net/Documentos/631/02862369314/6310286236931414092023154509.pdf</v>
      </c>
      <c r="G1083" s="5" t="str">
        <f>HYPERLINK("https://dpmzos25m8ivg.cloudfront.net/Documentos/631/02862369314/6310286236931414092023154523.pdf","https://dpmzos25m8ivg.cloudfront.net/Documentos/631/02862369314/6310286236931414092023154523.pdf")</f>
        <v>https://dpmzos25m8ivg.cloudfront.net/Documentos/631/02862369314/6310286236931414092023154523.pdf</v>
      </c>
      <c r="H1083" s="4" t="s">
        <v>9666</v>
      </c>
    </row>
    <row r="1084" spans="1:8" x14ac:dyDescent="0.25">
      <c r="A1084" s="2" t="s">
        <v>1098</v>
      </c>
      <c r="B1084" s="3"/>
      <c r="C1084" s="3"/>
      <c r="D1084" s="3"/>
      <c r="E1084" s="4" t="str">
        <f>HYPERLINK("https://dpmzos25m8ivg.cloudfront.net/Documentos/631/02862528307/6310286252830708092023155010.pdf","https://dpmzos25m8ivg.cloudfront.net/Documentos/631/02862528307/6310286252830708092023155010.pdf")</f>
        <v>https://dpmzos25m8ivg.cloudfront.net/Documentos/631/02862528307/6310286252830708092023155010.pdf</v>
      </c>
      <c r="F1084" s="5" t="str">
        <f>HYPERLINK("https://dpmzos25m8ivg.cloudfront.net/Documentos/631/02862528307/6310286252830708092023155031.pdf","https://dpmzos25m8ivg.cloudfront.net/Documentos/631/02862528307/6310286252830708092023155031.pdf")</f>
        <v>https://dpmzos25m8ivg.cloudfront.net/Documentos/631/02862528307/6310286252830708092023155031.pdf</v>
      </c>
      <c r="G1084" s="5" t="str">
        <f>HYPERLINK("https://dpmzos25m8ivg.cloudfront.net/Documentos/631/02862528307/6310286252830708092023155056.pdf","https://dpmzos25m8ivg.cloudfront.net/Documentos/631/02862528307/6310286252830708092023155056.pdf")</f>
        <v>https://dpmzos25m8ivg.cloudfront.net/Documentos/631/02862528307/6310286252830708092023155056.pdf</v>
      </c>
      <c r="H1084" s="4" t="s">
        <v>9667</v>
      </c>
    </row>
    <row r="1085" spans="1:8" x14ac:dyDescent="0.25">
      <c r="A1085" s="2" t="s">
        <v>1099</v>
      </c>
      <c r="B1085" s="3"/>
      <c r="C1085" s="3"/>
      <c r="D1085" s="3"/>
      <c r="E1085" s="4" t="str">
        <f>HYPERLINK("https://dpmzos25m8ivg.cloudfront.net/Documentos/631/02869087004/6310286908700405092023155732.pdf","https://dpmzos25m8ivg.cloudfront.net/Documentos/631/02869087004/6310286908700405092023155732.pdf")</f>
        <v>https://dpmzos25m8ivg.cloudfront.net/Documentos/631/02869087004/6310286908700405092023155732.pdf</v>
      </c>
      <c r="F1085" s="5" t="str">
        <f>HYPERLINK("https://dpmzos25m8ivg.cloudfront.net/Documentos/631/02869087004/6310286908700405092023155834.pdf","https://dpmzos25m8ivg.cloudfront.net/Documentos/631/02869087004/6310286908700405092023155834.pdf")</f>
        <v>https://dpmzos25m8ivg.cloudfront.net/Documentos/631/02869087004/6310286908700405092023155834.pdf</v>
      </c>
      <c r="G1085" s="5" t="str">
        <f>HYPERLINK("https://dpmzos25m8ivg.cloudfront.net/Documentos/631/02869087004/6310286908700405092023155846.pdf","https://dpmzos25m8ivg.cloudfront.net/Documentos/631/02869087004/6310286908700405092023155846.pdf")</f>
        <v>https://dpmzos25m8ivg.cloudfront.net/Documentos/631/02869087004/6310286908700405092023155846.pdf</v>
      </c>
      <c r="H1085" s="4" t="s">
        <v>9668</v>
      </c>
    </row>
    <row r="1086" spans="1:8" x14ac:dyDescent="0.25">
      <c r="A1086" s="2" t="s">
        <v>1100</v>
      </c>
      <c r="B1086" s="3"/>
      <c r="C1086" s="3"/>
      <c r="D1086" s="3"/>
      <c r="E1086" s="4" t="str">
        <f>HYPERLINK("https://dpmzos25m8ivg.cloudfront.net/Documentos/631/02870839189/6310287083918909092023160310.pdf","https://dpmzos25m8ivg.cloudfront.net/Documentos/631/02870839189/6310287083918909092023160310.pdf")</f>
        <v>https://dpmzos25m8ivg.cloudfront.net/Documentos/631/02870839189/6310287083918909092023160310.pdf</v>
      </c>
      <c r="F1086" s="5" t="str">
        <f>HYPERLINK("https://dpmzos25m8ivg.cloudfront.net/Documentos/631/02870839189/6310287083918909092023160324.pdf","https://dpmzos25m8ivg.cloudfront.net/Documentos/631/02870839189/6310287083918909092023160324.pdf")</f>
        <v>https://dpmzos25m8ivg.cloudfront.net/Documentos/631/02870839189/6310287083918909092023160324.pdf</v>
      </c>
      <c r="G1086" s="5" t="str">
        <f>HYPERLINK("https://dpmzos25m8ivg.cloudfront.net/Documentos/631/02870839189/6310287083918909092023160336.pdf","https://dpmzos25m8ivg.cloudfront.net/Documentos/631/02870839189/6310287083918909092023160336.pdf")</f>
        <v>https://dpmzos25m8ivg.cloudfront.net/Documentos/631/02870839189/6310287083918909092023160336.pdf</v>
      </c>
      <c r="H1086" s="4" t="s">
        <v>9669</v>
      </c>
    </row>
    <row r="1087" spans="1:8" x14ac:dyDescent="0.25">
      <c r="A1087" s="2" t="s">
        <v>1101</v>
      </c>
      <c r="B1087" s="3" t="s">
        <v>308</v>
      </c>
      <c r="C1087" s="3"/>
      <c r="D1087" s="3"/>
      <c r="E1087" s="4" t="str">
        <f>HYPERLINK("https://dpmzos25m8ivg.cloudfront.net/Documentos/631/02872408274/6310287240827411092023154835.pdf","https://dpmzos25m8ivg.cloudfront.net/Documentos/631/02872408274/6310287240827411092023154835.pdf")</f>
        <v>https://dpmzos25m8ivg.cloudfront.net/Documentos/631/02872408274/6310287240827411092023154835.pdf</v>
      </c>
      <c r="F1087" s="5" t="str">
        <f>HYPERLINK("https://dpmzos25m8ivg.cloudfront.net/Documentos/631/02872408274/6310287240827411092023154855.pdf","https://dpmzos25m8ivg.cloudfront.net/Documentos/631/02872408274/6310287240827411092023154855.pdf")</f>
        <v>https://dpmzos25m8ivg.cloudfront.net/Documentos/631/02872408274/6310287240827411092023154855.pdf</v>
      </c>
      <c r="G1087" s="5" t="str">
        <f>HYPERLINK("https://dpmzos25m8ivg.cloudfront.net/Documentos/631/02872408274/6310287240827411092023154915.pdf","https://dpmzos25m8ivg.cloudfront.net/Documentos/631/02872408274/6310287240827411092023154915.pdf")</f>
        <v>https://dpmzos25m8ivg.cloudfront.net/Documentos/631/02872408274/6310287240827411092023154915.pdf</v>
      </c>
      <c r="H1087" s="4" t="s">
        <v>9670</v>
      </c>
    </row>
    <row r="1088" spans="1:8" x14ac:dyDescent="0.25">
      <c r="A1088" s="2" t="s">
        <v>1102</v>
      </c>
      <c r="B1088" s="3"/>
      <c r="C1088" s="3"/>
      <c r="D1088" s="3"/>
      <c r="E1088" s="4" t="str">
        <f>HYPERLINK("https://dpmzos25m8ivg.cloudfront.net/Documentos/631/02873835206/6310287383520611092023162023.pdf","https://dpmzos25m8ivg.cloudfront.net/Documentos/631/02873835206/6310287383520611092023162023.pdf")</f>
        <v>https://dpmzos25m8ivg.cloudfront.net/Documentos/631/02873835206/6310287383520611092023162023.pdf</v>
      </c>
      <c r="F1088" s="5" t="str">
        <f>HYPERLINK("https://dpmzos25m8ivg.cloudfront.net/Documentos/631/02873835206/6310287383520611092023162037.pdf","https://dpmzos25m8ivg.cloudfront.net/Documentos/631/02873835206/6310287383520611092023162037.pdf")</f>
        <v>https://dpmzos25m8ivg.cloudfront.net/Documentos/631/02873835206/6310287383520611092023162037.pdf</v>
      </c>
      <c r="G1088" s="5" t="str">
        <f>HYPERLINK("https://dpmzos25m8ivg.cloudfront.net/Documentos/631/02873835206/6310287383520611092023162054.pdf","https://dpmzos25m8ivg.cloudfront.net/Documentos/631/02873835206/6310287383520611092023162054.pdf")</f>
        <v>https://dpmzos25m8ivg.cloudfront.net/Documentos/631/02873835206/6310287383520611092023162054.pdf</v>
      </c>
      <c r="H1088" s="4" t="s">
        <v>9671</v>
      </c>
    </row>
    <row r="1089" spans="1:8" x14ac:dyDescent="0.25">
      <c r="A1089" s="2" t="s">
        <v>1103</v>
      </c>
      <c r="B1089" s="3" t="s">
        <v>312</v>
      </c>
      <c r="C1089" s="3"/>
      <c r="D1089" s="3"/>
      <c r="E1089" s="4" t="str">
        <f>HYPERLINK("https://dpmzos25m8ivg.cloudfront.net/Documentos/631/02874600539/6310287460053909092023092625.pdf","https://dpmzos25m8ivg.cloudfront.net/Documentos/631/02874600539/6310287460053909092023092625.pdf")</f>
        <v>https://dpmzos25m8ivg.cloudfront.net/Documentos/631/02874600539/6310287460053909092023092625.pdf</v>
      </c>
      <c r="F1089" s="5" t="str">
        <f>HYPERLINK("https://dpmzos25m8ivg.cloudfront.net/Documentos/631/02874600539/6310287460053909092023092642.pdf","https://dpmzos25m8ivg.cloudfront.net/Documentos/631/02874600539/6310287460053909092023092642.pdf")</f>
        <v>https://dpmzos25m8ivg.cloudfront.net/Documentos/631/02874600539/6310287460053909092023092642.pdf</v>
      </c>
      <c r="G1089" s="5" t="str">
        <f>HYPERLINK("https://dpmzos25m8ivg.cloudfront.net/Documentos/631/02874600539/6310287460053909092023092658.pdf","https://dpmzos25m8ivg.cloudfront.net/Documentos/631/02874600539/6310287460053909092023092658.pdf")</f>
        <v>https://dpmzos25m8ivg.cloudfront.net/Documentos/631/02874600539/6310287460053909092023092658.pdf</v>
      </c>
      <c r="H1089" s="4" t="s">
        <v>9672</v>
      </c>
    </row>
    <row r="1090" spans="1:8" x14ac:dyDescent="0.25">
      <c r="A1090" s="2" t="s">
        <v>1104</v>
      </c>
      <c r="B1090" s="3" t="s">
        <v>308</v>
      </c>
      <c r="C1090" s="3"/>
      <c r="D1090" s="3"/>
      <c r="E1090" s="4" t="str">
        <f>HYPERLINK("https://dpmzos25m8ivg.cloudfront.net/Documentos/631/02875202260/6310287520226014092023152233.pdf","https://dpmzos25m8ivg.cloudfront.net/Documentos/631/02875202260/6310287520226014092023152233.pdf")</f>
        <v>https://dpmzos25m8ivg.cloudfront.net/Documentos/631/02875202260/6310287520226014092023152233.pdf</v>
      </c>
      <c r="F1090" s="5" t="str">
        <f>HYPERLINK("https://dpmzos25m8ivg.cloudfront.net/Documentos/631/02875202260/6310287520226014092023152245.pdf","https://dpmzos25m8ivg.cloudfront.net/Documentos/631/02875202260/6310287520226014092023152245.pdf")</f>
        <v>https://dpmzos25m8ivg.cloudfront.net/Documentos/631/02875202260/6310287520226014092023152245.pdf</v>
      </c>
      <c r="G1090" s="5" t="str">
        <f>HYPERLINK("https://dpmzos25m8ivg.cloudfront.net/Documentos/631/02875202260/6310287520226014092023152300.pdf","https://dpmzos25m8ivg.cloudfront.net/Documentos/631/02875202260/6310287520226014092023152300.pdf")</f>
        <v>https://dpmzos25m8ivg.cloudfront.net/Documentos/631/02875202260/6310287520226014092023152300.pdf</v>
      </c>
      <c r="H1090" s="4" t="s">
        <v>9673</v>
      </c>
    </row>
    <row r="1091" spans="1:8" x14ac:dyDescent="0.25">
      <c r="A1091" s="2" t="s">
        <v>1105</v>
      </c>
      <c r="B1091" s="3"/>
      <c r="C1091" s="3"/>
      <c r="D1091" s="3"/>
      <c r="E1091" s="4" t="str">
        <f>HYPERLINK("https://dpmzos25m8ivg.cloudfront.net/Documentos/631/02876130700/6310287613070006092023110732.pdf","https://dpmzos25m8ivg.cloudfront.net/Documentos/631/02876130700/6310287613070006092023110732.pdf")</f>
        <v>https://dpmzos25m8ivg.cloudfront.net/Documentos/631/02876130700/6310287613070006092023110732.pdf</v>
      </c>
      <c r="F1091" s="5" t="str">
        <f>HYPERLINK("https://dpmzos25m8ivg.cloudfront.net/Documentos/631/02876130700/6310287613070006092023110822.pdf","https://dpmzos25m8ivg.cloudfront.net/Documentos/631/02876130700/6310287613070006092023110822.pdf")</f>
        <v>https://dpmzos25m8ivg.cloudfront.net/Documentos/631/02876130700/6310287613070006092023110822.pdf</v>
      </c>
      <c r="G1091" s="5" t="str">
        <f>HYPERLINK("https://dpmzos25m8ivg.cloudfront.net/Documentos/631/02876130700/6310287613070006092023110911.pdf","https://dpmzos25m8ivg.cloudfront.net/Documentos/631/02876130700/6310287613070006092023110911.pdf")</f>
        <v>https://dpmzos25m8ivg.cloudfront.net/Documentos/631/02876130700/6310287613070006092023110911.pdf</v>
      </c>
      <c r="H1091" s="4" t="s">
        <v>9674</v>
      </c>
    </row>
    <row r="1092" spans="1:8" x14ac:dyDescent="0.25">
      <c r="A1092" s="2" t="s">
        <v>1106</v>
      </c>
      <c r="B1092" s="3"/>
      <c r="C1092" s="3"/>
      <c r="D1092" s="3"/>
      <c r="E1092" s="4" t="str">
        <f>HYPERLINK("https://dpmzos25m8ivg.cloudfront.net/Documentos/631/02876419378/6310287641937805092023101014.jpg","https://dpmzos25m8ivg.cloudfront.net/Documentos/631/02876419378/6310287641937805092023101014.jpg")</f>
        <v>https://dpmzos25m8ivg.cloudfront.net/Documentos/631/02876419378/6310287641937805092023101014.jpg</v>
      </c>
      <c r="F1092" s="5" t="str">
        <f>HYPERLINK("https://dpmzos25m8ivg.cloudfront.net/Documentos/631/02876419378/6310287641937805092023101049.jpg","https://dpmzos25m8ivg.cloudfront.net/Documentos/631/02876419378/6310287641937805092023101049.jpg")</f>
        <v>https://dpmzos25m8ivg.cloudfront.net/Documentos/631/02876419378/6310287641937805092023101049.jpg</v>
      </c>
      <c r="G1092" s="5" t="str">
        <f>HYPERLINK("https://dpmzos25m8ivg.cloudfront.net/Documentos/631/02876419378/6310287641937805092023101117.jpg","https://dpmzos25m8ivg.cloudfront.net/Documentos/631/02876419378/6310287641937805092023101117.jpg")</f>
        <v>https://dpmzos25m8ivg.cloudfront.net/Documentos/631/02876419378/6310287641937805092023101117.jpg</v>
      </c>
      <c r="H1092" s="4" t="s">
        <v>9675</v>
      </c>
    </row>
    <row r="1093" spans="1:8" x14ac:dyDescent="0.25">
      <c r="A1093" s="2" t="s">
        <v>1107</v>
      </c>
      <c r="B1093" s="3"/>
      <c r="C1093" s="3"/>
      <c r="D1093" s="3"/>
      <c r="E1093" s="4" t="str">
        <f>HYPERLINK("https://dpmzos25m8ivg.cloudfront.net/Documentos/631/02878930304/6310287893030411092023142210.pdf","https://dpmzos25m8ivg.cloudfront.net/Documentos/631/02878930304/6310287893030411092023142210.pdf")</f>
        <v>https://dpmzos25m8ivg.cloudfront.net/Documentos/631/02878930304/6310287893030411092023142210.pdf</v>
      </c>
      <c r="F1093" s="5" t="str">
        <f>HYPERLINK("https://dpmzos25m8ivg.cloudfront.net/Documentos/631/02878930304/6310287893030411092023142247.pdf","https://dpmzos25m8ivg.cloudfront.net/Documentos/631/02878930304/6310287893030411092023142247.pdf")</f>
        <v>https://dpmzos25m8ivg.cloudfront.net/Documentos/631/02878930304/6310287893030411092023142247.pdf</v>
      </c>
      <c r="G1093" s="5" t="str">
        <f>HYPERLINK("https://dpmzos25m8ivg.cloudfront.net/Documentos/631/02878930304/6310287893030411092023142310.pdf","https://dpmzos25m8ivg.cloudfront.net/Documentos/631/02878930304/6310287893030411092023142310.pdf")</f>
        <v>https://dpmzos25m8ivg.cloudfront.net/Documentos/631/02878930304/6310287893030411092023142310.pdf</v>
      </c>
      <c r="H1093" s="4" t="s">
        <v>9676</v>
      </c>
    </row>
    <row r="1094" spans="1:8" x14ac:dyDescent="0.25">
      <c r="A1094" s="2" t="s">
        <v>1108</v>
      </c>
      <c r="B1094" s="3"/>
      <c r="C1094" s="3"/>
      <c r="D1094" s="3"/>
      <c r="E1094" s="4" t="str">
        <f>HYPERLINK("https://dpmzos25m8ivg.cloudfront.net/Documentos/631/02883218552/6310288321855211092023164324.pdf","https://dpmzos25m8ivg.cloudfront.net/Documentos/631/02883218552/6310288321855211092023164324.pdf")</f>
        <v>https://dpmzos25m8ivg.cloudfront.net/Documentos/631/02883218552/6310288321855211092023164324.pdf</v>
      </c>
      <c r="F1094" s="5" t="str">
        <f>HYPERLINK("https://dpmzos25m8ivg.cloudfront.net/Documentos/631/02883218552/6310288321855211092023164342.pdf","https://dpmzos25m8ivg.cloudfront.net/Documentos/631/02883218552/6310288321855211092023164342.pdf")</f>
        <v>https://dpmzos25m8ivg.cloudfront.net/Documentos/631/02883218552/6310288321855211092023164342.pdf</v>
      </c>
      <c r="G1094" s="5" t="str">
        <f>HYPERLINK("https://dpmzos25m8ivg.cloudfront.net/Documentos/631/02883218552/6310288321855211092023164357.pdf","https://dpmzos25m8ivg.cloudfront.net/Documentos/631/02883218552/6310288321855211092023164357.pdf")</f>
        <v>https://dpmzos25m8ivg.cloudfront.net/Documentos/631/02883218552/6310288321855211092023164357.pdf</v>
      </c>
      <c r="H1094" s="4" t="s">
        <v>9677</v>
      </c>
    </row>
    <row r="1095" spans="1:8" x14ac:dyDescent="0.25">
      <c r="A1095" s="2" t="s">
        <v>1109</v>
      </c>
      <c r="B1095" s="3"/>
      <c r="C1095" s="3"/>
      <c r="D1095" s="3"/>
      <c r="E1095" s="4" t="str">
        <f>HYPERLINK("https://dpmzos25m8ivg.cloudfront.net/Documentos/631/02884444777/6310288444477711092023024120.jpeg","https://dpmzos25m8ivg.cloudfront.net/Documentos/631/02884444777/6310288444477711092023024120.jpeg")</f>
        <v>https://dpmzos25m8ivg.cloudfront.net/Documentos/631/02884444777/6310288444477711092023024120.jpeg</v>
      </c>
      <c r="F1095" s="5" t="str">
        <f>HYPERLINK("https://dpmzos25m8ivg.cloudfront.net/Documentos/631/02884444777/6310288444477711092023024210.jpeg","https://dpmzos25m8ivg.cloudfront.net/Documentos/631/02884444777/6310288444477711092023024210.jpeg")</f>
        <v>https://dpmzos25m8ivg.cloudfront.net/Documentos/631/02884444777/6310288444477711092023024210.jpeg</v>
      </c>
      <c r="G1095" s="5" t="str">
        <f>HYPERLINK("https://dpmzos25m8ivg.cloudfront.net/Documentos/631/02884444777/6310288444477711092023024233.jpeg","https://dpmzos25m8ivg.cloudfront.net/Documentos/631/02884444777/6310288444477711092023024233.jpeg")</f>
        <v>https://dpmzos25m8ivg.cloudfront.net/Documentos/631/02884444777/6310288444477711092023024233.jpeg</v>
      </c>
      <c r="H1095" s="4" t="s">
        <v>9678</v>
      </c>
    </row>
    <row r="1096" spans="1:8" x14ac:dyDescent="0.25">
      <c r="A1096" s="2" t="s">
        <v>1110</v>
      </c>
      <c r="B1096" s="3"/>
      <c r="C1096" s="3"/>
      <c r="D1096" s="3"/>
      <c r="E1096" s="4" t="str">
        <f>HYPERLINK("https://dpmzos25m8ivg.cloudfront.net/Documentos/631/02884638202/6310288463820211092023113724.pdf","https://dpmzos25m8ivg.cloudfront.net/Documentos/631/02884638202/6310288463820211092023113724.pdf")</f>
        <v>https://dpmzos25m8ivg.cloudfront.net/Documentos/631/02884638202/6310288463820211092023113724.pdf</v>
      </c>
      <c r="F1096" s="5" t="str">
        <f>HYPERLINK("https://dpmzos25m8ivg.cloudfront.net/Documentos/631/02884638202/6310288463820211092023113746.pdf","https://dpmzos25m8ivg.cloudfront.net/Documentos/631/02884638202/6310288463820211092023113746.pdf")</f>
        <v>https://dpmzos25m8ivg.cloudfront.net/Documentos/631/02884638202/6310288463820211092023113746.pdf</v>
      </c>
      <c r="G1096" s="5" t="str">
        <f>HYPERLINK("https://dpmzos25m8ivg.cloudfront.net/Documentos/631/02884638202/6310288463820211092023113808.pdf","https://dpmzos25m8ivg.cloudfront.net/Documentos/631/02884638202/6310288463820211092023113808.pdf")</f>
        <v>https://dpmzos25m8ivg.cloudfront.net/Documentos/631/02884638202/6310288463820211092023113808.pdf</v>
      </c>
      <c r="H1096" s="4" t="s">
        <v>9679</v>
      </c>
    </row>
    <row r="1097" spans="1:8" x14ac:dyDescent="0.25">
      <c r="A1097" s="2" t="s">
        <v>1111</v>
      </c>
      <c r="B1097" s="3"/>
      <c r="C1097" s="3"/>
      <c r="D1097" s="3"/>
      <c r="E1097" s="4" t="str">
        <f>HYPERLINK("https://dpmzos25m8ivg.cloudfront.net/Documentos/631/02885221763/6310288522176304092023223352.pdf","https://dpmzos25m8ivg.cloudfront.net/Documentos/631/02885221763/6310288522176304092023223352.pdf")</f>
        <v>https://dpmzos25m8ivg.cloudfront.net/Documentos/631/02885221763/6310288522176304092023223352.pdf</v>
      </c>
      <c r="F1097" s="5" t="str">
        <f>HYPERLINK("https://dpmzos25m8ivg.cloudfront.net/Documentos/631/02885221763/6310288522176304092023223848.pdf","https://dpmzos25m8ivg.cloudfront.net/Documentos/631/02885221763/6310288522176304092023223848.pdf")</f>
        <v>https://dpmzos25m8ivg.cloudfront.net/Documentos/631/02885221763/6310288522176304092023223848.pdf</v>
      </c>
      <c r="G1097" s="5" t="str">
        <f>HYPERLINK("https://dpmzos25m8ivg.cloudfront.net/Documentos/631/02885221763/6310288522176304092023224345.pdf","https://dpmzos25m8ivg.cloudfront.net/Documentos/631/02885221763/6310288522176304092023224345.pdf")</f>
        <v>https://dpmzos25m8ivg.cloudfront.net/Documentos/631/02885221763/6310288522176304092023224345.pdf</v>
      </c>
      <c r="H1097" s="4" t="s">
        <v>9680</v>
      </c>
    </row>
    <row r="1098" spans="1:8" x14ac:dyDescent="0.25">
      <c r="A1098" s="2" t="s">
        <v>1112</v>
      </c>
      <c r="B1098" s="3" t="s">
        <v>308</v>
      </c>
      <c r="C1098" s="3"/>
      <c r="D1098" s="3"/>
      <c r="E1098" s="4" t="str">
        <f>HYPERLINK("https://dpmzos25m8ivg.cloudfront.net/Documentos/631/02885368519/6310288536851913092023211553.jpeg","https://dpmzos25m8ivg.cloudfront.net/Documentos/631/02885368519/6310288536851913092023211553.jpeg")</f>
        <v>https://dpmzos25m8ivg.cloudfront.net/Documentos/631/02885368519/6310288536851913092023211553.jpeg</v>
      </c>
      <c r="F1098" s="5" t="str">
        <f>HYPERLINK("https://dpmzos25m8ivg.cloudfront.net/Documentos/631/02885368519/6310288536851913092023211612.jpeg","https://dpmzos25m8ivg.cloudfront.net/Documentos/631/02885368519/6310288536851913092023211612.jpeg")</f>
        <v>https://dpmzos25m8ivg.cloudfront.net/Documentos/631/02885368519/6310288536851913092023211612.jpeg</v>
      </c>
      <c r="G1098" s="5" t="str">
        <f>HYPERLINK("https://dpmzos25m8ivg.cloudfront.net/Documentos/631/02885368519/6310288536851913092023211629.jpeg","https://dpmzos25m8ivg.cloudfront.net/Documentos/631/02885368519/6310288536851913092023211629.jpeg")</f>
        <v>https://dpmzos25m8ivg.cloudfront.net/Documentos/631/02885368519/6310288536851913092023211629.jpeg</v>
      </c>
      <c r="H1098" s="4" t="s">
        <v>9681</v>
      </c>
    </row>
    <row r="1099" spans="1:8" x14ac:dyDescent="0.25">
      <c r="A1099" s="2" t="s">
        <v>1113</v>
      </c>
      <c r="B1099" s="3"/>
      <c r="C1099" s="3"/>
      <c r="D1099" s="3"/>
      <c r="E1099" s="4" t="str">
        <f>HYPERLINK("https://dpmzos25m8ivg.cloudfront.net/Documentos/631/02887505513/6310288750551305092023153859.jpeg","https://dpmzos25m8ivg.cloudfront.net/Documentos/631/02887505513/6310288750551305092023153859.jpeg")</f>
        <v>https://dpmzos25m8ivg.cloudfront.net/Documentos/631/02887505513/6310288750551305092023153859.jpeg</v>
      </c>
      <c r="F1099" s="5" t="str">
        <f>HYPERLINK("https://dpmzos25m8ivg.cloudfront.net/Documentos/631/02887505513/6310288750551305092023153911.jpeg","https://dpmzos25m8ivg.cloudfront.net/Documentos/631/02887505513/6310288750551305092023153911.jpeg")</f>
        <v>https://dpmzos25m8ivg.cloudfront.net/Documentos/631/02887505513/6310288750551305092023153911.jpeg</v>
      </c>
      <c r="G1099" s="5" t="str">
        <f>HYPERLINK("https://dpmzos25m8ivg.cloudfront.net/Documentos/631/02887505513/6310288750551305092023153925.jpeg","https://dpmzos25m8ivg.cloudfront.net/Documentos/631/02887505513/6310288750551305092023153925.jpeg")</f>
        <v>https://dpmzos25m8ivg.cloudfront.net/Documentos/631/02887505513/6310288750551305092023153925.jpeg</v>
      </c>
      <c r="H1099" s="4" t="s">
        <v>9682</v>
      </c>
    </row>
    <row r="1100" spans="1:8" x14ac:dyDescent="0.25">
      <c r="A1100" s="2" t="s">
        <v>1114</v>
      </c>
      <c r="B1100" s="3"/>
      <c r="C1100" s="3"/>
      <c r="D1100" s="3"/>
      <c r="E1100" s="4" t="str">
        <f>HYPERLINK("https://dpmzos25m8ivg.cloudfront.net/Documentos/631/02887889230/6310288788923008092023172512.pdf","https://dpmzos25m8ivg.cloudfront.net/Documentos/631/02887889230/6310288788923008092023172512.pdf")</f>
        <v>https://dpmzos25m8ivg.cloudfront.net/Documentos/631/02887889230/6310288788923008092023172512.pdf</v>
      </c>
      <c r="F1100" s="5" t="str">
        <f>HYPERLINK("https://dpmzos25m8ivg.cloudfront.net/Documentos/631/02887889230/6310288788923008092023172531.pdf","https://dpmzos25m8ivg.cloudfront.net/Documentos/631/02887889230/6310288788923008092023172531.pdf")</f>
        <v>https://dpmzos25m8ivg.cloudfront.net/Documentos/631/02887889230/6310288788923008092023172531.pdf</v>
      </c>
      <c r="G1100" s="5" t="str">
        <f>HYPERLINK("https://dpmzos25m8ivg.cloudfront.net/Documentos/631/02887889230/6310288788923008092023172548.pdf","https://dpmzos25m8ivg.cloudfront.net/Documentos/631/02887889230/6310288788923008092023172548.pdf")</f>
        <v>https://dpmzos25m8ivg.cloudfront.net/Documentos/631/02887889230/6310288788923008092023172548.pdf</v>
      </c>
      <c r="H1100" s="4" t="s">
        <v>9683</v>
      </c>
    </row>
    <row r="1101" spans="1:8" x14ac:dyDescent="0.25">
      <c r="A1101" s="2" t="s">
        <v>1115</v>
      </c>
      <c r="B1101" s="3"/>
      <c r="C1101" s="3"/>
      <c r="D1101" s="3"/>
      <c r="E1101" s="4" t="str">
        <f>HYPERLINK("https://dpmzos25m8ivg.cloudfront.net/Documentos/631/02891567935/6310289156793509092023171157.pdf","https://dpmzos25m8ivg.cloudfront.net/Documentos/631/02891567935/6310289156793509092023171157.pdf")</f>
        <v>https://dpmzos25m8ivg.cloudfront.net/Documentos/631/02891567935/6310289156793509092023171157.pdf</v>
      </c>
      <c r="F1101" s="5" t="str">
        <f>HYPERLINK("https://dpmzos25m8ivg.cloudfront.net/Documentos/631/02891567935/6310289156793509092023171207.pdf","https://dpmzos25m8ivg.cloudfront.net/Documentos/631/02891567935/6310289156793509092023171207.pdf")</f>
        <v>https://dpmzos25m8ivg.cloudfront.net/Documentos/631/02891567935/6310289156793509092023171207.pdf</v>
      </c>
      <c r="G1101" s="5" t="str">
        <f>HYPERLINK("https://dpmzos25m8ivg.cloudfront.net/Documentos/631/02891567935/6310289156793509092023171214.pdf","https://dpmzos25m8ivg.cloudfront.net/Documentos/631/02891567935/6310289156793509092023171214.pdf")</f>
        <v>https://dpmzos25m8ivg.cloudfront.net/Documentos/631/02891567935/6310289156793509092023171214.pdf</v>
      </c>
      <c r="H1101" s="4" t="s">
        <v>9684</v>
      </c>
    </row>
    <row r="1102" spans="1:8" x14ac:dyDescent="0.25">
      <c r="A1102" s="2" t="s">
        <v>1116</v>
      </c>
      <c r="B1102" s="3" t="s">
        <v>308</v>
      </c>
      <c r="C1102" s="3"/>
      <c r="D1102" s="3"/>
      <c r="E1102" s="4" t="str">
        <f>HYPERLINK("https://dpmzos25m8ivg.cloudfront.net/Documentos/631/02894800002/6310289480000206092023123208.pdf","https://dpmzos25m8ivg.cloudfront.net/Documentos/631/02894800002/6310289480000206092023123208.pdf")</f>
        <v>https://dpmzos25m8ivg.cloudfront.net/Documentos/631/02894800002/6310289480000206092023123208.pdf</v>
      </c>
      <c r="F1102" s="5" t="str">
        <f>HYPERLINK("https://dpmzos25m8ivg.cloudfront.net/Documentos/631/02894800002/6310289480000206092023124008.jpg","https://dpmzos25m8ivg.cloudfront.net/Documentos/631/02894800002/6310289480000206092023124008.jpg")</f>
        <v>https://dpmzos25m8ivg.cloudfront.net/Documentos/631/02894800002/6310289480000206092023124008.jpg</v>
      </c>
      <c r="G1102" s="5" t="str">
        <f>HYPERLINK("https://dpmzos25m8ivg.cloudfront.net/Documentos/631/02894800002/6310289480000206092023125841.pdf","https://dpmzos25m8ivg.cloudfront.net/Documentos/631/02894800002/6310289480000206092023125841.pdf")</f>
        <v>https://dpmzos25m8ivg.cloudfront.net/Documentos/631/02894800002/6310289480000206092023125841.pdf</v>
      </c>
      <c r="H1102" s="4" t="s">
        <v>9685</v>
      </c>
    </row>
    <row r="1103" spans="1:8" x14ac:dyDescent="0.25">
      <c r="A1103" s="2" t="s">
        <v>1117</v>
      </c>
      <c r="B1103" s="3"/>
      <c r="C1103" s="3"/>
      <c r="D1103" s="3"/>
      <c r="E1103" s="4" t="str">
        <f>HYPERLINK("https://dpmzos25m8ivg.cloudfront.net/Documentos/631/02900134102/6310290013410211092023122148.jpg","https://dpmzos25m8ivg.cloudfront.net/Documentos/631/02900134102/6310290013410211092023122148.jpg")</f>
        <v>https://dpmzos25m8ivg.cloudfront.net/Documentos/631/02900134102/6310290013410211092023122148.jpg</v>
      </c>
      <c r="F1103" s="5" t="str">
        <f>HYPERLINK("https://dpmzos25m8ivg.cloudfront.net/Documentos/631/02900134102/6310290013410211092023122211.jpg","https://dpmzos25m8ivg.cloudfront.net/Documentos/631/02900134102/6310290013410211092023122211.jpg")</f>
        <v>https://dpmzos25m8ivg.cloudfront.net/Documentos/631/02900134102/6310290013410211092023122211.jpg</v>
      </c>
      <c r="G1103" s="5" t="str">
        <f>HYPERLINK("https://dpmzos25m8ivg.cloudfront.net/Documentos/631/02900134102/6310290013410211092023122307.jpg","https://dpmzos25m8ivg.cloudfront.net/Documentos/631/02900134102/6310290013410211092023122307.jpg")</f>
        <v>https://dpmzos25m8ivg.cloudfront.net/Documentos/631/02900134102/6310290013410211092023122307.jpg</v>
      </c>
      <c r="H1103" s="4" t="s">
        <v>9686</v>
      </c>
    </row>
    <row r="1104" spans="1:8" x14ac:dyDescent="0.25">
      <c r="A1104" s="2" t="s">
        <v>1118</v>
      </c>
      <c r="B1104" s="3"/>
      <c r="C1104" s="3"/>
      <c r="D1104" s="3"/>
      <c r="E1104" s="4" t="str">
        <f>HYPERLINK("https://dpmzos25m8ivg.cloudfront.net/Documentos/631/02901483240/6310290148324014092023123307.pdf","https://dpmzos25m8ivg.cloudfront.net/Documentos/631/02901483240/6310290148324014092023123307.pdf")</f>
        <v>https://dpmzos25m8ivg.cloudfront.net/Documentos/631/02901483240/6310290148324014092023123307.pdf</v>
      </c>
      <c r="F1104" s="5" t="str">
        <f>HYPERLINK("https://dpmzos25m8ivg.cloudfront.net/Documentos/631/02901483240/6310290148324014092023123326.pdf","https://dpmzos25m8ivg.cloudfront.net/Documentos/631/02901483240/6310290148324014092023123326.pdf")</f>
        <v>https://dpmzos25m8ivg.cloudfront.net/Documentos/631/02901483240/6310290148324014092023123326.pdf</v>
      </c>
      <c r="G1104" s="5" t="str">
        <f>HYPERLINK("https://dpmzos25m8ivg.cloudfront.net/Documentos/631/02901483240/6310290148324014092023123345.pdf","https://dpmzos25m8ivg.cloudfront.net/Documentos/631/02901483240/6310290148324014092023123345.pdf")</f>
        <v>https://dpmzos25m8ivg.cloudfront.net/Documentos/631/02901483240/6310290148324014092023123345.pdf</v>
      </c>
      <c r="H1104" s="4" t="s">
        <v>9687</v>
      </c>
    </row>
    <row r="1105" spans="1:8" x14ac:dyDescent="0.25">
      <c r="A1105" s="2" t="s">
        <v>1119</v>
      </c>
      <c r="B1105" s="3"/>
      <c r="C1105" s="3"/>
      <c r="D1105" s="3"/>
      <c r="E1105" s="4" t="str">
        <f>HYPERLINK("https://dpmzos25m8ivg.cloudfront.net/Documentos/631/02903376239/6310290337623911092023154259.pdf","https://dpmzos25m8ivg.cloudfront.net/Documentos/631/02903376239/6310290337623911092023154259.pdf")</f>
        <v>https://dpmzos25m8ivg.cloudfront.net/Documentos/631/02903376239/6310290337623911092023154259.pdf</v>
      </c>
      <c r="F1105" s="5" t="str">
        <f>HYPERLINK("https://dpmzos25m8ivg.cloudfront.net/Documentos/631/02903376239/6310290337623911092023154324.pdf","https://dpmzos25m8ivg.cloudfront.net/Documentos/631/02903376239/6310290337623911092023154324.pdf")</f>
        <v>https://dpmzos25m8ivg.cloudfront.net/Documentos/631/02903376239/6310290337623911092023154324.pdf</v>
      </c>
      <c r="G1105" s="5" t="str">
        <f>HYPERLINK("https://dpmzos25m8ivg.cloudfront.net/Documentos/631/02903376239/6310290337623911092023154341.pdf","https://dpmzos25m8ivg.cloudfront.net/Documentos/631/02903376239/6310290337623911092023154341.pdf")</f>
        <v>https://dpmzos25m8ivg.cloudfront.net/Documentos/631/02903376239/6310290337623911092023154341.pdf</v>
      </c>
      <c r="H1105" s="4" t="s">
        <v>9688</v>
      </c>
    </row>
    <row r="1106" spans="1:8" x14ac:dyDescent="0.25">
      <c r="A1106" s="2" t="s">
        <v>1120</v>
      </c>
      <c r="B1106" s="3"/>
      <c r="C1106" s="3"/>
      <c r="D1106" s="3"/>
      <c r="E1106" s="4" t="str">
        <f>HYPERLINK("https://dpmzos25m8ivg.cloudfront.net/Documentos/631/02903513910/6310290351391006092023221815.pdf","https://dpmzos25m8ivg.cloudfront.net/Documentos/631/02903513910/6310290351391006092023221815.pdf")</f>
        <v>https://dpmzos25m8ivg.cloudfront.net/Documentos/631/02903513910/6310290351391006092023221815.pdf</v>
      </c>
      <c r="F1106" s="5" t="str">
        <f>HYPERLINK("https://dpmzos25m8ivg.cloudfront.net/Documentos/631/02903513910/6310290351391006092023221835.pdf","https://dpmzos25m8ivg.cloudfront.net/Documentos/631/02903513910/6310290351391006092023221835.pdf")</f>
        <v>https://dpmzos25m8ivg.cloudfront.net/Documentos/631/02903513910/6310290351391006092023221835.pdf</v>
      </c>
      <c r="G1106" s="5" t="str">
        <f>HYPERLINK("https://dpmzos25m8ivg.cloudfront.net/Documentos/631/02903513910/6310290351391006092023221852.pdf","https://dpmzos25m8ivg.cloudfront.net/Documentos/631/02903513910/6310290351391006092023221852.pdf")</f>
        <v>https://dpmzos25m8ivg.cloudfront.net/Documentos/631/02903513910/6310290351391006092023221852.pdf</v>
      </c>
      <c r="H1106" s="4" t="s">
        <v>9689</v>
      </c>
    </row>
    <row r="1107" spans="1:8" x14ac:dyDescent="0.25">
      <c r="A1107" s="2" t="s">
        <v>1121</v>
      </c>
      <c r="B1107" s="3"/>
      <c r="C1107" s="3"/>
      <c r="D1107" s="3"/>
      <c r="E1107" s="4" t="str">
        <f>HYPERLINK("https://dpmzos25m8ivg.cloudfront.net/Documentos/631/02903897980/6310290389798005092023212504.pdf","https://dpmzos25m8ivg.cloudfront.net/Documentos/631/02903897980/6310290389798005092023212504.pdf")</f>
        <v>https://dpmzos25m8ivg.cloudfront.net/Documentos/631/02903897980/6310290389798005092023212504.pdf</v>
      </c>
      <c r="F1107" s="5" t="str">
        <f>HYPERLINK("https://dpmzos25m8ivg.cloudfront.net/Documentos/631/02903897980/6310290389798005092023212526.pdf","https://dpmzos25m8ivg.cloudfront.net/Documentos/631/02903897980/6310290389798005092023212526.pdf")</f>
        <v>https://dpmzos25m8ivg.cloudfront.net/Documentos/631/02903897980/6310290389798005092023212526.pdf</v>
      </c>
      <c r="G1107" s="5" t="str">
        <f>HYPERLINK("https://dpmzos25m8ivg.cloudfront.net/Documentos/631/02903897980/6310290389798005092023212540.pdf","https://dpmzos25m8ivg.cloudfront.net/Documentos/631/02903897980/6310290389798005092023212540.pdf")</f>
        <v>https://dpmzos25m8ivg.cloudfront.net/Documentos/631/02903897980/6310290389798005092023212540.pdf</v>
      </c>
      <c r="H1107" s="4" t="s">
        <v>9690</v>
      </c>
    </row>
    <row r="1108" spans="1:8" x14ac:dyDescent="0.25">
      <c r="A1108" s="2" t="s">
        <v>1122</v>
      </c>
      <c r="B1108" s="3"/>
      <c r="C1108" s="3"/>
      <c r="D1108" s="3"/>
      <c r="E1108" s="4" t="str">
        <f>HYPERLINK("https://dpmzos25m8ivg.cloudfront.net/Documentos/631/02905079282/6310290507928211092023090954.pdf","https://dpmzos25m8ivg.cloudfront.net/Documentos/631/02905079282/6310290507928211092023090954.pdf")</f>
        <v>https://dpmzos25m8ivg.cloudfront.net/Documentos/631/02905079282/6310290507928211092023090954.pdf</v>
      </c>
      <c r="F1108" s="5" t="str">
        <f>HYPERLINK("https://dpmzos25m8ivg.cloudfront.net/Documentos/631/02905079282/6310290507928211092023091005.pdf","https://dpmzos25m8ivg.cloudfront.net/Documentos/631/02905079282/6310290507928211092023091005.pdf")</f>
        <v>https://dpmzos25m8ivg.cloudfront.net/Documentos/631/02905079282/6310290507928211092023091005.pdf</v>
      </c>
      <c r="G1108" s="5" t="str">
        <f>HYPERLINK("https://dpmzos25m8ivg.cloudfront.net/Documentos/631/02905079282/6310290507928211092023091021.pdf","https://dpmzos25m8ivg.cloudfront.net/Documentos/631/02905079282/6310290507928211092023091021.pdf")</f>
        <v>https://dpmzos25m8ivg.cloudfront.net/Documentos/631/02905079282/6310290507928211092023091021.pdf</v>
      </c>
      <c r="H1108" s="4" t="s">
        <v>9691</v>
      </c>
    </row>
    <row r="1109" spans="1:8" x14ac:dyDescent="0.25">
      <c r="A1109" s="2" t="s">
        <v>1123</v>
      </c>
      <c r="B1109" s="3"/>
      <c r="C1109" s="3"/>
      <c r="D1109" s="3"/>
      <c r="E1109" s="4" t="str">
        <f>HYPERLINK("https://dpmzos25m8ivg.cloudfront.net/Documentos/631/02905148608/6310290514860812092023204906.pdf","https://dpmzos25m8ivg.cloudfront.net/Documentos/631/02905148608/6310290514860812092023204906.pdf")</f>
        <v>https://dpmzos25m8ivg.cloudfront.net/Documentos/631/02905148608/6310290514860812092023204906.pdf</v>
      </c>
      <c r="F1109" s="5" t="str">
        <f>HYPERLINK("https://dpmzos25m8ivg.cloudfront.net/Documentos/631/02905148608/6310290514860812092023204913.pdf","https://dpmzos25m8ivg.cloudfront.net/Documentos/631/02905148608/6310290514860812092023204913.pdf")</f>
        <v>https://dpmzos25m8ivg.cloudfront.net/Documentos/631/02905148608/6310290514860812092023204913.pdf</v>
      </c>
      <c r="G1109" s="5" t="str">
        <f>HYPERLINK("https://dpmzos25m8ivg.cloudfront.net/Documentos/631/02905148608/6310290514860812092023204922.pdf","https://dpmzos25m8ivg.cloudfront.net/Documentos/631/02905148608/6310290514860812092023204922.pdf")</f>
        <v>https://dpmzos25m8ivg.cloudfront.net/Documentos/631/02905148608/6310290514860812092023204922.pdf</v>
      </c>
      <c r="H1109" s="4" t="s">
        <v>9692</v>
      </c>
    </row>
    <row r="1110" spans="1:8" x14ac:dyDescent="0.25">
      <c r="A1110" s="2" t="s">
        <v>1124</v>
      </c>
      <c r="B1110" s="3"/>
      <c r="C1110" s="3"/>
      <c r="D1110" s="3"/>
      <c r="E1110" s="4" t="str">
        <f>HYPERLINK("https://dpmzos25m8ivg.cloudfront.net/Documentos/631/02909913155/6310290991315505092023230029.jpeg","https://dpmzos25m8ivg.cloudfront.net/Documentos/631/02909913155/6310290991315505092023230029.jpeg")</f>
        <v>https://dpmzos25m8ivg.cloudfront.net/Documentos/631/02909913155/6310290991315505092023230029.jpeg</v>
      </c>
      <c r="F1110" s="5" t="str">
        <f>HYPERLINK("https://dpmzos25m8ivg.cloudfront.net/Documentos/631/02909913155/6310290991315505092023230035.jpeg","https://dpmzos25m8ivg.cloudfront.net/Documentos/631/02909913155/6310290991315505092023230035.jpeg")</f>
        <v>https://dpmzos25m8ivg.cloudfront.net/Documentos/631/02909913155/6310290991315505092023230035.jpeg</v>
      </c>
      <c r="G1110" s="5" t="str">
        <f>HYPERLINK("https://dpmzos25m8ivg.cloudfront.net/Documentos/631/02909913155/6310290991315505092023230046.jpeg","https://dpmzos25m8ivg.cloudfront.net/Documentos/631/02909913155/6310290991315505092023230046.jpeg")</f>
        <v>https://dpmzos25m8ivg.cloudfront.net/Documentos/631/02909913155/6310290991315505092023230046.jpeg</v>
      </c>
      <c r="H1110" s="4" t="s">
        <v>9693</v>
      </c>
    </row>
    <row r="1111" spans="1:8" x14ac:dyDescent="0.25">
      <c r="A1111" s="2" t="s">
        <v>1125</v>
      </c>
      <c r="B1111" s="3"/>
      <c r="C1111" s="3"/>
      <c r="D1111" s="3"/>
      <c r="E1111" s="4" t="str">
        <f>HYPERLINK("https://dpmzos25m8ivg.cloudfront.net/Documentos/631/02910379507/6310291037950711092023122916.jpg","https://dpmzos25m8ivg.cloudfront.net/Documentos/631/02910379507/6310291037950711092023122916.jpg")</f>
        <v>https://dpmzos25m8ivg.cloudfront.net/Documentos/631/02910379507/6310291037950711092023122916.jpg</v>
      </c>
      <c r="F1111" s="5" t="str">
        <f>HYPERLINK("https://dpmzos25m8ivg.cloudfront.net/Documentos/631/02910379507/6310291037950711092023122951.jpg","https://dpmzos25m8ivg.cloudfront.net/Documentos/631/02910379507/6310291037950711092023122951.jpg")</f>
        <v>https://dpmzos25m8ivg.cloudfront.net/Documentos/631/02910379507/6310291037950711092023122951.jpg</v>
      </c>
      <c r="G1111" s="5" t="str">
        <f>HYPERLINK("https://dpmzos25m8ivg.cloudfront.net/Documentos/631/02910379507/6310291037950711092023123007.jpg","https://dpmzos25m8ivg.cloudfront.net/Documentos/631/02910379507/6310291037950711092023123007.jpg")</f>
        <v>https://dpmzos25m8ivg.cloudfront.net/Documentos/631/02910379507/6310291037950711092023123007.jpg</v>
      </c>
      <c r="H1111" s="4" t="s">
        <v>9694</v>
      </c>
    </row>
    <row r="1112" spans="1:8" x14ac:dyDescent="0.25">
      <c r="A1112" s="2" t="s">
        <v>1126</v>
      </c>
      <c r="B1112" s="3"/>
      <c r="C1112" s="3"/>
      <c r="D1112" s="3"/>
      <c r="E1112" s="4" t="str">
        <f>HYPERLINK("https://dpmzos25m8ivg.cloudfront.net/Documentos/631/02912128242/6310291212824211092023161654.pdf","https://dpmzos25m8ivg.cloudfront.net/Documentos/631/02912128242/6310291212824211092023161654.pdf")</f>
        <v>https://dpmzos25m8ivg.cloudfront.net/Documentos/631/02912128242/6310291212824211092023161654.pdf</v>
      </c>
      <c r="F1112" s="5" t="str">
        <f>HYPERLINK("https://dpmzos25m8ivg.cloudfront.net/Documentos/631/02912128242/6310291212824211092023161703.pdf","https://dpmzos25m8ivg.cloudfront.net/Documentos/631/02912128242/6310291212824211092023161703.pdf")</f>
        <v>https://dpmzos25m8ivg.cloudfront.net/Documentos/631/02912128242/6310291212824211092023161703.pdf</v>
      </c>
      <c r="G1112" s="5" t="str">
        <f>HYPERLINK("https://dpmzos25m8ivg.cloudfront.net/Documentos/631/02912128242/6310291212824211092023161712.pdf","https://dpmzos25m8ivg.cloudfront.net/Documentos/631/02912128242/6310291212824211092023161712.pdf")</f>
        <v>https://dpmzos25m8ivg.cloudfront.net/Documentos/631/02912128242/6310291212824211092023161712.pdf</v>
      </c>
      <c r="H1112" s="4" t="s">
        <v>9695</v>
      </c>
    </row>
    <row r="1113" spans="1:8" x14ac:dyDescent="0.25">
      <c r="A1113" s="2" t="s">
        <v>1127</v>
      </c>
      <c r="B1113" s="3"/>
      <c r="C1113" s="3"/>
      <c r="D1113" s="3"/>
      <c r="E1113" s="4" t="str">
        <f>HYPERLINK("https://dpmzos25m8ivg.cloudfront.net/Documentos/631/02914208189/6310291420818911092023144746.pdf","https://dpmzos25m8ivg.cloudfront.net/Documentos/631/02914208189/6310291420818911092023144746.pdf")</f>
        <v>https://dpmzos25m8ivg.cloudfront.net/Documentos/631/02914208189/6310291420818911092023144746.pdf</v>
      </c>
      <c r="F1113" s="5" t="str">
        <f>HYPERLINK("https://dpmzos25m8ivg.cloudfront.net/Documentos/631/02914208189/6310291420818911092023144802.pdf","https://dpmzos25m8ivg.cloudfront.net/Documentos/631/02914208189/6310291420818911092023144802.pdf")</f>
        <v>https://dpmzos25m8ivg.cloudfront.net/Documentos/631/02914208189/6310291420818911092023144802.pdf</v>
      </c>
      <c r="G1113" s="5" t="str">
        <f>HYPERLINK("https://dpmzos25m8ivg.cloudfront.net/Documentos/631/02914208189/6310291420818911092023144825.pdf","https://dpmzos25m8ivg.cloudfront.net/Documentos/631/02914208189/6310291420818911092023144825.pdf")</f>
        <v>https://dpmzos25m8ivg.cloudfront.net/Documentos/631/02914208189/6310291420818911092023144825.pdf</v>
      </c>
      <c r="H1113" s="4" t="s">
        <v>9696</v>
      </c>
    </row>
    <row r="1114" spans="1:8" x14ac:dyDescent="0.25">
      <c r="A1114" s="2" t="s">
        <v>1128</v>
      </c>
      <c r="B1114" s="3"/>
      <c r="C1114" s="3"/>
      <c r="D1114" s="3"/>
      <c r="E1114" s="4" t="str">
        <f>HYPERLINK("https://dpmzos25m8ivg.cloudfront.net/Documentos/631/02915122326/6310291512232612092023195038.jpg","https://dpmzos25m8ivg.cloudfront.net/Documentos/631/02915122326/6310291512232612092023195038.jpg")</f>
        <v>https://dpmzos25m8ivg.cloudfront.net/Documentos/631/02915122326/6310291512232612092023195038.jpg</v>
      </c>
      <c r="F1114" s="5" t="str">
        <f>HYPERLINK("https://dpmzos25m8ivg.cloudfront.net/Documentos/631/02915122326/6310291512232612092023195128.jpg","https://dpmzos25m8ivg.cloudfront.net/Documentos/631/02915122326/6310291512232612092023195128.jpg")</f>
        <v>https://dpmzos25m8ivg.cloudfront.net/Documentos/631/02915122326/6310291512232612092023195128.jpg</v>
      </c>
      <c r="G1114" s="5" t="str">
        <f>HYPERLINK("https://dpmzos25m8ivg.cloudfront.net/Documentos/631/02915122326/6310291512232612092023195149.jpg","https://dpmzos25m8ivg.cloudfront.net/Documentos/631/02915122326/6310291512232612092023195149.jpg")</f>
        <v>https://dpmzos25m8ivg.cloudfront.net/Documentos/631/02915122326/6310291512232612092023195149.jpg</v>
      </c>
      <c r="H1114" s="4" t="s">
        <v>9697</v>
      </c>
    </row>
    <row r="1115" spans="1:8" x14ac:dyDescent="0.25">
      <c r="A1115" s="2" t="s">
        <v>1129</v>
      </c>
      <c r="B1115" s="3" t="s">
        <v>308</v>
      </c>
      <c r="C1115" s="3"/>
      <c r="D1115" s="3"/>
      <c r="E1115" s="4" t="str">
        <f>HYPERLINK("https://dpmzos25m8ivg.cloudfront.net/Documentos/631/02918550671/6310291855067111092023164732.pdf","https://dpmzos25m8ivg.cloudfront.net/Documentos/631/02918550671/6310291855067111092023164732.pdf")</f>
        <v>https://dpmzos25m8ivg.cloudfront.net/Documentos/631/02918550671/6310291855067111092023164732.pdf</v>
      </c>
      <c r="F1115" s="5" t="str">
        <f>HYPERLINK("https://dpmzos25m8ivg.cloudfront.net/Documentos/631/02918550671/6310291855067111092023164808.pdf","https://dpmzos25m8ivg.cloudfront.net/Documentos/631/02918550671/6310291855067111092023164808.pdf")</f>
        <v>https://dpmzos25m8ivg.cloudfront.net/Documentos/631/02918550671/6310291855067111092023164808.pdf</v>
      </c>
      <c r="G1115" s="5" t="str">
        <f>HYPERLINK("https://dpmzos25m8ivg.cloudfront.net/Documentos/631/02918550671/6310291855067111092023164849.pdf","https://dpmzos25m8ivg.cloudfront.net/Documentos/631/02918550671/6310291855067111092023164849.pdf")</f>
        <v>https://dpmzos25m8ivg.cloudfront.net/Documentos/631/02918550671/6310291855067111092023164849.pdf</v>
      </c>
      <c r="H1115" s="4" t="s">
        <v>9698</v>
      </c>
    </row>
    <row r="1116" spans="1:8" x14ac:dyDescent="0.25">
      <c r="A1116" s="2" t="s">
        <v>1130</v>
      </c>
      <c r="B1116" s="3"/>
      <c r="C1116" s="3"/>
      <c r="D1116" s="3"/>
      <c r="E1116" s="4" t="str">
        <f>HYPERLINK("https://dpmzos25m8ivg.cloudfront.net/Documentos/631/02920703145/6310292070314514092023161406.pdf","https://dpmzos25m8ivg.cloudfront.net/Documentos/631/02920703145/6310292070314514092023161406.pdf")</f>
        <v>https://dpmzos25m8ivg.cloudfront.net/Documentos/631/02920703145/6310292070314514092023161406.pdf</v>
      </c>
      <c r="F1116" s="5" t="str">
        <f>HYPERLINK("https://dpmzos25m8ivg.cloudfront.net/Documentos/631/02920703145/6310292070314514092023161429.pdf","https://dpmzos25m8ivg.cloudfront.net/Documentos/631/02920703145/6310292070314514092023161429.pdf")</f>
        <v>https://dpmzos25m8ivg.cloudfront.net/Documentos/631/02920703145/6310292070314514092023161429.pdf</v>
      </c>
      <c r="G1116" s="5" t="str">
        <f>HYPERLINK("https://dpmzos25m8ivg.cloudfront.net/Documentos/631/02920703145/6310292070314514092023161511.pdf","https://dpmzos25m8ivg.cloudfront.net/Documentos/631/02920703145/6310292070314514092023161511.pdf")</f>
        <v>https://dpmzos25m8ivg.cloudfront.net/Documentos/631/02920703145/6310292070314514092023161511.pdf</v>
      </c>
      <c r="H1116" s="4" t="s">
        <v>9699</v>
      </c>
    </row>
    <row r="1117" spans="1:8" x14ac:dyDescent="0.25">
      <c r="A1117" s="2" t="s">
        <v>1131</v>
      </c>
      <c r="B1117" s="3"/>
      <c r="C1117" s="3"/>
      <c r="D1117" s="3"/>
      <c r="E1117" s="4" t="str">
        <f>HYPERLINK("https://dpmzos25m8ivg.cloudfront.net/Documentos/631/02921087294/6310292108729411092023160828.pdf","https://dpmzos25m8ivg.cloudfront.net/Documentos/631/02921087294/6310292108729411092023160828.pdf")</f>
        <v>https://dpmzos25m8ivg.cloudfront.net/Documentos/631/02921087294/6310292108729411092023160828.pdf</v>
      </c>
      <c r="F1117" s="5" t="str">
        <f>HYPERLINK("https://dpmzos25m8ivg.cloudfront.net/Documentos/631/02921087294/6310292108729411092023160839.pdf","https://dpmzos25m8ivg.cloudfront.net/Documentos/631/02921087294/6310292108729411092023160839.pdf")</f>
        <v>https://dpmzos25m8ivg.cloudfront.net/Documentos/631/02921087294/6310292108729411092023160839.pdf</v>
      </c>
      <c r="G1117" s="5" t="str">
        <f>HYPERLINK("https://dpmzos25m8ivg.cloudfront.net/Documentos/631/02921087294/6310292108729411092023160857.pdf","https://dpmzos25m8ivg.cloudfront.net/Documentos/631/02921087294/6310292108729411092023160857.pdf")</f>
        <v>https://dpmzos25m8ivg.cloudfront.net/Documentos/631/02921087294/6310292108729411092023160857.pdf</v>
      </c>
      <c r="H1117" s="4" t="s">
        <v>9700</v>
      </c>
    </row>
    <row r="1118" spans="1:8" x14ac:dyDescent="0.25">
      <c r="A1118" s="2" t="s">
        <v>1132</v>
      </c>
      <c r="B1118" s="3"/>
      <c r="C1118" s="3"/>
      <c r="D1118" s="3"/>
      <c r="E1118" s="4" t="str">
        <f>HYPERLINK("https://dpmzos25m8ivg.cloudfront.net/Documentos/631/02921547120/6310292154712010092023205720.pdf","https://dpmzos25m8ivg.cloudfront.net/Documentos/631/02921547120/6310292154712010092023205720.pdf")</f>
        <v>https://dpmzos25m8ivg.cloudfront.net/Documentos/631/02921547120/6310292154712010092023205720.pdf</v>
      </c>
      <c r="F1118" s="5" t="str">
        <f>HYPERLINK("https://dpmzos25m8ivg.cloudfront.net/Documentos/631/02921547120/6310292154712010092023205734.pdf","https://dpmzos25m8ivg.cloudfront.net/Documentos/631/02921547120/6310292154712010092023205734.pdf")</f>
        <v>https://dpmzos25m8ivg.cloudfront.net/Documentos/631/02921547120/6310292154712010092023205734.pdf</v>
      </c>
      <c r="G1118" s="5" t="str">
        <f>HYPERLINK("https://dpmzos25m8ivg.cloudfront.net/Documentos/631/02921547120/6310292154712010092023205753.pdf","https://dpmzos25m8ivg.cloudfront.net/Documentos/631/02921547120/6310292154712010092023205753.pdf")</f>
        <v>https://dpmzos25m8ivg.cloudfront.net/Documentos/631/02921547120/6310292154712010092023205753.pdf</v>
      </c>
      <c r="H1118" s="4" t="s">
        <v>9701</v>
      </c>
    </row>
    <row r="1119" spans="1:8" x14ac:dyDescent="0.25">
      <c r="A1119" s="2" t="s">
        <v>1133</v>
      </c>
      <c r="B1119" s="3"/>
      <c r="C1119" s="3"/>
      <c r="D1119" s="3"/>
      <c r="E1119" s="4" t="str">
        <f>HYPERLINK("https://dpmzos25m8ivg.cloudfront.net/Documentos/631/02925086462/6310292508646206092023211652.pdf","https://dpmzos25m8ivg.cloudfront.net/Documentos/631/02925086462/6310292508646206092023211652.pdf")</f>
        <v>https://dpmzos25m8ivg.cloudfront.net/Documentos/631/02925086462/6310292508646206092023211652.pdf</v>
      </c>
      <c r="F1119" s="5" t="str">
        <f>HYPERLINK("https://dpmzos25m8ivg.cloudfront.net/Documentos/631/02925086462/6310292508646206092023211720.pdf","https://dpmzos25m8ivg.cloudfront.net/Documentos/631/02925086462/6310292508646206092023211720.pdf")</f>
        <v>https://dpmzos25m8ivg.cloudfront.net/Documentos/631/02925086462/6310292508646206092023211720.pdf</v>
      </c>
      <c r="G1119" s="5" t="str">
        <f>HYPERLINK("https://dpmzos25m8ivg.cloudfront.net/Documentos/631/02925086462/6310292508646206092023211738.pdf","https://dpmzos25m8ivg.cloudfront.net/Documentos/631/02925086462/6310292508646206092023211738.pdf")</f>
        <v>https://dpmzos25m8ivg.cloudfront.net/Documentos/631/02925086462/6310292508646206092023211738.pdf</v>
      </c>
      <c r="H1119" s="4" t="s">
        <v>9702</v>
      </c>
    </row>
    <row r="1120" spans="1:8" x14ac:dyDescent="0.25">
      <c r="A1120" s="2" t="s">
        <v>1134</v>
      </c>
      <c r="B1120" s="3" t="s">
        <v>308</v>
      </c>
      <c r="C1120" s="3"/>
      <c r="D1120" s="3"/>
      <c r="E1120" s="4" t="str">
        <f>HYPERLINK("https://dpmzos25m8ivg.cloudfront.net/Documentos/631/02925382193/6310292538219314092023151752.pdf","https://dpmzos25m8ivg.cloudfront.net/Documentos/631/02925382193/6310292538219314092023151752.pdf")</f>
        <v>https://dpmzos25m8ivg.cloudfront.net/Documentos/631/02925382193/6310292538219314092023151752.pdf</v>
      </c>
      <c r="F1120" s="5" t="str">
        <f>HYPERLINK("https://dpmzos25m8ivg.cloudfront.net/Documentos/631/02925382193/6310292538219314092023151802.pdf","https://dpmzos25m8ivg.cloudfront.net/Documentos/631/02925382193/6310292538219314092023151802.pdf")</f>
        <v>https://dpmzos25m8ivg.cloudfront.net/Documentos/631/02925382193/6310292538219314092023151802.pdf</v>
      </c>
      <c r="G1120" s="5" t="str">
        <f>HYPERLINK("https://dpmzos25m8ivg.cloudfront.net/Documentos/631/02925382193/6310292538219314092023151811.pdf","https://dpmzos25m8ivg.cloudfront.net/Documentos/631/02925382193/6310292538219314092023151811.pdf")</f>
        <v>https://dpmzos25m8ivg.cloudfront.net/Documentos/631/02925382193/6310292538219314092023151811.pdf</v>
      </c>
      <c r="H1120" s="4" t="s">
        <v>9703</v>
      </c>
    </row>
    <row r="1121" spans="1:8" x14ac:dyDescent="0.25">
      <c r="A1121" s="2" t="s">
        <v>1135</v>
      </c>
      <c r="B1121" s="3" t="s">
        <v>308</v>
      </c>
      <c r="C1121" s="3"/>
      <c r="D1121" s="3"/>
      <c r="E1121" s="4" t="str">
        <f>HYPERLINK("https://dpmzos25m8ivg.cloudfront.net/Documentos/631/02926572182/6310292657218211092023160833.jpg","https://dpmzos25m8ivg.cloudfront.net/Documentos/631/02926572182/6310292657218211092023160833.jpg")</f>
        <v>https://dpmzos25m8ivg.cloudfront.net/Documentos/631/02926572182/6310292657218211092023160833.jpg</v>
      </c>
      <c r="F1121" s="5" t="str">
        <f>HYPERLINK("https://dpmzos25m8ivg.cloudfront.net/Documentos/631/02926572182/6310292657218211092023160847.jpg","https://dpmzos25m8ivg.cloudfront.net/Documentos/631/02926572182/6310292657218211092023160847.jpg")</f>
        <v>https://dpmzos25m8ivg.cloudfront.net/Documentos/631/02926572182/6310292657218211092023160847.jpg</v>
      </c>
      <c r="G1121" s="5" t="str">
        <f>HYPERLINK("https://dpmzos25m8ivg.cloudfront.net/Documentos/631/02926572182/6310292657218211092023160855.jpg","https://dpmzos25m8ivg.cloudfront.net/Documentos/631/02926572182/6310292657218211092023160855.jpg")</f>
        <v>https://dpmzos25m8ivg.cloudfront.net/Documentos/631/02926572182/6310292657218211092023160855.jpg</v>
      </c>
      <c r="H1121" s="4" t="s">
        <v>9704</v>
      </c>
    </row>
    <row r="1122" spans="1:8" x14ac:dyDescent="0.25">
      <c r="A1122" s="2" t="s">
        <v>1136</v>
      </c>
      <c r="B1122" s="3" t="s">
        <v>312</v>
      </c>
      <c r="C1122" s="3"/>
      <c r="D1122" s="3"/>
      <c r="E1122" s="4" t="str">
        <f>HYPERLINK("https://dpmzos25m8ivg.cloudfront.net/Documentos/631/02934452069/6310293445206911092023163133.pdf","https://dpmzos25m8ivg.cloudfront.net/Documentos/631/02934452069/6310293445206911092023163133.pdf")</f>
        <v>https://dpmzos25m8ivg.cloudfront.net/Documentos/631/02934452069/6310293445206911092023163133.pdf</v>
      </c>
      <c r="F1122" s="5" t="str">
        <f>HYPERLINK("https://dpmzos25m8ivg.cloudfront.net/Documentos/631/02934452069/6310293445206911092023163153.pdf","https://dpmzos25m8ivg.cloudfront.net/Documentos/631/02934452069/6310293445206911092023163153.pdf")</f>
        <v>https://dpmzos25m8ivg.cloudfront.net/Documentos/631/02934452069/6310293445206911092023163153.pdf</v>
      </c>
      <c r="G1122" s="5" t="str">
        <f>HYPERLINK("https://dpmzos25m8ivg.cloudfront.net/Documentos/631/02934452069/6310293445206911092023163208.pdf","https://dpmzos25m8ivg.cloudfront.net/Documentos/631/02934452069/6310293445206911092023163208.pdf")</f>
        <v>https://dpmzos25m8ivg.cloudfront.net/Documentos/631/02934452069/6310293445206911092023163208.pdf</v>
      </c>
      <c r="H1122" s="4" t="s">
        <v>9705</v>
      </c>
    </row>
    <row r="1123" spans="1:8" x14ac:dyDescent="0.25">
      <c r="A1123" s="2" t="s">
        <v>1137</v>
      </c>
      <c r="B1123" s="3"/>
      <c r="C1123" s="3"/>
      <c r="D1123" s="3"/>
      <c r="E1123" s="4" t="str">
        <f>HYPERLINK("https://dpmzos25m8ivg.cloudfront.net/Documentos/631/02936093147/6310293609314711092023150655.pdf","https://dpmzos25m8ivg.cloudfront.net/Documentos/631/02936093147/6310293609314711092023150655.pdf")</f>
        <v>https://dpmzos25m8ivg.cloudfront.net/Documentos/631/02936093147/6310293609314711092023150655.pdf</v>
      </c>
      <c r="F1123" s="5" t="str">
        <f>HYPERLINK("https://dpmzos25m8ivg.cloudfront.net/Documentos/631/02936093147/6310293609314711092023150702.pdf","https://dpmzos25m8ivg.cloudfront.net/Documentos/631/02936093147/6310293609314711092023150702.pdf")</f>
        <v>https://dpmzos25m8ivg.cloudfront.net/Documentos/631/02936093147/6310293609314711092023150702.pdf</v>
      </c>
      <c r="G1123" s="5" t="str">
        <f>HYPERLINK("https://dpmzos25m8ivg.cloudfront.net/Documentos/631/02936093147/6310293609314711092023150709.pdf","https://dpmzos25m8ivg.cloudfront.net/Documentos/631/02936093147/6310293609314711092023150709.pdf")</f>
        <v>https://dpmzos25m8ivg.cloudfront.net/Documentos/631/02936093147/6310293609314711092023150709.pdf</v>
      </c>
      <c r="H1123" s="4" t="s">
        <v>9706</v>
      </c>
    </row>
    <row r="1124" spans="1:8" x14ac:dyDescent="0.25">
      <c r="A1124" s="2" t="s">
        <v>1138</v>
      </c>
      <c r="B1124" s="3"/>
      <c r="C1124" s="3"/>
      <c r="D1124" s="3"/>
      <c r="E1124" s="4" t="str">
        <f>HYPERLINK("https://dpmzos25m8ivg.cloudfront.net/Documentos/631/02936901111/6310293690111111092023135327.pdf","https://dpmzos25m8ivg.cloudfront.net/Documentos/631/02936901111/6310293690111111092023135327.pdf")</f>
        <v>https://dpmzos25m8ivg.cloudfront.net/Documentos/631/02936901111/6310293690111111092023135327.pdf</v>
      </c>
      <c r="F1124" s="5" t="str">
        <f>HYPERLINK("https://dpmzos25m8ivg.cloudfront.net/Documentos/631/02936901111/6310293690111111092023135337.pdf","https://dpmzos25m8ivg.cloudfront.net/Documentos/631/02936901111/6310293690111111092023135337.pdf")</f>
        <v>https://dpmzos25m8ivg.cloudfront.net/Documentos/631/02936901111/6310293690111111092023135337.pdf</v>
      </c>
      <c r="G1124" s="5" t="str">
        <f>HYPERLINK("https://dpmzos25m8ivg.cloudfront.net/Documentos/631/02936901111/6310293690111111092023135345.pdf","https://dpmzos25m8ivg.cloudfront.net/Documentos/631/02936901111/6310293690111111092023135345.pdf")</f>
        <v>https://dpmzos25m8ivg.cloudfront.net/Documentos/631/02936901111/6310293690111111092023135345.pdf</v>
      </c>
      <c r="H1124" s="4" t="s">
        <v>9707</v>
      </c>
    </row>
    <row r="1125" spans="1:8" x14ac:dyDescent="0.25">
      <c r="A1125" s="2" t="s">
        <v>1139</v>
      </c>
      <c r="B1125" s="3"/>
      <c r="C1125" s="3"/>
      <c r="D1125" s="3"/>
      <c r="E1125" s="4" t="str">
        <f>HYPERLINK("https://dpmzos25m8ivg.cloudfront.net/Documentos/631/02937116078/6310293711607810092023215547.pdf","https://dpmzos25m8ivg.cloudfront.net/Documentos/631/02937116078/6310293711607810092023215547.pdf")</f>
        <v>https://dpmzos25m8ivg.cloudfront.net/Documentos/631/02937116078/6310293711607810092023215547.pdf</v>
      </c>
      <c r="F1125" s="5" t="str">
        <f>HYPERLINK("https://dpmzos25m8ivg.cloudfront.net/Documentos/631/02937116078/6310293711607810092023215554.pdf","https://dpmzos25m8ivg.cloudfront.net/Documentos/631/02937116078/6310293711607810092023215554.pdf")</f>
        <v>https://dpmzos25m8ivg.cloudfront.net/Documentos/631/02937116078/6310293711607810092023215554.pdf</v>
      </c>
      <c r="G1125" s="5" t="str">
        <f>HYPERLINK("https://dpmzos25m8ivg.cloudfront.net/Documentos/631/02937116078/6310293711607810092023215601.pdf","https://dpmzos25m8ivg.cloudfront.net/Documentos/631/02937116078/6310293711607810092023215601.pdf")</f>
        <v>https://dpmzos25m8ivg.cloudfront.net/Documentos/631/02937116078/6310293711607810092023215601.pdf</v>
      </c>
      <c r="H1125" s="4" t="s">
        <v>9708</v>
      </c>
    </row>
    <row r="1126" spans="1:8" x14ac:dyDescent="0.25">
      <c r="A1126" s="2" t="s">
        <v>1140</v>
      </c>
      <c r="B1126" s="3" t="s">
        <v>308</v>
      </c>
      <c r="C1126" s="3"/>
      <c r="D1126" s="3"/>
      <c r="E1126" s="4" t="str">
        <f>HYPERLINK("https://dpmzos25m8ivg.cloudfront.net/Documentos/631/02937374280/6310293737428009092023184603.pdf","https://dpmzos25m8ivg.cloudfront.net/Documentos/631/02937374280/6310293737428009092023184603.pdf")</f>
        <v>https://dpmzos25m8ivg.cloudfront.net/Documentos/631/02937374280/6310293737428009092023184603.pdf</v>
      </c>
      <c r="F1126" s="5" t="str">
        <f>HYPERLINK("https://dpmzos25m8ivg.cloudfront.net/Documentos/631/02937374280/6310293737428009092023184611.pdf","https://dpmzos25m8ivg.cloudfront.net/Documentos/631/02937374280/6310293737428009092023184611.pdf")</f>
        <v>https://dpmzos25m8ivg.cloudfront.net/Documentos/631/02937374280/6310293737428009092023184611.pdf</v>
      </c>
      <c r="G1126" s="5" t="str">
        <f>HYPERLINK("https://dpmzos25m8ivg.cloudfront.net/Documentos/631/02937374280/6310293737428009092023184623.pdf","https://dpmzos25m8ivg.cloudfront.net/Documentos/631/02937374280/6310293737428009092023184623.pdf")</f>
        <v>https://dpmzos25m8ivg.cloudfront.net/Documentos/631/02937374280/6310293737428009092023184623.pdf</v>
      </c>
      <c r="H1126" s="4" t="s">
        <v>9709</v>
      </c>
    </row>
    <row r="1127" spans="1:8" x14ac:dyDescent="0.25">
      <c r="A1127" s="2" t="s">
        <v>1141</v>
      </c>
      <c r="B1127" s="3"/>
      <c r="C1127" s="3"/>
      <c r="D1127" s="3"/>
      <c r="E1127" s="4" t="str">
        <f>HYPERLINK("https://dpmzos25m8ivg.cloudfront.net/Documentos/631/02940049122/6310294004912210092023180210.jpg","https://dpmzos25m8ivg.cloudfront.net/Documentos/631/02940049122/6310294004912210092023180210.jpg")</f>
        <v>https://dpmzos25m8ivg.cloudfront.net/Documentos/631/02940049122/6310294004912210092023180210.jpg</v>
      </c>
      <c r="F1127" s="5" t="str">
        <f>HYPERLINK("https://dpmzos25m8ivg.cloudfront.net/Documentos/631/02940049122/6310294004912210092023180104.jpg","https://dpmzos25m8ivg.cloudfront.net/Documentos/631/02940049122/6310294004912210092023180104.jpg")</f>
        <v>https://dpmzos25m8ivg.cloudfront.net/Documentos/631/02940049122/6310294004912210092023180104.jpg</v>
      </c>
      <c r="G1127" s="5" t="str">
        <f>HYPERLINK("https://dpmzos25m8ivg.cloudfront.net/Documentos/631/02940049122/6310294004912210092023175849.jpg","https://dpmzos25m8ivg.cloudfront.net/Documentos/631/02940049122/6310294004912210092023175849.jpg")</f>
        <v>https://dpmzos25m8ivg.cloudfront.net/Documentos/631/02940049122/6310294004912210092023175849.jpg</v>
      </c>
      <c r="H1127" s="4" t="s">
        <v>9710</v>
      </c>
    </row>
    <row r="1128" spans="1:8" x14ac:dyDescent="0.25">
      <c r="A1128" s="2" t="s">
        <v>1142</v>
      </c>
      <c r="B1128" s="3"/>
      <c r="C1128" s="3"/>
      <c r="D1128" s="3"/>
      <c r="E1128" s="4" t="str">
        <f>HYPERLINK("https://dpmzos25m8ivg.cloudfront.net/Documentos/631/02941585451/6310294158545111092023161950.pdf","https://dpmzos25m8ivg.cloudfront.net/Documentos/631/02941585451/6310294158545111092023161950.pdf")</f>
        <v>https://dpmzos25m8ivg.cloudfront.net/Documentos/631/02941585451/6310294158545111092023161950.pdf</v>
      </c>
      <c r="F1128" s="5" t="str">
        <f>HYPERLINK("https://dpmzos25m8ivg.cloudfront.net/Documentos/631/02941585451/6310294158545111092023162010.pdf","https://dpmzos25m8ivg.cloudfront.net/Documentos/631/02941585451/6310294158545111092023162010.pdf")</f>
        <v>https://dpmzos25m8ivg.cloudfront.net/Documentos/631/02941585451/6310294158545111092023162010.pdf</v>
      </c>
      <c r="G1128" s="5" t="str">
        <f>HYPERLINK("https://dpmzos25m8ivg.cloudfront.net/Documentos/631/02941585451/6310294158545111092023162026.pdf","https://dpmzos25m8ivg.cloudfront.net/Documentos/631/02941585451/6310294158545111092023162026.pdf")</f>
        <v>https://dpmzos25m8ivg.cloudfront.net/Documentos/631/02941585451/6310294158545111092023162026.pdf</v>
      </c>
      <c r="H1128" s="4" t="s">
        <v>9711</v>
      </c>
    </row>
    <row r="1129" spans="1:8" x14ac:dyDescent="0.25">
      <c r="A1129" s="2" t="s">
        <v>1143</v>
      </c>
      <c r="B1129" s="3"/>
      <c r="C1129" s="3"/>
      <c r="D1129" s="3"/>
      <c r="E1129" s="4" t="str">
        <f>HYPERLINK("https://dpmzos25m8ivg.cloudfront.net/Documentos/631/02945248190/6310294524819006092023161421.pdf","https://dpmzos25m8ivg.cloudfront.net/Documentos/631/02945248190/6310294524819006092023161421.pdf")</f>
        <v>https://dpmzos25m8ivg.cloudfront.net/Documentos/631/02945248190/6310294524819006092023161421.pdf</v>
      </c>
      <c r="F1129" s="5" t="str">
        <f>HYPERLINK("https://dpmzos25m8ivg.cloudfront.net/Documentos/631/02945248190/6310294524819006092023161434.pdf","https://dpmzos25m8ivg.cloudfront.net/Documentos/631/02945248190/6310294524819006092023161434.pdf")</f>
        <v>https://dpmzos25m8ivg.cloudfront.net/Documentos/631/02945248190/6310294524819006092023161434.pdf</v>
      </c>
      <c r="G1129" s="5" t="str">
        <f>HYPERLINK("https://dpmzos25m8ivg.cloudfront.net/Documentos/631/02945248190/6310294524819006092023161449.pdf","https://dpmzos25m8ivg.cloudfront.net/Documentos/631/02945248190/6310294524819006092023161449.pdf")</f>
        <v>https://dpmzos25m8ivg.cloudfront.net/Documentos/631/02945248190/6310294524819006092023161449.pdf</v>
      </c>
      <c r="H1129" s="4" t="s">
        <v>9712</v>
      </c>
    </row>
    <row r="1130" spans="1:8" x14ac:dyDescent="0.25">
      <c r="A1130" s="2" t="s">
        <v>1144</v>
      </c>
      <c r="B1130" s="3"/>
      <c r="C1130" s="3"/>
      <c r="D1130" s="3"/>
      <c r="E1130" s="4" t="str">
        <f>HYPERLINK("https://dpmzos25m8ivg.cloudfront.net/Documentos/631/02945557142/6310294555714210092023161237.jpg","https://dpmzos25m8ivg.cloudfront.net/Documentos/631/02945557142/6310294555714210092023161237.jpg")</f>
        <v>https://dpmzos25m8ivg.cloudfront.net/Documentos/631/02945557142/6310294555714210092023161237.jpg</v>
      </c>
      <c r="F1130" s="5" t="str">
        <f>HYPERLINK("https://dpmzos25m8ivg.cloudfront.net/Documentos/631/02945557142/6310294555714210092023161301.jpg","https://dpmzos25m8ivg.cloudfront.net/Documentos/631/02945557142/6310294555714210092023161301.jpg")</f>
        <v>https://dpmzos25m8ivg.cloudfront.net/Documentos/631/02945557142/6310294555714210092023161301.jpg</v>
      </c>
      <c r="G1130" s="5" t="str">
        <f>HYPERLINK("https://dpmzos25m8ivg.cloudfront.net/Documentos/631/02945557142/6310294555714210092023161316.jpg","https://dpmzos25m8ivg.cloudfront.net/Documentos/631/02945557142/6310294555714210092023161316.jpg")</f>
        <v>https://dpmzos25m8ivg.cloudfront.net/Documentos/631/02945557142/6310294555714210092023161316.jpg</v>
      </c>
      <c r="H1130" s="4" t="s">
        <v>9713</v>
      </c>
    </row>
    <row r="1131" spans="1:8" x14ac:dyDescent="0.25">
      <c r="A1131" s="2" t="s">
        <v>1145</v>
      </c>
      <c r="B1131" s="3" t="s">
        <v>23</v>
      </c>
      <c r="C1131" s="3"/>
      <c r="D1131" s="3"/>
      <c r="E1131" s="4" t="str">
        <f>HYPERLINK("https://dpmzos25m8ivg.cloudfront.net/Documentos/631/02948956714/6310294895671405092023131402.pdf","https://dpmzos25m8ivg.cloudfront.net/Documentos/631/02948956714/6310294895671405092023131402.pdf")</f>
        <v>https://dpmzos25m8ivg.cloudfront.net/Documentos/631/02948956714/6310294895671405092023131402.pdf</v>
      </c>
      <c r="F1131" s="5" t="str">
        <f>HYPERLINK("https://dpmzos25m8ivg.cloudfront.net/Documentos/631/02948956714/6310294895671405092023131435.pdf","https://dpmzos25m8ivg.cloudfront.net/Documentos/631/02948956714/6310294895671405092023131435.pdf")</f>
        <v>https://dpmzos25m8ivg.cloudfront.net/Documentos/631/02948956714/6310294895671405092023131435.pdf</v>
      </c>
      <c r="G1131" s="5" t="str">
        <f>HYPERLINK("https://dpmzos25m8ivg.cloudfront.net/Documentos/631/02948956714/6310294895671405092023131455.pdf","https://dpmzos25m8ivg.cloudfront.net/Documentos/631/02948956714/6310294895671405092023131455.pdf")</f>
        <v>https://dpmzos25m8ivg.cloudfront.net/Documentos/631/02948956714/6310294895671405092023131455.pdf</v>
      </c>
      <c r="H1131" s="4" t="s">
        <v>9714</v>
      </c>
    </row>
    <row r="1132" spans="1:8" x14ac:dyDescent="0.25">
      <c r="A1132" s="2" t="s">
        <v>1146</v>
      </c>
      <c r="B1132" s="3"/>
      <c r="C1132" s="3"/>
      <c r="D1132" s="3"/>
      <c r="E1132" s="4" t="str">
        <f>HYPERLINK("https://dpmzos25m8ivg.cloudfront.net/Documentos/631/02949068510/6310294906851010092023211931.jpeg","https://dpmzos25m8ivg.cloudfront.net/Documentos/631/02949068510/6310294906851010092023211931.jpeg")</f>
        <v>https://dpmzos25m8ivg.cloudfront.net/Documentos/631/02949068510/6310294906851010092023211931.jpeg</v>
      </c>
      <c r="F1132" s="5" t="str">
        <f>HYPERLINK("https://dpmzos25m8ivg.cloudfront.net/Documentos/631/02949068510/6310294906851010092023212906.jpeg","https://dpmzos25m8ivg.cloudfront.net/Documentos/631/02949068510/6310294906851010092023212906.jpeg")</f>
        <v>https://dpmzos25m8ivg.cloudfront.net/Documentos/631/02949068510/6310294906851010092023212906.jpeg</v>
      </c>
      <c r="G1132" s="5" t="str">
        <f>HYPERLINK("https://dpmzos25m8ivg.cloudfront.net/Documentos/631/02949068510/6310294906851010092023212002.jpeg","https://dpmzos25m8ivg.cloudfront.net/Documentos/631/02949068510/6310294906851010092023212002.jpeg")</f>
        <v>https://dpmzos25m8ivg.cloudfront.net/Documentos/631/02949068510/6310294906851010092023212002.jpeg</v>
      </c>
      <c r="H1132" s="4" t="s">
        <v>9715</v>
      </c>
    </row>
    <row r="1133" spans="1:8" x14ac:dyDescent="0.25">
      <c r="A1133" s="2" t="s">
        <v>1147</v>
      </c>
      <c r="B1133" s="3"/>
      <c r="C1133" s="3"/>
      <c r="D1133" s="3"/>
      <c r="E1133" s="4" t="str">
        <f>HYPERLINK("https://dpmzos25m8ivg.cloudfront.net/Documentos/631/02950867936/6310295086793610092023172709.pdf","https://dpmzos25m8ivg.cloudfront.net/Documentos/631/02950867936/6310295086793610092023172709.pdf")</f>
        <v>https://dpmzos25m8ivg.cloudfront.net/Documentos/631/02950867936/6310295086793610092023172709.pdf</v>
      </c>
      <c r="F1133" s="5" t="str">
        <f>HYPERLINK("https://dpmzos25m8ivg.cloudfront.net/Documentos/631/02950867936/6310295086793610092023172752.pdf","https://dpmzos25m8ivg.cloudfront.net/Documentos/631/02950867936/6310295086793610092023172752.pdf")</f>
        <v>https://dpmzos25m8ivg.cloudfront.net/Documentos/631/02950867936/6310295086793610092023172752.pdf</v>
      </c>
      <c r="G1133" s="5" t="str">
        <f>HYPERLINK("https://dpmzos25m8ivg.cloudfront.net/Documentos/631/02950867936/6310295086793610092023172824.pdf","https://dpmzos25m8ivg.cloudfront.net/Documentos/631/02950867936/6310295086793610092023172824.pdf")</f>
        <v>https://dpmzos25m8ivg.cloudfront.net/Documentos/631/02950867936/6310295086793610092023172824.pdf</v>
      </c>
      <c r="H1133" s="4" t="s">
        <v>9716</v>
      </c>
    </row>
    <row r="1134" spans="1:8" x14ac:dyDescent="0.25">
      <c r="A1134" s="2" t="s">
        <v>1148</v>
      </c>
      <c r="B1134" s="3"/>
      <c r="C1134" s="3"/>
      <c r="D1134" s="3"/>
      <c r="E1134" s="4" t="str">
        <f>HYPERLINK("https://dpmzos25m8ivg.cloudfront.net/Documentos/631/02951129050/6310295112905011092023164737.pdf","https://dpmzos25m8ivg.cloudfront.net/Documentos/631/02951129050/6310295112905011092023164737.pdf")</f>
        <v>https://dpmzos25m8ivg.cloudfront.net/Documentos/631/02951129050/6310295112905011092023164737.pdf</v>
      </c>
      <c r="F1134" s="5" t="str">
        <f>HYPERLINK("https://dpmzos25m8ivg.cloudfront.net/Documentos/631/02951129050/6310295112905011092023164748.pdf","https://dpmzos25m8ivg.cloudfront.net/Documentos/631/02951129050/6310295112905011092023164748.pdf")</f>
        <v>https://dpmzos25m8ivg.cloudfront.net/Documentos/631/02951129050/6310295112905011092023164748.pdf</v>
      </c>
      <c r="G1134" s="5" t="str">
        <f>HYPERLINK("https://dpmzos25m8ivg.cloudfront.net/Documentos/631/02951129050/6310295112905011092023164758.pdf","https://dpmzos25m8ivg.cloudfront.net/Documentos/631/02951129050/6310295112905011092023164758.pdf")</f>
        <v>https://dpmzos25m8ivg.cloudfront.net/Documentos/631/02951129050/6310295112905011092023164758.pdf</v>
      </c>
      <c r="H1134" s="4" t="s">
        <v>9717</v>
      </c>
    </row>
    <row r="1135" spans="1:8" x14ac:dyDescent="0.25">
      <c r="A1135" s="2" t="s">
        <v>1149</v>
      </c>
      <c r="B1135" s="3"/>
      <c r="C1135" s="3"/>
      <c r="D1135" s="3"/>
      <c r="E1135" s="4" t="str">
        <f>HYPERLINK("https://dpmzos25m8ivg.cloudfront.net/Documentos/631/02951181213/6310295118121306092023191350.pdf","https://dpmzos25m8ivg.cloudfront.net/Documentos/631/02951181213/6310295118121306092023191350.pdf")</f>
        <v>https://dpmzos25m8ivg.cloudfront.net/Documentos/631/02951181213/6310295118121306092023191350.pdf</v>
      </c>
      <c r="F1135" s="5" t="str">
        <f>HYPERLINK("https://dpmzos25m8ivg.cloudfront.net/Documentos/631/02951181213/6310295118121306092023191401.pdf","https://dpmzos25m8ivg.cloudfront.net/Documentos/631/02951181213/6310295118121306092023191401.pdf")</f>
        <v>https://dpmzos25m8ivg.cloudfront.net/Documentos/631/02951181213/6310295118121306092023191401.pdf</v>
      </c>
      <c r="G1135" s="5" t="str">
        <f>HYPERLINK("https://dpmzos25m8ivg.cloudfront.net/Documentos/631/02951181213/6310295118121306092023191411.pdf","https://dpmzos25m8ivg.cloudfront.net/Documentos/631/02951181213/6310295118121306092023191411.pdf")</f>
        <v>https://dpmzos25m8ivg.cloudfront.net/Documentos/631/02951181213/6310295118121306092023191411.pdf</v>
      </c>
      <c r="H1135" s="4" t="s">
        <v>9718</v>
      </c>
    </row>
    <row r="1136" spans="1:8" x14ac:dyDescent="0.25">
      <c r="A1136" s="2" t="s">
        <v>1150</v>
      </c>
      <c r="B1136" s="3" t="s">
        <v>312</v>
      </c>
      <c r="C1136" s="3"/>
      <c r="D1136" s="3"/>
      <c r="E1136" s="4" t="str">
        <f>HYPERLINK("https://dpmzos25m8ivg.cloudfront.net/Documentos/631/02953393307/6310295339330708092023160701.jpg","https://dpmzos25m8ivg.cloudfront.net/Documentos/631/02953393307/6310295339330708092023160701.jpg")</f>
        <v>https://dpmzos25m8ivg.cloudfront.net/Documentos/631/02953393307/6310295339330708092023160701.jpg</v>
      </c>
      <c r="F1136" s="5" t="str">
        <f>HYPERLINK("https://dpmzos25m8ivg.cloudfront.net/Documentos/631/02953393307/6310295339330708092023160717.jpg","https://dpmzos25m8ivg.cloudfront.net/Documentos/631/02953393307/6310295339330708092023160717.jpg")</f>
        <v>https://dpmzos25m8ivg.cloudfront.net/Documentos/631/02953393307/6310295339330708092023160717.jpg</v>
      </c>
      <c r="G1136" s="5" t="str">
        <f>HYPERLINK("https://dpmzos25m8ivg.cloudfront.net/Documentos/631/02953393307/6310295339330708092023160733.jpg","https://dpmzos25m8ivg.cloudfront.net/Documentos/631/02953393307/6310295339330708092023160733.jpg")</f>
        <v>https://dpmzos25m8ivg.cloudfront.net/Documentos/631/02953393307/6310295339330708092023160733.jpg</v>
      </c>
      <c r="H1136" s="4" t="s">
        <v>9719</v>
      </c>
    </row>
    <row r="1137" spans="1:8" x14ac:dyDescent="0.25">
      <c r="A1137" s="2" t="s">
        <v>1151</v>
      </c>
      <c r="B1137" s="3"/>
      <c r="C1137" s="3"/>
      <c r="D1137" s="3"/>
      <c r="E1137" s="4" t="str">
        <f>HYPERLINK("https://dpmzos25m8ivg.cloudfront.net/Documentos/631/02957589532/6310295758953206092023165830.pdf","https://dpmzos25m8ivg.cloudfront.net/Documentos/631/02957589532/6310295758953206092023165830.pdf")</f>
        <v>https://dpmzos25m8ivg.cloudfront.net/Documentos/631/02957589532/6310295758953206092023165830.pdf</v>
      </c>
      <c r="F1137" s="5" t="str">
        <f>HYPERLINK("https://dpmzos25m8ivg.cloudfront.net/Documentos/631/02957589532/6310295758953206092023165902.pdf","https://dpmzos25m8ivg.cloudfront.net/Documentos/631/02957589532/6310295758953206092023165902.pdf")</f>
        <v>https://dpmzos25m8ivg.cloudfront.net/Documentos/631/02957589532/6310295758953206092023165902.pdf</v>
      </c>
      <c r="G1137" s="5" t="str">
        <f>HYPERLINK("https://dpmzos25m8ivg.cloudfront.net/Documentos/631/02957589532/6310295758953206092023165913.pdf","https://dpmzos25m8ivg.cloudfront.net/Documentos/631/02957589532/6310295758953206092023165913.pdf")</f>
        <v>https://dpmzos25m8ivg.cloudfront.net/Documentos/631/02957589532/6310295758953206092023165913.pdf</v>
      </c>
      <c r="H1137" s="4" t="s">
        <v>9720</v>
      </c>
    </row>
    <row r="1138" spans="1:8" x14ac:dyDescent="0.25">
      <c r="A1138" s="2" t="s">
        <v>1152</v>
      </c>
      <c r="B1138" s="3"/>
      <c r="C1138" s="3"/>
      <c r="D1138" s="3"/>
      <c r="E1138" s="4" t="str">
        <f>HYPERLINK("https://dpmzos25m8ivg.cloudfront.net/Documentos/631/02960523105/6310296052310513092023174838.pdf","https://dpmzos25m8ivg.cloudfront.net/Documentos/631/02960523105/6310296052310513092023174838.pdf")</f>
        <v>https://dpmzos25m8ivg.cloudfront.net/Documentos/631/02960523105/6310296052310513092023174838.pdf</v>
      </c>
      <c r="F1138" s="5" t="str">
        <f>HYPERLINK("https://dpmzos25m8ivg.cloudfront.net/Documentos/631/02960523105/6310296052310513092023174854.pdf","https://dpmzos25m8ivg.cloudfront.net/Documentos/631/02960523105/6310296052310513092023174854.pdf")</f>
        <v>https://dpmzos25m8ivg.cloudfront.net/Documentos/631/02960523105/6310296052310513092023174854.pdf</v>
      </c>
      <c r="G1138" s="5" t="str">
        <f>HYPERLINK("https://dpmzos25m8ivg.cloudfront.net/Documentos/631/02960523105/6310296052310513092023174901.pdf","https://dpmzos25m8ivg.cloudfront.net/Documentos/631/02960523105/6310296052310513092023174901.pdf")</f>
        <v>https://dpmzos25m8ivg.cloudfront.net/Documentos/631/02960523105/6310296052310513092023174901.pdf</v>
      </c>
      <c r="H1138" s="4" t="s">
        <v>9721</v>
      </c>
    </row>
    <row r="1139" spans="1:8" x14ac:dyDescent="0.25">
      <c r="A1139" s="2" t="s">
        <v>1153</v>
      </c>
      <c r="B1139" s="3"/>
      <c r="C1139" s="3"/>
      <c r="D1139" s="3"/>
      <c r="E1139" s="4" t="str">
        <f>HYPERLINK("https://dpmzos25m8ivg.cloudfront.net/Documentos/631/02960954190/6310296095419011092023160201.jpeg","https://dpmzos25m8ivg.cloudfront.net/Documentos/631/02960954190/6310296095419011092023160201.jpeg")</f>
        <v>https://dpmzos25m8ivg.cloudfront.net/Documentos/631/02960954190/6310296095419011092023160201.jpeg</v>
      </c>
      <c r="F1139" s="5" t="str">
        <f>HYPERLINK("https://dpmzos25m8ivg.cloudfront.net/Documentos/631/02960954190/6310296095419011092023160213.jpeg","https://dpmzos25m8ivg.cloudfront.net/Documentos/631/02960954190/6310296095419011092023160213.jpeg")</f>
        <v>https://dpmzos25m8ivg.cloudfront.net/Documentos/631/02960954190/6310296095419011092023160213.jpeg</v>
      </c>
      <c r="G1139" s="5" t="str">
        <f>HYPERLINK("https://dpmzos25m8ivg.cloudfront.net/Documentos/631/02960954190/6310296095419011092023160226.jpeg","https://dpmzos25m8ivg.cloudfront.net/Documentos/631/02960954190/6310296095419011092023160226.jpeg")</f>
        <v>https://dpmzos25m8ivg.cloudfront.net/Documentos/631/02960954190/6310296095419011092023160226.jpeg</v>
      </c>
      <c r="H1139" s="4" t="s">
        <v>9722</v>
      </c>
    </row>
    <row r="1140" spans="1:8" x14ac:dyDescent="0.25">
      <c r="A1140" s="2" t="s">
        <v>1154</v>
      </c>
      <c r="B1140" s="3"/>
      <c r="C1140" s="3"/>
      <c r="D1140" s="3"/>
      <c r="E1140" s="4" t="str">
        <f>HYPERLINK("https://dpmzos25m8ivg.cloudfront.net/Documentos/631/02961759277/6310296175927711092023160338.jpg","https://dpmzos25m8ivg.cloudfront.net/Documentos/631/02961759277/6310296175927711092023160338.jpg")</f>
        <v>https://dpmzos25m8ivg.cloudfront.net/Documentos/631/02961759277/6310296175927711092023160338.jpg</v>
      </c>
      <c r="F1140" s="5" t="str">
        <f>HYPERLINK("https://dpmzos25m8ivg.cloudfront.net/Documentos/631/02961759277/6310296175927711092023160422.jpg","https://dpmzos25m8ivg.cloudfront.net/Documentos/631/02961759277/6310296175927711092023160422.jpg")</f>
        <v>https://dpmzos25m8ivg.cloudfront.net/Documentos/631/02961759277/6310296175927711092023160422.jpg</v>
      </c>
      <c r="G1140" s="5" t="str">
        <f>HYPERLINK("https://dpmzos25m8ivg.cloudfront.net/Documentos/631/02961759277/6310296175927711092023160435.jpg","https://dpmzos25m8ivg.cloudfront.net/Documentos/631/02961759277/6310296175927711092023160435.jpg")</f>
        <v>https://dpmzos25m8ivg.cloudfront.net/Documentos/631/02961759277/6310296175927711092023160435.jpg</v>
      </c>
      <c r="H1140" s="4" t="s">
        <v>9723</v>
      </c>
    </row>
    <row r="1141" spans="1:8" x14ac:dyDescent="0.25">
      <c r="A1141" s="2" t="s">
        <v>1155</v>
      </c>
      <c r="B1141" s="3"/>
      <c r="C1141" s="3"/>
      <c r="D1141" s="3"/>
      <c r="E1141" s="4" t="str">
        <f>HYPERLINK("https://dpmzos25m8ivg.cloudfront.net/Documentos/631/02962296106/6310296229610606092023102016.jpeg","https://dpmzos25m8ivg.cloudfront.net/Documentos/631/02962296106/6310296229610606092023102016.jpeg")</f>
        <v>https://dpmzos25m8ivg.cloudfront.net/Documentos/631/02962296106/6310296229610606092023102016.jpeg</v>
      </c>
      <c r="F1141" s="5" t="str">
        <f>HYPERLINK("https://dpmzos25m8ivg.cloudfront.net/Documentos/631/02962296106/6310296229610606092023102032.jpeg","https://dpmzos25m8ivg.cloudfront.net/Documentos/631/02962296106/6310296229610606092023102032.jpeg")</f>
        <v>https://dpmzos25m8ivg.cloudfront.net/Documentos/631/02962296106/6310296229610606092023102032.jpeg</v>
      </c>
      <c r="G1141" s="5" t="str">
        <f>HYPERLINK("https://dpmzos25m8ivg.cloudfront.net/Documentos/631/02962296106/6310296229610606092023102046.jpeg","https://dpmzos25m8ivg.cloudfront.net/Documentos/631/02962296106/6310296229610606092023102046.jpeg")</f>
        <v>https://dpmzos25m8ivg.cloudfront.net/Documentos/631/02962296106/6310296229610606092023102046.jpeg</v>
      </c>
      <c r="H1141" s="4" t="s">
        <v>9724</v>
      </c>
    </row>
    <row r="1142" spans="1:8" x14ac:dyDescent="0.25">
      <c r="A1142" s="2" t="s">
        <v>1156</v>
      </c>
      <c r="B1142" s="3"/>
      <c r="C1142" s="3"/>
      <c r="D1142" s="3"/>
      <c r="E1142" s="4" t="str">
        <f>HYPERLINK("https://dpmzos25m8ivg.cloudfront.net/Documentos/631/02964951586/6310296495158611092023122808.pdf","https://dpmzos25m8ivg.cloudfront.net/Documentos/631/02964951586/6310296495158611092023122808.pdf")</f>
        <v>https://dpmzos25m8ivg.cloudfront.net/Documentos/631/02964951586/6310296495158611092023122808.pdf</v>
      </c>
      <c r="F1142" s="5" t="str">
        <f>HYPERLINK("https://dpmzos25m8ivg.cloudfront.net/Documentos/631/02964951586/6310296495158611092023122819.pdf","https://dpmzos25m8ivg.cloudfront.net/Documentos/631/02964951586/6310296495158611092023122819.pdf")</f>
        <v>https://dpmzos25m8ivg.cloudfront.net/Documentos/631/02964951586/6310296495158611092023122819.pdf</v>
      </c>
      <c r="G1142" s="5" t="str">
        <f>HYPERLINK("https://dpmzos25m8ivg.cloudfront.net/Documentos/631/02964951586/6310296495158611092023122832.pdf","https://dpmzos25m8ivg.cloudfront.net/Documentos/631/02964951586/6310296495158611092023122832.pdf")</f>
        <v>https://dpmzos25m8ivg.cloudfront.net/Documentos/631/02964951586/6310296495158611092023122832.pdf</v>
      </c>
      <c r="H1142" s="4" t="s">
        <v>9725</v>
      </c>
    </row>
    <row r="1143" spans="1:8" x14ac:dyDescent="0.25">
      <c r="A1143" s="2" t="s">
        <v>1157</v>
      </c>
      <c r="B1143" s="3"/>
      <c r="C1143" s="3"/>
      <c r="D1143" s="3"/>
      <c r="E1143" s="4" t="str">
        <f>HYPERLINK("https://dpmzos25m8ivg.cloudfront.net/Documentos/631/02969329905/6310296932990511092023145242.jpg","https://dpmzos25m8ivg.cloudfront.net/Documentos/631/02969329905/6310296932990511092023145242.jpg")</f>
        <v>https://dpmzos25m8ivg.cloudfront.net/Documentos/631/02969329905/6310296932990511092023145242.jpg</v>
      </c>
      <c r="F1143" s="5" t="str">
        <f>HYPERLINK("https://dpmzos25m8ivg.cloudfront.net/Documentos/631/02969329905/6310296932990511092023145308.jpg","https://dpmzos25m8ivg.cloudfront.net/Documentos/631/02969329905/6310296932990511092023145308.jpg")</f>
        <v>https://dpmzos25m8ivg.cloudfront.net/Documentos/631/02969329905/6310296932990511092023145308.jpg</v>
      </c>
      <c r="G1143" s="5" t="str">
        <f>HYPERLINK("https://dpmzos25m8ivg.cloudfront.net/Documentos/631/02969329905/6310296932990511092023145338.jpg","https://dpmzos25m8ivg.cloudfront.net/Documentos/631/02969329905/6310296932990511092023145338.jpg")</f>
        <v>https://dpmzos25m8ivg.cloudfront.net/Documentos/631/02969329905/6310296932990511092023145338.jpg</v>
      </c>
      <c r="H1143" s="4" t="s">
        <v>9726</v>
      </c>
    </row>
    <row r="1144" spans="1:8" x14ac:dyDescent="0.25">
      <c r="A1144" s="2" t="s">
        <v>1158</v>
      </c>
      <c r="B1144" s="3" t="s">
        <v>312</v>
      </c>
      <c r="C1144" s="3"/>
      <c r="D1144" s="3"/>
      <c r="E1144" s="4" t="str">
        <f>HYPERLINK("https://dpmzos25m8ivg.cloudfront.net/Documentos/631/02969344297/6310296934429707092023125938.pdf","https://dpmzos25m8ivg.cloudfront.net/Documentos/631/02969344297/6310296934429707092023125938.pdf")</f>
        <v>https://dpmzos25m8ivg.cloudfront.net/Documentos/631/02969344297/6310296934429707092023125938.pdf</v>
      </c>
      <c r="F1144" s="5" t="str">
        <f>HYPERLINK("https://dpmzos25m8ivg.cloudfront.net/Documentos/631/02969344297/6310296934429707092023125948.pdf","https://dpmzos25m8ivg.cloudfront.net/Documentos/631/02969344297/6310296934429707092023125948.pdf")</f>
        <v>https://dpmzos25m8ivg.cloudfront.net/Documentos/631/02969344297/6310296934429707092023125948.pdf</v>
      </c>
      <c r="G1144" s="5" t="str">
        <f>HYPERLINK("https://dpmzos25m8ivg.cloudfront.net/Documentos/631/02969344297/6310296934429707092023125958.pdf","https://dpmzos25m8ivg.cloudfront.net/Documentos/631/02969344297/6310296934429707092023125958.pdf")</f>
        <v>https://dpmzos25m8ivg.cloudfront.net/Documentos/631/02969344297/6310296934429707092023125958.pdf</v>
      </c>
      <c r="H1144" s="4" t="s">
        <v>9727</v>
      </c>
    </row>
    <row r="1145" spans="1:8" x14ac:dyDescent="0.25">
      <c r="A1145" s="2" t="s">
        <v>1159</v>
      </c>
      <c r="B1145" s="3"/>
      <c r="C1145" s="3"/>
      <c r="D1145" s="3"/>
      <c r="E1145" s="4" t="str">
        <f>HYPERLINK("https://dpmzos25m8ivg.cloudfront.net/Documentos/631/02973186595/6310297318659505092023171047.jpeg","https://dpmzos25m8ivg.cloudfront.net/Documentos/631/02973186595/6310297318659505092023171047.jpeg")</f>
        <v>https://dpmzos25m8ivg.cloudfront.net/Documentos/631/02973186595/6310297318659505092023171047.jpeg</v>
      </c>
      <c r="F1145" s="5" t="str">
        <f>HYPERLINK("https://dpmzos25m8ivg.cloudfront.net/Documentos/631/02973186595/6310297318659505092023171106.jpeg","https://dpmzos25m8ivg.cloudfront.net/Documentos/631/02973186595/6310297318659505092023171106.jpeg")</f>
        <v>https://dpmzos25m8ivg.cloudfront.net/Documentos/631/02973186595/6310297318659505092023171106.jpeg</v>
      </c>
      <c r="G1145" s="5" t="str">
        <f>HYPERLINK("https://dpmzos25m8ivg.cloudfront.net/Documentos/631/02973186595/6310297318659505092023171118.jpeg","https://dpmzos25m8ivg.cloudfront.net/Documentos/631/02973186595/6310297318659505092023171118.jpeg")</f>
        <v>https://dpmzos25m8ivg.cloudfront.net/Documentos/631/02973186595/6310297318659505092023171118.jpeg</v>
      </c>
      <c r="H1145" s="4" t="s">
        <v>9728</v>
      </c>
    </row>
    <row r="1146" spans="1:8" x14ac:dyDescent="0.25">
      <c r="A1146" s="2" t="s">
        <v>1160</v>
      </c>
      <c r="B1146" s="3"/>
      <c r="C1146" s="3"/>
      <c r="D1146" s="3"/>
      <c r="E1146" s="4" t="str">
        <f>HYPERLINK("https://dpmzos25m8ivg.cloudfront.net/Documentos/631/02976369526/6310297636952605092023115022.pdf","https://dpmzos25m8ivg.cloudfront.net/Documentos/631/02976369526/6310297636952605092023115022.pdf")</f>
        <v>https://dpmzos25m8ivg.cloudfront.net/Documentos/631/02976369526/6310297636952605092023115022.pdf</v>
      </c>
      <c r="F1146" s="5" t="str">
        <f>HYPERLINK("https://dpmzos25m8ivg.cloudfront.net/Documentos/631/02976369526/6310297636952605092023115038.pdf","https://dpmzos25m8ivg.cloudfront.net/Documentos/631/02976369526/6310297636952605092023115038.pdf")</f>
        <v>https://dpmzos25m8ivg.cloudfront.net/Documentos/631/02976369526/6310297636952605092023115038.pdf</v>
      </c>
      <c r="G1146" s="5" t="str">
        <f>HYPERLINK("https://dpmzos25m8ivg.cloudfront.net/Documentos/631/02976369526/6310297636952605092023115053.pdf","https://dpmzos25m8ivg.cloudfront.net/Documentos/631/02976369526/6310297636952605092023115053.pdf")</f>
        <v>https://dpmzos25m8ivg.cloudfront.net/Documentos/631/02976369526/6310297636952605092023115053.pdf</v>
      </c>
      <c r="H1146" s="4" t="s">
        <v>9729</v>
      </c>
    </row>
    <row r="1147" spans="1:8" x14ac:dyDescent="0.25">
      <c r="A1147" s="2" t="s">
        <v>1161</v>
      </c>
      <c r="B1147" s="3"/>
      <c r="C1147" s="3"/>
      <c r="D1147" s="3"/>
      <c r="E1147" s="4" t="str">
        <f>HYPERLINK("https://dpmzos25m8ivg.cloudfront.net/Documentos/631/02978027126/6310297802712614092023165539.jpeg","https://dpmzos25m8ivg.cloudfront.net/Documentos/631/02978027126/6310297802712614092023165539.jpeg")</f>
        <v>https://dpmzos25m8ivg.cloudfront.net/Documentos/631/02978027126/6310297802712614092023165539.jpeg</v>
      </c>
      <c r="F1147" s="5" t="str">
        <f>HYPERLINK("https://dpmzos25m8ivg.cloudfront.net/Documentos/631/02978027126/6310297802712614092023165548.jpeg","https://dpmzos25m8ivg.cloudfront.net/Documentos/631/02978027126/6310297802712614092023165548.jpeg")</f>
        <v>https://dpmzos25m8ivg.cloudfront.net/Documentos/631/02978027126/6310297802712614092023165548.jpeg</v>
      </c>
      <c r="G1147" s="5" t="str">
        <f>HYPERLINK("https://dpmzos25m8ivg.cloudfront.net/Documentos/631/02978027126/6310297802712614092023165558.jpeg","https://dpmzos25m8ivg.cloudfront.net/Documentos/631/02978027126/6310297802712614092023165558.jpeg")</f>
        <v>https://dpmzos25m8ivg.cloudfront.net/Documentos/631/02978027126/6310297802712614092023165558.jpeg</v>
      </c>
      <c r="H1147" s="4" t="s">
        <v>9730</v>
      </c>
    </row>
    <row r="1148" spans="1:8" x14ac:dyDescent="0.25">
      <c r="A1148" s="2" t="s">
        <v>1162</v>
      </c>
      <c r="B1148" s="3"/>
      <c r="C1148" s="3"/>
      <c r="D1148" s="3"/>
      <c r="E1148" s="4" t="str">
        <f>HYPERLINK("https://dpmzos25m8ivg.cloudfront.net/Documentos/631/02979248185/6310297924818505092023150442.jpg","https://dpmzos25m8ivg.cloudfront.net/Documentos/631/02979248185/6310297924818505092023150442.jpg")</f>
        <v>https://dpmzos25m8ivg.cloudfront.net/Documentos/631/02979248185/6310297924818505092023150442.jpg</v>
      </c>
      <c r="F1148" s="5" t="str">
        <f>HYPERLINK("https://dpmzos25m8ivg.cloudfront.net/Documentos/631/02979248185/6310297924818505092023150516.jpg","https://dpmzos25m8ivg.cloudfront.net/Documentos/631/02979248185/6310297924818505092023150516.jpg")</f>
        <v>https://dpmzos25m8ivg.cloudfront.net/Documentos/631/02979248185/6310297924818505092023150516.jpg</v>
      </c>
      <c r="G1148" s="5" t="str">
        <f>HYPERLINK("https://dpmzos25m8ivg.cloudfront.net/Documentos/631/02979248185/6310297924818505092023162233.jpg","https://dpmzos25m8ivg.cloudfront.net/Documentos/631/02979248185/6310297924818505092023162233.jpg")</f>
        <v>https://dpmzos25m8ivg.cloudfront.net/Documentos/631/02979248185/6310297924818505092023162233.jpg</v>
      </c>
      <c r="H1148" s="4" t="s">
        <v>9731</v>
      </c>
    </row>
    <row r="1149" spans="1:8" x14ac:dyDescent="0.25">
      <c r="A1149" s="2" t="s">
        <v>1163</v>
      </c>
      <c r="B1149" s="3"/>
      <c r="C1149" s="3"/>
      <c r="D1149" s="3"/>
      <c r="E1149" s="4" t="str">
        <f>HYPERLINK("https://dpmzos25m8ivg.cloudfront.net/Documentos/631/02981350005/6310298135000511092023115039.jpeg","https://dpmzos25m8ivg.cloudfront.net/Documentos/631/02981350005/6310298135000511092023115039.jpeg")</f>
        <v>https://dpmzos25m8ivg.cloudfront.net/Documentos/631/02981350005/6310298135000511092023115039.jpeg</v>
      </c>
      <c r="F1149" s="5" t="str">
        <f>HYPERLINK("https://dpmzos25m8ivg.cloudfront.net/Documentos/631/02981350005/6310298135000511092023115047.jpeg","https://dpmzos25m8ivg.cloudfront.net/Documentos/631/02981350005/6310298135000511092023115047.jpeg")</f>
        <v>https://dpmzos25m8ivg.cloudfront.net/Documentos/631/02981350005/6310298135000511092023115047.jpeg</v>
      </c>
      <c r="G1149" s="5" t="str">
        <f>HYPERLINK("https://dpmzos25m8ivg.cloudfront.net/Documentos/631/02981350005/6310298135000511092023115057.jpeg","https://dpmzos25m8ivg.cloudfront.net/Documentos/631/02981350005/6310298135000511092023115057.jpeg")</f>
        <v>https://dpmzos25m8ivg.cloudfront.net/Documentos/631/02981350005/6310298135000511092023115057.jpeg</v>
      </c>
      <c r="H1149" s="4" t="s">
        <v>9732</v>
      </c>
    </row>
    <row r="1150" spans="1:8" x14ac:dyDescent="0.25">
      <c r="A1150" s="2" t="s">
        <v>1164</v>
      </c>
      <c r="B1150" s="3" t="s">
        <v>23</v>
      </c>
      <c r="C1150" s="3"/>
      <c r="D1150" s="3"/>
      <c r="E1150" s="4" t="str">
        <f>HYPERLINK("https://dpmzos25m8ivg.cloudfront.net/Documentos/631/02986593798/6310298659379811092023170037.pdf","https://dpmzos25m8ivg.cloudfront.net/Documentos/631/02986593798/6310298659379811092023170037.pdf")</f>
        <v>https://dpmzos25m8ivg.cloudfront.net/Documentos/631/02986593798/6310298659379811092023170037.pdf</v>
      </c>
      <c r="F1150" s="5" t="str">
        <f>HYPERLINK("https://dpmzos25m8ivg.cloudfront.net/Documentos/631/02986593798/6310298659379811092023170114.pdf","https://dpmzos25m8ivg.cloudfront.net/Documentos/631/02986593798/6310298659379811092023170114.pdf")</f>
        <v>https://dpmzos25m8ivg.cloudfront.net/Documentos/631/02986593798/6310298659379811092023170114.pdf</v>
      </c>
      <c r="G1150" s="5" t="str">
        <f>HYPERLINK("https://dpmzos25m8ivg.cloudfront.net/Documentos/631/02986593798/6310298659379811092023170127.pdf","https://dpmzos25m8ivg.cloudfront.net/Documentos/631/02986593798/6310298659379811092023170127.pdf")</f>
        <v>https://dpmzos25m8ivg.cloudfront.net/Documentos/631/02986593798/6310298659379811092023170127.pdf</v>
      </c>
      <c r="H1150" s="4" t="s">
        <v>9733</v>
      </c>
    </row>
    <row r="1151" spans="1:8" x14ac:dyDescent="0.25">
      <c r="A1151" s="2" t="s">
        <v>1165</v>
      </c>
      <c r="B1151" s="3"/>
      <c r="C1151" s="3"/>
      <c r="D1151" s="3"/>
      <c r="E1151" s="4" t="str">
        <f>HYPERLINK("https://dpmzos25m8ivg.cloudfront.net/Documentos/631/02988529345/6310298852934511092023124331.pdf","https://dpmzos25m8ivg.cloudfront.net/Documentos/631/02988529345/6310298852934511092023124331.pdf")</f>
        <v>https://dpmzos25m8ivg.cloudfront.net/Documentos/631/02988529345/6310298852934511092023124331.pdf</v>
      </c>
      <c r="F1151" s="5" t="str">
        <f>HYPERLINK("https://dpmzos25m8ivg.cloudfront.net/Documentos/631/02988529345/6310298852934511092023124401.pdf","https://dpmzos25m8ivg.cloudfront.net/Documentos/631/02988529345/6310298852934511092023124401.pdf")</f>
        <v>https://dpmzos25m8ivg.cloudfront.net/Documentos/631/02988529345/6310298852934511092023124401.pdf</v>
      </c>
      <c r="G1151" s="5" t="str">
        <f>HYPERLINK("https://dpmzos25m8ivg.cloudfront.net/Documentos/631/02988529345/6310298852934511092023124419.pdf","https://dpmzos25m8ivg.cloudfront.net/Documentos/631/02988529345/6310298852934511092023124419.pdf")</f>
        <v>https://dpmzos25m8ivg.cloudfront.net/Documentos/631/02988529345/6310298852934511092023124419.pdf</v>
      </c>
      <c r="H1151" s="4" t="s">
        <v>9734</v>
      </c>
    </row>
    <row r="1152" spans="1:8" x14ac:dyDescent="0.25">
      <c r="A1152" s="2" t="s">
        <v>1166</v>
      </c>
      <c r="B1152" s="3"/>
      <c r="C1152" s="3"/>
      <c r="D1152" s="3"/>
      <c r="E1152" s="4" t="str">
        <f>HYPERLINK("https://dpmzos25m8ivg.cloudfront.net/Documentos/631/02989462201/6310298946220110092023214634.jpg","https://dpmzos25m8ivg.cloudfront.net/Documentos/631/02989462201/6310298946220110092023214634.jpg")</f>
        <v>https://dpmzos25m8ivg.cloudfront.net/Documentos/631/02989462201/6310298946220110092023214634.jpg</v>
      </c>
      <c r="F1152" s="5" t="str">
        <f>HYPERLINK("https://dpmzos25m8ivg.cloudfront.net/Documentos/631/02989462201/6310298946220110092023214648.jpg","https://dpmzos25m8ivg.cloudfront.net/Documentos/631/02989462201/6310298946220110092023214648.jpg")</f>
        <v>https://dpmzos25m8ivg.cloudfront.net/Documentos/631/02989462201/6310298946220110092023214648.jpg</v>
      </c>
      <c r="G1152" s="5" t="str">
        <f>HYPERLINK("https://dpmzos25m8ivg.cloudfront.net/Documentos/631/02989462201/6310298946220110092023214701.jpg","https://dpmzos25m8ivg.cloudfront.net/Documentos/631/02989462201/6310298946220110092023214701.jpg")</f>
        <v>https://dpmzos25m8ivg.cloudfront.net/Documentos/631/02989462201/6310298946220110092023214701.jpg</v>
      </c>
      <c r="H1152" s="4" t="s">
        <v>9735</v>
      </c>
    </row>
    <row r="1153" spans="1:8" x14ac:dyDescent="0.25">
      <c r="A1153" s="2" t="s">
        <v>1167</v>
      </c>
      <c r="B1153" s="3"/>
      <c r="C1153" s="3"/>
      <c r="D1153" s="3"/>
      <c r="E1153" s="4" t="str">
        <f>HYPERLINK("https://dpmzos25m8ivg.cloudfront.net/Documentos/631/02990005161/6310299000516111092023105313.jpeg","https://dpmzos25m8ivg.cloudfront.net/Documentos/631/02990005161/6310299000516111092023105313.jpeg")</f>
        <v>https://dpmzos25m8ivg.cloudfront.net/Documentos/631/02990005161/6310299000516111092023105313.jpeg</v>
      </c>
      <c r="F1153" s="5" t="str">
        <f>HYPERLINK("https://dpmzos25m8ivg.cloudfront.net/Documentos/631/02990005161/6310299000516111092023105334.jpeg","https://dpmzos25m8ivg.cloudfront.net/Documentos/631/02990005161/6310299000516111092023105334.jpeg")</f>
        <v>https://dpmzos25m8ivg.cloudfront.net/Documentos/631/02990005161/6310299000516111092023105334.jpeg</v>
      </c>
      <c r="G1153" s="5" t="str">
        <f>HYPERLINK("https://dpmzos25m8ivg.cloudfront.net/Documentos/631/02990005161/6310299000516111092023105346.jpeg","https://dpmzos25m8ivg.cloudfront.net/Documentos/631/02990005161/6310299000516111092023105346.jpeg")</f>
        <v>https://dpmzos25m8ivg.cloudfront.net/Documentos/631/02990005161/6310299000516111092023105346.jpeg</v>
      </c>
      <c r="H1153" s="4" t="s">
        <v>9736</v>
      </c>
    </row>
    <row r="1154" spans="1:8" x14ac:dyDescent="0.25">
      <c r="A1154" s="2" t="s">
        <v>1168</v>
      </c>
      <c r="B1154" s="3"/>
      <c r="C1154" s="3"/>
      <c r="D1154" s="3"/>
      <c r="E1154" s="4" t="str">
        <f>HYPERLINK("https://dpmzos25m8ivg.cloudfront.net/Documentos/631/02991450266/6310299145026614092023164440.jpg","https://dpmzos25m8ivg.cloudfront.net/Documentos/631/02991450266/6310299145026614092023164440.jpg")</f>
        <v>https://dpmzos25m8ivg.cloudfront.net/Documentos/631/02991450266/6310299145026614092023164440.jpg</v>
      </c>
      <c r="F1154" s="5" t="str">
        <f>HYPERLINK("https://dpmzos25m8ivg.cloudfront.net/Documentos/631/02991450266/6310299145026614092023164449.jpg","https://dpmzos25m8ivg.cloudfront.net/Documentos/631/02991450266/6310299145026614092023164449.jpg")</f>
        <v>https://dpmzos25m8ivg.cloudfront.net/Documentos/631/02991450266/6310299145026614092023164449.jpg</v>
      </c>
      <c r="G1154" s="5" t="str">
        <f>HYPERLINK("https://dpmzos25m8ivg.cloudfront.net/Documentos/631/02991450266/6310299145026614092023164458.jpg","https://dpmzos25m8ivg.cloudfront.net/Documentos/631/02991450266/6310299145026614092023164458.jpg")</f>
        <v>https://dpmzos25m8ivg.cloudfront.net/Documentos/631/02991450266/6310299145026614092023164458.jpg</v>
      </c>
      <c r="H1154" s="4" t="s">
        <v>9737</v>
      </c>
    </row>
    <row r="1155" spans="1:8" x14ac:dyDescent="0.25">
      <c r="A1155" s="2" t="s">
        <v>1169</v>
      </c>
      <c r="B1155" s="3"/>
      <c r="C1155" s="3"/>
      <c r="D1155" s="3"/>
      <c r="E1155" s="4" t="str">
        <f>HYPERLINK("https://dpmzos25m8ivg.cloudfront.net/Documentos/631/02994013592/6310299401359211092023113443.pdf","https://dpmzos25m8ivg.cloudfront.net/Documentos/631/02994013592/6310299401359211092023113443.pdf")</f>
        <v>https://dpmzos25m8ivg.cloudfront.net/Documentos/631/02994013592/6310299401359211092023113443.pdf</v>
      </c>
      <c r="F1155" s="5" t="str">
        <f>HYPERLINK("https://dpmzos25m8ivg.cloudfront.net/Documentos/631/02994013592/6310299401359211092023113451.pdf","https://dpmzos25m8ivg.cloudfront.net/Documentos/631/02994013592/6310299401359211092023113451.pdf")</f>
        <v>https://dpmzos25m8ivg.cloudfront.net/Documentos/631/02994013592/6310299401359211092023113451.pdf</v>
      </c>
      <c r="G1155" s="5" t="str">
        <f>HYPERLINK("https://dpmzos25m8ivg.cloudfront.net/Documentos/631/02994013592/6310299401359211092023113500.pdf","https://dpmzos25m8ivg.cloudfront.net/Documentos/631/02994013592/6310299401359211092023113500.pdf")</f>
        <v>https://dpmzos25m8ivg.cloudfront.net/Documentos/631/02994013592/6310299401359211092023113500.pdf</v>
      </c>
      <c r="H1155" s="4" t="s">
        <v>9738</v>
      </c>
    </row>
    <row r="1156" spans="1:8" x14ac:dyDescent="0.25">
      <c r="A1156" s="2" t="s">
        <v>1170</v>
      </c>
      <c r="B1156" s="3" t="s">
        <v>90</v>
      </c>
      <c r="C1156" s="3"/>
      <c r="D1156" s="3"/>
      <c r="E1156" s="4" t="str">
        <f>HYPERLINK("https://dpmzos25m8ivg.cloudfront.net/Documentos/631/02995623289/6310299562328911092023151357.pdf","https://dpmzos25m8ivg.cloudfront.net/Documentos/631/02995623289/6310299562328911092023151357.pdf")</f>
        <v>https://dpmzos25m8ivg.cloudfront.net/Documentos/631/02995623289/6310299562328911092023151357.pdf</v>
      </c>
      <c r="F1156" s="5" t="str">
        <f>HYPERLINK("https://dpmzos25m8ivg.cloudfront.net/Documentos/631/02995623289/6310299562328911092023151413.pdf","https://dpmzos25m8ivg.cloudfront.net/Documentos/631/02995623289/6310299562328911092023151413.pdf")</f>
        <v>https://dpmzos25m8ivg.cloudfront.net/Documentos/631/02995623289/6310299562328911092023151413.pdf</v>
      </c>
      <c r="G1156" s="5" t="str">
        <f>HYPERLINK("https://dpmzos25m8ivg.cloudfront.net/Documentos/631/02995623289/6310299562328911092023151430.pdf","https://dpmzos25m8ivg.cloudfront.net/Documentos/631/02995623289/6310299562328911092023151430.pdf")</f>
        <v>https://dpmzos25m8ivg.cloudfront.net/Documentos/631/02995623289/6310299562328911092023151430.pdf</v>
      </c>
      <c r="H1156" s="4" t="s">
        <v>9739</v>
      </c>
    </row>
    <row r="1157" spans="1:8" x14ac:dyDescent="0.25">
      <c r="A1157" s="2" t="s">
        <v>1171</v>
      </c>
      <c r="B1157" s="3" t="s">
        <v>308</v>
      </c>
      <c r="C1157" s="3"/>
      <c r="D1157" s="3"/>
      <c r="E1157" s="4" t="str">
        <f>HYPERLINK("https://dpmzos25m8ivg.cloudfront.net/Documentos/631/02997110726/6310299711072611092023142210.pdf","https://dpmzos25m8ivg.cloudfront.net/Documentos/631/02997110726/6310299711072611092023142210.pdf")</f>
        <v>https://dpmzos25m8ivg.cloudfront.net/Documentos/631/02997110726/6310299711072611092023142210.pdf</v>
      </c>
      <c r="F1157" s="5" t="str">
        <f>HYPERLINK("https://dpmzos25m8ivg.cloudfront.net/Documentos/631/02997110726/6310299711072611092023142332.pdf","https://dpmzos25m8ivg.cloudfront.net/Documentos/631/02997110726/6310299711072611092023142332.pdf")</f>
        <v>https://dpmzos25m8ivg.cloudfront.net/Documentos/631/02997110726/6310299711072611092023142332.pdf</v>
      </c>
      <c r="G1157" s="5" t="str">
        <f>HYPERLINK("https://dpmzos25m8ivg.cloudfront.net/Documentos/631/02997110726/6310299711072611092023142340.pdf","https://dpmzos25m8ivg.cloudfront.net/Documentos/631/02997110726/6310299711072611092023142340.pdf")</f>
        <v>https://dpmzos25m8ivg.cloudfront.net/Documentos/631/02997110726/6310299711072611092023142340.pdf</v>
      </c>
      <c r="H1157" s="4" t="s">
        <v>9740</v>
      </c>
    </row>
    <row r="1158" spans="1:8" x14ac:dyDescent="0.25">
      <c r="A1158" s="2" t="s">
        <v>1172</v>
      </c>
      <c r="B1158" s="3"/>
      <c r="C1158" s="3"/>
      <c r="D1158" s="3"/>
      <c r="E1158" s="4" t="str">
        <f>HYPERLINK("https://dpmzos25m8ivg.cloudfront.net/Documentos/631/02997553202/6310299755320212092023175317.pdf","https://dpmzos25m8ivg.cloudfront.net/Documentos/631/02997553202/6310299755320212092023175317.pdf")</f>
        <v>https://dpmzos25m8ivg.cloudfront.net/Documentos/631/02997553202/6310299755320212092023175317.pdf</v>
      </c>
      <c r="F1158" s="5" t="str">
        <f>HYPERLINK("https://dpmzos25m8ivg.cloudfront.net/Documentos/631/02997553202/6310299755320212092023175328.pdf","https://dpmzos25m8ivg.cloudfront.net/Documentos/631/02997553202/6310299755320212092023175328.pdf")</f>
        <v>https://dpmzos25m8ivg.cloudfront.net/Documentos/631/02997553202/6310299755320212092023175328.pdf</v>
      </c>
      <c r="G1158" s="5" t="str">
        <f>HYPERLINK("https://dpmzos25m8ivg.cloudfront.net/Documentos/631/02997553202/6310299755320212092023175339.pdf","https://dpmzos25m8ivg.cloudfront.net/Documentos/631/02997553202/6310299755320212092023175339.pdf")</f>
        <v>https://dpmzos25m8ivg.cloudfront.net/Documentos/631/02997553202/6310299755320212092023175339.pdf</v>
      </c>
      <c r="H1158" s="4" t="s">
        <v>9741</v>
      </c>
    </row>
    <row r="1159" spans="1:8" x14ac:dyDescent="0.25">
      <c r="A1159" s="2" t="s">
        <v>1173</v>
      </c>
      <c r="B1159" s="3" t="s">
        <v>90</v>
      </c>
      <c r="C1159" s="3"/>
      <c r="D1159" s="3"/>
      <c r="E1159" s="4" t="str">
        <f>HYPERLINK("https://dpmzos25m8ivg.cloudfront.net/Documentos/631/03005409147/6310300540914707092023165134.pdf","https://dpmzos25m8ivg.cloudfront.net/Documentos/631/03005409147/6310300540914707092023165134.pdf")</f>
        <v>https://dpmzos25m8ivg.cloudfront.net/Documentos/631/03005409147/6310300540914707092023165134.pdf</v>
      </c>
      <c r="F1159" s="5" t="str">
        <f>HYPERLINK("https://dpmzos25m8ivg.cloudfront.net/Documentos/631/03005409147/6310300540914707092023165142.pdf","https://dpmzos25m8ivg.cloudfront.net/Documentos/631/03005409147/6310300540914707092023165142.pdf")</f>
        <v>https://dpmzos25m8ivg.cloudfront.net/Documentos/631/03005409147/6310300540914707092023165142.pdf</v>
      </c>
      <c r="G1159" s="5" t="str">
        <f>HYPERLINK("https://dpmzos25m8ivg.cloudfront.net/Documentos/631/03005409147/6310300540914707092023165154.pdf","https://dpmzos25m8ivg.cloudfront.net/Documentos/631/03005409147/6310300540914707092023165154.pdf")</f>
        <v>https://dpmzos25m8ivg.cloudfront.net/Documentos/631/03005409147/6310300540914707092023165154.pdf</v>
      </c>
      <c r="H1159" s="4" t="s">
        <v>9742</v>
      </c>
    </row>
    <row r="1160" spans="1:8" x14ac:dyDescent="0.25">
      <c r="A1160" s="2" t="s">
        <v>1174</v>
      </c>
      <c r="B1160" s="3"/>
      <c r="C1160" s="3"/>
      <c r="D1160" s="3"/>
      <c r="E1160" s="4" t="str">
        <f>HYPERLINK("https://dpmzos25m8ivg.cloudfront.net/Documentos/631/03006633318/6310300663331805092023113741.pdf","https://dpmzos25m8ivg.cloudfront.net/Documentos/631/03006633318/6310300663331805092023113741.pdf")</f>
        <v>https://dpmzos25m8ivg.cloudfront.net/Documentos/631/03006633318/6310300663331805092023113741.pdf</v>
      </c>
      <c r="F1160" s="5" t="str">
        <f>HYPERLINK("https://dpmzos25m8ivg.cloudfront.net/Documentos/631/03006633318/6310300663331805092023113758.pdf","https://dpmzos25m8ivg.cloudfront.net/Documentos/631/03006633318/6310300663331805092023113758.pdf")</f>
        <v>https://dpmzos25m8ivg.cloudfront.net/Documentos/631/03006633318/6310300663331805092023113758.pdf</v>
      </c>
      <c r="G1160" s="5" t="str">
        <f>HYPERLINK("https://dpmzos25m8ivg.cloudfront.net/Documentos/631/03006633318/6310300663331805092023113817.pdf","https://dpmzos25m8ivg.cloudfront.net/Documentos/631/03006633318/6310300663331805092023113817.pdf")</f>
        <v>https://dpmzos25m8ivg.cloudfront.net/Documentos/631/03006633318/6310300663331805092023113817.pdf</v>
      </c>
      <c r="H1160" s="4" t="s">
        <v>9743</v>
      </c>
    </row>
    <row r="1161" spans="1:8" x14ac:dyDescent="0.25">
      <c r="A1161" s="2" t="s">
        <v>1175</v>
      </c>
      <c r="B1161" s="3" t="s">
        <v>308</v>
      </c>
      <c r="C1161" s="3"/>
      <c r="D1161" s="3"/>
      <c r="E1161" s="4" t="str">
        <f>HYPERLINK("https://dpmzos25m8ivg.cloudfront.net/Documentos/631/03009011512/6310300901151207092023163235.pdf","https://dpmzos25m8ivg.cloudfront.net/Documentos/631/03009011512/6310300901151207092023163235.pdf")</f>
        <v>https://dpmzos25m8ivg.cloudfront.net/Documentos/631/03009011512/6310300901151207092023163235.pdf</v>
      </c>
      <c r="F1161" s="5" t="str">
        <f>HYPERLINK("https://dpmzos25m8ivg.cloudfront.net/Documentos/631/03009011512/6310300901151207092023163249.pdf","https://dpmzos25m8ivg.cloudfront.net/Documentos/631/03009011512/6310300901151207092023163249.pdf")</f>
        <v>https://dpmzos25m8ivg.cloudfront.net/Documentos/631/03009011512/6310300901151207092023163249.pdf</v>
      </c>
      <c r="G1161" s="5" t="str">
        <f>HYPERLINK("https://dpmzos25m8ivg.cloudfront.net/Documentos/631/03009011512/6310300901151207092023163303.pdf","https://dpmzos25m8ivg.cloudfront.net/Documentos/631/03009011512/6310300901151207092023163303.pdf")</f>
        <v>https://dpmzos25m8ivg.cloudfront.net/Documentos/631/03009011512/6310300901151207092023163303.pdf</v>
      </c>
      <c r="H1161" s="4" t="s">
        <v>9744</v>
      </c>
    </row>
    <row r="1162" spans="1:8" x14ac:dyDescent="0.25">
      <c r="A1162" s="2" t="s">
        <v>1176</v>
      </c>
      <c r="B1162" s="3"/>
      <c r="C1162" s="3"/>
      <c r="D1162" s="3"/>
      <c r="E1162" s="4" t="str">
        <f>HYPERLINK("https://dpmzos25m8ivg.cloudfront.net/Documentos/631/03009218290/6310300921829010092023234934.pdf","https://dpmzos25m8ivg.cloudfront.net/Documentos/631/03009218290/6310300921829010092023234934.pdf")</f>
        <v>https://dpmzos25m8ivg.cloudfront.net/Documentos/631/03009218290/6310300921829010092023234934.pdf</v>
      </c>
      <c r="F1162" s="5" t="str">
        <f>HYPERLINK("https://dpmzos25m8ivg.cloudfront.net/Documentos/631/03009218290/6310300921829010092023234953.pdf","https://dpmzos25m8ivg.cloudfront.net/Documentos/631/03009218290/6310300921829010092023234953.pdf")</f>
        <v>https://dpmzos25m8ivg.cloudfront.net/Documentos/631/03009218290/6310300921829010092023234953.pdf</v>
      </c>
      <c r="G1162" s="5" t="str">
        <f>HYPERLINK("https://dpmzos25m8ivg.cloudfront.net/Documentos/631/03009218290/6310300921829010092023235010.pdf","https://dpmzos25m8ivg.cloudfront.net/Documentos/631/03009218290/6310300921829010092023235010.pdf")</f>
        <v>https://dpmzos25m8ivg.cloudfront.net/Documentos/631/03009218290/6310300921829010092023235010.pdf</v>
      </c>
      <c r="H1162" s="4" t="s">
        <v>9745</v>
      </c>
    </row>
    <row r="1163" spans="1:8" x14ac:dyDescent="0.25">
      <c r="A1163" s="2" t="s">
        <v>1177</v>
      </c>
      <c r="B1163" s="3"/>
      <c r="C1163" s="3"/>
      <c r="D1163" s="3"/>
      <c r="E1163" s="4" t="str">
        <f>HYPERLINK("https://dpmzos25m8ivg.cloudfront.net/Documentos/631/03009930488/6310300993048809092023204321.jpg","https://dpmzos25m8ivg.cloudfront.net/Documentos/631/03009930488/6310300993048809092023204321.jpg")</f>
        <v>https://dpmzos25m8ivg.cloudfront.net/Documentos/631/03009930488/6310300993048809092023204321.jpg</v>
      </c>
      <c r="F1163" s="5" t="str">
        <f>HYPERLINK("https://dpmzos25m8ivg.cloudfront.net/Documentos/631/03009930488/6310300993048809092023204401.jpg","https://dpmzos25m8ivg.cloudfront.net/Documentos/631/03009930488/6310300993048809092023204401.jpg")</f>
        <v>https://dpmzos25m8ivg.cloudfront.net/Documentos/631/03009930488/6310300993048809092023204401.jpg</v>
      </c>
      <c r="G1163" s="5" t="str">
        <f>HYPERLINK("https://dpmzos25m8ivg.cloudfront.net/Documentos/631/03009930488/6310300993048809092023204438.jpg","https://dpmzos25m8ivg.cloudfront.net/Documentos/631/03009930488/6310300993048809092023204438.jpg")</f>
        <v>https://dpmzos25m8ivg.cloudfront.net/Documentos/631/03009930488/6310300993048809092023204438.jpg</v>
      </c>
      <c r="H1163" s="4" t="s">
        <v>9746</v>
      </c>
    </row>
    <row r="1164" spans="1:8" x14ac:dyDescent="0.25">
      <c r="A1164" s="2" t="s">
        <v>1178</v>
      </c>
      <c r="B1164" s="3"/>
      <c r="C1164" s="3"/>
      <c r="D1164" s="3"/>
      <c r="E1164" s="4" t="str">
        <f>HYPERLINK("https://dpmzos25m8ivg.cloudfront.net/Documentos/631/03017883671/6310301788367111092023085649.pdf","https://dpmzos25m8ivg.cloudfront.net/Documentos/631/03017883671/6310301788367111092023085649.pdf")</f>
        <v>https://dpmzos25m8ivg.cloudfront.net/Documentos/631/03017883671/6310301788367111092023085649.pdf</v>
      </c>
      <c r="F1164" s="5" t="str">
        <f>HYPERLINK("https://dpmzos25m8ivg.cloudfront.net/Documentos/631/03017883671/6310301788367111092023085659.pdf","https://dpmzos25m8ivg.cloudfront.net/Documentos/631/03017883671/6310301788367111092023085659.pdf")</f>
        <v>https://dpmzos25m8ivg.cloudfront.net/Documentos/631/03017883671/6310301788367111092023085659.pdf</v>
      </c>
      <c r="G1164" s="5" t="str">
        <f>HYPERLINK("https://dpmzos25m8ivg.cloudfront.net/Documentos/631/03017883671/6310301788367111092023085710.pdf","https://dpmzos25m8ivg.cloudfront.net/Documentos/631/03017883671/6310301788367111092023085710.pdf")</f>
        <v>https://dpmzos25m8ivg.cloudfront.net/Documentos/631/03017883671/6310301788367111092023085710.pdf</v>
      </c>
      <c r="H1164" s="4" t="s">
        <v>9747</v>
      </c>
    </row>
    <row r="1165" spans="1:8" x14ac:dyDescent="0.25">
      <c r="A1165" s="2" t="s">
        <v>1179</v>
      </c>
      <c r="B1165" s="3"/>
      <c r="C1165" s="3"/>
      <c r="D1165" s="3"/>
      <c r="E1165" s="4" t="str">
        <f>HYPERLINK("https://dpmzos25m8ivg.cloudfront.net/Documentos/631/03019162416/6310301916241609092023205518.pdf","https://dpmzos25m8ivg.cloudfront.net/Documentos/631/03019162416/6310301916241609092023205518.pdf")</f>
        <v>https://dpmzos25m8ivg.cloudfront.net/Documentos/631/03019162416/6310301916241609092023205518.pdf</v>
      </c>
      <c r="F1165" s="5" t="str">
        <f>HYPERLINK("https://dpmzos25m8ivg.cloudfront.net/Documentos/631/03019162416/6310301916241609092023205546.pdf","https://dpmzos25m8ivg.cloudfront.net/Documentos/631/03019162416/6310301916241609092023205546.pdf")</f>
        <v>https://dpmzos25m8ivg.cloudfront.net/Documentos/631/03019162416/6310301916241609092023205546.pdf</v>
      </c>
      <c r="G1165" s="5" t="str">
        <f>HYPERLINK("https://dpmzos25m8ivg.cloudfront.net/Documentos/631/03019162416/6310301916241609092023205605.pdf","https://dpmzos25m8ivg.cloudfront.net/Documentos/631/03019162416/6310301916241609092023205605.pdf")</f>
        <v>https://dpmzos25m8ivg.cloudfront.net/Documentos/631/03019162416/6310301916241609092023205605.pdf</v>
      </c>
      <c r="H1165" s="4" t="s">
        <v>9748</v>
      </c>
    </row>
    <row r="1166" spans="1:8" x14ac:dyDescent="0.25">
      <c r="A1166" s="2" t="s">
        <v>1180</v>
      </c>
      <c r="B1166" s="3"/>
      <c r="C1166" s="3"/>
      <c r="D1166" s="3"/>
      <c r="E1166" s="4" t="str">
        <f>HYPERLINK("https://dpmzos25m8ivg.cloudfront.net/Documentos/631/03019746248/6310301974624810092023170506.pdf","https://dpmzos25m8ivg.cloudfront.net/Documentos/631/03019746248/6310301974624810092023170506.pdf")</f>
        <v>https://dpmzos25m8ivg.cloudfront.net/Documentos/631/03019746248/6310301974624810092023170506.pdf</v>
      </c>
      <c r="F1166" s="5" t="str">
        <f>HYPERLINK("https://dpmzos25m8ivg.cloudfront.net/Documentos/631/03019746248/6310301974624810092023170651.pdf","https://dpmzos25m8ivg.cloudfront.net/Documentos/631/03019746248/6310301974624810092023170651.pdf")</f>
        <v>https://dpmzos25m8ivg.cloudfront.net/Documentos/631/03019746248/6310301974624810092023170651.pdf</v>
      </c>
      <c r="G1166" s="5" t="str">
        <f>HYPERLINK("https://dpmzos25m8ivg.cloudfront.net/Documentos/631/03019746248/6310301974624810092023170706.pdf","https://dpmzos25m8ivg.cloudfront.net/Documentos/631/03019746248/6310301974624810092023170706.pdf")</f>
        <v>https://dpmzos25m8ivg.cloudfront.net/Documentos/631/03019746248/6310301974624810092023170706.pdf</v>
      </c>
      <c r="H1166" s="4" t="s">
        <v>9749</v>
      </c>
    </row>
    <row r="1167" spans="1:8" x14ac:dyDescent="0.25">
      <c r="A1167" s="2" t="s">
        <v>1181</v>
      </c>
      <c r="B1167" s="3"/>
      <c r="C1167" s="3"/>
      <c r="D1167" s="3"/>
      <c r="E1167" s="4" t="str">
        <f>HYPERLINK("https://dpmzos25m8ivg.cloudfront.net/Documentos/631/03020718228/6310302071822811092023133743.pdf","https://dpmzos25m8ivg.cloudfront.net/Documentos/631/03020718228/6310302071822811092023133743.pdf")</f>
        <v>https://dpmzos25m8ivg.cloudfront.net/Documentos/631/03020718228/6310302071822811092023133743.pdf</v>
      </c>
      <c r="F1167" s="5" t="str">
        <f>HYPERLINK("https://dpmzos25m8ivg.cloudfront.net/Documentos/631/03020718228/6310302071822811092023133651.pdf","https://dpmzos25m8ivg.cloudfront.net/Documentos/631/03020718228/6310302071822811092023133651.pdf")</f>
        <v>https://dpmzos25m8ivg.cloudfront.net/Documentos/631/03020718228/6310302071822811092023133651.pdf</v>
      </c>
      <c r="G1167" s="5" t="str">
        <f>HYPERLINK("https://dpmzos25m8ivg.cloudfront.net/Documentos/631/03020718228/6310302071822811092023133627.pdf","https://dpmzos25m8ivg.cloudfront.net/Documentos/631/03020718228/6310302071822811092023133627.pdf")</f>
        <v>https://dpmzos25m8ivg.cloudfront.net/Documentos/631/03020718228/6310302071822811092023133627.pdf</v>
      </c>
      <c r="H1167" s="4" t="s">
        <v>9750</v>
      </c>
    </row>
    <row r="1168" spans="1:8" x14ac:dyDescent="0.25">
      <c r="A1168" s="2" t="s">
        <v>1182</v>
      </c>
      <c r="B1168" s="3"/>
      <c r="C1168" s="3"/>
      <c r="D1168" s="3"/>
      <c r="E1168" s="4" t="str">
        <f>HYPERLINK("https://dpmzos25m8ivg.cloudfront.net/Documentos/631/03023143501/6310302314350111092023100248.pdf","https://dpmzos25m8ivg.cloudfront.net/Documentos/631/03023143501/6310302314350111092023100248.pdf")</f>
        <v>https://dpmzos25m8ivg.cloudfront.net/Documentos/631/03023143501/6310302314350111092023100248.pdf</v>
      </c>
      <c r="F1168" s="5" t="str">
        <f>HYPERLINK("https://dpmzos25m8ivg.cloudfront.net/Documentos/631/03023143501/6310302314350111092023101129.pdf","https://dpmzos25m8ivg.cloudfront.net/Documentos/631/03023143501/6310302314350111092023101129.pdf")</f>
        <v>https://dpmzos25m8ivg.cloudfront.net/Documentos/631/03023143501/6310302314350111092023101129.pdf</v>
      </c>
      <c r="G1168" s="5" t="str">
        <f>HYPERLINK("https://dpmzos25m8ivg.cloudfront.net/Documentos/631/03023143501/6310302314350111092023101146.pdf","https://dpmzos25m8ivg.cloudfront.net/Documentos/631/03023143501/6310302314350111092023101146.pdf")</f>
        <v>https://dpmzos25m8ivg.cloudfront.net/Documentos/631/03023143501/6310302314350111092023101146.pdf</v>
      </c>
      <c r="H1168" s="4" t="s">
        <v>9751</v>
      </c>
    </row>
    <row r="1169" spans="1:8" x14ac:dyDescent="0.25">
      <c r="A1169" s="2" t="s">
        <v>1183</v>
      </c>
      <c r="B1169" s="3"/>
      <c r="C1169" s="3"/>
      <c r="D1169" s="3"/>
      <c r="E1169" s="4" t="str">
        <f>HYPERLINK("https://dpmzos25m8ivg.cloudfront.net/Documentos/631/03026869597/6310302686959711092023132931.jpg","https://dpmzos25m8ivg.cloudfront.net/Documentos/631/03026869597/6310302686959711092023132931.jpg")</f>
        <v>https://dpmzos25m8ivg.cloudfront.net/Documentos/631/03026869597/6310302686959711092023132931.jpg</v>
      </c>
      <c r="F1169" s="5" t="str">
        <f>HYPERLINK("https://dpmzos25m8ivg.cloudfront.net/Documentos/631/03026869597/6310302686959711092023133015.jpg","https://dpmzos25m8ivg.cloudfront.net/Documentos/631/03026869597/6310302686959711092023133015.jpg")</f>
        <v>https://dpmzos25m8ivg.cloudfront.net/Documentos/631/03026869597/6310302686959711092023133015.jpg</v>
      </c>
      <c r="G1169" s="5" t="str">
        <f>HYPERLINK("https://dpmzos25m8ivg.cloudfront.net/Documentos/631/03026869597/6310302686959711092023133100.jpg","https://dpmzos25m8ivg.cloudfront.net/Documentos/631/03026869597/6310302686959711092023133100.jpg")</f>
        <v>https://dpmzos25m8ivg.cloudfront.net/Documentos/631/03026869597/6310302686959711092023133100.jpg</v>
      </c>
      <c r="H1169" s="4" t="s">
        <v>9752</v>
      </c>
    </row>
    <row r="1170" spans="1:8" x14ac:dyDescent="0.25">
      <c r="A1170" s="2" t="s">
        <v>1184</v>
      </c>
      <c r="B1170" s="3" t="s">
        <v>312</v>
      </c>
      <c r="C1170" s="3"/>
      <c r="D1170" s="3"/>
      <c r="E1170" s="4" t="str">
        <f>HYPERLINK("https://dpmzos25m8ivg.cloudfront.net/Documentos/631/03029869105/6310302986910511092023162621.pdf","https://dpmzos25m8ivg.cloudfront.net/Documentos/631/03029869105/6310302986910511092023162621.pdf")</f>
        <v>https://dpmzos25m8ivg.cloudfront.net/Documentos/631/03029869105/6310302986910511092023162621.pdf</v>
      </c>
      <c r="F1170" s="5" t="str">
        <f>HYPERLINK("https://dpmzos25m8ivg.cloudfront.net/Documentos/631/03029869105/6310302986910511092023162647.pdf","https://dpmzos25m8ivg.cloudfront.net/Documentos/631/03029869105/6310302986910511092023162647.pdf")</f>
        <v>https://dpmzos25m8ivg.cloudfront.net/Documentos/631/03029869105/6310302986910511092023162647.pdf</v>
      </c>
      <c r="G1170" s="5" t="str">
        <f>HYPERLINK("https://dpmzos25m8ivg.cloudfront.net/Documentos/631/03029869105/6310302986910511092023162703.pdf","https://dpmzos25m8ivg.cloudfront.net/Documentos/631/03029869105/6310302986910511092023162703.pdf")</f>
        <v>https://dpmzos25m8ivg.cloudfront.net/Documentos/631/03029869105/6310302986910511092023162703.pdf</v>
      </c>
      <c r="H1170" s="4" t="s">
        <v>9753</v>
      </c>
    </row>
    <row r="1171" spans="1:8" x14ac:dyDescent="0.25">
      <c r="A1171" s="2" t="s">
        <v>1185</v>
      </c>
      <c r="B1171" s="3"/>
      <c r="C1171" s="3"/>
      <c r="D1171" s="3"/>
      <c r="E1171" s="4" t="str">
        <f>HYPERLINK("https://dpmzos25m8ivg.cloudfront.net/Documentos/631/03034126158/6310303412615814092023160614.pdf","https://dpmzos25m8ivg.cloudfront.net/Documentos/631/03034126158/6310303412615814092023160614.pdf")</f>
        <v>https://dpmzos25m8ivg.cloudfront.net/Documentos/631/03034126158/6310303412615814092023160614.pdf</v>
      </c>
      <c r="F1171" s="5" t="str">
        <f>HYPERLINK("https://dpmzos25m8ivg.cloudfront.net/Documentos/631/03034126158/6310303412615814092023160636.pdf","https://dpmzos25m8ivg.cloudfront.net/Documentos/631/03034126158/6310303412615814092023160636.pdf")</f>
        <v>https://dpmzos25m8ivg.cloudfront.net/Documentos/631/03034126158/6310303412615814092023160636.pdf</v>
      </c>
      <c r="G1171" s="5" t="str">
        <f>HYPERLINK("https://dpmzos25m8ivg.cloudfront.net/Documentos/631/03034126158/6310303412615814092023160651.pdf","https://dpmzos25m8ivg.cloudfront.net/Documentos/631/03034126158/6310303412615814092023160651.pdf")</f>
        <v>https://dpmzos25m8ivg.cloudfront.net/Documentos/631/03034126158/6310303412615814092023160651.pdf</v>
      </c>
      <c r="H1171" s="4" t="s">
        <v>9754</v>
      </c>
    </row>
    <row r="1172" spans="1:8" x14ac:dyDescent="0.25">
      <c r="A1172" s="2" t="s">
        <v>1186</v>
      </c>
      <c r="B1172" s="3"/>
      <c r="C1172" s="3"/>
      <c r="D1172" s="3"/>
      <c r="E1172" s="4" t="str">
        <f>HYPERLINK("https://dpmzos25m8ivg.cloudfront.net/Documentos/631/03035043078/6310303504307811092023165930.pdf","https://dpmzos25m8ivg.cloudfront.net/Documentos/631/03035043078/6310303504307811092023165930.pdf")</f>
        <v>https://dpmzos25m8ivg.cloudfront.net/Documentos/631/03035043078/6310303504307811092023165930.pdf</v>
      </c>
      <c r="F1172" s="5" t="str">
        <f>HYPERLINK("https://dpmzos25m8ivg.cloudfront.net/Documentos/631/03035043078/6310303504307811092023165940.pdf","https://dpmzos25m8ivg.cloudfront.net/Documentos/631/03035043078/6310303504307811092023165940.pdf")</f>
        <v>https://dpmzos25m8ivg.cloudfront.net/Documentos/631/03035043078/6310303504307811092023165940.pdf</v>
      </c>
      <c r="G1172" s="5" t="str">
        <f>HYPERLINK("https://dpmzos25m8ivg.cloudfront.net/Documentos/631/03035043078/6310303504307811092023165959.pdf","https://dpmzos25m8ivg.cloudfront.net/Documentos/631/03035043078/6310303504307811092023165959.pdf")</f>
        <v>https://dpmzos25m8ivg.cloudfront.net/Documentos/631/03035043078/6310303504307811092023165959.pdf</v>
      </c>
      <c r="H1172" s="4" t="s">
        <v>9755</v>
      </c>
    </row>
    <row r="1173" spans="1:8" x14ac:dyDescent="0.25">
      <c r="A1173" s="2" t="s">
        <v>1187</v>
      </c>
      <c r="B1173" s="3"/>
      <c r="C1173" s="3"/>
      <c r="D1173" s="3"/>
      <c r="E1173" s="4" t="str">
        <f>HYPERLINK("https://dpmzos25m8ivg.cloudfront.net/Documentos/631/03035601429/6310303560142911092023122622.pdf","https://dpmzos25m8ivg.cloudfront.net/Documentos/631/03035601429/6310303560142911092023122622.pdf")</f>
        <v>https://dpmzos25m8ivg.cloudfront.net/Documentos/631/03035601429/6310303560142911092023122622.pdf</v>
      </c>
      <c r="F1173" s="5" t="str">
        <f>HYPERLINK("https://dpmzos25m8ivg.cloudfront.net/Documentos/631/03035601429/6310303560142911092023122654.pdf","https://dpmzos25m8ivg.cloudfront.net/Documentos/631/03035601429/6310303560142911092023122654.pdf")</f>
        <v>https://dpmzos25m8ivg.cloudfront.net/Documentos/631/03035601429/6310303560142911092023122654.pdf</v>
      </c>
      <c r="G1173" s="5" t="str">
        <f>HYPERLINK("https://dpmzos25m8ivg.cloudfront.net/Documentos/631/03035601429/6310303560142911092023122711.pdf","https://dpmzos25m8ivg.cloudfront.net/Documentos/631/03035601429/6310303560142911092023122711.pdf")</f>
        <v>https://dpmzos25m8ivg.cloudfront.net/Documentos/631/03035601429/6310303560142911092023122711.pdf</v>
      </c>
      <c r="H1173" s="4" t="s">
        <v>9756</v>
      </c>
    </row>
    <row r="1174" spans="1:8" x14ac:dyDescent="0.25">
      <c r="A1174" s="2" t="s">
        <v>1188</v>
      </c>
      <c r="B1174" s="3" t="s">
        <v>197</v>
      </c>
      <c r="C1174" s="3"/>
      <c r="D1174" s="3"/>
      <c r="E1174" s="4" t="str">
        <f>HYPERLINK("https://dpmzos25m8ivg.cloudfront.net/Documentos/631/03042366677/6310304236667711092023165322.pdf","https://dpmzos25m8ivg.cloudfront.net/Documentos/631/03042366677/6310304236667711092023165322.pdf")</f>
        <v>https://dpmzos25m8ivg.cloudfront.net/Documentos/631/03042366677/6310304236667711092023165322.pdf</v>
      </c>
      <c r="F1174" s="5" t="str">
        <f>HYPERLINK("https://dpmzos25m8ivg.cloudfront.net/Documentos/631/03042366677/6310304236667711092023165339.pdf","https://dpmzos25m8ivg.cloudfront.net/Documentos/631/03042366677/6310304236667711092023165339.pdf")</f>
        <v>https://dpmzos25m8ivg.cloudfront.net/Documentos/631/03042366677/6310304236667711092023165339.pdf</v>
      </c>
      <c r="G1174" s="5" t="str">
        <f>HYPERLINK("https://dpmzos25m8ivg.cloudfront.net/Documentos/631/03042366677/6310304236667711092023165357.pdf","https://dpmzos25m8ivg.cloudfront.net/Documentos/631/03042366677/6310304236667711092023165357.pdf")</f>
        <v>https://dpmzos25m8ivg.cloudfront.net/Documentos/631/03042366677/6310304236667711092023165357.pdf</v>
      </c>
      <c r="H1174" s="4" t="s">
        <v>9757</v>
      </c>
    </row>
    <row r="1175" spans="1:8" x14ac:dyDescent="0.25">
      <c r="A1175" s="2" t="s">
        <v>1189</v>
      </c>
      <c r="B1175" s="3" t="s">
        <v>308</v>
      </c>
      <c r="C1175" s="3"/>
      <c r="D1175" s="3"/>
      <c r="E1175" s="4" t="str">
        <f>HYPERLINK("https://dpmzos25m8ivg.cloudfront.net/Documentos/631/03044073219/6310304407321905092023133329.pdf","https://dpmzos25m8ivg.cloudfront.net/Documentos/631/03044073219/6310304407321905092023133329.pdf")</f>
        <v>https://dpmzos25m8ivg.cloudfront.net/Documentos/631/03044073219/6310304407321905092023133329.pdf</v>
      </c>
      <c r="F1175" s="5" t="str">
        <f>HYPERLINK("https://dpmzos25m8ivg.cloudfront.net/Documentos/631/03044073219/6310304407321905092023133955.pdf","https://dpmzos25m8ivg.cloudfront.net/Documentos/631/03044073219/6310304407321905092023133955.pdf")</f>
        <v>https://dpmzos25m8ivg.cloudfront.net/Documentos/631/03044073219/6310304407321905092023133955.pdf</v>
      </c>
      <c r="G1175" s="5" t="str">
        <f>HYPERLINK("https://dpmzos25m8ivg.cloudfront.net/Documentos/631/03044073219/6310304407321905092023134006.pdf","https://dpmzos25m8ivg.cloudfront.net/Documentos/631/03044073219/6310304407321905092023134006.pdf")</f>
        <v>https://dpmzos25m8ivg.cloudfront.net/Documentos/631/03044073219/6310304407321905092023134006.pdf</v>
      </c>
      <c r="H1175" s="4" t="s">
        <v>9758</v>
      </c>
    </row>
    <row r="1176" spans="1:8" x14ac:dyDescent="0.25">
      <c r="A1176" s="2" t="s">
        <v>1190</v>
      </c>
      <c r="B1176" s="3"/>
      <c r="C1176" s="3"/>
      <c r="D1176" s="3"/>
      <c r="E1176" s="4" t="str">
        <f>HYPERLINK("https://dpmzos25m8ivg.cloudfront.net/Documentos/631/03045273190/6310304527319011092023095326.pdf","https://dpmzos25m8ivg.cloudfront.net/Documentos/631/03045273190/6310304527319011092023095326.pdf")</f>
        <v>https://dpmzos25m8ivg.cloudfront.net/Documentos/631/03045273190/6310304527319011092023095326.pdf</v>
      </c>
      <c r="F1176" s="5" t="str">
        <f>HYPERLINK("https://dpmzos25m8ivg.cloudfront.net/Documentos/631/03045273190/6310304527319011092023095347.pdf","https://dpmzos25m8ivg.cloudfront.net/Documentos/631/03045273190/6310304527319011092023095347.pdf")</f>
        <v>https://dpmzos25m8ivg.cloudfront.net/Documentos/631/03045273190/6310304527319011092023095347.pdf</v>
      </c>
      <c r="G1176" s="5" t="str">
        <f>HYPERLINK("https://dpmzos25m8ivg.cloudfront.net/Documentos/631/03045273190/6310304527319011092023095355.pdf","https://dpmzos25m8ivg.cloudfront.net/Documentos/631/03045273190/6310304527319011092023095355.pdf")</f>
        <v>https://dpmzos25m8ivg.cloudfront.net/Documentos/631/03045273190/6310304527319011092023095355.pdf</v>
      </c>
      <c r="H1176" s="4" t="s">
        <v>9759</v>
      </c>
    </row>
    <row r="1177" spans="1:8" x14ac:dyDescent="0.25">
      <c r="A1177" s="2" t="s">
        <v>1191</v>
      </c>
      <c r="B1177" s="3"/>
      <c r="C1177" s="3"/>
      <c r="D1177" s="3"/>
      <c r="E1177" s="4" t="str">
        <f>HYPERLINK("https://dpmzos25m8ivg.cloudfront.net/Documentos/631/03046198760/6310304619876008092023155509.pdf","https://dpmzos25m8ivg.cloudfront.net/Documentos/631/03046198760/6310304619876008092023155509.pdf")</f>
        <v>https://dpmzos25m8ivg.cloudfront.net/Documentos/631/03046198760/6310304619876008092023155509.pdf</v>
      </c>
      <c r="F1177" s="5" t="str">
        <f>HYPERLINK("https://dpmzos25m8ivg.cloudfront.net/Documentos/631/03046198760/6310304619876008092023155523.pdf","https://dpmzos25m8ivg.cloudfront.net/Documentos/631/03046198760/6310304619876008092023155523.pdf")</f>
        <v>https://dpmzos25m8ivg.cloudfront.net/Documentos/631/03046198760/6310304619876008092023155523.pdf</v>
      </c>
      <c r="G1177" s="5" t="str">
        <f>HYPERLINK("https://dpmzos25m8ivg.cloudfront.net/Documentos/631/03046198760/6310304619876008092023155542.pdf","https://dpmzos25m8ivg.cloudfront.net/Documentos/631/03046198760/6310304619876008092023155542.pdf")</f>
        <v>https://dpmzos25m8ivg.cloudfront.net/Documentos/631/03046198760/6310304619876008092023155542.pdf</v>
      </c>
      <c r="H1177" s="4" t="s">
        <v>9760</v>
      </c>
    </row>
    <row r="1178" spans="1:8" x14ac:dyDescent="0.25">
      <c r="A1178" s="2" t="s">
        <v>1192</v>
      </c>
      <c r="B1178" s="3" t="s">
        <v>312</v>
      </c>
      <c r="C1178" s="3"/>
      <c r="D1178" s="3"/>
      <c r="E1178" s="4" t="str">
        <f>HYPERLINK("https://dpmzos25m8ivg.cloudfront.net/Documentos/631/03046992769/6310304699276905092023144612.pdf","https://dpmzos25m8ivg.cloudfront.net/Documentos/631/03046992769/6310304699276905092023144612.pdf")</f>
        <v>https://dpmzos25m8ivg.cloudfront.net/Documentos/631/03046992769/6310304699276905092023144612.pdf</v>
      </c>
      <c r="F1178" s="5" t="str">
        <f>HYPERLINK("https://dpmzos25m8ivg.cloudfront.net/Documentos/631/03046992769/6310304699276905092023144645.pdf","https://dpmzos25m8ivg.cloudfront.net/Documentos/631/03046992769/6310304699276905092023144645.pdf")</f>
        <v>https://dpmzos25m8ivg.cloudfront.net/Documentos/631/03046992769/6310304699276905092023144645.pdf</v>
      </c>
      <c r="G1178" s="5" t="str">
        <f>HYPERLINK("https://dpmzos25m8ivg.cloudfront.net/Documentos/631/03046992769/6310304699276905092023144715.pdf","https://dpmzos25m8ivg.cloudfront.net/Documentos/631/03046992769/6310304699276905092023144715.pdf")</f>
        <v>https://dpmzos25m8ivg.cloudfront.net/Documentos/631/03046992769/6310304699276905092023144715.pdf</v>
      </c>
      <c r="H1178" s="4" t="s">
        <v>9761</v>
      </c>
    </row>
    <row r="1179" spans="1:8" x14ac:dyDescent="0.25">
      <c r="A1179" s="2" t="s">
        <v>1193</v>
      </c>
      <c r="B1179" s="3"/>
      <c r="C1179" s="3"/>
      <c r="D1179" s="3"/>
      <c r="E1179" s="4" t="str">
        <f>HYPERLINK("https://dpmzos25m8ivg.cloudfront.net/Documentos/631/03049054450/6310304905445011092023125342.pdf","https://dpmzos25m8ivg.cloudfront.net/Documentos/631/03049054450/6310304905445011092023125342.pdf")</f>
        <v>https://dpmzos25m8ivg.cloudfront.net/Documentos/631/03049054450/6310304905445011092023125342.pdf</v>
      </c>
      <c r="F1179" s="5" t="str">
        <f>HYPERLINK("https://dpmzos25m8ivg.cloudfront.net/Documentos/631/03049054450/6310304905445011092023125354.pdf","https://dpmzos25m8ivg.cloudfront.net/Documentos/631/03049054450/6310304905445011092023125354.pdf")</f>
        <v>https://dpmzos25m8ivg.cloudfront.net/Documentos/631/03049054450/6310304905445011092023125354.pdf</v>
      </c>
      <c r="G1179" s="5" t="str">
        <f>HYPERLINK("https://dpmzos25m8ivg.cloudfront.net/Documentos/631/03049054450/6310304905445011092023125407.pdf","https://dpmzos25m8ivg.cloudfront.net/Documentos/631/03049054450/6310304905445011092023125407.pdf")</f>
        <v>https://dpmzos25m8ivg.cloudfront.net/Documentos/631/03049054450/6310304905445011092023125407.pdf</v>
      </c>
      <c r="H1179" s="4" t="s">
        <v>9762</v>
      </c>
    </row>
    <row r="1180" spans="1:8" x14ac:dyDescent="0.25">
      <c r="A1180" s="2" t="s">
        <v>1194</v>
      </c>
      <c r="B1180" s="3"/>
      <c r="C1180" s="3"/>
      <c r="D1180" s="3"/>
      <c r="E1180" s="4" t="str">
        <f>HYPERLINK("https://dpmzos25m8ivg.cloudfront.net/Documentos/631/03049915382/6310304991538206092023170719.pdf","https://dpmzos25m8ivg.cloudfront.net/Documentos/631/03049915382/6310304991538206092023170719.pdf")</f>
        <v>https://dpmzos25m8ivg.cloudfront.net/Documentos/631/03049915382/6310304991538206092023170719.pdf</v>
      </c>
      <c r="F1180" s="5" t="str">
        <f>HYPERLINK("https://dpmzos25m8ivg.cloudfront.net/Documentos/631/03049915382/6310304991538206092023170406.pdf","https://dpmzos25m8ivg.cloudfront.net/Documentos/631/03049915382/6310304991538206092023170406.pdf")</f>
        <v>https://dpmzos25m8ivg.cloudfront.net/Documentos/631/03049915382/6310304991538206092023170406.pdf</v>
      </c>
      <c r="G1180" s="5" t="str">
        <f>HYPERLINK("https://dpmzos25m8ivg.cloudfront.net/Documentos/631/03049915382/6310304991538206092023170114.pdf","https://dpmzos25m8ivg.cloudfront.net/Documentos/631/03049915382/6310304991538206092023170114.pdf")</f>
        <v>https://dpmzos25m8ivg.cloudfront.net/Documentos/631/03049915382/6310304991538206092023170114.pdf</v>
      </c>
      <c r="H1180" s="4" t="s">
        <v>9763</v>
      </c>
    </row>
    <row r="1181" spans="1:8" x14ac:dyDescent="0.25">
      <c r="A1181" s="2" t="s">
        <v>1195</v>
      </c>
      <c r="B1181" s="3"/>
      <c r="C1181" s="3"/>
      <c r="D1181" s="3"/>
      <c r="E1181" s="4" t="str">
        <f>HYPERLINK("https://dpmzos25m8ivg.cloudfront.net/Documentos/631/03050223502/6310305022350205092023101151.jpg","https://dpmzos25m8ivg.cloudfront.net/Documentos/631/03050223502/6310305022350205092023101151.jpg")</f>
        <v>https://dpmzos25m8ivg.cloudfront.net/Documentos/631/03050223502/6310305022350205092023101151.jpg</v>
      </c>
      <c r="F1181" s="5" t="str">
        <f>HYPERLINK("https://dpmzos25m8ivg.cloudfront.net/Documentos/631/03050223502/6310305022350205092023101237.jpg","https://dpmzos25m8ivg.cloudfront.net/Documentos/631/03050223502/6310305022350205092023101237.jpg")</f>
        <v>https://dpmzos25m8ivg.cloudfront.net/Documentos/631/03050223502/6310305022350205092023101237.jpg</v>
      </c>
      <c r="G1181" s="5" t="str">
        <f>HYPERLINK("https://dpmzos25m8ivg.cloudfront.net/Documentos/631/03050223502/6310305022350205092023101927.pdf","https://dpmzos25m8ivg.cloudfront.net/Documentos/631/03050223502/6310305022350205092023101927.pdf")</f>
        <v>https://dpmzos25m8ivg.cloudfront.net/Documentos/631/03050223502/6310305022350205092023101927.pdf</v>
      </c>
      <c r="H1181" s="4" t="s">
        <v>9764</v>
      </c>
    </row>
    <row r="1182" spans="1:8" x14ac:dyDescent="0.25">
      <c r="A1182" s="2" t="s">
        <v>1196</v>
      </c>
      <c r="B1182" s="3"/>
      <c r="C1182" s="3"/>
      <c r="D1182" s="3"/>
      <c r="E1182" s="4" t="str">
        <f>HYPERLINK("https://dpmzos25m8ivg.cloudfront.net/Documentos/631/03055803965/6310305580396506092023142729.pdf","https://dpmzos25m8ivg.cloudfront.net/Documentos/631/03055803965/6310305580396506092023142729.pdf")</f>
        <v>https://dpmzos25m8ivg.cloudfront.net/Documentos/631/03055803965/6310305580396506092023142729.pdf</v>
      </c>
      <c r="F1182" s="5" t="str">
        <f>HYPERLINK("https://dpmzos25m8ivg.cloudfront.net/Documentos/631/03055803965/6310305580396506092023142740.pdf","https://dpmzos25m8ivg.cloudfront.net/Documentos/631/03055803965/6310305580396506092023142740.pdf")</f>
        <v>https://dpmzos25m8ivg.cloudfront.net/Documentos/631/03055803965/6310305580396506092023142740.pdf</v>
      </c>
      <c r="G1182" s="5" t="str">
        <f>HYPERLINK("https://dpmzos25m8ivg.cloudfront.net/Documentos/631/03055803965/6310305580396506092023142750.pdf","https://dpmzos25m8ivg.cloudfront.net/Documentos/631/03055803965/6310305580396506092023142750.pdf")</f>
        <v>https://dpmzos25m8ivg.cloudfront.net/Documentos/631/03055803965/6310305580396506092023142750.pdf</v>
      </c>
      <c r="H1182" s="4" t="s">
        <v>9765</v>
      </c>
    </row>
    <row r="1183" spans="1:8" x14ac:dyDescent="0.25">
      <c r="A1183" s="2" t="s">
        <v>1197</v>
      </c>
      <c r="B1183" s="3"/>
      <c r="C1183" s="3"/>
      <c r="D1183" s="3"/>
      <c r="E1183" s="4" t="str">
        <f>HYPERLINK("https://dpmzos25m8ivg.cloudfront.net/Documentos/631/03056607051/6310305660705111092023142222.pdf","https://dpmzos25m8ivg.cloudfront.net/Documentos/631/03056607051/6310305660705111092023142222.pdf")</f>
        <v>https://dpmzos25m8ivg.cloudfront.net/Documentos/631/03056607051/6310305660705111092023142222.pdf</v>
      </c>
      <c r="F1183" s="5" t="str">
        <f>HYPERLINK("https://dpmzos25m8ivg.cloudfront.net/Documentos/631/03056607051/6310305660705111092023142251.pdf","https://dpmzos25m8ivg.cloudfront.net/Documentos/631/03056607051/6310305660705111092023142251.pdf")</f>
        <v>https://dpmzos25m8ivg.cloudfront.net/Documentos/631/03056607051/6310305660705111092023142251.pdf</v>
      </c>
      <c r="G1183" s="5" t="str">
        <f>HYPERLINK("https://dpmzos25m8ivg.cloudfront.net/Documentos/631/03056607051/6310305660705111092023142336.pdf","https://dpmzos25m8ivg.cloudfront.net/Documentos/631/03056607051/6310305660705111092023142336.pdf")</f>
        <v>https://dpmzos25m8ivg.cloudfront.net/Documentos/631/03056607051/6310305660705111092023142336.pdf</v>
      </c>
      <c r="H1183" s="4" t="s">
        <v>9766</v>
      </c>
    </row>
    <row r="1184" spans="1:8" x14ac:dyDescent="0.25">
      <c r="A1184" s="2" t="s">
        <v>1198</v>
      </c>
      <c r="B1184" s="3" t="s">
        <v>90</v>
      </c>
      <c r="C1184" s="3"/>
      <c r="D1184" s="3"/>
      <c r="E1184" s="4" t="str">
        <f>HYPERLINK("https://dpmzos25m8ivg.cloudfront.net/Documentos/631/03057061605/6310305706160510092023220038.jpg","https://dpmzos25m8ivg.cloudfront.net/Documentos/631/03057061605/6310305706160510092023220038.jpg")</f>
        <v>https://dpmzos25m8ivg.cloudfront.net/Documentos/631/03057061605/6310305706160510092023220038.jpg</v>
      </c>
      <c r="F1184" s="5" t="str">
        <f>HYPERLINK("https://dpmzos25m8ivg.cloudfront.net/Documentos/631/03057061605/6310305706160510092023220052.jpg","https://dpmzos25m8ivg.cloudfront.net/Documentos/631/03057061605/6310305706160510092023220052.jpg")</f>
        <v>https://dpmzos25m8ivg.cloudfront.net/Documentos/631/03057061605/6310305706160510092023220052.jpg</v>
      </c>
      <c r="G1184" s="5" t="str">
        <f>HYPERLINK("https://dpmzos25m8ivg.cloudfront.net/Documentos/631/03057061605/6310305706160510092023220107.jpg","https://dpmzos25m8ivg.cloudfront.net/Documentos/631/03057061605/6310305706160510092023220107.jpg")</f>
        <v>https://dpmzos25m8ivg.cloudfront.net/Documentos/631/03057061605/6310305706160510092023220107.jpg</v>
      </c>
      <c r="H1184" s="4" t="s">
        <v>9767</v>
      </c>
    </row>
    <row r="1185" spans="1:8" x14ac:dyDescent="0.25">
      <c r="A1185" s="2" t="s">
        <v>1199</v>
      </c>
      <c r="B1185" s="3"/>
      <c r="C1185" s="3"/>
      <c r="D1185" s="3"/>
      <c r="E1185" s="4" t="str">
        <f>HYPERLINK("https://dpmzos25m8ivg.cloudfront.net/Documentos/631/03057519563/6310305751956306092023235234.pdf","https://dpmzos25m8ivg.cloudfront.net/Documentos/631/03057519563/6310305751956306092023235234.pdf")</f>
        <v>https://dpmzos25m8ivg.cloudfront.net/Documentos/631/03057519563/6310305751956306092023235234.pdf</v>
      </c>
      <c r="F1185" s="5" t="str">
        <f>HYPERLINK("https://dpmzos25m8ivg.cloudfront.net/Documentos/631/03057519563/6310305751956306092023235254.pdf","https://dpmzos25m8ivg.cloudfront.net/Documentos/631/03057519563/6310305751956306092023235254.pdf")</f>
        <v>https://dpmzos25m8ivg.cloudfront.net/Documentos/631/03057519563/6310305751956306092023235254.pdf</v>
      </c>
      <c r="G1185" s="5" t="str">
        <f>HYPERLINK("https://dpmzos25m8ivg.cloudfront.net/Documentos/631/03057519563/6310305751956306092023235350.pdf","https://dpmzos25m8ivg.cloudfront.net/Documentos/631/03057519563/6310305751956306092023235350.pdf")</f>
        <v>https://dpmzos25m8ivg.cloudfront.net/Documentos/631/03057519563/6310305751956306092023235350.pdf</v>
      </c>
      <c r="H1185" s="4" t="s">
        <v>9768</v>
      </c>
    </row>
    <row r="1186" spans="1:8" x14ac:dyDescent="0.25">
      <c r="A1186" s="2" t="s">
        <v>1200</v>
      </c>
      <c r="B1186" s="3"/>
      <c r="C1186" s="3"/>
      <c r="D1186" s="3"/>
      <c r="E1186" s="4" t="str">
        <f>HYPERLINK("https://dpmzos25m8ivg.cloudfront.net/Documentos/631/03057962165/6310305796216509092023115115.pdf","https://dpmzos25m8ivg.cloudfront.net/Documentos/631/03057962165/6310305796216509092023115115.pdf")</f>
        <v>https://dpmzos25m8ivg.cloudfront.net/Documentos/631/03057962165/6310305796216509092023115115.pdf</v>
      </c>
      <c r="F1186" s="5" t="str">
        <f>HYPERLINK("https://dpmzos25m8ivg.cloudfront.net/Documentos/631/03057962165/6310305796216509092023115125.pdf","https://dpmzos25m8ivg.cloudfront.net/Documentos/631/03057962165/6310305796216509092023115125.pdf")</f>
        <v>https://dpmzos25m8ivg.cloudfront.net/Documentos/631/03057962165/6310305796216509092023115125.pdf</v>
      </c>
      <c r="G1186" s="5" t="str">
        <f>HYPERLINK("https://dpmzos25m8ivg.cloudfront.net/Documentos/631/03057962165/6310305796216509092023115135.pdf","https://dpmzos25m8ivg.cloudfront.net/Documentos/631/03057962165/6310305796216509092023115135.pdf")</f>
        <v>https://dpmzos25m8ivg.cloudfront.net/Documentos/631/03057962165/6310305796216509092023115135.pdf</v>
      </c>
      <c r="H1186" s="4" t="s">
        <v>9769</v>
      </c>
    </row>
    <row r="1187" spans="1:8" x14ac:dyDescent="0.25">
      <c r="A1187" s="2" t="s">
        <v>1201</v>
      </c>
      <c r="B1187" s="3"/>
      <c r="C1187" s="3"/>
      <c r="D1187" s="3"/>
      <c r="E1187" s="4" t="str">
        <f>HYPERLINK("https://dpmzos25m8ivg.cloudfront.net/Documentos/631/03060091536/6310306009153606092023184637.pdf","https://dpmzos25m8ivg.cloudfront.net/Documentos/631/03060091536/6310306009153606092023184637.pdf")</f>
        <v>https://dpmzos25m8ivg.cloudfront.net/Documentos/631/03060091536/6310306009153606092023184637.pdf</v>
      </c>
      <c r="F1187" s="5" t="str">
        <f>HYPERLINK("https://dpmzos25m8ivg.cloudfront.net/Documentos/631/03060091536/6310306009153606092023184656.pdf","https://dpmzos25m8ivg.cloudfront.net/Documentos/631/03060091536/6310306009153606092023184656.pdf")</f>
        <v>https://dpmzos25m8ivg.cloudfront.net/Documentos/631/03060091536/6310306009153606092023184656.pdf</v>
      </c>
      <c r="G1187" s="5" t="str">
        <f>HYPERLINK("https://dpmzos25m8ivg.cloudfront.net/Documentos/631/03060091536/6310306009153606092023184718.pdf","https://dpmzos25m8ivg.cloudfront.net/Documentos/631/03060091536/6310306009153606092023184718.pdf")</f>
        <v>https://dpmzos25m8ivg.cloudfront.net/Documentos/631/03060091536/6310306009153606092023184718.pdf</v>
      </c>
      <c r="H1187" s="4" t="s">
        <v>9770</v>
      </c>
    </row>
    <row r="1188" spans="1:8" x14ac:dyDescent="0.25">
      <c r="A1188" s="2" t="s">
        <v>1202</v>
      </c>
      <c r="B1188" s="3"/>
      <c r="C1188" s="3"/>
      <c r="D1188" s="3"/>
      <c r="E1188" s="4" t="str">
        <f>HYPERLINK("https://dpmzos25m8ivg.cloudfront.net/Documentos/631/03065282585/6310306528258511092023100015.pdf","https://dpmzos25m8ivg.cloudfront.net/Documentos/631/03065282585/6310306528258511092023100015.pdf")</f>
        <v>https://dpmzos25m8ivg.cloudfront.net/Documentos/631/03065282585/6310306528258511092023100015.pdf</v>
      </c>
      <c r="F1188" s="5" t="str">
        <f>HYPERLINK("https://dpmzos25m8ivg.cloudfront.net/Documentos/631/03065282585/6310306528258511092023100027.pdf","https://dpmzos25m8ivg.cloudfront.net/Documentos/631/03065282585/6310306528258511092023100027.pdf")</f>
        <v>https://dpmzos25m8ivg.cloudfront.net/Documentos/631/03065282585/6310306528258511092023100027.pdf</v>
      </c>
      <c r="G1188" s="5" t="str">
        <f>HYPERLINK("https://dpmzos25m8ivg.cloudfront.net/Documentos/631/03065282585/6310306528258511092023100038.pdf","https://dpmzos25m8ivg.cloudfront.net/Documentos/631/03065282585/6310306528258511092023100038.pdf")</f>
        <v>https://dpmzos25m8ivg.cloudfront.net/Documentos/631/03065282585/6310306528258511092023100038.pdf</v>
      </c>
      <c r="H1188" s="4" t="s">
        <v>9771</v>
      </c>
    </row>
    <row r="1189" spans="1:8" x14ac:dyDescent="0.25">
      <c r="A1189" s="2" t="s">
        <v>1203</v>
      </c>
      <c r="B1189" s="3"/>
      <c r="C1189" s="3"/>
      <c r="D1189" s="3"/>
      <c r="E1189" s="4" t="str">
        <f>HYPERLINK("https://dpmzos25m8ivg.cloudfront.net/Documentos/631/03067161602/6310306716160207092023220758.pdf","https://dpmzos25m8ivg.cloudfront.net/Documentos/631/03067161602/6310306716160207092023220758.pdf")</f>
        <v>https://dpmzos25m8ivg.cloudfront.net/Documentos/631/03067161602/6310306716160207092023220758.pdf</v>
      </c>
      <c r="F1189" s="5" t="str">
        <f>HYPERLINK("https://dpmzos25m8ivg.cloudfront.net/Documentos/631/03067161602/6310306716160207092023220919.pdf","https://dpmzos25m8ivg.cloudfront.net/Documentos/631/03067161602/6310306716160207092023220919.pdf")</f>
        <v>https://dpmzos25m8ivg.cloudfront.net/Documentos/631/03067161602/6310306716160207092023220919.pdf</v>
      </c>
      <c r="G1189" s="5" t="str">
        <f>HYPERLINK("https://dpmzos25m8ivg.cloudfront.net/Documentos/631/03067161602/6310306716160207092023220945.pdf","https://dpmzos25m8ivg.cloudfront.net/Documentos/631/03067161602/6310306716160207092023220945.pdf")</f>
        <v>https://dpmzos25m8ivg.cloudfront.net/Documentos/631/03067161602/6310306716160207092023220945.pdf</v>
      </c>
      <c r="H1189" s="4" t="s">
        <v>9772</v>
      </c>
    </row>
    <row r="1190" spans="1:8" x14ac:dyDescent="0.25">
      <c r="A1190" s="2" t="s">
        <v>1204</v>
      </c>
      <c r="B1190" s="3"/>
      <c r="C1190" s="3"/>
      <c r="D1190" s="3"/>
      <c r="E1190" s="4" t="str">
        <f>HYPERLINK("https://dpmzos25m8ivg.cloudfront.net/Documentos/631/03069123171/6310306912317111092023155014.jpeg","https://dpmzos25m8ivg.cloudfront.net/Documentos/631/03069123171/6310306912317111092023155014.jpeg")</f>
        <v>https://dpmzos25m8ivg.cloudfront.net/Documentos/631/03069123171/6310306912317111092023155014.jpeg</v>
      </c>
      <c r="F1190" s="5" t="str">
        <f>HYPERLINK("https://dpmzos25m8ivg.cloudfront.net/Documentos/631/03069123171/6310306912317111092023155001.jpeg","https://dpmzos25m8ivg.cloudfront.net/Documentos/631/03069123171/6310306912317111092023155001.jpeg")</f>
        <v>https://dpmzos25m8ivg.cloudfront.net/Documentos/631/03069123171/6310306912317111092023155001.jpeg</v>
      </c>
      <c r="G1190" s="5" t="str">
        <f>HYPERLINK("https://dpmzos25m8ivg.cloudfront.net/Documentos/631/03069123171/6310306912317111092023155026.jpeg","https://dpmzos25m8ivg.cloudfront.net/Documentos/631/03069123171/6310306912317111092023155026.jpeg")</f>
        <v>https://dpmzos25m8ivg.cloudfront.net/Documentos/631/03069123171/6310306912317111092023155026.jpeg</v>
      </c>
      <c r="H1190" s="4" t="s">
        <v>9773</v>
      </c>
    </row>
    <row r="1191" spans="1:8" x14ac:dyDescent="0.25">
      <c r="A1191" s="2" t="s">
        <v>1205</v>
      </c>
      <c r="B1191" s="3"/>
      <c r="C1191" s="3"/>
      <c r="D1191" s="3"/>
      <c r="E1191" s="4" t="str">
        <f>HYPERLINK("https://dpmzos25m8ivg.cloudfront.net/Documentos/631/03069388477/6310306938847707092023181955.pdf","https://dpmzos25m8ivg.cloudfront.net/Documentos/631/03069388477/6310306938847707092023181955.pdf")</f>
        <v>https://dpmzos25m8ivg.cloudfront.net/Documentos/631/03069388477/6310306938847707092023181955.pdf</v>
      </c>
      <c r="F1191" s="5" t="str">
        <f>HYPERLINK("https://dpmzos25m8ivg.cloudfront.net/Documentos/631/03069388477/6310306938847707092023182015.pdf","https://dpmzos25m8ivg.cloudfront.net/Documentos/631/03069388477/6310306938847707092023182015.pdf")</f>
        <v>https://dpmzos25m8ivg.cloudfront.net/Documentos/631/03069388477/6310306938847707092023182015.pdf</v>
      </c>
      <c r="G1191" s="5" t="str">
        <f>HYPERLINK("https://dpmzos25m8ivg.cloudfront.net/Documentos/631/03069388477/6310306938847707092023182126.pdf","https://dpmzos25m8ivg.cloudfront.net/Documentos/631/03069388477/6310306938847707092023182126.pdf")</f>
        <v>https://dpmzos25m8ivg.cloudfront.net/Documentos/631/03069388477/6310306938847707092023182126.pdf</v>
      </c>
      <c r="H1191" s="4" t="s">
        <v>9774</v>
      </c>
    </row>
    <row r="1192" spans="1:8" x14ac:dyDescent="0.25">
      <c r="A1192" s="2" t="s">
        <v>1206</v>
      </c>
      <c r="B1192" s="3" t="s">
        <v>312</v>
      </c>
      <c r="C1192" s="3"/>
      <c r="D1192" s="3"/>
      <c r="E1192" s="4" t="str">
        <f>HYPERLINK("https://dpmzos25m8ivg.cloudfront.net/Documentos/631/03069624030/6310306962403005092023133902.jpeg","https://dpmzos25m8ivg.cloudfront.net/Documentos/631/03069624030/6310306962403005092023133902.jpeg")</f>
        <v>https://dpmzos25m8ivg.cloudfront.net/Documentos/631/03069624030/6310306962403005092023133902.jpeg</v>
      </c>
      <c r="F1192" s="5" t="str">
        <f>HYPERLINK("https://dpmzos25m8ivg.cloudfront.net/Documentos/631/03069624030/6310306962403005092023133914.jpeg","https://dpmzos25m8ivg.cloudfront.net/Documentos/631/03069624030/6310306962403005092023133914.jpeg")</f>
        <v>https://dpmzos25m8ivg.cloudfront.net/Documentos/631/03069624030/6310306962403005092023133914.jpeg</v>
      </c>
      <c r="G1192" s="5" t="str">
        <f>HYPERLINK("https://dpmzos25m8ivg.cloudfront.net/Documentos/631/03069624030/6310306962403005092023133925.jpeg","https://dpmzos25m8ivg.cloudfront.net/Documentos/631/03069624030/6310306962403005092023133925.jpeg")</f>
        <v>https://dpmzos25m8ivg.cloudfront.net/Documentos/631/03069624030/6310306962403005092023133925.jpeg</v>
      </c>
      <c r="H1192" s="4" t="s">
        <v>9775</v>
      </c>
    </row>
    <row r="1193" spans="1:8" x14ac:dyDescent="0.25">
      <c r="A1193" s="2" t="s">
        <v>1207</v>
      </c>
      <c r="B1193" s="3"/>
      <c r="C1193" s="3"/>
      <c r="D1193" s="3"/>
      <c r="E1193" s="4" t="str">
        <f>HYPERLINK("https://dpmzos25m8ivg.cloudfront.net/Documentos/631/03072648581/6310307264858111092023152318.pdf","https://dpmzos25m8ivg.cloudfront.net/Documentos/631/03072648581/6310307264858111092023152318.pdf")</f>
        <v>https://dpmzos25m8ivg.cloudfront.net/Documentos/631/03072648581/6310307264858111092023152318.pdf</v>
      </c>
      <c r="F1193" s="5" t="str">
        <f>HYPERLINK("https://dpmzos25m8ivg.cloudfront.net/Documentos/631/03072648581/6310307264858111092023152331.pdf","https://dpmzos25m8ivg.cloudfront.net/Documentos/631/03072648581/6310307264858111092023152331.pdf")</f>
        <v>https://dpmzos25m8ivg.cloudfront.net/Documentos/631/03072648581/6310307264858111092023152331.pdf</v>
      </c>
      <c r="G1193" s="5" t="str">
        <f>HYPERLINK("https://dpmzos25m8ivg.cloudfront.net/Documentos/631/03072648581/6310307264858111092023152341.pdf","https://dpmzos25m8ivg.cloudfront.net/Documentos/631/03072648581/6310307264858111092023152341.pdf")</f>
        <v>https://dpmzos25m8ivg.cloudfront.net/Documentos/631/03072648581/6310307264858111092023152341.pdf</v>
      </c>
      <c r="H1193" s="4" t="s">
        <v>9776</v>
      </c>
    </row>
    <row r="1194" spans="1:8" x14ac:dyDescent="0.25">
      <c r="A1194" s="2" t="s">
        <v>1208</v>
      </c>
      <c r="B1194" s="3"/>
      <c r="C1194" s="3"/>
      <c r="D1194" s="3"/>
      <c r="E1194" s="4" t="str">
        <f>HYPERLINK("https://dpmzos25m8ivg.cloudfront.net/Documentos/631/03072670676/6310307267067611092023100616.pdf","https://dpmzos25m8ivg.cloudfront.net/Documentos/631/03072670676/6310307267067611092023100616.pdf")</f>
        <v>https://dpmzos25m8ivg.cloudfront.net/Documentos/631/03072670676/6310307267067611092023100616.pdf</v>
      </c>
      <c r="F1194" s="5" t="str">
        <f>HYPERLINK("https://dpmzos25m8ivg.cloudfront.net/Documentos/631/03072670676/6310307267067611092023100633.pdf","https://dpmzos25m8ivg.cloudfront.net/Documentos/631/03072670676/6310307267067611092023100633.pdf")</f>
        <v>https://dpmzos25m8ivg.cloudfront.net/Documentos/631/03072670676/6310307267067611092023100633.pdf</v>
      </c>
      <c r="G1194" s="5" t="str">
        <f>HYPERLINK("https://dpmzos25m8ivg.cloudfront.net/Documentos/631/03072670676/6310307267067611092023100646.pdf","https://dpmzos25m8ivg.cloudfront.net/Documentos/631/03072670676/6310307267067611092023100646.pdf")</f>
        <v>https://dpmzos25m8ivg.cloudfront.net/Documentos/631/03072670676/6310307267067611092023100646.pdf</v>
      </c>
      <c r="H1194" s="4" t="s">
        <v>9777</v>
      </c>
    </row>
    <row r="1195" spans="1:8" x14ac:dyDescent="0.25">
      <c r="A1195" s="2" t="s">
        <v>1209</v>
      </c>
      <c r="B1195" s="3"/>
      <c r="C1195" s="3"/>
      <c r="D1195" s="3"/>
      <c r="E1195" s="4" t="str">
        <f>HYPERLINK("https://dpmzos25m8ivg.cloudfront.net/Documentos/631/03079785592/6310307978559206092023175816.jpg","https://dpmzos25m8ivg.cloudfront.net/Documentos/631/03079785592/6310307978559206092023175816.jpg")</f>
        <v>https://dpmzos25m8ivg.cloudfront.net/Documentos/631/03079785592/6310307978559206092023175816.jpg</v>
      </c>
      <c r="F1195" s="5" t="str">
        <f>HYPERLINK("https://dpmzos25m8ivg.cloudfront.net/Documentos/631/03079785592/6310307978559206092023175924.jpg","https://dpmzos25m8ivg.cloudfront.net/Documentos/631/03079785592/6310307978559206092023175924.jpg")</f>
        <v>https://dpmzos25m8ivg.cloudfront.net/Documentos/631/03079785592/6310307978559206092023175924.jpg</v>
      </c>
      <c r="G1195" s="5" t="str">
        <f>HYPERLINK("https://dpmzos25m8ivg.cloudfront.net/Documentos/631/03079785592/6310307978559206092023175951.jpg","https://dpmzos25m8ivg.cloudfront.net/Documentos/631/03079785592/6310307978559206092023175951.jpg")</f>
        <v>https://dpmzos25m8ivg.cloudfront.net/Documentos/631/03079785592/6310307978559206092023175951.jpg</v>
      </c>
      <c r="H1195" s="4" t="s">
        <v>9778</v>
      </c>
    </row>
    <row r="1196" spans="1:8" x14ac:dyDescent="0.25">
      <c r="A1196" s="2" t="s">
        <v>1210</v>
      </c>
      <c r="B1196" s="3"/>
      <c r="C1196" s="3"/>
      <c r="D1196" s="3"/>
      <c r="E1196" s="4" t="str">
        <f>HYPERLINK("https://dpmzos25m8ivg.cloudfront.net/Documentos/631/03081316570/6310308131657010092023195416.pdf","https://dpmzos25m8ivg.cloudfront.net/Documentos/631/03081316570/6310308131657010092023195416.pdf")</f>
        <v>https://dpmzos25m8ivg.cloudfront.net/Documentos/631/03081316570/6310308131657010092023195416.pdf</v>
      </c>
      <c r="F1196" s="5" t="str">
        <f>HYPERLINK("https://dpmzos25m8ivg.cloudfront.net/Documentos/631/03081316570/6310308131657010092023195427.pdf","https://dpmzos25m8ivg.cloudfront.net/Documentos/631/03081316570/6310308131657010092023195427.pdf")</f>
        <v>https://dpmzos25m8ivg.cloudfront.net/Documentos/631/03081316570/6310308131657010092023195427.pdf</v>
      </c>
      <c r="G1196" s="5" t="str">
        <f>HYPERLINK("https://dpmzos25m8ivg.cloudfront.net/Documentos/631/03081316570/6310308131657010092023193710.pdf","https://dpmzos25m8ivg.cloudfront.net/Documentos/631/03081316570/6310308131657010092023193710.pdf")</f>
        <v>https://dpmzos25m8ivg.cloudfront.net/Documentos/631/03081316570/6310308131657010092023193710.pdf</v>
      </c>
      <c r="H1196" s="4" t="s">
        <v>9779</v>
      </c>
    </row>
    <row r="1197" spans="1:8" x14ac:dyDescent="0.25">
      <c r="A1197" s="2" t="s">
        <v>1211</v>
      </c>
      <c r="B1197" s="3"/>
      <c r="C1197" s="3"/>
      <c r="D1197" s="3"/>
      <c r="E1197" s="4" t="str">
        <f>HYPERLINK("https://dpmzos25m8ivg.cloudfront.net/Documentos/631/03083384050/6310308338405008092023091343.pdf","https://dpmzos25m8ivg.cloudfront.net/Documentos/631/03083384050/6310308338405008092023091343.pdf")</f>
        <v>https://dpmzos25m8ivg.cloudfront.net/Documentos/631/03083384050/6310308338405008092023091343.pdf</v>
      </c>
      <c r="F1197" s="5" t="str">
        <f>HYPERLINK("https://dpmzos25m8ivg.cloudfront.net/Documentos/631/03083384050/6310308338405008092023091426.pdf","https://dpmzos25m8ivg.cloudfront.net/Documentos/631/03083384050/6310308338405008092023091426.pdf")</f>
        <v>https://dpmzos25m8ivg.cloudfront.net/Documentos/631/03083384050/6310308338405008092023091426.pdf</v>
      </c>
      <c r="G1197" s="5" t="str">
        <f>HYPERLINK("https://dpmzos25m8ivg.cloudfront.net/Documentos/631/03083384050/6310308338405008092023091436.pdf","https://dpmzos25m8ivg.cloudfront.net/Documentos/631/03083384050/6310308338405008092023091436.pdf")</f>
        <v>https://dpmzos25m8ivg.cloudfront.net/Documentos/631/03083384050/6310308338405008092023091436.pdf</v>
      </c>
      <c r="H1197" s="4" t="s">
        <v>9780</v>
      </c>
    </row>
    <row r="1198" spans="1:8" x14ac:dyDescent="0.25">
      <c r="A1198" s="2" t="s">
        <v>1212</v>
      </c>
      <c r="B1198" s="3"/>
      <c r="C1198" s="3"/>
      <c r="D1198" s="3"/>
      <c r="E1198" s="4" t="str">
        <f>HYPERLINK("https://dpmzos25m8ivg.cloudfront.net/Documentos/631/03083570511/6310308357051111092023130616.pdf","https://dpmzos25m8ivg.cloudfront.net/Documentos/631/03083570511/6310308357051111092023130616.pdf")</f>
        <v>https://dpmzos25m8ivg.cloudfront.net/Documentos/631/03083570511/6310308357051111092023130616.pdf</v>
      </c>
      <c r="F1198" s="5" t="str">
        <f>HYPERLINK("https://dpmzos25m8ivg.cloudfront.net/Documentos/631/03083570511/6310308357051111092023130629.pdf","https://dpmzos25m8ivg.cloudfront.net/Documentos/631/03083570511/6310308357051111092023130629.pdf")</f>
        <v>https://dpmzos25m8ivg.cloudfront.net/Documentos/631/03083570511/6310308357051111092023130629.pdf</v>
      </c>
      <c r="G1198" s="5" t="str">
        <f>HYPERLINK("https://dpmzos25m8ivg.cloudfront.net/Documentos/631/03083570511/6310308357051111092023130638.pdf","https://dpmzos25m8ivg.cloudfront.net/Documentos/631/03083570511/6310308357051111092023130638.pdf")</f>
        <v>https://dpmzos25m8ivg.cloudfront.net/Documentos/631/03083570511/6310308357051111092023130638.pdf</v>
      </c>
      <c r="H1198" s="4" t="s">
        <v>9781</v>
      </c>
    </row>
    <row r="1199" spans="1:8" x14ac:dyDescent="0.25">
      <c r="A1199" s="2" t="s">
        <v>1213</v>
      </c>
      <c r="B1199" s="3"/>
      <c r="C1199" s="3"/>
      <c r="D1199" s="3"/>
      <c r="E1199" s="4" t="str">
        <f>HYPERLINK("https://dpmzos25m8ivg.cloudfront.net/Documentos/631/03087545147/6310308754514711092023135952.pdf","https://dpmzos25m8ivg.cloudfront.net/Documentos/631/03087545147/6310308754514711092023135952.pdf")</f>
        <v>https://dpmzos25m8ivg.cloudfront.net/Documentos/631/03087545147/6310308754514711092023135952.pdf</v>
      </c>
      <c r="F1199" s="5" t="str">
        <f>HYPERLINK("https://dpmzos25m8ivg.cloudfront.net/Documentos/631/03087545147/6310308754514711092023140007.pdf","https://dpmzos25m8ivg.cloudfront.net/Documentos/631/03087545147/6310308754514711092023140007.pdf")</f>
        <v>https://dpmzos25m8ivg.cloudfront.net/Documentos/631/03087545147/6310308754514711092023140007.pdf</v>
      </c>
      <c r="G1199" s="5" t="str">
        <f>HYPERLINK("https://dpmzos25m8ivg.cloudfront.net/Documentos/631/03087545147/6310308754514711092023140019.pdf","https://dpmzos25m8ivg.cloudfront.net/Documentos/631/03087545147/6310308754514711092023140019.pdf")</f>
        <v>https://dpmzos25m8ivg.cloudfront.net/Documentos/631/03087545147/6310308754514711092023140019.pdf</v>
      </c>
      <c r="H1199" s="4" t="s">
        <v>9782</v>
      </c>
    </row>
    <row r="1200" spans="1:8" x14ac:dyDescent="0.25">
      <c r="A1200" s="2" t="s">
        <v>1214</v>
      </c>
      <c r="B1200" s="3"/>
      <c r="C1200" s="3"/>
      <c r="D1200" s="3"/>
      <c r="E1200" s="4" t="str">
        <f>HYPERLINK("https://dpmzos25m8ivg.cloudfront.net/Documentos/631/03088236130/6310308823613011092023003016.jpeg","https://dpmzos25m8ivg.cloudfront.net/Documentos/631/03088236130/6310308823613011092023003016.jpeg")</f>
        <v>https://dpmzos25m8ivg.cloudfront.net/Documentos/631/03088236130/6310308823613011092023003016.jpeg</v>
      </c>
      <c r="F1200" s="5" t="str">
        <f>HYPERLINK("https://dpmzos25m8ivg.cloudfront.net/Documentos/631/03088236130/6310308823613011092023003036.jpeg","https://dpmzos25m8ivg.cloudfront.net/Documentos/631/03088236130/6310308823613011092023003036.jpeg")</f>
        <v>https://dpmzos25m8ivg.cloudfront.net/Documentos/631/03088236130/6310308823613011092023003036.jpeg</v>
      </c>
      <c r="G1200" s="5" t="str">
        <f>HYPERLINK("https://dpmzos25m8ivg.cloudfront.net/Documentos/631/03088236130/6310308823613011092023003058.jpeg","https://dpmzos25m8ivg.cloudfront.net/Documentos/631/03088236130/6310308823613011092023003058.jpeg")</f>
        <v>https://dpmzos25m8ivg.cloudfront.net/Documentos/631/03088236130/6310308823613011092023003058.jpeg</v>
      </c>
      <c r="H1200" s="4" t="s">
        <v>9783</v>
      </c>
    </row>
    <row r="1201" spans="1:8" x14ac:dyDescent="0.25">
      <c r="A1201" s="2" t="s">
        <v>1215</v>
      </c>
      <c r="B1201" s="3"/>
      <c r="C1201" s="3"/>
      <c r="D1201" s="3"/>
      <c r="E1201" s="4" t="str">
        <f>HYPERLINK("https://dpmzos25m8ivg.cloudfront.net/Documentos/631/03088637126/6310308863712611092023165822.jpeg","https://dpmzos25m8ivg.cloudfront.net/Documentos/631/03088637126/6310308863712611092023165822.jpeg")</f>
        <v>https://dpmzos25m8ivg.cloudfront.net/Documentos/631/03088637126/6310308863712611092023165822.jpeg</v>
      </c>
      <c r="F1201" s="5" t="str">
        <f>HYPERLINK("https://dpmzos25m8ivg.cloudfront.net/Documentos/631/03088637126/6310308863712611092023165828.jpeg","https://dpmzos25m8ivg.cloudfront.net/Documentos/631/03088637126/6310308863712611092023165828.jpeg")</f>
        <v>https://dpmzos25m8ivg.cloudfront.net/Documentos/631/03088637126/6310308863712611092023165828.jpeg</v>
      </c>
      <c r="G1201" s="5" t="str">
        <f>HYPERLINK("https://dpmzos25m8ivg.cloudfront.net/Documentos/631/03088637126/6310308863712611092023165834.jpeg","https://dpmzos25m8ivg.cloudfront.net/Documentos/631/03088637126/6310308863712611092023165834.jpeg")</f>
        <v>https://dpmzos25m8ivg.cloudfront.net/Documentos/631/03088637126/6310308863712611092023165834.jpeg</v>
      </c>
      <c r="H1201" s="4" t="s">
        <v>9784</v>
      </c>
    </row>
    <row r="1202" spans="1:8" x14ac:dyDescent="0.25">
      <c r="A1202" s="2" t="s">
        <v>1216</v>
      </c>
      <c r="B1202" s="3"/>
      <c r="C1202" s="3"/>
      <c r="D1202" s="3"/>
      <c r="E1202" s="4" t="str">
        <f>HYPERLINK("https://dpmzos25m8ivg.cloudfront.net/Documentos/631/03090021765/6310309002176508092023140727.pdf","https://dpmzos25m8ivg.cloudfront.net/Documentos/631/03090021765/6310309002176508092023140727.pdf")</f>
        <v>https://dpmzos25m8ivg.cloudfront.net/Documentos/631/03090021765/6310309002176508092023140727.pdf</v>
      </c>
      <c r="F1202" s="5" t="str">
        <f>HYPERLINK("https://dpmzos25m8ivg.cloudfront.net/Documentos/631/03090021765/6310309002176508092023140735.pdf","https://dpmzos25m8ivg.cloudfront.net/Documentos/631/03090021765/6310309002176508092023140735.pdf")</f>
        <v>https://dpmzos25m8ivg.cloudfront.net/Documentos/631/03090021765/6310309002176508092023140735.pdf</v>
      </c>
      <c r="G1202" s="5" t="str">
        <f>HYPERLINK("https://dpmzos25m8ivg.cloudfront.net/Documentos/631/03090021765/6310309002176508092023140743.pdf","https://dpmzos25m8ivg.cloudfront.net/Documentos/631/03090021765/6310309002176508092023140743.pdf")</f>
        <v>https://dpmzos25m8ivg.cloudfront.net/Documentos/631/03090021765/6310309002176508092023140743.pdf</v>
      </c>
      <c r="H1202" s="4" t="s">
        <v>9785</v>
      </c>
    </row>
    <row r="1203" spans="1:8" x14ac:dyDescent="0.25">
      <c r="A1203" s="2" t="s">
        <v>1217</v>
      </c>
      <c r="B1203" s="3"/>
      <c r="C1203" s="3"/>
      <c r="D1203" s="3"/>
      <c r="E1203" s="4" t="str">
        <f>HYPERLINK("https://dpmzos25m8ivg.cloudfront.net/Documentos/631/03093517230/6310309351723009092023112211.jpg","https://dpmzos25m8ivg.cloudfront.net/Documentos/631/03093517230/6310309351723009092023112211.jpg")</f>
        <v>https://dpmzos25m8ivg.cloudfront.net/Documentos/631/03093517230/6310309351723009092023112211.jpg</v>
      </c>
      <c r="F1203" s="5" t="str">
        <f>HYPERLINK("https://dpmzos25m8ivg.cloudfront.net/Documentos/631/03093517230/6310309351723009092023112232.jpg","https://dpmzos25m8ivg.cloudfront.net/Documentos/631/03093517230/6310309351723009092023112232.jpg")</f>
        <v>https://dpmzos25m8ivg.cloudfront.net/Documentos/631/03093517230/6310309351723009092023112232.jpg</v>
      </c>
      <c r="G1203" s="5" t="str">
        <f>HYPERLINK("https://dpmzos25m8ivg.cloudfront.net/Documentos/631/03093517230/6310309351723009092023112255.jpg","https://dpmzos25m8ivg.cloudfront.net/Documentos/631/03093517230/6310309351723009092023112255.jpg")</f>
        <v>https://dpmzos25m8ivg.cloudfront.net/Documentos/631/03093517230/6310309351723009092023112255.jpg</v>
      </c>
      <c r="H1203" s="4" t="s">
        <v>9786</v>
      </c>
    </row>
    <row r="1204" spans="1:8" x14ac:dyDescent="0.25">
      <c r="A1204" s="2" t="s">
        <v>1218</v>
      </c>
      <c r="B1204" s="3"/>
      <c r="C1204" s="3"/>
      <c r="D1204" s="3"/>
      <c r="E1204" s="4" t="str">
        <f>HYPERLINK("https://dpmzos25m8ivg.cloudfront.net/Documentos/631/03096212597/6310309621259709092023161427.jpeg","https://dpmzos25m8ivg.cloudfront.net/Documentos/631/03096212597/6310309621259709092023161427.jpeg")</f>
        <v>https://dpmzos25m8ivg.cloudfront.net/Documentos/631/03096212597/6310309621259709092023161427.jpeg</v>
      </c>
      <c r="F1204" s="5" t="str">
        <f>HYPERLINK("https://dpmzos25m8ivg.cloudfront.net/Documentos/631/03096212597/6310309621259709092023161451.jpeg","https://dpmzos25m8ivg.cloudfront.net/Documentos/631/03096212597/6310309621259709092023161451.jpeg")</f>
        <v>https://dpmzos25m8ivg.cloudfront.net/Documentos/631/03096212597/6310309621259709092023161451.jpeg</v>
      </c>
      <c r="G1204" s="5" t="str">
        <f>HYPERLINK("https://dpmzos25m8ivg.cloudfront.net/Documentos/631/03096212597/6310309621259709092023161512.jpeg","https://dpmzos25m8ivg.cloudfront.net/Documentos/631/03096212597/6310309621259709092023161512.jpeg")</f>
        <v>https://dpmzos25m8ivg.cloudfront.net/Documentos/631/03096212597/6310309621259709092023161512.jpeg</v>
      </c>
      <c r="H1204" s="4" t="s">
        <v>9787</v>
      </c>
    </row>
    <row r="1205" spans="1:8" x14ac:dyDescent="0.25">
      <c r="A1205" s="2" t="s">
        <v>1219</v>
      </c>
      <c r="B1205" s="3" t="s">
        <v>23</v>
      </c>
      <c r="C1205" s="3"/>
      <c r="D1205" s="3"/>
      <c r="E1205" s="4" t="str">
        <f>HYPERLINK("https://dpmzos25m8ivg.cloudfront.net/Documentos/631/03096789193/6310309678919311092023015713.pdf","https://dpmzos25m8ivg.cloudfront.net/Documentos/631/03096789193/6310309678919311092023015713.pdf")</f>
        <v>https://dpmzos25m8ivg.cloudfront.net/Documentos/631/03096789193/6310309678919311092023015713.pdf</v>
      </c>
      <c r="F1205" s="5" t="str">
        <f>HYPERLINK("https://dpmzos25m8ivg.cloudfront.net/Documentos/631/03096789193/6310309678919311092023015724.pdf","https://dpmzos25m8ivg.cloudfront.net/Documentos/631/03096789193/6310309678919311092023015724.pdf")</f>
        <v>https://dpmzos25m8ivg.cloudfront.net/Documentos/631/03096789193/6310309678919311092023015724.pdf</v>
      </c>
      <c r="G1205" s="5" t="str">
        <f>HYPERLINK("https://dpmzos25m8ivg.cloudfront.net/Documentos/631/03096789193/6310309678919311092023015733.pdf","https://dpmzos25m8ivg.cloudfront.net/Documentos/631/03096789193/6310309678919311092023015733.pdf")</f>
        <v>https://dpmzos25m8ivg.cloudfront.net/Documentos/631/03096789193/6310309678919311092023015733.pdf</v>
      </c>
      <c r="H1205" s="4" t="s">
        <v>9788</v>
      </c>
    </row>
    <row r="1206" spans="1:8" x14ac:dyDescent="0.25">
      <c r="A1206" s="2" t="s">
        <v>1220</v>
      </c>
      <c r="B1206" s="3" t="s">
        <v>308</v>
      </c>
      <c r="C1206" s="3"/>
      <c r="D1206" s="3"/>
      <c r="E1206" s="4" t="str">
        <f>HYPERLINK("https://dpmzos25m8ivg.cloudfront.net/Documentos/631/03098476303/6310309847630311092023140501.pdf","https://dpmzos25m8ivg.cloudfront.net/Documentos/631/03098476303/6310309847630311092023140501.pdf")</f>
        <v>https://dpmzos25m8ivg.cloudfront.net/Documentos/631/03098476303/6310309847630311092023140501.pdf</v>
      </c>
      <c r="F1206" s="5" t="str">
        <f>HYPERLINK("https://dpmzos25m8ivg.cloudfront.net/Documentos/631/03098476303/6310309847630311092023140516.pdf","https://dpmzos25m8ivg.cloudfront.net/Documentos/631/03098476303/6310309847630311092023140516.pdf")</f>
        <v>https://dpmzos25m8ivg.cloudfront.net/Documentos/631/03098476303/6310309847630311092023140516.pdf</v>
      </c>
      <c r="G1206" s="5" t="str">
        <f>HYPERLINK("https://dpmzos25m8ivg.cloudfront.net/Documentos/631/03098476303/6310309847630311092023140531.pdf","https://dpmzos25m8ivg.cloudfront.net/Documentos/631/03098476303/6310309847630311092023140531.pdf")</f>
        <v>https://dpmzos25m8ivg.cloudfront.net/Documentos/631/03098476303/6310309847630311092023140531.pdf</v>
      </c>
      <c r="H1206" s="4" t="s">
        <v>9789</v>
      </c>
    </row>
    <row r="1207" spans="1:8" x14ac:dyDescent="0.25">
      <c r="A1207" s="2" t="s">
        <v>1221</v>
      </c>
      <c r="B1207" s="3"/>
      <c r="C1207" s="3"/>
      <c r="D1207" s="3"/>
      <c r="E1207" s="4" t="str">
        <f>HYPERLINK("https://dpmzos25m8ivg.cloudfront.net/Documentos/631/03098838574/6310309883857405092023144849.pdf","https://dpmzos25m8ivg.cloudfront.net/Documentos/631/03098838574/6310309883857405092023144849.pdf")</f>
        <v>https://dpmzos25m8ivg.cloudfront.net/Documentos/631/03098838574/6310309883857405092023144849.pdf</v>
      </c>
      <c r="F1207" s="5" t="str">
        <f>HYPERLINK("https://dpmzos25m8ivg.cloudfront.net/Documentos/631/03098838574/6310309883857405092023144859.pdf","https://dpmzos25m8ivg.cloudfront.net/Documentos/631/03098838574/6310309883857405092023144859.pdf")</f>
        <v>https://dpmzos25m8ivg.cloudfront.net/Documentos/631/03098838574/6310309883857405092023144859.pdf</v>
      </c>
      <c r="G1207" s="5" t="str">
        <f>HYPERLINK("https://dpmzos25m8ivg.cloudfront.net/Documentos/631/03098838574/6310309883857405092023144911.pdf","https://dpmzos25m8ivg.cloudfront.net/Documentos/631/03098838574/6310309883857405092023144911.pdf")</f>
        <v>https://dpmzos25m8ivg.cloudfront.net/Documentos/631/03098838574/6310309883857405092023144911.pdf</v>
      </c>
      <c r="H1207" s="4" t="s">
        <v>9790</v>
      </c>
    </row>
    <row r="1208" spans="1:8" x14ac:dyDescent="0.25">
      <c r="A1208" s="2" t="s">
        <v>1222</v>
      </c>
      <c r="B1208" s="3"/>
      <c r="C1208" s="3"/>
      <c r="D1208" s="3"/>
      <c r="E1208" s="4" t="str">
        <f>HYPERLINK("https://dpmzos25m8ivg.cloudfront.net/Documentos/631/03109118505/6310310911850506092023134245.pdf","https://dpmzos25m8ivg.cloudfront.net/Documentos/631/03109118505/6310310911850506092023134245.pdf")</f>
        <v>https://dpmzos25m8ivg.cloudfront.net/Documentos/631/03109118505/6310310911850506092023134245.pdf</v>
      </c>
      <c r="F1208" s="5" t="str">
        <f>HYPERLINK("https://dpmzos25m8ivg.cloudfront.net/Documentos/631/03109118505/6310310911850506092023134257.pdf","https://dpmzos25m8ivg.cloudfront.net/Documentos/631/03109118505/6310310911850506092023134257.pdf")</f>
        <v>https://dpmzos25m8ivg.cloudfront.net/Documentos/631/03109118505/6310310911850506092023134257.pdf</v>
      </c>
      <c r="G1208" s="5" t="str">
        <f>HYPERLINK("https://dpmzos25m8ivg.cloudfront.net/Documentos/631/03109118505/6310310911850506092023134312.pdf","https://dpmzos25m8ivg.cloudfront.net/Documentos/631/03109118505/6310310911850506092023134312.pdf")</f>
        <v>https://dpmzos25m8ivg.cloudfront.net/Documentos/631/03109118505/6310310911850506092023134312.pdf</v>
      </c>
      <c r="H1208" s="4" t="s">
        <v>9791</v>
      </c>
    </row>
    <row r="1209" spans="1:8" x14ac:dyDescent="0.25">
      <c r="A1209" s="2" t="s">
        <v>1223</v>
      </c>
      <c r="B1209" s="3"/>
      <c r="C1209" s="3"/>
      <c r="D1209" s="3"/>
      <c r="E1209" s="4" t="str">
        <f>HYPERLINK("https://dpmzos25m8ivg.cloudfront.net/Documentos/631/03111472248/6310311147224806092023182626.jpg","https://dpmzos25m8ivg.cloudfront.net/Documentos/631/03111472248/6310311147224806092023182626.jpg")</f>
        <v>https://dpmzos25m8ivg.cloudfront.net/Documentos/631/03111472248/6310311147224806092023182626.jpg</v>
      </c>
      <c r="F1209" s="5" t="str">
        <f>HYPERLINK("https://dpmzos25m8ivg.cloudfront.net/Documentos/631/03111472248/6310311147224806092023182658.jpg","https://dpmzos25m8ivg.cloudfront.net/Documentos/631/03111472248/6310311147224806092023182658.jpg")</f>
        <v>https://dpmzos25m8ivg.cloudfront.net/Documentos/631/03111472248/6310311147224806092023182658.jpg</v>
      </c>
      <c r="G1209" s="5" t="str">
        <f>HYPERLINK("https://dpmzos25m8ivg.cloudfront.net/Documentos/631/03111472248/6310311147224806092023182710.jpg","https://dpmzos25m8ivg.cloudfront.net/Documentos/631/03111472248/6310311147224806092023182710.jpg")</f>
        <v>https://dpmzos25m8ivg.cloudfront.net/Documentos/631/03111472248/6310311147224806092023182710.jpg</v>
      </c>
      <c r="H1209" s="4" t="s">
        <v>9792</v>
      </c>
    </row>
    <row r="1210" spans="1:8" x14ac:dyDescent="0.25">
      <c r="A1210" s="2" t="s">
        <v>1224</v>
      </c>
      <c r="B1210" s="3"/>
      <c r="C1210" s="3"/>
      <c r="D1210" s="3"/>
      <c r="E1210" s="4" t="str">
        <f>HYPERLINK("https://dpmzos25m8ivg.cloudfront.net/Documentos/631/03115413211/6310311541321111092023132144.pdf","https://dpmzos25m8ivg.cloudfront.net/Documentos/631/03115413211/6310311541321111092023132144.pdf")</f>
        <v>https://dpmzos25m8ivg.cloudfront.net/Documentos/631/03115413211/6310311541321111092023132144.pdf</v>
      </c>
      <c r="F1210" s="5" t="str">
        <f>HYPERLINK("https://dpmzos25m8ivg.cloudfront.net/Documentos/631/03115413211/6310311541321111092023132158.pdf","https://dpmzos25m8ivg.cloudfront.net/Documentos/631/03115413211/6310311541321111092023132158.pdf")</f>
        <v>https://dpmzos25m8ivg.cloudfront.net/Documentos/631/03115413211/6310311541321111092023132158.pdf</v>
      </c>
      <c r="G1210" s="5" t="str">
        <f>HYPERLINK("https://dpmzos25m8ivg.cloudfront.net/Documentos/631/03115413211/6310311541321111092023132213.pdf","https://dpmzos25m8ivg.cloudfront.net/Documentos/631/03115413211/6310311541321111092023132213.pdf")</f>
        <v>https://dpmzos25m8ivg.cloudfront.net/Documentos/631/03115413211/6310311541321111092023132213.pdf</v>
      </c>
      <c r="H1210" s="4" t="s">
        <v>9793</v>
      </c>
    </row>
    <row r="1211" spans="1:8" x14ac:dyDescent="0.25">
      <c r="A1211" s="2" t="s">
        <v>1225</v>
      </c>
      <c r="B1211" s="3"/>
      <c r="C1211" s="3"/>
      <c r="D1211" s="3"/>
      <c r="E1211" s="4" t="str">
        <f>HYPERLINK("https://dpmzos25m8ivg.cloudfront.net/Documentos/631/03116365270/6310311636527013092023230515.pdf","https://dpmzos25m8ivg.cloudfront.net/Documentos/631/03116365270/6310311636527013092023230515.pdf")</f>
        <v>https://dpmzos25m8ivg.cloudfront.net/Documentos/631/03116365270/6310311636527013092023230515.pdf</v>
      </c>
      <c r="F1211" s="5" t="str">
        <f>HYPERLINK("https://dpmzos25m8ivg.cloudfront.net/Documentos/631/03116365270/6310311636527013092023230524.pdf","https://dpmzos25m8ivg.cloudfront.net/Documentos/631/03116365270/6310311636527013092023230524.pdf")</f>
        <v>https://dpmzos25m8ivg.cloudfront.net/Documentos/631/03116365270/6310311636527013092023230524.pdf</v>
      </c>
      <c r="G1211" s="5" t="str">
        <f>HYPERLINK("https://dpmzos25m8ivg.cloudfront.net/Documentos/631/03116365270/6310311636527013092023230535.pdf","https://dpmzos25m8ivg.cloudfront.net/Documentos/631/03116365270/6310311636527013092023230535.pdf")</f>
        <v>https://dpmzos25m8ivg.cloudfront.net/Documentos/631/03116365270/6310311636527013092023230535.pdf</v>
      </c>
      <c r="H1211" s="4" t="s">
        <v>9794</v>
      </c>
    </row>
    <row r="1212" spans="1:8" x14ac:dyDescent="0.25">
      <c r="A1212" s="2" t="s">
        <v>1226</v>
      </c>
      <c r="B1212" s="3"/>
      <c r="C1212" s="3"/>
      <c r="D1212" s="3"/>
      <c r="E1212" s="4" t="str">
        <f>HYPERLINK("https://dpmzos25m8ivg.cloudfront.net/Documentos/631/03116528403/6310311652840311092023154336.jpg","https://dpmzos25m8ivg.cloudfront.net/Documentos/631/03116528403/6310311652840311092023154336.jpg")</f>
        <v>https://dpmzos25m8ivg.cloudfront.net/Documentos/631/03116528403/6310311652840311092023154336.jpg</v>
      </c>
      <c r="F1212" s="5" t="str">
        <f>HYPERLINK("https://dpmzos25m8ivg.cloudfront.net/Documentos/631/03116528403/6310311652840311092023154400.jpg","https://dpmzos25m8ivg.cloudfront.net/Documentos/631/03116528403/6310311652840311092023154400.jpg")</f>
        <v>https://dpmzos25m8ivg.cloudfront.net/Documentos/631/03116528403/6310311652840311092023154400.jpg</v>
      </c>
      <c r="G1212" s="5" t="str">
        <f>HYPERLINK("https://dpmzos25m8ivg.cloudfront.net/Documentos/631/03116528403/6310311652840311092023154417.jpg","https://dpmzos25m8ivg.cloudfront.net/Documentos/631/03116528403/6310311652840311092023154417.jpg")</f>
        <v>https://dpmzos25m8ivg.cloudfront.net/Documentos/631/03116528403/6310311652840311092023154417.jpg</v>
      </c>
      <c r="H1212" s="4" t="s">
        <v>9795</v>
      </c>
    </row>
    <row r="1213" spans="1:8" x14ac:dyDescent="0.25">
      <c r="A1213" s="2" t="s">
        <v>1227</v>
      </c>
      <c r="B1213" s="3"/>
      <c r="C1213" s="3"/>
      <c r="D1213" s="3"/>
      <c r="E1213" s="4" t="str">
        <f>HYPERLINK("https://dpmzos25m8ivg.cloudfront.net/Documentos/631/03117420177/6310311742017708092023142658.pdf","https://dpmzos25m8ivg.cloudfront.net/Documentos/631/03117420177/6310311742017708092023142658.pdf")</f>
        <v>https://dpmzos25m8ivg.cloudfront.net/Documentos/631/03117420177/6310311742017708092023142658.pdf</v>
      </c>
      <c r="F1213" s="5" t="str">
        <f>HYPERLINK("https://dpmzos25m8ivg.cloudfront.net/Documentos/631/03117420177/6310311742017708092023142715.pdf","https://dpmzos25m8ivg.cloudfront.net/Documentos/631/03117420177/6310311742017708092023142715.pdf")</f>
        <v>https://dpmzos25m8ivg.cloudfront.net/Documentos/631/03117420177/6310311742017708092023142715.pdf</v>
      </c>
      <c r="G1213" s="5" t="str">
        <f>HYPERLINK("https://dpmzos25m8ivg.cloudfront.net/Documentos/631/03117420177/6310311742017708092023142732.pdf","https://dpmzos25m8ivg.cloudfront.net/Documentos/631/03117420177/6310311742017708092023142732.pdf")</f>
        <v>https://dpmzos25m8ivg.cloudfront.net/Documentos/631/03117420177/6310311742017708092023142732.pdf</v>
      </c>
      <c r="H1213" s="4" t="s">
        <v>9796</v>
      </c>
    </row>
    <row r="1214" spans="1:8" x14ac:dyDescent="0.25">
      <c r="A1214" s="2" t="s">
        <v>1228</v>
      </c>
      <c r="B1214" s="3"/>
      <c r="C1214" s="3"/>
      <c r="D1214" s="3"/>
      <c r="E1214" s="4" t="str">
        <f>HYPERLINK("https://dpmzos25m8ivg.cloudfront.net/Documentos/631/03119038270/6310311903827006092023113026.pdf","https://dpmzos25m8ivg.cloudfront.net/Documentos/631/03119038270/6310311903827006092023113026.pdf")</f>
        <v>https://dpmzos25m8ivg.cloudfront.net/Documentos/631/03119038270/6310311903827006092023113026.pdf</v>
      </c>
      <c r="F1214" s="5" t="str">
        <f>HYPERLINK("https://dpmzos25m8ivg.cloudfront.net/Documentos/631/03119038270/6310311903827006092023113107.pdf","https://dpmzos25m8ivg.cloudfront.net/Documentos/631/03119038270/6310311903827006092023113107.pdf")</f>
        <v>https://dpmzos25m8ivg.cloudfront.net/Documentos/631/03119038270/6310311903827006092023113107.pdf</v>
      </c>
      <c r="G1214" s="5" t="str">
        <f>HYPERLINK("https://dpmzos25m8ivg.cloudfront.net/Documentos/631/03119038270/6310311903827006092023113122.pdf","https://dpmzos25m8ivg.cloudfront.net/Documentos/631/03119038270/6310311903827006092023113122.pdf")</f>
        <v>https://dpmzos25m8ivg.cloudfront.net/Documentos/631/03119038270/6310311903827006092023113122.pdf</v>
      </c>
      <c r="H1214" s="4" t="s">
        <v>9797</v>
      </c>
    </row>
    <row r="1215" spans="1:8" x14ac:dyDescent="0.25">
      <c r="A1215" s="2" t="s">
        <v>1229</v>
      </c>
      <c r="B1215" s="3"/>
      <c r="C1215" s="3"/>
      <c r="D1215" s="3"/>
      <c r="E1215" s="4" t="str">
        <f>HYPERLINK("https://dpmzos25m8ivg.cloudfront.net/Documentos/631/03121531395/6310312153139511092023162257.pdf","https://dpmzos25m8ivg.cloudfront.net/Documentos/631/03121531395/6310312153139511092023162257.pdf")</f>
        <v>https://dpmzos25m8ivg.cloudfront.net/Documentos/631/03121531395/6310312153139511092023162257.pdf</v>
      </c>
      <c r="F1215" s="5" t="str">
        <f>HYPERLINK("https://dpmzos25m8ivg.cloudfront.net/Documentos/631/03121531395/6310312153139511092023162333.pdf","https://dpmzos25m8ivg.cloudfront.net/Documentos/631/03121531395/6310312153139511092023162333.pdf")</f>
        <v>https://dpmzos25m8ivg.cloudfront.net/Documentos/631/03121531395/6310312153139511092023162333.pdf</v>
      </c>
      <c r="G1215" s="5" t="str">
        <f>HYPERLINK("https://dpmzos25m8ivg.cloudfront.net/Documentos/631/03121531395/6310312153139511092023162414.pdf","https://dpmzos25m8ivg.cloudfront.net/Documentos/631/03121531395/6310312153139511092023162414.pdf")</f>
        <v>https://dpmzos25m8ivg.cloudfront.net/Documentos/631/03121531395/6310312153139511092023162414.pdf</v>
      </c>
      <c r="H1215" s="4" t="s">
        <v>9798</v>
      </c>
    </row>
    <row r="1216" spans="1:8" x14ac:dyDescent="0.25">
      <c r="A1216" s="2" t="s">
        <v>1230</v>
      </c>
      <c r="B1216" s="3"/>
      <c r="C1216" s="3"/>
      <c r="D1216" s="3"/>
      <c r="E1216" s="4" t="str">
        <f>HYPERLINK("https://dpmzos25m8ivg.cloudfront.net/Documentos/631/03131016124/6310313101612410092023223947.pdf","https://dpmzos25m8ivg.cloudfront.net/Documentos/631/03131016124/6310313101612410092023223947.pdf")</f>
        <v>https://dpmzos25m8ivg.cloudfront.net/Documentos/631/03131016124/6310313101612410092023223947.pdf</v>
      </c>
      <c r="F1216" s="5" t="str">
        <f>HYPERLINK("https://dpmzos25m8ivg.cloudfront.net/Documentos/631/03131016124/6310313101612410092023224000.pdf","https://dpmzos25m8ivg.cloudfront.net/Documentos/631/03131016124/6310313101612410092023224000.pdf")</f>
        <v>https://dpmzos25m8ivg.cloudfront.net/Documentos/631/03131016124/6310313101612410092023224000.pdf</v>
      </c>
      <c r="G1216" s="5" t="str">
        <f>HYPERLINK("https://dpmzos25m8ivg.cloudfront.net/Documentos/631/03131016124/6310313101612410092023224015.pdf","https://dpmzos25m8ivg.cloudfront.net/Documentos/631/03131016124/6310313101612410092023224015.pdf")</f>
        <v>https://dpmzos25m8ivg.cloudfront.net/Documentos/631/03131016124/6310313101612410092023224015.pdf</v>
      </c>
      <c r="H1216" s="4" t="s">
        <v>9799</v>
      </c>
    </row>
    <row r="1217" spans="1:8" x14ac:dyDescent="0.25">
      <c r="A1217" s="2" t="s">
        <v>1231</v>
      </c>
      <c r="B1217" s="3"/>
      <c r="C1217" s="3"/>
      <c r="D1217" s="3"/>
      <c r="E1217" s="4" t="str">
        <f>HYPERLINK("https://dpmzos25m8ivg.cloudfront.net/Documentos/631/03134686210/6310313468621006092023164035.pdf","https://dpmzos25m8ivg.cloudfront.net/Documentos/631/03134686210/6310313468621006092023164035.pdf")</f>
        <v>https://dpmzos25m8ivg.cloudfront.net/Documentos/631/03134686210/6310313468621006092023164035.pdf</v>
      </c>
      <c r="F1217" s="5" t="str">
        <f>HYPERLINK("https://dpmzos25m8ivg.cloudfront.net/Documentos/631/03134686210/6310313468621006092023164041.pdf","https://dpmzos25m8ivg.cloudfront.net/Documentos/631/03134686210/6310313468621006092023164041.pdf")</f>
        <v>https://dpmzos25m8ivg.cloudfront.net/Documentos/631/03134686210/6310313468621006092023164041.pdf</v>
      </c>
      <c r="G1217" s="5" t="str">
        <f>HYPERLINK("https://dpmzos25m8ivg.cloudfront.net/Documentos/631/03134686210/6310313468621006092023164714.pdf","https://dpmzos25m8ivg.cloudfront.net/Documentos/631/03134686210/6310313468621006092023164714.pdf")</f>
        <v>https://dpmzos25m8ivg.cloudfront.net/Documentos/631/03134686210/6310313468621006092023164714.pdf</v>
      </c>
      <c r="H1217" s="4" t="s">
        <v>9800</v>
      </c>
    </row>
    <row r="1218" spans="1:8" x14ac:dyDescent="0.25">
      <c r="A1218" s="2" t="s">
        <v>1232</v>
      </c>
      <c r="B1218" s="3"/>
      <c r="C1218" s="3"/>
      <c r="D1218" s="3"/>
      <c r="E1218" s="4" t="str">
        <f>HYPERLINK("https://dpmzos25m8ivg.cloudfront.net/Documentos/631/03136611705/6310313661170511092023154248.jpg","https://dpmzos25m8ivg.cloudfront.net/Documentos/631/03136611705/6310313661170511092023154248.jpg")</f>
        <v>https://dpmzos25m8ivg.cloudfront.net/Documentos/631/03136611705/6310313661170511092023154248.jpg</v>
      </c>
      <c r="F1218" s="5" t="str">
        <f>HYPERLINK("https://dpmzos25m8ivg.cloudfront.net/Documentos/631/03136611705/6310313661170511092023154653.jpg","https://dpmzos25m8ivg.cloudfront.net/Documentos/631/03136611705/6310313661170511092023154653.jpg")</f>
        <v>https://dpmzos25m8ivg.cloudfront.net/Documentos/631/03136611705/6310313661170511092023154653.jpg</v>
      </c>
      <c r="G1218" s="5" t="str">
        <f>HYPERLINK("https://dpmzos25m8ivg.cloudfront.net/Documentos/631/03136611705/6310313661170511092023154837.jpg","https://dpmzos25m8ivg.cloudfront.net/Documentos/631/03136611705/6310313661170511092023154837.jpg")</f>
        <v>https://dpmzos25m8ivg.cloudfront.net/Documentos/631/03136611705/6310313661170511092023154837.jpg</v>
      </c>
      <c r="H1218" s="4" t="s">
        <v>9801</v>
      </c>
    </row>
    <row r="1219" spans="1:8" x14ac:dyDescent="0.25">
      <c r="A1219" s="2" t="s">
        <v>1233</v>
      </c>
      <c r="B1219" s="3" t="s">
        <v>308</v>
      </c>
      <c r="C1219" s="3"/>
      <c r="D1219" s="3"/>
      <c r="E1219" s="4" t="str">
        <f>HYPERLINK("https://dpmzos25m8ivg.cloudfront.net/Documentos/631/03137630541/6310313763054105092023154118.jpeg","https://dpmzos25m8ivg.cloudfront.net/Documentos/631/03137630541/6310313763054105092023154118.jpeg")</f>
        <v>https://dpmzos25m8ivg.cloudfront.net/Documentos/631/03137630541/6310313763054105092023154118.jpeg</v>
      </c>
      <c r="F1219" s="5" t="str">
        <f>HYPERLINK("https://dpmzos25m8ivg.cloudfront.net/Documentos/631/03137630541/6310313763054105092023154139.jpeg","https://dpmzos25m8ivg.cloudfront.net/Documentos/631/03137630541/6310313763054105092023154139.jpeg")</f>
        <v>https://dpmzos25m8ivg.cloudfront.net/Documentos/631/03137630541/6310313763054105092023154139.jpeg</v>
      </c>
      <c r="G1219" s="5" t="str">
        <f>HYPERLINK("https://dpmzos25m8ivg.cloudfront.net/Documentos/631/03137630541/6310313763054105092023154155.jpeg","https://dpmzos25m8ivg.cloudfront.net/Documentos/631/03137630541/6310313763054105092023154155.jpeg")</f>
        <v>https://dpmzos25m8ivg.cloudfront.net/Documentos/631/03137630541/6310313763054105092023154155.jpeg</v>
      </c>
      <c r="H1219" s="4" t="s">
        <v>9802</v>
      </c>
    </row>
    <row r="1220" spans="1:8" x14ac:dyDescent="0.25">
      <c r="A1220" s="2" t="s">
        <v>1234</v>
      </c>
      <c r="B1220" s="3"/>
      <c r="C1220" s="3"/>
      <c r="D1220" s="3"/>
      <c r="E1220" s="4" t="str">
        <f>HYPERLINK("https://dpmzos25m8ivg.cloudfront.net/Documentos/631/03140313322/6310314031332207092023115321.pdf","https://dpmzos25m8ivg.cloudfront.net/Documentos/631/03140313322/6310314031332207092023115321.pdf")</f>
        <v>https://dpmzos25m8ivg.cloudfront.net/Documentos/631/03140313322/6310314031332207092023115321.pdf</v>
      </c>
      <c r="F1220" s="5" t="str">
        <f>HYPERLINK("https://dpmzos25m8ivg.cloudfront.net/Documentos/631/03140313322/6310314031332207092023115340.pdf","https://dpmzos25m8ivg.cloudfront.net/Documentos/631/03140313322/6310314031332207092023115340.pdf")</f>
        <v>https://dpmzos25m8ivg.cloudfront.net/Documentos/631/03140313322/6310314031332207092023115340.pdf</v>
      </c>
      <c r="G1220" s="5" t="str">
        <f>HYPERLINK("https://dpmzos25m8ivg.cloudfront.net/Documentos/631/03140313322/6310314031332207092023115401.pdf","https://dpmzos25m8ivg.cloudfront.net/Documentos/631/03140313322/6310314031332207092023115401.pdf")</f>
        <v>https://dpmzos25m8ivg.cloudfront.net/Documentos/631/03140313322/6310314031332207092023115401.pdf</v>
      </c>
      <c r="H1220" s="4" t="s">
        <v>9803</v>
      </c>
    </row>
    <row r="1221" spans="1:8" x14ac:dyDescent="0.25">
      <c r="A1221" s="2" t="s">
        <v>1235</v>
      </c>
      <c r="B1221" s="3"/>
      <c r="C1221" s="3"/>
      <c r="D1221" s="3"/>
      <c r="E1221" s="4" t="str">
        <f>HYPERLINK("https://dpmzos25m8ivg.cloudfront.net/Documentos/631/03143459573/6310314345957308092023213322.pdf","https://dpmzos25m8ivg.cloudfront.net/Documentos/631/03143459573/6310314345957308092023213322.pdf")</f>
        <v>https://dpmzos25m8ivg.cloudfront.net/Documentos/631/03143459573/6310314345957308092023213322.pdf</v>
      </c>
      <c r="F1221" s="5" t="str">
        <f>HYPERLINK("https://dpmzos25m8ivg.cloudfront.net/Documentos/631/03143459573/6310314345957308092023213456.pdf","https://dpmzos25m8ivg.cloudfront.net/Documentos/631/03143459573/6310314345957308092023213456.pdf")</f>
        <v>https://dpmzos25m8ivg.cloudfront.net/Documentos/631/03143459573/6310314345957308092023213456.pdf</v>
      </c>
      <c r="G1221" s="5" t="str">
        <f>HYPERLINK("https://dpmzos25m8ivg.cloudfront.net/Documentos/631/03143459573/6310314345957308092023213708.pdf","https://dpmzos25m8ivg.cloudfront.net/Documentos/631/03143459573/6310314345957308092023213708.pdf")</f>
        <v>https://dpmzos25m8ivg.cloudfront.net/Documentos/631/03143459573/6310314345957308092023213708.pdf</v>
      </c>
      <c r="H1221" s="4" t="s">
        <v>9804</v>
      </c>
    </row>
    <row r="1222" spans="1:8" x14ac:dyDescent="0.25">
      <c r="A1222" s="2" t="s">
        <v>1236</v>
      </c>
      <c r="B1222" s="3"/>
      <c r="C1222" s="3"/>
      <c r="D1222" s="3"/>
      <c r="E1222" s="4" t="str">
        <f>HYPERLINK("https://dpmzos25m8ivg.cloudfront.net/Documentos/631/03144269140/6310314426914011092023093953.pdf","https://dpmzos25m8ivg.cloudfront.net/Documentos/631/03144269140/6310314426914011092023093953.pdf")</f>
        <v>https://dpmzos25m8ivg.cloudfront.net/Documentos/631/03144269140/6310314426914011092023093953.pdf</v>
      </c>
      <c r="F1222" s="5" t="str">
        <f>HYPERLINK("https://dpmzos25m8ivg.cloudfront.net/Documentos/631/03144269140/6310314426914011092023094007.pdf","https://dpmzos25m8ivg.cloudfront.net/Documentos/631/03144269140/6310314426914011092023094007.pdf")</f>
        <v>https://dpmzos25m8ivg.cloudfront.net/Documentos/631/03144269140/6310314426914011092023094007.pdf</v>
      </c>
      <c r="G1222" s="5" t="str">
        <f>HYPERLINK("https://dpmzos25m8ivg.cloudfront.net/Documentos/631/03144269140/6310314426914011092023094021.pdf","https://dpmzos25m8ivg.cloudfront.net/Documentos/631/03144269140/6310314426914011092023094021.pdf")</f>
        <v>https://dpmzos25m8ivg.cloudfront.net/Documentos/631/03144269140/6310314426914011092023094021.pdf</v>
      </c>
      <c r="H1222" s="4" t="s">
        <v>9805</v>
      </c>
    </row>
    <row r="1223" spans="1:8" x14ac:dyDescent="0.25">
      <c r="A1223" s="2" t="s">
        <v>1237</v>
      </c>
      <c r="B1223" s="3"/>
      <c r="C1223" s="3"/>
      <c r="D1223" s="3"/>
      <c r="E1223" s="4" t="str">
        <f>HYPERLINK("https://dpmzos25m8ivg.cloudfront.net/Documentos/631/03154285202/6310315428520208092023192815.pdf","https://dpmzos25m8ivg.cloudfront.net/Documentos/631/03154285202/6310315428520208092023192815.pdf")</f>
        <v>https://dpmzos25m8ivg.cloudfront.net/Documentos/631/03154285202/6310315428520208092023192815.pdf</v>
      </c>
      <c r="F1223" s="5" t="str">
        <f>HYPERLINK("https://dpmzos25m8ivg.cloudfront.net/Documentos/631/03154285202/6310315428520208092023192827.pdf","https://dpmzos25m8ivg.cloudfront.net/Documentos/631/03154285202/6310315428520208092023192827.pdf")</f>
        <v>https://dpmzos25m8ivg.cloudfront.net/Documentos/631/03154285202/6310315428520208092023192827.pdf</v>
      </c>
      <c r="G1223" s="5" t="str">
        <f>HYPERLINK("https://dpmzos25m8ivg.cloudfront.net/Documentos/631/03154285202/6310315428520208092023192851.pdf","https://dpmzos25m8ivg.cloudfront.net/Documentos/631/03154285202/6310315428520208092023192851.pdf")</f>
        <v>https://dpmzos25m8ivg.cloudfront.net/Documentos/631/03154285202/6310315428520208092023192851.pdf</v>
      </c>
      <c r="H1223" s="4" t="s">
        <v>9806</v>
      </c>
    </row>
    <row r="1224" spans="1:8" x14ac:dyDescent="0.25">
      <c r="A1224" s="2" t="s">
        <v>1238</v>
      </c>
      <c r="B1224" s="3"/>
      <c r="C1224" s="3"/>
      <c r="D1224" s="3"/>
      <c r="E1224" s="4" t="str">
        <f>HYPERLINK("https://dpmzos25m8ivg.cloudfront.net/Documentos/631/03155653906/6310315565390610092023234500.jpg","https://dpmzos25m8ivg.cloudfront.net/Documentos/631/03155653906/6310315565390610092023234500.jpg")</f>
        <v>https://dpmzos25m8ivg.cloudfront.net/Documentos/631/03155653906/6310315565390610092023234500.jpg</v>
      </c>
      <c r="F1224" s="5" t="str">
        <f>HYPERLINK("https://dpmzos25m8ivg.cloudfront.net/Documentos/631/03155653906/6310315565390611092023000347.jpg","https://dpmzos25m8ivg.cloudfront.net/Documentos/631/03155653906/6310315565390611092023000347.jpg")</f>
        <v>https://dpmzos25m8ivg.cloudfront.net/Documentos/631/03155653906/6310315565390611092023000347.jpg</v>
      </c>
      <c r="G1224" s="5" t="str">
        <f>HYPERLINK("https://dpmzos25m8ivg.cloudfront.net/Documentos/631/03155653906/6310315565390610092023234628.jpg","https://dpmzos25m8ivg.cloudfront.net/Documentos/631/03155653906/6310315565390610092023234628.jpg")</f>
        <v>https://dpmzos25m8ivg.cloudfront.net/Documentos/631/03155653906/6310315565390610092023234628.jpg</v>
      </c>
      <c r="H1224" s="4" t="s">
        <v>9807</v>
      </c>
    </row>
    <row r="1225" spans="1:8" x14ac:dyDescent="0.25">
      <c r="A1225" s="2" t="s">
        <v>1239</v>
      </c>
      <c r="B1225" s="3"/>
      <c r="C1225" s="3"/>
      <c r="D1225" s="3"/>
      <c r="E1225" s="4" t="str">
        <f>HYPERLINK("https://dpmzos25m8ivg.cloudfront.net/Documentos/631/03157876279/6310315787627911092023161423.pdf","https://dpmzos25m8ivg.cloudfront.net/Documentos/631/03157876279/6310315787627911092023161423.pdf")</f>
        <v>https://dpmzos25m8ivg.cloudfront.net/Documentos/631/03157876279/6310315787627911092023161423.pdf</v>
      </c>
      <c r="F1225" s="5" t="str">
        <f>HYPERLINK("https://dpmzos25m8ivg.cloudfront.net/Documentos/631/03157876279/6310315787627911092023161434.pdf","https://dpmzos25m8ivg.cloudfront.net/Documentos/631/03157876279/6310315787627911092023161434.pdf")</f>
        <v>https://dpmzos25m8ivg.cloudfront.net/Documentos/631/03157876279/6310315787627911092023161434.pdf</v>
      </c>
      <c r="G1225" s="5" t="str">
        <f>HYPERLINK("https://dpmzos25m8ivg.cloudfront.net/Documentos/631/03157876279/6310315787627911092023161444.pdf","https://dpmzos25m8ivg.cloudfront.net/Documentos/631/03157876279/6310315787627911092023161444.pdf")</f>
        <v>https://dpmzos25m8ivg.cloudfront.net/Documentos/631/03157876279/6310315787627911092023161444.pdf</v>
      </c>
      <c r="H1225" s="4" t="s">
        <v>9808</v>
      </c>
    </row>
    <row r="1226" spans="1:8" x14ac:dyDescent="0.25">
      <c r="A1226" s="2" t="s">
        <v>1240</v>
      </c>
      <c r="B1226" s="3"/>
      <c r="C1226" s="3"/>
      <c r="D1226" s="3"/>
      <c r="E1226" s="4" t="str">
        <f>HYPERLINK("https://dpmzos25m8ivg.cloudfront.net/Documentos/631/03158823527/6310315882352712092023193332.pdf","https://dpmzos25m8ivg.cloudfront.net/Documentos/631/03158823527/6310315882352712092023193332.pdf")</f>
        <v>https://dpmzos25m8ivg.cloudfront.net/Documentos/631/03158823527/6310315882352712092023193332.pdf</v>
      </c>
      <c r="F1226" s="5" t="str">
        <f>HYPERLINK("https://dpmzos25m8ivg.cloudfront.net/Documentos/631/03158823527/6310315882352712092023193353.pdf","https://dpmzos25m8ivg.cloudfront.net/Documentos/631/03158823527/6310315882352712092023193353.pdf")</f>
        <v>https://dpmzos25m8ivg.cloudfront.net/Documentos/631/03158823527/6310315882352712092023193353.pdf</v>
      </c>
      <c r="G1226" s="5" t="str">
        <f>HYPERLINK("https://dpmzos25m8ivg.cloudfront.net/Documentos/631/03158823527/6310315882352712092023193424.pdf","https://dpmzos25m8ivg.cloudfront.net/Documentos/631/03158823527/6310315882352712092023193424.pdf")</f>
        <v>https://dpmzos25m8ivg.cloudfront.net/Documentos/631/03158823527/6310315882352712092023193424.pdf</v>
      </c>
      <c r="H1226" s="4" t="s">
        <v>9809</v>
      </c>
    </row>
    <row r="1227" spans="1:8" x14ac:dyDescent="0.25">
      <c r="A1227" s="2" t="s">
        <v>1241</v>
      </c>
      <c r="B1227" s="3"/>
      <c r="C1227" s="3"/>
      <c r="D1227" s="3"/>
      <c r="E1227" s="4" t="str">
        <f>HYPERLINK("https://dpmzos25m8ivg.cloudfront.net/Documentos/631/03159031551/6310315903155114092023163457.pdf","https://dpmzos25m8ivg.cloudfront.net/Documentos/631/03159031551/6310315903155114092023163457.pdf")</f>
        <v>https://dpmzos25m8ivg.cloudfront.net/Documentos/631/03159031551/6310315903155114092023163457.pdf</v>
      </c>
      <c r="F1227" s="5" t="str">
        <f>HYPERLINK("https://dpmzos25m8ivg.cloudfront.net/Documentos/631/03159031551/6310315903155114092023163507.pdf","https://dpmzos25m8ivg.cloudfront.net/Documentos/631/03159031551/6310315903155114092023163507.pdf")</f>
        <v>https://dpmzos25m8ivg.cloudfront.net/Documentos/631/03159031551/6310315903155114092023163507.pdf</v>
      </c>
      <c r="G1227" s="5" t="str">
        <f>HYPERLINK("https://dpmzos25m8ivg.cloudfront.net/Documentos/631/03159031551/6310315903155114092023163514.pdf","https://dpmzos25m8ivg.cloudfront.net/Documentos/631/03159031551/6310315903155114092023163514.pdf")</f>
        <v>https://dpmzos25m8ivg.cloudfront.net/Documentos/631/03159031551/6310315903155114092023163514.pdf</v>
      </c>
      <c r="H1227" s="4" t="s">
        <v>9810</v>
      </c>
    </row>
    <row r="1228" spans="1:8" x14ac:dyDescent="0.25">
      <c r="A1228" s="2" t="s">
        <v>1242</v>
      </c>
      <c r="B1228" s="3" t="s">
        <v>312</v>
      </c>
      <c r="C1228" s="3"/>
      <c r="D1228" s="3"/>
      <c r="E1228" s="4" t="str">
        <f>HYPERLINK("https://dpmzos25m8ivg.cloudfront.net/Documentos/631/03160709124/6310316070912411092023165002.jpeg","https://dpmzos25m8ivg.cloudfront.net/Documentos/631/03160709124/6310316070912411092023165002.jpeg")</f>
        <v>https://dpmzos25m8ivg.cloudfront.net/Documentos/631/03160709124/6310316070912411092023165002.jpeg</v>
      </c>
      <c r="F1228" s="5" t="str">
        <f>HYPERLINK("https://dpmzos25m8ivg.cloudfront.net/Documentos/631/03160709124/6310316070912411092023165020.jpeg","https://dpmzos25m8ivg.cloudfront.net/Documentos/631/03160709124/6310316070912411092023165020.jpeg")</f>
        <v>https://dpmzos25m8ivg.cloudfront.net/Documentos/631/03160709124/6310316070912411092023165020.jpeg</v>
      </c>
      <c r="G1228" s="5" t="str">
        <f>HYPERLINK("https://dpmzos25m8ivg.cloudfront.net/Documentos/631/03160709124/6310316070912411092023165035.jpeg","https://dpmzos25m8ivg.cloudfront.net/Documentos/631/03160709124/6310316070912411092023165035.jpeg")</f>
        <v>https://dpmzos25m8ivg.cloudfront.net/Documentos/631/03160709124/6310316070912411092023165035.jpeg</v>
      </c>
      <c r="H1228" s="4" t="s">
        <v>9811</v>
      </c>
    </row>
    <row r="1229" spans="1:8" x14ac:dyDescent="0.25">
      <c r="A1229" s="2" t="s">
        <v>1243</v>
      </c>
      <c r="B1229" s="3"/>
      <c r="C1229" s="3"/>
      <c r="D1229" s="3"/>
      <c r="E1229" s="4" t="str">
        <f>HYPERLINK("https://dpmzos25m8ivg.cloudfront.net/Documentos/631/03164135505/6310316413550511092023164515.jpeg","https://dpmzos25m8ivg.cloudfront.net/Documentos/631/03164135505/6310316413550511092023164515.jpeg")</f>
        <v>https://dpmzos25m8ivg.cloudfront.net/Documentos/631/03164135505/6310316413550511092023164515.jpeg</v>
      </c>
      <c r="F1229" s="5" t="str">
        <f>HYPERLINK("https://dpmzos25m8ivg.cloudfront.net/Documentos/631/03164135505/6310316413550511092023164455.jpeg","https://dpmzos25m8ivg.cloudfront.net/Documentos/631/03164135505/6310316413550511092023164455.jpeg")</f>
        <v>https://dpmzos25m8ivg.cloudfront.net/Documentos/631/03164135505/6310316413550511092023164455.jpeg</v>
      </c>
      <c r="G1229" s="5" t="str">
        <f>HYPERLINK("https://dpmzos25m8ivg.cloudfront.net/Documentos/631/03164135505/6310316413550511092023121745.jpeg","https://dpmzos25m8ivg.cloudfront.net/Documentos/631/03164135505/6310316413550511092023121745.jpeg")</f>
        <v>https://dpmzos25m8ivg.cloudfront.net/Documentos/631/03164135505/6310316413550511092023121745.jpeg</v>
      </c>
      <c r="H1229" s="4" t="s">
        <v>9812</v>
      </c>
    </row>
    <row r="1230" spans="1:8" x14ac:dyDescent="0.25">
      <c r="A1230" s="2" t="s">
        <v>1244</v>
      </c>
      <c r="B1230" s="3" t="s">
        <v>23</v>
      </c>
      <c r="C1230" s="3"/>
      <c r="D1230" s="3"/>
      <c r="E1230" s="4" t="str">
        <f>HYPERLINK("https://dpmzos25m8ivg.cloudfront.net/Documentos/631/03167564156/6310316756415611092023155243.jpg","https://dpmzos25m8ivg.cloudfront.net/Documentos/631/03167564156/6310316756415611092023155243.jpg")</f>
        <v>https://dpmzos25m8ivg.cloudfront.net/Documentos/631/03167564156/6310316756415611092023155243.jpg</v>
      </c>
      <c r="F1230" s="5" t="str">
        <f>HYPERLINK("https://dpmzos25m8ivg.cloudfront.net/Documentos/631/03167564156/6310316756415611092023155304.jpg","https://dpmzos25m8ivg.cloudfront.net/Documentos/631/03167564156/6310316756415611092023155304.jpg")</f>
        <v>https://dpmzos25m8ivg.cloudfront.net/Documentos/631/03167564156/6310316756415611092023155304.jpg</v>
      </c>
      <c r="G1230" s="5" t="str">
        <f>HYPERLINK("https://dpmzos25m8ivg.cloudfront.net/Documentos/631/03167564156/6310316756415611092023155324.jpg","https://dpmzos25m8ivg.cloudfront.net/Documentos/631/03167564156/6310316756415611092023155324.jpg")</f>
        <v>https://dpmzos25m8ivg.cloudfront.net/Documentos/631/03167564156/6310316756415611092023155324.jpg</v>
      </c>
      <c r="H1230" s="4" t="s">
        <v>9813</v>
      </c>
    </row>
    <row r="1231" spans="1:8" x14ac:dyDescent="0.25">
      <c r="A1231" s="2" t="s">
        <v>1245</v>
      </c>
      <c r="B1231" s="3"/>
      <c r="C1231" s="3"/>
      <c r="D1231" s="3"/>
      <c r="E1231" s="4" t="str">
        <f>HYPERLINK("https://dpmzos25m8ivg.cloudfront.net/Documentos/631/03168370240/6310316837024011092023131938.jpg","https://dpmzos25m8ivg.cloudfront.net/Documentos/631/03168370240/6310316837024011092023131938.jpg")</f>
        <v>https://dpmzos25m8ivg.cloudfront.net/Documentos/631/03168370240/6310316837024011092023131938.jpg</v>
      </c>
      <c r="F1231" s="5" t="str">
        <f>HYPERLINK("https://dpmzos25m8ivg.cloudfront.net/Documentos/631/03168370240/6310316837024010092023202156.jpg","https://dpmzos25m8ivg.cloudfront.net/Documentos/631/03168370240/6310316837024010092023202156.jpg")</f>
        <v>https://dpmzos25m8ivg.cloudfront.net/Documentos/631/03168370240/6310316837024010092023202156.jpg</v>
      </c>
      <c r="G1231" s="5" t="str">
        <f>HYPERLINK("https://dpmzos25m8ivg.cloudfront.net/Documentos/631/03168370240/6310316837024010092023205025.jpg","https://dpmzos25m8ivg.cloudfront.net/Documentos/631/03168370240/6310316837024010092023205025.jpg")</f>
        <v>https://dpmzos25m8ivg.cloudfront.net/Documentos/631/03168370240/6310316837024010092023205025.jpg</v>
      </c>
      <c r="H1231" s="4" t="s">
        <v>9814</v>
      </c>
    </row>
    <row r="1232" spans="1:8" x14ac:dyDescent="0.25">
      <c r="A1232" s="2" t="s">
        <v>1246</v>
      </c>
      <c r="B1232" s="3"/>
      <c r="C1232" s="3"/>
      <c r="D1232" s="3"/>
      <c r="E1232" s="4" t="str">
        <f>HYPERLINK("https://dpmzos25m8ivg.cloudfront.net/Documentos/631/03169212206/6310316921220605092023201226.pdf","https://dpmzos25m8ivg.cloudfront.net/Documentos/631/03169212206/6310316921220605092023201226.pdf")</f>
        <v>https://dpmzos25m8ivg.cloudfront.net/Documentos/631/03169212206/6310316921220605092023201226.pdf</v>
      </c>
      <c r="F1232" s="5" t="str">
        <f>HYPERLINK("https://dpmzos25m8ivg.cloudfront.net/Documentos/631/03169212206/6310316921220605092023201240.pdf","https://dpmzos25m8ivg.cloudfront.net/Documentos/631/03169212206/6310316921220605092023201240.pdf")</f>
        <v>https://dpmzos25m8ivg.cloudfront.net/Documentos/631/03169212206/6310316921220605092023201240.pdf</v>
      </c>
      <c r="G1232" s="5" t="str">
        <f>HYPERLINK("https://dpmzos25m8ivg.cloudfront.net/Documentos/631/03169212206/6310316921220605092023201647.pdf","https://dpmzos25m8ivg.cloudfront.net/Documentos/631/03169212206/6310316921220605092023201647.pdf")</f>
        <v>https://dpmzos25m8ivg.cloudfront.net/Documentos/631/03169212206/6310316921220605092023201647.pdf</v>
      </c>
      <c r="H1232" s="4" t="s">
        <v>9815</v>
      </c>
    </row>
    <row r="1233" spans="1:8" x14ac:dyDescent="0.25">
      <c r="A1233" s="2" t="s">
        <v>1247</v>
      </c>
      <c r="B1233" s="3" t="s">
        <v>312</v>
      </c>
      <c r="C1233" s="3"/>
      <c r="D1233" s="3"/>
      <c r="E1233" s="4" t="str">
        <f>HYPERLINK("https://dpmzos25m8ivg.cloudfront.net/Documentos/631/03169317130/6310316931713010092023185405.jpeg","https://dpmzos25m8ivg.cloudfront.net/Documentos/631/03169317130/6310316931713010092023185405.jpeg")</f>
        <v>https://dpmzos25m8ivg.cloudfront.net/Documentos/631/03169317130/6310316931713010092023185405.jpeg</v>
      </c>
      <c r="F1233" s="5" t="str">
        <f>HYPERLINK("https://dpmzos25m8ivg.cloudfront.net/Documentos/631/03169317130/6310316931713010092023185430.jpeg","https://dpmzos25m8ivg.cloudfront.net/Documentos/631/03169317130/6310316931713010092023185430.jpeg")</f>
        <v>https://dpmzos25m8ivg.cloudfront.net/Documentos/631/03169317130/6310316931713010092023185430.jpeg</v>
      </c>
      <c r="G1233" s="5" t="str">
        <f>HYPERLINK("https://dpmzos25m8ivg.cloudfront.net/Documentos/631/03169317130/6310316931713010092023185557.jpeg","https://dpmzos25m8ivg.cloudfront.net/Documentos/631/03169317130/6310316931713010092023185557.jpeg")</f>
        <v>https://dpmzos25m8ivg.cloudfront.net/Documentos/631/03169317130/6310316931713010092023185557.jpeg</v>
      </c>
      <c r="H1233" s="4" t="s">
        <v>9816</v>
      </c>
    </row>
    <row r="1234" spans="1:8" x14ac:dyDescent="0.25">
      <c r="A1234" s="2" t="s">
        <v>1248</v>
      </c>
      <c r="B1234" s="3"/>
      <c r="C1234" s="3"/>
      <c r="D1234" s="3"/>
      <c r="E1234" s="4" t="str">
        <f>HYPERLINK("https://dpmzos25m8ivg.cloudfront.net/Documentos/631/03169747576/6310316974757605092023173518.jpg","https://dpmzos25m8ivg.cloudfront.net/Documentos/631/03169747576/6310316974757605092023173518.jpg")</f>
        <v>https://dpmzos25m8ivg.cloudfront.net/Documentos/631/03169747576/6310316974757605092023173518.jpg</v>
      </c>
      <c r="F1234" s="5" t="str">
        <f>HYPERLINK("https://dpmzos25m8ivg.cloudfront.net/Documentos/631/03169747576/6310316974757605092023173750.jpg","https://dpmzos25m8ivg.cloudfront.net/Documentos/631/03169747576/6310316974757605092023173750.jpg")</f>
        <v>https://dpmzos25m8ivg.cloudfront.net/Documentos/631/03169747576/6310316974757605092023173750.jpg</v>
      </c>
      <c r="G1234" s="5" t="str">
        <f>HYPERLINK("https://dpmzos25m8ivg.cloudfront.net/Documentos/631/03169747576/6310316974757605092023173815.jpg","https://dpmzos25m8ivg.cloudfront.net/Documentos/631/03169747576/6310316974757605092023173815.jpg")</f>
        <v>https://dpmzos25m8ivg.cloudfront.net/Documentos/631/03169747576/6310316974757605092023173815.jpg</v>
      </c>
      <c r="H1234" s="4" t="s">
        <v>9817</v>
      </c>
    </row>
    <row r="1235" spans="1:8" x14ac:dyDescent="0.25">
      <c r="A1235" s="2" t="s">
        <v>1249</v>
      </c>
      <c r="B1235" s="3"/>
      <c r="C1235" s="3"/>
      <c r="D1235" s="3"/>
      <c r="E1235" s="4" t="str">
        <f>HYPERLINK("https://dpmzos25m8ivg.cloudfront.net/Documentos/631/03171534207/6310317153420711092023160223.pdf","https://dpmzos25m8ivg.cloudfront.net/Documentos/631/03171534207/6310317153420711092023160223.pdf")</f>
        <v>https://dpmzos25m8ivg.cloudfront.net/Documentos/631/03171534207/6310317153420711092023160223.pdf</v>
      </c>
      <c r="F1235" s="5" t="str">
        <f>HYPERLINK("https://dpmzos25m8ivg.cloudfront.net/Documentos/631/03171534207/6310317153420711092023160233.pdf","https://dpmzos25m8ivg.cloudfront.net/Documentos/631/03171534207/6310317153420711092023160233.pdf")</f>
        <v>https://dpmzos25m8ivg.cloudfront.net/Documentos/631/03171534207/6310317153420711092023160233.pdf</v>
      </c>
      <c r="G1235" s="5" t="str">
        <f>HYPERLINK("https://dpmzos25m8ivg.cloudfront.net/Documentos/631/03171534207/6310317153420711092023160249.pdf","https://dpmzos25m8ivg.cloudfront.net/Documentos/631/03171534207/6310317153420711092023160249.pdf")</f>
        <v>https://dpmzos25m8ivg.cloudfront.net/Documentos/631/03171534207/6310317153420711092023160249.pdf</v>
      </c>
      <c r="H1235" s="4" t="s">
        <v>9818</v>
      </c>
    </row>
    <row r="1236" spans="1:8" x14ac:dyDescent="0.25">
      <c r="A1236" s="2" t="s">
        <v>1250</v>
      </c>
      <c r="B1236" s="3"/>
      <c r="C1236" s="3"/>
      <c r="D1236" s="3"/>
      <c r="E1236" s="4" t="str">
        <f>HYPERLINK("https://dpmzos25m8ivg.cloudfront.net/Documentos/631/03172344630/6310317234463011092023114932.pdf","https://dpmzos25m8ivg.cloudfront.net/Documentos/631/03172344630/6310317234463011092023114932.pdf")</f>
        <v>https://dpmzos25m8ivg.cloudfront.net/Documentos/631/03172344630/6310317234463011092023114932.pdf</v>
      </c>
      <c r="F1236" s="5" t="str">
        <f>HYPERLINK("https://dpmzos25m8ivg.cloudfront.net/Documentos/631/03172344630/6310317234463011092023115009.pdf","https://dpmzos25m8ivg.cloudfront.net/Documentos/631/03172344630/6310317234463011092023115009.pdf")</f>
        <v>https://dpmzos25m8ivg.cloudfront.net/Documentos/631/03172344630/6310317234463011092023115009.pdf</v>
      </c>
      <c r="G1236" s="5" t="str">
        <f>HYPERLINK("https://dpmzos25m8ivg.cloudfront.net/Documentos/631/03172344630/6310317234463011092023115031.pdf","https://dpmzos25m8ivg.cloudfront.net/Documentos/631/03172344630/6310317234463011092023115031.pdf")</f>
        <v>https://dpmzos25m8ivg.cloudfront.net/Documentos/631/03172344630/6310317234463011092023115031.pdf</v>
      </c>
      <c r="H1236" s="4" t="s">
        <v>9819</v>
      </c>
    </row>
    <row r="1237" spans="1:8" x14ac:dyDescent="0.25">
      <c r="A1237" s="2" t="s">
        <v>1251</v>
      </c>
      <c r="B1237" s="3" t="s">
        <v>312</v>
      </c>
      <c r="C1237" s="3"/>
      <c r="D1237" s="3"/>
      <c r="E1237" s="4" t="str">
        <f>HYPERLINK("https://dpmzos25m8ivg.cloudfront.net/Documentos/631/03172604217/6310317260421708092023111118.pdf","https://dpmzos25m8ivg.cloudfront.net/Documentos/631/03172604217/6310317260421708092023111118.pdf")</f>
        <v>https://dpmzos25m8ivg.cloudfront.net/Documentos/631/03172604217/6310317260421708092023111118.pdf</v>
      </c>
      <c r="F1237" s="5" t="str">
        <f>HYPERLINK("https://dpmzos25m8ivg.cloudfront.net/Documentos/631/03172604217/6310317260421708092023111101.pdf","https://dpmzos25m8ivg.cloudfront.net/Documentos/631/03172604217/6310317260421708092023111101.pdf")</f>
        <v>https://dpmzos25m8ivg.cloudfront.net/Documentos/631/03172604217/6310317260421708092023111101.pdf</v>
      </c>
      <c r="G1237" s="5" t="str">
        <f>HYPERLINK("https://dpmzos25m8ivg.cloudfront.net/Documentos/631/03172604217/6310317260421708092023111048.pdf","https://dpmzos25m8ivg.cloudfront.net/Documentos/631/03172604217/6310317260421708092023111048.pdf")</f>
        <v>https://dpmzos25m8ivg.cloudfront.net/Documentos/631/03172604217/6310317260421708092023111048.pdf</v>
      </c>
      <c r="H1237" s="4" t="s">
        <v>9820</v>
      </c>
    </row>
    <row r="1238" spans="1:8" x14ac:dyDescent="0.25">
      <c r="A1238" s="2" t="s">
        <v>1252</v>
      </c>
      <c r="B1238" s="3"/>
      <c r="C1238" s="3"/>
      <c r="D1238" s="3"/>
      <c r="E1238" s="4" t="str">
        <f>HYPERLINK("https://dpmzos25m8ivg.cloudfront.net/Documentos/631/03176368208/6310317636820810092023161600.jpg","https://dpmzos25m8ivg.cloudfront.net/Documentos/631/03176368208/6310317636820810092023161600.jpg")</f>
        <v>https://dpmzos25m8ivg.cloudfront.net/Documentos/631/03176368208/6310317636820810092023161600.jpg</v>
      </c>
      <c r="F1238" s="5" t="str">
        <f>HYPERLINK("https://dpmzos25m8ivg.cloudfront.net/Documentos/631/03176368208/6310317636820810092023161729.jpg","https://dpmzos25m8ivg.cloudfront.net/Documentos/631/03176368208/6310317636820810092023161729.jpg")</f>
        <v>https://dpmzos25m8ivg.cloudfront.net/Documentos/631/03176368208/6310317636820810092023161729.jpg</v>
      </c>
      <c r="G1238" s="5" t="str">
        <f>HYPERLINK("https://dpmzos25m8ivg.cloudfront.net/Documentos/631/03176368208/6310317636820810092023161808.jpg","https://dpmzos25m8ivg.cloudfront.net/Documentos/631/03176368208/6310317636820810092023161808.jpg")</f>
        <v>https://dpmzos25m8ivg.cloudfront.net/Documentos/631/03176368208/6310317636820810092023161808.jpg</v>
      </c>
      <c r="H1238" s="4" t="s">
        <v>9821</v>
      </c>
    </row>
    <row r="1239" spans="1:8" x14ac:dyDescent="0.25">
      <c r="A1239" s="2" t="s">
        <v>1253</v>
      </c>
      <c r="B1239" s="3"/>
      <c r="C1239" s="3"/>
      <c r="D1239" s="3"/>
      <c r="E1239" s="4" t="str">
        <f>HYPERLINK("https://dpmzos25m8ivg.cloudfront.net/Documentos/631/03177906335/6310317790633509092023224719.pdf","https://dpmzos25m8ivg.cloudfront.net/Documentos/631/03177906335/6310317790633509092023224719.pdf")</f>
        <v>https://dpmzos25m8ivg.cloudfront.net/Documentos/631/03177906335/6310317790633509092023224719.pdf</v>
      </c>
      <c r="F1239" s="5" t="str">
        <f>HYPERLINK("https://dpmzos25m8ivg.cloudfront.net/Documentos/631/03177906335/6310317790633509092023224732.pdf","https://dpmzos25m8ivg.cloudfront.net/Documentos/631/03177906335/6310317790633509092023224732.pdf")</f>
        <v>https://dpmzos25m8ivg.cloudfront.net/Documentos/631/03177906335/6310317790633509092023224732.pdf</v>
      </c>
      <c r="G1239" s="5" t="str">
        <f>HYPERLINK("https://dpmzos25m8ivg.cloudfront.net/Documentos/631/03177906335/6310317790633509092023224744.pdf","https://dpmzos25m8ivg.cloudfront.net/Documentos/631/03177906335/6310317790633509092023224744.pdf")</f>
        <v>https://dpmzos25m8ivg.cloudfront.net/Documentos/631/03177906335/6310317790633509092023224744.pdf</v>
      </c>
      <c r="H1239" s="4" t="s">
        <v>9822</v>
      </c>
    </row>
    <row r="1240" spans="1:8" x14ac:dyDescent="0.25">
      <c r="A1240" s="2" t="s">
        <v>1254</v>
      </c>
      <c r="B1240" s="3"/>
      <c r="C1240" s="3"/>
      <c r="D1240" s="3"/>
      <c r="E1240" s="4" t="str">
        <f>HYPERLINK("https://dpmzos25m8ivg.cloudfront.net/Documentos/631/03190246106/6310319024610611092023121624.pdf","https://dpmzos25m8ivg.cloudfront.net/Documentos/631/03190246106/6310319024610611092023121624.pdf")</f>
        <v>https://dpmzos25m8ivg.cloudfront.net/Documentos/631/03190246106/6310319024610611092023121624.pdf</v>
      </c>
      <c r="F1240" s="5" t="str">
        <f>HYPERLINK("https://dpmzos25m8ivg.cloudfront.net/Documentos/631/03190246106/6310319024610611092023121701.pdf","https://dpmzos25m8ivg.cloudfront.net/Documentos/631/03190246106/6310319024610611092023121701.pdf")</f>
        <v>https://dpmzos25m8ivg.cloudfront.net/Documentos/631/03190246106/6310319024610611092023121701.pdf</v>
      </c>
      <c r="G1240" s="5" t="str">
        <f>HYPERLINK("https://dpmzos25m8ivg.cloudfront.net/Documentos/631/03190246106/6310319024610611092023121722.pdf","https://dpmzos25m8ivg.cloudfront.net/Documentos/631/03190246106/6310319024610611092023121722.pdf")</f>
        <v>https://dpmzos25m8ivg.cloudfront.net/Documentos/631/03190246106/6310319024610611092023121722.pdf</v>
      </c>
      <c r="H1240" s="4" t="s">
        <v>9823</v>
      </c>
    </row>
    <row r="1241" spans="1:8" x14ac:dyDescent="0.25">
      <c r="A1241" s="2" t="s">
        <v>1255</v>
      </c>
      <c r="B1241" s="3"/>
      <c r="C1241" s="3"/>
      <c r="D1241" s="3"/>
      <c r="E1241" s="4" t="str">
        <f>HYPERLINK("https://dpmzos25m8ivg.cloudfront.net/Documentos/631/03194810421/6310319481042106092023202042.jpg","https://dpmzos25m8ivg.cloudfront.net/Documentos/631/03194810421/6310319481042106092023202042.jpg")</f>
        <v>https://dpmzos25m8ivg.cloudfront.net/Documentos/631/03194810421/6310319481042106092023202042.jpg</v>
      </c>
      <c r="F1241" s="5" t="str">
        <f>HYPERLINK("https://dpmzos25m8ivg.cloudfront.net/Documentos/631/03194810421/6310319481042106092023202710.jpg","https://dpmzos25m8ivg.cloudfront.net/Documentos/631/03194810421/6310319481042106092023202710.jpg")</f>
        <v>https://dpmzos25m8ivg.cloudfront.net/Documentos/631/03194810421/6310319481042106092023202710.jpg</v>
      </c>
      <c r="G1241" s="5" t="str">
        <f>HYPERLINK("https://dpmzos25m8ivg.cloudfront.net/Documentos/631/03194810421/6310319481042106092023202722.jpg","https://dpmzos25m8ivg.cloudfront.net/Documentos/631/03194810421/6310319481042106092023202722.jpg")</f>
        <v>https://dpmzos25m8ivg.cloudfront.net/Documentos/631/03194810421/6310319481042106092023202722.jpg</v>
      </c>
      <c r="H1241" s="4" t="s">
        <v>9824</v>
      </c>
    </row>
    <row r="1242" spans="1:8" x14ac:dyDescent="0.25">
      <c r="A1242" s="2" t="s">
        <v>1256</v>
      </c>
      <c r="B1242" s="3"/>
      <c r="C1242" s="3"/>
      <c r="D1242" s="3"/>
      <c r="E1242" s="4" t="str">
        <f>HYPERLINK("https://dpmzos25m8ivg.cloudfront.net/Documentos/631/03194964143/6310319496414306092023161636.pdf","https://dpmzos25m8ivg.cloudfront.net/Documentos/631/03194964143/6310319496414306092023161636.pdf")</f>
        <v>https://dpmzos25m8ivg.cloudfront.net/Documentos/631/03194964143/6310319496414306092023161636.pdf</v>
      </c>
      <c r="F1242" s="5" t="str">
        <f>HYPERLINK("https://dpmzos25m8ivg.cloudfront.net/Documentos/631/03194964143/6310319496414306092023161647.pdf","https://dpmzos25m8ivg.cloudfront.net/Documentos/631/03194964143/6310319496414306092023161647.pdf")</f>
        <v>https://dpmzos25m8ivg.cloudfront.net/Documentos/631/03194964143/6310319496414306092023161647.pdf</v>
      </c>
      <c r="G1242" s="5" t="str">
        <f>HYPERLINK("https://dpmzos25m8ivg.cloudfront.net/Documentos/631/03194964143/6310319496414306092023161700.pdf","https://dpmzos25m8ivg.cloudfront.net/Documentos/631/03194964143/6310319496414306092023161700.pdf")</f>
        <v>https://dpmzos25m8ivg.cloudfront.net/Documentos/631/03194964143/6310319496414306092023161700.pdf</v>
      </c>
      <c r="H1242" s="4" t="s">
        <v>9825</v>
      </c>
    </row>
    <row r="1243" spans="1:8" x14ac:dyDescent="0.25">
      <c r="A1243" s="2" t="s">
        <v>1257</v>
      </c>
      <c r="B1243" s="3" t="s">
        <v>312</v>
      </c>
      <c r="C1243" s="3"/>
      <c r="D1243" s="3"/>
      <c r="E1243" s="4" t="str">
        <f>HYPERLINK("https://dpmzos25m8ivg.cloudfront.net/Documentos/631/03196134610/6310319613461006092023181451.jpg","https://dpmzos25m8ivg.cloudfront.net/Documentos/631/03196134610/6310319613461006092023181451.jpg")</f>
        <v>https://dpmzos25m8ivg.cloudfront.net/Documentos/631/03196134610/6310319613461006092023181451.jpg</v>
      </c>
      <c r="F1243" s="5" t="str">
        <f>HYPERLINK("https://dpmzos25m8ivg.cloudfront.net/Documentos/631/03196134610/6310319613461006092023181517.jpg","https://dpmzos25m8ivg.cloudfront.net/Documentos/631/03196134610/6310319613461006092023181517.jpg")</f>
        <v>https://dpmzos25m8ivg.cloudfront.net/Documentos/631/03196134610/6310319613461006092023181517.jpg</v>
      </c>
      <c r="G1243" s="5" t="str">
        <f>HYPERLINK("https://dpmzos25m8ivg.cloudfront.net/Documentos/631/03196134610/6310319613461006092023181545.jpg","https://dpmzos25m8ivg.cloudfront.net/Documentos/631/03196134610/6310319613461006092023181545.jpg")</f>
        <v>https://dpmzos25m8ivg.cloudfront.net/Documentos/631/03196134610/6310319613461006092023181545.jpg</v>
      </c>
      <c r="H1243" s="4" t="s">
        <v>9826</v>
      </c>
    </row>
    <row r="1244" spans="1:8" x14ac:dyDescent="0.25">
      <c r="A1244" s="2" t="s">
        <v>1258</v>
      </c>
      <c r="B1244" s="3"/>
      <c r="C1244" s="3"/>
      <c r="D1244" s="3"/>
      <c r="E1244" s="4" t="str">
        <f>HYPERLINK("https://dpmzos25m8ivg.cloudfront.net/Documentos/631/03198667267/6310319866726711092023113827.jpeg","https://dpmzos25m8ivg.cloudfront.net/Documentos/631/03198667267/6310319866726711092023113827.jpeg")</f>
        <v>https://dpmzos25m8ivg.cloudfront.net/Documentos/631/03198667267/6310319866726711092023113827.jpeg</v>
      </c>
      <c r="F1244" s="5" t="str">
        <f>HYPERLINK("https://dpmzos25m8ivg.cloudfront.net/Documentos/631/03198667267/6310319866726711092023113843.jpeg","https://dpmzos25m8ivg.cloudfront.net/Documentos/631/03198667267/6310319866726711092023113843.jpeg")</f>
        <v>https://dpmzos25m8ivg.cloudfront.net/Documentos/631/03198667267/6310319866726711092023113843.jpeg</v>
      </c>
      <c r="G1244" s="5" t="str">
        <f>HYPERLINK("https://dpmzos25m8ivg.cloudfront.net/Documentos/631/03198667267/6310319866726711092023113857.jpeg","https://dpmzos25m8ivg.cloudfront.net/Documentos/631/03198667267/6310319866726711092023113857.jpeg")</f>
        <v>https://dpmzos25m8ivg.cloudfront.net/Documentos/631/03198667267/6310319866726711092023113857.jpeg</v>
      </c>
      <c r="H1244" s="4" t="s">
        <v>9827</v>
      </c>
    </row>
    <row r="1245" spans="1:8" x14ac:dyDescent="0.25">
      <c r="A1245" s="2" t="s">
        <v>1259</v>
      </c>
      <c r="B1245" s="3"/>
      <c r="C1245" s="3"/>
      <c r="D1245" s="3"/>
      <c r="E1245" s="4" t="str">
        <f>HYPERLINK("https://dpmzos25m8ivg.cloudfront.net/Documentos/631/03198914531/6310319891453110092023194319.pdf","https://dpmzos25m8ivg.cloudfront.net/Documentos/631/03198914531/6310319891453110092023194319.pdf")</f>
        <v>https://dpmzos25m8ivg.cloudfront.net/Documentos/631/03198914531/6310319891453110092023194319.pdf</v>
      </c>
      <c r="F1245" s="5" t="str">
        <f>HYPERLINK("https://dpmzos25m8ivg.cloudfront.net/Documentos/631/03198914531/6310319891453110092023194344.pdf","https://dpmzos25m8ivg.cloudfront.net/Documentos/631/03198914531/6310319891453110092023194344.pdf")</f>
        <v>https://dpmzos25m8ivg.cloudfront.net/Documentos/631/03198914531/6310319891453110092023194344.pdf</v>
      </c>
      <c r="G1245" s="5" t="str">
        <f>HYPERLINK("https://dpmzos25m8ivg.cloudfront.net/Documentos/631/03198914531/6310319891453110092023194356.pdf","https://dpmzos25m8ivg.cloudfront.net/Documentos/631/03198914531/6310319891453110092023194356.pdf")</f>
        <v>https://dpmzos25m8ivg.cloudfront.net/Documentos/631/03198914531/6310319891453110092023194356.pdf</v>
      </c>
      <c r="H1245" s="4" t="s">
        <v>9828</v>
      </c>
    </row>
    <row r="1246" spans="1:8" x14ac:dyDescent="0.25">
      <c r="A1246" s="2" t="s">
        <v>1260</v>
      </c>
      <c r="B1246" s="3"/>
      <c r="C1246" s="3"/>
      <c r="D1246" s="3"/>
      <c r="E1246" s="4" t="str">
        <f>HYPERLINK("https://dpmzos25m8ivg.cloudfront.net/Documentos/631/03199853340/6310319985334011092023124121.pdf","https://dpmzos25m8ivg.cloudfront.net/Documentos/631/03199853340/6310319985334011092023124121.pdf")</f>
        <v>https://dpmzos25m8ivg.cloudfront.net/Documentos/631/03199853340/6310319985334011092023124121.pdf</v>
      </c>
      <c r="F1246" s="5" t="str">
        <f>HYPERLINK("https://dpmzos25m8ivg.cloudfront.net/Documentos/631/03199853340/6310319985334011092023124135.pdf","https://dpmzos25m8ivg.cloudfront.net/Documentos/631/03199853340/6310319985334011092023124135.pdf")</f>
        <v>https://dpmzos25m8ivg.cloudfront.net/Documentos/631/03199853340/6310319985334011092023124135.pdf</v>
      </c>
      <c r="G1246" s="5" t="str">
        <f>HYPERLINK("https://dpmzos25m8ivg.cloudfront.net/Documentos/631/03199853340/6310319985334011092023124150.pdf","https://dpmzos25m8ivg.cloudfront.net/Documentos/631/03199853340/6310319985334011092023124150.pdf")</f>
        <v>https://dpmzos25m8ivg.cloudfront.net/Documentos/631/03199853340/6310319985334011092023124150.pdf</v>
      </c>
      <c r="H1246" s="4" t="s">
        <v>9829</v>
      </c>
    </row>
    <row r="1247" spans="1:8" x14ac:dyDescent="0.25">
      <c r="A1247" s="2" t="s">
        <v>1261</v>
      </c>
      <c r="B1247" s="3"/>
      <c r="C1247" s="3"/>
      <c r="D1247" s="3"/>
      <c r="E1247" s="4" t="str">
        <f>HYPERLINK("https://dpmzos25m8ivg.cloudfront.net/Documentos/631/03201084573/6310320108457312092023190610.pdf","https://dpmzos25m8ivg.cloudfront.net/Documentos/631/03201084573/6310320108457312092023190610.pdf")</f>
        <v>https://dpmzos25m8ivg.cloudfront.net/Documentos/631/03201084573/6310320108457312092023190610.pdf</v>
      </c>
      <c r="F1247" s="5" t="str">
        <f>HYPERLINK("https://dpmzos25m8ivg.cloudfront.net/Documentos/631/03201084573/6310320108457312092023190658.pdf","https://dpmzos25m8ivg.cloudfront.net/Documentos/631/03201084573/6310320108457312092023190658.pdf")</f>
        <v>https://dpmzos25m8ivg.cloudfront.net/Documentos/631/03201084573/6310320108457312092023190658.pdf</v>
      </c>
      <c r="G1247" s="5" t="str">
        <f>HYPERLINK("https://dpmzos25m8ivg.cloudfront.net/Documentos/631/03201084573/6310320108457312092023190754.pdf","https://dpmzos25m8ivg.cloudfront.net/Documentos/631/03201084573/6310320108457312092023190754.pdf")</f>
        <v>https://dpmzos25m8ivg.cloudfront.net/Documentos/631/03201084573/6310320108457312092023190754.pdf</v>
      </c>
      <c r="H1247" s="4" t="s">
        <v>9830</v>
      </c>
    </row>
    <row r="1248" spans="1:8" x14ac:dyDescent="0.25">
      <c r="A1248" s="2" t="s">
        <v>1262</v>
      </c>
      <c r="B1248" s="3"/>
      <c r="C1248" s="3"/>
      <c r="D1248" s="3"/>
      <c r="E1248" s="4" t="str">
        <f>HYPERLINK("https://dpmzos25m8ivg.cloudfront.net/Documentos/631/03201566306/6310320156630611092023144353.pdf","https://dpmzos25m8ivg.cloudfront.net/Documentos/631/03201566306/6310320156630611092023144353.pdf")</f>
        <v>https://dpmzos25m8ivg.cloudfront.net/Documentos/631/03201566306/6310320156630611092023144353.pdf</v>
      </c>
      <c r="F1248" s="5" t="str">
        <f>HYPERLINK("https://dpmzos25m8ivg.cloudfront.net/Documentos/631/03201566306/6310320156630611092023144403.pdf","https://dpmzos25m8ivg.cloudfront.net/Documentos/631/03201566306/6310320156630611092023144403.pdf")</f>
        <v>https://dpmzos25m8ivg.cloudfront.net/Documentos/631/03201566306/6310320156630611092023144403.pdf</v>
      </c>
      <c r="G1248" s="5" t="str">
        <f>HYPERLINK("https://dpmzos25m8ivg.cloudfront.net/Documentos/631/03201566306/6310320156630611092023144412.pdf","https://dpmzos25m8ivg.cloudfront.net/Documentos/631/03201566306/6310320156630611092023144412.pdf")</f>
        <v>https://dpmzos25m8ivg.cloudfront.net/Documentos/631/03201566306/6310320156630611092023144412.pdf</v>
      </c>
      <c r="H1248" s="4" t="s">
        <v>9831</v>
      </c>
    </row>
    <row r="1249" spans="1:8" x14ac:dyDescent="0.25">
      <c r="A1249" s="2" t="s">
        <v>1263</v>
      </c>
      <c r="B1249" s="3"/>
      <c r="C1249" s="3"/>
      <c r="D1249" s="3"/>
      <c r="E1249" s="4" t="str">
        <f>HYPERLINK("https://dpmzos25m8ivg.cloudfront.net/Documentos/631/03203544237/6310320354423711092023161134.pdf","https://dpmzos25m8ivg.cloudfront.net/Documentos/631/03203544237/6310320354423711092023161134.pdf")</f>
        <v>https://dpmzos25m8ivg.cloudfront.net/Documentos/631/03203544237/6310320354423711092023161134.pdf</v>
      </c>
      <c r="F1249" s="5" t="str">
        <f>HYPERLINK("https://dpmzos25m8ivg.cloudfront.net/Documentos/631/03203544237/6310320354423711092023161155.pdf","https://dpmzos25m8ivg.cloudfront.net/Documentos/631/03203544237/6310320354423711092023161155.pdf")</f>
        <v>https://dpmzos25m8ivg.cloudfront.net/Documentos/631/03203544237/6310320354423711092023161155.pdf</v>
      </c>
      <c r="G1249" s="5" t="str">
        <f>HYPERLINK("https://dpmzos25m8ivg.cloudfront.net/Documentos/631/03203544237/6310320354423711092023161213.pdf","https://dpmzos25m8ivg.cloudfront.net/Documentos/631/03203544237/6310320354423711092023161213.pdf")</f>
        <v>https://dpmzos25m8ivg.cloudfront.net/Documentos/631/03203544237/6310320354423711092023161213.pdf</v>
      </c>
      <c r="H1249" s="4" t="s">
        <v>9832</v>
      </c>
    </row>
    <row r="1250" spans="1:8" x14ac:dyDescent="0.25">
      <c r="A1250" s="2" t="s">
        <v>1264</v>
      </c>
      <c r="B1250" s="3"/>
      <c r="C1250" s="3"/>
      <c r="D1250" s="3"/>
      <c r="E1250" s="4" t="str">
        <f>HYPERLINK("https://dpmzos25m8ivg.cloudfront.net/Documentos/631/03205213548/6310320521354811092023135250.pdf","https://dpmzos25m8ivg.cloudfront.net/Documentos/631/03205213548/6310320521354811092023135250.pdf")</f>
        <v>https://dpmzos25m8ivg.cloudfront.net/Documentos/631/03205213548/6310320521354811092023135250.pdf</v>
      </c>
      <c r="F1250" s="5" t="str">
        <f>HYPERLINK("https://dpmzos25m8ivg.cloudfront.net/Documentos/631/03205213548/6310320521354811092023135258.pdf","https://dpmzos25m8ivg.cloudfront.net/Documentos/631/03205213548/6310320521354811092023135258.pdf")</f>
        <v>https://dpmzos25m8ivg.cloudfront.net/Documentos/631/03205213548/6310320521354811092023135258.pdf</v>
      </c>
      <c r="G1250" s="5" t="str">
        <f>HYPERLINK("https://dpmzos25m8ivg.cloudfront.net/Documentos/631/03205213548/6310320521354811092023135306.pdf","https://dpmzos25m8ivg.cloudfront.net/Documentos/631/03205213548/6310320521354811092023135306.pdf")</f>
        <v>https://dpmzos25m8ivg.cloudfront.net/Documentos/631/03205213548/6310320521354811092023135306.pdf</v>
      </c>
      <c r="H1250" s="4" t="s">
        <v>9833</v>
      </c>
    </row>
    <row r="1251" spans="1:8" x14ac:dyDescent="0.25">
      <c r="A1251" s="2" t="s">
        <v>1265</v>
      </c>
      <c r="B1251" s="3"/>
      <c r="C1251" s="3"/>
      <c r="D1251" s="3"/>
      <c r="E1251" s="4" t="str">
        <f>HYPERLINK("https://dpmzos25m8ivg.cloudfront.net/Documentos/631/03208232101/6310320823210111092023131108.pdf","https://dpmzos25m8ivg.cloudfront.net/Documentos/631/03208232101/6310320823210111092023131108.pdf")</f>
        <v>https://dpmzos25m8ivg.cloudfront.net/Documentos/631/03208232101/6310320823210111092023131108.pdf</v>
      </c>
      <c r="F1251" s="5" t="str">
        <f>HYPERLINK("https://dpmzos25m8ivg.cloudfront.net/Documentos/631/03208232101/6310320823210111092023131118.pdf","https://dpmzos25m8ivg.cloudfront.net/Documentos/631/03208232101/6310320823210111092023131118.pdf")</f>
        <v>https://dpmzos25m8ivg.cloudfront.net/Documentos/631/03208232101/6310320823210111092023131118.pdf</v>
      </c>
      <c r="G1251" s="5" t="str">
        <f>HYPERLINK("https://dpmzos25m8ivg.cloudfront.net/Documentos/631/03208232101/6310320823210111092023131137.pdf","https://dpmzos25m8ivg.cloudfront.net/Documentos/631/03208232101/6310320823210111092023131137.pdf")</f>
        <v>https://dpmzos25m8ivg.cloudfront.net/Documentos/631/03208232101/6310320823210111092023131137.pdf</v>
      </c>
      <c r="H1251" s="4" t="s">
        <v>9834</v>
      </c>
    </row>
    <row r="1252" spans="1:8" x14ac:dyDescent="0.25">
      <c r="A1252" s="2" t="s">
        <v>1266</v>
      </c>
      <c r="B1252" s="3"/>
      <c r="C1252" s="3"/>
      <c r="D1252" s="3"/>
      <c r="E1252" s="4" t="str">
        <f>HYPERLINK("https://dpmzos25m8ivg.cloudfront.net/Documentos/631/03208941501/6310320894150111092023121553.pdf","https://dpmzos25m8ivg.cloudfront.net/Documentos/631/03208941501/6310320894150111092023121553.pdf")</f>
        <v>https://dpmzos25m8ivg.cloudfront.net/Documentos/631/03208941501/6310320894150111092023121553.pdf</v>
      </c>
      <c r="F1252" s="5" t="str">
        <f>HYPERLINK("https://dpmzos25m8ivg.cloudfront.net/Documentos/631/03208941501/6310320894150111092023121605.pdf","https://dpmzos25m8ivg.cloudfront.net/Documentos/631/03208941501/6310320894150111092023121605.pdf")</f>
        <v>https://dpmzos25m8ivg.cloudfront.net/Documentos/631/03208941501/6310320894150111092023121605.pdf</v>
      </c>
      <c r="G1252" s="5" t="str">
        <f>HYPERLINK("https://dpmzos25m8ivg.cloudfront.net/Documentos/631/03208941501/6310320894150111092023121615.pdf","https://dpmzos25m8ivg.cloudfront.net/Documentos/631/03208941501/6310320894150111092023121615.pdf")</f>
        <v>https://dpmzos25m8ivg.cloudfront.net/Documentos/631/03208941501/6310320894150111092023121615.pdf</v>
      </c>
      <c r="H1252" s="4" t="s">
        <v>9835</v>
      </c>
    </row>
    <row r="1253" spans="1:8" x14ac:dyDescent="0.25">
      <c r="A1253" s="2" t="s">
        <v>1267</v>
      </c>
      <c r="B1253" s="3"/>
      <c r="C1253" s="3"/>
      <c r="D1253" s="3"/>
      <c r="E1253" s="4" t="str">
        <f>HYPERLINK("https://dpmzos25m8ivg.cloudfront.net/Documentos/631/03210604231/6310321060423109092023184731.pdf","https://dpmzos25m8ivg.cloudfront.net/Documentos/631/03210604231/6310321060423109092023184731.pdf")</f>
        <v>https://dpmzos25m8ivg.cloudfront.net/Documentos/631/03210604231/6310321060423109092023184731.pdf</v>
      </c>
      <c r="F1253" s="5" t="str">
        <f>HYPERLINK("https://dpmzos25m8ivg.cloudfront.net/Documentos/631/03210604231/6310321060423109092023184744.pdf","https://dpmzos25m8ivg.cloudfront.net/Documentos/631/03210604231/6310321060423109092023184744.pdf")</f>
        <v>https://dpmzos25m8ivg.cloudfront.net/Documentos/631/03210604231/6310321060423109092023184744.pdf</v>
      </c>
      <c r="G1253" s="5" t="str">
        <f>HYPERLINK("https://dpmzos25m8ivg.cloudfront.net/Documentos/631/03210604231/6310321060423109092023184802.pdf","https://dpmzos25m8ivg.cloudfront.net/Documentos/631/03210604231/6310321060423109092023184802.pdf")</f>
        <v>https://dpmzos25m8ivg.cloudfront.net/Documentos/631/03210604231/6310321060423109092023184802.pdf</v>
      </c>
      <c r="H1253" s="4" t="s">
        <v>9836</v>
      </c>
    </row>
    <row r="1254" spans="1:8" x14ac:dyDescent="0.25">
      <c r="A1254" s="2" t="s">
        <v>1268</v>
      </c>
      <c r="B1254" s="3"/>
      <c r="C1254" s="3"/>
      <c r="D1254" s="3"/>
      <c r="E1254" s="4" t="str">
        <f>HYPERLINK("https://dpmzos25m8ivg.cloudfront.net/Documentos/631/03210819270/6310321081927014092023162654.pdf","https://dpmzos25m8ivg.cloudfront.net/Documentos/631/03210819270/6310321081927014092023162654.pdf")</f>
        <v>https://dpmzos25m8ivg.cloudfront.net/Documentos/631/03210819270/6310321081927014092023162654.pdf</v>
      </c>
      <c r="F1254" s="5" t="str">
        <f>HYPERLINK("https://dpmzos25m8ivg.cloudfront.net/Documentos/631/03210819270/6310321081927014092023162703.pdf","https://dpmzos25m8ivg.cloudfront.net/Documentos/631/03210819270/6310321081927014092023162703.pdf")</f>
        <v>https://dpmzos25m8ivg.cloudfront.net/Documentos/631/03210819270/6310321081927014092023162703.pdf</v>
      </c>
      <c r="G1254" s="5" t="str">
        <f>HYPERLINK("https://dpmzos25m8ivg.cloudfront.net/Documentos/631/03210819270/6310321081927014092023162712.pdf","https://dpmzos25m8ivg.cloudfront.net/Documentos/631/03210819270/6310321081927014092023162712.pdf")</f>
        <v>https://dpmzos25m8ivg.cloudfront.net/Documentos/631/03210819270/6310321081927014092023162712.pdf</v>
      </c>
      <c r="H1254" s="4" t="s">
        <v>9837</v>
      </c>
    </row>
    <row r="1255" spans="1:8" x14ac:dyDescent="0.25">
      <c r="A1255" s="2" t="s">
        <v>1269</v>
      </c>
      <c r="B1255" s="3"/>
      <c r="C1255" s="3"/>
      <c r="D1255" s="3"/>
      <c r="E1255" s="4" t="str">
        <f>HYPERLINK("https://dpmzos25m8ivg.cloudfront.net/Documentos/631/03212487240/6310321248724011092023161819.pdf","https://dpmzos25m8ivg.cloudfront.net/Documentos/631/03212487240/6310321248724011092023161819.pdf")</f>
        <v>https://dpmzos25m8ivg.cloudfront.net/Documentos/631/03212487240/6310321248724011092023161819.pdf</v>
      </c>
      <c r="F1255" s="5" t="str">
        <f>HYPERLINK("https://dpmzos25m8ivg.cloudfront.net/Documentos/631/03212487240/6310321248724011092023161858.pdf","https://dpmzos25m8ivg.cloudfront.net/Documentos/631/03212487240/6310321248724011092023161858.pdf")</f>
        <v>https://dpmzos25m8ivg.cloudfront.net/Documentos/631/03212487240/6310321248724011092023161858.pdf</v>
      </c>
      <c r="G1255" s="5" t="str">
        <f>HYPERLINK("https://dpmzos25m8ivg.cloudfront.net/Documentos/631/03212487240/6310321248724011092023161926.pdf","https://dpmzos25m8ivg.cloudfront.net/Documentos/631/03212487240/6310321248724011092023161926.pdf")</f>
        <v>https://dpmzos25m8ivg.cloudfront.net/Documentos/631/03212487240/6310321248724011092023161926.pdf</v>
      </c>
      <c r="H1255" s="4" t="s">
        <v>9838</v>
      </c>
    </row>
    <row r="1256" spans="1:8" x14ac:dyDescent="0.25">
      <c r="A1256" s="2" t="s">
        <v>1270</v>
      </c>
      <c r="B1256" s="3" t="s">
        <v>23</v>
      </c>
      <c r="C1256" s="3"/>
      <c r="D1256" s="3"/>
      <c r="E1256" s="4" t="str">
        <f>HYPERLINK("https://dpmzos25m8ivg.cloudfront.net/Documentos/631/03212810203/6310321281020311092023163129.jpeg","https://dpmzos25m8ivg.cloudfront.net/Documentos/631/03212810203/6310321281020311092023163129.jpeg")</f>
        <v>https://dpmzos25m8ivg.cloudfront.net/Documentos/631/03212810203/6310321281020311092023163129.jpeg</v>
      </c>
      <c r="F1256" s="5" t="str">
        <f>HYPERLINK("https://dpmzos25m8ivg.cloudfront.net/Documentos/631/03212810203/6310321281020311092023163146.jpeg","https://dpmzos25m8ivg.cloudfront.net/Documentos/631/03212810203/6310321281020311092023163146.jpeg")</f>
        <v>https://dpmzos25m8ivg.cloudfront.net/Documentos/631/03212810203/6310321281020311092023163146.jpeg</v>
      </c>
      <c r="G1256" s="5" t="str">
        <f>HYPERLINK("https://dpmzos25m8ivg.cloudfront.net/Documentos/631/03212810203/6310321281020311092023164655.jpeg","https://dpmzos25m8ivg.cloudfront.net/Documentos/631/03212810203/6310321281020311092023164655.jpeg")</f>
        <v>https://dpmzos25m8ivg.cloudfront.net/Documentos/631/03212810203/6310321281020311092023164655.jpeg</v>
      </c>
      <c r="H1256" s="4" t="s">
        <v>9839</v>
      </c>
    </row>
    <row r="1257" spans="1:8" x14ac:dyDescent="0.25">
      <c r="A1257" s="2" t="s">
        <v>1271</v>
      </c>
      <c r="B1257" s="3"/>
      <c r="C1257" s="3"/>
      <c r="D1257" s="3"/>
      <c r="E1257" s="4" t="str">
        <f>HYPERLINK("https://dpmzos25m8ivg.cloudfront.net/Documentos/631/03213681423/6310321368142310092023212124.pdf","https://dpmzos25m8ivg.cloudfront.net/Documentos/631/03213681423/6310321368142310092023212124.pdf")</f>
        <v>https://dpmzos25m8ivg.cloudfront.net/Documentos/631/03213681423/6310321368142310092023212124.pdf</v>
      </c>
      <c r="F1257" s="5" t="str">
        <f>HYPERLINK("https://dpmzos25m8ivg.cloudfront.net/Documentos/631/03213681423/6310321368142310092023212139.pdf","https://dpmzos25m8ivg.cloudfront.net/Documentos/631/03213681423/6310321368142310092023212139.pdf")</f>
        <v>https://dpmzos25m8ivg.cloudfront.net/Documentos/631/03213681423/6310321368142310092023212139.pdf</v>
      </c>
      <c r="G1257" s="5" t="str">
        <f>HYPERLINK("https://dpmzos25m8ivg.cloudfront.net/Documentos/631/03213681423/6310321368142310092023212152.pdf","https://dpmzos25m8ivg.cloudfront.net/Documentos/631/03213681423/6310321368142310092023212152.pdf")</f>
        <v>https://dpmzos25m8ivg.cloudfront.net/Documentos/631/03213681423/6310321368142310092023212152.pdf</v>
      </c>
      <c r="H1257" s="4" t="s">
        <v>9840</v>
      </c>
    </row>
    <row r="1258" spans="1:8" x14ac:dyDescent="0.25">
      <c r="A1258" s="2" t="s">
        <v>1272</v>
      </c>
      <c r="B1258" s="3"/>
      <c r="C1258" s="3"/>
      <c r="D1258" s="3"/>
      <c r="E1258" s="4" t="str">
        <f>HYPERLINK("https://dpmzos25m8ivg.cloudfront.net/Documentos/631/03216372596/6310321637259611092023102658.pdf","https://dpmzos25m8ivg.cloudfront.net/Documentos/631/03216372596/6310321637259611092023102658.pdf")</f>
        <v>https://dpmzos25m8ivg.cloudfront.net/Documentos/631/03216372596/6310321637259611092023102658.pdf</v>
      </c>
      <c r="F1258" s="5" t="str">
        <f>HYPERLINK("https://dpmzos25m8ivg.cloudfront.net/Documentos/631/03216372596/6310321637259611092023102727.pdf","https://dpmzos25m8ivg.cloudfront.net/Documentos/631/03216372596/6310321637259611092023102727.pdf")</f>
        <v>https://dpmzos25m8ivg.cloudfront.net/Documentos/631/03216372596/6310321637259611092023102727.pdf</v>
      </c>
      <c r="G1258" s="5" t="str">
        <f>HYPERLINK("https://dpmzos25m8ivg.cloudfront.net/Documentos/631/03216372596/6310321637259611092023102743.pdf","https://dpmzos25m8ivg.cloudfront.net/Documentos/631/03216372596/6310321637259611092023102743.pdf")</f>
        <v>https://dpmzos25m8ivg.cloudfront.net/Documentos/631/03216372596/6310321637259611092023102743.pdf</v>
      </c>
      <c r="H1258" s="4" t="s">
        <v>9841</v>
      </c>
    </row>
    <row r="1259" spans="1:8" x14ac:dyDescent="0.25">
      <c r="A1259" s="2" t="s">
        <v>1273</v>
      </c>
      <c r="B1259" s="3"/>
      <c r="C1259" s="3"/>
      <c r="D1259" s="3"/>
      <c r="E1259" s="4" t="str">
        <f>HYPERLINK("https://dpmzos25m8ivg.cloudfront.net/Documentos/631/03217726103/6310321772610314092023170755.pdf","https://dpmzos25m8ivg.cloudfront.net/Documentos/631/03217726103/6310321772610314092023170755.pdf")</f>
        <v>https://dpmzos25m8ivg.cloudfront.net/Documentos/631/03217726103/6310321772610314092023170755.pdf</v>
      </c>
      <c r="F1259" s="5" t="str">
        <f>HYPERLINK("https://dpmzos25m8ivg.cloudfront.net/Documentos/631/03217726103/6310321772610314092023170803.pdf","https://dpmzos25m8ivg.cloudfront.net/Documentos/631/03217726103/6310321772610314092023170803.pdf")</f>
        <v>https://dpmzos25m8ivg.cloudfront.net/Documentos/631/03217726103/6310321772610314092023170803.pdf</v>
      </c>
      <c r="G1259" s="5" t="str">
        <f>HYPERLINK("https://dpmzos25m8ivg.cloudfront.net/Documentos/631/03217726103/6310321772610314092023170812.pdf","https://dpmzos25m8ivg.cloudfront.net/Documentos/631/03217726103/6310321772610314092023170812.pdf")</f>
        <v>https://dpmzos25m8ivg.cloudfront.net/Documentos/631/03217726103/6310321772610314092023170812.pdf</v>
      </c>
      <c r="H1259" s="4" t="s">
        <v>9842</v>
      </c>
    </row>
    <row r="1260" spans="1:8" x14ac:dyDescent="0.25">
      <c r="A1260" s="2" t="s">
        <v>1274</v>
      </c>
      <c r="B1260" s="3" t="s">
        <v>308</v>
      </c>
      <c r="C1260" s="3"/>
      <c r="D1260" s="3"/>
      <c r="E1260" s="4" t="str">
        <f>HYPERLINK("https://dpmzos25m8ivg.cloudfront.net/Documentos/631/03222521484/6310322252148411092023120952.pdf","https://dpmzos25m8ivg.cloudfront.net/Documentos/631/03222521484/6310322252148411092023120952.pdf")</f>
        <v>https://dpmzos25m8ivg.cloudfront.net/Documentos/631/03222521484/6310322252148411092023120952.pdf</v>
      </c>
      <c r="F1260" s="5" t="str">
        <f>HYPERLINK("https://dpmzos25m8ivg.cloudfront.net/Documentos/631/03222521484/6310322252148411092023120959.pdf","https://dpmzos25m8ivg.cloudfront.net/Documentos/631/03222521484/6310322252148411092023120959.pdf")</f>
        <v>https://dpmzos25m8ivg.cloudfront.net/Documentos/631/03222521484/6310322252148411092023120959.pdf</v>
      </c>
      <c r="G1260" s="5" t="str">
        <f>HYPERLINK("https://dpmzos25m8ivg.cloudfront.net/Documentos/631/03222521484/6310322252148411092023121006.pdf","https://dpmzos25m8ivg.cloudfront.net/Documentos/631/03222521484/6310322252148411092023121006.pdf")</f>
        <v>https://dpmzos25m8ivg.cloudfront.net/Documentos/631/03222521484/6310322252148411092023121006.pdf</v>
      </c>
      <c r="H1260" s="4" t="s">
        <v>9843</v>
      </c>
    </row>
    <row r="1261" spans="1:8" x14ac:dyDescent="0.25">
      <c r="A1261" s="2" t="s">
        <v>1275</v>
      </c>
      <c r="B1261" s="3"/>
      <c r="C1261" s="3"/>
      <c r="D1261" s="3"/>
      <c r="E1261" s="4" t="str">
        <f>HYPERLINK("https://dpmzos25m8ivg.cloudfront.net/Documentos/631/03227302101/6310322730210111092023163948.pdf","https://dpmzos25m8ivg.cloudfront.net/Documentos/631/03227302101/6310322730210111092023163948.pdf")</f>
        <v>https://dpmzos25m8ivg.cloudfront.net/Documentos/631/03227302101/6310322730210111092023163948.pdf</v>
      </c>
      <c r="F1261" s="5" t="str">
        <f>HYPERLINK("https://dpmzos25m8ivg.cloudfront.net/Documentos/631/03227302101/6310322730210111092023155818.pdf","https://dpmzos25m8ivg.cloudfront.net/Documentos/631/03227302101/6310322730210111092023155818.pdf")</f>
        <v>https://dpmzos25m8ivg.cloudfront.net/Documentos/631/03227302101/6310322730210111092023155818.pdf</v>
      </c>
      <c r="G1261" s="5" t="str">
        <f>HYPERLINK("https://dpmzos25m8ivg.cloudfront.net/Documentos/631/03227302101/6310322730210111092023155825.pdf","https://dpmzos25m8ivg.cloudfront.net/Documentos/631/03227302101/6310322730210111092023155825.pdf")</f>
        <v>https://dpmzos25m8ivg.cloudfront.net/Documentos/631/03227302101/6310322730210111092023155825.pdf</v>
      </c>
      <c r="H1261" s="4" t="s">
        <v>9844</v>
      </c>
    </row>
    <row r="1262" spans="1:8" x14ac:dyDescent="0.25">
      <c r="A1262" s="2" t="s">
        <v>1276</v>
      </c>
      <c r="B1262" s="3"/>
      <c r="C1262" s="3"/>
      <c r="D1262" s="3"/>
      <c r="E1262" s="4" t="str">
        <f>HYPERLINK("https://dpmzos25m8ivg.cloudfront.net/Documentos/631/03231867509/6310323186750908092023221733.pdf","https://dpmzos25m8ivg.cloudfront.net/Documentos/631/03231867509/6310323186750908092023221733.pdf")</f>
        <v>https://dpmzos25m8ivg.cloudfront.net/Documentos/631/03231867509/6310323186750908092023221733.pdf</v>
      </c>
      <c r="F1262" s="5" t="str">
        <f>HYPERLINK("https://dpmzos25m8ivg.cloudfront.net/Documentos/631/03231867509/6310323186750908092023221835.pdf","https://dpmzos25m8ivg.cloudfront.net/Documentos/631/03231867509/6310323186750908092023221835.pdf")</f>
        <v>https://dpmzos25m8ivg.cloudfront.net/Documentos/631/03231867509/6310323186750908092023221835.pdf</v>
      </c>
      <c r="G1262" s="5" t="str">
        <f>HYPERLINK("https://dpmzos25m8ivg.cloudfront.net/Documentos/631/03231867509/6310323186750908092023221859.pdf","https://dpmzos25m8ivg.cloudfront.net/Documentos/631/03231867509/6310323186750908092023221859.pdf")</f>
        <v>https://dpmzos25m8ivg.cloudfront.net/Documentos/631/03231867509/6310323186750908092023221859.pdf</v>
      </c>
      <c r="H1262" s="4" t="s">
        <v>9845</v>
      </c>
    </row>
    <row r="1263" spans="1:8" x14ac:dyDescent="0.25">
      <c r="A1263" s="2" t="s">
        <v>1277</v>
      </c>
      <c r="B1263" s="3" t="s">
        <v>308</v>
      </c>
      <c r="C1263" s="3"/>
      <c r="D1263" s="3"/>
      <c r="E1263" s="4" t="str">
        <f>HYPERLINK("https://dpmzos25m8ivg.cloudfront.net/Documentos/631/03232356702/6310323235670206092023224111.pdf","https://dpmzos25m8ivg.cloudfront.net/Documentos/631/03232356702/6310323235670206092023224111.pdf")</f>
        <v>https://dpmzos25m8ivg.cloudfront.net/Documentos/631/03232356702/6310323235670206092023224111.pdf</v>
      </c>
      <c r="F1263" s="5" t="str">
        <f>HYPERLINK("https://dpmzos25m8ivg.cloudfront.net/Documentos/631/03232356702/6310323235670206092023224126.pdf","https://dpmzos25m8ivg.cloudfront.net/Documentos/631/03232356702/6310323235670206092023224126.pdf")</f>
        <v>https://dpmzos25m8ivg.cloudfront.net/Documentos/631/03232356702/6310323235670206092023224126.pdf</v>
      </c>
      <c r="G1263" s="5" t="str">
        <f>HYPERLINK("https://dpmzos25m8ivg.cloudfront.net/Documentos/631/03232356702/6310323235670206092023224146.pdf","https://dpmzos25m8ivg.cloudfront.net/Documentos/631/03232356702/6310323235670206092023224146.pdf")</f>
        <v>https://dpmzos25m8ivg.cloudfront.net/Documentos/631/03232356702/6310323235670206092023224146.pdf</v>
      </c>
      <c r="H1263" s="4" t="s">
        <v>9846</v>
      </c>
    </row>
    <row r="1264" spans="1:8" x14ac:dyDescent="0.25">
      <c r="A1264" s="2" t="s">
        <v>1278</v>
      </c>
      <c r="B1264" s="3"/>
      <c r="C1264" s="3"/>
      <c r="D1264" s="3"/>
      <c r="E1264" s="4" t="str">
        <f>HYPERLINK("https://dpmzos25m8ivg.cloudfront.net/Documentos/631/03234423237/6310323442323705092023150722.pdf","https://dpmzos25m8ivg.cloudfront.net/Documentos/631/03234423237/6310323442323705092023150722.pdf")</f>
        <v>https://dpmzos25m8ivg.cloudfront.net/Documentos/631/03234423237/6310323442323705092023150722.pdf</v>
      </c>
      <c r="F1264" s="5" t="str">
        <f>HYPERLINK("https://dpmzos25m8ivg.cloudfront.net/Documentos/631/03234423237/6310323442323705092023150753.pdf","https://dpmzos25m8ivg.cloudfront.net/Documentos/631/03234423237/6310323442323705092023150753.pdf")</f>
        <v>https://dpmzos25m8ivg.cloudfront.net/Documentos/631/03234423237/6310323442323705092023150753.pdf</v>
      </c>
      <c r="G1264" s="5" t="str">
        <f>HYPERLINK("https://dpmzos25m8ivg.cloudfront.net/Documentos/631/03234423237/6310323442323705092023150808.pdf","https://dpmzos25m8ivg.cloudfront.net/Documentos/631/03234423237/6310323442323705092023150808.pdf")</f>
        <v>https://dpmzos25m8ivg.cloudfront.net/Documentos/631/03234423237/6310323442323705092023150808.pdf</v>
      </c>
      <c r="H1264" s="4" t="s">
        <v>9847</v>
      </c>
    </row>
    <row r="1265" spans="1:8" x14ac:dyDescent="0.25">
      <c r="A1265" s="2" t="s">
        <v>1279</v>
      </c>
      <c r="B1265" s="3"/>
      <c r="C1265" s="3"/>
      <c r="D1265" s="3"/>
      <c r="E1265" s="4" t="str">
        <f>HYPERLINK("https://dpmzos25m8ivg.cloudfront.net/Documentos/631/03235470018/6310323547001806092023143303.jpg","https://dpmzos25m8ivg.cloudfront.net/Documentos/631/03235470018/6310323547001806092023143303.jpg")</f>
        <v>https://dpmzos25m8ivg.cloudfront.net/Documentos/631/03235470018/6310323547001806092023143303.jpg</v>
      </c>
      <c r="F1265" s="5" t="str">
        <f>HYPERLINK("https://dpmzos25m8ivg.cloudfront.net/Documentos/631/03235470018/6310323547001806092023143256.jpg","https://dpmzos25m8ivg.cloudfront.net/Documentos/631/03235470018/6310323547001806092023143256.jpg")</f>
        <v>https://dpmzos25m8ivg.cloudfront.net/Documentos/631/03235470018/6310323547001806092023143256.jpg</v>
      </c>
      <c r="G1265" s="5" t="str">
        <f>HYPERLINK("https://dpmzos25m8ivg.cloudfront.net/Documentos/631/03235470018/6310323547001806092023143248.jpg","https://dpmzos25m8ivg.cloudfront.net/Documentos/631/03235470018/6310323547001806092023143248.jpg")</f>
        <v>https://dpmzos25m8ivg.cloudfront.net/Documentos/631/03235470018/6310323547001806092023143248.jpg</v>
      </c>
      <c r="H1265" s="4" t="s">
        <v>9848</v>
      </c>
    </row>
    <row r="1266" spans="1:8" x14ac:dyDescent="0.25">
      <c r="A1266" s="2" t="s">
        <v>1280</v>
      </c>
      <c r="B1266" s="3"/>
      <c r="C1266" s="3"/>
      <c r="D1266" s="3"/>
      <c r="E1266" s="4" t="str">
        <f>HYPERLINK("https://dpmzos25m8ivg.cloudfront.net/Documentos/631/03235520210/6310323552021007092023122225.pdf","https://dpmzos25m8ivg.cloudfront.net/Documentos/631/03235520210/6310323552021007092023122225.pdf")</f>
        <v>https://dpmzos25m8ivg.cloudfront.net/Documentos/631/03235520210/6310323552021007092023122225.pdf</v>
      </c>
      <c r="F1266" s="5" t="str">
        <f>HYPERLINK("https://dpmzos25m8ivg.cloudfront.net/Documentos/631/03235520210/6310323552021007092023121402.pdf","https://dpmzos25m8ivg.cloudfront.net/Documentos/631/03235520210/6310323552021007092023121402.pdf")</f>
        <v>https://dpmzos25m8ivg.cloudfront.net/Documentos/631/03235520210/6310323552021007092023121402.pdf</v>
      </c>
      <c r="G1266" s="5" t="str">
        <f>HYPERLINK("https://dpmzos25m8ivg.cloudfront.net/Documentos/631/03235520210/6310323552021007092023113627.pdf","https://dpmzos25m8ivg.cloudfront.net/Documentos/631/03235520210/6310323552021007092023113627.pdf")</f>
        <v>https://dpmzos25m8ivg.cloudfront.net/Documentos/631/03235520210/6310323552021007092023113627.pdf</v>
      </c>
      <c r="H1266" s="4" t="s">
        <v>9849</v>
      </c>
    </row>
    <row r="1267" spans="1:8" x14ac:dyDescent="0.25">
      <c r="A1267" s="2" t="s">
        <v>1281</v>
      </c>
      <c r="B1267" s="3"/>
      <c r="C1267" s="3"/>
      <c r="D1267" s="3"/>
      <c r="E1267" s="4" t="str">
        <f>HYPERLINK("https://dpmzos25m8ivg.cloudfront.net/Documentos/631/03236866136/6310323686613611092023134407.pdf","https://dpmzos25m8ivg.cloudfront.net/Documentos/631/03236866136/6310323686613611092023134407.pdf")</f>
        <v>https://dpmzos25m8ivg.cloudfront.net/Documentos/631/03236866136/6310323686613611092023134407.pdf</v>
      </c>
      <c r="F1267" s="5" t="str">
        <f>HYPERLINK("https://dpmzos25m8ivg.cloudfront.net/Documentos/631/03236866136/6310323686613611092023134508.pdf","https://dpmzos25m8ivg.cloudfront.net/Documentos/631/03236866136/6310323686613611092023134508.pdf")</f>
        <v>https://dpmzos25m8ivg.cloudfront.net/Documentos/631/03236866136/6310323686613611092023134508.pdf</v>
      </c>
      <c r="G1267" s="5" t="str">
        <f>HYPERLINK("https://dpmzos25m8ivg.cloudfront.net/Documentos/631/03236866136/6310323686613611092023134519.pdf","https://dpmzos25m8ivg.cloudfront.net/Documentos/631/03236866136/6310323686613611092023134519.pdf")</f>
        <v>https://dpmzos25m8ivg.cloudfront.net/Documentos/631/03236866136/6310323686613611092023134519.pdf</v>
      </c>
      <c r="H1267" s="4" t="s">
        <v>9850</v>
      </c>
    </row>
    <row r="1268" spans="1:8" x14ac:dyDescent="0.25">
      <c r="A1268" s="2" t="s">
        <v>1282</v>
      </c>
      <c r="B1268" s="3"/>
      <c r="C1268" s="3"/>
      <c r="D1268" s="3"/>
      <c r="E1268" s="4" t="str">
        <f>HYPERLINK("https://dpmzos25m8ivg.cloudfront.net/Documentos/631/03244536042/6310324453604213092023143731.jpg","https://dpmzos25m8ivg.cloudfront.net/Documentos/631/03244536042/6310324453604213092023143731.jpg")</f>
        <v>https://dpmzos25m8ivg.cloudfront.net/Documentos/631/03244536042/6310324453604213092023143731.jpg</v>
      </c>
      <c r="F1268" s="5" t="str">
        <f>HYPERLINK("https://dpmzos25m8ivg.cloudfront.net/Documentos/631/03244536042/6310324453604213092023143801.jpg","https://dpmzos25m8ivg.cloudfront.net/Documentos/631/03244536042/6310324453604213092023143801.jpg")</f>
        <v>https://dpmzos25m8ivg.cloudfront.net/Documentos/631/03244536042/6310324453604213092023143801.jpg</v>
      </c>
      <c r="G1268" s="5" t="str">
        <f>HYPERLINK("https://dpmzos25m8ivg.cloudfront.net/Documentos/631/03244536042/6310324453604213092023143747.jpg","https://dpmzos25m8ivg.cloudfront.net/Documentos/631/03244536042/6310324453604213092023143747.jpg")</f>
        <v>https://dpmzos25m8ivg.cloudfront.net/Documentos/631/03244536042/6310324453604213092023143747.jpg</v>
      </c>
      <c r="H1268" s="4" t="s">
        <v>9851</v>
      </c>
    </row>
    <row r="1269" spans="1:8" x14ac:dyDescent="0.25">
      <c r="A1269" s="2" t="s">
        <v>1283</v>
      </c>
      <c r="B1269" s="3"/>
      <c r="C1269" s="3"/>
      <c r="D1269" s="3"/>
      <c r="E1269" s="4" t="str">
        <f>HYPERLINK("https://dpmzos25m8ivg.cloudfront.net/Documentos/631/03247483101/6310324748310111092023112548.pdf","https://dpmzos25m8ivg.cloudfront.net/Documentos/631/03247483101/6310324748310111092023112548.pdf")</f>
        <v>https://dpmzos25m8ivg.cloudfront.net/Documentos/631/03247483101/6310324748310111092023112548.pdf</v>
      </c>
      <c r="F1269" s="5" t="str">
        <f>HYPERLINK("https://dpmzos25m8ivg.cloudfront.net/Documentos/631/03247483101/6310324748310111092023112559.pdf","https://dpmzos25m8ivg.cloudfront.net/Documentos/631/03247483101/6310324748310111092023112559.pdf")</f>
        <v>https://dpmzos25m8ivg.cloudfront.net/Documentos/631/03247483101/6310324748310111092023112559.pdf</v>
      </c>
      <c r="G1269" s="5" t="str">
        <f>HYPERLINK("https://dpmzos25m8ivg.cloudfront.net/Documentos/631/03247483101/6310324748310111092023112613.pdf","https://dpmzos25m8ivg.cloudfront.net/Documentos/631/03247483101/6310324748310111092023112613.pdf")</f>
        <v>https://dpmzos25m8ivg.cloudfront.net/Documentos/631/03247483101/6310324748310111092023112613.pdf</v>
      </c>
      <c r="H1269" s="4" t="s">
        <v>9852</v>
      </c>
    </row>
    <row r="1270" spans="1:8" x14ac:dyDescent="0.25">
      <c r="A1270" s="2" t="s">
        <v>1284</v>
      </c>
      <c r="B1270" s="3"/>
      <c r="C1270" s="3"/>
      <c r="D1270" s="3"/>
      <c r="E1270" s="4" t="str">
        <f>HYPERLINK("https://dpmzos25m8ivg.cloudfront.net/Documentos/631/03251673114/6310325167311411092023151150.jpg","https://dpmzos25m8ivg.cloudfront.net/Documentos/631/03251673114/6310325167311411092023151150.jpg")</f>
        <v>https://dpmzos25m8ivg.cloudfront.net/Documentos/631/03251673114/6310325167311411092023151150.jpg</v>
      </c>
      <c r="F1270" s="5" t="str">
        <f>HYPERLINK("https://dpmzos25m8ivg.cloudfront.net/Documentos/631/03251673114/6310325167311411092023151204.jpg","https://dpmzos25m8ivg.cloudfront.net/Documentos/631/03251673114/6310325167311411092023151204.jpg")</f>
        <v>https://dpmzos25m8ivg.cloudfront.net/Documentos/631/03251673114/6310325167311411092023151204.jpg</v>
      </c>
      <c r="G1270" s="5" t="str">
        <f>HYPERLINK("https://dpmzos25m8ivg.cloudfront.net/Documentos/631/03251673114/6310325167311411092023151217.jpg","https://dpmzos25m8ivg.cloudfront.net/Documentos/631/03251673114/6310325167311411092023151217.jpg")</f>
        <v>https://dpmzos25m8ivg.cloudfront.net/Documentos/631/03251673114/6310325167311411092023151217.jpg</v>
      </c>
      <c r="H1270" s="4" t="s">
        <v>9853</v>
      </c>
    </row>
    <row r="1271" spans="1:8" x14ac:dyDescent="0.25">
      <c r="A1271" s="2" t="s">
        <v>1285</v>
      </c>
      <c r="B1271" s="3"/>
      <c r="C1271" s="3"/>
      <c r="D1271" s="3"/>
      <c r="E1271" s="4" t="str">
        <f>HYPERLINK("https://dpmzos25m8ivg.cloudfront.net/Documentos/631/03252232545/6310325223254505092023092124.pdf","https://dpmzos25m8ivg.cloudfront.net/Documentos/631/03252232545/6310325223254505092023092124.pdf")</f>
        <v>https://dpmzos25m8ivg.cloudfront.net/Documentos/631/03252232545/6310325223254505092023092124.pdf</v>
      </c>
      <c r="F1271" s="5" t="str">
        <f>HYPERLINK("https://dpmzos25m8ivg.cloudfront.net/Documentos/631/03252232545/6310325223254505092023092136.pdf","https://dpmzos25m8ivg.cloudfront.net/Documentos/631/03252232545/6310325223254505092023092136.pdf")</f>
        <v>https://dpmzos25m8ivg.cloudfront.net/Documentos/631/03252232545/6310325223254505092023092136.pdf</v>
      </c>
      <c r="G1271" s="5" t="str">
        <f>HYPERLINK("https://dpmzos25m8ivg.cloudfront.net/Documentos/631/03252232545/6310325223254505092023092146.pdf","https://dpmzos25m8ivg.cloudfront.net/Documentos/631/03252232545/6310325223254505092023092146.pdf")</f>
        <v>https://dpmzos25m8ivg.cloudfront.net/Documentos/631/03252232545/6310325223254505092023092146.pdf</v>
      </c>
      <c r="H1271" s="4" t="s">
        <v>9854</v>
      </c>
    </row>
    <row r="1272" spans="1:8" x14ac:dyDescent="0.25">
      <c r="A1272" s="2" t="s">
        <v>1286</v>
      </c>
      <c r="B1272" s="3"/>
      <c r="C1272" s="3"/>
      <c r="D1272" s="3"/>
      <c r="E1272" s="4" t="str">
        <f>HYPERLINK("https://dpmzos25m8ivg.cloudfront.net/Documentos/631/03252697505/6310325269750511092023104844.jpg","https://dpmzos25m8ivg.cloudfront.net/Documentos/631/03252697505/6310325269750511092023104844.jpg")</f>
        <v>https://dpmzos25m8ivg.cloudfront.net/Documentos/631/03252697505/6310325269750511092023104844.jpg</v>
      </c>
      <c r="F1272" s="5" t="str">
        <f>HYPERLINK("https://dpmzos25m8ivg.cloudfront.net/Documentos/631/03252697505/6310325269750511092023105131.jpg","https://dpmzos25m8ivg.cloudfront.net/Documentos/631/03252697505/6310325269750511092023105131.jpg")</f>
        <v>https://dpmzos25m8ivg.cloudfront.net/Documentos/631/03252697505/6310325269750511092023105131.jpg</v>
      </c>
      <c r="G1272" s="5" t="str">
        <f>HYPERLINK("https://dpmzos25m8ivg.cloudfront.net/Documentos/631/03252697505/6310325269750511092023105231.jpg","https://dpmzos25m8ivg.cloudfront.net/Documentos/631/03252697505/6310325269750511092023105231.jpg")</f>
        <v>https://dpmzos25m8ivg.cloudfront.net/Documentos/631/03252697505/6310325269750511092023105231.jpg</v>
      </c>
      <c r="H1272" s="4" t="s">
        <v>9855</v>
      </c>
    </row>
    <row r="1273" spans="1:8" x14ac:dyDescent="0.25">
      <c r="A1273" s="2" t="s">
        <v>1287</v>
      </c>
      <c r="B1273" s="3"/>
      <c r="C1273" s="3"/>
      <c r="D1273" s="3"/>
      <c r="E1273" s="4" t="str">
        <f>HYPERLINK("https://dpmzos25m8ivg.cloudfront.net/Documentos/631/03252731541/6310325273154111092023155952.jpeg","https://dpmzos25m8ivg.cloudfront.net/Documentos/631/03252731541/6310325273154111092023155952.jpeg")</f>
        <v>https://dpmzos25m8ivg.cloudfront.net/Documentos/631/03252731541/6310325273154111092023155952.jpeg</v>
      </c>
      <c r="F1273" s="5" t="str">
        <f>HYPERLINK("https://dpmzos25m8ivg.cloudfront.net/Documentos/631/03252731541/6310325273154111092023160021.jpeg","https://dpmzos25m8ivg.cloudfront.net/Documentos/631/03252731541/6310325273154111092023160021.jpeg")</f>
        <v>https://dpmzos25m8ivg.cloudfront.net/Documentos/631/03252731541/6310325273154111092023160021.jpeg</v>
      </c>
      <c r="G1273" s="5" t="str">
        <f>HYPERLINK("https://dpmzos25m8ivg.cloudfront.net/Documentos/631/03252731541/6310325273154111092023160032.jpeg","https://dpmzos25m8ivg.cloudfront.net/Documentos/631/03252731541/6310325273154111092023160032.jpeg")</f>
        <v>https://dpmzos25m8ivg.cloudfront.net/Documentos/631/03252731541/6310325273154111092023160032.jpeg</v>
      </c>
      <c r="H1273" s="4" t="s">
        <v>9856</v>
      </c>
    </row>
    <row r="1274" spans="1:8" x14ac:dyDescent="0.25">
      <c r="A1274" s="2" t="s">
        <v>1288</v>
      </c>
      <c r="B1274" s="3" t="s">
        <v>308</v>
      </c>
      <c r="C1274" s="3"/>
      <c r="D1274" s="3"/>
      <c r="E1274" s="4" t="str">
        <f>HYPERLINK("https://dpmzos25m8ivg.cloudfront.net/Documentos/631/03254073479/6310325407347910092023223320.pdf","https://dpmzos25m8ivg.cloudfront.net/Documentos/631/03254073479/6310325407347910092023223320.pdf")</f>
        <v>https://dpmzos25m8ivg.cloudfront.net/Documentos/631/03254073479/6310325407347910092023223320.pdf</v>
      </c>
      <c r="F1274" s="5" t="str">
        <f>HYPERLINK("https://dpmzos25m8ivg.cloudfront.net/Documentos/631/03254073479/6310325407347910092023223327.pdf","https://dpmzos25m8ivg.cloudfront.net/Documentos/631/03254073479/6310325407347910092023223327.pdf")</f>
        <v>https://dpmzos25m8ivg.cloudfront.net/Documentos/631/03254073479/6310325407347910092023223327.pdf</v>
      </c>
      <c r="G1274" s="5" t="str">
        <f>HYPERLINK("https://dpmzos25m8ivg.cloudfront.net/Documentos/631/03254073479/6310325407347910092023223334.pdf","https://dpmzos25m8ivg.cloudfront.net/Documentos/631/03254073479/6310325407347910092023223334.pdf")</f>
        <v>https://dpmzos25m8ivg.cloudfront.net/Documentos/631/03254073479/6310325407347910092023223334.pdf</v>
      </c>
      <c r="H1274" s="4" t="s">
        <v>9857</v>
      </c>
    </row>
    <row r="1275" spans="1:8" x14ac:dyDescent="0.25">
      <c r="A1275" s="2" t="s">
        <v>1289</v>
      </c>
      <c r="B1275" s="3" t="s">
        <v>308</v>
      </c>
      <c r="C1275" s="3"/>
      <c r="D1275" s="3"/>
      <c r="E1275" s="4" t="str">
        <f>HYPERLINK("https://dpmzos25m8ivg.cloudfront.net/Documentos/631/03255957478/6310325595747809092023222942.pdf","https://dpmzos25m8ivg.cloudfront.net/Documentos/631/03255957478/6310325595747809092023222942.pdf")</f>
        <v>https://dpmzos25m8ivg.cloudfront.net/Documentos/631/03255957478/6310325595747809092023222942.pdf</v>
      </c>
      <c r="F1275" s="5" t="str">
        <f>HYPERLINK("https://dpmzos25m8ivg.cloudfront.net/Documentos/631/03255957478/6310325595747809092023222958.pdf","https://dpmzos25m8ivg.cloudfront.net/Documentos/631/03255957478/6310325595747809092023222958.pdf")</f>
        <v>https://dpmzos25m8ivg.cloudfront.net/Documentos/631/03255957478/6310325595747809092023222958.pdf</v>
      </c>
      <c r="G1275" s="5" t="str">
        <f>HYPERLINK("https://dpmzos25m8ivg.cloudfront.net/Documentos/631/03255957478/6310325595747809092023223014.pdf","https://dpmzos25m8ivg.cloudfront.net/Documentos/631/03255957478/6310325595747809092023223014.pdf")</f>
        <v>https://dpmzos25m8ivg.cloudfront.net/Documentos/631/03255957478/6310325595747809092023223014.pdf</v>
      </c>
      <c r="H1275" s="4" t="s">
        <v>9858</v>
      </c>
    </row>
    <row r="1276" spans="1:8" x14ac:dyDescent="0.25">
      <c r="A1276" s="2" t="s">
        <v>1290</v>
      </c>
      <c r="B1276" s="3"/>
      <c r="C1276" s="3"/>
      <c r="D1276" s="3"/>
      <c r="E1276" s="4" t="str">
        <f>HYPERLINK("https://dpmzos25m8ivg.cloudfront.net/Documentos/631/03259078894/6310325907889406092023180743.jpg","https://dpmzos25m8ivg.cloudfront.net/Documentos/631/03259078894/6310325907889406092023180743.jpg")</f>
        <v>https://dpmzos25m8ivg.cloudfront.net/Documentos/631/03259078894/6310325907889406092023180743.jpg</v>
      </c>
      <c r="F1276" s="5" t="str">
        <f>HYPERLINK("https://dpmzos25m8ivg.cloudfront.net/Documentos/631/03259078894/6310325907889406092023180833.jpg","https://dpmzos25m8ivg.cloudfront.net/Documentos/631/03259078894/6310325907889406092023180833.jpg")</f>
        <v>https://dpmzos25m8ivg.cloudfront.net/Documentos/631/03259078894/6310325907889406092023180833.jpg</v>
      </c>
      <c r="G1276" s="5" t="str">
        <f>HYPERLINK("https://dpmzos25m8ivg.cloudfront.net/Documentos/631/03259078894/6310325907889406092023180908.jpg","https://dpmzos25m8ivg.cloudfront.net/Documentos/631/03259078894/6310325907889406092023180908.jpg")</f>
        <v>https://dpmzos25m8ivg.cloudfront.net/Documentos/631/03259078894/6310325907889406092023180908.jpg</v>
      </c>
      <c r="H1276" s="4" t="s">
        <v>9859</v>
      </c>
    </row>
    <row r="1277" spans="1:8" x14ac:dyDescent="0.25">
      <c r="A1277" s="2" t="s">
        <v>1291</v>
      </c>
      <c r="B1277" s="3" t="s">
        <v>90</v>
      </c>
      <c r="C1277" s="3"/>
      <c r="D1277" s="3"/>
      <c r="E1277" s="4" t="str">
        <f>HYPERLINK("https://dpmzos25m8ivg.cloudfront.net/Documentos/631/03260559248/6310326055924806092023124911.pdf","https://dpmzos25m8ivg.cloudfront.net/Documentos/631/03260559248/6310326055924806092023124911.pdf")</f>
        <v>https://dpmzos25m8ivg.cloudfront.net/Documentos/631/03260559248/6310326055924806092023124911.pdf</v>
      </c>
      <c r="F1277" s="5" t="str">
        <f>HYPERLINK("https://dpmzos25m8ivg.cloudfront.net/Documentos/631/03260559248/6310326055924806092023124926.pdf","https://dpmzos25m8ivg.cloudfront.net/Documentos/631/03260559248/6310326055924806092023124926.pdf")</f>
        <v>https://dpmzos25m8ivg.cloudfront.net/Documentos/631/03260559248/6310326055924806092023124926.pdf</v>
      </c>
      <c r="G1277" s="5" t="str">
        <f>HYPERLINK("https://dpmzos25m8ivg.cloudfront.net/Documentos/631/03260559248/6310326055924806092023124939.pdf","https://dpmzos25m8ivg.cloudfront.net/Documentos/631/03260559248/6310326055924806092023124939.pdf")</f>
        <v>https://dpmzos25m8ivg.cloudfront.net/Documentos/631/03260559248/6310326055924806092023124939.pdf</v>
      </c>
      <c r="H1277" s="4" t="s">
        <v>9860</v>
      </c>
    </row>
    <row r="1278" spans="1:8" x14ac:dyDescent="0.25">
      <c r="A1278" s="2" t="s">
        <v>1292</v>
      </c>
      <c r="B1278" s="3"/>
      <c r="C1278" s="3"/>
      <c r="D1278" s="3"/>
      <c r="E1278" s="4" t="str">
        <f>HYPERLINK("https://dpmzos25m8ivg.cloudfront.net/Documentos/631/03261318414/6310326131841408092023144631.jpg","https://dpmzos25m8ivg.cloudfront.net/Documentos/631/03261318414/6310326131841408092023144631.jpg")</f>
        <v>https://dpmzos25m8ivg.cloudfront.net/Documentos/631/03261318414/6310326131841408092023144631.jpg</v>
      </c>
      <c r="F1278" s="5" t="str">
        <f>HYPERLINK("https://dpmzos25m8ivg.cloudfront.net/Documentos/631/03261318414/6310326131841408092023144725.jpg","https://dpmzos25m8ivg.cloudfront.net/Documentos/631/03261318414/6310326131841408092023144725.jpg")</f>
        <v>https://dpmzos25m8ivg.cloudfront.net/Documentos/631/03261318414/6310326131841408092023144725.jpg</v>
      </c>
      <c r="G1278" s="5" t="str">
        <f>HYPERLINK("https://dpmzos25m8ivg.cloudfront.net/Documentos/631/03261318414/6310326131841408092023144834.jpg","https://dpmzos25m8ivg.cloudfront.net/Documentos/631/03261318414/6310326131841408092023144834.jpg")</f>
        <v>https://dpmzos25m8ivg.cloudfront.net/Documentos/631/03261318414/6310326131841408092023144834.jpg</v>
      </c>
      <c r="H1278" s="4" t="s">
        <v>9861</v>
      </c>
    </row>
    <row r="1279" spans="1:8" x14ac:dyDescent="0.25">
      <c r="A1279" s="2" t="s">
        <v>1293</v>
      </c>
      <c r="B1279" s="3"/>
      <c r="C1279" s="3"/>
      <c r="D1279" s="3"/>
      <c r="E1279" s="4" t="str">
        <f>HYPERLINK("https://dpmzos25m8ivg.cloudfront.net/Documentos/631/03264636158/6310326463615811092023133802.pdf","https://dpmzos25m8ivg.cloudfront.net/Documentos/631/03264636158/6310326463615811092023133802.pdf")</f>
        <v>https://dpmzos25m8ivg.cloudfront.net/Documentos/631/03264636158/6310326463615811092023133802.pdf</v>
      </c>
      <c r="F1279" s="5" t="str">
        <f>HYPERLINK("https://dpmzos25m8ivg.cloudfront.net/Documentos/631/03264636158/6310326463615811092023133857.pdf","https://dpmzos25m8ivg.cloudfront.net/Documentos/631/03264636158/6310326463615811092023133857.pdf")</f>
        <v>https://dpmzos25m8ivg.cloudfront.net/Documentos/631/03264636158/6310326463615811092023133857.pdf</v>
      </c>
      <c r="G1279" s="5" t="str">
        <f>HYPERLINK("https://dpmzos25m8ivg.cloudfront.net/Documentos/631/03264636158/6310326463615811092023133933.pdf","https://dpmzos25m8ivg.cloudfront.net/Documentos/631/03264636158/6310326463615811092023133933.pdf")</f>
        <v>https://dpmzos25m8ivg.cloudfront.net/Documentos/631/03264636158/6310326463615811092023133933.pdf</v>
      </c>
      <c r="H1279" s="4" t="s">
        <v>9862</v>
      </c>
    </row>
    <row r="1280" spans="1:8" x14ac:dyDescent="0.25">
      <c r="A1280" s="2" t="s">
        <v>1294</v>
      </c>
      <c r="B1280" s="3"/>
      <c r="C1280" s="3"/>
      <c r="D1280" s="3"/>
      <c r="E1280" s="4" t="str">
        <f>HYPERLINK("https://dpmzos25m8ivg.cloudfront.net/Documentos/631/03264676109/6310326467610905092023161906.jpeg","https://dpmzos25m8ivg.cloudfront.net/Documentos/631/03264676109/6310326467610905092023161906.jpeg")</f>
        <v>https://dpmzos25m8ivg.cloudfront.net/Documentos/631/03264676109/6310326467610905092023161906.jpeg</v>
      </c>
      <c r="F1280" s="5" t="str">
        <f>HYPERLINK("https://dpmzos25m8ivg.cloudfront.net/Documentos/631/03264676109/6310326467610905092023161933.jpeg","https://dpmzos25m8ivg.cloudfront.net/Documentos/631/03264676109/6310326467610905092023161933.jpeg")</f>
        <v>https://dpmzos25m8ivg.cloudfront.net/Documentos/631/03264676109/6310326467610905092023161933.jpeg</v>
      </c>
      <c r="G1280" s="5" t="str">
        <f>HYPERLINK("https://dpmzos25m8ivg.cloudfront.net/Documentos/631/03264676109/6310326467610905092023161918.jpeg","https://dpmzos25m8ivg.cloudfront.net/Documentos/631/03264676109/6310326467610905092023161918.jpeg")</f>
        <v>https://dpmzos25m8ivg.cloudfront.net/Documentos/631/03264676109/6310326467610905092023161918.jpeg</v>
      </c>
      <c r="H1280" s="4" t="s">
        <v>9863</v>
      </c>
    </row>
    <row r="1281" spans="1:8" x14ac:dyDescent="0.25">
      <c r="A1281" s="2" t="s">
        <v>1295</v>
      </c>
      <c r="B1281" s="3"/>
      <c r="C1281" s="3"/>
      <c r="D1281" s="3"/>
      <c r="E1281" s="4" t="str">
        <f>HYPERLINK("https://dpmzos25m8ivg.cloudfront.net/Documentos/631/03265886123/6310326588612310092023184815.pdf","https://dpmzos25m8ivg.cloudfront.net/Documentos/631/03265886123/6310326588612310092023184815.pdf")</f>
        <v>https://dpmzos25m8ivg.cloudfront.net/Documentos/631/03265886123/6310326588612310092023184815.pdf</v>
      </c>
      <c r="F1281" s="5" t="str">
        <f>HYPERLINK("https://dpmzos25m8ivg.cloudfront.net/Documentos/631/03265886123/6310326588612310092023184836.pdf","https://dpmzos25m8ivg.cloudfront.net/Documentos/631/03265886123/6310326588612310092023184836.pdf")</f>
        <v>https://dpmzos25m8ivg.cloudfront.net/Documentos/631/03265886123/6310326588612310092023184836.pdf</v>
      </c>
      <c r="G1281" s="5" t="str">
        <f>HYPERLINK("https://dpmzos25m8ivg.cloudfront.net/Documentos/631/03265886123/6310326588612310092023184857.pdf","https://dpmzos25m8ivg.cloudfront.net/Documentos/631/03265886123/6310326588612310092023184857.pdf")</f>
        <v>https://dpmzos25m8ivg.cloudfront.net/Documentos/631/03265886123/6310326588612310092023184857.pdf</v>
      </c>
      <c r="H1281" s="4" t="s">
        <v>9864</v>
      </c>
    </row>
    <row r="1282" spans="1:8" x14ac:dyDescent="0.25">
      <c r="A1282" s="2" t="s">
        <v>1296</v>
      </c>
      <c r="B1282" s="3"/>
      <c r="C1282" s="3"/>
      <c r="D1282" s="3"/>
      <c r="E1282" s="4" t="str">
        <f>HYPERLINK("https://dpmzos25m8ivg.cloudfront.net/Documentos/631/03266416104/6310326641610411092023002351.pdf","https://dpmzos25m8ivg.cloudfront.net/Documentos/631/03266416104/6310326641610411092023002351.pdf")</f>
        <v>https://dpmzos25m8ivg.cloudfront.net/Documentos/631/03266416104/6310326641610411092023002351.pdf</v>
      </c>
      <c r="F1282" s="5" t="str">
        <f>HYPERLINK("https://dpmzos25m8ivg.cloudfront.net/Documentos/631/03266416104/6310326641610411092023002411.pdf","https://dpmzos25m8ivg.cloudfront.net/Documentos/631/03266416104/6310326641610411092023002411.pdf")</f>
        <v>https://dpmzos25m8ivg.cloudfront.net/Documentos/631/03266416104/6310326641610411092023002411.pdf</v>
      </c>
      <c r="G1282" s="5" t="str">
        <f>HYPERLINK("https://dpmzos25m8ivg.cloudfront.net/Documentos/631/03266416104/6310326641610411092023002430.pdf","https://dpmzos25m8ivg.cloudfront.net/Documentos/631/03266416104/6310326641610411092023002430.pdf")</f>
        <v>https://dpmzos25m8ivg.cloudfront.net/Documentos/631/03266416104/6310326641610411092023002430.pdf</v>
      </c>
      <c r="H1282" s="4" t="s">
        <v>9865</v>
      </c>
    </row>
    <row r="1283" spans="1:8" x14ac:dyDescent="0.25">
      <c r="A1283" s="2" t="s">
        <v>1297</v>
      </c>
      <c r="B1283" s="3"/>
      <c r="C1283" s="3"/>
      <c r="D1283" s="3"/>
      <c r="E1283" s="4" t="str">
        <f>HYPERLINK("https://dpmzos25m8ivg.cloudfront.net/Documentos/631/03266457218/6310326645721810092023173816.pdf","https://dpmzos25m8ivg.cloudfront.net/Documentos/631/03266457218/6310326645721810092023173816.pdf")</f>
        <v>https://dpmzos25m8ivg.cloudfront.net/Documentos/631/03266457218/6310326645721810092023173816.pdf</v>
      </c>
      <c r="F1283" s="5" t="str">
        <f>HYPERLINK("https://dpmzos25m8ivg.cloudfront.net/Documentos/631/03266457218/6310326645721810092023173839.pdf","https://dpmzos25m8ivg.cloudfront.net/Documentos/631/03266457218/6310326645721810092023173839.pdf")</f>
        <v>https://dpmzos25m8ivg.cloudfront.net/Documentos/631/03266457218/6310326645721810092023173839.pdf</v>
      </c>
      <c r="G1283" s="5" t="str">
        <f>HYPERLINK("https://dpmzos25m8ivg.cloudfront.net/Documentos/631/03266457218/6310326645721810092023173857.pdf","https://dpmzos25m8ivg.cloudfront.net/Documentos/631/03266457218/6310326645721810092023173857.pdf")</f>
        <v>https://dpmzos25m8ivg.cloudfront.net/Documentos/631/03266457218/6310326645721810092023173857.pdf</v>
      </c>
      <c r="H1283" s="4" t="s">
        <v>9866</v>
      </c>
    </row>
    <row r="1284" spans="1:8" x14ac:dyDescent="0.25">
      <c r="A1284" s="2" t="s">
        <v>1298</v>
      </c>
      <c r="B1284" s="3"/>
      <c r="C1284" s="3"/>
      <c r="D1284" s="3"/>
      <c r="E1284" s="4" t="str">
        <f>HYPERLINK("https://dpmzos25m8ivg.cloudfront.net/Documentos/631/03271466726/6310327146672604092023220235.jpg","https://dpmzos25m8ivg.cloudfront.net/Documentos/631/03271466726/6310327146672604092023220235.jpg")</f>
        <v>https://dpmzos25m8ivg.cloudfront.net/Documentos/631/03271466726/6310327146672604092023220235.jpg</v>
      </c>
      <c r="F1284" s="5" t="str">
        <f>HYPERLINK("https://dpmzos25m8ivg.cloudfront.net/Documentos/631/03271466726/6310327146672604092023220402.jpg","https://dpmzos25m8ivg.cloudfront.net/Documentos/631/03271466726/6310327146672604092023220402.jpg")</f>
        <v>https://dpmzos25m8ivg.cloudfront.net/Documentos/631/03271466726/6310327146672604092023220402.jpg</v>
      </c>
      <c r="G1284" s="5" t="str">
        <f>HYPERLINK("https://dpmzos25m8ivg.cloudfront.net/Documentos/631/03271466726/6310327146672604092023220731.jpg","https://dpmzos25m8ivg.cloudfront.net/Documentos/631/03271466726/6310327146672604092023220731.jpg")</f>
        <v>https://dpmzos25m8ivg.cloudfront.net/Documentos/631/03271466726/6310327146672604092023220731.jpg</v>
      </c>
      <c r="H1284" s="4" t="s">
        <v>9867</v>
      </c>
    </row>
    <row r="1285" spans="1:8" x14ac:dyDescent="0.25">
      <c r="A1285" s="2" t="s">
        <v>1299</v>
      </c>
      <c r="B1285" s="3"/>
      <c r="C1285" s="3"/>
      <c r="D1285" s="3"/>
      <c r="E1285" s="4" t="str">
        <f>HYPERLINK("https://dpmzos25m8ivg.cloudfront.net/Documentos/631/03273402580/6310327340258009092023180840.pdf","https://dpmzos25m8ivg.cloudfront.net/Documentos/631/03273402580/6310327340258009092023180840.pdf")</f>
        <v>https://dpmzos25m8ivg.cloudfront.net/Documentos/631/03273402580/6310327340258009092023180840.pdf</v>
      </c>
      <c r="F1285" s="5" t="str">
        <f>HYPERLINK("https://dpmzos25m8ivg.cloudfront.net/Documentos/631/03273402580/6310327340258009092023180854.pdf","https://dpmzos25m8ivg.cloudfront.net/Documentos/631/03273402580/6310327340258009092023180854.pdf")</f>
        <v>https://dpmzos25m8ivg.cloudfront.net/Documentos/631/03273402580/6310327340258009092023180854.pdf</v>
      </c>
      <c r="G1285" s="5" t="str">
        <f>HYPERLINK("https://dpmzos25m8ivg.cloudfront.net/Documentos/631/03273402580/6310327340258009092023180908.pdf","https://dpmzos25m8ivg.cloudfront.net/Documentos/631/03273402580/6310327340258009092023180908.pdf")</f>
        <v>https://dpmzos25m8ivg.cloudfront.net/Documentos/631/03273402580/6310327340258009092023180908.pdf</v>
      </c>
      <c r="H1285" s="4" t="s">
        <v>9868</v>
      </c>
    </row>
    <row r="1286" spans="1:8" x14ac:dyDescent="0.25">
      <c r="A1286" s="2" t="s">
        <v>1300</v>
      </c>
      <c r="B1286" s="3"/>
      <c r="C1286" s="3"/>
      <c r="D1286" s="3"/>
      <c r="E1286" s="4" t="str">
        <f>HYPERLINK("https://dpmzos25m8ivg.cloudfront.net/Documentos/631/03275668501/6310327566850107092023112349.pdf","https://dpmzos25m8ivg.cloudfront.net/Documentos/631/03275668501/6310327566850107092023112349.pdf")</f>
        <v>https://dpmzos25m8ivg.cloudfront.net/Documentos/631/03275668501/6310327566850107092023112349.pdf</v>
      </c>
      <c r="F1286" s="5" t="str">
        <f>HYPERLINK("https://dpmzos25m8ivg.cloudfront.net/Documentos/631/03275668501/6310327566850107092023112430.pdf","https://dpmzos25m8ivg.cloudfront.net/Documentos/631/03275668501/6310327566850107092023112430.pdf")</f>
        <v>https://dpmzos25m8ivg.cloudfront.net/Documentos/631/03275668501/6310327566850107092023112430.pdf</v>
      </c>
      <c r="G1286" s="5" t="str">
        <f>HYPERLINK("https://dpmzos25m8ivg.cloudfront.net/Documentos/631/03275668501/6310327566850107092023112447.pdf","https://dpmzos25m8ivg.cloudfront.net/Documentos/631/03275668501/6310327566850107092023112447.pdf")</f>
        <v>https://dpmzos25m8ivg.cloudfront.net/Documentos/631/03275668501/6310327566850107092023112447.pdf</v>
      </c>
      <c r="H1286" s="4" t="s">
        <v>9869</v>
      </c>
    </row>
    <row r="1287" spans="1:8" x14ac:dyDescent="0.25">
      <c r="A1287" s="2" t="s">
        <v>1301</v>
      </c>
      <c r="B1287" s="3"/>
      <c r="C1287" s="3"/>
      <c r="D1287" s="3"/>
      <c r="E1287" s="4" t="str">
        <f>HYPERLINK("https://dpmzos25m8ivg.cloudfront.net/Documentos/631/03276684586/6310327668458610092023214726.jpeg","https://dpmzos25m8ivg.cloudfront.net/Documentos/631/03276684586/6310327668458610092023214726.jpeg")</f>
        <v>https://dpmzos25m8ivg.cloudfront.net/Documentos/631/03276684586/6310327668458610092023214726.jpeg</v>
      </c>
      <c r="F1287" s="5" t="str">
        <f>HYPERLINK("https://dpmzos25m8ivg.cloudfront.net/Documentos/631/03276684586/6310327668458610092023214904.jpeg","https://dpmzos25m8ivg.cloudfront.net/Documentos/631/03276684586/6310327668458610092023214904.jpeg")</f>
        <v>https://dpmzos25m8ivg.cloudfront.net/Documentos/631/03276684586/6310327668458610092023214904.jpeg</v>
      </c>
      <c r="G1287" s="5" t="str">
        <f>HYPERLINK("https://dpmzos25m8ivg.cloudfront.net/Documentos/631/03276684586/6310327668458610092023214916.jpeg","https://dpmzos25m8ivg.cloudfront.net/Documentos/631/03276684586/6310327668458610092023214916.jpeg")</f>
        <v>https://dpmzos25m8ivg.cloudfront.net/Documentos/631/03276684586/6310327668458610092023214916.jpeg</v>
      </c>
      <c r="H1287" s="4" t="s">
        <v>9870</v>
      </c>
    </row>
    <row r="1288" spans="1:8" x14ac:dyDescent="0.25">
      <c r="A1288" s="2" t="s">
        <v>1302</v>
      </c>
      <c r="B1288" s="3"/>
      <c r="C1288" s="3"/>
      <c r="D1288" s="3"/>
      <c r="E1288" s="4" t="str">
        <f>HYPERLINK("https://dpmzos25m8ivg.cloudfront.net/Documentos/631/03279890098/6310327989009808092023190515.jpeg","https://dpmzos25m8ivg.cloudfront.net/Documentos/631/03279890098/6310327989009808092023190515.jpeg")</f>
        <v>https://dpmzos25m8ivg.cloudfront.net/Documentos/631/03279890098/6310327989009808092023190515.jpeg</v>
      </c>
      <c r="F1288" s="5" t="str">
        <f>HYPERLINK("https://dpmzos25m8ivg.cloudfront.net/Documentos/631/03279890098/6310327989009808092023190532.jpeg","https://dpmzos25m8ivg.cloudfront.net/Documentos/631/03279890098/6310327989009808092023190532.jpeg")</f>
        <v>https://dpmzos25m8ivg.cloudfront.net/Documentos/631/03279890098/6310327989009808092023190532.jpeg</v>
      </c>
      <c r="G1288" s="5" t="str">
        <f>HYPERLINK("https://dpmzos25m8ivg.cloudfront.net/Documentos/631/03279890098/6310327989009808092023190549.jpeg","https://dpmzos25m8ivg.cloudfront.net/Documentos/631/03279890098/6310327989009808092023190549.jpeg")</f>
        <v>https://dpmzos25m8ivg.cloudfront.net/Documentos/631/03279890098/6310327989009808092023190549.jpeg</v>
      </c>
      <c r="H1288" s="4" t="s">
        <v>9871</v>
      </c>
    </row>
    <row r="1289" spans="1:8" x14ac:dyDescent="0.25">
      <c r="A1289" s="2" t="s">
        <v>1303</v>
      </c>
      <c r="B1289" s="3"/>
      <c r="C1289" s="3"/>
      <c r="D1289" s="3"/>
      <c r="E1289" s="4" t="str">
        <f>HYPERLINK("https://dpmzos25m8ivg.cloudfront.net/Documentos/631/03280978297/6310328097829711092023150830.jpeg","https://dpmzos25m8ivg.cloudfront.net/Documentos/631/03280978297/6310328097829711092023150830.jpeg")</f>
        <v>https://dpmzos25m8ivg.cloudfront.net/Documentos/631/03280978297/6310328097829711092023150830.jpeg</v>
      </c>
      <c r="F1289" s="5" t="str">
        <f>HYPERLINK("https://dpmzos25m8ivg.cloudfront.net/Documentos/631/03280978297/6310328097829711092023150853.jpeg","https://dpmzos25m8ivg.cloudfront.net/Documentos/631/03280978297/6310328097829711092023150853.jpeg")</f>
        <v>https://dpmzos25m8ivg.cloudfront.net/Documentos/631/03280978297/6310328097829711092023150853.jpeg</v>
      </c>
      <c r="G1289" s="5" t="str">
        <f>HYPERLINK("https://dpmzos25m8ivg.cloudfront.net/Documentos/631/03280978297/6310328097829711092023150906.jpeg","https://dpmzos25m8ivg.cloudfront.net/Documentos/631/03280978297/6310328097829711092023150906.jpeg")</f>
        <v>https://dpmzos25m8ivg.cloudfront.net/Documentos/631/03280978297/6310328097829711092023150906.jpeg</v>
      </c>
      <c r="H1289" s="4" t="s">
        <v>9872</v>
      </c>
    </row>
    <row r="1290" spans="1:8" x14ac:dyDescent="0.25">
      <c r="A1290" s="2" t="s">
        <v>1304</v>
      </c>
      <c r="B1290" s="3"/>
      <c r="C1290" s="3"/>
      <c r="D1290" s="3"/>
      <c r="E1290" s="4" t="str">
        <f>HYPERLINK("https://dpmzos25m8ivg.cloudfront.net/Documentos/631/03281036163/6310328103616311092023125445.jpg","https://dpmzos25m8ivg.cloudfront.net/Documentos/631/03281036163/6310328103616311092023125445.jpg")</f>
        <v>https://dpmzos25m8ivg.cloudfront.net/Documentos/631/03281036163/6310328103616311092023125445.jpg</v>
      </c>
      <c r="F1290" s="5" t="str">
        <f>HYPERLINK("https://dpmzos25m8ivg.cloudfront.net/Documentos/631/03281036163/6310328103616311092023125452.jpg","https://dpmzos25m8ivg.cloudfront.net/Documentos/631/03281036163/6310328103616311092023125452.jpg")</f>
        <v>https://dpmzos25m8ivg.cloudfront.net/Documentos/631/03281036163/6310328103616311092023125452.jpg</v>
      </c>
      <c r="G1290" s="5" t="str">
        <f>HYPERLINK("https://dpmzos25m8ivg.cloudfront.net/Documentos/631/03281036163/6310328103616311092023125458.jpg","https://dpmzos25m8ivg.cloudfront.net/Documentos/631/03281036163/6310328103616311092023125458.jpg")</f>
        <v>https://dpmzos25m8ivg.cloudfront.net/Documentos/631/03281036163/6310328103616311092023125458.jpg</v>
      </c>
      <c r="H1290" s="4" t="s">
        <v>9873</v>
      </c>
    </row>
    <row r="1291" spans="1:8" x14ac:dyDescent="0.25">
      <c r="A1291" s="2" t="s">
        <v>1305</v>
      </c>
      <c r="B1291" s="3"/>
      <c r="C1291" s="3"/>
      <c r="D1291" s="3"/>
      <c r="E1291" s="4" t="str">
        <f>HYPERLINK("https://dpmzos25m8ivg.cloudfront.net/Documentos/631/03286199575/6310328619957510092023182632.pdf","https://dpmzos25m8ivg.cloudfront.net/Documentos/631/03286199575/6310328619957510092023182632.pdf")</f>
        <v>https://dpmzos25m8ivg.cloudfront.net/Documentos/631/03286199575/6310328619957510092023182632.pdf</v>
      </c>
      <c r="F1291" s="5" t="str">
        <f>HYPERLINK("https://dpmzos25m8ivg.cloudfront.net/Documentos/631/03286199575/6310328619957510092023182843.pdf","https://dpmzos25m8ivg.cloudfront.net/Documentos/631/03286199575/6310328619957510092023182843.pdf")</f>
        <v>https://dpmzos25m8ivg.cloudfront.net/Documentos/631/03286199575/6310328619957510092023182843.pdf</v>
      </c>
      <c r="G1291" s="5" t="str">
        <f>HYPERLINK("https://dpmzos25m8ivg.cloudfront.net/Documentos/631/03286199575/6310328619957510092023182851.pdf","https://dpmzos25m8ivg.cloudfront.net/Documentos/631/03286199575/6310328619957510092023182851.pdf")</f>
        <v>https://dpmzos25m8ivg.cloudfront.net/Documentos/631/03286199575/6310328619957510092023182851.pdf</v>
      </c>
      <c r="H1291" s="4" t="s">
        <v>9874</v>
      </c>
    </row>
    <row r="1292" spans="1:8" x14ac:dyDescent="0.25">
      <c r="A1292" s="2" t="s">
        <v>1306</v>
      </c>
      <c r="B1292" s="3"/>
      <c r="C1292" s="3"/>
      <c r="D1292" s="3"/>
      <c r="E1292" s="4" t="str">
        <f>HYPERLINK("https://dpmzos25m8ivg.cloudfront.net/Documentos/631/03288521040/6310328852104008092023095249.pdf","https://dpmzos25m8ivg.cloudfront.net/Documentos/631/03288521040/6310328852104008092023095249.pdf")</f>
        <v>https://dpmzos25m8ivg.cloudfront.net/Documentos/631/03288521040/6310328852104008092023095249.pdf</v>
      </c>
      <c r="F1292" s="5" t="str">
        <f>HYPERLINK("https://dpmzos25m8ivg.cloudfront.net/Documentos/631/03288521040/6310328852104008092023100630.pdf","https://dpmzos25m8ivg.cloudfront.net/Documentos/631/03288521040/6310328852104008092023100630.pdf")</f>
        <v>https://dpmzos25m8ivg.cloudfront.net/Documentos/631/03288521040/6310328852104008092023100630.pdf</v>
      </c>
      <c r="G1292" s="5" t="str">
        <f>HYPERLINK("https://dpmzos25m8ivg.cloudfront.net/Documentos/631/03288521040/6310328852104008092023100637.pdf","https://dpmzos25m8ivg.cloudfront.net/Documentos/631/03288521040/6310328852104008092023100637.pdf")</f>
        <v>https://dpmzos25m8ivg.cloudfront.net/Documentos/631/03288521040/6310328852104008092023100637.pdf</v>
      </c>
      <c r="H1292" s="4" t="s">
        <v>9875</v>
      </c>
    </row>
    <row r="1293" spans="1:8" x14ac:dyDescent="0.25">
      <c r="A1293" s="2" t="s">
        <v>1307</v>
      </c>
      <c r="B1293" s="3"/>
      <c r="C1293" s="3"/>
      <c r="D1293" s="3"/>
      <c r="E1293" s="4" t="str">
        <f>HYPERLINK("https://dpmzos25m8ivg.cloudfront.net/Documentos/631/03290141101/6310329014110106092023163623.pdf","https://dpmzos25m8ivg.cloudfront.net/Documentos/631/03290141101/6310329014110106092023163623.pdf")</f>
        <v>https://dpmzos25m8ivg.cloudfront.net/Documentos/631/03290141101/6310329014110106092023163623.pdf</v>
      </c>
      <c r="F1293" s="5" t="str">
        <f>HYPERLINK("https://dpmzos25m8ivg.cloudfront.net/Documentos/631/03290141101/6310329014110106092023163631.pdf","https://dpmzos25m8ivg.cloudfront.net/Documentos/631/03290141101/6310329014110106092023163631.pdf")</f>
        <v>https://dpmzos25m8ivg.cloudfront.net/Documentos/631/03290141101/6310329014110106092023163631.pdf</v>
      </c>
      <c r="G1293" s="5" t="str">
        <f>HYPERLINK("https://dpmzos25m8ivg.cloudfront.net/Documentos/631/03290141101/6310329014110106092023163638.pdf","https://dpmzos25m8ivg.cloudfront.net/Documentos/631/03290141101/6310329014110106092023163638.pdf")</f>
        <v>https://dpmzos25m8ivg.cloudfront.net/Documentos/631/03290141101/6310329014110106092023163638.pdf</v>
      </c>
      <c r="H1293" s="4" t="s">
        <v>9876</v>
      </c>
    </row>
    <row r="1294" spans="1:8" x14ac:dyDescent="0.25">
      <c r="A1294" s="2" t="s">
        <v>1308</v>
      </c>
      <c r="B1294" s="3"/>
      <c r="C1294" s="3"/>
      <c r="D1294" s="3"/>
      <c r="E1294" s="4" t="str">
        <f>HYPERLINK("https://dpmzos25m8ivg.cloudfront.net/Documentos/631/03290499332/6310329049933214092023152406.jpeg","https://dpmzos25m8ivg.cloudfront.net/Documentos/631/03290499332/6310329049933214092023152406.jpeg")</f>
        <v>https://dpmzos25m8ivg.cloudfront.net/Documentos/631/03290499332/6310329049933214092023152406.jpeg</v>
      </c>
      <c r="F1294" s="5" t="str">
        <f>HYPERLINK("https://dpmzos25m8ivg.cloudfront.net/Documentos/631/03290499332/6310329049933214092023152456.jpeg","https://dpmzos25m8ivg.cloudfront.net/Documentos/631/03290499332/6310329049933214092023152456.jpeg")</f>
        <v>https://dpmzos25m8ivg.cloudfront.net/Documentos/631/03290499332/6310329049933214092023152456.jpeg</v>
      </c>
      <c r="G1294" s="5" t="str">
        <f>HYPERLINK("https://dpmzos25m8ivg.cloudfront.net/Documentos/631/03290499332/6310329049933214092023152600.jpeg","https://dpmzos25m8ivg.cloudfront.net/Documentos/631/03290499332/6310329049933214092023152600.jpeg")</f>
        <v>https://dpmzos25m8ivg.cloudfront.net/Documentos/631/03290499332/6310329049933214092023152600.jpeg</v>
      </c>
      <c r="H1294" s="4" t="s">
        <v>9877</v>
      </c>
    </row>
    <row r="1295" spans="1:8" x14ac:dyDescent="0.25">
      <c r="A1295" s="2" t="s">
        <v>1309</v>
      </c>
      <c r="B1295" s="3"/>
      <c r="C1295" s="3"/>
      <c r="D1295" s="3"/>
      <c r="E1295" s="4" t="str">
        <f>HYPERLINK("https://dpmzos25m8ivg.cloudfront.net/Documentos/631/03291536177/6310329153617705092023092907.pdf","https://dpmzos25m8ivg.cloudfront.net/Documentos/631/03291536177/6310329153617705092023092907.pdf")</f>
        <v>https://dpmzos25m8ivg.cloudfront.net/Documentos/631/03291536177/6310329153617705092023092907.pdf</v>
      </c>
      <c r="F1295" s="5" t="str">
        <f>HYPERLINK("https://dpmzos25m8ivg.cloudfront.net/Documentos/631/03291536177/6310329153617705092023092915.pdf","https://dpmzos25m8ivg.cloudfront.net/Documentos/631/03291536177/6310329153617705092023092915.pdf")</f>
        <v>https://dpmzos25m8ivg.cloudfront.net/Documentos/631/03291536177/6310329153617705092023092915.pdf</v>
      </c>
      <c r="G1295" s="5" t="str">
        <f>HYPERLINK("https://dpmzos25m8ivg.cloudfront.net/Documentos/631/03291536177/6310329153617705092023092921.pdf","https://dpmzos25m8ivg.cloudfront.net/Documentos/631/03291536177/6310329153617705092023092921.pdf")</f>
        <v>https://dpmzos25m8ivg.cloudfront.net/Documentos/631/03291536177/6310329153617705092023092921.pdf</v>
      </c>
      <c r="H1295" s="4" t="s">
        <v>9878</v>
      </c>
    </row>
    <row r="1296" spans="1:8" x14ac:dyDescent="0.25">
      <c r="A1296" s="2" t="s">
        <v>1310</v>
      </c>
      <c r="B1296" s="3"/>
      <c r="C1296" s="3"/>
      <c r="D1296" s="3"/>
      <c r="E1296" s="4" t="str">
        <f>HYPERLINK("https://dpmzos25m8ivg.cloudfront.net/Documentos/631/03293010636/6310329301063605092023205233.jpg","https://dpmzos25m8ivg.cloudfront.net/Documentos/631/03293010636/6310329301063605092023205233.jpg")</f>
        <v>https://dpmzos25m8ivg.cloudfront.net/Documentos/631/03293010636/6310329301063605092023205233.jpg</v>
      </c>
      <c r="F1296" s="5" t="str">
        <f>HYPERLINK("https://dpmzos25m8ivg.cloudfront.net/Documentos/631/03293010636/6310329301063605092023205300.jpg","https://dpmzos25m8ivg.cloudfront.net/Documentos/631/03293010636/6310329301063605092023205300.jpg")</f>
        <v>https://dpmzos25m8ivg.cloudfront.net/Documentos/631/03293010636/6310329301063605092023205300.jpg</v>
      </c>
      <c r="G1296" s="5" t="str">
        <f>HYPERLINK("https://dpmzos25m8ivg.cloudfront.net/Documentos/631/03293010636/6310329301063605092023205323.jpg","https://dpmzos25m8ivg.cloudfront.net/Documentos/631/03293010636/6310329301063605092023205323.jpg")</f>
        <v>https://dpmzos25m8ivg.cloudfront.net/Documentos/631/03293010636/6310329301063605092023205323.jpg</v>
      </c>
      <c r="H1296" s="4" t="s">
        <v>9879</v>
      </c>
    </row>
    <row r="1297" spans="1:8" x14ac:dyDescent="0.25">
      <c r="A1297" s="2" t="s">
        <v>1311</v>
      </c>
      <c r="B1297" s="3"/>
      <c r="C1297" s="3"/>
      <c r="D1297" s="3"/>
      <c r="E1297" s="4" t="str">
        <f>HYPERLINK("https://dpmzos25m8ivg.cloudfront.net/Documentos/631/03293634176/6310329363417611092023130817.jpg","https://dpmzos25m8ivg.cloudfront.net/Documentos/631/03293634176/6310329363417611092023130817.jpg")</f>
        <v>https://dpmzos25m8ivg.cloudfront.net/Documentos/631/03293634176/6310329363417611092023130817.jpg</v>
      </c>
      <c r="F1297" s="5" t="str">
        <f>HYPERLINK("https://dpmzos25m8ivg.cloudfront.net/Documentos/631/03293634176/6310329363417611092023130830.jpg","https://dpmzos25m8ivg.cloudfront.net/Documentos/631/03293634176/6310329363417611092023130830.jpg")</f>
        <v>https://dpmzos25m8ivg.cloudfront.net/Documentos/631/03293634176/6310329363417611092023130830.jpg</v>
      </c>
      <c r="G1297" s="5" t="str">
        <f>HYPERLINK("https://dpmzos25m8ivg.cloudfront.net/Documentos/631/03293634176/6310329363417611092023130844.jpg","https://dpmzos25m8ivg.cloudfront.net/Documentos/631/03293634176/6310329363417611092023130844.jpg")</f>
        <v>https://dpmzos25m8ivg.cloudfront.net/Documentos/631/03293634176/6310329363417611092023130844.jpg</v>
      </c>
      <c r="H1297" s="4" t="s">
        <v>9880</v>
      </c>
    </row>
    <row r="1298" spans="1:8" x14ac:dyDescent="0.25">
      <c r="A1298" s="2" t="s">
        <v>1312</v>
      </c>
      <c r="B1298" s="3"/>
      <c r="C1298" s="3"/>
      <c r="D1298" s="3"/>
      <c r="E1298" s="4" t="str">
        <f>HYPERLINK("https://dpmzos25m8ivg.cloudfront.net/Documentos/631/03295359350/6310329535935005092023103824.pdf","https://dpmzos25m8ivg.cloudfront.net/Documentos/631/03295359350/6310329535935005092023103824.pdf")</f>
        <v>https://dpmzos25m8ivg.cloudfront.net/Documentos/631/03295359350/6310329535935005092023103824.pdf</v>
      </c>
      <c r="F1298" s="5" t="str">
        <f>HYPERLINK("https://dpmzos25m8ivg.cloudfront.net/Documentos/631/03295359350/6310329535935005092023103836.pdf","https://dpmzos25m8ivg.cloudfront.net/Documentos/631/03295359350/6310329535935005092023103836.pdf")</f>
        <v>https://dpmzos25m8ivg.cloudfront.net/Documentos/631/03295359350/6310329535935005092023103836.pdf</v>
      </c>
      <c r="G1298" s="5" t="str">
        <f>HYPERLINK("https://dpmzos25m8ivg.cloudfront.net/Documentos/631/03295359350/6310329535935005092023103848.pdf","https://dpmzos25m8ivg.cloudfront.net/Documentos/631/03295359350/6310329535935005092023103848.pdf")</f>
        <v>https://dpmzos25m8ivg.cloudfront.net/Documentos/631/03295359350/6310329535935005092023103848.pdf</v>
      </c>
      <c r="H1298" s="4" t="s">
        <v>9881</v>
      </c>
    </row>
    <row r="1299" spans="1:8" x14ac:dyDescent="0.25">
      <c r="A1299" s="2" t="s">
        <v>1313</v>
      </c>
      <c r="B1299" s="3"/>
      <c r="C1299" s="3"/>
      <c r="D1299" s="3"/>
      <c r="E1299" s="4" t="str">
        <f>HYPERLINK("https://dpmzos25m8ivg.cloudfront.net/Documentos/631/03296896147/6310329689614711092023163441.pdf","https://dpmzos25m8ivg.cloudfront.net/Documentos/631/03296896147/6310329689614711092023163441.pdf")</f>
        <v>https://dpmzos25m8ivg.cloudfront.net/Documentos/631/03296896147/6310329689614711092023163441.pdf</v>
      </c>
      <c r="F1299" s="5" t="str">
        <f>HYPERLINK("https://dpmzos25m8ivg.cloudfront.net/Documentos/631/03296896147/6310329689614711092023163459.pdf","https://dpmzos25m8ivg.cloudfront.net/Documentos/631/03296896147/6310329689614711092023163459.pdf")</f>
        <v>https://dpmzos25m8ivg.cloudfront.net/Documentos/631/03296896147/6310329689614711092023163459.pdf</v>
      </c>
      <c r="G1299" s="5" t="str">
        <f>HYPERLINK("https://dpmzos25m8ivg.cloudfront.net/Documentos/631/03296896147/6310329689614711092023163517.pdf","https://dpmzos25m8ivg.cloudfront.net/Documentos/631/03296896147/6310329689614711092023163517.pdf")</f>
        <v>https://dpmzos25m8ivg.cloudfront.net/Documentos/631/03296896147/6310329689614711092023163517.pdf</v>
      </c>
      <c r="H1299" s="4" t="s">
        <v>9882</v>
      </c>
    </row>
    <row r="1300" spans="1:8" x14ac:dyDescent="0.25">
      <c r="A1300" s="2" t="s">
        <v>1314</v>
      </c>
      <c r="B1300" s="3"/>
      <c r="C1300" s="3"/>
      <c r="D1300" s="3"/>
      <c r="E1300" s="4" t="str">
        <f>HYPERLINK("https://dpmzos25m8ivg.cloudfront.net/Documentos/631/03297509686/6310329750968611092023142923.pdf","https://dpmzos25m8ivg.cloudfront.net/Documentos/631/03297509686/6310329750968611092023142923.pdf")</f>
        <v>https://dpmzos25m8ivg.cloudfront.net/Documentos/631/03297509686/6310329750968611092023142923.pdf</v>
      </c>
      <c r="F1300" s="5" t="str">
        <f>HYPERLINK("https://dpmzos25m8ivg.cloudfront.net/Documentos/631/03297509686/6310329750968611092023143023.pdf","https://dpmzos25m8ivg.cloudfront.net/Documentos/631/03297509686/6310329750968611092023143023.pdf")</f>
        <v>https://dpmzos25m8ivg.cloudfront.net/Documentos/631/03297509686/6310329750968611092023143023.pdf</v>
      </c>
      <c r="G1300" s="5" t="str">
        <f>HYPERLINK("https://dpmzos25m8ivg.cloudfront.net/Documentos/631/03297509686/6310329750968611092023143055.pdf","https://dpmzos25m8ivg.cloudfront.net/Documentos/631/03297509686/6310329750968611092023143055.pdf")</f>
        <v>https://dpmzos25m8ivg.cloudfront.net/Documentos/631/03297509686/6310329750968611092023143055.pdf</v>
      </c>
      <c r="H1300" s="4" t="s">
        <v>9883</v>
      </c>
    </row>
    <row r="1301" spans="1:8" x14ac:dyDescent="0.25">
      <c r="A1301" s="2" t="s">
        <v>1315</v>
      </c>
      <c r="B1301" s="3"/>
      <c r="C1301" s="3"/>
      <c r="D1301" s="3"/>
      <c r="E1301" s="4" t="str">
        <f>HYPERLINK("https://dpmzos25m8ivg.cloudfront.net/Documentos/631/03299195204/6310329919520408092023004733.pdf","https://dpmzos25m8ivg.cloudfront.net/Documentos/631/03299195204/6310329919520408092023004733.pdf")</f>
        <v>https://dpmzos25m8ivg.cloudfront.net/Documentos/631/03299195204/6310329919520408092023004733.pdf</v>
      </c>
      <c r="F1301" s="5" t="str">
        <f>HYPERLINK("https://dpmzos25m8ivg.cloudfront.net/Documentos/631/03299195204/6310329919520407092023220229.pdf","https://dpmzos25m8ivg.cloudfront.net/Documentos/631/03299195204/6310329919520407092023220229.pdf")</f>
        <v>https://dpmzos25m8ivg.cloudfront.net/Documentos/631/03299195204/6310329919520407092023220229.pdf</v>
      </c>
      <c r="G1301" s="5" t="str">
        <f>HYPERLINK("https://dpmzos25m8ivg.cloudfront.net/Documentos/631/03299195204/6310329919520407092023220236.pdf","https://dpmzos25m8ivg.cloudfront.net/Documentos/631/03299195204/6310329919520407092023220236.pdf")</f>
        <v>https://dpmzos25m8ivg.cloudfront.net/Documentos/631/03299195204/6310329919520407092023220236.pdf</v>
      </c>
      <c r="H1301" s="4" t="s">
        <v>9884</v>
      </c>
    </row>
    <row r="1302" spans="1:8" x14ac:dyDescent="0.25">
      <c r="A1302" s="2" t="s">
        <v>1316</v>
      </c>
      <c r="B1302" s="3"/>
      <c r="C1302" s="3"/>
      <c r="D1302" s="3"/>
      <c r="E1302" s="4" t="str">
        <f>HYPERLINK("https://dpmzos25m8ivg.cloudfront.net/Documentos/631/03299254073/6310329925407309092023180805.jpg","https://dpmzos25m8ivg.cloudfront.net/Documentos/631/03299254073/6310329925407309092023180805.jpg")</f>
        <v>https://dpmzos25m8ivg.cloudfront.net/Documentos/631/03299254073/6310329925407309092023180805.jpg</v>
      </c>
      <c r="F1302" s="5" t="str">
        <f>HYPERLINK("https://dpmzos25m8ivg.cloudfront.net/Documentos/631/03299254073/6310329925407309092023180821.jpg","https://dpmzos25m8ivg.cloudfront.net/Documentos/631/03299254073/6310329925407309092023180821.jpg")</f>
        <v>https://dpmzos25m8ivg.cloudfront.net/Documentos/631/03299254073/6310329925407309092023180821.jpg</v>
      </c>
      <c r="G1302" s="5" t="str">
        <f>HYPERLINK("https://dpmzos25m8ivg.cloudfront.net/Documentos/631/03299254073/6310329925407309092023180831.jpg","https://dpmzos25m8ivg.cloudfront.net/Documentos/631/03299254073/6310329925407309092023180831.jpg")</f>
        <v>https://dpmzos25m8ivg.cloudfront.net/Documentos/631/03299254073/6310329925407309092023180831.jpg</v>
      </c>
      <c r="H1302" s="4" t="s">
        <v>9885</v>
      </c>
    </row>
    <row r="1303" spans="1:8" x14ac:dyDescent="0.25">
      <c r="A1303" s="2" t="s">
        <v>1317</v>
      </c>
      <c r="B1303" s="3"/>
      <c r="C1303" s="3"/>
      <c r="D1303" s="3"/>
      <c r="E1303" s="4" t="str">
        <f>HYPERLINK("https://dpmzos25m8ivg.cloudfront.net/Documentos/631/03299790510/6310329979051011092023154355.pdf","https://dpmzos25m8ivg.cloudfront.net/Documentos/631/03299790510/6310329979051011092023154355.pdf")</f>
        <v>https://dpmzos25m8ivg.cloudfront.net/Documentos/631/03299790510/6310329979051011092023154355.pdf</v>
      </c>
      <c r="F1303" s="5" t="str">
        <f>HYPERLINK("https://dpmzos25m8ivg.cloudfront.net/Documentos/631/03299790510/6310329979051011092023154401.pdf","https://dpmzos25m8ivg.cloudfront.net/Documentos/631/03299790510/6310329979051011092023154401.pdf")</f>
        <v>https://dpmzos25m8ivg.cloudfront.net/Documentos/631/03299790510/6310329979051011092023154401.pdf</v>
      </c>
      <c r="G1303" s="5" t="str">
        <f>HYPERLINK("https://dpmzos25m8ivg.cloudfront.net/Documentos/631/03299790510/6310329979051011092023154409.pdf","https://dpmzos25m8ivg.cloudfront.net/Documentos/631/03299790510/6310329979051011092023154409.pdf")</f>
        <v>https://dpmzos25m8ivg.cloudfront.net/Documentos/631/03299790510/6310329979051011092023154409.pdf</v>
      </c>
      <c r="H1303" s="4" t="s">
        <v>9886</v>
      </c>
    </row>
    <row r="1304" spans="1:8" x14ac:dyDescent="0.25">
      <c r="A1304" s="2" t="s">
        <v>1318</v>
      </c>
      <c r="B1304" s="3"/>
      <c r="C1304" s="3"/>
      <c r="D1304" s="3"/>
      <c r="E1304" s="4" t="str">
        <f>HYPERLINK("https://dpmzos25m8ivg.cloudfront.net/Documentos/631/03301595189/6310330159518910092023230818.pdf","https://dpmzos25m8ivg.cloudfront.net/Documentos/631/03301595189/6310330159518910092023230818.pdf")</f>
        <v>https://dpmzos25m8ivg.cloudfront.net/Documentos/631/03301595189/6310330159518910092023230818.pdf</v>
      </c>
      <c r="F1304" s="5" t="str">
        <f>HYPERLINK("https://dpmzos25m8ivg.cloudfront.net/Documentos/631/03301595189/6310330159518910092023230833.pdf","https://dpmzos25m8ivg.cloudfront.net/Documentos/631/03301595189/6310330159518910092023230833.pdf")</f>
        <v>https://dpmzos25m8ivg.cloudfront.net/Documentos/631/03301595189/6310330159518910092023230833.pdf</v>
      </c>
      <c r="G1304" s="5" t="str">
        <f>HYPERLINK("https://dpmzos25m8ivg.cloudfront.net/Documentos/631/03301595189/6310330159518910092023230914.jpeg","https://dpmzos25m8ivg.cloudfront.net/Documentos/631/03301595189/6310330159518910092023230914.jpeg")</f>
        <v>https://dpmzos25m8ivg.cloudfront.net/Documentos/631/03301595189/6310330159518910092023230914.jpeg</v>
      </c>
      <c r="H1304" s="4" t="s">
        <v>9887</v>
      </c>
    </row>
    <row r="1305" spans="1:8" x14ac:dyDescent="0.25">
      <c r="A1305" s="2" t="s">
        <v>1319</v>
      </c>
      <c r="B1305" s="3"/>
      <c r="C1305" s="3"/>
      <c r="D1305" s="3"/>
      <c r="E1305" s="4" t="str">
        <f>HYPERLINK("https://dpmzos25m8ivg.cloudfront.net/Documentos/631/03304904271/6310330490427111092023130954.pdf","https://dpmzos25m8ivg.cloudfront.net/Documentos/631/03304904271/6310330490427111092023130954.pdf")</f>
        <v>https://dpmzos25m8ivg.cloudfront.net/Documentos/631/03304904271/6310330490427111092023130954.pdf</v>
      </c>
      <c r="F1305" s="5" t="str">
        <f>HYPERLINK("https://dpmzos25m8ivg.cloudfront.net/Documentos/631/03304904271/6310330490427111092023131005.pdf","https://dpmzos25m8ivg.cloudfront.net/Documentos/631/03304904271/6310330490427111092023131005.pdf")</f>
        <v>https://dpmzos25m8ivg.cloudfront.net/Documentos/631/03304904271/6310330490427111092023131005.pdf</v>
      </c>
      <c r="G1305" s="5" t="str">
        <f>HYPERLINK("https://dpmzos25m8ivg.cloudfront.net/Documentos/631/03304904271/6310330490427111092023131028.pdf","https://dpmzos25m8ivg.cloudfront.net/Documentos/631/03304904271/6310330490427111092023131028.pdf")</f>
        <v>https://dpmzos25m8ivg.cloudfront.net/Documentos/631/03304904271/6310330490427111092023131028.pdf</v>
      </c>
      <c r="H1305" s="4" t="s">
        <v>9888</v>
      </c>
    </row>
    <row r="1306" spans="1:8" x14ac:dyDescent="0.25">
      <c r="A1306" s="2" t="s">
        <v>1320</v>
      </c>
      <c r="B1306" s="3"/>
      <c r="C1306" s="3"/>
      <c r="D1306" s="3"/>
      <c r="E1306" s="4" t="str">
        <f>HYPERLINK("https://dpmzos25m8ivg.cloudfront.net/Documentos/631/03309130347/6310330913034708092023203005.pdf","https://dpmzos25m8ivg.cloudfront.net/Documentos/631/03309130347/6310330913034708092023203005.pdf")</f>
        <v>https://dpmzos25m8ivg.cloudfront.net/Documentos/631/03309130347/6310330913034708092023203005.pdf</v>
      </c>
      <c r="F1306" s="5" t="str">
        <f>HYPERLINK("https://dpmzos25m8ivg.cloudfront.net/Documentos/631/03309130347/6310330913034708092023203014.pdf","https://dpmzos25m8ivg.cloudfront.net/Documentos/631/03309130347/6310330913034708092023203014.pdf")</f>
        <v>https://dpmzos25m8ivg.cloudfront.net/Documentos/631/03309130347/6310330913034708092023203014.pdf</v>
      </c>
      <c r="G1306" s="5" t="str">
        <f>HYPERLINK("https://dpmzos25m8ivg.cloudfront.net/Documentos/631/03309130347/6310330913034708092023203022.pdf","https://dpmzos25m8ivg.cloudfront.net/Documentos/631/03309130347/6310330913034708092023203022.pdf")</f>
        <v>https://dpmzos25m8ivg.cloudfront.net/Documentos/631/03309130347/6310330913034708092023203022.pdf</v>
      </c>
      <c r="H1306" s="4" t="s">
        <v>9889</v>
      </c>
    </row>
    <row r="1307" spans="1:8" x14ac:dyDescent="0.25">
      <c r="A1307" s="2" t="s">
        <v>1321</v>
      </c>
      <c r="B1307" s="3"/>
      <c r="C1307" s="3"/>
      <c r="D1307" s="3"/>
      <c r="E1307" s="4" t="str">
        <f>HYPERLINK("https://dpmzos25m8ivg.cloudfront.net/Documentos/631/03312406293/6310331240629311092023133655.pdf","https://dpmzos25m8ivg.cloudfront.net/Documentos/631/03312406293/6310331240629311092023133655.pdf")</f>
        <v>https://dpmzos25m8ivg.cloudfront.net/Documentos/631/03312406293/6310331240629311092023133655.pdf</v>
      </c>
      <c r="F1307" s="5" t="str">
        <f>HYPERLINK("https://dpmzos25m8ivg.cloudfront.net/Documentos/631/03312406293/6310331240629311092023133708.pdf","https://dpmzos25m8ivg.cloudfront.net/Documentos/631/03312406293/6310331240629311092023133708.pdf")</f>
        <v>https://dpmzos25m8ivg.cloudfront.net/Documentos/631/03312406293/6310331240629311092023133708.pdf</v>
      </c>
      <c r="G1307" s="5" t="str">
        <f>HYPERLINK("https://dpmzos25m8ivg.cloudfront.net/Documentos/631/03312406293/6310331240629311092023133721.pdf","https://dpmzos25m8ivg.cloudfront.net/Documentos/631/03312406293/6310331240629311092023133721.pdf")</f>
        <v>https://dpmzos25m8ivg.cloudfront.net/Documentos/631/03312406293/6310331240629311092023133721.pdf</v>
      </c>
      <c r="H1307" s="4" t="s">
        <v>9890</v>
      </c>
    </row>
    <row r="1308" spans="1:8" x14ac:dyDescent="0.25">
      <c r="A1308" s="2" t="s">
        <v>1322</v>
      </c>
      <c r="B1308" s="3"/>
      <c r="C1308" s="3"/>
      <c r="D1308" s="3"/>
      <c r="E1308" s="4" t="str">
        <f>HYPERLINK("https://dpmzos25m8ivg.cloudfront.net/Documentos/631/03312757592/6310331275759207092023105448.pdf","https://dpmzos25m8ivg.cloudfront.net/Documentos/631/03312757592/6310331275759207092023105448.pdf")</f>
        <v>https://dpmzos25m8ivg.cloudfront.net/Documentos/631/03312757592/6310331275759207092023105448.pdf</v>
      </c>
      <c r="F1308" s="5" t="str">
        <f>HYPERLINK("https://dpmzos25m8ivg.cloudfront.net/Documentos/631/03312757592/6310331275759207092023105506.pdf","https://dpmzos25m8ivg.cloudfront.net/Documentos/631/03312757592/6310331275759207092023105506.pdf")</f>
        <v>https://dpmzos25m8ivg.cloudfront.net/Documentos/631/03312757592/6310331275759207092023105506.pdf</v>
      </c>
      <c r="G1308" s="5" t="str">
        <f>HYPERLINK("https://dpmzos25m8ivg.cloudfront.net/Documentos/631/03312757592/6310331275759207092023105521.pdf","https://dpmzos25m8ivg.cloudfront.net/Documentos/631/03312757592/6310331275759207092023105521.pdf")</f>
        <v>https://dpmzos25m8ivg.cloudfront.net/Documentos/631/03312757592/6310331275759207092023105521.pdf</v>
      </c>
      <c r="H1308" s="4" t="s">
        <v>9891</v>
      </c>
    </row>
    <row r="1309" spans="1:8" x14ac:dyDescent="0.25">
      <c r="A1309" s="2" t="s">
        <v>1323</v>
      </c>
      <c r="B1309" s="3" t="s">
        <v>312</v>
      </c>
      <c r="C1309" s="3"/>
      <c r="D1309" s="3"/>
      <c r="E1309" s="4" t="str">
        <f>HYPERLINK("https://dpmzos25m8ivg.cloudfront.net/Documentos/631/03315400610/6310331540061005092023094645.pdf","https://dpmzos25m8ivg.cloudfront.net/Documentos/631/03315400610/6310331540061005092023094645.pdf")</f>
        <v>https://dpmzos25m8ivg.cloudfront.net/Documentos/631/03315400610/6310331540061005092023094645.pdf</v>
      </c>
      <c r="F1309" s="5" t="str">
        <f>HYPERLINK("https://dpmzos25m8ivg.cloudfront.net/Documentos/631/03315400610/6310331540061005092023094730.pdf","https://dpmzos25m8ivg.cloudfront.net/Documentos/631/03315400610/6310331540061005092023094730.pdf")</f>
        <v>https://dpmzos25m8ivg.cloudfront.net/Documentos/631/03315400610/6310331540061005092023094730.pdf</v>
      </c>
      <c r="G1309" s="5" t="str">
        <f>HYPERLINK("https://dpmzos25m8ivg.cloudfront.net/Documentos/631/03315400610/6310331540061005092023094823.pdf","https://dpmzos25m8ivg.cloudfront.net/Documentos/631/03315400610/6310331540061005092023094823.pdf")</f>
        <v>https://dpmzos25m8ivg.cloudfront.net/Documentos/631/03315400610/6310331540061005092023094823.pdf</v>
      </c>
      <c r="H1309" s="4" t="s">
        <v>9892</v>
      </c>
    </row>
    <row r="1310" spans="1:8" x14ac:dyDescent="0.25">
      <c r="A1310" s="2" t="s">
        <v>1324</v>
      </c>
      <c r="B1310" s="3"/>
      <c r="C1310" s="3"/>
      <c r="D1310" s="3"/>
      <c r="E1310" s="4" t="str">
        <f>HYPERLINK("https://dpmzos25m8ivg.cloudfront.net/Documentos/631/03316822577/6310331682257705092023101017.pdf","https://dpmzos25m8ivg.cloudfront.net/Documentos/631/03316822577/6310331682257705092023101017.pdf")</f>
        <v>https://dpmzos25m8ivg.cloudfront.net/Documentos/631/03316822577/6310331682257705092023101017.pdf</v>
      </c>
      <c r="F1310" s="5" t="str">
        <f>HYPERLINK("https://dpmzos25m8ivg.cloudfront.net/Documentos/631/03316822577/6310331682257705092023101411.pdf","https://dpmzos25m8ivg.cloudfront.net/Documentos/631/03316822577/6310331682257705092023101411.pdf")</f>
        <v>https://dpmzos25m8ivg.cloudfront.net/Documentos/631/03316822577/6310331682257705092023101411.pdf</v>
      </c>
      <c r="G1310" s="5" t="str">
        <f>HYPERLINK("https://dpmzos25m8ivg.cloudfront.net/Documentos/631/03316822577/6310331682257705092023101727.pdf","https://dpmzos25m8ivg.cloudfront.net/Documentos/631/03316822577/6310331682257705092023101727.pdf")</f>
        <v>https://dpmzos25m8ivg.cloudfront.net/Documentos/631/03316822577/6310331682257705092023101727.pdf</v>
      </c>
      <c r="H1310" s="4" t="s">
        <v>9893</v>
      </c>
    </row>
    <row r="1311" spans="1:8" x14ac:dyDescent="0.25">
      <c r="A1311" s="2" t="s">
        <v>1325</v>
      </c>
      <c r="B1311" s="3"/>
      <c r="C1311" s="3"/>
      <c r="D1311" s="3"/>
      <c r="E1311" s="4" t="str">
        <f>HYPERLINK("https://dpmzos25m8ivg.cloudfront.net/Documentos/631/03322658546/6310332265854606092023095021.pdf","https://dpmzos25m8ivg.cloudfront.net/Documentos/631/03322658546/6310332265854606092023095021.pdf")</f>
        <v>https://dpmzos25m8ivg.cloudfront.net/Documentos/631/03322658546/6310332265854606092023095021.pdf</v>
      </c>
      <c r="F1311" s="5" t="str">
        <f>HYPERLINK("https://dpmzos25m8ivg.cloudfront.net/Documentos/631/03322658546/6310332265854606092023095033.pdf","https://dpmzos25m8ivg.cloudfront.net/Documentos/631/03322658546/6310332265854606092023095033.pdf")</f>
        <v>https://dpmzos25m8ivg.cloudfront.net/Documentos/631/03322658546/6310332265854606092023095033.pdf</v>
      </c>
      <c r="G1311" s="5" t="str">
        <f>HYPERLINK("https://dpmzos25m8ivg.cloudfront.net/Documentos/631/03322658546/6310332265854606092023095043.pdf","https://dpmzos25m8ivg.cloudfront.net/Documentos/631/03322658546/6310332265854606092023095043.pdf")</f>
        <v>https://dpmzos25m8ivg.cloudfront.net/Documentos/631/03322658546/6310332265854606092023095043.pdf</v>
      </c>
      <c r="H1311" s="4" t="s">
        <v>9894</v>
      </c>
    </row>
    <row r="1312" spans="1:8" x14ac:dyDescent="0.25">
      <c r="A1312" s="2" t="s">
        <v>1326</v>
      </c>
      <c r="B1312" s="3"/>
      <c r="C1312" s="3"/>
      <c r="D1312" s="3"/>
      <c r="E1312" s="4" t="str">
        <f>HYPERLINK("https://dpmzos25m8ivg.cloudfront.net/Documentos/631/03324238080/6310332423808011092023165707.pdf","https://dpmzos25m8ivg.cloudfront.net/Documentos/631/03324238080/6310332423808011092023165707.pdf")</f>
        <v>https://dpmzos25m8ivg.cloudfront.net/Documentos/631/03324238080/6310332423808011092023165707.pdf</v>
      </c>
      <c r="F1312" s="5" t="str">
        <f>HYPERLINK("https://dpmzos25m8ivg.cloudfront.net/Documentos/631/03324238080/6310332423808011092023165715.pdf","https://dpmzos25m8ivg.cloudfront.net/Documentos/631/03324238080/6310332423808011092023165715.pdf")</f>
        <v>https://dpmzos25m8ivg.cloudfront.net/Documentos/631/03324238080/6310332423808011092023165715.pdf</v>
      </c>
      <c r="G1312" s="5" t="str">
        <f>HYPERLINK("https://dpmzos25m8ivg.cloudfront.net/Documentos/631/03324238080/6310332423808011092023165701.pdf","https://dpmzos25m8ivg.cloudfront.net/Documentos/631/03324238080/6310332423808011092023165701.pdf")</f>
        <v>https://dpmzos25m8ivg.cloudfront.net/Documentos/631/03324238080/6310332423808011092023165701.pdf</v>
      </c>
      <c r="H1312" s="4" t="s">
        <v>9895</v>
      </c>
    </row>
    <row r="1313" spans="1:8" x14ac:dyDescent="0.25">
      <c r="A1313" s="2" t="s">
        <v>1327</v>
      </c>
      <c r="B1313" s="3"/>
      <c r="C1313" s="3"/>
      <c r="D1313" s="3"/>
      <c r="E1313" s="4" t="str">
        <f>HYPERLINK("https://dpmzos25m8ivg.cloudfront.net/Documentos/631/03329095300/6310332909530008092023120955.pdf","https://dpmzos25m8ivg.cloudfront.net/Documentos/631/03329095300/6310332909530008092023120955.pdf")</f>
        <v>https://dpmzos25m8ivg.cloudfront.net/Documentos/631/03329095300/6310332909530008092023120955.pdf</v>
      </c>
      <c r="F1313" s="5" t="str">
        <f>HYPERLINK("https://dpmzos25m8ivg.cloudfront.net/Documentos/631/03329095300/6310332909530008092023121023.pdf","https://dpmzos25m8ivg.cloudfront.net/Documentos/631/03329095300/6310332909530008092023121023.pdf")</f>
        <v>https://dpmzos25m8ivg.cloudfront.net/Documentos/631/03329095300/6310332909530008092023121023.pdf</v>
      </c>
      <c r="G1313" s="5" t="str">
        <f>HYPERLINK("https://dpmzos25m8ivg.cloudfront.net/Documentos/631/03329095300/6310332909530008092023121032.pdf","https://dpmzos25m8ivg.cloudfront.net/Documentos/631/03329095300/6310332909530008092023121032.pdf")</f>
        <v>https://dpmzos25m8ivg.cloudfront.net/Documentos/631/03329095300/6310332909530008092023121032.pdf</v>
      </c>
      <c r="H1313" s="4" t="s">
        <v>9896</v>
      </c>
    </row>
    <row r="1314" spans="1:8" x14ac:dyDescent="0.25">
      <c r="A1314" s="2" t="s">
        <v>1328</v>
      </c>
      <c r="B1314" s="3"/>
      <c r="C1314" s="3"/>
      <c r="D1314" s="3"/>
      <c r="E1314" s="4" t="str">
        <f>HYPERLINK("https://dpmzos25m8ivg.cloudfront.net/Documentos/631/03330172266/6310333017226607092023095640.jpeg","https://dpmzos25m8ivg.cloudfront.net/Documentos/631/03330172266/6310333017226607092023095640.jpeg")</f>
        <v>https://dpmzos25m8ivg.cloudfront.net/Documentos/631/03330172266/6310333017226607092023095640.jpeg</v>
      </c>
      <c r="F1314" s="5" t="str">
        <f>HYPERLINK("https://dpmzos25m8ivg.cloudfront.net/Documentos/631/03330172266/6310333017226607092023095717.jpeg","https://dpmzos25m8ivg.cloudfront.net/Documentos/631/03330172266/6310333017226607092023095717.jpeg")</f>
        <v>https://dpmzos25m8ivg.cloudfront.net/Documentos/631/03330172266/6310333017226607092023095717.jpeg</v>
      </c>
      <c r="G1314" s="5" t="str">
        <f>HYPERLINK("https://dpmzos25m8ivg.cloudfront.net/Documentos/631/03330172266/6310333017226607092023095655.jpeg","https://dpmzos25m8ivg.cloudfront.net/Documentos/631/03330172266/6310333017226607092023095655.jpeg")</f>
        <v>https://dpmzos25m8ivg.cloudfront.net/Documentos/631/03330172266/6310333017226607092023095655.jpeg</v>
      </c>
      <c r="H1314" s="4" t="s">
        <v>9897</v>
      </c>
    </row>
    <row r="1315" spans="1:8" x14ac:dyDescent="0.25">
      <c r="A1315" s="2" t="s">
        <v>1329</v>
      </c>
      <c r="B1315" s="3"/>
      <c r="C1315" s="3"/>
      <c r="D1315" s="3"/>
      <c r="E1315" s="4" t="str">
        <f>HYPERLINK("https://dpmzos25m8ivg.cloudfront.net/Documentos/631/03331973130/6310333197313011092023164500.pdf","https://dpmzos25m8ivg.cloudfront.net/Documentos/631/03331973130/6310333197313011092023164500.pdf")</f>
        <v>https://dpmzos25m8ivg.cloudfront.net/Documentos/631/03331973130/6310333197313011092023164500.pdf</v>
      </c>
      <c r="F1315" s="5" t="str">
        <f>HYPERLINK("https://dpmzos25m8ivg.cloudfront.net/Documentos/631/03331973130/6310333197313011092023164514.pdf","https://dpmzos25m8ivg.cloudfront.net/Documentos/631/03331973130/6310333197313011092023164514.pdf")</f>
        <v>https://dpmzos25m8ivg.cloudfront.net/Documentos/631/03331973130/6310333197313011092023164514.pdf</v>
      </c>
      <c r="G1315" s="5" t="str">
        <f>HYPERLINK("https://dpmzos25m8ivg.cloudfront.net/Documentos/631/03331973130/6310333197313011092023164529.pdf","https://dpmzos25m8ivg.cloudfront.net/Documentos/631/03331973130/6310333197313011092023164529.pdf")</f>
        <v>https://dpmzos25m8ivg.cloudfront.net/Documentos/631/03331973130/6310333197313011092023164529.pdf</v>
      </c>
      <c r="H1315" s="4" t="s">
        <v>9898</v>
      </c>
    </row>
    <row r="1316" spans="1:8" x14ac:dyDescent="0.25">
      <c r="A1316" s="2" t="s">
        <v>1330</v>
      </c>
      <c r="B1316" s="3" t="s">
        <v>312</v>
      </c>
      <c r="C1316" s="3"/>
      <c r="D1316" s="3"/>
      <c r="E1316" s="4" t="str">
        <f>HYPERLINK("https://dpmzos25m8ivg.cloudfront.net/Documentos/631/03332202502/6310333220250205092023100208.jpeg","https://dpmzos25m8ivg.cloudfront.net/Documentos/631/03332202502/6310333220250205092023100208.jpeg")</f>
        <v>https://dpmzos25m8ivg.cloudfront.net/Documentos/631/03332202502/6310333220250205092023100208.jpeg</v>
      </c>
      <c r="F1316" s="5" t="str">
        <f>HYPERLINK("https://dpmzos25m8ivg.cloudfront.net/Documentos/631/03332202502/6310333220250205092023100245.jpeg","https://dpmzos25m8ivg.cloudfront.net/Documentos/631/03332202502/6310333220250205092023100245.jpeg")</f>
        <v>https://dpmzos25m8ivg.cloudfront.net/Documentos/631/03332202502/6310333220250205092023100245.jpeg</v>
      </c>
      <c r="G1316" s="5" t="str">
        <f>HYPERLINK("https://dpmzos25m8ivg.cloudfront.net/Documentos/631/03332202502/6310333220250205092023100328.jpeg","https://dpmzos25m8ivg.cloudfront.net/Documentos/631/03332202502/6310333220250205092023100328.jpeg")</f>
        <v>https://dpmzos25m8ivg.cloudfront.net/Documentos/631/03332202502/6310333220250205092023100328.jpeg</v>
      </c>
      <c r="H1316" s="4" t="s">
        <v>9899</v>
      </c>
    </row>
    <row r="1317" spans="1:8" x14ac:dyDescent="0.25">
      <c r="A1317" s="2" t="s">
        <v>1331</v>
      </c>
      <c r="B1317" s="3" t="s">
        <v>308</v>
      </c>
      <c r="C1317" s="3"/>
      <c r="D1317" s="3"/>
      <c r="E1317" s="4" t="str">
        <f>HYPERLINK("https://dpmzos25m8ivg.cloudfront.net/Documentos/631/03334343154/6310333434315409092023203851.jpg","https://dpmzos25m8ivg.cloudfront.net/Documentos/631/03334343154/6310333434315409092023203851.jpg")</f>
        <v>https://dpmzos25m8ivg.cloudfront.net/Documentos/631/03334343154/6310333434315409092023203851.jpg</v>
      </c>
      <c r="F1317" s="5" t="str">
        <f>HYPERLINK("https://dpmzos25m8ivg.cloudfront.net/Documentos/631/03334343154/6310333434315409092023203822.jpg","https://dpmzos25m8ivg.cloudfront.net/Documentos/631/03334343154/6310333434315409092023203822.jpg")</f>
        <v>https://dpmzos25m8ivg.cloudfront.net/Documentos/631/03334343154/6310333434315409092023203822.jpg</v>
      </c>
      <c r="G1317" s="5" t="str">
        <f>HYPERLINK("https://dpmzos25m8ivg.cloudfront.net/Documentos/631/03334343154/6310333434315409092023203802.jpg","https://dpmzos25m8ivg.cloudfront.net/Documentos/631/03334343154/6310333434315409092023203802.jpg")</f>
        <v>https://dpmzos25m8ivg.cloudfront.net/Documentos/631/03334343154/6310333434315409092023203802.jpg</v>
      </c>
      <c r="H1317" s="4" t="s">
        <v>9900</v>
      </c>
    </row>
    <row r="1318" spans="1:8" x14ac:dyDescent="0.25">
      <c r="A1318" s="2" t="s">
        <v>1332</v>
      </c>
      <c r="B1318" s="3"/>
      <c r="C1318" s="3"/>
      <c r="D1318" s="3"/>
      <c r="E1318" s="4" t="str">
        <f>HYPERLINK("https://dpmzos25m8ivg.cloudfront.net/Documentos/631/03334992551/6310333499255111092023093319.pdf","https://dpmzos25m8ivg.cloudfront.net/Documentos/631/03334992551/6310333499255111092023093319.pdf")</f>
        <v>https://dpmzos25m8ivg.cloudfront.net/Documentos/631/03334992551/6310333499255111092023093319.pdf</v>
      </c>
      <c r="F1318" s="5" t="str">
        <f>HYPERLINK("https://dpmzos25m8ivg.cloudfront.net/Documentos/631/03334992551/6310333499255111092023093336.pdf","https://dpmzos25m8ivg.cloudfront.net/Documentos/631/03334992551/6310333499255111092023093336.pdf")</f>
        <v>https://dpmzos25m8ivg.cloudfront.net/Documentos/631/03334992551/6310333499255111092023093336.pdf</v>
      </c>
      <c r="G1318" s="5" t="str">
        <f>HYPERLINK("https://dpmzos25m8ivg.cloudfront.net/Documentos/631/03334992551/6310333499255111092023093353.pdf","https://dpmzos25m8ivg.cloudfront.net/Documentos/631/03334992551/6310333499255111092023093353.pdf")</f>
        <v>https://dpmzos25m8ivg.cloudfront.net/Documentos/631/03334992551/6310333499255111092023093353.pdf</v>
      </c>
      <c r="H1318" s="4" t="s">
        <v>9901</v>
      </c>
    </row>
    <row r="1319" spans="1:8" x14ac:dyDescent="0.25">
      <c r="A1319" s="2" t="s">
        <v>1333</v>
      </c>
      <c r="B1319" s="3"/>
      <c r="C1319" s="3"/>
      <c r="D1319" s="3"/>
      <c r="E1319" s="4" t="str">
        <f>HYPERLINK("https://dpmzos25m8ivg.cloudfront.net/Documentos/631/03335040112/6310333504011214092023111328.pdf","https://dpmzos25m8ivg.cloudfront.net/Documentos/631/03335040112/6310333504011214092023111328.pdf")</f>
        <v>https://dpmzos25m8ivg.cloudfront.net/Documentos/631/03335040112/6310333504011214092023111328.pdf</v>
      </c>
      <c r="F1319" s="5" t="str">
        <f>HYPERLINK("https://dpmzos25m8ivg.cloudfront.net/Documentos/631/03335040112/6310333504011214092023111345.pdf","https://dpmzos25m8ivg.cloudfront.net/Documentos/631/03335040112/6310333504011214092023111345.pdf")</f>
        <v>https://dpmzos25m8ivg.cloudfront.net/Documentos/631/03335040112/6310333504011214092023111345.pdf</v>
      </c>
      <c r="G1319" s="5" t="str">
        <f>HYPERLINK("https://dpmzos25m8ivg.cloudfront.net/Documentos/631/03335040112/6310333504011214092023111401.pdf","https://dpmzos25m8ivg.cloudfront.net/Documentos/631/03335040112/6310333504011214092023111401.pdf")</f>
        <v>https://dpmzos25m8ivg.cloudfront.net/Documentos/631/03335040112/6310333504011214092023111401.pdf</v>
      </c>
      <c r="H1319" s="4" t="s">
        <v>9902</v>
      </c>
    </row>
    <row r="1320" spans="1:8" x14ac:dyDescent="0.25">
      <c r="A1320" s="2" t="s">
        <v>1334</v>
      </c>
      <c r="B1320" s="3" t="s">
        <v>308</v>
      </c>
      <c r="C1320" s="3"/>
      <c r="D1320" s="3"/>
      <c r="E1320" s="4" t="str">
        <f>HYPERLINK("https://dpmzos25m8ivg.cloudfront.net/Documentos/631/03336150426/6310333615042607092023112634.jpg","https://dpmzos25m8ivg.cloudfront.net/Documentos/631/03336150426/6310333615042607092023112634.jpg")</f>
        <v>https://dpmzos25m8ivg.cloudfront.net/Documentos/631/03336150426/6310333615042607092023112634.jpg</v>
      </c>
      <c r="F1320" s="5" t="str">
        <f>HYPERLINK("https://dpmzos25m8ivg.cloudfront.net/Documentos/631/03336150426/6310333615042607092023112646.jpg","https://dpmzos25m8ivg.cloudfront.net/Documentos/631/03336150426/6310333615042607092023112646.jpg")</f>
        <v>https://dpmzos25m8ivg.cloudfront.net/Documentos/631/03336150426/6310333615042607092023112646.jpg</v>
      </c>
      <c r="G1320" s="5" t="str">
        <f>HYPERLINK("https://dpmzos25m8ivg.cloudfront.net/Documentos/631/03336150426/6310333615042607092023112700.jpg","https://dpmzos25m8ivg.cloudfront.net/Documentos/631/03336150426/6310333615042607092023112700.jpg")</f>
        <v>https://dpmzos25m8ivg.cloudfront.net/Documentos/631/03336150426/6310333615042607092023112700.jpg</v>
      </c>
      <c r="H1320" s="4" t="s">
        <v>9903</v>
      </c>
    </row>
    <row r="1321" spans="1:8" x14ac:dyDescent="0.25">
      <c r="A1321" s="2" t="s">
        <v>1335</v>
      </c>
      <c r="B1321" s="3"/>
      <c r="C1321" s="3"/>
      <c r="D1321" s="3"/>
      <c r="E1321" s="4" t="str">
        <f>HYPERLINK("https://dpmzos25m8ivg.cloudfront.net/Documentos/631/03337134190/6310333713419007092023111930.pdf","https://dpmzos25m8ivg.cloudfront.net/Documentos/631/03337134190/6310333713419007092023111930.pdf")</f>
        <v>https://dpmzos25m8ivg.cloudfront.net/Documentos/631/03337134190/6310333713419007092023111930.pdf</v>
      </c>
      <c r="F1321" s="5" t="str">
        <f>HYPERLINK("https://dpmzos25m8ivg.cloudfront.net/Documentos/631/03337134190/6310333713419007092023111942.pdf","https://dpmzos25m8ivg.cloudfront.net/Documentos/631/03337134190/6310333713419007092023111942.pdf")</f>
        <v>https://dpmzos25m8ivg.cloudfront.net/Documentos/631/03337134190/6310333713419007092023111942.pdf</v>
      </c>
      <c r="G1321" s="5" t="str">
        <f>HYPERLINK("https://dpmzos25m8ivg.cloudfront.net/Documentos/631/03337134190/6310333713419007092023111954.pdf","https://dpmzos25m8ivg.cloudfront.net/Documentos/631/03337134190/6310333713419007092023111954.pdf")</f>
        <v>https://dpmzos25m8ivg.cloudfront.net/Documentos/631/03337134190/6310333713419007092023111954.pdf</v>
      </c>
      <c r="H1321" s="4" t="s">
        <v>9904</v>
      </c>
    </row>
    <row r="1322" spans="1:8" x14ac:dyDescent="0.25">
      <c r="A1322" s="2" t="s">
        <v>1336</v>
      </c>
      <c r="B1322" s="3"/>
      <c r="C1322" s="3"/>
      <c r="D1322" s="3"/>
      <c r="E1322" s="4" t="str">
        <f>HYPERLINK("https://dpmzos25m8ivg.cloudfront.net/Documentos/631/03337761194/6310333776119414092023031100.pdf","https://dpmzos25m8ivg.cloudfront.net/Documentos/631/03337761194/6310333776119414092023031100.pdf")</f>
        <v>https://dpmzos25m8ivg.cloudfront.net/Documentos/631/03337761194/6310333776119414092023031100.pdf</v>
      </c>
      <c r="F1322" s="5" t="str">
        <f>HYPERLINK("https://dpmzos25m8ivg.cloudfront.net/Documentos/631/03337761194/6310333776119414092023031114.pdf","https://dpmzos25m8ivg.cloudfront.net/Documentos/631/03337761194/6310333776119414092023031114.pdf")</f>
        <v>https://dpmzos25m8ivg.cloudfront.net/Documentos/631/03337761194/6310333776119414092023031114.pdf</v>
      </c>
      <c r="G1322" s="5" t="str">
        <f>HYPERLINK("https://dpmzos25m8ivg.cloudfront.net/Documentos/631/03337761194/6310333776119414092023031127.pdf","https://dpmzos25m8ivg.cloudfront.net/Documentos/631/03337761194/6310333776119414092023031127.pdf")</f>
        <v>https://dpmzos25m8ivg.cloudfront.net/Documentos/631/03337761194/6310333776119414092023031127.pdf</v>
      </c>
      <c r="H1322" s="4" t="s">
        <v>9905</v>
      </c>
    </row>
    <row r="1323" spans="1:8" x14ac:dyDescent="0.25">
      <c r="A1323" s="2" t="s">
        <v>1337</v>
      </c>
      <c r="B1323" s="3" t="s">
        <v>308</v>
      </c>
      <c r="C1323" s="3"/>
      <c r="D1323" s="3"/>
      <c r="E1323" s="4" t="str">
        <f>HYPERLINK("https://dpmzos25m8ivg.cloudfront.net/Documentos/631/03338556713/6310333855671308092023214407.pdf","https://dpmzos25m8ivg.cloudfront.net/Documentos/631/03338556713/6310333855671308092023214407.pdf")</f>
        <v>https://dpmzos25m8ivg.cloudfront.net/Documentos/631/03338556713/6310333855671308092023214407.pdf</v>
      </c>
      <c r="F1323" s="5" t="str">
        <f>HYPERLINK("https://dpmzos25m8ivg.cloudfront.net/Documentos/631/03338556713/6310333855671308092023214426.pdf","https://dpmzos25m8ivg.cloudfront.net/Documentos/631/03338556713/6310333855671308092023214426.pdf")</f>
        <v>https://dpmzos25m8ivg.cloudfront.net/Documentos/631/03338556713/6310333855671308092023214426.pdf</v>
      </c>
      <c r="G1323" s="5" t="str">
        <f>HYPERLINK("https://dpmzos25m8ivg.cloudfront.net/Documentos/631/03338556713/6310333855671308092023214443.pdf","https://dpmzos25m8ivg.cloudfront.net/Documentos/631/03338556713/6310333855671308092023214443.pdf")</f>
        <v>https://dpmzos25m8ivg.cloudfront.net/Documentos/631/03338556713/6310333855671308092023214443.pdf</v>
      </c>
      <c r="H1323" s="4" t="s">
        <v>9906</v>
      </c>
    </row>
    <row r="1324" spans="1:8" x14ac:dyDescent="0.25">
      <c r="A1324" s="2" t="s">
        <v>1338</v>
      </c>
      <c r="B1324" s="3" t="s">
        <v>23</v>
      </c>
      <c r="C1324" s="3"/>
      <c r="D1324" s="3"/>
      <c r="E1324" s="4" t="str">
        <f>HYPERLINK("https://dpmzos25m8ivg.cloudfront.net/Documentos/631/03339493235/6310333949323511092023131258.pdf","https://dpmzos25m8ivg.cloudfront.net/Documentos/631/03339493235/6310333949323511092023131258.pdf")</f>
        <v>https://dpmzos25m8ivg.cloudfront.net/Documentos/631/03339493235/6310333949323511092023131258.pdf</v>
      </c>
      <c r="F1324" s="5" t="str">
        <f>HYPERLINK("https://dpmzos25m8ivg.cloudfront.net/Documentos/631/03339493235/6310333949323511092023131307.pdf","https://dpmzos25m8ivg.cloudfront.net/Documentos/631/03339493235/6310333949323511092023131307.pdf")</f>
        <v>https://dpmzos25m8ivg.cloudfront.net/Documentos/631/03339493235/6310333949323511092023131307.pdf</v>
      </c>
      <c r="G1324" s="5" t="str">
        <f>HYPERLINK("https://dpmzos25m8ivg.cloudfront.net/Documentos/631/03339493235/6310333949323511092023131316.pdf","https://dpmzos25m8ivg.cloudfront.net/Documentos/631/03339493235/6310333949323511092023131316.pdf")</f>
        <v>https://dpmzos25m8ivg.cloudfront.net/Documentos/631/03339493235/6310333949323511092023131316.pdf</v>
      </c>
      <c r="H1324" s="4" t="s">
        <v>9907</v>
      </c>
    </row>
    <row r="1325" spans="1:8" x14ac:dyDescent="0.25">
      <c r="A1325" s="2" t="s">
        <v>1339</v>
      </c>
      <c r="B1325" s="3"/>
      <c r="C1325" s="3"/>
      <c r="D1325" s="3"/>
      <c r="E1325" s="4" t="str">
        <f>HYPERLINK("https://dpmzos25m8ivg.cloudfront.net/Documentos/631/03342655097/6310334265509705092023140429.pdf","https://dpmzos25m8ivg.cloudfront.net/Documentos/631/03342655097/6310334265509705092023140429.pdf")</f>
        <v>https://dpmzos25m8ivg.cloudfront.net/Documentos/631/03342655097/6310334265509705092023140429.pdf</v>
      </c>
      <c r="F1325" s="5" t="str">
        <f>HYPERLINK("https://dpmzos25m8ivg.cloudfront.net/Documentos/631/03342655097/6310334265509705092023140450.pdf","https://dpmzos25m8ivg.cloudfront.net/Documentos/631/03342655097/6310334265509705092023140450.pdf")</f>
        <v>https://dpmzos25m8ivg.cloudfront.net/Documentos/631/03342655097/6310334265509705092023140450.pdf</v>
      </c>
      <c r="G1325" s="5" t="str">
        <f>HYPERLINK("https://dpmzos25m8ivg.cloudfront.net/Documentos/631/03342655097/6310334265509705092023140501.pdf","https://dpmzos25m8ivg.cloudfront.net/Documentos/631/03342655097/6310334265509705092023140501.pdf")</f>
        <v>https://dpmzos25m8ivg.cloudfront.net/Documentos/631/03342655097/6310334265509705092023140501.pdf</v>
      </c>
      <c r="H1325" s="4" t="s">
        <v>9908</v>
      </c>
    </row>
    <row r="1326" spans="1:8" x14ac:dyDescent="0.25">
      <c r="A1326" s="2" t="s">
        <v>1340</v>
      </c>
      <c r="B1326" s="3"/>
      <c r="C1326" s="3"/>
      <c r="D1326" s="3"/>
      <c r="E1326" s="4" t="str">
        <f>HYPERLINK("https://dpmzos25m8ivg.cloudfront.net/Documentos/631/03343360589/6310334336058906092023133601.pdf","https://dpmzos25m8ivg.cloudfront.net/Documentos/631/03343360589/6310334336058906092023133601.pdf")</f>
        <v>https://dpmzos25m8ivg.cloudfront.net/Documentos/631/03343360589/6310334336058906092023133601.pdf</v>
      </c>
      <c r="F1326" s="5" t="str">
        <f>HYPERLINK("https://dpmzos25m8ivg.cloudfront.net/Documentos/631/03343360589/6310334336058906092023133622.pdf","https://dpmzos25m8ivg.cloudfront.net/Documentos/631/03343360589/6310334336058906092023133622.pdf")</f>
        <v>https://dpmzos25m8ivg.cloudfront.net/Documentos/631/03343360589/6310334336058906092023133622.pdf</v>
      </c>
      <c r="G1326" s="5" t="str">
        <f>HYPERLINK("https://dpmzos25m8ivg.cloudfront.net/Documentos/631/03343360589/6310334336058906092023133642.pdf","https://dpmzos25m8ivg.cloudfront.net/Documentos/631/03343360589/6310334336058906092023133642.pdf")</f>
        <v>https://dpmzos25m8ivg.cloudfront.net/Documentos/631/03343360589/6310334336058906092023133642.pdf</v>
      </c>
      <c r="H1326" s="4" t="s">
        <v>9909</v>
      </c>
    </row>
    <row r="1327" spans="1:8" x14ac:dyDescent="0.25">
      <c r="A1327" s="2" t="s">
        <v>1341</v>
      </c>
      <c r="B1327" s="3" t="s">
        <v>312</v>
      </c>
      <c r="C1327" s="3"/>
      <c r="D1327" s="3"/>
      <c r="E1327" s="4" t="str">
        <f>HYPERLINK("https://dpmzos25m8ivg.cloudfront.net/Documentos/631/03344011278/6310334401127811092023113318.pdf","https://dpmzos25m8ivg.cloudfront.net/Documentos/631/03344011278/6310334401127811092023113318.pdf")</f>
        <v>https://dpmzos25m8ivg.cloudfront.net/Documentos/631/03344011278/6310334401127811092023113318.pdf</v>
      </c>
      <c r="F1327" s="5" t="str">
        <f>HYPERLINK("https://dpmzos25m8ivg.cloudfront.net/Documentos/631/03344011278/6310334401127811092023113333.pdf","https://dpmzos25m8ivg.cloudfront.net/Documentos/631/03344011278/6310334401127811092023113333.pdf")</f>
        <v>https://dpmzos25m8ivg.cloudfront.net/Documentos/631/03344011278/6310334401127811092023113333.pdf</v>
      </c>
      <c r="G1327" s="5" t="str">
        <f>HYPERLINK("https://dpmzos25m8ivg.cloudfront.net/Documentos/631/03344011278/6310334401127811092023113349.pdf","https://dpmzos25m8ivg.cloudfront.net/Documentos/631/03344011278/6310334401127811092023113349.pdf")</f>
        <v>https://dpmzos25m8ivg.cloudfront.net/Documentos/631/03344011278/6310334401127811092023113349.pdf</v>
      </c>
      <c r="H1327" s="4" t="s">
        <v>9910</v>
      </c>
    </row>
    <row r="1328" spans="1:8" x14ac:dyDescent="0.25">
      <c r="A1328" s="2" t="s">
        <v>1342</v>
      </c>
      <c r="B1328" s="3"/>
      <c r="C1328" s="3"/>
      <c r="D1328" s="3"/>
      <c r="E1328" s="4" t="str">
        <f>HYPERLINK("https://dpmzos25m8ivg.cloudfront.net/Documentos/631/03344378570/6310334437857011092023152858.jpg","https://dpmzos25m8ivg.cloudfront.net/Documentos/631/03344378570/6310334437857011092023152858.jpg")</f>
        <v>https://dpmzos25m8ivg.cloudfront.net/Documentos/631/03344378570/6310334437857011092023152858.jpg</v>
      </c>
      <c r="F1328" s="5" t="str">
        <f>HYPERLINK("https://dpmzos25m8ivg.cloudfront.net/Documentos/631/03344378570/6310334437857011092023152915.jpg","https://dpmzos25m8ivg.cloudfront.net/Documentos/631/03344378570/6310334437857011092023152915.jpg")</f>
        <v>https://dpmzos25m8ivg.cloudfront.net/Documentos/631/03344378570/6310334437857011092023152915.jpg</v>
      </c>
      <c r="G1328" s="5" t="str">
        <f>HYPERLINK("https://dpmzos25m8ivg.cloudfront.net/Documentos/631/03344378570/6310334437857011092023152929.jpg","https://dpmzos25m8ivg.cloudfront.net/Documentos/631/03344378570/6310334437857011092023152929.jpg")</f>
        <v>https://dpmzos25m8ivg.cloudfront.net/Documentos/631/03344378570/6310334437857011092023152929.jpg</v>
      </c>
      <c r="H1328" s="4" t="s">
        <v>9911</v>
      </c>
    </row>
    <row r="1329" spans="1:8" x14ac:dyDescent="0.25">
      <c r="A1329" s="2" t="s">
        <v>1343</v>
      </c>
      <c r="B1329" s="3" t="s">
        <v>312</v>
      </c>
      <c r="C1329" s="3"/>
      <c r="D1329" s="3"/>
      <c r="E1329" s="4" t="str">
        <f>HYPERLINK("https://dpmzos25m8ivg.cloudfront.net/Documentos/631/03346911500/6310334691150008092023094819.pdf","https://dpmzos25m8ivg.cloudfront.net/Documentos/631/03346911500/6310334691150008092023094819.pdf")</f>
        <v>https://dpmzos25m8ivg.cloudfront.net/Documentos/631/03346911500/6310334691150008092023094819.pdf</v>
      </c>
      <c r="F1329" s="5" t="str">
        <f>HYPERLINK("https://dpmzos25m8ivg.cloudfront.net/Documentos/631/03346911500/6310334691150008092023094827.pdf","https://dpmzos25m8ivg.cloudfront.net/Documentos/631/03346911500/6310334691150008092023094827.pdf")</f>
        <v>https://dpmzos25m8ivg.cloudfront.net/Documentos/631/03346911500/6310334691150008092023094827.pdf</v>
      </c>
      <c r="G1329" s="5" t="str">
        <f>HYPERLINK("https://dpmzos25m8ivg.cloudfront.net/Documentos/631/03346911500/6310334691150008092023094836.pdf","https://dpmzos25m8ivg.cloudfront.net/Documentos/631/03346911500/6310334691150008092023094836.pdf")</f>
        <v>https://dpmzos25m8ivg.cloudfront.net/Documentos/631/03346911500/6310334691150008092023094836.pdf</v>
      </c>
      <c r="H1329" s="4" t="s">
        <v>9912</v>
      </c>
    </row>
    <row r="1330" spans="1:8" x14ac:dyDescent="0.25">
      <c r="A1330" s="2" t="s">
        <v>1344</v>
      </c>
      <c r="B1330" s="3"/>
      <c r="C1330" s="3"/>
      <c r="D1330" s="3"/>
      <c r="E1330" s="4" t="str">
        <f>HYPERLINK("https://dpmzos25m8ivg.cloudfront.net/Documentos/631/03349612202/6310334961220211092023160713.pdf","https://dpmzos25m8ivg.cloudfront.net/Documentos/631/03349612202/6310334961220211092023160713.pdf")</f>
        <v>https://dpmzos25m8ivg.cloudfront.net/Documentos/631/03349612202/6310334961220211092023160713.pdf</v>
      </c>
      <c r="F1330" s="5" t="str">
        <f>HYPERLINK("https://dpmzos25m8ivg.cloudfront.net/Documentos/631/03349612202/6310334961220211092023160728.pdf","https://dpmzos25m8ivg.cloudfront.net/Documentos/631/03349612202/6310334961220211092023160728.pdf")</f>
        <v>https://dpmzos25m8ivg.cloudfront.net/Documentos/631/03349612202/6310334961220211092023160728.pdf</v>
      </c>
      <c r="G1330" s="5" t="str">
        <f>HYPERLINK("https://dpmzos25m8ivg.cloudfront.net/Documentos/631/03349612202/6310334961220211092023160738.pdf","https://dpmzos25m8ivg.cloudfront.net/Documentos/631/03349612202/6310334961220211092023160738.pdf")</f>
        <v>https://dpmzos25m8ivg.cloudfront.net/Documentos/631/03349612202/6310334961220211092023160738.pdf</v>
      </c>
      <c r="H1330" s="4" t="s">
        <v>9913</v>
      </c>
    </row>
    <row r="1331" spans="1:8" x14ac:dyDescent="0.25">
      <c r="A1331" s="2" t="s">
        <v>1345</v>
      </c>
      <c r="B1331" s="3"/>
      <c r="C1331" s="3"/>
      <c r="D1331" s="3"/>
      <c r="E1331" s="4" t="str">
        <f>HYPERLINK("https://dpmzos25m8ivg.cloudfront.net/Documentos/631/03357612402/6310335761240206092023011512.jpg","https://dpmzos25m8ivg.cloudfront.net/Documentos/631/03357612402/6310335761240206092023011512.jpg")</f>
        <v>https://dpmzos25m8ivg.cloudfront.net/Documentos/631/03357612402/6310335761240206092023011512.jpg</v>
      </c>
      <c r="F1331" s="5" t="str">
        <f>HYPERLINK("https://dpmzos25m8ivg.cloudfront.net/Documentos/631/03357612402/6310335761240206092023011543.jpg","https://dpmzos25m8ivg.cloudfront.net/Documentos/631/03357612402/6310335761240206092023011543.jpg")</f>
        <v>https://dpmzos25m8ivg.cloudfront.net/Documentos/631/03357612402/6310335761240206092023011543.jpg</v>
      </c>
      <c r="G1331" s="5" t="str">
        <f>HYPERLINK("https://dpmzos25m8ivg.cloudfront.net/Documentos/631/03357612402/6310335761240206092023011555.jpg","https://dpmzos25m8ivg.cloudfront.net/Documentos/631/03357612402/6310335761240206092023011555.jpg")</f>
        <v>https://dpmzos25m8ivg.cloudfront.net/Documentos/631/03357612402/6310335761240206092023011555.jpg</v>
      </c>
      <c r="H1331" s="4" t="s">
        <v>9914</v>
      </c>
    </row>
    <row r="1332" spans="1:8" x14ac:dyDescent="0.25">
      <c r="A1332" s="2" t="s">
        <v>1346</v>
      </c>
      <c r="B1332" s="3"/>
      <c r="C1332" s="3"/>
      <c r="D1332" s="3"/>
      <c r="E1332" s="4" t="str">
        <f>HYPERLINK("https://dpmzos25m8ivg.cloudfront.net/Documentos/631/03357978571/6310335797857105092023091111.jpg","https://dpmzos25m8ivg.cloudfront.net/Documentos/631/03357978571/6310335797857105092023091111.jpg")</f>
        <v>https://dpmzos25m8ivg.cloudfront.net/Documentos/631/03357978571/6310335797857105092023091111.jpg</v>
      </c>
      <c r="F1332" s="5" t="str">
        <f>HYPERLINK("https://dpmzos25m8ivg.cloudfront.net/Documentos/631/03357978571/6310335797857105092023091229.jpg","https://dpmzos25m8ivg.cloudfront.net/Documentos/631/03357978571/6310335797857105092023091229.jpg")</f>
        <v>https://dpmzos25m8ivg.cloudfront.net/Documentos/631/03357978571/6310335797857105092023091229.jpg</v>
      </c>
      <c r="G1332" s="5" t="str">
        <f>HYPERLINK("https://dpmzos25m8ivg.cloudfront.net/Documentos/631/03357978571/6310335797857105092023091716.jpg","https://dpmzos25m8ivg.cloudfront.net/Documentos/631/03357978571/6310335797857105092023091716.jpg")</f>
        <v>https://dpmzos25m8ivg.cloudfront.net/Documentos/631/03357978571/6310335797857105092023091716.jpg</v>
      </c>
      <c r="H1332" s="4" t="s">
        <v>9915</v>
      </c>
    </row>
    <row r="1333" spans="1:8" x14ac:dyDescent="0.25">
      <c r="A1333" s="2" t="s">
        <v>1347</v>
      </c>
      <c r="B1333" s="3"/>
      <c r="C1333" s="3"/>
      <c r="D1333" s="3"/>
      <c r="E1333" s="4" t="str">
        <f>HYPERLINK("https://dpmzos25m8ivg.cloudfront.net/Documentos/631/03358428109/6310335842810914092023122812.jpeg","https://dpmzos25m8ivg.cloudfront.net/Documentos/631/03358428109/6310335842810914092023122812.jpeg")</f>
        <v>https://dpmzos25m8ivg.cloudfront.net/Documentos/631/03358428109/6310335842810914092023122812.jpeg</v>
      </c>
      <c r="F1333" s="5" t="str">
        <f>HYPERLINK("https://dpmzos25m8ivg.cloudfront.net/Documentos/631/03358428109/6310335842810914092023123050.jpeg","https://dpmzos25m8ivg.cloudfront.net/Documentos/631/03358428109/6310335842810914092023123050.jpeg")</f>
        <v>https://dpmzos25m8ivg.cloudfront.net/Documentos/631/03358428109/6310335842810914092023123050.jpeg</v>
      </c>
      <c r="G1333" s="5" t="str">
        <f>HYPERLINK("https://dpmzos25m8ivg.cloudfront.net/Documentos/631/03358428109/6310335842810914092023121941.jpeg","https://dpmzos25m8ivg.cloudfront.net/Documentos/631/03358428109/6310335842810914092023121941.jpeg")</f>
        <v>https://dpmzos25m8ivg.cloudfront.net/Documentos/631/03358428109/6310335842810914092023121941.jpeg</v>
      </c>
      <c r="H1333" s="4" t="s">
        <v>9916</v>
      </c>
    </row>
    <row r="1334" spans="1:8" x14ac:dyDescent="0.25">
      <c r="A1334" s="2" t="s">
        <v>1348</v>
      </c>
      <c r="B1334" s="3" t="s">
        <v>308</v>
      </c>
      <c r="C1334" s="3"/>
      <c r="D1334" s="3"/>
      <c r="E1334" s="4" t="str">
        <f>HYPERLINK("https://dpmzos25m8ivg.cloudfront.net/Documentos/631/03364308250/6310336430825008092023105234.pdf","https://dpmzos25m8ivg.cloudfront.net/Documentos/631/03364308250/6310336430825008092023105234.pdf")</f>
        <v>https://dpmzos25m8ivg.cloudfront.net/Documentos/631/03364308250/6310336430825008092023105234.pdf</v>
      </c>
      <c r="F1334" s="5" t="str">
        <f>HYPERLINK("https://dpmzos25m8ivg.cloudfront.net/Documentos/631/03364308250/6310336430825008092023105252.pdf","https://dpmzos25m8ivg.cloudfront.net/Documentos/631/03364308250/6310336430825008092023105252.pdf")</f>
        <v>https://dpmzos25m8ivg.cloudfront.net/Documentos/631/03364308250/6310336430825008092023105252.pdf</v>
      </c>
      <c r="G1334" s="5" t="str">
        <f>HYPERLINK("https://dpmzos25m8ivg.cloudfront.net/Documentos/631/03364308250/6310336430825008092023105305.pdf","https://dpmzos25m8ivg.cloudfront.net/Documentos/631/03364308250/6310336430825008092023105305.pdf")</f>
        <v>https://dpmzos25m8ivg.cloudfront.net/Documentos/631/03364308250/6310336430825008092023105305.pdf</v>
      </c>
      <c r="H1334" s="4" t="s">
        <v>9917</v>
      </c>
    </row>
    <row r="1335" spans="1:8" x14ac:dyDescent="0.25">
      <c r="A1335" s="2" t="s">
        <v>1349</v>
      </c>
      <c r="B1335" s="3" t="s">
        <v>308</v>
      </c>
      <c r="C1335" s="3"/>
      <c r="D1335" s="3"/>
      <c r="E1335" s="4" t="str">
        <f>HYPERLINK("https://dpmzos25m8ivg.cloudfront.net/Documentos/631/03367560545/6310336756054505092023122152.pdf","https://dpmzos25m8ivg.cloudfront.net/Documentos/631/03367560545/6310336756054505092023122152.pdf")</f>
        <v>https://dpmzos25m8ivg.cloudfront.net/Documentos/631/03367560545/6310336756054505092023122152.pdf</v>
      </c>
      <c r="F1335" s="5" t="str">
        <f>HYPERLINK("https://dpmzos25m8ivg.cloudfront.net/Documentos/631/03367560545/6310336756054505092023122215.pdf","https://dpmzos25m8ivg.cloudfront.net/Documentos/631/03367560545/6310336756054505092023122215.pdf")</f>
        <v>https://dpmzos25m8ivg.cloudfront.net/Documentos/631/03367560545/6310336756054505092023122215.pdf</v>
      </c>
      <c r="G1335" s="5" t="str">
        <f>HYPERLINK("https://dpmzos25m8ivg.cloudfront.net/Documentos/631/03367560545/6310336756054505092023122231.pdf","https://dpmzos25m8ivg.cloudfront.net/Documentos/631/03367560545/6310336756054505092023122231.pdf")</f>
        <v>https://dpmzos25m8ivg.cloudfront.net/Documentos/631/03367560545/6310336756054505092023122231.pdf</v>
      </c>
      <c r="H1335" s="4" t="s">
        <v>9918</v>
      </c>
    </row>
    <row r="1336" spans="1:8" x14ac:dyDescent="0.25">
      <c r="A1336" s="2" t="s">
        <v>1350</v>
      </c>
      <c r="B1336" s="3"/>
      <c r="C1336" s="3"/>
      <c r="D1336" s="3"/>
      <c r="E1336" s="4" t="str">
        <f>HYPERLINK("https://dpmzos25m8ivg.cloudfront.net/Documentos/631/03371100260/6310337110026011092023154818.pdf","https://dpmzos25m8ivg.cloudfront.net/Documentos/631/03371100260/6310337110026011092023154818.pdf")</f>
        <v>https://dpmzos25m8ivg.cloudfront.net/Documentos/631/03371100260/6310337110026011092023154818.pdf</v>
      </c>
      <c r="F1336" s="5" t="str">
        <f>HYPERLINK("https://dpmzos25m8ivg.cloudfront.net/Documentos/631/03371100260/6310337110026011092023154831.pdf","https://dpmzos25m8ivg.cloudfront.net/Documentos/631/03371100260/6310337110026011092023154831.pdf")</f>
        <v>https://dpmzos25m8ivg.cloudfront.net/Documentos/631/03371100260/6310337110026011092023154831.pdf</v>
      </c>
      <c r="G1336" s="5" t="str">
        <f>HYPERLINK("https://dpmzos25m8ivg.cloudfront.net/Documentos/631/03371100260/6310337110026011092023154842.pdf","https://dpmzos25m8ivg.cloudfront.net/Documentos/631/03371100260/6310337110026011092023154842.pdf")</f>
        <v>https://dpmzos25m8ivg.cloudfront.net/Documentos/631/03371100260/6310337110026011092023154842.pdf</v>
      </c>
      <c r="H1336" s="4" t="s">
        <v>9919</v>
      </c>
    </row>
    <row r="1337" spans="1:8" x14ac:dyDescent="0.25">
      <c r="A1337" s="2" t="s">
        <v>1351</v>
      </c>
      <c r="B1337" s="3"/>
      <c r="C1337" s="3"/>
      <c r="D1337" s="3"/>
      <c r="E1337" s="4" t="str">
        <f>HYPERLINK("https://dpmzos25m8ivg.cloudfront.net/Documentos/631/03372177185/6310337217718511092023153901.pdf","https://dpmzos25m8ivg.cloudfront.net/Documentos/631/03372177185/6310337217718511092023153901.pdf")</f>
        <v>https://dpmzos25m8ivg.cloudfront.net/Documentos/631/03372177185/6310337217718511092023153901.pdf</v>
      </c>
      <c r="F1337" s="5" t="str">
        <f>HYPERLINK("https://dpmzos25m8ivg.cloudfront.net/Documentos/631/03372177185/6310337217718511092023153842.pdf","https://dpmzos25m8ivg.cloudfront.net/Documentos/631/03372177185/6310337217718511092023153842.pdf")</f>
        <v>https://dpmzos25m8ivg.cloudfront.net/Documentos/631/03372177185/6310337217718511092023153842.pdf</v>
      </c>
      <c r="G1337" s="5" t="str">
        <f>HYPERLINK("https://dpmzos25m8ivg.cloudfront.net/Documentos/631/03372177185/6310337217718511092023153807.pdf","https://dpmzos25m8ivg.cloudfront.net/Documentos/631/03372177185/6310337217718511092023153807.pdf")</f>
        <v>https://dpmzos25m8ivg.cloudfront.net/Documentos/631/03372177185/6310337217718511092023153807.pdf</v>
      </c>
      <c r="H1337" s="4" t="s">
        <v>9920</v>
      </c>
    </row>
    <row r="1338" spans="1:8" x14ac:dyDescent="0.25">
      <c r="A1338" s="2" t="s">
        <v>1352</v>
      </c>
      <c r="B1338" s="3"/>
      <c r="C1338" s="3"/>
      <c r="D1338" s="3"/>
      <c r="E1338" s="4" t="str">
        <f>HYPERLINK("https://dpmzos25m8ivg.cloudfront.net/Documentos/631/03373400481/6310337340048111092023003452.pdf","https://dpmzos25m8ivg.cloudfront.net/Documentos/631/03373400481/6310337340048111092023003452.pdf")</f>
        <v>https://dpmzos25m8ivg.cloudfront.net/Documentos/631/03373400481/6310337340048111092023003452.pdf</v>
      </c>
      <c r="F1338" s="5" t="str">
        <f>HYPERLINK("https://dpmzos25m8ivg.cloudfront.net/Documentos/631/03373400481/6310337340048111092023003642.pdf","https://dpmzos25m8ivg.cloudfront.net/Documentos/631/03373400481/6310337340048111092023003642.pdf")</f>
        <v>https://dpmzos25m8ivg.cloudfront.net/Documentos/631/03373400481/6310337340048111092023003642.pdf</v>
      </c>
      <c r="G1338" s="5" t="str">
        <f>HYPERLINK("https://dpmzos25m8ivg.cloudfront.net/Documentos/631/03373400481/6310337340048111092023003655.pdf","https://dpmzos25m8ivg.cloudfront.net/Documentos/631/03373400481/6310337340048111092023003655.pdf")</f>
        <v>https://dpmzos25m8ivg.cloudfront.net/Documentos/631/03373400481/6310337340048111092023003655.pdf</v>
      </c>
      <c r="H1338" s="4" t="s">
        <v>9921</v>
      </c>
    </row>
    <row r="1339" spans="1:8" x14ac:dyDescent="0.25">
      <c r="A1339" s="2" t="s">
        <v>1353</v>
      </c>
      <c r="B1339" s="3"/>
      <c r="C1339" s="3"/>
      <c r="D1339" s="3"/>
      <c r="E1339" s="4" t="str">
        <f>HYPERLINK("https://dpmzos25m8ivg.cloudfront.net/Documentos/631/03374185002/6310337418500211092023155446.jpeg","https://dpmzos25m8ivg.cloudfront.net/Documentos/631/03374185002/6310337418500211092023155446.jpeg")</f>
        <v>https://dpmzos25m8ivg.cloudfront.net/Documentos/631/03374185002/6310337418500211092023155446.jpeg</v>
      </c>
      <c r="F1339" s="5" t="str">
        <f>HYPERLINK("https://dpmzos25m8ivg.cloudfront.net/Documentos/631/03374185002/6310337418500211092023155459.jpeg","https://dpmzos25m8ivg.cloudfront.net/Documentos/631/03374185002/6310337418500211092023155459.jpeg")</f>
        <v>https://dpmzos25m8ivg.cloudfront.net/Documentos/631/03374185002/6310337418500211092023155459.jpeg</v>
      </c>
      <c r="G1339" s="5" t="str">
        <f>HYPERLINK("https://dpmzos25m8ivg.cloudfront.net/Documentos/631/03374185002/6310337418500211092023155515.jpeg","https://dpmzos25m8ivg.cloudfront.net/Documentos/631/03374185002/6310337418500211092023155515.jpeg")</f>
        <v>https://dpmzos25m8ivg.cloudfront.net/Documentos/631/03374185002/6310337418500211092023155515.jpeg</v>
      </c>
      <c r="H1339" s="4" t="s">
        <v>9922</v>
      </c>
    </row>
    <row r="1340" spans="1:8" x14ac:dyDescent="0.25">
      <c r="A1340" s="2" t="s">
        <v>1354</v>
      </c>
      <c r="B1340" s="3"/>
      <c r="C1340" s="3"/>
      <c r="D1340" s="3"/>
      <c r="E1340" s="4" t="str">
        <f>HYPERLINK("https://dpmzos25m8ivg.cloudfront.net/Documentos/631/03374551556/6310337455155614092023092546.jpg","https://dpmzos25m8ivg.cloudfront.net/Documentos/631/03374551556/6310337455155614092023092546.jpg")</f>
        <v>https://dpmzos25m8ivg.cloudfront.net/Documentos/631/03374551556/6310337455155614092023092546.jpg</v>
      </c>
      <c r="F1340" s="5" t="str">
        <f>HYPERLINK("https://dpmzos25m8ivg.cloudfront.net/Documentos/631/03374551556/6310337455155614092023092603.jpg","https://dpmzos25m8ivg.cloudfront.net/Documentos/631/03374551556/6310337455155614092023092603.jpg")</f>
        <v>https://dpmzos25m8ivg.cloudfront.net/Documentos/631/03374551556/6310337455155614092023092603.jpg</v>
      </c>
      <c r="G1340" s="5" t="str">
        <f>HYPERLINK("https://dpmzos25m8ivg.cloudfront.net/Documentos/631/03374551556/6310337455155614092023092624.jpg","https://dpmzos25m8ivg.cloudfront.net/Documentos/631/03374551556/6310337455155614092023092624.jpg")</f>
        <v>https://dpmzos25m8ivg.cloudfront.net/Documentos/631/03374551556/6310337455155614092023092624.jpg</v>
      </c>
      <c r="H1340" s="4" t="s">
        <v>9923</v>
      </c>
    </row>
    <row r="1341" spans="1:8" x14ac:dyDescent="0.25">
      <c r="A1341" s="2" t="s">
        <v>1355</v>
      </c>
      <c r="B1341" s="3" t="s">
        <v>23</v>
      </c>
      <c r="C1341" s="3"/>
      <c r="D1341" s="3"/>
      <c r="E1341" s="4" t="str">
        <f>HYPERLINK("https://dpmzos25m8ivg.cloudfront.net/Documentos/631/03381174908/6310338117490805092023094101.pdf","https://dpmzos25m8ivg.cloudfront.net/Documentos/631/03381174908/6310338117490805092023094101.pdf")</f>
        <v>https://dpmzos25m8ivg.cloudfront.net/Documentos/631/03381174908/6310338117490805092023094101.pdf</v>
      </c>
      <c r="F1341" s="5" t="str">
        <f>HYPERLINK("https://dpmzos25m8ivg.cloudfront.net/Documentos/631/03381174908/6310338117490805092023094115.pdf","https://dpmzos25m8ivg.cloudfront.net/Documentos/631/03381174908/6310338117490805092023094115.pdf")</f>
        <v>https://dpmzos25m8ivg.cloudfront.net/Documentos/631/03381174908/6310338117490805092023094115.pdf</v>
      </c>
      <c r="G1341" s="5" t="str">
        <f>HYPERLINK("https://dpmzos25m8ivg.cloudfront.net/Documentos/631/03381174908/6310338117490805092023094133.pdf","https://dpmzos25m8ivg.cloudfront.net/Documentos/631/03381174908/6310338117490805092023094133.pdf")</f>
        <v>https://dpmzos25m8ivg.cloudfront.net/Documentos/631/03381174908/6310338117490805092023094133.pdf</v>
      </c>
      <c r="H1341" s="4" t="s">
        <v>9924</v>
      </c>
    </row>
    <row r="1342" spans="1:8" x14ac:dyDescent="0.25">
      <c r="A1342" s="2" t="s">
        <v>1356</v>
      </c>
      <c r="B1342" s="3"/>
      <c r="C1342" s="3"/>
      <c r="D1342" s="3"/>
      <c r="E1342" s="4" t="str">
        <f>HYPERLINK("https://dpmzos25m8ivg.cloudfront.net/Documentos/631/03381263684/6310338126368410092023212609.pdf","https://dpmzos25m8ivg.cloudfront.net/Documentos/631/03381263684/6310338126368410092023212609.pdf")</f>
        <v>https://dpmzos25m8ivg.cloudfront.net/Documentos/631/03381263684/6310338126368410092023212609.pdf</v>
      </c>
      <c r="F1342" s="5" t="str">
        <f>HYPERLINK("https://dpmzos25m8ivg.cloudfront.net/Documentos/631/03381263684/6310338126368410092023212619.pdf","https://dpmzos25m8ivg.cloudfront.net/Documentos/631/03381263684/6310338126368410092023212619.pdf")</f>
        <v>https://dpmzos25m8ivg.cloudfront.net/Documentos/631/03381263684/6310338126368410092023212619.pdf</v>
      </c>
      <c r="G1342" s="5" t="str">
        <f>HYPERLINK("https://dpmzos25m8ivg.cloudfront.net/Documentos/631/03381263684/6310338126368410092023212634.pdf","https://dpmzos25m8ivg.cloudfront.net/Documentos/631/03381263684/6310338126368410092023212634.pdf")</f>
        <v>https://dpmzos25m8ivg.cloudfront.net/Documentos/631/03381263684/6310338126368410092023212634.pdf</v>
      </c>
      <c r="H1342" s="4" t="s">
        <v>9925</v>
      </c>
    </row>
    <row r="1343" spans="1:8" x14ac:dyDescent="0.25">
      <c r="A1343" s="2" t="s">
        <v>1357</v>
      </c>
      <c r="B1343" s="3"/>
      <c r="C1343" s="3"/>
      <c r="D1343" s="3"/>
      <c r="E1343" s="4" t="str">
        <f>HYPERLINK("https://dpmzos25m8ivg.cloudfront.net/Documentos/631/03383643158/6310338364315811092023161405.pdf","https://dpmzos25m8ivg.cloudfront.net/Documentos/631/03383643158/6310338364315811092023161405.pdf")</f>
        <v>https://dpmzos25m8ivg.cloudfront.net/Documentos/631/03383643158/6310338364315811092023161405.pdf</v>
      </c>
      <c r="F1343" s="5" t="str">
        <f>HYPERLINK("https://dpmzos25m8ivg.cloudfront.net/Documentos/631/03383643158/6310338364315811092023161439.pdf","https://dpmzos25m8ivg.cloudfront.net/Documentos/631/03383643158/6310338364315811092023161439.pdf")</f>
        <v>https://dpmzos25m8ivg.cloudfront.net/Documentos/631/03383643158/6310338364315811092023161439.pdf</v>
      </c>
      <c r="G1343" s="5" t="str">
        <f>HYPERLINK("https://dpmzos25m8ivg.cloudfront.net/Documentos/631/03383643158/6310338364315811092023161452.pdf","https://dpmzos25m8ivg.cloudfront.net/Documentos/631/03383643158/6310338364315811092023161452.pdf")</f>
        <v>https://dpmzos25m8ivg.cloudfront.net/Documentos/631/03383643158/6310338364315811092023161452.pdf</v>
      </c>
      <c r="H1343" s="4" t="s">
        <v>9926</v>
      </c>
    </row>
    <row r="1344" spans="1:8" x14ac:dyDescent="0.25">
      <c r="A1344" s="2" t="s">
        <v>1358</v>
      </c>
      <c r="B1344" s="3"/>
      <c r="C1344" s="3"/>
      <c r="D1344" s="3"/>
      <c r="E1344" s="4" t="str">
        <f>HYPERLINK("https://dpmzos25m8ivg.cloudfront.net/Documentos/631/03385092329/6310338509232911092023124137.jpg","https://dpmzos25m8ivg.cloudfront.net/Documentos/631/03385092329/6310338509232911092023124137.jpg")</f>
        <v>https://dpmzos25m8ivg.cloudfront.net/Documentos/631/03385092329/6310338509232911092023124137.jpg</v>
      </c>
      <c r="F1344" s="5" t="str">
        <f>HYPERLINK("https://dpmzos25m8ivg.cloudfront.net/Documentos/631/03385092329/6310338509232911092023124149.jpg","https://dpmzos25m8ivg.cloudfront.net/Documentos/631/03385092329/6310338509232911092023124149.jpg")</f>
        <v>https://dpmzos25m8ivg.cloudfront.net/Documentos/631/03385092329/6310338509232911092023124149.jpg</v>
      </c>
      <c r="G1344" s="5" t="str">
        <f>HYPERLINK("https://dpmzos25m8ivg.cloudfront.net/Documentos/631/03385092329/6310338509232911092023124158.jpg","https://dpmzos25m8ivg.cloudfront.net/Documentos/631/03385092329/6310338509232911092023124158.jpg")</f>
        <v>https://dpmzos25m8ivg.cloudfront.net/Documentos/631/03385092329/6310338509232911092023124158.jpg</v>
      </c>
      <c r="H1344" s="4" t="s">
        <v>9927</v>
      </c>
    </row>
    <row r="1345" spans="1:8" x14ac:dyDescent="0.25">
      <c r="A1345" s="2" t="s">
        <v>1359</v>
      </c>
      <c r="B1345" s="3" t="s">
        <v>308</v>
      </c>
      <c r="C1345" s="3"/>
      <c r="D1345" s="3"/>
      <c r="E1345" s="4" t="str">
        <f>HYPERLINK("https://dpmzos25m8ivg.cloudfront.net/Documentos/631/03385138175/6310338513817511092023165219.pdf","https://dpmzos25m8ivg.cloudfront.net/Documentos/631/03385138175/6310338513817511092023165219.pdf")</f>
        <v>https://dpmzos25m8ivg.cloudfront.net/Documentos/631/03385138175/6310338513817511092023165219.pdf</v>
      </c>
      <c r="F1345" s="5" t="str">
        <f>HYPERLINK("https://dpmzos25m8ivg.cloudfront.net/Documentos/631/03385138175/6310338513817511092023165227.pdf","https://dpmzos25m8ivg.cloudfront.net/Documentos/631/03385138175/6310338513817511092023165227.pdf")</f>
        <v>https://dpmzos25m8ivg.cloudfront.net/Documentos/631/03385138175/6310338513817511092023165227.pdf</v>
      </c>
      <c r="G1345" s="5" t="str">
        <f>HYPERLINK("https://dpmzos25m8ivg.cloudfront.net/Documentos/631/03385138175/6310338513817511092023165236.pdf","https://dpmzos25m8ivg.cloudfront.net/Documentos/631/03385138175/6310338513817511092023165236.pdf")</f>
        <v>https://dpmzos25m8ivg.cloudfront.net/Documentos/631/03385138175/6310338513817511092023165236.pdf</v>
      </c>
      <c r="H1345" s="4" t="s">
        <v>9928</v>
      </c>
    </row>
    <row r="1346" spans="1:8" x14ac:dyDescent="0.25">
      <c r="A1346" s="2" t="s">
        <v>1360</v>
      </c>
      <c r="B1346" s="3" t="s">
        <v>308</v>
      </c>
      <c r="C1346" s="3"/>
      <c r="D1346" s="3"/>
      <c r="E1346" s="4" t="str">
        <f>HYPERLINK("https://dpmzos25m8ivg.cloudfront.net/Documentos/631/03385797292/6310338579729211092023112639.jpeg","https://dpmzos25m8ivg.cloudfront.net/Documentos/631/03385797292/6310338579729211092023112639.jpeg")</f>
        <v>https://dpmzos25m8ivg.cloudfront.net/Documentos/631/03385797292/6310338579729211092023112639.jpeg</v>
      </c>
      <c r="F1346" s="5" t="str">
        <f>HYPERLINK("https://dpmzos25m8ivg.cloudfront.net/Documentos/631/03385797292/6310338579729211092023112656.jpeg","https://dpmzos25m8ivg.cloudfront.net/Documentos/631/03385797292/6310338579729211092023112656.jpeg")</f>
        <v>https://dpmzos25m8ivg.cloudfront.net/Documentos/631/03385797292/6310338579729211092023112656.jpeg</v>
      </c>
      <c r="G1346" s="5" t="str">
        <f>HYPERLINK("https://dpmzos25m8ivg.cloudfront.net/Documentos/631/03385797292/6310338579729211092023112710.jpeg","https://dpmzos25m8ivg.cloudfront.net/Documentos/631/03385797292/6310338579729211092023112710.jpeg")</f>
        <v>https://dpmzos25m8ivg.cloudfront.net/Documentos/631/03385797292/6310338579729211092023112710.jpeg</v>
      </c>
      <c r="H1346" s="4" t="s">
        <v>9929</v>
      </c>
    </row>
    <row r="1347" spans="1:8" x14ac:dyDescent="0.25">
      <c r="A1347" s="2" t="s">
        <v>1361</v>
      </c>
      <c r="B1347" s="3"/>
      <c r="C1347" s="3"/>
      <c r="D1347" s="3"/>
      <c r="E1347" s="4" t="str">
        <f>HYPERLINK("https://dpmzos25m8ivg.cloudfront.net/Documentos/631/03386141170/6310338614117011092023105640.pdf","https://dpmzos25m8ivg.cloudfront.net/Documentos/631/03386141170/6310338614117011092023105640.pdf")</f>
        <v>https://dpmzos25m8ivg.cloudfront.net/Documentos/631/03386141170/6310338614117011092023105640.pdf</v>
      </c>
      <c r="F1347" s="5" t="str">
        <f>HYPERLINK("https://dpmzos25m8ivg.cloudfront.net/Documentos/631/03386141170/6310338614117011092023105654.pdf","https://dpmzos25m8ivg.cloudfront.net/Documentos/631/03386141170/6310338614117011092023105654.pdf")</f>
        <v>https://dpmzos25m8ivg.cloudfront.net/Documentos/631/03386141170/6310338614117011092023105654.pdf</v>
      </c>
      <c r="G1347" s="5" t="str">
        <f>HYPERLINK("https://dpmzos25m8ivg.cloudfront.net/Documentos/631/03386141170/6310338614117011092023105709.pdf","https://dpmzos25m8ivg.cloudfront.net/Documentos/631/03386141170/6310338614117011092023105709.pdf")</f>
        <v>https://dpmzos25m8ivg.cloudfront.net/Documentos/631/03386141170/6310338614117011092023105709.pdf</v>
      </c>
      <c r="H1347" s="4" t="s">
        <v>9930</v>
      </c>
    </row>
    <row r="1348" spans="1:8" x14ac:dyDescent="0.25">
      <c r="A1348" s="2" t="s">
        <v>1362</v>
      </c>
      <c r="B1348" s="3"/>
      <c r="C1348" s="3"/>
      <c r="D1348" s="3"/>
      <c r="E1348" s="4" t="str">
        <f>HYPERLINK("https://dpmzos25m8ivg.cloudfront.net/Documentos/631/03386416101/6310338641610114092023122430.pdf","https://dpmzos25m8ivg.cloudfront.net/Documentos/631/03386416101/6310338641610114092023122430.pdf")</f>
        <v>https://dpmzos25m8ivg.cloudfront.net/Documentos/631/03386416101/6310338641610114092023122430.pdf</v>
      </c>
      <c r="F1348" s="5" t="str">
        <f>HYPERLINK("https://dpmzos25m8ivg.cloudfront.net/Documentos/631/03386416101/6310338641610114092023122437.pdf","https://dpmzos25m8ivg.cloudfront.net/Documentos/631/03386416101/6310338641610114092023122437.pdf")</f>
        <v>https://dpmzos25m8ivg.cloudfront.net/Documentos/631/03386416101/6310338641610114092023122437.pdf</v>
      </c>
      <c r="G1348" s="5" t="str">
        <f>HYPERLINK("https://dpmzos25m8ivg.cloudfront.net/Documentos/631/03386416101/6310338641610114092023122447.pdf","https://dpmzos25m8ivg.cloudfront.net/Documentos/631/03386416101/6310338641610114092023122447.pdf")</f>
        <v>https://dpmzos25m8ivg.cloudfront.net/Documentos/631/03386416101/6310338641610114092023122447.pdf</v>
      </c>
      <c r="H1348" s="4" t="s">
        <v>9931</v>
      </c>
    </row>
    <row r="1349" spans="1:8" x14ac:dyDescent="0.25">
      <c r="A1349" s="2" t="s">
        <v>1363</v>
      </c>
      <c r="B1349" s="3"/>
      <c r="C1349" s="3"/>
      <c r="D1349" s="3"/>
      <c r="E1349" s="4" t="str">
        <f>HYPERLINK("https://dpmzos25m8ivg.cloudfront.net/Documentos/631/03387566204/6310338756620409092023204418.pdf","https://dpmzos25m8ivg.cloudfront.net/Documentos/631/03387566204/6310338756620409092023204418.pdf")</f>
        <v>https://dpmzos25m8ivg.cloudfront.net/Documentos/631/03387566204/6310338756620409092023204418.pdf</v>
      </c>
      <c r="F1349" s="5" t="str">
        <f>HYPERLINK("https://dpmzos25m8ivg.cloudfront.net/Documentos/631/03387566204/6310338756620409092023204429.pdf","https://dpmzos25m8ivg.cloudfront.net/Documentos/631/03387566204/6310338756620409092023204429.pdf")</f>
        <v>https://dpmzos25m8ivg.cloudfront.net/Documentos/631/03387566204/6310338756620409092023204429.pdf</v>
      </c>
      <c r="G1349" s="5" t="str">
        <f>HYPERLINK("https://dpmzos25m8ivg.cloudfront.net/Documentos/631/03387566204/6310338756620409092023204441.pdf","https://dpmzos25m8ivg.cloudfront.net/Documentos/631/03387566204/6310338756620409092023204441.pdf")</f>
        <v>https://dpmzos25m8ivg.cloudfront.net/Documentos/631/03387566204/6310338756620409092023204441.pdf</v>
      </c>
      <c r="H1349" s="4" t="s">
        <v>9932</v>
      </c>
    </row>
    <row r="1350" spans="1:8" x14ac:dyDescent="0.25">
      <c r="A1350" s="2" t="s">
        <v>1364</v>
      </c>
      <c r="B1350" s="3"/>
      <c r="C1350" s="3"/>
      <c r="D1350" s="3"/>
      <c r="E1350" s="4" t="str">
        <f>HYPERLINK("https://dpmzos25m8ivg.cloudfront.net/Documentos/631/03388157243/6310338815724307092023151822.pdf","https://dpmzos25m8ivg.cloudfront.net/Documentos/631/03388157243/6310338815724307092023151822.pdf")</f>
        <v>https://dpmzos25m8ivg.cloudfront.net/Documentos/631/03388157243/6310338815724307092023151822.pdf</v>
      </c>
      <c r="F1350" s="5" t="str">
        <f>HYPERLINK("https://dpmzos25m8ivg.cloudfront.net/Documentos/631/03388157243/6310338815724307092023151835.pdf","https://dpmzos25m8ivg.cloudfront.net/Documentos/631/03388157243/6310338815724307092023151835.pdf")</f>
        <v>https://dpmzos25m8ivg.cloudfront.net/Documentos/631/03388157243/6310338815724307092023151835.pdf</v>
      </c>
      <c r="G1350" s="5" t="str">
        <f>HYPERLINK("https://dpmzos25m8ivg.cloudfront.net/Documentos/631/03388157243/6310338815724307092023151847.pdf","https://dpmzos25m8ivg.cloudfront.net/Documentos/631/03388157243/6310338815724307092023151847.pdf")</f>
        <v>https://dpmzos25m8ivg.cloudfront.net/Documentos/631/03388157243/6310338815724307092023151847.pdf</v>
      </c>
      <c r="H1350" s="4" t="s">
        <v>9933</v>
      </c>
    </row>
    <row r="1351" spans="1:8" x14ac:dyDescent="0.25">
      <c r="A1351" s="2" t="s">
        <v>1365</v>
      </c>
      <c r="B1351" s="3"/>
      <c r="C1351" s="3"/>
      <c r="D1351" s="3"/>
      <c r="E1351" s="4" t="str">
        <f>HYPERLINK("https://dpmzos25m8ivg.cloudfront.net/Documentos/631/03388181381/6310338818138111092023150707.pdf","https://dpmzos25m8ivg.cloudfront.net/Documentos/631/03388181381/6310338818138111092023150707.pdf")</f>
        <v>https://dpmzos25m8ivg.cloudfront.net/Documentos/631/03388181381/6310338818138111092023150707.pdf</v>
      </c>
      <c r="F1351" s="5" t="str">
        <f>HYPERLINK("https://dpmzos25m8ivg.cloudfront.net/Documentos/631/03388181381/6310338818138111092023150717.pdf","https://dpmzos25m8ivg.cloudfront.net/Documentos/631/03388181381/6310338818138111092023150717.pdf")</f>
        <v>https://dpmzos25m8ivg.cloudfront.net/Documentos/631/03388181381/6310338818138111092023150717.pdf</v>
      </c>
      <c r="G1351" s="5" t="str">
        <f>HYPERLINK("https://dpmzos25m8ivg.cloudfront.net/Documentos/631/03388181381/6310338818138111092023150728.pdf","https://dpmzos25m8ivg.cloudfront.net/Documentos/631/03388181381/6310338818138111092023150728.pdf")</f>
        <v>https://dpmzos25m8ivg.cloudfront.net/Documentos/631/03388181381/6310338818138111092023150728.pdf</v>
      </c>
      <c r="H1351" s="4" t="s">
        <v>9934</v>
      </c>
    </row>
    <row r="1352" spans="1:8" x14ac:dyDescent="0.25">
      <c r="A1352" s="2" t="s">
        <v>1366</v>
      </c>
      <c r="B1352" s="3"/>
      <c r="C1352" s="3"/>
      <c r="D1352" s="3"/>
      <c r="E1352" s="4" t="str">
        <f>HYPERLINK("https://dpmzos25m8ivg.cloudfront.net/Documentos/631/03392207160/6310339220716005092023141605.pdf","https://dpmzos25m8ivg.cloudfront.net/Documentos/631/03392207160/6310339220716005092023141605.pdf")</f>
        <v>https://dpmzos25m8ivg.cloudfront.net/Documentos/631/03392207160/6310339220716005092023141605.pdf</v>
      </c>
      <c r="F1352" s="5" t="str">
        <f>HYPERLINK("https://dpmzos25m8ivg.cloudfront.net/Documentos/631/03392207160/6310339220716005092023141613.pdf","https://dpmzos25m8ivg.cloudfront.net/Documentos/631/03392207160/6310339220716005092023141613.pdf")</f>
        <v>https://dpmzos25m8ivg.cloudfront.net/Documentos/631/03392207160/6310339220716005092023141613.pdf</v>
      </c>
      <c r="G1352" s="5" t="str">
        <f>HYPERLINK("https://dpmzos25m8ivg.cloudfront.net/Documentos/631/03392207160/6310339220716005092023141623.pdf","https://dpmzos25m8ivg.cloudfront.net/Documentos/631/03392207160/6310339220716005092023141623.pdf")</f>
        <v>https://dpmzos25m8ivg.cloudfront.net/Documentos/631/03392207160/6310339220716005092023141623.pdf</v>
      </c>
      <c r="H1352" s="4" t="s">
        <v>9935</v>
      </c>
    </row>
    <row r="1353" spans="1:8" x14ac:dyDescent="0.25">
      <c r="A1353" s="2" t="s">
        <v>1367</v>
      </c>
      <c r="B1353" s="3"/>
      <c r="C1353" s="3"/>
      <c r="D1353" s="3"/>
      <c r="E1353" s="4" t="str">
        <f>HYPERLINK("https://dpmzos25m8ivg.cloudfront.net/Documentos/631/03392903078/6310339290307810092023014536.jpg","https://dpmzos25m8ivg.cloudfront.net/Documentos/631/03392903078/6310339290307810092023014536.jpg")</f>
        <v>https://dpmzos25m8ivg.cloudfront.net/Documentos/631/03392903078/6310339290307810092023014536.jpg</v>
      </c>
      <c r="F1353" s="5" t="str">
        <f>HYPERLINK("https://dpmzos25m8ivg.cloudfront.net/Documentos/631/03392903078/6310339290307810092023014549.jpg","https://dpmzos25m8ivg.cloudfront.net/Documentos/631/03392903078/6310339290307810092023014549.jpg")</f>
        <v>https://dpmzos25m8ivg.cloudfront.net/Documentos/631/03392903078/6310339290307810092023014549.jpg</v>
      </c>
      <c r="G1353" s="5" t="str">
        <f>HYPERLINK("https://dpmzos25m8ivg.cloudfront.net/Documentos/631/03392903078/6310339290307810092023014602.jpg","https://dpmzos25m8ivg.cloudfront.net/Documentos/631/03392903078/6310339290307810092023014602.jpg")</f>
        <v>https://dpmzos25m8ivg.cloudfront.net/Documentos/631/03392903078/6310339290307810092023014602.jpg</v>
      </c>
      <c r="H1353" s="4" t="s">
        <v>9936</v>
      </c>
    </row>
    <row r="1354" spans="1:8" x14ac:dyDescent="0.25">
      <c r="A1354" s="2" t="s">
        <v>1368</v>
      </c>
      <c r="B1354" s="3"/>
      <c r="C1354" s="3"/>
      <c r="D1354" s="3"/>
      <c r="E1354" s="4" t="str">
        <f>HYPERLINK("https://dpmzos25m8ivg.cloudfront.net/Documentos/631/03393709127/6310339370912711092023161932.pdf","https://dpmzos25m8ivg.cloudfront.net/Documentos/631/03393709127/6310339370912711092023161932.pdf")</f>
        <v>https://dpmzos25m8ivg.cloudfront.net/Documentos/631/03393709127/6310339370912711092023161932.pdf</v>
      </c>
      <c r="F1354" s="5" t="str">
        <f>HYPERLINK("https://dpmzos25m8ivg.cloudfront.net/Documentos/631/03393709127/6310339370912711092023161944.pdf","https://dpmzos25m8ivg.cloudfront.net/Documentos/631/03393709127/6310339370912711092023161944.pdf")</f>
        <v>https://dpmzos25m8ivg.cloudfront.net/Documentos/631/03393709127/6310339370912711092023161944.pdf</v>
      </c>
      <c r="G1354" s="5" t="str">
        <f>HYPERLINK("https://dpmzos25m8ivg.cloudfront.net/Documentos/631/03393709127/6310339370912711092023161955.pdf","https://dpmzos25m8ivg.cloudfront.net/Documentos/631/03393709127/6310339370912711092023161955.pdf")</f>
        <v>https://dpmzos25m8ivg.cloudfront.net/Documentos/631/03393709127/6310339370912711092023161955.pdf</v>
      </c>
      <c r="H1354" s="4" t="s">
        <v>9937</v>
      </c>
    </row>
    <row r="1355" spans="1:8" x14ac:dyDescent="0.25">
      <c r="A1355" s="2" t="s">
        <v>1369</v>
      </c>
      <c r="B1355" s="3"/>
      <c r="C1355" s="3"/>
      <c r="D1355" s="3"/>
      <c r="E1355" s="4" t="str">
        <f>HYPERLINK("https://dpmzos25m8ivg.cloudfront.net/Documentos/631/03394652390/6310339465239013092023133043.pdf","https://dpmzos25m8ivg.cloudfront.net/Documentos/631/03394652390/6310339465239013092023133043.pdf")</f>
        <v>https://dpmzos25m8ivg.cloudfront.net/Documentos/631/03394652390/6310339465239013092023133043.pdf</v>
      </c>
      <c r="F1355" s="5" t="str">
        <f>HYPERLINK("https://dpmzos25m8ivg.cloudfront.net/Documentos/631/03394652390/6310339465239013092023133141.pdf","https://dpmzos25m8ivg.cloudfront.net/Documentos/631/03394652390/6310339465239013092023133141.pdf")</f>
        <v>https://dpmzos25m8ivg.cloudfront.net/Documentos/631/03394652390/6310339465239013092023133141.pdf</v>
      </c>
      <c r="G1355" s="5" t="str">
        <f>HYPERLINK("https://dpmzos25m8ivg.cloudfront.net/Documentos/631/03394652390/6310339465239013092023133153.pdf","https://dpmzos25m8ivg.cloudfront.net/Documentos/631/03394652390/6310339465239013092023133153.pdf")</f>
        <v>https://dpmzos25m8ivg.cloudfront.net/Documentos/631/03394652390/6310339465239013092023133153.pdf</v>
      </c>
      <c r="H1355" s="4" t="s">
        <v>9938</v>
      </c>
    </row>
    <row r="1356" spans="1:8" x14ac:dyDescent="0.25">
      <c r="A1356" s="2" t="s">
        <v>1370</v>
      </c>
      <c r="B1356" s="3" t="s">
        <v>308</v>
      </c>
      <c r="C1356" s="3"/>
      <c r="D1356" s="3"/>
      <c r="E1356" s="4" t="str">
        <f>HYPERLINK("https://dpmzos25m8ivg.cloudfront.net/Documentos/631/03395114783/6310339511478311092023134548.pdf","https://dpmzos25m8ivg.cloudfront.net/Documentos/631/03395114783/6310339511478311092023134548.pdf")</f>
        <v>https://dpmzos25m8ivg.cloudfront.net/Documentos/631/03395114783/6310339511478311092023134548.pdf</v>
      </c>
      <c r="F1356" s="5" t="str">
        <f>HYPERLINK("https://dpmzos25m8ivg.cloudfront.net/Documentos/631/03395114783/6310339511478311092023134556.pdf","https://dpmzos25m8ivg.cloudfront.net/Documentos/631/03395114783/6310339511478311092023134556.pdf")</f>
        <v>https://dpmzos25m8ivg.cloudfront.net/Documentos/631/03395114783/6310339511478311092023134556.pdf</v>
      </c>
      <c r="G1356" s="5" t="str">
        <f>HYPERLINK("https://dpmzos25m8ivg.cloudfront.net/Documentos/631/03395114783/6310339511478311092023134604.pdf","https://dpmzos25m8ivg.cloudfront.net/Documentos/631/03395114783/6310339511478311092023134604.pdf")</f>
        <v>https://dpmzos25m8ivg.cloudfront.net/Documentos/631/03395114783/6310339511478311092023134604.pdf</v>
      </c>
      <c r="H1356" s="4" t="s">
        <v>9939</v>
      </c>
    </row>
    <row r="1357" spans="1:8" x14ac:dyDescent="0.25">
      <c r="A1357" s="2" t="s">
        <v>1371</v>
      </c>
      <c r="B1357" s="3"/>
      <c r="C1357" s="3"/>
      <c r="D1357" s="3"/>
      <c r="E1357" s="4" t="str">
        <f>HYPERLINK("https://dpmzos25m8ivg.cloudfront.net/Documentos/631/03397200008/6310339720000811092023135840.jpeg","https://dpmzos25m8ivg.cloudfront.net/Documentos/631/03397200008/6310339720000811092023135840.jpeg")</f>
        <v>https://dpmzos25m8ivg.cloudfront.net/Documentos/631/03397200008/6310339720000811092023135840.jpeg</v>
      </c>
      <c r="F1357" s="5" t="str">
        <f>HYPERLINK("https://dpmzos25m8ivg.cloudfront.net/Documentos/631/03397200008/6310339720000811092023135913.jpeg","https://dpmzos25m8ivg.cloudfront.net/Documentos/631/03397200008/6310339720000811092023135913.jpeg")</f>
        <v>https://dpmzos25m8ivg.cloudfront.net/Documentos/631/03397200008/6310339720000811092023135913.jpeg</v>
      </c>
      <c r="G1357" s="5" t="str">
        <f>HYPERLINK("https://dpmzos25m8ivg.cloudfront.net/Documentos/631/03397200008/6310339720000811092023135944.jpeg","https://dpmzos25m8ivg.cloudfront.net/Documentos/631/03397200008/6310339720000811092023135944.jpeg")</f>
        <v>https://dpmzos25m8ivg.cloudfront.net/Documentos/631/03397200008/6310339720000811092023135944.jpeg</v>
      </c>
      <c r="H1357" s="4" t="s">
        <v>9940</v>
      </c>
    </row>
    <row r="1358" spans="1:8" x14ac:dyDescent="0.25">
      <c r="A1358" s="2" t="s">
        <v>1372</v>
      </c>
      <c r="B1358" s="3"/>
      <c r="C1358" s="3"/>
      <c r="D1358" s="3"/>
      <c r="E1358" s="4" t="str">
        <f>HYPERLINK("https://dpmzos25m8ivg.cloudfront.net/Documentos/631/03398034101/6310339803410105092023221922.pdf","https://dpmzos25m8ivg.cloudfront.net/Documentos/631/03398034101/6310339803410105092023221922.pdf")</f>
        <v>https://dpmzos25m8ivg.cloudfront.net/Documentos/631/03398034101/6310339803410105092023221922.pdf</v>
      </c>
      <c r="F1358" s="5" t="str">
        <f>HYPERLINK("https://dpmzos25m8ivg.cloudfront.net/Documentos/631/03398034101/6310339803410105092023221938.pdf","https://dpmzos25m8ivg.cloudfront.net/Documentos/631/03398034101/6310339803410105092023221938.pdf")</f>
        <v>https://dpmzos25m8ivg.cloudfront.net/Documentos/631/03398034101/6310339803410105092023221938.pdf</v>
      </c>
      <c r="G1358" s="5" t="str">
        <f>HYPERLINK("https://dpmzos25m8ivg.cloudfront.net/Documentos/631/03398034101/6310339803410105092023223107.pdf","https://dpmzos25m8ivg.cloudfront.net/Documentos/631/03398034101/6310339803410105092023223107.pdf")</f>
        <v>https://dpmzos25m8ivg.cloudfront.net/Documentos/631/03398034101/6310339803410105092023223107.pdf</v>
      </c>
      <c r="H1358" s="4" t="s">
        <v>9941</v>
      </c>
    </row>
    <row r="1359" spans="1:8" x14ac:dyDescent="0.25">
      <c r="A1359" s="2" t="s">
        <v>1373</v>
      </c>
      <c r="B1359" s="3"/>
      <c r="C1359" s="3"/>
      <c r="D1359" s="3"/>
      <c r="E1359" s="4" t="str">
        <f>HYPERLINK("https://dpmzos25m8ivg.cloudfront.net/Documentos/631/03401950100/6310340195010005092023164941.pdf","https://dpmzos25m8ivg.cloudfront.net/Documentos/631/03401950100/6310340195010005092023164941.pdf")</f>
        <v>https://dpmzos25m8ivg.cloudfront.net/Documentos/631/03401950100/6310340195010005092023164941.pdf</v>
      </c>
      <c r="F1359" s="5" t="str">
        <f>HYPERLINK("https://dpmzos25m8ivg.cloudfront.net/Documentos/631/03401950100/6310340195010005092023164955.pdf","https://dpmzos25m8ivg.cloudfront.net/Documentos/631/03401950100/6310340195010005092023164955.pdf")</f>
        <v>https://dpmzos25m8ivg.cloudfront.net/Documentos/631/03401950100/6310340195010005092023164955.pdf</v>
      </c>
      <c r="G1359" s="5" t="str">
        <f>HYPERLINK("https://dpmzos25m8ivg.cloudfront.net/Documentos/631/03401950100/6310340195010005092023165019.pdf","https://dpmzos25m8ivg.cloudfront.net/Documentos/631/03401950100/6310340195010005092023165019.pdf")</f>
        <v>https://dpmzos25m8ivg.cloudfront.net/Documentos/631/03401950100/6310340195010005092023165019.pdf</v>
      </c>
      <c r="H1359" s="4" t="s">
        <v>9942</v>
      </c>
    </row>
    <row r="1360" spans="1:8" x14ac:dyDescent="0.25">
      <c r="A1360" s="2" t="s">
        <v>1374</v>
      </c>
      <c r="B1360" s="3"/>
      <c r="C1360" s="3"/>
      <c r="D1360" s="3"/>
      <c r="E1360" s="4" t="str">
        <f>HYPERLINK("https://dpmzos25m8ivg.cloudfront.net/Documentos/631/03402798263/6310340279826314092023144819.pdf","https://dpmzos25m8ivg.cloudfront.net/Documentos/631/03402798263/6310340279826314092023144819.pdf")</f>
        <v>https://dpmzos25m8ivg.cloudfront.net/Documentos/631/03402798263/6310340279826314092023144819.pdf</v>
      </c>
      <c r="F1360" s="5" t="str">
        <f>HYPERLINK("https://dpmzos25m8ivg.cloudfront.net/Documentos/631/03402798263/6310340279826314092023144918.pdf","https://dpmzos25m8ivg.cloudfront.net/Documentos/631/03402798263/6310340279826314092023144918.pdf")</f>
        <v>https://dpmzos25m8ivg.cloudfront.net/Documentos/631/03402798263/6310340279826314092023144918.pdf</v>
      </c>
      <c r="G1360" s="5" t="str">
        <f>HYPERLINK("https://dpmzos25m8ivg.cloudfront.net/Documentos/631/03402798263/6310340279826314092023145155.pdf","https://dpmzos25m8ivg.cloudfront.net/Documentos/631/03402798263/6310340279826314092023145155.pdf")</f>
        <v>https://dpmzos25m8ivg.cloudfront.net/Documentos/631/03402798263/6310340279826314092023145155.pdf</v>
      </c>
      <c r="H1360" s="4" t="s">
        <v>9943</v>
      </c>
    </row>
    <row r="1361" spans="1:8" x14ac:dyDescent="0.25">
      <c r="A1361" s="2" t="s">
        <v>1375</v>
      </c>
      <c r="B1361" s="3"/>
      <c r="C1361" s="3"/>
      <c r="D1361" s="3"/>
      <c r="E1361" s="4" t="str">
        <f>HYPERLINK("https://dpmzos25m8ivg.cloudfront.net/Documentos/631/03403497003/6310340349700311092023125558.jpeg","https://dpmzos25m8ivg.cloudfront.net/Documentos/631/03403497003/6310340349700311092023125558.jpeg")</f>
        <v>https://dpmzos25m8ivg.cloudfront.net/Documentos/631/03403497003/6310340349700311092023125558.jpeg</v>
      </c>
      <c r="F1361" s="5" t="str">
        <f>HYPERLINK("https://dpmzos25m8ivg.cloudfront.net/Documentos/631/03403497003/6310340349700311092023125607.jpeg","https://dpmzos25m8ivg.cloudfront.net/Documentos/631/03403497003/6310340349700311092023125607.jpeg")</f>
        <v>https://dpmzos25m8ivg.cloudfront.net/Documentos/631/03403497003/6310340349700311092023125607.jpeg</v>
      </c>
      <c r="G1361" s="5" t="str">
        <f>HYPERLINK("https://dpmzos25m8ivg.cloudfront.net/Documentos/631/03403497003/6310340349700311092023125614.jpeg","https://dpmzos25m8ivg.cloudfront.net/Documentos/631/03403497003/6310340349700311092023125614.jpeg")</f>
        <v>https://dpmzos25m8ivg.cloudfront.net/Documentos/631/03403497003/6310340349700311092023125614.jpeg</v>
      </c>
      <c r="H1361" s="4" t="s">
        <v>9944</v>
      </c>
    </row>
    <row r="1362" spans="1:8" x14ac:dyDescent="0.25">
      <c r="A1362" s="2" t="s">
        <v>1376</v>
      </c>
      <c r="B1362" s="3"/>
      <c r="C1362" s="3"/>
      <c r="D1362" s="3"/>
      <c r="E1362" s="4" t="str">
        <f>HYPERLINK("https://dpmzos25m8ivg.cloudfront.net/Documentos/631/03403620301/6310340362030108092023104216.pdf","https://dpmzos25m8ivg.cloudfront.net/Documentos/631/03403620301/6310340362030108092023104216.pdf")</f>
        <v>https://dpmzos25m8ivg.cloudfront.net/Documentos/631/03403620301/6310340362030108092023104216.pdf</v>
      </c>
      <c r="F1362" s="5" t="str">
        <f>HYPERLINK("https://dpmzos25m8ivg.cloudfront.net/Documentos/631/03403620301/6310340362030108092023104243.pdf","https://dpmzos25m8ivg.cloudfront.net/Documentos/631/03403620301/6310340362030108092023104243.pdf")</f>
        <v>https://dpmzos25m8ivg.cloudfront.net/Documentos/631/03403620301/6310340362030108092023104243.pdf</v>
      </c>
      <c r="G1362" s="5" t="str">
        <f>HYPERLINK("https://dpmzos25m8ivg.cloudfront.net/Documentos/631/03403620301/6310340362030108092023104305.pdf","https://dpmzos25m8ivg.cloudfront.net/Documentos/631/03403620301/6310340362030108092023104305.pdf")</f>
        <v>https://dpmzos25m8ivg.cloudfront.net/Documentos/631/03403620301/6310340362030108092023104305.pdf</v>
      </c>
      <c r="H1362" s="4" t="s">
        <v>9945</v>
      </c>
    </row>
    <row r="1363" spans="1:8" x14ac:dyDescent="0.25">
      <c r="A1363" s="2" t="s">
        <v>1377</v>
      </c>
      <c r="B1363" s="3"/>
      <c r="C1363" s="3"/>
      <c r="D1363" s="3"/>
      <c r="E1363" s="4" t="str">
        <f>HYPERLINK("https://dpmzos25m8ivg.cloudfront.net/Documentos/631/03406139124/6310340613912406092023130326.pdf","https://dpmzos25m8ivg.cloudfront.net/Documentos/631/03406139124/6310340613912406092023130326.pdf")</f>
        <v>https://dpmzos25m8ivg.cloudfront.net/Documentos/631/03406139124/6310340613912406092023130326.pdf</v>
      </c>
      <c r="F1363" s="5" t="str">
        <f>HYPERLINK("https://dpmzos25m8ivg.cloudfront.net/Documentos/631/03406139124/6310340613912406092023130622.pdf","https://dpmzos25m8ivg.cloudfront.net/Documentos/631/03406139124/6310340613912406092023130622.pdf")</f>
        <v>https://dpmzos25m8ivg.cloudfront.net/Documentos/631/03406139124/6310340613912406092023130622.pdf</v>
      </c>
      <c r="G1363" s="5" t="str">
        <f>HYPERLINK("https://dpmzos25m8ivg.cloudfront.net/Documentos/631/03406139124/6310340613912406092023130856.pdf","https://dpmzos25m8ivg.cloudfront.net/Documentos/631/03406139124/6310340613912406092023130856.pdf")</f>
        <v>https://dpmzos25m8ivg.cloudfront.net/Documentos/631/03406139124/6310340613912406092023130856.pdf</v>
      </c>
      <c r="H1363" s="4" t="s">
        <v>9946</v>
      </c>
    </row>
    <row r="1364" spans="1:8" x14ac:dyDescent="0.25">
      <c r="A1364" s="2" t="s">
        <v>1378</v>
      </c>
      <c r="B1364" s="3" t="s">
        <v>308</v>
      </c>
      <c r="C1364" s="3"/>
      <c r="D1364" s="3"/>
      <c r="E1364" s="4" t="str">
        <f>HYPERLINK("https://dpmzos25m8ivg.cloudfront.net/Documentos/631/03406619509/6310340661950910092023200849.pdf","https://dpmzos25m8ivg.cloudfront.net/Documentos/631/03406619509/6310340661950910092023200849.pdf")</f>
        <v>https://dpmzos25m8ivg.cloudfront.net/Documentos/631/03406619509/6310340661950910092023200849.pdf</v>
      </c>
      <c r="F1364" s="5" t="str">
        <f>HYPERLINK("https://dpmzos25m8ivg.cloudfront.net/Documentos/631/03406619509/6310340661950910092023200900.pdf","https://dpmzos25m8ivg.cloudfront.net/Documentos/631/03406619509/6310340661950910092023200900.pdf")</f>
        <v>https://dpmzos25m8ivg.cloudfront.net/Documentos/631/03406619509/6310340661950910092023200900.pdf</v>
      </c>
      <c r="G1364" s="5" t="str">
        <f>HYPERLINK("https://dpmzos25m8ivg.cloudfront.net/Documentos/631/03406619509/6310340661950910092023200911.pdf","https://dpmzos25m8ivg.cloudfront.net/Documentos/631/03406619509/6310340661950910092023200911.pdf")</f>
        <v>https://dpmzos25m8ivg.cloudfront.net/Documentos/631/03406619509/6310340661950910092023200911.pdf</v>
      </c>
      <c r="H1364" s="4" t="s">
        <v>9947</v>
      </c>
    </row>
    <row r="1365" spans="1:8" x14ac:dyDescent="0.25">
      <c r="A1365" s="2" t="s">
        <v>1379</v>
      </c>
      <c r="B1365" s="3"/>
      <c r="C1365" s="3"/>
      <c r="D1365" s="3"/>
      <c r="E1365" s="4" t="str">
        <f>HYPERLINK("https://dpmzos25m8ivg.cloudfront.net/Documentos/631/03410656766/6310341065676605092023161419.pdf","https://dpmzos25m8ivg.cloudfront.net/Documentos/631/03410656766/6310341065676605092023161419.pdf")</f>
        <v>https://dpmzos25m8ivg.cloudfront.net/Documentos/631/03410656766/6310341065676605092023161419.pdf</v>
      </c>
      <c r="F1365" s="5" t="str">
        <f>HYPERLINK("https://dpmzos25m8ivg.cloudfront.net/Documentos/631/03410656766/6310341065676605092023161447.pdf","https://dpmzos25m8ivg.cloudfront.net/Documentos/631/03410656766/6310341065676605092023161447.pdf")</f>
        <v>https://dpmzos25m8ivg.cloudfront.net/Documentos/631/03410656766/6310341065676605092023161447.pdf</v>
      </c>
      <c r="G1365" s="5" t="str">
        <f>HYPERLINK("https://dpmzos25m8ivg.cloudfront.net/Documentos/631/03410656766/6310341065676606092023094229.pdf","https://dpmzos25m8ivg.cloudfront.net/Documentos/631/03410656766/6310341065676606092023094229.pdf")</f>
        <v>https://dpmzos25m8ivg.cloudfront.net/Documentos/631/03410656766/6310341065676606092023094229.pdf</v>
      </c>
      <c r="H1365" s="4" t="s">
        <v>9948</v>
      </c>
    </row>
    <row r="1366" spans="1:8" x14ac:dyDescent="0.25">
      <c r="A1366" s="2" t="s">
        <v>1380</v>
      </c>
      <c r="B1366" s="3" t="s">
        <v>90</v>
      </c>
      <c r="C1366" s="3"/>
      <c r="D1366" s="3"/>
      <c r="E1366" s="4" t="str">
        <f>HYPERLINK("https://dpmzos25m8ivg.cloudfront.net/Documentos/631/03411413212/6310341141321211092023145219.pdf","https://dpmzos25m8ivg.cloudfront.net/Documentos/631/03411413212/6310341141321211092023145219.pdf")</f>
        <v>https://dpmzos25m8ivg.cloudfront.net/Documentos/631/03411413212/6310341141321211092023145219.pdf</v>
      </c>
      <c r="F1366" s="5" t="str">
        <f>HYPERLINK("https://dpmzos25m8ivg.cloudfront.net/Documentos/631/03411413212/6310341141321211092023145134.pdf","https://dpmzos25m8ivg.cloudfront.net/Documentos/631/03411413212/6310341141321211092023145134.pdf")</f>
        <v>https://dpmzos25m8ivg.cloudfront.net/Documentos/631/03411413212/6310341141321211092023145134.pdf</v>
      </c>
      <c r="G1366" s="5" t="str">
        <f>HYPERLINK("https://dpmzos25m8ivg.cloudfront.net/Documentos/631/03411413212/6310341141321211092023145233.pdf","https://dpmzos25m8ivg.cloudfront.net/Documentos/631/03411413212/6310341141321211092023145233.pdf")</f>
        <v>https://dpmzos25m8ivg.cloudfront.net/Documentos/631/03411413212/6310341141321211092023145233.pdf</v>
      </c>
      <c r="H1366" s="4" t="s">
        <v>9949</v>
      </c>
    </row>
    <row r="1367" spans="1:8" x14ac:dyDescent="0.25">
      <c r="A1367" s="2" t="s">
        <v>1381</v>
      </c>
      <c r="B1367" s="3"/>
      <c r="C1367" s="3"/>
      <c r="D1367" s="3"/>
      <c r="E1367" s="4" t="str">
        <f>HYPERLINK("https://dpmzos25m8ivg.cloudfront.net/Documentos/631/03411852135/6310341185213508092023163702.pdf","https://dpmzos25m8ivg.cloudfront.net/Documentos/631/03411852135/6310341185213508092023163702.pdf")</f>
        <v>https://dpmzos25m8ivg.cloudfront.net/Documentos/631/03411852135/6310341185213508092023163702.pdf</v>
      </c>
      <c r="F1367" s="5" t="str">
        <f>HYPERLINK("https://dpmzos25m8ivg.cloudfront.net/Documentos/631/03411852135/6310341185213508092023163720.pdf","https://dpmzos25m8ivg.cloudfront.net/Documentos/631/03411852135/6310341185213508092023163720.pdf")</f>
        <v>https://dpmzos25m8ivg.cloudfront.net/Documentos/631/03411852135/6310341185213508092023163720.pdf</v>
      </c>
      <c r="G1367" s="5" t="str">
        <f>HYPERLINK("https://dpmzos25m8ivg.cloudfront.net/Documentos/631/03411852135/6310341185213508092023163824.pdf","https://dpmzos25m8ivg.cloudfront.net/Documentos/631/03411852135/6310341185213508092023163824.pdf")</f>
        <v>https://dpmzos25m8ivg.cloudfront.net/Documentos/631/03411852135/6310341185213508092023163824.pdf</v>
      </c>
      <c r="H1367" s="4" t="s">
        <v>9950</v>
      </c>
    </row>
    <row r="1368" spans="1:8" x14ac:dyDescent="0.25">
      <c r="A1368" s="2" t="s">
        <v>1382</v>
      </c>
      <c r="B1368" s="3"/>
      <c r="C1368" s="3"/>
      <c r="D1368" s="3"/>
      <c r="E1368" s="4" t="str">
        <f>HYPERLINK("https://dpmzos25m8ivg.cloudfront.net/Documentos/631/03416691210/6310341669121011092023164414.pdf","https://dpmzos25m8ivg.cloudfront.net/Documentos/631/03416691210/6310341669121011092023164414.pdf")</f>
        <v>https://dpmzos25m8ivg.cloudfront.net/Documentos/631/03416691210/6310341669121011092023164414.pdf</v>
      </c>
      <c r="F1368" s="5" t="str">
        <f>HYPERLINK("https://dpmzos25m8ivg.cloudfront.net/Documentos/631/03416691210/6310341669121011092023164404.pdf","https://dpmzos25m8ivg.cloudfront.net/Documentos/631/03416691210/6310341669121011092023164404.pdf")</f>
        <v>https://dpmzos25m8ivg.cloudfront.net/Documentos/631/03416691210/6310341669121011092023164404.pdf</v>
      </c>
      <c r="G1368" s="5" t="str">
        <f>HYPERLINK("https://dpmzos25m8ivg.cloudfront.net/Documentos/631/03416691210/6310341669121011092023164353.pdf","https://dpmzos25m8ivg.cloudfront.net/Documentos/631/03416691210/6310341669121011092023164353.pdf")</f>
        <v>https://dpmzos25m8ivg.cloudfront.net/Documentos/631/03416691210/6310341669121011092023164353.pdf</v>
      </c>
      <c r="H1368" s="4" t="s">
        <v>9951</v>
      </c>
    </row>
    <row r="1369" spans="1:8" x14ac:dyDescent="0.25">
      <c r="A1369" s="2" t="s">
        <v>1383</v>
      </c>
      <c r="B1369" s="3"/>
      <c r="C1369" s="3"/>
      <c r="D1369" s="3"/>
      <c r="E1369" s="4" t="str">
        <f>HYPERLINK("https://dpmzos25m8ivg.cloudfront.net/Documentos/631/03418864406/6310341886440611092023150005.pdf","https://dpmzos25m8ivg.cloudfront.net/Documentos/631/03418864406/6310341886440611092023150005.pdf")</f>
        <v>https://dpmzos25m8ivg.cloudfront.net/Documentos/631/03418864406/6310341886440611092023150005.pdf</v>
      </c>
      <c r="F1369" s="5" t="str">
        <f>HYPERLINK("https://dpmzos25m8ivg.cloudfront.net/Documentos/631/03418864406/6310341886440611092023150012.pdf","https://dpmzos25m8ivg.cloudfront.net/Documentos/631/03418864406/6310341886440611092023150012.pdf")</f>
        <v>https://dpmzos25m8ivg.cloudfront.net/Documentos/631/03418864406/6310341886440611092023150012.pdf</v>
      </c>
      <c r="G1369" s="5" t="str">
        <f>HYPERLINK("https://dpmzos25m8ivg.cloudfront.net/Documentos/631/03418864406/6310341886440611092023150018.pdf","https://dpmzos25m8ivg.cloudfront.net/Documentos/631/03418864406/6310341886440611092023150018.pdf")</f>
        <v>https://dpmzos25m8ivg.cloudfront.net/Documentos/631/03418864406/6310341886440611092023150018.pdf</v>
      </c>
      <c r="H1369" s="4" t="s">
        <v>9952</v>
      </c>
    </row>
    <row r="1370" spans="1:8" x14ac:dyDescent="0.25">
      <c r="A1370" s="2" t="s">
        <v>1384</v>
      </c>
      <c r="B1370" s="3"/>
      <c r="C1370" s="3"/>
      <c r="D1370" s="3"/>
      <c r="E1370" s="4" t="str">
        <f>HYPERLINK("https://dpmzos25m8ivg.cloudfront.net/Documentos/631/03420603177/6310342060317711092023133049.pdf","https://dpmzos25m8ivg.cloudfront.net/Documentos/631/03420603177/6310342060317711092023133049.pdf")</f>
        <v>https://dpmzos25m8ivg.cloudfront.net/Documentos/631/03420603177/6310342060317711092023133049.pdf</v>
      </c>
      <c r="F1370" s="5" t="str">
        <f>HYPERLINK("https://dpmzos25m8ivg.cloudfront.net/Documentos/631/03420603177/6310342060317711092023133100.pdf","https://dpmzos25m8ivg.cloudfront.net/Documentos/631/03420603177/6310342060317711092023133100.pdf")</f>
        <v>https://dpmzos25m8ivg.cloudfront.net/Documentos/631/03420603177/6310342060317711092023133100.pdf</v>
      </c>
      <c r="G1370" s="5" t="str">
        <f>HYPERLINK("https://dpmzos25m8ivg.cloudfront.net/Documentos/631/03420603177/6310342060317711092023133111.pdf","https://dpmzos25m8ivg.cloudfront.net/Documentos/631/03420603177/6310342060317711092023133111.pdf")</f>
        <v>https://dpmzos25m8ivg.cloudfront.net/Documentos/631/03420603177/6310342060317711092023133111.pdf</v>
      </c>
      <c r="H1370" s="4" t="s">
        <v>9953</v>
      </c>
    </row>
    <row r="1371" spans="1:8" x14ac:dyDescent="0.25">
      <c r="A1371" s="2" t="s">
        <v>1385</v>
      </c>
      <c r="B1371" s="3"/>
      <c r="C1371" s="3"/>
      <c r="D1371" s="3"/>
      <c r="E1371" s="4" t="str">
        <f>HYPERLINK("https://dpmzos25m8ivg.cloudfront.net/Documentos/631/03423946229/6310342394622906092023012508.pdf","https://dpmzos25m8ivg.cloudfront.net/Documentos/631/03423946229/6310342394622906092023012508.pdf")</f>
        <v>https://dpmzos25m8ivg.cloudfront.net/Documentos/631/03423946229/6310342394622906092023012508.pdf</v>
      </c>
      <c r="F1371" s="5" t="str">
        <f>HYPERLINK("https://dpmzos25m8ivg.cloudfront.net/Documentos/631/03423946229/6310342394622906092023012520.pdf","https://dpmzos25m8ivg.cloudfront.net/Documentos/631/03423946229/6310342394622906092023012520.pdf")</f>
        <v>https://dpmzos25m8ivg.cloudfront.net/Documentos/631/03423946229/6310342394622906092023012520.pdf</v>
      </c>
      <c r="G1371" s="5" t="str">
        <f>HYPERLINK("https://dpmzos25m8ivg.cloudfront.net/Documentos/631/03423946229/6310342394622906092023012530.pdf","https://dpmzos25m8ivg.cloudfront.net/Documentos/631/03423946229/6310342394622906092023012530.pdf")</f>
        <v>https://dpmzos25m8ivg.cloudfront.net/Documentos/631/03423946229/6310342394622906092023012530.pdf</v>
      </c>
      <c r="H1371" s="4" t="s">
        <v>9954</v>
      </c>
    </row>
    <row r="1372" spans="1:8" x14ac:dyDescent="0.25">
      <c r="A1372" s="2" t="s">
        <v>1386</v>
      </c>
      <c r="B1372" s="3"/>
      <c r="C1372" s="3"/>
      <c r="D1372" s="3"/>
      <c r="E1372" s="4" t="str">
        <f>HYPERLINK("https://dpmzos25m8ivg.cloudfront.net/Documentos/631/03424149250/6310342414925011092023143444.pdf","https://dpmzos25m8ivg.cloudfront.net/Documentos/631/03424149250/6310342414925011092023143444.pdf")</f>
        <v>https://dpmzos25m8ivg.cloudfront.net/Documentos/631/03424149250/6310342414925011092023143444.pdf</v>
      </c>
      <c r="F1372" s="5" t="str">
        <f>HYPERLINK("https://dpmzos25m8ivg.cloudfront.net/Documentos/631/03424149250/6310342414925011092023143451.pdf","https://dpmzos25m8ivg.cloudfront.net/Documentos/631/03424149250/6310342414925011092023143451.pdf")</f>
        <v>https://dpmzos25m8ivg.cloudfront.net/Documentos/631/03424149250/6310342414925011092023143451.pdf</v>
      </c>
      <c r="G1372" s="5" t="str">
        <f>HYPERLINK("https://dpmzos25m8ivg.cloudfront.net/Documentos/631/03424149250/6310342414925011092023143458.pdf","https://dpmzos25m8ivg.cloudfront.net/Documentos/631/03424149250/6310342414925011092023143458.pdf")</f>
        <v>https://dpmzos25m8ivg.cloudfront.net/Documentos/631/03424149250/6310342414925011092023143458.pdf</v>
      </c>
      <c r="H1372" s="4" t="s">
        <v>9955</v>
      </c>
    </row>
    <row r="1373" spans="1:8" x14ac:dyDescent="0.25">
      <c r="A1373" s="2" t="s">
        <v>1387</v>
      </c>
      <c r="B1373" s="3"/>
      <c r="C1373" s="3"/>
      <c r="D1373" s="3"/>
      <c r="E1373" s="4" t="str">
        <f>HYPERLINK("https://dpmzos25m8ivg.cloudfront.net/Documentos/631/03425288156/6310342528815611092023005219.pdf","https://dpmzos25m8ivg.cloudfront.net/Documentos/631/03425288156/6310342528815611092023005219.pdf")</f>
        <v>https://dpmzos25m8ivg.cloudfront.net/Documentos/631/03425288156/6310342528815611092023005219.pdf</v>
      </c>
      <c r="F1373" s="5" t="str">
        <f>HYPERLINK("https://dpmzos25m8ivg.cloudfront.net/Documentos/631/03425288156/6310342528815611092023005230.pdf","https://dpmzos25m8ivg.cloudfront.net/Documentos/631/03425288156/6310342528815611092023005230.pdf")</f>
        <v>https://dpmzos25m8ivg.cloudfront.net/Documentos/631/03425288156/6310342528815611092023005230.pdf</v>
      </c>
      <c r="G1373" s="5" t="str">
        <f>HYPERLINK("https://dpmzos25m8ivg.cloudfront.net/Documentos/631/03425288156/6310342528815611092023005240.pdf","https://dpmzos25m8ivg.cloudfront.net/Documentos/631/03425288156/6310342528815611092023005240.pdf")</f>
        <v>https://dpmzos25m8ivg.cloudfront.net/Documentos/631/03425288156/6310342528815611092023005240.pdf</v>
      </c>
      <c r="H1373" s="4" t="s">
        <v>9956</v>
      </c>
    </row>
    <row r="1374" spans="1:8" x14ac:dyDescent="0.25">
      <c r="A1374" s="2" t="s">
        <v>1388</v>
      </c>
      <c r="B1374" s="3"/>
      <c r="C1374" s="3"/>
      <c r="D1374" s="3"/>
      <c r="E1374" s="4" t="str">
        <f>HYPERLINK("https://dpmzos25m8ivg.cloudfront.net/Documentos/631/03425821199/6310342582119911092023140106.pdf","https://dpmzos25m8ivg.cloudfront.net/Documentos/631/03425821199/6310342582119911092023140106.pdf")</f>
        <v>https://dpmzos25m8ivg.cloudfront.net/Documentos/631/03425821199/6310342582119911092023140106.pdf</v>
      </c>
      <c r="F1374" s="5" t="str">
        <f>HYPERLINK("https://dpmzos25m8ivg.cloudfront.net/Documentos/631/03425821199/6310342582119911092023140117.pdf","https://dpmzos25m8ivg.cloudfront.net/Documentos/631/03425821199/6310342582119911092023140117.pdf")</f>
        <v>https://dpmzos25m8ivg.cloudfront.net/Documentos/631/03425821199/6310342582119911092023140117.pdf</v>
      </c>
      <c r="G1374" s="5" t="str">
        <f>HYPERLINK("https://dpmzos25m8ivg.cloudfront.net/Documentos/631/03425821199/6310342582119911092023140128.pdf","https://dpmzos25m8ivg.cloudfront.net/Documentos/631/03425821199/6310342582119911092023140128.pdf")</f>
        <v>https://dpmzos25m8ivg.cloudfront.net/Documentos/631/03425821199/6310342582119911092023140128.pdf</v>
      </c>
      <c r="H1374" s="4" t="s">
        <v>9957</v>
      </c>
    </row>
    <row r="1375" spans="1:8" x14ac:dyDescent="0.25">
      <c r="A1375" s="2" t="s">
        <v>1389</v>
      </c>
      <c r="B1375" s="3"/>
      <c r="C1375" s="3"/>
      <c r="D1375" s="3"/>
      <c r="E1375" s="4" t="str">
        <f>HYPERLINK("https://dpmzos25m8ivg.cloudfront.net/Documentos/631/03428022165/6310342802216511092023151541.pdf","https://dpmzos25m8ivg.cloudfront.net/Documentos/631/03428022165/6310342802216511092023151541.pdf")</f>
        <v>https://dpmzos25m8ivg.cloudfront.net/Documentos/631/03428022165/6310342802216511092023151541.pdf</v>
      </c>
      <c r="F1375" s="5" t="str">
        <f>HYPERLINK("https://dpmzos25m8ivg.cloudfront.net/Documentos/631/03428022165/6310342802216511092023151605.pdf","https://dpmzos25m8ivg.cloudfront.net/Documentos/631/03428022165/6310342802216511092023151605.pdf")</f>
        <v>https://dpmzos25m8ivg.cloudfront.net/Documentos/631/03428022165/6310342802216511092023151605.pdf</v>
      </c>
      <c r="G1375" s="5" t="str">
        <f>HYPERLINK("https://dpmzos25m8ivg.cloudfront.net/Documentos/631/03428022165/6310342802216511092023151639.pdf","https://dpmzos25m8ivg.cloudfront.net/Documentos/631/03428022165/6310342802216511092023151639.pdf")</f>
        <v>https://dpmzos25m8ivg.cloudfront.net/Documentos/631/03428022165/6310342802216511092023151639.pdf</v>
      </c>
      <c r="H1375" s="4" t="s">
        <v>9958</v>
      </c>
    </row>
    <row r="1376" spans="1:8" x14ac:dyDescent="0.25">
      <c r="A1376" s="2" t="s">
        <v>1390</v>
      </c>
      <c r="B1376" s="3"/>
      <c r="C1376" s="3"/>
      <c r="D1376" s="3"/>
      <c r="E1376" s="4" t="str">
        <f>HYPERLINK("https://dpmzos25m8ivg.cloudfront.net/Documentos/631/03429436265/6310342943626506092023003713.pdf","https://dpmzos25m8ivg.cloudfront.net/Documentos/631/03429436265/6310342943626506092023003713.pdf")</f>
        <v>https://dpmzos25m8ivg.cloudfront.net/Documentos/631/03429436265/6310342943626506092023003713.pdf</v>
      </c>
      <c r="F1376" s="5" t="str">
        <f>HYPERLINK("https://dpmzos25m8ivg.cloudfront.net/Documentos/631/03429436265/6310342943626506092023004952.pdf","https://dpmzos25m8ivg.cloudfront.net/Documentos/631/03429436265/6310342943626506092023004952.pdf")</f>
        <v>https://dpmzos25m8ivg.cloudfront.net/Documentos/631/03429436265/6310342943626506092023004952.pdf</v>
      </c>
      <c r="G1376" s="5" t="str">
        <f>HYPERLINK("https://dpmzos25m8ivg.cloudfront.net/Documentos/631/03429436265/6310342943626506092023005007.pdf","https://dpmzos25m8ivg.cloudfront.net/Documentos/631/03429436265/6310342943626506092023005007.pdf")</f>
        <v>https://dpmzos25m8ivg.cloudfront.net/Documentos/631/03429436265/6310342943626506092023005007.pdf</v>
      </c>
      <c r="H1376" s="4" t="s">
        <v>9959</v>
      </c>
    </row>
    <row r="1377" spans="1:8" x14ac:dyDescent="0.25">
      <c r="A1377" s="2" t="s">
        <v>1391</v>
      </c>
      <c r="B1377" s="3"/>
      <c r="C1377" s="3"/>
      <c r="D1377" s="3"/>
      <c r="E1377" s="4" t="str">
        <f>HYPERLINK("https://dpmzos25m8ivg.cloudfront.net/Documentos/631/03431149090/6310343114909011092023092927.pdf","https://dpmzos25m8ivg.cloudfront.net/Documentos/631/03431149090/6310343114909011092023092927.pdf")</f>
        <v>https://dpmzos25m8ivg.cloudfront.net/Documentos/631/03431149090/6310343114909011092023092927.pdf</v>
      </c>
      <c r="F1377" s="5" t="str">
        <f>HYPERLINK("https://dpmzos25m8ivg.cloudfront.net/Documentos/631/03431149090/6310343114909011092023092938.pdf","https://dpmzos25m8ivg.cloudfront.net/Documentos/631/03431149090/6310343114909011092023092938.pdf")</f>
        <v>https://dpmzos25m8ivg.cloudfront.net/Documentos/631/03431149090/6310343114909011092023092938.pdf</v>
      </c>
      <c r="G1377" s="5" t="str">
        <f>HYPERLINK("https://dpmzos25m8ivg.cloudfront.net/Documentos/631/03431149090/6310343114909011092023092950.pdf","https://dpmzos25m8ivg.cloudfront.net/Documentos/631/03431149090/6310343114909011092023092950.pdf")</f>
        <v>https://dpmzos25m8ivg.cloudfront.net/Documentos/631/03431149090/6310343114909011092023092950.pdf</v>
      </c>
      <c r="H1377" s="4" t="s">
        <v>9960</v>
      </c>
    </row>
    <row r="1378" spans="1:8" x14ac:dyDescent="0.25">
      <c r="A1378" s="2" t="s">
        <v>1392</v>
      </c>
      <c r="B1378" s="3"/>
      <c r="C1378" s="3"/>
      <c r="D1378" s="3"/>
      <c r="E1378" s="4" t="str">
        <f>HYPERLINK("https://dpmzos25m8ivg.cloudfront.net/Documentos/631/03431647103/6310343164710305092023130444.jpg","https://dpmzos25m8ivg.cloudfront.net/Documentos/631/03431647103/6310343164710305092023130444.jpg")</f>
        <v>https://dpmzos25m8ivg.cloudfront.net/Documentos/631/03431647103/6310343164710305092023130444.jpg</v>
      </c>
      <c r="F1378" s="5" t="str">
        <f>HYPERLINK("https://dpmzos25m8ivg.cloudfront.net/Documentos/631/03431647103/6310343164710305092023130520.jpg","https://dpmzos25m8ivg.cloudfront.net/Documentos/631/03431647103/6310343164710305092023130520.jpg")</f>
        <v>https://dpmzos25m8ivg.cloudfront.net/Documentos/631/03431647103/6310343164710305092023130520.jpg</v>
      </c>
      <c r="G1378" s="5" t="str">
        <f>HYPERLINK("https://dpmzos25m8ivg.cloudfront.net/Documentos/631/03431647103/6310343164710305092023130539.jpg","https://dpmzos25m8ivg.cloudfront.net/Documentos/631/03431647103/6310343164710305092023130539.jpg")</f>
        <v>https://dpmzos25m8ivg.cloudfront.net/Documentos/631/03431647103/6310343164710305092023130539.jpg</v>
      </c>
      <c r="H1378" s="4" t="s">
        <v>9961</v>
      </c>
    </row>
    <row r="1379" spans="1:8" x14ac:dyDescent="0.25">
      <c r="A1379" s="2" t="s">
        <v>1393</v>
      </c>
      <c r="B1379" s="3"/>
      <c r="C1379" s="3"/>
      <c r="D1379" s="3"/>
      <c r="E1379" s="4" t="str">
        <f>HYPERLINK("https://dpmzos25m8ivg.cloudfront.net/Documentos/631/03435686677/6310343568667708092023123310.jpeg","https://dpmzos25m8ivg.cloudfront.net/Documentos/631/03435686677/6310343568667708092023123310.jpeg")</f>
        <v>https://dpmzos25m8ivg.cloudfront.net/Documentos/631/03435686677/6310343568667708092023123310.jpeg</v>
      </c>
      <c r="F1379" s="5" t="str">
        <f>HYPERLINK("https://dpmzos25m8ivg.cloudfront.net/Documentos/631/03435686677/6310343568667708092023123527.jpeg","https://dpmzos25m8ivg.cloudfront.net/Documentos/631/03435686677/6310343568667708092023123527.jpeg")</f>
        <v>https://dpmzos25m8ivg.cloudfront.net/Documentos/631/03435686677/6310343568667708092023123527.jpeg</v>
      </c>
      <c r="G1379" s="5" t="str">
        <f>HYPERLINK("https://dpmzos25m8ivg.cloudfront.net/Documentos/631/03435686677/6310343568667708092023124049.jpeg","https://dpmzos25m8ivg.cloudfront.net/Documentos/631/03435686677/6310343568667708092023124049.jpeg")</f>
        <v>https://dpmzos25m8ivg.cloudfront.net/Documentos/631/03435686677/6310343568667708092023124049.jpeg</v>
      </c>
      <c r="H1379" s="4" t="s">
        <v>9962</v>
      </c>
    </row>
    <row r="1380" spans="1:8" x14ac:dyDescent="0.25">
      <c r="A1380" s="2" t="s">
        <v>1394</v>
      </c>
      <c r="B1380" s="3" t="s">
        <v>312</v>
      </c>
      <c r="C1380" s="3"/>
      <c r="D1380" s="3"/>
      <c r="E1380" s="4" t="str">
        <f>HYPERLINK("https://dpmzos25m8ivg.cloudfront.net/Documentos/631/03436386901/6310343638690105092023133557.pdf","https://dpmzos25m8ivg.cloudfront.net/Documentos/631/03436386901/6310343638690105092023133557.pdf")</f>
        <v>https://dpmzos25m8ivg.cloudfront.net/Documentos/631/03436386901/6310343638690105092023133557.pdf</v>
      </c>
      <c r="F1380" s="5" t="str">
        <f>HYPERLINK("https://dpmzos25m8ivg.cloudfront.net/Documentos/631/03436386901/6310343638690105092023133605.pdf","https://dpmzos25m8ivg.cloudfront.net/Documentos/631/03436386901/6310343638690105092023133605.pdf")</f>
        <v>https://dpmzos25m8ivg.cloudfront.net/Documentos/631/03436386901/6310343638690105092023133605.pdf</v>
      </c>
      <c r="G1380" s="5" t="str">
        <f>HYPERLINK("https://dpmzos25m8ivg.cloudfront.net/Documentos/631/03436386901/6310343638690105092023133621.pdf","https://dpmzos25m8ivg.cloudfront.net/Documentos/631/03436386901/6310343638690105092023133621.pdf")</f>
        <v>https://dpmzos25m8ivg.cloudfront.net/Documentos/631/03436386901/6310343638690105092023133621.pdf</v>
      </c>
      <c r="H1380" s="4" t="s">
        <v>9963</v>
      </c>
    </row>
    <row r="1381" spans="1:8" x14ac:dyDescent="0.25">
      <c r="A1381" s="2" t="s">
        <v>1395</v>
      </c>
      <c r="B1381" s="3"/>
      <c r="C1381" s="3"/>
      <c r="D1381" s="3"/>
      <c r="E1381" s="4" t="str">
        <f>HYPERLINK("https://dpmzos25m8ivg.cloudfront.net/Documentos/631/03436720224/6310343672022411092023164706.pdf","https://dpmzos25m8ivg.cloudfront.net/Documentos/631/03436720224/6310343672022411092023164706.pdf")</f>
        <v>https://dpmzos25m8ivg.cloudfront.net/Documentos/631/03436720224/6310343672022411092023164706.pdf</v>
      </c>
      <c r="F1381" s="5" t="str">
        <f>HYPERLINK("https://dpmzos25m8ivg.cloudfront.net/Documentos/631/03436720224/6310343672022411092023164714.pdf","https://dpmzos25m8ivg.cloudfront.net/Documentos/631/03436720224/6310343672022411092023164714.pdf")</f>
        <v>https://dpmzos25m8ivg.cloudfront.net/Documentos/631/03436720224/6310343672022411092023164714.pdf</v>
      </c>
      <c r="G1381" s="5" t="str">
        <f>HYPERLINK("https://dpmzos25m8ivg.cloudfront.net/Documentos/631/03436720224/6310343672022411092023164722.pdf","https://dpmzos25m8ivg.cloudfront.net/Documentos/631/03436720224/6310343672022411092023164722.pdf")</f>
        <v>https://dpmzos25m8ivg.cloudfront.net/Documentos/631/03436720224/6310343672022411092023164722.pdf</v>
      </c>
      <c r="H1381" s="4" t="s">
        <v>9964</v>
      </c>
    </row>
    <row r="1382" spans="1:8" x14ac:dyDescent="0.25">
      <c r="A1382" s="2" t="s">
        <v>1396</v>
      </c>
      <c r="B1382" s="3" t="s">
        <v>308</v>
      </c>
      <c r="C1382" s="3"/>
      <c r="D1382" s="3"/>
      <c r="E1382" s="4" t="str">
        <f>HYPERLINK("https://dpmzos25m8ivg.cloudfront.net/Documentos/631/03436725102/6310343672510209092023012417.pdf","https://dpmzos25m8ivg.cloudfront.net/Documentos/631/03436725102/6310343672510209092023012417.pdf")</f>
        <v>https://dpmzos25m8ivg.cloudfront.net/Documentos/631/03436725102/6310343672510209092023012417.pdf</v>
      </c>
      <c r="F1382" s="5" t="str">
        <f>HYPERLINK("https://dpmzos25m8ivg.cloudfront.net/Documentos/631/03436725102/6310343672510209092023023552.pdf","https://dpmzos25m8ivg.cloudfront.net/Documentos/631/03436725102/6310343672510209092023023552.pdf")</f>
        <v>https://dpmzos25m8ivg.cloudfront.net/Documentos/631/03436725102/6310343672510209092023023552.pdf</v>
      </c>
      <c r="G1382" s="5" t="str">
        <f>HYPERLINK("https://dpmzos25m8ivg.cloudfront.net/Documentos/631/03436725102/6310343672510209092023012751.pdf","https://dpmzos25m8ivg.cloudfront.net/Documentos/631/03436725102/6310343672510209092023012751.pdf")</f>
        <v>https://dpmzos25m8ivg.cloudfront.net/Documentos/631/03436725102/6310343672510209092023012751.pdf</v>
      </c>
      <c r="H1382" s="4" t="s">
        <v>9965</v>
      </c>
    </row>
    <row r="1383" spans="1:8" x14ac:dyDescent="0.25">
      <c r="A1383" s="2" t="s">
        <v>1397</v>
      </c>
      <c r="B1383" s="3"/>
      <c r="C1383" s="3"/>
      <c r="D1383" s="3"/>
      <c r="E1383" s="4" t="str">
        <f>HYPERLINK("https://dpmzos25m8ivg.cloudfront.net/Documentos/631/03438164159/6310343816415911092023115549.pdf","https://dpmzos25m8ivg.cloudfront.net/Documentos/631/03438164159/6310343816415911092023115549.pdf")</f>
        <v>https://dpmzos25m8ivg.cloudfront.net/Documentos/631/03438164159/6310343816415911092023115549.pdf</v>
      </c>
      <c r="F1383" s="5" t="str">
        <f>HYPERLINK("https://dpmzos25m8ivg.cloudfront.net/Documentos/631/03438164159/6310343816415911092023115558.pdf","https://dpmzos25m8ivg.cloudfront.net/Documentos/631/03438164159/6310343816415911092023115558.pdf")</f>
        <v>https://dpmzos25m8ivg.cloudfront.net/Documentos/631/03438164159/6310343816415911092023115558.pdf</v>
      </c>
      <c r="G1383" s="5" t="str">
        <f>HYPERLINK("https://dpmzos25m8ivg.cloudfront.net/Documentos/631/03438164159/6310343816415911092023115604.pdf","https://dpmzos25m8ivg.cloudfront.net/Documentos/631/03438164159/6310343816415911092023115604.pdf")</f>
        <v>https://dpmzos25m8ivg.cloudfront.net/Documentos/631/03438164159/6310343816415911092023115604.pdf</v>
      </c>
      <c r="H1383" s="4" t="s">
        <v>9966</v>
      </c>
    </row>
    <row r="1384" spans="1:8" x14ac:dyDescent="0.25">
      <c r="A1384" s="2" t="s">
        <v>1398</v>
      </c>
      <c r="B1384" s="3"/>
      <c r="C1384" s="3"/>
      <c r="D1384" s="3"/>
      <c r="E1384" s="4" t="str">
        <f>HYPERLINK("https://dpmzos25m8ivg.cloudfront.net/Documentos/631/03438438119/6310343843811911092023114212.pdf","https://dpmzos25m8ivg.cloudfront.net/Documentos/631/03438438119/6310343843811911092023114212.pdf")</f>
        <v>https://dpmzos25m8ivg.cloudfront.net/Documentos/631/03438438119/6310343843811911092023114212.pdf</v>
      </c>
      <c r="F1384" s="5" t="str">
        <f>HYPERLINK("https://dpmzos25m8ivg.cloudfront.net/Documentos/631/03438438119/6310343843811911092023114315.pdf","https://dpmzos25m8ivg.cloudfront.net/Documentos/631/03438438119/6310343843811911092023114315.pdf")</f>
        <v>https://dpmzos25m8ivg.cloudfront.net/Documentos/631/03438438119/6310343843811911092023114315.pdf</v>
      </c>
      <c r="G1384" s="5" t="str">
        <f>HYPERLINK("https://dpmzos25m8ivg.cloudfront.net/Documentos/631/03438438119/6310343843811911092023114348.pdf","https://dpmzos25m8ivg.cloudfront.net/Documentos/631/03438438119/6310343843811911092023114348.pdf")</f>
        <v>https://dpmzos25m8ivg.cloudfront.net/Documentos/631/03438438119/6310343843811911092023114348.pdf</v>
      </c>
      <c r="H1384" s="4" t="s">
        <v>9967</v>
      </c>
    </row>
    <row r="1385" spans="1:8" x14ac:dyDescent="0.25">
      <c r="A1385" s="2" t="s">
        <v>1399</v>
      </c>
      <c r="B1385" s="3"/>
      <c r="C1385" s="3"/>
      <c r="D1385" s="3"/>
      <c r="E1385" s="4" t="str">
        <f>HYPERLINK("https://dpmzos25m8ivg.cloudfront.net/Documentos/631/03442234263/6310344223426308092023210420.pdf","https://dpmzos25m8ivg.cloudfront.net/Documentos/631/03442234263/6310344223426308092023210420.pdf")</f>
        <v>https://dpmzos25m8ivg.cloudfront.net/Documentos/631/03442234263/6310344223426308092023210420.pdf</v>
      </c>
      <c r="F1385" s="5" t="str">
        <f>HYPERLINK("https://dpmzos25m8ivg.cloudfront.net/Documentos/631/03442234263/6310344223426308092023210534.pdf","https://dpmzos25m8ivg.cloudfront.net/Documentos/631/03442234263/6310344223426308092023210534.pdf")</f>
        <v>https://dpmzos25m8ivg.cloudfront.net/Documentos/631/03442234263/6310344223426308092023210534.pdf</v>
      </c>
      <c r="G1385" s="5" t="str">
        <f>HYPERLINK("https://dpmzos25m8ivg.cloudfront.net/Documentos/631/03442234263/6310344223426308092023210656.pdf","https://dpmzos25m8ivg.cloudfront.net/Documentos/631/03442234263/6310344223426308092023210656.pdf")</f>
        <v>https://dpmzos25m8ivg.cloudfront.net/Documentos/631/03442234263/6310344223426308092023210656.pdf</v>
      </c>
      <c r="H1385" s="4" t="s">
        <v>9968</v>
      </c>
    </row>
    <row r="1386" spans="1:8" x14ac:dyDescent="0.25">
      <c r="A1386" s="2" t="s">
        <v>1400</v>
      </c>
      <c r="B1386" s="3"/>
      <c r="C1386" s="3"/>
      <c r="D1386" s="3"/>
      <c r="E1386" s="4" t="str">
        <f>HYPERLINK("https://dpmzos25m8ivg.cloudfront.net/Documentos/631/03444931484/6310344493148411092023130726.pdf","https://dpmzos25m8ivg.cloudfront.net/Documentos/631/03444931484/6310344493148411092023130726.pdf")</f>
        <v>https://dpmzos25m8ivg.cloudfront.net/Documentos/631/03444931484/6310344493148411092023130726.pdf</v>
      </c>
      <c r="F1386" s="5" t="str">
        <f>HYPERLINK("https://dpmzos25m8ivg.cloudfront.net/Documentos/631/03444931484/6310344493148411092023130734.pdf","https://dpmzos25m8ivg.cloudfront.net/Documentos/631/03444931484/6310344493148411092023130734.pdf")</f>
        <v>https://dpmzos25m8ivg.cloudfront.net/Documentos/631/03444931484/6310344493148411092023130734.pdf</v>
      </c>
      <c r="G1386" s="5" t="str">
        <f>HYPERLINK("https://dpmzos25m8ivg.cloudfront.net/Documentos/631/03444931484/6310344493148411092023130741.pdf","https://dpmzos25m8ivg.cloudfront.net/Documentos/631/03444931484/6310344493148411092023130741.pdf")</f>
        <v>https://dpmzos25m8ivg.cloudfront.net/Documentos/631/03444931484/6310344493148411092023130741.pdf</v>
      </c>
      <c r="H1386" s="4" t="s">
        <v>9969</v>
      </c>
    </row>
    <row r="1387" spans="1:8" x14ac:dyDescent="0.25">
      <c r="A1387" s="2" t="s">
        <v>1401</v>
      </c>
      <c r="B1387" s="3" t="s">
        <v>308</v>
      </c>
      <c r="C1387" s="3"/>
      <c r="D1387" s="3"/>
      <c r="E1387" s="4" t="str">
        <f>HYPERLINK("https://dpmzos25m8ivg.cloudfront.net/Documentos/631/03445053081/6310344505308111092023104553.pdf","https://dpmzos25m8ivg.cloudfront.net/Documentos/631/03445053081/6310344505308111092023104553.pdf")</f>
        <v>https://dpmzos25m8ivg.cloudfront.net/Documentos/631/03445053081/6310344505308111092023104553.pdf</v>
      </c>
      <c r="F1387" s="5" t="str">
        <f>HYPERLINK("https://dpmzos25m8ivg.cloudfront.net/Documentos/631/03445053081/6310344505308111092023104621.pdf","https://dpmzos25m8ivg.cloudfront.net/Documentos/631/03445053081/6310344505308111092023104621.pdf")</f>
        <v>https://dpmzos25m8ivg.cloudfront.net/Documentos/631/03445053081/6310344505308111092023104621.pdf</v>
      </c>
      <c r="G1387" s="5" t="str">
        <f>HYPERLINK("https://dpmzos25m8ivg.cloudfront.net/Documentos/631/03445053081/6310344505308111092023104630.pdf","https://dpmzos25m8ivg.cloudfront.net/Documentos/631/03445053081/6310344505308111092023104630.pdf")</f>
        <v>https://dpmzos25m8ivg.cloudfront.net/Documentos/631/03445053081/6310344505308111092023104630.pdf</v>
      </c>
      <c r="H1387" s="4" t="s">
        <v>9970</v>
      </c>
    </row>
    <row r="1388" spans="1:8" x14ac:dyDescent="0.25">
      <c r="A1388" s="2" t="s">
        <v>1402</v>
      </c>
      <c r="B1388" s="3"/>
      <c r="C1388" s="3"/>
      <c r="D1388" s="3"/>
      <c r="E1388" s="4" t="str">
        <f>HYPERLINK("https://dpmzos25m8ivg.cloudfront.net/Documentos/631/03445685630/6310344568563005092023221841.pdf","https://dpmzos25m8ivg.cloudfront.net/Documentos/631/03445685630/6310344568563005092023221841.pdf")</f>
        <v>https://dpmzos25m8ivg.cloudfront.net/Documentos/631/03445685630/6310344568563005092023221841.pdf</v>
      </c>
      <c r="F1388" s="5" t="str">
        <f>HYPERLINK("https://dpmzos25m8ivg.cloudfront.net/Documentos/631/03445685630/6310344568563005092023221956.pdf","https://dpmzos25m8ivg.cloudfront.net/Documentos/631/03445685630/6310344568563005092023221956.pdf")</f>
        <v>https://dpmzos25m8ivg.cloudfront.net/Documentos/631/03445685630/6310344568563005092023221956.pdf</v>
      </c>
      <c r="G1388" s="5" t="str">
        <f>HYPERLINK("https://dpmzos25m8ivg.cloudfront.net/Documentos/631/03445685630/6310344568563005092023222209.pdf","https://dpmzos25m8ivg.cloudfront.net/Documentos/631/03445685630/6310344568563005092023222209.pdf")</f>
        <v>https://dpmzos25m8ivg.cloudfront.net/Documentos/631/03445685630/6310344568563005092023222209.pdf</v>
      </c>
      <c r="H1388" s="4" t="s">
        <v>9971</v>
      </c>
    </row>
    <row r="1389" spans="1:8" x14ac:dyDescent="0.25">
      <c r="A1389" s="2" t="s">
        <v>1403</v>
      </c>
      <c r="B1389" s="3" t="s">
        <v>90</v>
      </c>
      <c r="C1389" s="3"/>
      <c r="D1389" s="3"/>
      <c r="E1389" s="4" t="str">
        <f>HYPERLINK("https://dpmzos25m8ivg.cloudfront.net/Documentos/631/03446159010/6310344615901008092023144020.pdf","https://dpmzos25m8ivg.cloudfront.net/Documentos/631/03446159010/6310344615901008092023144020.pdf")</f>
        <v>https://dpmzos25m8ivg.cloudfront.net/Documentos/631/03446159010/6310344615901008092023144020.pdf</v>
      </c>
      <c r="F1389" s="5" t="str">
        <f>HYPERLINK("https://dpmzos25m8ivg.cloudfront.net/Documentos/631/03446159010/6310344615901008092023144032.pdf","https://dpmzos25m8ivg.cloudfront.net/Documentos/631/03446159010/6310344615901008092023144032.pdf")</f>
        <v>https://dpmzos25m8ivg.cloudfront.net/Documentos/631/03446159010/6310344615901008092023144032.pdf</v>
      </c>
      <c r="G1389" s="5" t="str">
        <f>HYPERLINK("https://dpmzos25m8ivg.cloudfront.net/Documentos/631/03446159010/6310344615901008092023144042.pdf","https://dpmzos25m8ivg.cloudfront.net/Documentos/631/03446159010/6310344615901008092023144042.pdf")</f>
        <v>https://dpmzos25m8ivg.cloudfront.net/Documentos/631/03446159010/6310344615901008092023144042.pdf</v>
      </c>
      <c r="H1389" s="4" t="s">
        <v>9972</v>
      </c>
    </row>
    <row r="1390" spans="1:8" x14ac:dyDescent="0.25">
      <c r="A1390" s="2" t="s">
        <v>1404</v>
      </c>
      <c r="B1390" s="3" t="s">
        <v>90</v>
      </c>
      <c r="C1390" s="3"/>
      <c r="D1390" s="3"/>
      <c r="E1390" s="4" t="str">
        <f>HYPERLINK("https://dpmzos25m8ivg.cloudfront.net/Documentos/631/03446923373/6310344692337307092023145004.pdf","https://dpmzos25m8ivg.cloudfront.net/Documentos/631/03446923373/6310344692337307092023145004.pdf")</f>
        <v>https://dpmzos25m8ivg.cloudfront.net/Documentos/631/03446923373/6310344692337307092023145004.pdf</v>
      </c>
      <c r="F1390" s="5" t="str">
        <f>HYPERLINK("https://dpmzos25m8ivg.cloudfront.net/Documentos/631/03446923373/6310344692337307092023145026.pdf","https://dpmzos25m8ivg.cloudfront.net/Documentos/631/03446923373/6310344692337307092023145026.pdf")</f>
        <v>https://dpmzos25m8ivg.cloudfront.net/Documentos/631/03446923373/6310344692337307092023145026.pdf</v>
      </c>
      <c r="G1390" s="5" t="str">
        <f>HYPERLINK("https://dpmzos25m8ivg.cloudfront.net/Documentos/631/03446923373/6310344692337307092023145047.pdf","https://dpmzos25m8ivg.cloudfront.net/Documentos/631/03446923373/6310344692337307092023145047.pdf")</f>
        <v>https://dpmzos25m8ivg.cloudfront.net/Documentos/631/03446923373/6310344692337307092023145047.pdf</v>
      </c>
      <c r="H1390" s="4" t="s">
        <v>9973</v>
      </c>
    </row>
    <row r="1391" spans="1:8" x14ac:dyDescent="0.25">
      <c r="A1391" s="2" t="s">
        <v>1405</v>
      </c>
      <c r="B1391" s="3"/>
      <c r="C1391" s="3"/>
      <c r="D1391" s="3"/>
      <c r="E1391" s="4" t="str">
        <f>HYPERLINK("https://dpmzos25m8ivg.cloudfront.net/Documentos/631/03447672137/6310344767213711092023161525.pdf","https://dpmzos25m8ivg.cloudfront.net/Documentos/631/03447672137/6310344767213711092023161525.pdf")</f>
        <v>https://dpmzos25m8ivg.cloudfront.net/Documentos/631/03447672137/6310344767213711092023161525.pdf</v>
      </c>
      <c r="F1391" s="5" t="str">
        <f>HYPERLINK("https://dpmzos25m8ivg.cloudfront.net/Documentos/631/03447672137/6310344767213711092023161534.pdf","https://dpmzos25m8ivg.cloudfront.net/Documentos/631/03447672137/6310344767213711092023161534.pdf")</f>
        <v>https://dpmzos25m8ivg.cloudfront.net/Documentos/631/03447672137/6310344767213711092023161534.pdf</v>
      </c>
      <c r="G1391" s="5" t="str">
        <f>HYPERLINK("https://dpmzos25m8ivg.cloudfront.net/Documentos/631/03447672137/6310344767213711092023161544.pdf","https://dpmzos25m8ivg.cloudfront.net/Documentos/631/03447672137/6310344767213711092023161544.pdf")</f>
        <v>https://dpmzos25m8ivg.cloudfront.net/Documentos/631/03447672137/6310344767213711092023161544.pdf</v>
      </c>
      <c r="H1391" s="4" t="s">
        <v>9974</v>
      </c>
    </row>
    <row r="1392" spans="1:8" x14ac:dyDescent="0.25">
      <c r="A1392" s="2" t="s">
        <v>1406</v>
      </c>
      <c r="B1392" s="3"/>
      <c r="C1392" s="3"/>
      <c r="D1392" s="3"/>
      <c r="E1392" s="4" t="str">
        <f>HYPERLINK("https://dpmzos25m8ivg.cloudfront.net/Documentos/631/03448202118/6310344820211813092023104740.pdf","https://dpmzos25m8ivg.cloudfront.net/Documentos/631/03448202118/6310344820211813092023104740.pdf")</f>
        <v>https://dpmzos25m8ivg.cloudfront.net/Documentos/631/03448202118/6310344820211813092023104740.pdf</v>
      </c>
      <c r="F1392" s="5" t="str">
        <f>HYPERLINK("https://dpmzos25m8ivg.cloudfront.net/Documentos/631/03448202118/6310344820211813092023104758.pdf","https://dpmzos25m8ivg.cloudfront.net/Documentos/631/03448202118/6310344820211813092023104758.pdf")</f>
        <v>https://dpmzos25m8ivg.cloudfront.net/Documentos/631/03448202118/6310344820211813092023104758.pdf</v>
      </c>
      <c r="G1392" s="5" t="str">
        <f>HYPERLINK("https://dpmzos25m8ivg.cloudfront.net/Documentos/631/03448202118/6310344820211813092023104816.pdf","https://dpmzos25m8ivg.cloudfront.net/Documentos/631/03448202118/6310344820211813092023104816.pdf")</f>
        <v>https://dpmzos25m8ivg.cloudfront.net/Documentos/631/03448202118/6310344820211813092023104816.pdf</v>
      </c>
      <c r="H1392" s="4" t="s">
        <v>9975</v>
      </c>
    </row>
    <row r="1393" spans="1:8" x14ac:dyDescent="0.25">
      <c r="A1393" s="2" t="s">
        <v>1407</v>
      </c>
      <c r="B1393" s="3"/>
      <c r="C1393" s="3"/>
      <c r="D1393" s="3"/>
      <c r="E1393" s="4" t="str">
        <f>HYPERLINK("https://dpmzos25m8ivg.cloudfront.net/Documentos/631/03450315390/6310345031539005092023101345.jpg","https://dpmzos25m8ivg.cloudfront.net/Documentos/631/03450315390/6310345031539005092023101345.jpg")</f>
        <v>https://dpmzos25m8ivg.cloudfront.net/Documentos/631/03450315390/6310345031539005092023101345.jpg</v>
      </c>
      <c r="F1393" s="5" t="str">
        <f>HYPERLINK("https://dpmzos25m8ivg.cloudfront.net/Documentos/631/03450315390/6310345031539005092023101357.jpg","https://dpmzos25m8ivg.cloudfront.net/Documentos/631/03450315390/6310345031539005092023101357.jpg")</f>
        <v>https://dpmzos25m8ivg.cloudfront.net/Documentos/631/03450315390/6310345031539005092023101357.jpg</v>
      </c>
      <c r="G1393" s="5" t="str">
        <f>HYPERLINK("https://dpmzos25m8ivg.cloudfront.net/Documentos/631/03450315390/6310345031539005092023101414.jpg","https://dpmzos25m8ivg.cloudfront.net/Documentos/631/03450315390/6310345031539005092023101414.jpg")</f>
        <v>https://dpmzos25m8ivg.cloudfront.net/Documentos/631/03450315390/6310345031539005092023101414.jpg</v>
      </c>
      <c r="H1393" s="4" t="s">
        <v>9976</v>
      </c>
    </row>
    <row r="1394" spans="1:8" x14ac:dyDescent="0.25">
      <c r="A1394" s="2" t="s">
        <v>1408</v>
      </c>
      <c r="B1394" s="3"/>
      <c r="C1394" s="3"/>
      <c r="D1394" s="3"/>
      <c r="E1394" s="4" t="str">
        <f>HYPERLINK("https://dpmzos25m8ivg.cloudfront.net/Documentos/631/03451655519/6310345165551911092023081324.jpg","https://dpmzos25m8ivg.cloudfront.net/Documentos/631/03451655519/6310345165551911092023081324.jpg")</f>
        <v>https://dpmzos25m8ivg.cloudfront.net/Documentos/631/03451655519/6310345165551911092023081324.jpg</v>
      </c>
      <c r="F1394" s="5" t="str">
        <f>HYPERLINK("https://dpmzos25m8ivg.cloudfront.net/Documentos/631/03451655519/6310345165551911092023081342.jpg","https://dpmzos25m8ivg.cloudfront.net/Documentos/631/03451655519/6310345165551911092023081342.jpg")</f>
        <v>https://dpmzos25m8ivg.cloudfront.net/Documentos/631/03451655519/6310345165551911092023081342.jpg</v>
      </c>
      <c r="G1394" s="5" t="str">
        <f>HYPERLINK("https://dpmzos25m8ivg.cloudfront.net/Documentos/631/03451655519/6310345165551911092023081409.jpg","https://dpmzos25m8ivg.cloudfront.net/Documentos/631/03451655519/6310345165551911092023081409.jpg")</f>
        <v>https://dpmzos25m8ivg.cloudfront.net/Documentos/631/03451655519/6310345165551911092023081409.jpg</v>
      </c>
      <c r="H1394" s="4" t="s">
        <v>9977</v>
      </c>
    </row>
    <row r="1395" spans="1:8" x14ac:dyDescent="0.25">
      <c r="A1395" s="2" t="s">
        <v>1409</v>
      </c>
      <c r="B1395" s="3"/>
      <c r="C1395" s="3"/>
      <c r="D1395" s="3"/>
      <c r="E1395" s="4" t="str">
        <f>HYPERLINK("https://dpmzos25m8ivg.cloudfront.net/Documentos/631/03456136005/6310345613600507092023161121.pdf","https://dpmzos25m8ivg.cloudfront.net/Documentos/631/03456136005/6310345613600507092023161121.pdf")</f>
        <v>https://dpmzos25m8ivg.cloudfront.net/Documentos/631/03456136005/6310345613600507092023161121.pdf</v>
      </c>
      <c r="F1395" s="5" t="str">
        <f>HYPERLINK("https://dpmzos25m8ivg.cloudfront.net/Documentos/631/03456136005/6310345613600507092023161132.pdf","https://dpmzos25m8ivg.cloudfront.net/Documentos/631/03456136005/6310345613600507092023161132.pdf")</f>
        <v>https://dpmzos25m8ivg.cloudfront.net/Documentos/631/03456136005/6310345613600507092023161132.pdf</v>
      </c>
      <c r="G1395" s="5" t="str">
        <f>HYPERLINK("https://dpmzos25m8ivg.cloudfront.net/Documentos/631/03456136005/6310345613600507092023161146.pdf","https://dpmzos25m8ivg.cloudfront.net/Documentos/631/03456136005/6310345613600507092023161146.pdf")</f>
        <v>https://dpmzos25m8ivg.cloudfront.net/Documentos/631/03456136005/6310345613600507092023161146.pdf</v>
      </c>
      <c r="H1395" s="4" t="s">
        <v>9978</v>
      </c>
    </row>
    <row r="1396" spans="1:8" x14ac:dyDescent="0.25">
      <c r="A1396" s="2" t="s">
        <v>1410</v>
      </c>
      <c r="B1396" s="3"/>
      <c r="C1396" s="3"/>
      <c r="D1396" s="3"/>
      <c r="E1396" s="4" t="str">
        <f>HYPERLINK("https://dpmzos25m8ivg.cloudfront.net/Documentos/631/03456400128/6310345640012809092023112254.pdf","https://dpmzos25m8ivg.cloudfront.net/Documentos/631/03456400128/6310345640012809092023112254.pdf")</f>
        <v>https://dpmzos25m8ivg.cloudfront.net/Documentos/631/03456400128/6310345640012809092023112254.pdf</v>
      </c>
      <c r="F1396" s="5" t="str">
        <f>HYPERLINK("https://dpmzos25m8ivg.cloudfront.net/Documentos/631/03456400128/6310345640012809092023112313.pdf","https://dpmzos25m8ivg.cloudfront.net/Documentos/631/03456400128/6310345640012809092023112313.pdf")</f>
        <v>https://dpmzos25m8ivg.cloudfront.net/Documentos/631/03456400128/6310345640012809092023112313.pdf</v>
      </c>
      <c r="G1396" s="5" t="str">
        <f>HYPERLINK("https://dpmzos25m8ivg.cloudfront.net/Documentos/631/03456400128/6310345640012809092023112324.pdf","https://dpmzos25m8ivg.cloudfront.net/Documentos/631/03456400128/6310345640012809092023112324.pdf")</f>
        <v>https://dpmzos25m8ivg.cloudfront.net/Documentos/631/03456400128/6310345640012809092023112324.pdf</v>
      </c>
      <c r="H1396" s="4" t="s">
        <v>9979</v>
      </c>
    </row>
    <row r="1397" spans="1:8" x14ac:dyDescent="0.25">
      <c r="A1397" s="2" t="s">
        <v>1411</v>
      </c>
      <c r="B1397" s="3"/>
      <c r="C1397" s="3"/>
      <c r="D1397" s="3"/>
      <c r="E1397" s="4" t="str">
        <f>HYPERLINK("https://dpmzos25m8ivg.cloudfront.net/Documentos/631/03458798560/6310345879856014092023162757.pdf","https://dpmzos25m8ivg.cloudfront.net/Documentos/631/03458798560/6310345879856014092023162757.pdf")</f>
        <v>https://dpmzos25m8ivg.cloudfront.net/Documentos/631/03458798560/6310345879856014092023162757.pdf</v>
      </c>
      <c r="F1397" s="5" t="str">
        <f>HYPERLINK("https://dpmzos25m8ivg.cloudfront.net/Documentos/631/03458798560/6310345879856014092023162818.pdf","https://dpmzos25m8ivg.cloudfront.net/Documentos/631/03458798560/6310345879856014092023162818.pdf")</f>
        <v>https://dpmzos25m8ivg.cloudfront.net/Documentos/631/03458798560/6310345879856014092023162818.pdf</v>
      </c>
      <c r="G1397" s="5" t="str">
        <f>HYPERLINK("https://dpmzos25m8ivg.cloudfront.net/Documentos/631/03458798560/6310345879856014092023162829.pdf","https://dpmzos25m8ivg.cloudfront.net/Documentos/631/03458798560/6310345879856014092023162829.pdf")</f>
        <v>https://dpmzos25m8ivg.cloudfront.net/Documentos/631/03458798560/6310345879856014092023162829.pdf</v>
      </c>
      <c r="H1397" s="4" t="s">
        <v>9980</v>
      </c>
    </row>
    <row r="1398" spans="1:8" x14ac:dyDescent="0.25">
      <c r="A1398" s="2" t="s">
        <v>1412</v>
      </c>
      <c r="B1398" s="3"/>
      <c r="C1398" s="3"/>
      <c r="D1398" s="3"/>
      <c r="E1398" s="4" t="str">
        <f>HYPERLINK("https://dpmzos25m8ivg.cloudfront.net/Documentos/631/03459587563/6310345958756310092023131615.jpg","https://dpmzos25m8ivg.cloudfront.net/Documentos/631/03459587563/6310345958756310092023131615.jpg")</f>
        <v>https://dpmzos25m8ivg.cloudfront.net/Documentos/631/03459587563/6310345958756310092023131615.jpg</v>
      </c>
      <c r="F1398" s="5" t="str">
        <f>HYPERLINK("https://dpmzos25m8ivg.cloudfront.net/Documentos/631/03459587563/6310345958756310092023131733.jpg","https://dpmzos25m8ivg.cloudfront.net/Documentos/631/03459587563/6310345958756310092023131733.jpg")</f>
        <v>https://dpmzos25m8ivg.cloudfront.net/Documentos/631/03459587563/6310345958756310092023131733.jpg</v>
      </c>
      <c r="G1398" s="5" t="str">
        <f>HYPERLINK("https://dpmzos25m8ivg.cloudfront.net/Documentos/631/03459587563/6310345958756310092023131943.jpg","https://dpmzos25m8ivg.cloudfront.net/Documentos/631/03459587563/6310345958756310092023131943.jpg")</f>
        <v>https://dpmzos25m8ivg.cloudfront.net/Documentos/631/03459587563/6310345958756310092023131943.jpg</v>
      </c>
      <c r="H1398" s="4" t="s">
        <v>9981</v>
      </c>
    </row>
    <row r="1399" spans="1:8" x14ac:dyDescent="0.25">
      <c r="A1399" s="2" t="s">
        <v>1413</v>
      </c>
      <c r="B1399" s="3"/>
      <c r="C1399" s="3"/>
      <c r="D1399" s="3"/>
      <c r="E1399" s="4" t="str">
        <f>HYPERLINK("https://dpmzos25m8ivg.cloudfront.net/Documentos/631/03460107561/6310346010756105092023114821.pdf","https://dpmzos25m8ivg.cloudfront.net/Documentos/631/03460107561/6310346010756105092023114821.pdf")</f>
        <v>https://dpmzos25m8ivg.cloudfront.net/Documentos/631/03460107561/6310346010756105092023114821.pdf</v>
      </c>
      <c r="F1399" s="5" t="str">
        <f>HYPERLINK("https://dpmzos25m8ivg.cloudfront.net/Documentos/631/03460107561/6310346010756105092023114838.pdf","https://dpmzos25m8ivg.cloudfront.net/Documentos/631/03460107561/6310346010756105092023114838.pdf")</f>
        <v>https://dpmzos25m8ivg.cloudfront.net/Documentos/631/03460107561/6310346010756105092023114838.pdf</v>
      </c>
      <c r="G1399" s="5" t="str">
        <f>HYPERLINK("https://dpmzos25m8ivg.cloudfront.net/Documentos/631/03460107561/6310346010756105092023114853.pdf","https://dpmzos25m8ivg.cloudfront.net/Documentos/631/03460107561/6310346010756105092023114853.pdf")</f>
        <v>https://dpmzos25m8ivg.cloudfront.net/Documentos/631/03460107561/6310346010756105092023114853.pdf</v>
      </c>
      <c r="H1399" s="4" t="s">
        <v>9982</v>
      </c>
    </row>
    <row r="1400" spans="1:8" x14ac:dyDescent="0.25">
      <c r="A1400" s="2" t="s">
        <v>1414</v>
      </c>
      <c r="B1400" s="3"/>
      <c r="C1400" s="3"/>
      <c r="D1400" s="3"/>
      <c r="E1400" s="4" t="str">
        <f>HYPERLINK("https://dpmzos25m8ivg.cloudfront.net/Documentos/631/03466306140/6310346630614008092023161549.pdf","https://dpmzos25m8ivg.cloudfront.net/Documentos/631/03466306140/6310346630614008092023161549.pdf")</f>
        <v>https://dpmzos25m8ivg.cloudfront.net/Documentos/631/03466306140/6310346630614008092023161549.pdf</v>
      </c>
      <c r="F1400" s="5" t="str">
        <f>HYPERLINK("https://dpmzos25m8ivg.cloudfront.net/Documentos/631/03466306140/6310346630614008092023161602.pdf","https://dpmzos25m8ivg.cloudfront.net/Documentos/631/03466306140/6310346630614008092023161602.pdf")</f>
        <v>https://dpmzos25m8ivg.cloudfront.net/Documentos/631/03466306140/6310346630614008092023161602.pdf</v>
      </c>
      <c r="G1400" s="5" t="str">
        <f>HYPERLINK("https://dpmzos25m8ivg.cloudfront.net/Documentos/631/03466306140/6310346630614008092023161614.pdf","https://dpmzos25m8ivg.cloudfront.net/Documentos/631/03466306140/6310346630614008092023161614.pdf")</f>
        <v>https://dpmzos25m8ivg.cloudfront.net/Documentos/631/03466306140/6310346630614008092023161614.pdf</v>
      </c>
      <c r="H1400" s="4" t="s">
        <v>9983</v>
      </c>
    </row>
    <row r="1401" spans="1:8" x14ac:dyDescent="0.25">
      <c r="A1401" s="2" t="s">
        <v>1415</v>
      </c>
      <c r="B1401" s="3"/>
      <c r="C1401" s="3"/>
      <c r="D1401" s="3"/>
      <c r="E1401" s="4" t="str">
        <f>HYPERLINK("https://dpmzos25m8ivg.cloudfront.net/Documentos/631/03469822514/6310346982251407092023214046.pdf","https://dpmzos25m8ivg.cloudfront.net/Documentos/631/03469822514/6310346982251407092023214046.pdf")</f>
        <v>https://dpmzos25m8ivg.cloudfront.net/Documentos/631/03469822514/6310346982251407092023214046.pdf</v>
      </c>
      <c r="F1401" s="5" t="str">
        <f>HYPERLINK("https://dpmzos25m8ivg.cloudfront.net/Documentos/631/03469822514/6310346982251407092023214453.pdf","https://dpmzos25m8ivg.cloudfront.net/Documentos/631/03469822514/6310346982251407092023214453.pdf")</f>
        <v>https://dpmzos25m8ivg.cloudfront.net/Documentos/631/03469822514/6310346982251407092023214453.pdf</v>
      </c>
      <c r="G1401" s="5" t="str">
        <f>HYPERLINK("https://dpmzos25m8ivg.cloudfront.net/Documentos/631/03469822514/6310346982251407092023214756.pdf","https://dpmzos25m8ivg.cloudfront.net/Documentos/631/03469822514/6310346982251407092023214756.pdf")</f>
        <v>https://dpmzos25m8ivg.cloudfront.net/Documentos/631/03469822514/6310346982251407092023214756.pdf</v>
      </c>
      <c r="H1401" s="4" t="s">
        <v>9984</v>
      </c>
    </row>
    <row r="1402" spans="1:8" x14ac:dyDescent="0.25">
      <c r="A1402" s="2" t="s">
        <v>1416</v>
      </c>
      <c r="B1402" s="3" t="s">
        <v>23</v>
      </c>
      <c r="C1402" s="3"/>
      <c r="D1402" s="3"/>
      <c r="E1402" s="4" t="str">
        <f>HYPERLINK("https://dpmzos25m8ivg.cloudfront.net/Documentos/631/03470675570/6310347067557011092023154135.pdf","https://dpmzos25m8ivg.cloudfront.net/Documentos/631/03470675570/6310347067557011092023154135.pdf")</f>
        <v>https://dpmzos25m8ivg.cloudfront.net/Documentos/631/03470675570/6310347067557011092023154135.pdf</v>
      </c>
      <c r="F1402" s="5" t="str">
        <f>HYPERLINK("https://dpmzos25m8ivg.cloudfront.net/Documentos/631/03470675570/6310347067557011092023154144.pdf","https://dpmzos25m8ivg.cloudfront.net/Documentos/631/03470675570/6310347067557011092023154144.pdf")</f>
        <v>https://dpmzos25m8ivg.cloudfront.net/Documentos/631/03470675570/6310347067557011092023154144.pdf</v>
      </c>
      <c r="G1402" s="5" t="str">
        <f>HYPERLINK("https://dpmzos25m8ivg.cloudfront.net/Documentos/631/03470675570/6310347067557011092023154154.pdf","https://dpmzos25m8ivg.cloudfront.net/Documentos/631/03470675570/6310347067557011092023154154.pdf")</f>
        <v>https://dpmzos25m8ivg.cloudfront.net/Documentos/631/03470675570/6310347067557011092023154154.pdf</v>
      </c>
      <c r="H1402" s="4" t="s">
        <v>9985</v>
      </c>
    </row>
    <row r="1403" spans="1:8" x14ac:dyDescent="0.25">
      <c r="A1403" s="2" t="s">
        <v>1417</v>
      </c>
      <c r="B1403" s="3"/>
      <c r="C1403" s="3"/>
      <c r="D1403" s="3"/>
      <c r="E1403" s="4" t="str">
        <f>HYPERLINK("https://dpmzos25m8ivg.cloudfront.net/Documentos/631/03472189037/6310347218903709092023102438.pdf","https://dpmzos25m8ivg.cloudfront.net/Documentos/631/03472189037/6310347218903709092023102438.pdf")</f>
        <v>https://dpmzos25m8ivg.cloudfront.net/Documentos/631/03472189037/6310347218903709092023102438.pdf</v>
      </c>
      <c r="F1403" s="5" t="str">
        <f>HYPERLINK("https://dpmzos25m8ivg.cloudfront.net/Documentos/631/03472189037/6310347218903709092023102450.pdf","https://dpmzos25m8ivg.cloudfront.net/Documentos/631/03472189037/6310347218903709092023102450.pdf")</f>
        <v>https://dpmzos25m8ivg.cloudfront.net/Documentos/631/03472189037/6310347218903709092023102450.pdf</v>
      </c>
      <c r="G1403" s="5" t="str">
        <f>HYPERLINK("https://dpmzos25m8ivg.cloudfront.net/Documentos/631/03472189037/6310347218903709092023102459.pdf","https://dpmzos25m8ivg.cloudfront.net/Documentos/631/03472189037/6310347218903709092023102459.pdf")</f>
        <v>https://dpmzos25m8ivg.cloudfront.net/Documentos/631/03472189037/6310347218903709092023102459.pdf</v>
      </c>
      <c r="H1403" s="4" t="s">
        <v>9986</v>
      </c>
    </row>
    <row r="1404" spans="1:8" x14ac:dyDescent="0.25">
      <c r="A1404" s="2" t="s">
        <v>1418</v>
      </c>
      <c r="B1404" s="3"/>
      <c r="C1404" s="3"/>
      <c r="D1404" s="3"/>
      <c r="E1404" s="4" t="str">
        <f>HYPERLINK("https://dpmzos25m8ivg.cloudfront.net/Documentos/631/03473831573/6310347383157310092023202151.jpeg","https://dpmzos25m8ivg.cloudfront.net/Documentos/631/03473831573/6310347383157310092023202151.jpeg")</f>
        <v>https://dpmzos25m8ivg.cloudfront.net/Documentos/631/03473831573/6310347383157310092023202151.jpeg</v>
      </c>
      <c r="F1404" s="5" t="str">
        <f>HYPERLINK("https://dpmzos25m8ivg.cloudfront.net/Documentos/631/03473831573/6310347383157310092023202202.jpeg","https://dpmzos25m8ivg.cloudfront.net/Documentos/631/03473831573/6310347383157310092023202202.jpeg")</f>
        <v>https://dpmzos25m8ivg.cloudfront.net/Documentos/631/03473831573/6310347383157310092023202202.jpeg</v>
      </c>
      <c r="G1404" s="5" t="str">
        <f>HYPERLINK("https://dpmzos25m8ivg.cloudfront.net/Documentos/631/03473831573/6310347383157310092023202217.jpeg","https://dpmzos25m8ivg.cloudfront.net/Documentos/631/03473831573/6310347383157310092023202217.jpeg")</f>
        <v>https://dpmzos25m8ivg.cloudfront.net/Documentos/631/03473831573/6310347383157310092023202217.jpeg</v>
      </c>
      <c r="H1404" s="4" t="s">
        <v>9987</v>
      </c>
    </row>
    <row r="1405" spans="1:8" x14ac:dyDescent="0.25">
      <c r="A1405" s="2" t="s">
        <v>1419</v>
      </c>
      <c r="B1405" s="3"/>
      <c r="C1405" s="3"/>
      <c r="D1405" s="3"/>
      <c r="E1405" s="4" t="str">
        <f>HYPERLINK("https://dpmzos25m8ivg.cloudfront.net/Documentos/631/03475631121/6310347563112111092023165312.jpg","https://dpmzos25m8ivg.cloudfront.net/Documentos/631/03475631121/6310347563112111092023165312.jpg")</f>
        <v>https://dpmzos25m8ivg.cloudfront.net/Documentos/631/03475631121/6310347563112111092023165312.jpg</v>
      </c>
      <c r="F1405" s="5" t="str">
        <f>HYPERLINK("https://dpmzos25m8ivg.cloudfront.net/Documentos/631/03475631121/6310347563112111092023165322.jpg","https://dpmzos25m8ivg.cloudfront.net/Documentos/631/03475631121/6310347563112111092023165322.jpg")</f>
        <v>https://dpmzos25m8ivg.cloudfront.net/Documentos/631/03475631121/6310347563112111092023165322.jpg</v>
      </c>
      <c r="G1405" s="5" t="str">
        <f>HYPERLINK("https://dpmzos25m8ivg.cloudfront.net/Documentos/631/03475631121/6310347563112111092023165337.jpg","https://dpmzos25m8ivg.cloudfront.net/Documentos/631/03475631121/6310347563112111092023165337.jpg")</f>
        <v>https://dpmzos25m8ivg.cloudfront.net/Documentos/631/03475631121/6310347563112111092023165337.jpg</v>
      </c>
      <c r="H1405" s="4" t="s">
        <v>9988</v>
      </c>
    </row>
    <row r="1406" spans="1:8" x14ac:dyDescent="0.25">
      <c r="A1406" s="2" t="s">
        <v>1420</v>
      </c>
      <c r="B1406" s="3"/>
      <c r="C1406" s="3"/>
      <c r="D1406" s="3"/>
      <c r="E1406" s="4" t="str">
        <f>HYPERLINK("https://dpmzos25m8ivg.cloudfront.net/Documentos/631/03481702388/6310348170238811092023111647.pdf","https://dpmzos25m8ivg.cloudfront.net/Documentos/631/03481702388/6310348170238811092023111647.pdf")</f>
        <v>https://dpmzos25m8ivg.cloudfront.net/Documentos/631/03481702388/6310348170238811092023111647.pdf</v>
      </c>
      <c r="F1406" s="5" t="str">
        <f>HYPERLINK("https://dpmzos25m8ivg.cloudfront.net/Documentos/631/03481702388/6310348170238811092023111732.pdf","https://dpmzos25m8ivg.cloudfront.net/Documentos/631/03481702388/6310348170238811092023111732.pdf")</f>
        <v>https://dpmzos25m8ivg.cloudfront.net/Documentos/631/03481702388/6310348170238811092023111732.pdf</v>
      </c>
      <c r="G1406" s="5" t="str">
        <f>HYPERLINK("https://dpmzos25m8ivg.cloudfront.net/Documentos/631/03481702388/6310348170238811092023111835.pdf","https://dpmzos25m8ivg.cloudfront.net/Documentos/631/03481702388/6310348170238811092023111835.pdf")</f>
        <v>https://dpmzos25m8ivg.cloudfront.net/Documentos/631/03481702388/6310348170238811092023111835.pdf</v>
      </c>
      <c r="H1406" s="4" t="s">
        <v>9989</v>
      </c>
    </row>
    <row r="1407" spans="1:8" x14ac:dyDescent="0.25">
      <c r="A1407" s="2" t="s">
        <v>1421</v>
      </c>
      <c r="B1407" s="3" t="s">
        <v>23</v>
      </c>
      <c r="C1407" s="3"/>
      <c r="D1407" s="3"/>
      <c r="E1407" s="4" t="str">
        <f>HYPERLINK("https://dpmzos25m8ivg.cloudfront.net/Documentos/631/03482573174/6310348257317405092023162705.pdf","https://dpmzos25m8ivg.cloudfront.net/Documentos/631/03482573174/6310348257317405092023162705.pdf")</f>
        <v>https://dpmzos25m8ivg.cloudfront.net/Documentos/631/03482573174/6310348257317405092023162705.pdf</v>
      </c>
      <c r="F1407" s="5" t="str">
        <f>HYPERLINK("https://dpmzos25m8ivg.cloudfront.net/Documentos/631/03482573174/6310348257317405092023162719.pdf","https://dpmzos25m8ivg.cloudfront.net/Documentos/631/03482573174/6310348257317405092023162719.pdf")</f>
        <v>https://dpmzos25m8ivg.cloudfront.net/Documentos/631/03482573174/6310348257317405092023162719.pdf</v>
      </c>
      <c r="G1407" s="5" t="str">
        <f>HYPERLINK("https://dpmzos25m8ivg.cloudfront.net/Documentos/631/03482573174/6310348257317405092023162752.pdf","https://dpmzos25m8ivg.cloudfront.net/Documentos/631/03482573174/6310348257317405092023162752.pdf")</f>
        <v>https://dpmzos25m8ivg.cloudfront.net/Documentos/631/03482573174/6310348257317405092023162752.pdf</v>
      </c>
      <c r="H1407" s="4" t="s">
        <v>9990</v>
      </c>
    </row>
    <row r="1408" spans="1:8" x14ac:dyDescent="0.25">
      <c r="A1408" s="2" t="s">
        <v>1422</v>
      </c>
      <c r="B1408" s="3"/>
      <c r="C1408" s="3"/>
      <c r="D1408" s="3"/>
      <c r="E1408" s="4" t="str">
        <f>HYPERLINK("https://dpmzos25m8ivg.cloudfront.net/Documentos/631/03486603329/6310348660332910092023230632.pdf","https://dpmzos25m8ivg.cloudfront.net/Documentos/631/03486603329/6310348660332910092023230632.pdf")</f>
        <v>https://dpmzos25m8ivg.cloudfront.net/Documentos/631/03486603329/6310348660332910092023230632.pdf</v>
      </c>
      <c r="F1408" s="5" t="str">
        <f>HYPERLINK("https://dpmzos25m8ivg.cloudfront.net/Documentos/631/03486603329/6310348660332910092023230703.pdf","https://dpmzos25m8ivg.cloudfront.net/Documentos/631/03486603329/6310348660332910092023230703.pdf")</f>
        <v>https://dpmzos25m8ivg.cloudfront.net/Documentos/631/03486603329/6310348660332910092023230703.pdf</v>
      </c>
      <c r="G1408" s="5" t="str">
        <f>HYPERLINK("https://dpmzos25m8ivg.cloudfront.net/Documentos/631/03486603329/6310348660332910092023230724.pdf","https://dpmzos25m8ivg.cloudfront.net/Documentos/631/03486603329/6310348660332910092023230724.pdf")</f>
        <v>https://dpmzos25m8ivg.cloudfront.net/Documentos/631/03486603329/6310348660332910092023230724.pdf</v>
      </c>
      <c r="H1408" s="4" t="s">
        <v>9991</v>
      </c>
    </row>
    <row r="1409" spans="1:8" x14ac:dyDescent="0.25">
      <c r="A1409" s="2" t="s">
        <v>1423</v>
      </c>
      <c r="B1409" s="3"/>
      <c r="C1409" s="3"/>
      <c r="D1409" s="3"/>
      <c r="E1409" s="4" t="str">
        <f>HYPERLINK("https://dpmzos25m8ivg.cloudfront.net/Documentos/631/03487677571/6310348767757108092023183510.jpg","https://dpmzos25m8ivg.cloudfront.net/Documentos/631/03487677571/6310348767757108092023183510.jpg")</f>
        <v>https://dpmzos25m8ivg.cloudfront.net/Documentos/631/03487677571/6310348767757108092023183510.jpg</v>
      </c>
      <c r="F1409" s="5" t="str">
        <f>HYPERLINK("https://dpmzos25m8ivg.cloudfront.net/Documentos/631/03487677571/6310348767757108092023183523.jpg","https://dpmzos25m8ivg.cloudfront.net/Documentos/631/03487677571/6310348767757108092023183523.jpg")</f>
        <v>https://dpmzos25m8ivg.cloudfront.net/Documentos/631/03487677571/6310348767757108092023183523.jpg</v>
      </c>
      <c r="G1409" s="5" t="str">
        <f>HYPERLINK("https://dpmzos25m8ivg.cloudfront.net/Documentos/631/03487677571/6310348767757108092023183538.jpg","https://dpmzos25m8ivg.cloudfront.net/Documentos/631/03487677571/6310348767757108092023183538.jpg")</f>
        <v>https://dpmzos25m8ivg.cloudfront.net/Documentos/631/03487677571/6310348767757108092023183538.jpg</v>
      </c>
      <c r="H1409" s="4" t="s">
        <v>9992</v>
      </c>
    </row>
    <row r="1410" spans="1:8" x14ac:dyDescent="0.25">
      <c r="A1410" s="2" t="s">
        <v>1424</v>
      </c>
      <c r="B1410" s="3"/>
      <c r="C1410" s="3"/>
      <c r="D1410" s="3"/>
      <c r="E1410" s="4" t="str">
        <f>HYPERLINK("https://dpmzos25m8ivg.cloudfront.net/Documentos/631/03488562883/6310348856288305092023165924.jpg","https://dpmzos25m8ivg.cloudfront.net/Documentos/631/03488562883/6310348856288305092023165924.jpg")</f>
        <v>https://dpmzos25m8ivg.cloudfront.net/Documentos/631/03488562883/6310348856288305092023165924.jpg</v>
      </c>
      <c r="F1410" s="5" t="str">
        <f>HYPERLINK("https://dpmzos25m8ivg.cloudfront.net/Documentos/631/03488562883/6310348856288305092023165950.jpg","https://dpmzos25m8ivg.cloudfront.net/Documentos/631/03488562883/6310348856288305092023165950.jpg")</f>
        <v>https://dpmzos25m8ivg.cloudfront.net/Documentos/631/03488562883/6310348856288305092023165950.jpg</v>
      </c>
      <c r="G1410" s="5" t="str">
        <f>HYPERLINK("https://dpmzos25m8ivg.cloudfront.net/Documentos/631/03488562883/6310348856288305092023170013.jpg","https://dpmzos25m8ivg.cloudfront.net/Documentos/631/03488562883/6310348856288305092023170013.jpg")</f>
        <v>https://dpmzos25m8ivg.cloudfront.net/Documentos/631/03488562883/6310348856288305092023170013.jpg</v>
      </c>
      <c r="H1410" s="4" t="s">
        <v>9993</v>
      </c>
    </row>
    <row r="1411" spans="1:8" x14ac:dyDescent="0.25">
      <c r="A1411" s="2" t="s">
        <v>1425</v>
      </c>
      <c r="B1411" s="3"/>
      <c r="C1411" s="3"/>
      <c r="D1411" s="3"/>
      <c r="E1411" s="4" t="str">
        <f>HYPERLINK("https://dpmzos25m8ivg.cloudfront.net/Documentos/631/03490608780/6310349060878011092023000914.pdf","https://dpmzos25m8ivg.cloudfront.net/Documentos/631/03490608780/6310349060878011092023000914.pdf")</f>
        <v>https://dpmzos25m8ivg.cloudfront.net/Documentos/631/03490608780/6310349060878011092023000914.pdf</v>
      </c>
      <c r="F1411" s="5" t="str">
        <f>HYPERLINK("https://dpmzos25m8ivg.cloudfront.net/Documentos/631/03490608780/6310349060878011092023000944.pdf","https://dpmzos25m8ivg.cloudfront.net/Documentos/631/03490608780/6310349060878011092023000944.pdf")</f>
        <v>https://dpmzos25m8ivg.cloudfront.net/Documentos/631/03490608780/6310349060878011092023000944.pdf</v>
      </c>
      <c r="G1411" s="5" t="str">
        <f>HYPERLINK("https://dpmzos25m8ivg.cloudfront.net/Documentos/631/03490608780/6310349060878011092023001030.pdf","https://dpmzos25m8ivg.cloudfront.net/Documentos/631/03490608780/6310349060878011092023001030.pdf")</f>
        <v>https://dpmzos25m8ivg.cloudfront.net/Documentos/631/03490608780/6310349060878011092023001030.pdf</v>
      </c>
      <c r="H1411" s="4" t="s">
        <v>9994</v>
      </c>
    </row>
    <row r="1412" spans="1:8" x14ac:dyDescent="0.25">
      <c r="A1412" s="2" t="s">
        <v>1426</v>
      </c>
      <c r="B1412" s="3"/>
      <c r="C1412" s="3"/>
      <c r="D1412" s="3"/>
      <c r="E1412" s="4" t="str">
        <f>HYPERLINK("https://dpmzos25m8ivg.cloudfront.net/Documentos/631/03495028200/6310349502820010092023201123.jpeg","https://dpmzos25m8ivg.cloudfront.net/Documentos/631/03495028200/6310349502820010092023201123.jpeg")</f>
        <v>https://dpmzos25m8ivg.cloudfront.net/Documentos/631/03495028200/6310349502820010092023201123.jpeg</v>
      </c>
      <c r="F1412" s="5" t="str">
        <f>HYPERLINK("https://dpmzos25m8ivg.cloudfront.net/Documentos/631/03495028200/6310349502820010092023214634.jpeg","https://dpmzos25m8ivg.cloudfront.net/Documentos/631/03495028200/6310349502820010092023214634.jpeg")</f>
        <v>https://dpmzos25m8ivg.cloudfront.net/Documentos/631/03495028200/6310349502820010092023214634.jpeg</v>
      </c>
      <c r="G1412" s="5" t="str">
        <f>HYPERLINK("https://dpmzos25m8ivg.cloudfront.net/Documentos/631/03495028200/6310349502820010092023214707.jpeg","https://dpmzos25m8ivg.cloudfront.net/Documentos/631/03495028200/6310349502820010092023214707.jpeg")</f>
        <v>https://dpmzos25m8ivg.cloudfront.net/Documentos/631/03495028200/6310349502820010092023214707.jpeg</v>
      </c>
      <c r="H1412" s="4" t="s">
        <v>9995</v>
      </c>
    </row>
    <row r="1413" spans="1:8" x14ac:dyDescent="0.25">
      <c r="A1413" s="2" t="s">
        <v>1427</v>
      </c>
      <c r="B1413" s="3"/>
      <c r="C1413" s="3"/>
      <c r="D1413" s="3"/>
      <c r="E1413" s="4" t="str">
        <f>HYPERLINK("https://dpmzos25m8ivg.cloudfront.net/Documentos/631/03496594195/6310349659419511092023164929.pdf","https://dpmzos25m8ivg.cloudfront.net/Documentos/631/03496594195/6310349659419511092023164929.pdf")</f>
        <v>https://dpmzos25m8ivg.cloudfront.net/Documentos/631/03496594195/6310349659419511092023164929.pdf</v>
      </c>
      <c r="F1413" s="5" t="str">
        <f>HYPERLINK("https://dpmzos25m8ivg.cloudfront.net/Documentos/631/03496594195/6310349659419511092023164943.pdf","https://dpmzos25m8ivg.cloudfront.net/Documentos/631/03496594195/6310349659419511092023164943.pdf")</f>
        <v>https://dpmzos25m8ivg.cloudfront.net/Documentos/631/03496594195/6310349659419511092023164943.pdf</v>
      </c>
      <c r="G1413" s="5" t="str">
        <f>HYPERLINK("https://dpmzos25m8ivg.cloudfront.net/Documentos/631/03496594195/6310349659419511092023164954.pdf","https://dpmzos25m8ivg.cloudfront.net/Documentos/631/03496594195/6310349659419511092023164954.pdf")</f>
        <v>https://dpmzos25m8ivg.cloudfront.net/Documentos/631/03496594195/6310349659419511092023164954.pdf</v>
      </c>
      <c r="H1413" s="4" t="s">
        <v>9996</v>
      </c>
    </row>
    <row r="1414" spans="1:8" x14ac:dyDescent="0.25">
      <c r="A1414" s="2" t="s">
        <v>1428</v>
      </c>
      <c r="B1414" s="3"/>
      <c r="C1414" s="3"/>
      <c r="D1414" s="3"/>
      <c r="E1414" s="4" t="str">
        <f>HYPERLINK("https://dpmzos25m8ivg.cloudfront.net/Documentos/631/03499020203/6310349902020305092023142006.pdf","https://dpmzos25m8ivg.cloudfront.net/Documentos/631/03499020203/6310349902020305092023142006.pdf")</f>
        <v>https://dpmzos25m8ivg.cloudfront.net/Documentos/631/03499020203/6310349902020305092023142006.pdf</v>
      </c>
      <c r="F1414" s="5" t="str">
        <f>HYPERLINK("https://dpmzos25m8ivg.cloudfront.net/Documentos/631/03499020203/6310349902020305092023142015.pdf","https://dpmzos25m8ivg.cloudfront.net/Documentos/631/03499020203/6310349902020305092023142015.pdf")</f>
        <v>https://dpmzos25m8ivg.cloudfront.net/Documentos/631/03499020203/6310349902020305092023142015.pdf</v>
      </c>
      <c r="G1414" s="5" t="str">
        <f>HYPERLINK("https://dpmzos25m8ivg.cloudfront.net/Documentos/631/03499020203/6310349902020305092023142028.pdf","https://dpmzos25m8ivg.cloudfront.net/Documentos/631/03499020203/6310349902020305092023142028.pdf")</f>
        <v>https://dpmzos25m8ivg.cloudfront.net/Documentos/631/03499020203/6310349902020305092023142028.pdf</v>
      </c>
      <c r="H1414" s="4" t="s">
        <v>9997</v>
      </c>
    </row>
    <row r="1415" spans="1:8" x14ac:dyDescent="0.25">
      <c r="A1415" s="2" t="s">
        <v>1429</v>
      </c>
      <c r="B1415" s="3"/>
      <c r="C1415" s="3"/>
      <c r="D1415" s="3"/>
      <c r="E1415" s="4" t="str">
        <f>HYPERLINK("https://dpmzos25m8ivg.cloudfront.net/Documentos/631/03500000185/6310350000018511092023161916.jpeg","https://dpmzos25m8ivg.cloudfront.net/Documentos/631/03500000185/6310350000018511092023161916.jpeg")</f>
        <v>https://dpmzos25m8ivg.cloudfront.net/Documentos/631/03500000185/6310350000018511092023161916.jpeg</v>
      </c>
      <c r="F1415" s="5" t="str">
        <f>HYPERLINK("https://dpmzos25m8ivg.cloudfront.net/Documentos/631/03500000185/6310350000018511092023161930.jpeg","https://dpmzos25m8ivg.cloudfront.net/Documentos/631/03500000185/6310350000018511092023161930.jpeg")</f>
        <v>https://dpmzos25m8ivg.cloudfront.net/Documentos/631/03500000185/6310350000018511092023161930.jpeg</v>
      </c>
      <c r="G1415" s="5" t="str">
        <f>HYPERLINK("https://dpmzos25m8ivg.cloudfront.net/Documentos/631/03500000185/6310350000018511092023161940.jpeg","https://dpmzos25m8ivg.cloudfront.net/Documentos/631/03500000185/6310350000018511092023161940.jpeg")</f>
        <v>https://dpmzos25m8ivg.cloudfront.net/Documentos/631/03500000185/6310350000018511092023161940.jpeg</v>
      </c>
      <c r="H1415" s="4" t="s">
        <v>9998</v>
      </c>
    </row>
    <row r="1416" spans="1:8" x14ac:dyDescent="0.25">
      <c r="A1416" s="2" t="s">
        <v>1430</v>
      </c>
      <c r="B1416" s="3"/>
      <c r="C1416" s="3"/>
      <c r="D1416" s="3"/>
      <c r="E1416" s="4" t="str">
        <f>HYPERLINK("https://dpmzos25m8ivg.cloudfront.net/Documentos/631/03506392999/6310350639299911092023154445.pdf","https://dpmzos25m8ivg.cloudfront.net/Documentos/631/03506392999/6310350639299911092023154445.pdf")</f>
        <v>https://dpmzos25m8ivg.cloudfront.net/Documentos/631/03506392999/6310350639299911092023154445.pdf</v>
      </c>
      <c r="F1416" s="5" t="str">
        <f>HYPERLINK("https://dpmzos25m8ivg.cloudfront.net/Documentos/631/03506392999/6310350639299911092023154501.pdf","https://dpmzos25m8ivg.cloudfront.net/Documentos/631/03506392999/6310350639299911092023154501.pdf")</f>
        <v>https://dpmzos25m8ivg.cloudfront.net/Documentos/631/03506392999/6310350639299911092023154501.pdf</v>
      </c>
      <c r="G1416" s="5" t="str">
        <f>HYPERLINK("https://dpmzos25m8ivg.cloudfront.net/Documentos/631/03506392999/6310350639299911092023154551.pdf","https://dpmzos25m8ivg.cloudfront.net/Documentos/631/03506392999/6310350639299911092023154551.pdf")</f>
        <v>https://dpmzos25m8ivg.cloudfront.net/Documentos/631/03506392999/6310350639299911092023154551.pdf</v>
      </c>
      <c r="H1416" s="4" t="s">
        <v>9999</v>
      </c>
    </row>
    <row r="1417" spans="1:8" x14ac:dyDescent="0.25">
      <c r="A1417" s="2" t="s">
        <v>1431</v>
      </c>
      <c r="B1417" s="3"/>
      <c r="C1417" s="3"/>
      <c r="D1417" s="3"/>
      <c r="E1417" s="4" t="str">
        <f>HYPERLINK("https://dpmzos25m8ivg.cloudfront.net/Documentos/631/03507339536/6310350733953606092023161803.jpg","https://dpmzos25m8ivg.cloudfront.net/Documentos/631/03507339536/6310350733953606092023161803.jpg")</f>
        <v>https://dpmzos25m8ivg.cloudfront.net/Documentos/631/03507339536/6310350733953606092023161803.jpg</v>
      </c>
      <c r="F1417" s="5" t="str">
        <f>HYPERLINK("https://dpmzos25m8ivg.cloudfront.net/Documentos/631/03507339536/6310350733953606092023161824.jpg","https://dpmzos25m8ivg.cloudfront.net/Documentos/631/03507339536/6310350733953606092023161824.jpg")</f>
        <v>https://dpmzos25m8ivg.cloudfront.net/Documentos/631/03507339536/6310350733953606092023161824.jpg</v>
      </c>
      <c r="G1417" s="5" t="str">
        <f>HYPERLINK("https://dpmzos25m8ivg.cloudfront.net/Documentos/631/03507339536/6310350733953606092023161840.jpg","https://dpmzos25m8ivg.cloudfront.net/Documentos/631/03507339536/6310350733953606092023161840.jpg")</f>
        <v>https://dpmzos25m8ivg.cloudfront.net/Documentos/631/03507339536/6310350733953606092023161840.jpg</v>
      </c>
      <c r="H1417" s="4" t="s">
        <v>10000</v>
      </c>
    </row>
    <row r="1418" spans="1:8" x14ac:dyDescent="0.25">
      <c r="A1418" s="2" t="s">
        <v>1432</v>
      </c>
      <c r="B1418" s="3"/>
      <c r="C1418" s="3"/>
      <c r="D1418" s="3"/>
      <c r="E1418" s="4" t="str">
        <f>HYPERLINK("https://dpmzos25m8ivg.cloudfront.net/Documentos/631/03507461684/6310350746168405092023100321.pdf","https://dpmzos25m8ivg.cloudfront.net/Documentos/631/03507461684/6310350746168405092023100321.pdf")</f>
        <v>https://dpmzos25m8ivg.cloudfront.net/Documentos/631/03507461684/6310350746168405092023100321.pdf</v>
      </c>
      <c r="F1418" s="5" t="str">
        <f>HYPERLINK("https://dpmzos25m8ivg.cloudfront.net/Documentos/631/03507461684/6310350746168405092023100342.pdf","https://dpmzos25m8ivg.cloudfront.net/Documentos/631/03507461684/6310350746168405092023100342.pdf")</f>
        <v>https://dpmzos25m8ivg.cloudfront.net/Documentos/631/03507461684/6310350746168405092023100342.pdf</v>
      </c>
      <c r="G1418" s="5" t="str">
        <f>HYPERLINK("https://dpmzos25m8ivg.cloudfront.net/Documentos/631/03507461684/6310350746168405092023100356.pdf","https://dpmzos25m8ivg.cloudfront.net/Documentos/631/03507461684/6310350746168405092023100356.pdf")</f>
        <v>https://dpmzos25m8ivg.cloudfront.net/Documentos/631/03507461684/6310350746168405092023100356.pdf</v>
      </c>
      <c r="H1418" s="4" t="s">
        <v>10001</v>
      </c>
    </row>
    <row r="1419" spans="1:8" x14ac:dyDescent="0.25">
      <c r="A1419" s="2" t="s">
        <v>1433</v>
      </c>
      <c r="B1419" s="3"/>
      <c r="C1419" s="3"/>
      <c r="D1419" s="3"/>
      <c r="E1419" s="4" t="str">
        <f>HYPERLINK("https://dpmzos25m8ivg.cloudfront.net/Documentos/631/03511291208/6310351129120811092023131533.pdf","https://dpmzos25m8ivg.cloudfront.net/Documentos/631/03511291208/6310351129120811092023131533.pdf")</f>
        <v>https://dpmzos25m8ivg.cloudfront.net/Documentos/631/03511291208/6310351129120811092023131533.pdf</v>
      </c>
      <c r="F1419" s="5" t="str">
        <f>HYPERLINK("https://dpmzos25m8ivg.cloudfront.net/Documentos/631/03511291208/6310351129120811092023131550.pdf","https://dpmzos25m8ivg.cloudfront.net/Documentos/631/03511291208/6310351129120811092023131550.pdf")</f>
        <v>https://dpmzos25m8ivg.cloudfront.net/Documentos/631/03511291208/6310351129120811092023131550.pdf</v>
      </c>
      <c r="G1419" s="5" t="str">
        <f>HYPERLINK("https://dpmzos25m8ivg.cloudfront.net/Documentos/631/03511291208/6310351129120811092023131559.pdf","https://dpmzos25m8ivg.cloudfront.net/Documentos/631/03511291208/6310351129120811092023131559.pdf")</f>
        <v>https://dpmzos25m8ivg.cloudfront.net/Documentos/631/03511291208/6310351129120811092023131559.pdf</v>
      </c>
      <c r="H1419" s="4" t="s">
        <v>10002</v>
      </c>
    </row>
    <row r="1420" spans="1:8" x14ac:dyDescent="0.25">
      <c r="A1420" s="2" t="s">
        <v>1434</v>
      </c>
      <c r="B1420" s="3"/>
      <c r="C1420" s="3"/>
      <c r="D1420" s="3"/>
      <c r="E1420" s="4" t="str">
        <f>HYPERLINK("https://dpmzos25m8ivg.cloudfront.net/Documentos/631/03512110207/6310351211020710092023214247.pdf","https://dpmzos25m8ivg.cloudfront.net/Documentos/631/03512110207/6310351211020710092023214247.pdf")</f>
        <v>https://dpmzos25m8ivg.cloudfront.net/Documentos/631/03512110207/6310351211020710092023214247.pdf</v>
      </c>
      <c r="F1420" s="5" t="str">
        <f>HYPERLINK("https://dpmzos25m8ivg.cloudfront.net/Documentos/631/03512110207/6310351211020710092023214306.pdf","https://dpmzos25m8ivg.cloudfront.net/Documentos/631/03512110207/6310351211020710092023214306.pdf")</f>
        <v>https://dpmzos25m8ivg.cloudfront.net/Documentos/631/03512110207/6310351211020710092023214306.pdf</v>
      </c>
      <c r="G1420" s="5" t="str">
        <f>HYPERLINK("https://dpmzos25m8ivg.cloudfront.net/Documentos/631/03512110207/6310351211020710092023214330.pdf","https://dpmzos25m8ivg.cloudfront.net/Documentos/631/03512110207/6310351211020710092023214330.pdf")</f>
        <v>https://dpmzos25m8ivg.cloudfront.net/Documentos/631/03512110207/6310351211020710092023214330.pdf</v>
      </c>
      <c r="H1420" s="4" t="s">
        <v>10003</v>
      </c>
    </row>
    <row r="1421" spans="1:8" x14ac:dyDescent="0.25">
      <c r="A1421" s="2" t="s">
        <v>1435</v>
      </c>
      <c r="B1421" s="3"/>
      <c r="C1421" s="3"/>
      <c r="D1421" s="3"/>
      <c r="E1421" s="4" t="str">
        <f>HYPERLINK("https://dpmzos25m8ivg.cloudfront.net/Documentos/631/03512203051/6310351220305111092023121012.jpg","https://dpmzos25m8ivg.cloudfront.net/Documentos/631/03512203051/6310351220305111092023121012.jpg")</f>
        <v>https://dpmzos25m8ivg.cloudfront.net/Documentos/631/03512203051/6310351220305111092023121012.jpg</v>
      </c>
      <c r="F1421" s="5" t="str">
        <f>HYPERLINK("https://dpmzos25m8ivg.cloudfront.net/Documentos/631/03512203051/6310351220305111092023121028.jpg","https://dpmzos25m8ivg.cloudfront.net/Documentos/631/03512203051/6310351220305111092023121028.jpg")</f>
        <v>https://dpmzos25m8ivg.cloudfront.net/Documentos/631/03512203051/6310351220305111092023121028.jpg</v>
      </c>
      <c r="G1421" s="5" t="str">
        <f>HYPERLINK("https://dpmzos25m8ivg.cloudfront.net/Documentos/631/03512203051/6310351220305111092023121048.jpg","https://dpmzos25m8ivg.cloudfront.net/Documentos/631/03512203051/6310351220305111092023121048.jpg")</f>
        <v>https://dpmzos25m8ivg.cloudfront.net/Documentos/631/03512203051/6310351220305111092023121048.jpg</v>
      </c>
      <c r="H1421" s="4" t="s">
        <v>10004</v>
      </c>
    </row>
    <row r="1422" spans="1:8" x14ac:dyDescent="0.25">
      <c r="A1422" s="2" t="s">
        <v>1436</v>
      </c>
      <c r="B1422" s="3"/>
      <c r="C1422" s="3"/>
      <c r="D1422" s="3"/>
      <c r="E1422" s="4" t="str">
        <f>HYPERLINK("https://dpmzos25m8ivg.cloudfront.net/Documentos/631/03519189496/6310351918949611092023132630.jpg","https://dpmzos25m8ivg.cloudfront.net/Documentos/631/03519189496/6310351918949611092023132630.jpg")</f>
        <v>https://dpmzos25m8ivg.cloudfront.net/Documentos/631/03519189496/6310351918949611092023132630.jpg</v>
      </c>
      <c r="F1422" s="5" t="str">
        <f>HYPERLINK("https://dpmzos25m8ivg.cloudfront.net/Documentos/631/03519189496/6310351918949611092023133100.jpg","https://dpmzos25m8ivg.cloudfront.net/Documentos/631/03519189496/6310351918949611092023133100.jpg")</f>
        <v>https://dpmzos25m8ivg.cloudfront.net/Documentos/631/03519189496/6310351918949611092023133100.jpg</v>
      </c>
      <c r="G1422" s="5" t="str">
        <f>HYPERLINK("https://dpmzos25m8ivg.cloudfront.net/Documentos/631/03519189496/6310351918949611092023133702.jpg","https://dpmzos25m8ivg.cloudfront.net/Documentos/631/03519189496/6310351918949611092023133702.jpg")</f>
        <v>https://dpmzos25m8ivg.cloudfront.net/Documentos/631/03519189496/6310351918949611092023133702.jpg</v>
      </c>
      <c r="H1422" s="4" t="s">
        <v>10005</v>
      </c>
    </row>
    <row r="1423" spans="1:8" x14ac:dyDescent="0.25">
      <c r="A1423" s="2" t="s">
        <v>1437</v>
      </c>
      <c r="B1423" s="3"/>
      <c r="C1423" s="3"/>
      <c r="D1423" s="3"/>
      <c r="E1423" s="4" t="str">
        <f>HYPERLINK("https://dpmzos25m8ivg.cloudfront.net/Documentos/631/03521123103/6310352112310307092023184744.jpeg","https://dpmzos25m8ivg.cloudfront.net/Documentos/631/03521123103/6310352112310307092023184744.jpeg")</f>
        <v>https://dpmzos25m8ivg.cloudfront.net/Documentos/631/03521123103/6310352112310307092023184744.jpeg</v>
      </c>
      <c r="F1423" s="5" t="str">
        <f>HYPERLINK("https://dpmzos25m8ivg.cloudfront.net/Documentos/631/03521123103/6310352112310307092023184811.jpeg","https://dpmzos25m8ivg.cloudfront.net/Documentos/631/03521123103/6310352112310307092023184811.jpeg")</f>
        <v>https://dpmzos25m8ivg.cloudfront.net/Documentos/631/03521123103/6310352112310307092023184811.jpeg</v>
      </c>
      <c r="G1423" s="5" t="str">
        <f>HYPERLINK("https://dpmzos25m8ivg.cloudfront.net/Documentos/631/03521123103/6310352112310307092023184823.jpeg","https://dpmzos25m8ivg.cloudfront.net/Documentos/631/03521123103/6310352112310307092023184823.jpeg")</f>
        <v>https://dpmzos25m8ivg.cloudfront.net/Documentos/631/03521123103/6310352112310307092023184823.jpeg</v>
      </c>
      <c r="H1423" s="4" t="s">
        <v>10006</v>
      </c>
    </row>
    <row r="1424" spans="1:8" x14ac:dyDescent="0.25">
      <c r="A1424" s="2" t="s">
        <v>1438</v>
      </c>
      <c r="B1424" s="3"/>
      <c r="C1424" s="3"/>
      <c r="D1424" s="3"/>
      <c r="E1424" s="4" t="str">
        <f>HYPERLINK("https://dpmzos25m8ivg.cloudfront.net/Documentos/631/03521458032/6310352145803211092023164338.jpg","https://dpmzos25m8ivg.cloudfront.net/Documentos/631/03521458032/6310352145803211092023164338.jpg")</f>
        <v>https://dpmzos25m8ivg.cloudfront.net/Documentos/631/03521458032/6310352145803211092023164338.jpg</v>
      </c>
      <c r="F1424" s="5" t="str">
        <f>HYPERLINK("https://dpmzos25m8ivg.cloudfront.net/Documentos/631/03521458032/6310352145803211092023164401.jpg","https://dpmzos25m8ivg.cloudfront.net/Documentos/631/03521458032/6310352145803211092023164401.jpg")</f>
        <v>https://dpmzos25m8ivg.cloudfront.net/Documentos/631/03521458032/6310352145803211092023164401.jpg</v>
      </c>
      <c r="G1424" s="5" t="str">
        <f>HYPERLINK("https://dpmzos25m8ivg.cloudfront.net/Documentos/631/03521458032/6310352145803211092023164440.jpg","https://dpmzos25m8ivg.cloudfront.net/Documentos/631/03521458032/6310352145803211092023164440.jpg")</f>
        <v>https://dpmzos25m8ivg.cloudfront.net/Documentos/631/03521458032/6310352145803211092023164440.jpg</v>
      </c>
      <c r="H1424" s="4" t="s">
        <v>10007</v>
      </c>
    </row>
    <row r="1425" spans="1:8" x14ac:dyDescent="0.25">
      <c r="A1425" s="2" t="s">
        <v>1439</v>
      </c>
      <c r="B1425" s="3"/>
      <c r="C1425" s="3"/>
      <c r="D1425" s="3"/>
      <c r="E1425" s="4" t="str">
        <f>HYPERLINK("https://dpmzos25m8ivg.cloudfront.net/Documentos/631/03521707350/6310352170735007092023204100.jpeg","https://dpmzos25m8ivg.cloudfront.net/Documentos/631/03521707350/6310352170735007092023204100.jpeg")</f>
        <v>https://dpmzos25m8ivg.cloudfront.net/Documentos/631/03521707350/6310352170735007092023204100.jpeg</v>
      </c>
      <c r="F1425" s="5" t="str">
        <f>HYPERLINK("https://dpmzos25m8ivg.cloudfront.net/Documentos/631/03521707350/6310352170735007092023204142.jpeg","https://dpmzos25m8ivg.cloudfront.net/Documentos/631/03521707350/6310352170735007092023204142.jpeg")</f>
        <v>https://dpmzos25m8ivg.cloudfront.net/Documentos/631/03521707350/6310352170735007092023204142.jpeg</v>
      </c>
      <c r="G1425" s="5" t="str">
        <f>HYPERLINK("https://dpmzos25m8ivg.cloudfront.net/Documentos/631/03521707350/6310352170735007092023204155.jpeg","https://dpmzos25m8ivg.cloudfront.net/Documentos/631/03521707350/6310352170735007092023204155.jpeg")</f>
        <v>https://dpmzos25m8ivg.cloudfront.net/Documentos/631/03521707350/6310352170735007092023204155.jpeg</v>
      </c>
      <c r="H1425" s="4" t="s">
        <v>10008</v>
      </c>
    </row>
    <row r="1426" spans="1:8" x14ac:dyDescent="0.25">
      <c r="A1426" s="2" t="s">
        <v>1440</v>
      </c>
      <c r="B1426" s="3" t="s">
        <v>312</v>
      </c>
      <c r="C1426" s="3"/>
      <c r="D1426" s="3"/>
      <c r="E1426" s="4" t="str">
        <f>HYPERLINK("https://dpmzos25m8ivg.cloudfront.net/Documentos/631/03526074160/6310352607416011092023151227.pdf","https://dpmzos25m8ivg.cloudfront.net/Documentos/631/03526074160/6310352607416011092023151227.pdf")</f>
        <v>https://dpmzos25m8ivg.cloudfront.net/Documentos/631/03526074160/6310352607416011092023151227.pdf</v>
      </c>
      <c r="F1426" s="5" t="str">
        <f>HYPERLINK("https://dpmzos25m8ivg.cloudfront.net/Documentos/631/03526074160/6310352607416011092023151236.pdf","https://dpmzos25m8ivg.cloudfront.net/Documentos/631/03526074160/6310352607416011092023151236.pdf")</f>
        <v>https://dpmzos25m8ivg.cloudfront.net/Documentos/631/03526074160/6310352607416011092023151236.pdf</v>
      </c>
      <c r="G1426" s="5" t="str">
        <f>HYPERLINK("https://dpmzos25m8ivg.cloudfront.net/Documentos/631/03526074160/6310352607416011092023151243.pdf","https://dpmzos25m8ivg.cloudfront.net/Documentos/631/03526074160/6310352607416011092023151243.pdf")</f>
        <v>https://dpmzos25m8ivg.cloudfront.net/Documentos/631/03526074160/6310352607416011092023151243.pdf</v>
      </c>
      <c r="H1426" s="4" t="s">
        <v>10009</v>
      </c>
    </row>
    <row r="1427" spans="1:8" x14ac:dyDescent="0.25">
      <c r="A1427" s="2" t="s">
        <v>1441</v>
      </c>
      <c r="B1427" s="3"/>
      <c r="C1427" s="3"/>
      <c r="D1427" s="3"/>
      <c r="E1427" s="4" t="str">
        <f>HYPERLINK("https://dpmzos25m8ivg.cloudfront.net/Documentos/631/03530467103/6310353046710309092023155411.pdf","https://dpmzos25m8ivg.cloudfront.net/Documentos/631/03530467103/6310353046710309092023155411.pdf")</f>
        <v>https://dpmzos25m8ivg.cloudfront.net/Documentos/631/03530467103/6310353046710309092023155411.pdf</v>
      </c>
      <c r="F1427" s="5" t="str">
        <f>HYPERLINK("https://dpmzos25m8ivg.cloudfront.net/Documentos/631/03530467103/6310353046710309092023155617.pdf","https://dpmzos25m8ivg.cloudfront.net/Documentos/631/03530467103/6310353046710309092023155617.pdf")</f>
        <v>https://dpmzos25m8ivg.cloudfront.net/Documentos/631/03530467103/6310353046710309092023155617.pdf</v>
      </c>
      <c r="G1427" s="5" t="str">
        <f>HYPERLINK("https://dpmzos25m8ivg.cloudfront.net/Documentos/631/03530467103/6310353046710309092023155645.pdf","https://dpmzos25m8ivg.cloudfront.net/Documentos/631/03530467103/6310353046710309092023155645.pdf")</f>
        <v>https://dpmzos25m8ivg.cloudfront.net/Documentos/631/03530467103/6310353046710309092023155645.pdf</v>
      </c>
      <c r="H1427" s="4" t="s">
        <v>10010</v>
      </c>
    </row>
    <row r="1428" spans="1:8" x14ac:dyDescent="0.25">
      <c r="A1428" s="2" t="s">
        <v>1442</v>
      </c>
      <c r="B1428" s="3"/>
      <c r="C1428" s="3"/>
      <c r="D1428" s="3"/>
      <c r="E1428" s="4" t="str">
        <f>HYPERLINK("https://dpmzos25m8ivg.cloudfront.net/Documentos/631/03531179195/6310353117919511092023114832.pdf","https://dpmzos25m8ivg.cloudfront.net/Documentos/631/03531179195/6310353117919511092023114832.pdf")</f>
        <v>https://dpmzos25m8ivg.cloudfront.net/Documentos/631/03531179195/6310353117919511092023114832.pdf</v>
      </c>
      <c r="F1428" s="5" t="str">
        <f>HYPERLINK("https://dpmzos25m8ivg.cloudfront.net/Documentos/631/03531179195/6310353117919511092023114819.pdf","https://dpmzos25m8ivg.cloudfront.net/Documentos/631/03531179195/6310353117919511092023114819.pdf")</f>
        <v>https://dpmzos25m8ivg.cloudfront.net/Documentos/631/03531179195/6310353117919511092023114819.pdf</v>
      </c>
      <c r="G1428" s="5" t="str">
        <f>HYPERLINK("https://dpmzos25m8ivg.cloudfront.net/Documentos/631/03531179195/6310353117919511092023114811.pdf","https://dpmzos25m8ivg.cloudfront.net/Documentos/631/03531179195/6310353117919511092023114811.pdf")</f>
        <v>https://dpmzos25m8ivg.cloudfront.net/Documentos/631/03531179195/6310353117919511092023114811.pdf</v>
      </c>
      <c r="H1428" s="4" t="s">
        <v>10011</v>
      </c>
    </row>
    <row r="1429" spans="1:8" x14ac:dyDescent="0.25">
      <c r="A1429" s="2" t="s">
        <v>1443</v>
      </c>
      <c r="B1429" s="3"/>
      <c r="C1429" s="3"/>
      <c r="D1429" s="3"/>
      <c r="E1429" s="4" t="str">
        <f>HYPERLINK("https://dpmzos25m8ivg.cloudfront.net/Documentos/631/03538023441/6310353802344110092023231007.jpg","https://dpmzos25m8ivg.cloudfront.net/Documentos/631/03538023441/6310353802344110092023231007.jpg")</f>
        <v>https://dpmzos25m8ivg.cloudfront.net/Documentos/631/03538023441/6310353802344110092023231007.jpg</v>
      </c>
      <c r="F1429" s="5" t="str">
        <f>HYPERLINK("https://dpmzos25m8ivg.cloudfront.net/Documentos/631/03538023441/6310353802344110092023231226.jpg","https://dpmzos25m8ivg.cloudfront.net/Documentos/631/03538023441/6310353802344110092023231226.jpg")</f>
        <v>https://dpmzos25m8ivg.cloudfront.net/Documentos/631/03538023441/6310353802344110092023231226.jpg</v>
      </c>
      <c r="G1429" s="5" t="str">
        <f>HYPERLINK("https://dpmzos25m8ivg.cloudfront.net/Documentos/631/03538023441/6310353802344110092023231327.jpg","https://dpmzos25m8ivg.cloudfront.net/Documentos/631/03538023441/6310353802344110092023231327.jpg")</f>
        <v>https://dpmzos25m8ivg.cloudfront.net/Documentos/631/03538023441/6310353802344110092023231327.jpg</v>
      </c>
      <c r="H1429" s="4" t="s">
        <v>10012</v>
      </c>
    </row>
    <row r="1430" spans="1:8" x14ac:dyDescent="0.25">
      <c r="A1430" s="2" t="s">
        <v>1444</v>
      </c>
      <c r="B1430" s="3"/>
      <c r="C1430" s="3"/>
      <c r="D1430" s="3"/>
      <c r="E1430" s="4" t="str">
        <f>HYPERLINK("https://dpmzos25m8ivg.cloudfront.net/Documentos/631/03539929681/6310353992968105092023141721.pdf","https://dpmzos25m8ivg.cloudfront.net/Documentos/631/03539929681/6310353992968105092023141721.pdf")</f>
        <v>https://dpmzos25m8ivg.cloudfront.net/Documentos/631/03539929681/6310353992968105092023141721.pdf</v>
      </c>
      <c r="F1430" s="5" t="str">
        <f>HYPERLINK("https://dpmzos25m8ivg.cloudfront.net/Documentos/631/03539929681/6310353992968105092023141733.pdf","https://dpmzos25m8ivg.cloudfront.net/Documentos/631/03539929681/6310353992968105092023141733.pdf")</f>
        <v>https://dpmzos25m8ivg.cloudfront.net/Documentos/631/03539929681/6310353992968105092023141733.pdf</v>
      </c>
      <c r="G1430" s="5" t="str">
        <f>HYPERLINK("https://dpmzos25m8ivg.cloudfront.net/Documentos/631/03539929681/6310353992968105092023141745.pdf","https://dpmzos25m8ivg.cloudfront.net/Documentos/631/03539929681/6310353992968105092023141745.pdf")</f>
        <v>https://dpmzos25m8ivg.cloudfront.net/Documentos/631/03539929681/6310353992968105092023141745.pdf</v>
      </c>
      <c r="H1430" s="4" t="s">
        <v>10013</v>
      </c>
    </row>
    <row r="1431" spans="1:8" x14ac:dyDescent="0.25">
      <c r="A1431" s="2" t="s">
        <v>1445</v>
      </c>
      <c r="B1431" s="3" t="s">
        <v>308</v>
      </c>
      <c r="C1431" s="3"/>
      <c r="D1431" s="3"/>
      <c r="E1431" s="4" t="str">
        <f>HYPERLINK("https://dpmzos25m8ivg.cloudfront.net/Documentos/631/03541918101/6310354191810111092023161609.pdf","https://dpmzos25m8ivg.cloudfront.net/Documentos/631/03541918101/6310354191810111092023161609.pdf")</f>
        <v>https://dpmzos25m8ivg.cloudfront.net/Documentos/631/03541918101/6310354191810111092023161609.pdf</v>
      </c>
      <c r="F1431" s="5" t="str">
        <f>HYPERLINK("https://dpmzos25m8ivg.cloudfront.net/Documentos/631/03541918101/6310354191810111092023161647.pdf","https://dpmzos25m8ivg.cloudfront.net/Documentos/631/03541918101/6310354191810111092023161647.pdf")</f>
        <v>https://dpmzos25m8ivg.cloudfront.net/Documentos/631/03541918101/6310354191810111092023161647.pdf</v>
      </c>
      <c r="G1431" s="5" t="str">
        <f>HYPERLINK("https://dpmzos25m8ivg.cloudfront.net/Documentos/631/03541918101/6310354191810111092023161708.pdf","https://dpmzos25m8ivg.cloudfront.net/Documentos/631/03541918101/6310354191810111092023161708.pdf")</f>
        <v>https://dpmzos25m8ivg.cloudfront.net/Documentos/631/03541918101/6310354191810111092023161708.pdf</v>
      </c>
      <c r="H1431" s="4" t="s">
        <v>10014</v>
      </c>
    </row>
    <row r="1432" spans="1:8" x14ac:dyDescent="0.25">
      <c r="A1432" s="2" t="s">
        <v>1446</v>
      </c>
      <c r="B1432" s="3"/>
      <c r="C1432" s="3"/>
      <c r="D1432" s="3"/>
      <c r="E1432" s="4" t="str">
        <f>HYPERLINK("https://dpmzos25m8ivg.cloudfront.net/Documentos/631/03544191377/6310354419137705092023192521.pdf","https://dpmzos25m8ivg.cloudfront.net/Documentos/631/03544191377/6310354419137705092023192521.pdf")</f>
        <v>https://dpmzos25m8ivg.cloudfront.net/Documentos/631/03544191377/6310354419137705092023192521.pdf</v>
      </c>
      <c r="F1432" s="5" t="str">
        <f>HYPERLINK("https://dpmzos25m8ivg.cloudfront.net/Documentos/631/03544191377/6310354419137705092023192538.pdf","https://dpmzos25m8ivg.cloudfront.net/Documentos/631/03544191377/6310354419137705092023192538.pdf")</f>
        <v>https://dpmzos25m8ivg.cloudfront.net/Documentos/631/03544191377/6310354419137705092023192538.pdf</v>
      </c>
      <c r="G1432" s="5" t="str">
        <f>HYPERLINK("https://dpmzos25m8ivg.cloudfront.net/Documentos/631/03544191377/6310354419137705092023192555.pdf","https://dpmzos25m8ivg.cloudfront.net/Documentos/631/03544191377/6310354419137705092023192555.pdf")</f>
        <v>https://dpmzos25m8ivg.cloudfront.net/Documentos/631/03544191377/6310354419137705092023192555.pdf</v>
      </c>
      <c r="H1432" s="4" t="s">
        <v>10015</v>
      </c>
    </row>
    <row r="1433" spans="1:8" x14ac:dyDescent="0.25">
      <c r="A1433" s="2" t="s">
        <v>1447</v>
      </c>
      <c r="B1433" s="3"/>
      <c r="C1433" s="3"/>
      <c r="D1433" s="3"/>
      <c r="E1433" s="4" t="str">
        <f>HYPERLINK("https://dpmzos25m8ivg.cloudfront.net/Documentos/631/03547600251/6310354760025111092023154809.pdf","https://dpmzos25m8ivg.cloudfront.net/Documentos/631/03547600251/6310354760025111092023154809.pdf")</f>
        <v>https://dpmzos25m8ivg.cloudfront.net/Documentos/631/03547600251/6310354760025111092023154809.pdf</v>
      </c>
      <c r="F1433" s="5" t="str">
        <f>HYPERLINK("https://dpmzos25m8ivg.cloudfront.net/Documentos/631/03547600251/6310354760025111092023154821.pdf","https://dpmzos25m8ivg.cloudfront.net/Documentos/631/03547600251/6310354760025111092023154821.pdf")</f>
        <v>https://dpmzos25m8ivg.cloudfront.net/Documentos/631/03547600251/6310354760025111092023154821.pdf</v>
      </c>
      <c r="G1433" s="5" t="str">
        <f>HYPERLINK("https://dpmzos25m8ivg.cloudfront.net/Documentos/631/03547600251/6310354760025111092023154832.pdf","https://dpmzos25m8ivg.cloudfront.net/Documentos/631/03547600251/6310354760025111092023154832.pdf")</f>
        <v>https://dpmzos25m8ivg.cloudfront.net/Documentos/631/03547600251/6310354760025111092023154832.pdf</v>
      </c>
      <c r="H1433" s="4" t="s">
        <v>10016</v>
      </c>
    </row>
    <row r="1434" spans="1:8" x14ac:dyDescent="0.25">
      <c r="A1434" s="2" t="s">
        <v>1448</v>
      </c>
      <c r="B1434" s="3" t="s">
        <v>308</v>
      </c>
      <c r="C1434" s="3"/>
      <c r="D1434" s="3"/>
      <c r="E1434" s="4" t="str">
        <f>HYPERLINK("https://dpmzos25m8ivg.cloudfront.net/Documentos/631/03549998180/6310354999818008092023165239.pdf","https://dpmzos25m8ivg.cloudfront.net/Documentos/631/03549998180/6310354999818008092023165239.pdf")</f>
        <v>https://dpmzos25m8ivg.cloudfront.net/Documentos/631/03549998180/6310354999818008092023165239.pdf</v>
      </c>
      <c r="F1434" s="5" t="str">
        <f>HYPERLINK("https://dpmzos25m8ivg.cloudfront.net/Documentos/631/03549998180/6310354999818008092023165316.pdf","https://dpmzos25m8ivg.cloudfront.net/Documentos/631/03549998180/6310354999818008092023165316.pdf")</f>
        <v>https://dpmzos25m8ivg.cloudfront.net/Documentos/631/03549998180/6310354999818008092023165316.pdf</v>
      </c>
      <c r="G1434" s="5" t="str">
        <f>HYPERLINK("https://dpmzos25m8ivg.cloudfront.net/Documentos/631/03549998180/6310354999818008092023165343.pdf","https://dpmzos25m8ivg.cloudfront.net/Documentos/631/03549998180/6310354999818008092023165343.pdf")</f>
        <v>https://dpmzos25m8ivg.cloudfront.net/Documentos/631/03549998180/6310354999818008092023165343.pdf</v>
      </c>
      <c r="H1434" s="4" t="s">
        <v>10017</v>
      </c>
    </row>
    <row r="1435" spans="1:8" x14ac:dyDescent="0.25">
      <c r="A1435" s="2" t="s">
        <v>1449</v>
      </c>
      <c r="B1435" s="3"/>
      <c r="C1435" s="3"/>
      <c r="D1435" s="3"/>
      <c r="E1435" s="4" t="str">
        <f>HYPERLINK("https://dpmzos25m8ivg.cloudfront.net/Documentos/631/03550058594/6310355005859404092023184601.pdf","https://dpmzos25m8ivg.cloudfront.net/Documentos/631/03550058594/6310355005859404092023184601.pdf")</f>
        <v>https://dpmzos25m8ivg.cloudfront.net/Documentos/631/03550058594/6310355005859404092023184601.pdf</v>
      </c>
      <c r="F1435" s="5" t="str">
        <f>HYPERLINK("https://dpmzos25m8ivg.cloudfront.net/Documentos/631/03550058594/6310355005859404092023185225.pdf","https://dpmzos25m8ivg.cloudfront.net/Documentos/631/03550058594/6310355005859404092023185225.pdf")</f>
        <v>https://dpmzos25m8ivg.cloudfront.net/Documentos/631/03550058594/6310355005859404092023185225.pdf</v>
      </c>
      <c r="G1435" s="5" t="str">
        <f>HYPERLINK("https://dpmzos25m8ivg.cloudfront.net/Documentos/631/03550058594/6310355005859404092023194955.pdf","https://dpmzos25m8ivg.cloudfront.net/Documentos/631/03550058594/6310355005859404092023194955.pdf")</f>
        <v>https://dpmzos25m8ivg.cloudfront.net/Documentos/631/03550058594/6310355005859404092023194955.pdf</v>
      </c>
      <c r="H1435" s="4" t="s">
        <v>10018</v>
      </c>
    </row>
    <row r="1436" spans="1:8" x14ac:dyDescent="0.25">
      <c r="A1436" s="2" t="s">
        <v>1450</v>
      </c>
      <c r="B1436" s="3"/>
      <c r="C1436" s="3"/>
      <c r="D1436" s="3"/>
      <c r="E1436" s="4" t="str">
        <f>HYPERLINK("https://dpmzos25m8ivg.cloudfront.net/Documentos/631/03550755635/6310355075563511092023124834.jpg","https://dpmzos25m8ivg.cloudfront.net/Documentos/631/03550755635/6310355075563511092023124834.jpg")</f>
        <v>https://dpmzos25m8ivg.cloudfront.net/Documentos/631/03550755635/6310355075563511092023124834.jpg</v>
      </c>
      <c r="F1436" s="5" t="str">
        <f>HYPERLINK("https://dpmzos25m8ivg.cloudfront.net/Documentos/631/03550755635/6310355075563511092023124921.jpg","https://dpmzos25m8ivg.cloudfront.net/Documentos/631/03550755635/6310355075563511092023124921.jpg")</f>
        <v>https://dpmzos25m8ivg.cloudfront.net/Documentos/631/03550755635/6310355075563511092023124921.jpg</v>
      </c>
      <c r="G1436" s="5" t="str">
        <f>HYPERLINK("https://dpmzos25m8ivg.cloudfront.net/Documentos/631/03550755635/6310355075563511092023124939.jpg","https://dpmzos25m8ivg.cloudfront.net/Documentos/631/03550755635/6310355075563511092023124939.jpg")</f>
        <v>https://dpmzos25m8ivg.cloudfront.net/Documentos/631/03550755635/6310355075563511092023124939.jpg</v>
      </c>
      <c r="H1436" s="4" t="s">
        <v>10019</v>
      </c>
    </row>
    <row r="1437" spans="1:8" x14ac:dyDescent="0.25">
      <c r="A1437" s="2" t="s">
        <v>1451</v>
      </c>
      <c r="B1437" s="3"/>
      <c r="C1437" s="3"/>
      <c r="D1437" s="3"/>
      <c r="E1437" s="4" t="str">
        <f>HYPERLINK("https://dpmzos25m8ivg.cloudfront.net/Documentos/631/03551597243/6310355159724311092023154216.pdf","https://dpmzos25m8ivg.cloudfront.net/Documentos/631/03551597243/6310355159724311092023154216.pdf")</f>
        <v>https://dpmzos25m8ivg.cloudfront.net/Documentos/631/03551597243/6310355159724311092023154216.pdf</v>
      </c>
      <c r="F1437" s="5" t="str">
        <f>HYPERLINK("https://dpmzos25m8ivg.cloudfront.net/Documentos/631/03551597243/6310355159724311092023154234.pdf","https://dpmzos25m8ivg.cloudfront.net/Documentos/631/03551597243/6310355159724311092023154234.pdf")</f>
        <v>https://dpmzos25m8ivg.cloudfront.net/Documentos/631/03551597243/6310355159724311092023154234.pdf</v>
      </c>
      <c r="G1437" s="5" t="str">
        <f>HYPERLINK("https://dpmzos25m8ivg.cloudfront.net/Documentos/631/03551597243/6310355159724311092023154241.pdf","https://dpmzos25m8ivg.cloudfront.net/Documentos/631/03551597243/6310355159724311092023154241.pdf")</f>
        <v>https://dpmzos25m8ivg.cloudfront.net/Documentos/631/03551597243/6310355159724311092023154241.pdf</v>
      </c>
      <c r="H1437" s="4" t="s">
        <v>10020</v>
      </c>
    </row>
    <row r="1438" spans="1:8" x14ac:dyDescent="0.25">
      <c r="A1438" s="2" t="s">
        <v>1452</v>
      </c>
      <c r="B1438" s="3"/>
      <c r="C1438" s="3"/>
      <c r="D1438" s="3"/>
      <c r="E1438" s="4" t="str">
        <f>HYPERLINK("https://dpmzos25m8ivg.cloudfront.net/Documentos/631/03551929181/6310355192918111092023145601.pdf","https://dpmzos25m8ivg.cloudfront.net/Documentos/631/03551929181/6310355192918111092023145601.pdf")</f>
        <v>https://dpmzos25m8ivg.cloudfront.net/Documentos/631/03551929181/6310355192918111092023145601.pdf</v>
      </c>
      <c r="F1438" s="5" t="str">
        <f>HYPERLINK("https://dpmzos25m8ivg.cloudfront.net/Documentos/631/03551929181/6310355192918111092023145609.pdf","https://dpmzos25m8ivg.cloudfront.net/Documentos/631/03551929181/6310355192918111092023145609.pdf")</f>
        <v>https://dpmzos25m8ivg.cloudfront.net/Documentos/631/03551929181/6310355192918111092023145609.pdf</v>
      </c>
      <c r="G1438" s="5" t="str">
        <f>HYPERLINK("https://dpmzos25m8ivg.cloudfront.net/Documentos/631/03551929181/6310355192918111092023145622.pdf","https://dpmzos25m8ivg.cloudfront.net/Documentos/631/03551929181/6310355192918111092023145622.pdf")</f>
        <v>https://dpmzos25m8ivg.cloudfront.net/Documentos/631/03551929181/6310355192918111092023145622.pdf</v>
      </c>
      <c r="H1438" s="4" t="s">
        <v>10021</v>
      </c>
    </row>
    <row r="1439" spans="1:8" x14ac:dyDescent="0.25">
      <c r="A1439" s="2" t="s">
        <v>1453</v>
      </c>
      <c r="B1439" s="3"/>
      <c r="C1439" s="3"/>
      <c r="D1439" s="3"/>
      <c r="E1439" s="4" t="str">
        <f>HYPERLINK("https://dpmzos25m8ivg.cloudfront.net/Documentos/631/03553685280/6310355368528011092023150254.pdf","https://dpmzos25m8ivg.cloudfront.net/Documentos/631/03553685280/6310355368528011092023150254.pdf")</f>
        <v>https://dpmzos25m8ivg.cloudfront.net/Documentos/631/03553685280/6310355368528011092023150254.pdf</v>
      </c>
      <c r="F1439" s="5" t="str">
        <f>HYPERLINK("https://dpmzos25m8ivg.cloudfront.net/Documentos/631/03553685280/6310355368528011092023150319.pdf","https://dpmzos25m8ivg.cloudfront.net/Documentos/631/03553685280/6310355368528011092023150319.pdf")</f>
        <v>https://dpmzos25m8ivg.cloudfront.net/Documentos/631/03553685280/6310355368528011092023150319.pdf</v>
      </c>
      <c r="G1439" s="5" t="str">
        <f>HYPERLINK("https://dpmzos25m8ivg.cloudfront.net/Documentos/631/03553685280/6310355368528011092023150345.pdf","https://dpmzos25m8ivg.cloudfront.net/Documentos/631/03553685280/6310355368528011092023150345.pdf")</f>
        <v>https://dpmzos25m8ivg.cloudfront.net/Documentos/631/03553685280/6310355368528011092023150345.pdf</v>
      </c>
      <c r="H1439" s="4" t="s">
        <v>10022</v>
      </c>
    </row>
    <row r="1440" spans="1:8" x14ac:dyDescent="0.25">
      <c r="A1440" s="2" t="s">
        <v>1454</v>
      </c>
      <c r="B1440" s="3"/>
      <c r="C1440" s="3"/>
      <c r="D1440" s="3"/>
      <c r="E1440" s="4" t="str">
        <f>HYPERLINK("https://dpmzos25m8ivg.cloudfront.net/Documentos/631/03556244276/6310355624427611092023011139.jpeg","https://dpmzos25m8ivg.cloudfront.net/Documentos/631/03556244276/6310355624427611092023011139.jpeg")</f>
        <v>https://dpmzos25m8ivg.cloudfront.net/Documentos/631/03556244276/6310355624427611092023011139.jpeg</v>
      </c>
      <c r="F1440" s="5" t="str">
        <f>HYPERLINK("https://dpmzos25m8ivg.cloudfront.net/Documentos/631/03556244276/6310355624427611092023011152.jpeg","https://dpmzos25m8ivg.cloudfront.net/Documentos/631/03556244276/6310355624427611092023011152.jpeg")</f>
        <v>https://dpmzos25m8ivg.cloudfront.net/Documentos/631/03556244276/6310355624427611092023011152.jpeg</v>
      </c>
      <c r="G1440" s="5" t="str">
        <f>HYPERLINK("https://dpmzos25m8ivg.cloudfront.net/Documentos/631/03556244276/6310355624427611092023011204.jpeg","https://dpmzos25m8ivg.cloudfront.net/Documentos/631/03556244276/6310355624427611092023011204.jpeg")</f>
        <v>https://dpmzos25m8ivg.cloudfront.net/Documentos/631/03556244276/6310355624427611092023011204.jpeg</v>
      </c>
      <c r="H1440" s="4" t="s">
        <v>10023</v>
      </c>
    </row>
    <row r="1441" spans="1:8" x14ac:dyDescent="0.25">
      <c r="A1441" s="2" t="s">
        <v>1455</v>
      </c>
      <c r="B1441" s="3"/>
      <c r="C1441" s="3"/>
      <c r="D1441" s="3"/>
      <c r="E1441" s="4" t="str">
        <f>HYPERLINK("https://dpmzos25m8ivg.cloudfront.net/Documentos/631/03557032701/6310355703270111092023103506.jpg","https://dpmzos25m8ivg.cloudfront.net/Documentos/631/03557032701/6310355703270111092023103506.jpg")</f>
        <v>https://dpmzos25m8ivg.cloudfront.net/Documentos/631/03557032701/6310355703270111092023103506.jpg</v>
      </c>
      <c r="F1441" s="5" t="str">
        <f>HYPERLINK("https://dpmzos25m8ivg.cloudfront.net/Documentos/631/03557032701/6310355703270111092023103746.jpg","https://dpmzos25m8ivg.cloudfront.net/Documentos/631/03557032701/6310355703270111092023103746.jpg")</f>
        <v>https://dpmzos25m8ivg.cloudfront.net/Documentos/631/03557032701/6310355703270111092023103746.jpg</v>
      </c>
      <c r="G1441" s="5" t="str">
        <f>HYPERLINK("https://dpmzos25m8ivg.cloudfront.net/Documentos/631/03557032701/6310355703270111092023103810.jpg","https://dpmzos25m8ivg.cloudfront.net/Documentos/631/03557032701/6310355703270111092023103810.jpg")</f>
        <v>https://dpmzos25m8ivg.cloudfront.net/Documentos/631/03557032701/6310355703270111092023103810.jpg</v>
      </c>
      <c r="H1441" s="4" t="s">
        <v>10024</v>
      </c>
    </row>
    <row r="1442" spans="1:8" x14ac:dyDescent="0.25">
      <c r="A1442" s="2" t="s">
        <v>1456</v>
      </c>
      <c r="B1442" s="3"/>
      <c r="C1442" s="3"/>
      <c r="D1442" s="3"/>
      <c r="E1442" s="4" t="str">
        <f>HYPERLINK("https://dpmzos25m8ivg.cloudfront.net/Documentos/631/03558629213/6310355862921314092023133144.jpg","https://dpmzos25m8ivg.cloudfront.net/Documentos/631/03558629213/6310355862921314092023133144.jpg")</f>
        <v>https://dpmzos25m8ivg.cloudfront.net/Documentos/631/03558629213/6310355862921314092023133144.jpg</v>
      </c>
      <c r="F1442" s="5" t="str">
        <f>HYPERLINK("https://dpmzos25m8ivg.cloudfront.net/Documentos/631/03558629213/6310355862921314092023133203.jpg","https://dpmzos25m8ivg.cloudfront.net/Documentos/631/03558629213/6310355862921314092023133203.jpg")</f>
        <v>https://dpmzos25m8ivg.cloudfront.net/Documentos/631/03558629213/6310355862921314092023133203.jpg</v>
      </c>
      <c r="G1442" s="5" t="str">
        <f>HYPERLINK("https://dpmzos25m8ivg.cloudfront.net/Documentos/631/03558629213/6310355862921314092023133215.jpg","https://dpmzos25m8ivg.cloudfront.net/Documentos/631/03558629213/6310355862921314092023133215.jpg")</f>
        <v>https://dpmzos25m8ivg.cloudfront.net/Documentos/631/03558629213/6310355862921314092023133215.jpg</v>
      </c>
      <c r="H1442" s="4" t="s">
        <v>10025</v>
      </c>
    </row>
    <row r="1443" spans="1:8" x14ac:dyDescent="0.25">
      <c r="A1443" s="2" t="s">
        <v>1457</v>
      </c>
      <c r="B1443" s="3"/>
      <c r="C1443" s="3"/>
      <c r="D1443" s="3"/>
      <c r="E1443" s="4" t="str">
        <f>HYPERLINK("https://dpmzos25m8ivg.cloudfront.net/Documentos/631/03560464358/6310356046435811092023122158.pdf","https://dpmzos25m8ivg.cloudfront.net/Documentos/631/03560464358/6310356046435811092023122158.pdf")</f>
        <v>https://dpmzos25m8ivg.cloudfront.net/Documentos/631/03560464358/6310356046435811092023122158.pdf</v>
      </c>
      <c r="F1443" s="5" t="str">
        <f>HYPERLINK("https://dpmzos25m8ivg.cloudfront.net/Documentos/631/03560464358/6310356046435811092023122208.pdf","https://dpmzos25m8ivg.cloudfront.net/Documentos/631/03560464358/6310356046435811092023122208.pdf")</f>
        <v>https://dpmzos25m8ivg.cloudfront.net/Documentos/631/03560464358/6310356046435811092023122208.pdf</v>
      </c>
      <c r="G1443" s="5" t="str">
        <f>HYPERLINK("https://dpmzos25m8ivg.cloudfront.net/Documentos/631/03560464358/6310356046435811092023122218.pdf","https://dpmzos25m8ivg.cloudfront.net/Documentos/631/03560464358/6310356046435811092023122218.pdf")</f>
        <v>https://dpmzos25m8ivg.cloudfront.net/Documentos/631/03560464358/6310356046435811092023122218.pdf</v>
      </c>
      <c r="H1443" s="4" t="s">
        <v>10026</v>
      </c>
    </row>
    <row r="1444" spans="1:8" x14ac:dyDescent="0.25">
      <c r="A1444" s="2" t="s">
        <v>1458</v>
      </c>
      <c r="B1444" s="3"/>
      <c r="C1444" s="3"/>
      <c r="D1444" s="3"/>
      <c r="E1444" s="4" t="str">
        <f>HYPERLINK("https://dpmzos25m8ivg.cloudfront.net/Documentos/631/03560487218/6310356048721807092023151023.pdf","https://dpmzos25m8ivg.cloudfront.net/Documentos/631/03560487218/6310356048721807092023151023.pdf")</f>
        <v>https://dpmzos25m8ivg.cloudfront.net/Documentos/631/03560487218/6310356048721807092023151023.pdf</v>
      </c>
      <c r="F1444" s="5" t="str">
        <f>HYPERLINK("https://dpmzos25m8ivg.cloudfront.net/Documentos/631/03560487218/6310356048721807092023151032.pdf","https://dpmzos25m8ivg.cloudfront.net/Documentos/631/03560487218/6310356048721807092023151032.pdf")</f>
        <v>https://dpmzos25m8ivg.cloudfront.net/Documentos/631/03560487218/6310356048721807092023151032.pdf</v>
      </c>
      <c r="G1444" s="5" t="str">
        <f>HYPERLINK("https://dpmzos25m8ivg.cloudfront.net/Documentos/631/03560487218/6310356048721807092023151040.pdf","https://dpmzos25m8ivg.cloudfront.net/Documentos/631/03560487218/6310356048721807092023151040.pdf")</f>
        <v>https://dpmzos25m8ivg.cloudfront.net/Documentos/631/03560487218/6310356048721807092023151040.pdf</v>
      </c>
      <c r="H1444" s="4" t="s">
        <v>10027</v>
      </c>
    </row>
    <row r="1445" spans="1:8" x14ac:dyDescent="0.25">
      <c r="A1445" s="2" t="s">
        <v>1459</v>
      </c>
      <c r="B1445" s="3"/>
      <c r="C1445" s="3"/>
      <c r="D1445" s="3"/>
      <c r="E1445" s="4" t="str">
        <f>HYPERLINK("https://dpmzos25m8ivg.cloudfront.net/Documentos/631/03560750601/6310356075060111092023171630.pdf","https://dpmzos25m8ivg.cloudfront.net/Documentos/631/03560750601/6310356075060111092023171630.pdf")</f>
        <v>https://dpmzos25m8ivg.cloudfront.net/Documentos/631/03560750601/6310356075060111092023171630.pdf</v>
      </c>
      <c r="F1445" s="5" t="str">
        <f>HYPERLINK("https://dpmzos25m8ivg.cloudfront.net/Documentos/631/03560750601/6310356075060111092023171652.pdf","https://dpmzos25m8ivg.cloudfront.net/Documentos/631/03560750601/6310356075060111092023171652.pdf")</f>
        <v>https://dpmzos25m8ivg.cloudfront.net/Documentos/631/03560750601/6310356075060111092023171652.pdf</v>
      </c>
      <c r="G1445" s="5" t="str">
        <f>HYPERLINK("https://dpmzos25m8ivg.cloudfront.net/Documentos/631/03560750601/6310356075060111092023171714.pdf","https://dpmzos25m8ivg.cloudfront.net/Documentos/631/03560750601/6310356075060111092023171714.pdf")</f>
        <v>https://dpmzos25m8ivg.cloudfront.net/Documentos/631/03560750601/6310356075060111092023171714.pdf</v>
      </c>
      <c r="H1445" s="4" t="s">
        <v>10028</v>
      </c>
    </row>
    <row r="1446" spans="1:8" x14ac:dyDescent="0.25">
      <c r="A1446" s="2" t="s">
        <v>1460</v>
      </c>
      <c r="B1446" s="3"/>
      <c r="C1446" s="3"/>
      <c r="D1446" s="3"/>
      <c r="E1446" s="4" t="str">
        <f>HYPERLINK("https://dpmzos25m8ivg.cloudfront.net/Documentos/631/03566744107/6310356674410711092023104718.pdf","https://dpmzos25m8ivg.cloudfront.net/Documentos/631/03566744107/6310356674410711092023104718.pdf")</f>
        <v>https://dpmzos25m8ivg.cloudfront.net/Documentos/631/03566744107/6310356674410711092023104718.pdf</v>
      </c>
      <c r="F1446" s="5" t="str">
        <f>HYPERLINK("https://dpmzos25m8ivg.cloudfront.net/Documentos/631/03566744107/6310356674410711092023104733.pdf","https://dpmzos25m8ivg.cloudfront.net/Documentos/631/03566744107/6310356674410711092023104733.pdf")</f>
        <v>https://dpmzos25m8ivg.cloudfront.net/Documentos/631/03566744107/6310356674410711092023104733.pdf</v>
      </c>
      <c r="G1446" s="5" t="str">
        <f>HYPERLINK("https://dpmzos25m8ivg.cloudfront.net/Documentos/631/03566744107/6310356674410711092023104745.pdf","https://dpmzos25m8ivg.cloudfront.net/Documentos/631/03566744107/6310356674410711092023104745.pdf")</f>
        <v>https://dpmzos25m8ivg.cloudfront.net/Documentos/631/03566744107/6310356674410711092023104745.pdf</v>
      </c>
      <c r="H1446" s="4" t="s">
        <v>10029</v>
      </c>
    </row>
    <row r="1447" spans="1:8" x14ac:dyDescent="0.25">
      <c r="A1447" s="2" t="s">
        <v>1461</v>
      </c>
      <c r="B1447" s="3"/>
      <c r="C1447" s="3"/>
      <c r="D1447" s="3"/>
      <c r="E1447" s="4" t="str">
        <f>HYPERLINK("https://dpmzos25m8ivg.cloudfront.net/Documentos/631/03566999601/6310356699960110092023235649.pdf","https://dpmzos25m8ivg.cloudfront.net/Documentos/631/03566999601/6310356699960110092023235649.pdf")</f>
        <v>https://dpmzos25m8ivg.cloudfront.net/Documentos/631/03566999601/6310356699960110092023235649.pdf</v>
      </c>
      <c r="F1447" s="5" t="str">
        <f>HYPERLINK("https://dpmzos25m8ivg.cloudfront.net/Documentos/631/03566999601/6310356699960110092023235703.pdf","https://dpmzos25m8ivg.cloudfront.net/Documentos/631/03566999601/6310356699960110092023235703.pdf")</f>
        <v>https://dpmzos25m8ivg.cloudfront.net/Documentos/631/03566999601/6310356699960110092023235703.pdf</v>
      </c>
      <c r="G1447" s="5" t="str">
        <f>HYPERLINK("https://dpmzos25m8ivg.cloudfront.net/Documentos/631/03566999601/6310356699960110092023235717.pdf","https://dpmzos25m8ivg.cloudfront.net/Documentos/631/03566999601/6310356699960110092023235717.pdf")</f>
        <v>https://dpmzos25m8ivg.cloudfront.net/Documentos/631/03566999601/6310356699960110092023235717.pdf</v>
      </c>
      <c r="H1447" s="4" t="s">
        <v>10030</v>
      </c>
    </row>
    <row r="1448" spans="1:8" x14ac:dyDescent="0.25">
      <c r="A1448" s="2" t="s">
        <v>1462</v>
      </c>
      <c r="B1448" s="3"/>
      <c r="C1448" s="3"/>
      <c r="D1448" s="3"/>
      <c r="E1448" s="4" t="str">
        <f>HYPERLINK("https://dpmzos25m8ivg.cloudfront.net/Documentos/631/03568480190/6310356848019007092023192730.pdf","https://dpmzos25m8ivg.cloudfront.net/Documentos/631/03568480190/6310356848019007092023192730.pdf")</f>
        <v>https://dpmzos25m8ivg.cloudfront.net/Documentos/631/03568480190/6310356848019007092023192730.pdf</v>
      </c>
      <c r="F1448" s="5" t="str">
        <f>HYPERLINK("https://dpmzos25m8ivg.cloudfront.net/Documentos/631/03568480190/6310356848019007092023192741.pdf","https://dpmzos25m8ivg.cloudfront.net/Documentos/631/03568480190/6310356848019007092023192741.pdf")</f>
        <v>https://dpmzos25m8ivg.cloudfront.net/Documentos/631/03568480190/6310356848019007092023192741.pdf</v>
      </c>
      <c r="G1448" s="5" t="str">
        <f>HYPERLINK("https://dpmzos25m8ivg.cloudfront.net/Documentos/631/03568480190/6310356848019007092023192749.pdf","https://dpmzos25m8ivg.cloudfront.net/Documentos/631/03568480190/6310356848019007092023192749.pdf")</f>
        <v>https://dpmzos25m8ivg.cloudfront.net/Documentos/631/03568480190/6310356848019007092023192749.pdf</v>
      </c>
      <c r="H1448" s="4" t="s">
        <v>10031</v>
      </c>
    </row>
    <row r="1449" spans="1:8" x14ac:dyDescent="0.25">
      <c r="A1449" s="2" t="s">
        <v>1463</v>
      </c>
      <c r="B1449" s="3"/>
      <c r="C1449" s="3"/>
      <c r="D1449" s="3"/>
      <c r="E1449" s="4" t="str">
        <f>HYPERLINK("https://dpmzos25m8ivg.cloudfront.net/Documentos/631/03570131580/6310357013158011092023155940.pdf","https://dpmzos25m8ivg.cloudfront.net/Documentos/631/03570131580/6310357013158011092023155940.pdf")</f>
        <v>https://dpmzos25m8ivg.cloudfront.net/Documentos/631/03570131580/6310357013158011092023155940.pdf</v>
      </c>
      <c r="F1449" s="5" t="str">
        <f>HYPERLINK("https://dpmzos25m8ivg.cloudfront.net/Documentos/631/03570131580/6310357013158011092023160003.pdf","https://dpmzos25m8ivg.cloudfront.net/Documentos/631/03570131580/6310357013158011092023160003.pdf")</f>
        <v>https://dpmzos25m8ivg.cloudfront.net/Documentos/631/03570131580/6310357013158011092023160003.pdf</v>
      </c>
      <c r="G1449" s="5" t="str">
        <f>HYPERLINK("https://dpmzos25m8ivg.cloudfront.net/Documentos/631/03570131580/6310357013158011092023160023.pdf","https://dpmzos25m8ivg.cloudfront.net/Documentos/631/03570131580/6310357013158011092023160023.pdf")</f>
        <v>https://dpmzos25m8ivg.cloudfront.net/Documentos/631/03570131580/6310357013158011092023160023.pdf</v>
      </c>
      <c r="H1449" s="4" t="s">
        <v>10032</v>
      </c>
    </row>
    <row r="1450" spans="1:8" x14ac:dyDescent="0.25">
      <c r="A1450" s="2" t="s">
        <v>1464</v>
      </c>
      <c r="B1450" s="3"/>
      <c r="C1450" s="3"/>
      <c r="D1450" s="3"/>
      <c r="E1450" s="4" t="str">
        <f>HYPERLINK("https://dpmzos25m8ivg.cloudfront.net/Documentos/631/03570222624/6310357022262411092023093102.pdf","https://dpmzos25m8ivg.cloudfront.net/Documentos/631/03570222624/6310357022262411092023093102.pdf")</f>
        <v>https://dpmzos25m8ivg.cloudfront.net/Documentos/631/03570222624/6310357022262411092023093102.pdf</v>
      </c>
      <c r="F1450" s="5" t="str">
        <f>HYPERLINK("https://dpmzos25m8ivg.cloudfront.net/Documentos/631/03570222624/6310357022262411092023093108.pdf","https://dpmzos25m8ivg.cloudfront.net/Documentos/631/03570222624/6310357022262411092023093108.pdf")</f>
        <v>https://dpmzos25m8ivg.cloudfront.net/Documentos/631/03570222624/6310357022262411092023093108.pdf</v>
      </c>
      <c r="G1450" s="5" t="str">
        <f>HYPERLINK("https://dpmzos25m8ivg.cloudfront.net/Documentos/631/03570222624/6310357022262411092023093117.pdf","https://dpmzos25m8ivg.cloudfront.net/Documentos/631/03570222624/6310357022262411092023093117.pdf")</f>
        <v>https://dpmzos25m8ivg.cloudfront.net/Documentos/631/03570222624/6310357022262411092023093117.pdf</v>
      </c>
      <c r="H1450" s="4" t="s">
        <v>10033</v>
      </c>
    </row>
    <row r="1451" spans="1:8" x14ac:dyDescent="0.25">
      <c r="A1451" s="2" t="s">
        <v>1465</v>
      </c>
      <c r="B1451" s="3"/>
      <c r="C1451" s="3"/>
      <c r="D1451" s="3"/>
      <c r="E1451" s="4" t="str">
        <f>HYPERLINK("https://dpmzos25m8ivg.cloudfront.net/Documentos/631/03574973250/6310357497325011092023161440.pdf","https://dpmzos25m8ivg.cloudfront.net/Documentos/631/03574973250/6310357497325011092023161440.pdf")</f>
        <v>https://dpmzos25m8ivg.cloudfront.net/Documentos/631/03574973250/6310357497325011092023161440.pdf</v>
      </c>
      <c r="F1451" s="5" t="str">
        <f>HYPERLINK("https://dpmzos25m8ivg.cloudfront.net/Documentos/631/03574973250/6310357497325011092023161459.pdf","https://dpmzos25m8ivg.cloudfront.net/Documentos/631/03574973250/6310357497325011092023161459.pdf")</f>
        <v>https://dpmzos25m8ivg.cloudfront.net/Documentos/631/03574973250/6310357497325011092023161459.pdf</v>
      </c>
      <c r="G1451" s="5" t="str">
        <f>HYPERLINK("https://dpmzos25m8ivg.cloudfront.net/Documentos/631/03574973250/6310357497325011092023161519.pdf","https://dpmzos25m8ivg.cloudfront.net/Documentos/631/03574973250/6310357497325011092023161519.pdf")</f>
        <v>https://dpmzos25m8ivg.cloudfront.net/Documentos/631/03574973250/6310357497325011092023161519.pdf</v>
      </c>
      <c r="H1451" s="4" t="s">
        <v>10034</v>
      </c>
    </row>
    <row r="1452" spans="1:8" x14ac:dyDescent="0.25">
      <c r="A1452" s="2" t="s">
        <v>1466</v>
      </c>
      <c r="B1452" s="3"/>
      <c r="C1452" s="3"/>
      <c r="D1452" s="3"/>
      <c r="E1452" s="4" t="str">
        <f>HYPERLINK("https://dpmzos25m8ivg.cloudfront.net/Documentos/631/03576761306/6310357676130613092023154119.jpeg","https://dpmzos25m8ivg.cloudfront.net/Documentos/631/03576761306/6310357676130613092023154119.jpeg")</f>
        <v>https://dpmzos25m8ivg.cloudfront.net/Documentos/631/03576761306/6310357676130613092023154119.jpeg</v>
      </c>
      <c r="F1452" s="5" t="str">
        <f>HYPERLINK("https://dpmzos25m8ivg.cloudfront.net/Documentos/631/03576761306/6310357676130613092023153929.jpeg","https://dpmzos25m8ivg.cloudfront.net/Documentos/631/03576761306/6310357676130613092023153929.jpeg")</f>
        <v>https://dpmzos25m8ivg.cloudfront.net/Documentos/631/03576761306/6310357676130613092023153929.jpeg</v>
      </c>
      <c r="G1452" s="5" t="str">
        <f>HYPERLINK("https://dpmzos25m8ivg.cloudfront.net/Documentos/631/03576761306/6310357676130613092023153943.jpeg","https://dpmzos25m8ivg.cloudfront.net/Documentos/631/03576761306/6310357676130613092023153943.jpeg")</f>
        <v>https://dpmzos25m8ivg.cloudfront.net/Documentos/631/03576761306/6310357676130613092023153943.jpeg</v>
      </c>
      <c r="H1452" s="4" t="s">
        <v>10035</v>
      </c>
    </row>
    <row r="1453" spans="1:8" x14ac:dyDescent="0.25">
      <c r="A1453" s="2" t="s">
        <v>1467</v>
      </c>
      <c r="B1453" s="3" t="s">
        <v>312</v>
      </c>
      <c r="C1453" s="3"/>
      <c r="D1453" s="3"/>
      <c r="E1453" s="4" t="str">
        <f>HYPERLINK("https://dpmzos25m8ivg.cloudfront.net/Documentos/631/03580739522/6310358073952206092023224154.pdf","https://dpmzos25m8ivg.cloudfront.net/Documentos/631/03580739522/6310358073952206092023224154.pdf")</f>
        <v>https://dpmzos25m8ivg.cloudfront.net/Documentos/631/03580739522/6310358073952206092023224154.pdf</v>
      </c>
      <c r="F1453" s="5" t="str">
        <f>HYPERLINK("https://dpmzos25m8ivg.cloudfront.net/Documentos/631/03580739522/6310358073952206092023224220.pdf","https://dpmzos25m8ivg.cloudfront.net/Documentos/631/03580739522/6310358073952206092023224220.pdf")</f>
        <v>https://dpmzos25m8ivg.cloudfront.net/Documentos/631/03580739522/6310358073952206092023224220.pdf</v>
      </c>
      <c r="G1453" s="5" t="str">
        <f>HYPERLINK("https://dpmzos25m8ivg.cloudfront.net/Documentos/631/03580739522/6310358073952206092023224250.pdf","https://dpmzos25m8ivg.cloudfront.net/Documentos/631/03580739522/6310358073952206092023224250.pdf")</f>
        <v>https://dpmzos25m8ivg.cloudfront.net/Documentos/631/03580739522/6310358073952206092023224250.pdf</v>
      </c>
      <c r="H1453" s="4" t="s">
        <v>10036</v>
      </c>
    </row>
    <row r="1454" spans="1:8" x14ac:dyDescent="0.25">
      <c r="A1454" s="2" t="s">
        <v>1468</v>
      </c>
      <c r="B1454" s="3"/>
      <c r="C1454" s="3"/>
      <c r="D1454" s="3"/>
      <c r="E1454" s="4" t="str">
        <f>HYPERLINK("https://dpmzos25m8ivg.cloudfront.net/Documentos/631/03582424103/6310358242410307092023100130.jpg","https://dpmzos25m8ivg.cloudfront.net/Documentos/631/03582424103/6310358242410307092023100130.jpg")</f>
        <v>https://dpmzos25m8ivg.cloudfront.net/Documentos/631/03582424103/6310358242410307092023100130.jpg</v>
      </c>
      <c r="F1454" s="5" t="str">
        <f>HYPERLINK("https://dpmzos25m8ivg.cloudfront.net/Documentos/631/03582424103/6310358242410307092023100217.jpg","https://dpmzos25m8ivg.cloudfront.net/Documentos/631/03582424103/6310358242410307092023100217.jpg")</f>
        <v>https://dpmzos25m8ivg.cloudfront.net/Documentos/631/03582424103/6310358242410307092023100217.jpg</v>
      </c>
      <c r="G1454" s="5" t="str">
        <f>HYPERLINK("https://dpmzos25m8ivg.cloudfront.net/Documentos/631/03582424103/6310358242410307092023100242.jpg","https://dpmzos25m8ivg.cloudfront.net/Documentos/631/03582424103/6310358242410307092023100242.jpg")</f>
        <v>https://dpmzos25m8ivg.cloudfront.net/Documentos/631/03582424103/6310358242410307092023100242.jpg</v>
      </c>
      <c r="H1454" s="4" t="s">
        <v>10037</v>
      </c>
    </row>
    <row r="1455" spans="1:8" x14ac:dyDescent="0.25">
      <c r="A1455" s="2" t="s">
        <v>1469</v>
      </c>
      <c r="B1455" s="3" t="s">
        <v>23</v>
      </c>
      <c r="C1455" s="3"/>
      <c r="D1455" s="3"/>
      <c r="E1455" s="4" t="str">
        <f>HYPERLINK("https://dpmzos25m8ivg.cloudfront.net/Documentos/631/03583985176/6310358398517611092023154515.pdf","https://dpmzos25m8ivg.cloudfront.net/Documentos/631/03583985176/6310358398517611092023154515.pdf")</f>
        <v>https://dpmzos25m8ivg.cloudfront.net/Documentos/631/03583985176/6310358398517611092023154515.pdf</v>
      </c>
      <c r="F1455" s="5" t="str">
        <f>HYPERLINK("https://dpmzos25m8ivg.cloudfront.net/Documentos/631/03583985176/6310358398517611092023154533.pdf","https://dpmzos25m8ivg.cloudfront.net/Documentos/631/03583985176/6310358398517611092023154533.pdf")</f>
        <v>https://dpmzos25m8ivg.cloudfront.net/Documentos/631/03583985176/6310358398517611092023154533.pdf</v>
      </c>
      <c r="G1455" s="5" t="str">
        <f>HYPERLINK("https://dpmzos25m8ivg.cloudfront.net/Documentos/631/03583985176/6310358398517611092023154551.pdf","https://dpmzos25m8ivg.cloudfront.net/Documentos/631/03583985176/6310358398517611092023154551.pdf")</f>
        <v>https://dpmzos25m8ivg.cloudfront.net/Documentos/631/03583985176/6310358398517611092023154551.pdf</v>
      </c>
      <c r="H1455" s="4" t="s">
        <v>10038</v>
      </c>
    </row>
    <row r="1456" spans="1:8" x14ac:dyDescent="0.25">
      <c r="A1456" s="2" t="s">
        <v>1470</v>
      </c>
      <c r="B1456" s="3" t="s">
        <v>312</v>
      </c>
      <c r="C1456" s="3"/>
      <c r="D1456" s="3"/>
      <c r="E1456" s="4" t="str">
        <f>HYPERLINK("https://dpmzos25m8ivg.cloudfront.net/Documentos/631/03584303303/6310358430330311092023161231.pdf","https://dpmzos25m8ivg.cloudfront.net/Documentos/631/03584303303/6310358430330311092023161231.pdf")</f>
        <v>https://dpmzos25m8ivg.cloudfront.net/Documentos/631/03584303303/6310358430330311092023161231.pdf</v>
      </c>
      <c r="F1456" s="5" t="str">
        <f>HYPERLINK("https://dpmzos25m8ivg.cloudfront.net/Documentos/631/03584303303/6310358430330311092023161214.pdf","https://dpmzos25m8ivg.cloudfront.net/Documentos/631/03584303303/6310358430330311092023161214.pdf")</f>
        <v>https://dpmzos25m8ivg.cloudfront.net/Documentos/631/03584303303/6310358430330311092023161214.pdf</v>
      </c>
      <c r="G1456" s="5" t="str">
        <f>HYPERLINK("https://dpmzos25m8ivg.cloudfront.net/Documentos/631/03584303303/6310358430330311092023161159.pdf","https://dpmzos25m8ivg.cloudfront.net/Documentos/631/03584303303/6310358430330311092023161159.pdf")</f>
        <v>https://dpmzos25m8ivg.cloudfront.net/Documentos/631/03584303303/6310358430330311092023161159.pdf</v>
      </c>
      <c r="H1456" s="4" t="s">
        <v>10039</v>
      </c>
    </row>
    <row r="1457" spans="1:8" x14ac:dyDescent="0.25">
      <c r="A1457" s="2" t="s">
        <v>1471</v>
      </c>
      <c r="B1457" s="3"/>
      <c r="C1457" s="3"/>
      <c r="D1457" s="3"/>
      <c r="E1457" s="4" t="str">
        <f>HYPERLINK("https://dpmzos25m8ivg.cloudfront.net/Documentos/631/03584848121/6310358484812106092023162836.pdf","https://dpmzos25m8ivg.cloudfront.net/Documentos/631/03584848121/6310358484812106092023162836.pdf")</f>
        <v>https://dpmzos25m8ivg.cloudfront.net/Documentos/631/03584848121/6310358484812106092023162836.pdf</v>
      </c>
      <c r="F1457" s="5" t="str">
        <f>HYPERLINK("https://dpmzos25m8ivg.cloudfront.net/Documentos/631/03584848121/6310358484812106092023162914.pdf","https://dpmzos25m8ivg.cloudfront.net/Documentos/631/03584848121/6310358484812106092023162914.pdf")</f>
        <v>https://dpmzos25m8ivg.cloudfront.net/Documentos/631/03584848121/6310358484812106092023162914.pdf</v>
      </c>
      <c r="G1457" s="5" t="str">
        <f>HYPERLINK("https://dpmzos25m8ivg.cloudfront.net/Documentos/631/03584848121/6310358484812106092023162942.pdf","https://dpmzos25m8ivg.cloudfront.net/Documentos/631/03584848121/6310358484812106092023162942.pdf")</f>
        <v>https://dpmzos25m8ivg.cloudfront.net/Documentos/631/03584848121/6310358484812106092023162942.pdf</v>
      </c>
      <c r="H1457" s="4" t="s">
        <v>10040</v>
      </c>
    </row>
    <row r="1458" spans="1:8" x14ac:dyDescent="0.25">
      <c r="A1458" s="2" t="s">
        <v>1472</v>
      </c>
      <c r="B1458" s="3"/>
      <c r="C1458" s="3"/>
      <c r="D1458" s="3"/>
      <c r="E1458" s="4" t="str">
        <f>HYPERLINK("https://dpmzos25m8ivg.cloudfront.net/Documentos/631/03589718536/6310358971853606092023134656.jpg","https://dpmzos25m8ivg.cloudfront.net/Documentos/631/03589718536/6310358971853606092023134656.jpg")</f>
        <v>https://dpmzos25m8ivg.cloudfront.net/Documentos/631/03589718536/6310358971853606092023134656.jpg</v>
      </c>
      <c r="F1458" s="5" t="str">
        <f>HYPERLINK("https://dpmzos25m8ivg.cloudfront.net/Documentos/631/03589718536/6310358971853606092023134704.jpg","https://dpmzos25m8ivg.cloudfront.net/Documentos/631/03589718536/6310358971853606092023134704.jpg")</f>
        <v>https://dpmzos25m8ivg.cloudfront.net/Documentos/631/03589718536/6310358971853606092023134704.jpg</v>
      </c>
      <c r="G1458" s="5" t="str">
        <f>HYPERLINK("https://dpmzos25m8ivg.cloudfront.net/Documentos/631/03589718536/6310358971853606092023134712.jpg","https://dpmzos25m8ivg.cloudfront.net/Documentos/631/03589718536/6310358971853606092023134712.jpg")</f>
        <v>https://dpmzos25m8ivg.cloudfront.net/Documentos/631/03589718536/6310358971853606092023134712.jpg</v>
      </c>
      <c r="H1458" s="4" t="s">
        <v>10041</v>
      </c>
    </row>
    <row r="1459" spans="1:8" x14ac:dyDescent="0.25">
      <c r="A1459" s="2" t="s">
        <v>1473</v>
      </c>
      <c r="B1459" s="3"/>
      <c r="C1459" s="3"/>
      <c r="D1459" s="3"/>
      <c r="E1459" s="4" t="str">
        <f>HYPERLINK("https://dpmzos25m8ivg.cloudfront.net/Documentos/631/03590030526/6310359003052611092023124317.pdf","https://dpmzos25m8ivg.cloudfront.net/Documentos/631/03590030526/6310359003052611092023124317.pdf")</f>
        <v>https://dpmzos25m8ivg.cloudfront.net/Documentos/631/03590030526/6310359003052611092023124317.pdf</v>
      </c>
      <c r="F1459" s="5" t="str">
        <f>HYPERLINK("https://dpmzos25m8ivg.cloudfront.net/Documentos/631/03590030526/6310359003052611092023124340.pdf","https://dpmzos25m8ivg.cloudfront.net/Documentos/631/03590030526/6310359003052611092023124340.pdf")</f>
        <v>https://dpmzos25m8ivg.cloudfront.net/Documentos/631/03590030526/6310359003052611092023124340.pdf</v>
      </c>
      <c r="G1459" s="5" t="str">
        <f>HYPERLINK("https://dpmzos25m8ivg.cloudfront.net/Documentos/631/03590030526/6310359003052611092023124445.pdf","https://dpmzos25m8ivg.cloudfront.net/Documentos/631/03590030526/6310359003052611092023124445.pdf")</f>
        <v>https://dpmzos25m8ivg.cloudfront.net/Documentos/631/03590030526/6310359003052611092023124445.pdf</v>
      </c>
      <c r="H1459" s="4" t="s">
        <v>10042</v>
      </c>
    </row>
    <row r="1460" spans="1:8" x14ac:dyDescent="0.25">
      <c r="A1460" s="2" t="s">
        <v>1474</v>
      </c>
      <c r="B1460" s="3"/>
      <c r="C1460" s="3"/>
      <c r="D1460" s="3"/>
      <c r="E1460" s="4" t="str">
        <f>HYPERLINK("https://dpmzos25m8ivg.cloudfront.net/Documentos/631/03592362437/6310359236243708092023153937.pdf","https://dpmzos25m8ivg.cloudfront.net/Documentos/631/03592362437/6310359236243708092023153937.pdf")</f>
        <v>https://dpmzos25m8ivg.cloudfront.net/Documentos/631/03592362437/6310359236243708092023153937.pdf</v>
      </c>
      <c r="F1460" s="5" t="str">
        <f>HYPERLINK("https://dpmzos25m8ivg.cloudfront.net/Documentos/631/03592362437/6310359236243708092023153956.pdf","https://dpmzos25m8ivg.cloudfront.net/Documentos/631/03592362437/6310359236243708092023153956.pdf")</f>
        <v>https://dpmzos25m8ivg.cloudfront.net/Documentos/631/03592362437/6310359236243708092023153956.pdf</v>
      </c>
      <c r="G1460" s="5" t="str">
        <f>HYPERLINK("https://dpmzos25m8ivg.cloudfront.net/Documentos/631/03592362437/6310359236243708092023154014.pdf","https://dpmzos25m8ivg.cloudfront.net/Documentos/631/03592362437/6310359236243708092023154014.pdf")</f>
        <v>https://dpmzos25m8ivg.cloudfront.net/Documentos/631/03592362437/6310359236243708092023154014.pdf</v>
      </c>
      <c r="H1460" s="4" t="s">
        <v>10043</v>
      </c>
    </row>
    <row r="1461" spans="1:8" x14ac:dyDescent="0.25">
      <c r="A1461" s="2" t="s">
        <v>1475</v>
      </c>
      <c r="B1461" s="3"/>
      <c r="C1461" s="3"/>
      <c r="D1461" s="3"/>
      <c r="E1461" s="4" t="str">
        <f>HYPERLINK("https://dpmzos25m8ivg.cloudfront.net/Documentos/631/03592810367/6310359281036711092023111112.pdf","https://dpmzos25m8ivg.cloudfront.net/Documentos/631/03592810367/6310359281036711092023111112.pdf")</f>
        <v>https://dpmzos25m8ivg.cloudfront.net/Documentos/631/03592810367/6310359281036711092023111112.pdf</v>
      </c>
      <c r="F1461" s="5" t="str">
        <f>HYPERLINK("https://dpmzos25m8ivg.cloudfront.net/Documentos/631/03592810367/6310359281036711092023111131.pdf","https://dpmzos25m8ivg.cloudfront.net/Documentos/631/03592810367/6310359281036711092023111131.pdf")</f>
        <v>https://dpmzos25m8ivg.cloudfront.net/Documentos/631/03592810367/6310359281036711092023111131.pdf</v>
      </c>
      <c r="G1461" s="5" t="str">
        <f>HYPERLINK("https://dpmzos25m8ivg.cloudfront.net/Documentos/631/03592810367/6310359281036711092023111148.pdf","https://dpmzos25m8ivg.cloudfront.net/Documentos/631/03592810367/6310359281036711092023111148.pdf")</f>
        <v>https://dpmzos25m8ivg.cloudfront.net/Documentos/631/03592810367/6310359281036711092023111148.pdf</v>
      </c>
      <c r="H1461" s="4" t="s">
        <v>10044</v>
      </c>
    </row>
    <row r="1462" spans="1:8" x14ac:dyDescent="0.25">
      <c r="A1462" s="2" t="s">
        <v>1476</v>
      </c>
      <c r="B1462" s="3"/>
      <c r="C1462" s="3"/>
      <c r="D1462" s="3"/>
      <c r="E1462" s="4" t="str">
        <f>HYPERLINK("https://dpmzos25m8ivg.cloudfront.net/Documentos/631/03594744116/6310359474411611092023134603.pdf","https://dpmzos25m8ivg.cloudfront.net/Documentos/631/03594744116/6310359474411611092023134603.pdf")</f>
        <v>https://dpmzos25m8ivg.cloudfront.net/Documentos/631/03594744116/6310359474411611092023134603.pdf</v>
      </c>
      <c r="F1462" s="5" t="str">
        <f>HYPERLINK("https://dpmzos25m8ivg.cloudfront.net/Documentos/631/03594744116/6310359474411611092023134638.pdf","https://dpmzos25m8ivg.cloudfront.net/Documentos/631/03594744116/6310359474411611092023134638.pdf")</f>
        <v>https://dpmzos25m8ivg.cloudfront.net/Documentos/631/03594744116/6310359474411611092023134638.pdf</v>
      </c>
      <c r="G1462" s="5" t="str">
        <f>HYPERLINK("https://dpmzos25m8ivg.cloudfront.net/Documentos/631/03594744116/6310359474411611092023134649.pdf","https://dpmzos25m8ivg.cloudfront.net/Documentos/631/03594744116/6310359474411611092023134649.pdf")</f>
        <v>https://dpmzos25m8ivg.cloudfront.net/Documentos/631/03594744116/6310359474411611092023134649.pdf</v>
      </c>
      <c r="H1462" s="4" t="s">
        <v>10045</v>
      </c>
    </row>
    <row r="1463" spans="1:8" x14ac:dyDescent="0.25">
      <c r="A1463" s="2" t="s">
        <v>1477</v>
      </c>
      <c r="B1463" s="3"/>
      <c r="C1463" s="3"/>
      <c r="D1463" s="3"/>
      <c r="E1463" s="4" t="str">
        <f>HYPERLINK("https://dpmzos25m8ivg.cloudfront.net/Documentos/631/03597200303/6310359720030311092023131959.pdf","https://dpmzos25m8ivg.cloudfront.net/Documentos/631/03597200303/6310359720030311092023131959.pdf")</f>
        <v>https://dpmzos25m8ivg.cloudfront.net/Documentos/631/03597200303/6310359720030311092023131959.pdf</v>
      </c>
      <c r="F1463" s="5" t="str">
        <f>HYPERLINK("https://dpmzos25m8ivg.cloudfront.net/Documentos/631/03597200303/6310359720030311092023132007.pdf","https://dpmzos25m8ivg.cloudfront.net/Documentos/631/03597200303/6310359720030311092023132007.pdf")</f>
        <v>https://dpmzos25m8ivg.cloudfront.net/Documentos/631/03597200303/6310359720030311092023132007.pdf</v>
      </c>
      <c r="G1463" s="5" t="str">
        <f>HYPERLINK("https://dpmzos25m8ivg.cloudfront.net/Documentos/631/03597200303/6310359720030311092023132016.pdf","https://dpmzos25m8ivg.cloudfront.net/Documentos/631/03597200303/6310359720030311092023132016.pdf")</f>
        <v>https://dpmzos25m8ivg.cloudfront.net/Documentos/631/03597200303/6310359720030311092023132016.pdf</v>
      </c>
      <c r="H1463" s="4" t="s">
        <v>10046</v>
      </c>
    </row>
    <row r="1464" spans="1:8" x14ac:dyDescent="0.25">
      <c r="A1464" s="2" t="s">
        <v>1478</v>
      </c>
      <c r="B1464" s="3"/>
      <c r="C1464" s="3"/>
      <c r="D1464" s="3"/>
      <c r="E1464" s="4" t="str">
        <f>HYPERLINK("https://dpmzos25m8ivg.cloudfront.net/Documentos/631/03599170541/6310359917054108092023195602.pdf","https://dpmzos25m8ivg.cloudfront.net/Documentos/631/03599170541/6310359917054108092023195602.pdf")</f>
        <v>https://dpmzos25m8ivg.cloudfront.net/Documentos/631/03599170541/6310359917054108092023195602.pdf</v>
      </c>
      <c r="F1464" s="5" t="str">
        <f>HYPERLINK("https://dpmzos25m8ivg.cloudfront.net/Documentos/631/03599170541/6310359917054108092023195625.pdf","https://dpmzos25m8ivg.cloudfront.net/Documentos/631/03599170541/6310359917054108092023195625.pdf")</f>
        <v>https://dpmzos25m8ivg.cloudfront.net/Documentos/631/03599170541/6310359917054108092023195625.pdf</v>
      </c>
      <c r="G1464" s="5" t="str">
        <f>HYPERLINK("https://dpmzos25m8ivg.cloudfront.net/Documentos/631/03599170541/6310359917054108092023195639.pdf","https://dpmzos25m8ivg.cloudfront.net/Documentos/631/03599170541/6310359917054108092023195639.pdf")</f>
        <v>https://dpmzos25m8ivg.cloudfront.net/Documentos/631/03599170541/6310359917054108092023195639.pdf</v>
      </c>
      <c r="H1464" s="4" t="s">
        <v>10047</v>
      </c>
    </row>
    <row r="1465" spans="1:8" x14ac:dyDescent="0.25">
      <c r="A1465" s="2" t="s">
        <v>1479</v>
      </c>
      <c r="B1465" s="3"/>
      <c r="C1465" s="3"/>
      <c r="D1465" s="3"/>
      <c r="E1465" s="4" t="str">
        <f>HYPERLINK("https://dpmzos25m8ivg.cloudfront.net/Documentos/631/03607417547/6310360741754705092023192016.jpeg","https://dpmzos25m8ivg.cloudfront.net/Documentos/631/03607417547/6310360741754705092023192016.jpeg")</f>
        <v>https://dpmzos25m8ivg.cloudfront.net/Documentos/631/03607417547/6310360741754705092023192016.jpeg</v>
      </c>
      <c r="F1465" s="5" t="str">
        <f>HYPERLINK("https://dpmzos25m8ivg.cloudfront.net/Documentos/631/03607417547/6310360741754705092023192030.jpeg","https://dpmzos25m8ivg.cloudfront.net/Documentos/631/03607417547/6310360741754705092023192030.jpeg")</f>
        <v>https://dpmzos25m8ivg.cloudfront.net/Documentos/631/03607417547/6310360741754705092023192030.jpeg</v>
      </c>
      <c r="G1465" s="5" t="str">
        <f>HYPERLINK("https://dpmzos25m8ivg.cloudfront.net/Documentos/631/03607417547/6310360741754705092023192048.jpeg","https://dpmzos25m8ivg.cloudfront.net/Documentos/631/03607417547/6310360741754705092023192048.jpeg")</f>
        <v>https://dpmzos25m8ivg.cloudfront.net/Documentos/631/03607417547/6310360741754705092023192048.jpeg</v>
      </c>
      <c r="H1465" s="4" t="s">
        <v>10048</v>
      </c>
    </row>
    <row r="1466" spans="1:8" x14ac:dyDescent="0.25">
      <c r="A1466" s="2" t="s">
        <v>1480</v>
      </c>
      <c r="B1466" s="3"/>
      <c r="C1466" s="3"/>
      <c r="D1466" s="3"/>
      <c r="E1466" s="4" t="str">
        <f>HYPERLINK("https://dpmzos25m8ivg.cloudfront.net/Documentos/631/03608230254/6310360823025411092023163627.pdf","https://dpmzos25m8ivg.cloudfront.net/Documentos/631/03608230254/6310360823025411092023163627.pdf")</f>
        <v>https://dpmzos25m8ivg.cloudfront.net/Documentos/631/03608230254/6310360823025411092023163627.pdf</v>
      </c>
      <c r="F1466" s="5" t="str">
        <f>HYPERLINK("https://dpmzos25m8ivg.cloudfront.net/Documentos/631/03608230254/6310360823025411092023164027.pdf","https://dpmzos25m8ivg.cloudfront.net/Documentos/631/03608230254/6310360823025411092023164027.pdf")</f>
        <v>https://dpmzos25m8ivg.cloudfront.net/Documentos/631/03608230254/6310360823025411092023164027.pdf</v>
      </c>
      <c r="G1466" s="5" t="str">
        <f>HYPERLINK("https://dpmzos25m8ivg.cloudfront.net/Documentos/631/03608230254/6310360823025411092023164040.pdf","https://dpmzos25m8ivg.cloudfront.net/Documentos/631/03608230254/6310360823025411092023164040.pdf")</f>
        <v>https://dpmzos25m8ivg.cloudfront.net/Documentos/631/03608230254/6310360823025411092023164040.pdf</v>
      </c>
      <c r="H1466" s="4" t="s">
        <v>10049</v>
      </c>
    </row>
    <row r="1467" spans="1:8" x14ac:dyDescent="0.25">
      <c r="A1467" s="2" t="s">
        <v>1481</v>
      </c>
      <c r="B1467" s="3"/>
      <c r="C1467" s="3"/>
      <c r="D1467" s="3"/>
      <c r="E1467" s="4" t="str">
        <f>HYPERLINK("https://dpmzos25m8ivg.cloudfront.net/Documentos/631/03608968393/6310360896839305092023235009.jpg","https://dpmzos25m8ivg.cloudfront.net/Documentos/631/03608968393/6310360896839305092023235009.jpg")</f>
        <v>https://dpmzos25m8ivg.cloudfront.net/Documentos/631/03608968393/6310360896839305092023235009.jpg</v>
      </c>
      <c r="F1467" s="5" t="str">
        <f>HYPERLINK("https://dpmzos25m8ivg.cloudfront.net/Documentos/631/03608968393/6310360896839305092023235212.jpg","https://dpmzos25m8ivg.cloudfront.net/Documentos/631/03608968393/6310360896839305092023235212.jpg")</f>
        <v>https://dpmzos25m8ivg.cloudfront.net/Documentos/631/03608968393/6310360896839305092023235212.jpg</v>
      </c>
      <c r="G1467" s="5" t="str">
        <f>HYPERLINK("https://dpmzos25m8ivg.cloudfront.net/Documentos/631/03608968393/6310360896839305092023235226.jpg","https://dpmzos25m8ivg.cloudfront.net/Documentos/631/03608968393/6310360896839305092023235226.jpg")</f>
        <v>https://dpmzos25m8ivg.cloudfront.net/Documentos/631/03608968393/6310360896839305092023235226.jpg</v>
      </c>
      <c r="H1467" s="4" t="s">
        <v>10050</v>
      </c>
    </row>
    <row r="1468" spans="1:8" x14ac:dyDescent="0.25">
      <c r="A1468" s="2" t="s">
        <v>1482</v>
      </c>
      <c r="B1468" s="3"/>
      <c r="C1468" s="3"/>
      <c r="D1468" s="3"/>
      <c r="E1468" s="4" t="str">
        <f>HYPERLINK("https://dpmzos25m8ivg.cloudfront.net/Documentos/631/03609067535/6310360906753511092023132625.pdf","https://dpmzos25m8ivg.cloudfront.net/Documentos/631/03609067535/6310360906753511092023132625.pdf")</f>
        <v>https://dpmzos25m8ivg.cloudfront.net/Documentos/631/03609067535/6310360906753511092023132625.pdf</v>
      </c>
      <c r="F1468" s="5" t="str">
        <f>HYPERLINK("https://dpmzos25m8ivg.cloudfront.net/Documentos/631/03609067535/6310360906753511092023132649.pdf","https://dpmzos25m8ivg.cloudfront.net/Documentos/631/03609067535/6310360906753511092023132649.pdf")</f>
        <v>https://dpmzos25m8ivg.cloudfront.net/Documentos/631/03609067535/6310360906753511092023132649.pdf</v>
      </c>
      <c r="G1468" s="5" t="str">
        <f>HYPERLINK("https://dpmzos25m8ivg.cloudfront.net/Documentos/631/03609067535/6310360906753511092023132736.pdf","https://dpmzos25m8ivg.cloudfront.net/Documentos/631/03609067535/6310360906753511092023132736.pdf")</f>
        <v>https://dpmzos25m8ivg.cloudfront.net/Documentos/631/03609067535/6310360906753511092023132736.pdf</v>
      </c>
      <c r="H1468" s="4" t="s">
        <v>10051</v>
      </c>
    </row>
    <row r="1469" spans="1:8" x14ac:dyDescent="0.25">
      <c r="A1469" s="2" t="s">
        <v>1483</v>
      </c>
      <c r="B1469" s="3"/>
      <c r="C1469" s="3"/>
      <c r="D1469" s="3"/>
      <c r="E1469" s="4" t="str">
        <f>HYPERLINK("https://dpmzos25m8ivg.cloudfront.net/Documentos/631/03609679301/6310360967930111092023133947.pdf","https://dpmzos25m8ivg.cloudfront.net/Documentos/631/03609679301/6310360967930111092023133947.pdf")</f>
        <v>https://dpmzos25m8ivg.cloudfront.net/Documentos/631/03609679301/6310360967930111092023133947.pdf</v>
      </c>
      <c r="F1469" s="5" t="str">
        <f>HYPERLINK("https://dpmzos25m8ivg.cloudfront.net/Documentos/631/03609679301/6310360967930111092023133959.pdf","https://dpmzos25m8ivg.cloudfront.net/Documentos/631/03609679301/6310360967930111092023133959.pdf")</f>
        <v>https://dpmzos25m8ivg.cloudfront.net/Documentos/631/03609679301/6310360967930111092023133959.pdf</v>
      </c>
      <c r="G1469" s="5" t="str">
        <f>HYPERLINK("https://dpmzos25m8ivg.cloudfront.net/Documentos/631/03609679301/6310360967930111092023134012.pdf","https://dpmzos25m8ivg.cloudfront.net/Documentos/631/03609679301/6310360967930111092023134012.pdf")</f>
        <v>https://dpmzos25m8ivg.cloudfront.net/Documentos/631/03609679301/6310360967930111092023134012.pdf</v>
      </c>
      <c r="H1469" s="4" t="s">
        <v>10052</v>
      </c>
    </row>
    <row r="1470" spans="1:8" x14ac:dyDescent="0.25">
      <c r="A1470" s="2" t="s">
        <v>1484</v>
      </c>
      <c r="B1470" s="3"/>
      <c r="C1470" s="3"/>
      <c r="D1470" s="3"/>
      <c r="E1470" s="4" t="str">
        <f>HYPERLINK("https://dpmzos25m8ivg.cloudfront.net/Documentos/631/03610502240/6310361050224011092023165729.jpg","https://dpmzos25m8ivg.cloudfront.net/Documentos/631/03610502240/6310361050224011092023165729.jpg")</f>
        <v>https://dpmzos25m8ivg.cloudfront.net/Documentos/631/03610502240/6310361050224011092023165729.jpg</v>
      </c>
      <c r="F1470" s="5" t="str">
        <f>HYPERLINK("https://dpmzos25m8ivg.cloudfront.net/Documentos/631/03610502240/6310361050224011092023165716.jpg","https://dpmzos25m8ivg.cloudfront.net/Documentos/631/03610502240/6310361050224011092023165716.jpg")</f>
        <v>https://dpmzos25m8ivg.cloudfront.net/Documentos/631/03610502240/6310361050224011092023165716.jpg</v>
      </c>
      <c r="G1470" s="5" t="str">
        <f>HYPERLINK("https://dpmzos25m8ivg.cloudfront.net/Documentos/631/03610502240/6310361050224011092023165740.jpg","https://dpmzos25m8ivg.cloudfront.net/Documentos/631/03610502240/6310361050224011092023165740.jpg")</f>
        <v>https://dpmzos25m8ivg.cloudfront.net/Documentos/631/03610502240/6310361050224011092023165740.jpg</v>
      </c>
      <c r="H1470" s="4" t="s">
        <v>10053</v>
      </c>
    </row>
    <row r="1471" spans="1:8" x14ac:dyDescent="0.25">
      <c r="A1471" s="2" t="s">
        <v>1485</v>
      </c>
      <c r="B1471" s="3"/>
      <c r="C1471" s="3"/>
      <c r="D1471" s="3"/>
      <c r="E1471" s="4" t="str">
        <f>HYPERLINK("https://dpmzos25m8ivg.cloudfront.net/Documentos/631/03612916122/6310361291612214092023015956.pdf","https://dpmzos25m8ivg.cloudfront.net/Documentos/631/03612916122/6310361291612214092023015956.pdf")</f>
        <v>https://dpmzos25m8ivg.cloudfront.net/Documentos/631/03612916122/6310361291612214092023015956.pdf</v>
      </c>
      <c r="F1471" s="5" t="str">
        <f>HYPERLINK("https://dpmzos25m8ivg.cloudfront.net/Documentos/631/03612916122/6310361291612214092023020015.pdf","https://dpmzos25m8ivg.cloudfront.net/Documentos/631/03612916122/6310361291612214092023020015.pdf")</f>
        <v>https://dpmzos25m8ivg.cloudfront.net/Documentos/631/03612916122/6310361291612214092023020015.pdf</v>
      </c>
      <c r="G1471" s="5" t="str">
        <f>HYPERLINK("https://dpmzos25m8ivg.cloudfront.net/Documentos/631/03612916122/6310361291612214092023020034.pdf","https://dpmzos25m8ivg.cloudfront.net/Documentos/631/03612916122/6310361291612214092023020034.pdf")</f>
        <v>https://dpmzos25m8ivg.cloudfront.net/Documentos/631/03612916122/6310361291612214092023020034.pdf</v>
      </c>
      <c r="H1471" s="4" t="s">
        <v>10054</v>
      </c>
    </row>
    <row r="1472" spans="1:8" x14ac:dyDescent="0.25">
      <c r="A1472" s="2" t="s">
        <v>1486</v>
      </c>
      <c r="B1472" s="3"/>
      <c r="C1472" s="3"/>
      <c r="D1472" s="3"/>
      <c r="E1472" s="4" t="str">
        <f>HYPERLINK("https://dpmzos25m8ivg.cloudfront.net/Documentos/631/03613142309/6310361314230911092023162223.pdf","https://dpmzos25m8ivg.cloudfront.net/Documentos/631/03613142309/6310361314230911092023162223.pdf")</f>
        <v>https://dpmzos25m8ivg.cloudfront.net/Documentos/631/03613142309/6310361314230911092023162223.pdf</v>
      </c>
      <c r="F1472" s="5" t="str">
        <f>HYPERLINK("https://dpmzos25m8ivg.cloudfront.net/Documentos/631/03613142309/6310361314230911092023162300.pdf","https://dpmzos25m8ivg.cloudfront.net/Documentos/631/03613142309/6310361314230911092023162300.pdf")</f>
        <v>https://dpmzos25m8ivg.cloudfront.net/Documentos/631/03613142309/6310361314230911092023162300.pdf</v>
      </c>
      <c r="G1472" s="5" t="str">
        <f>HYPERLINK("https://dpmzos25m8ivg.cloudfront.net/Documentos/631/03613142309/6310361314230911092023162320.pdf","https://dpmzos25m8ivg.cloudfront.net/Documentos/631/03613142309/6310361314230911092023162320.pdf")</f>
        <v>https://dpmzos25m8ivg.cloudfront.net/Documentos/631/03613142309/6310361314230911092023162320.pdf</v>
      </c>
      <c r="H1472" s="4" t="s">
        <v>10055</v>
      </c>
    </row>
    <row r="1473" spans="1:8" x14ac:dyDescent="0.25">
      <c r="A1473" s="2" t="s">
        <v>1487</v>
      </c>
      <c r="B1473" s="3"/>
      <c r="C1473" s="3"/>
      <c r="D1473" s="3"/>
      <c r="E1473" s="4" t="str">
        <f>HYPERLINK("https://dpmzos25m8ivg.cloudfront.net/Documentos/631/03614576345/6310361457634511092023134044.pdf","https://dpmzos25m8ivg.cloudfront.net/Documentos/631/03614576345/6310361457634511092023134044.pdf")</f>
        <v>https://dpmzos25m8ivg.cloudfront.net/Documentos/631/03614576345/6310361457634511092023134044.pdf</v>
      </c>
      <c r="F1473" s="5" t="str">
        <f>HYPERLINK("https://dpmzos25m8ivg.cloudfront.net/Documentos/631/03614576345/6310361457634511092023134205.pdf","https://dpmzos25m8ivg.cloudfront.net/Documentos/631/03614576345/6310361457634511092023134205.pdf")</f>
        <v>https://dpmzos25m8ivg.cloudfront.net/Documentos/631/03614576345/6310361457634511092023134205.pdf</v>
      </c>
      <c r="G1473" s="5" t="str">
        <f>HYPERLINK("https://dpmzos25m8ivg.cloudfront.net/Documentos/631/03614576345/6310361457634511092023134336.pdf","https://dpmzos25m8ivg.cloudfront.net/Documentos/631/03614576345/6310361457634511092023134336.pdf")</f>
        <v>https://dpmzos25m8ivg.cloudfront.net/Documentos/631/03614576345/6310361457634511092023134336.pdf</v>
      </c>
      <c r="H1473" s="4" t="s">
        <v>10056</v>
      </c>
    </row>
    <row r="1474" spans="1:8" x14ac:dyDescent="0.25">
      <c r="A1474" s="2" t="s">
        <v>1488</v>
      </c>
      <c r="B1474" s="3"/>
      <c r="C1474" s="3"/>
      <c r="D1474" s="3"/>
      <c r="E1474" s="4" t="str">
        <f>HYPERLINK("https://dpmzos25m8ivg.cloudfront.net/Documentos/631/03614680169/6310361468016911092023155400.jpg","https://dpmzos25m8ivg.cloudfront.net/Documentos/631/03614680169/6310361468016911092023155400.jpg")</f>
        <v>https://dpmzos25m8ivg.cloudfront.net/Documentos/631/03614680169/6310361468016911092023155400.jpg</v>
      </c>
      <c r="F1474" s="5" t="str">
        <f>HYPERLINK("https://dpmzos25m8ivg.cloudfront.net/Documentos/631/03614680169/6310361468016911092023155412.jpg","https://dpmzos25m8ivg.cloudfront.net/Documentos/631/03614680169/6310361468016911092023155412.jpg")</f>
        <v>https://dpmzos25m8ivg.cloudfront.net/Documentos/631/03614680169/6310361468016911092023155412.jpg</v>
      </c>
      <c r="G1474" s="5" t="str">
        <f>HYPERLINK("https://dpmzos25m8ivg.cloudfront.net/Documentos/631/03614680169/6310361468016911092023155424.jpg","https://dpmzos25m8ivg.cloudfront.net/Documentos/631/03614680169/6310361468016911092023155424.jpg")</f>
        <v>https://dpmzos25m8ivg.cloudfront.net/Documentos/631/03614680169/6310361468016911092023155424.jpg</v>
      </c>
      <c r="H1474" s="4" t="s">
        <v>10057</v>
      </c>
    </row>
    <row r="1475" spans="1:8" x14ac:dyDescent="0.25">
      <c r="A1475" s="2" t="s">
        <v>1489</v>
      </c>
      <c r="B1475" s="3"/>
      <c r="C1475" s="3"/>
      <c r="D1475" s="3"/>
      <c r="E1475" s="4" t="str">
        <f>HYPERLINK("https://dpmzos25m8ivg.cloudfront.net/Documentos/631/03616228484/6310361622848411092023123046.jpg","https://dpmzos25m8ivg.cloudfront.net/Documentos/631/03616228484/6310361622848411092023123046.jpg")</f>
        <v>https://dpmzos25m8ivg.cloudfront.net/Documentos/631/03616228484/6310361622848411092023123046.jpg</v>
      </c>
      <c r="F1475" s="5" t="str">
        <f>HYPERLINK("https://dpmzos25m8ivg.cloudfront.net/Documentos/631/03616228484/6310361622848411092023123137.jpg","https://dpmzos25m8ivg.cloudfront.net/Documentos/631/03616228484/6310361622848411092023123137.jpg")</f>
        <v>https://dpmzos25m8ivg.cloudfront.net/Documentos/631/03616228484/6310361622848411092023123137.jpg</v>
      </c>
      <c r="G1475" s="5" t="str">
        <f>HYPERLINK("https://dpmzos25m8ivg.cloudfront.net/Documentos/631/03616228484/6310361622848411092023123309.jpg","https://dpmzos25m8ivg.cloudfront.net/Documentos/631/03616228484/6310361622848411092023123309.jpg")</f>
        <v>https://dpmzos25m8ivg.cloudfront.net/Documentos/631/03616228484/6310361622848411092023123309.jpg</v>
      </c>
      <c r="H1475" s="4" t="s">
        <v>10058</v>
      </c>
    </row>
    <row r="1476" spans="1:8" x14ac:dyDescent="0.25">
      <c r="A1476" s="2" t="s">
        <v>1490</v>
      </c>
      <c r="B1476" s="3"/>
      <c r="C1476" s="3"/>
      <c r="D1476" s="3"/>
      <c r="E1476" s="4" t="str">
        <f>HYPERLINK("https://dpmzos25m8ivg.cloudfront.net/Documentos/631/03616386985/6310361638698510092023232313.pdf","https://dpmzos25m8ivg.cloudfront.net/Documentos/631/03616386985/6310361638698510092023232313.pdf")</f>
        <v>https://dpmzos25m8ivg.cloudfront.net/Documentos/631/03616386985/6310361638698510092023232313.pdf</v>
      </c>
      <c r="F1476" s="5" t="str">
        <f>HYPERLINK("https://dpmzos25m8ivg.cloudfront.net/Documentos/631/03616386985/6310361638698510092023232339.pdf","https://dpmzos25m8ivg.cloudfront.net/Documentos/631/03616386985/6310361638698510092023232339.pdf")</f>
        <v>https://dpmzos25m8ivg.cloudfront.net/Documentos/631/03616386985/6310361638698510092023232339.pdf</v>
      </c>
      <c r="G1476" s="5" t="str">
        <f>HYPERLINK("https://dpmzos25m8ivg.cloudfront.net/Documentos/631/03616386985/6310361638698510092023232352.pdf","https://dpmzos25m8ivg.cloudfront.net/Documentos/631/03616386985/6310361638698510092023232352.pdf")</f>
        <v>https://dpmzos25m8ivg.cloudfront.net/Documentos/631/03616386985/6310361638698510092023232352.pdf</v>
      </c>
      <c r="H1476" s="4" t="s">
        <v>10059</v>
      </c>
    </row>
    <row r="1477" spans="1:8" x14ac:dyDescent="0.25">
      <c r="A1477" s="2" t="s">
        <v>1491</v>
      </c>
      <c r="B1477" s="3"/>
      <c r="C1477" s="3"/>
      <c r="D1477" s="3"/>
      <c r="E1477" s="4" t="str">
        <f>HYPERLINK("https://dpmzos25m8ivg.cloudfront.net/Documentos/631/03617060226/6310361706022614092023101705.pdf","https://dpmzos25m8ivg.cloudfront.net/Documentos/631/03617060226/6310361706022614092023101705.pdf")</f>
        <v>https://dpmzos25m8ivg.cloudfront.net/Documentos/631/03617060226/6310361706022614092023101705.pdf</v>
      </c>
      <c r="F1477" s="5" t="str">
        <f>HYPERLINK("https://dpmzos25m8ivg.cloudfront.net/Documentos/631/03617060226/6310361706022614092023101717.pdf","https://dpmzos25m8ivg.cloudfront.net/Documentos/631/03617060226/6310361706022614092023101717.pdf")</f>
        <v>https://dpmzos25m8ivg.cloudfront.net/Documentos/631/03617060226/6310361706022614092023101717.pdf</v>
      </c>
      <c r="G1477" s="5" t="str">
        <f>HYPERLINK("https://dpmzos25m8ivg.cloudfront.net/Documentos/631/03617060226/6310361706022614092023101729.pdf","https://dpmzos25m8ivg.cloudfront.net/Documentos/631/03617060226/6310361706022614092023101729.pdf")</f>
        <v>https://dpmzos25m8ivg.cloudfront.net/Documentos/631/03617060226/6310361706022614092023101729.pdf</v>
      </c>
      <c r="H1477" s="4" t="s">
        <v>10060</v>
      </c>
    </row>
    <row r="1478" spans="1:8" x14ac:dyDescent="0.25">
      <c r="A1478" s="2" t="s">
        <v>1492</v>
      </c>
      <c r="B1478" s="3"/>
      <c r="C1478" s="3"/>
      <c r="D1478" s="3"/>
      <c r="E1478" s="4" t="str">
        <f>HYPERLINK("https://dpmzos25m8ivg.cloudfront.net/Documentos/631/03618435428/6310361843542811092023143300.pdf","https://dpmzos25m8ivg.cloudfront.net/Documentos/631/03618435428/6310361843542811092023143300.pdf")</f>
        <v>https://dpmzos25m8ivg.cloudfront.net/Documentos/631/03618435428/6310361843542811092023143300.pdf</v>
      </c>
      <c r="F1478" s="5" t="str">
        <f>HYPERLINK("https://dpmzos25m8ivg.cloudfront.net/Documentos/631/03618435428/6310361843542811092023143323.pdf","https://dpmzos25m8ivg.cloudfront.net/Documentos/631/03618435428/6310361843542811092023143323.pdf")</f>
        <v>https://dpmzos25m8ivg.cloudfront.net/Documentos/631/03618435428/6310361843542811092023143323.pdf</v>
      </c>
      <c r="G1478" s="5" t="str">
        <f>HYPERLINK("https://dpmzos25m8ivg.cloudfront.net/Documentos/631/03618435428/6310361843542811092023143337.pdf","https://dpmzos25m8ivg.cloudfront.net/Documentos/631/03618435428/6310361843542811092023143337.pdf")</f>
        <v>https://dpmzos25m8ivg.cloudfront.net/Documentos/631/03618435428/6310361843542811092023143337.pdf</v>
      </c>
      <c r="H1478" s="4" t="s">
        <v>10061</v>
      </c>
    </row>
    <row r="1479" spans="1:8" x14ac:dyDescent="0.25">
      <c r="A1479" s="2" t="s">
        <v>1493</v>
      </c>
      <c r="B1479" s="3"/>
      <c r="C1479" s="3"/>
      <c r="D1479" s="3"/>
      <c r="E1479" s="4" t="str">
        <f>HYPERLINK("https://dpmzos25m8ivg.cloudfront.net/Documentos/631/03619882142/6310361988214206092023143025.jpg","https://dpmzos25m8ivg.cloudfront.net/Documentos/631/03619882142/6310361988214206092023143025.jpg")</f>
        <v>https://dpmzos25m8ivg.cloudfront.net/Documentos/631/03619882142/6310361988214206092023143025.jpg</v>
      </c>
      <c r="F1479" s="5" t="str">
        <f>HYPERLINK("https://dpmzos25m8ivg.cloudfront.net/Documentos/631/03619882142/6310361988214206092023145952.jpg","https://dpmzos25m8ivg.cloudfront.net/Documentos/631/03619882142/6310361988214206092023145952.jpg")</f>
        <v>https://dpmzos25m8ivg.cloudfront.net/Documentos/631/03619882142/6310361988214206092023145952.jpg</v>
      </c>
      <c r="G1479" s="5" t="str">
        <f>HYPERLINK("https://dpmzos25m8ivg.cloudfront.net/Documentos/631/03619882142/6310361988214206092023150009.jpg","https://dpmzos25m8ivg.cloudfront.net/Documentos/631/03619882142/6310361988214206092023150009.jpg")</f>
        <v>https://dpmzos25m8ivg.cloudfront.net/Documentos/631/03619882142/6310361988214206092023150009.jpg</v>
      </c>
      <c r="H1479" s="4" t="s">
        <v>10062</v>
      </c>
    </row>
    <row r="1480" spans="1:8" x14ac:dyDescent="0.25">
      <c r="A1480" s="2" t="s">
        <v>1494</v>
      </c>
      <c r="B1480" s="3"/>
      <c r="C1480" s="3"/>
      <c r="D1480" s="3"/>
      <c r="E1480" s="4" t="str">
        <f>HYPERLINK("https://dpmzos25m8ivg.cloudfront.net/Documentos/631/03623155403/6310362315540306092023143242.pdf","https://dpmzos25m8ivg.cloudfront.net/Documentos/631/03623155403/6310362315540306092023143242.pdf")</f>
        <v>https://dpmzos25m8ivg.cloudfront.net/Documentos/631/03623155403/6310362315540306092023143242.pdf</v>
      </c>
      <c r="F1480" s="5" t="str">
        <f>HYPERLINK("https://dpmzos25m8ivg.cloudfront.net/Documentos/631/03623155403/6310362315540306092023143256.pdf","https://dpmzos25m8ivg.cloudfront.net/Documentos/631/03623155403/6310362315540306092023143256.pdf")</f>
        <v>https://dpmzos25m8ivg.cloudfront.net/Documentos/631/03623155403/6310362315540306092023143256.pdf</v>
      </c>
      <c r="G1480" s="5" t="str">
        <f>HYPERLINK("https://dpmzos25m8ivg.cloudfront.net/Documentos/631/03623155403/6310362315540306092023143310.pdf","https://dpmzos25m8ivg.cloudfront.net/Documentos/631/03623155403/6310362315540306092023143310.pdf")</f>
        <v>https://dpmzos25m8ivg.cloudfront.net/Documentos/631/03623155403/6310362315540306092023143310.pdf</v>
      </c>
      <c r="H1480" s="4" t="s">
        <v>10063</v>
      </c>
    </row>
    <row r="1481" spans="1:8" x14ac:dyDescent="0.25">
      <c r="A1481" s="2" t="s">
        <v>1495</v>
      </c>
      <c r="B1481" s="3"/>
      <c r="C1481" s="3"/>
      <c r="D1481" s="3"/>
      <c r="E1481" s="4" t="str">
        <f>HYPERLINK("https://dpmzos25m8ivg.cloudfront.net/Documentos/631/03624402200/6310362440220005092023104810.jpg","https://dpmzos25m8ivg.cloudfront.net/Documentos/631/03624402200/6310362440220005092023104810.jpg")</f>
        <v>https://dpmzos25m8ivg.cloudfront.net/Documentos/631/03624402200/6310362440220005092023104810.jpg</v>
      </c>
      <c r="F1481" s="5" t="str">
        <f>HYPERLINK("https://dpmzos25m8ivg.cloudfront.net/Documentos/631/03624402200/6310362440220005092023104818.jpg","https://dpmzos25m8ivg.cloudfront.net/Documentos/631/03624402200/6310362440220005092023104818.jpg")</f>
        <v>https://dpmzos25m8ivg.cloudfront.net/Documentos/631/03624402200/6310362440220005092023104818.jpg</v>
      </c>
      <c r="G1481" s="5" t="str">
        <f>HYPERLINK("https://dpmzos25m8ivg.cloudfront.net/Documentos/631/03624402200/6310362440220005092023104827.jpg","https://dpmzos25m8ivg.cloudfront.net/Documentos/631/03624402200/6310362440220005092023104827.jpg")</f>
        <v>https://dpmzos25m8ivg.cloudfront.net/Documentos/631/03624402200/6310362440220005092023104827.jpg</v>
      </c>
      <c r="H1481" s="4" t="s">
        <v>10064</v>
      </c>
    </row>
    <row r="1482" spans="1:8" x14ac:dyDescent="0.25">
      <c r="A1482" s="2" t="s">
        <v>1496</v>
      </c>
      <c r="B1482" s="3" t="s">
        <v>23</v>
      </c>
      <c r="C1482" s="3"/>
      <c r="D1482" s="3"/>
      <c r="E1482" s="4" t="str">
        <f>HYPERLINK("https://dpmzos25m8ivg.cloudfront.net/Documentos/631/03631497245/6310363149724511092023133821.pdf","https://dpmzos25m8ivg.cloudfront.net/Documentos/631/03631497245/6310363149724511092023133821.pdf")</f>
        <v>https://dpmzos25m8ivg.cloudfront.net/Documentos/631/03631497245/6310363149724511092023133821.pdf</v>
      </c>
      <c r="F1482" s="5" t="str">
        <f>HYPERLINK("https://dpmzos25m8ivg.cloudfront.net/Documentos/631/03631497245/6310363149724511092023133832.pdf","https://dpmzos25m8ivg.cloudfront.net/Documentos/631/03631497245/6310363149724511092023133832.pdf")</f>
        <v>https://dpmzos25m8ivg.cloudfront.net/Documentos/631/03631497245/6310363149724511092023133832.pdf</v>
      </c>
      <c r="G1482" s="5" t="str">
        <f>HYPERLINK("https://dpmzos25m8ivg.cloudfront.net/Documentos/631/03631497245/6310363149724511092023134539.pdf","https://dpmzos25m8ivg.cloudfront.net/Documentos/631/03631497245/6310363149724511092023134539.pdf")</f>
        <v>https://dpmzos25m8ivg.cloudfront.net/Documentos/631/03631497245/6310363149724511092023134539.pdf</v>
      </c>
      <c r="H1482" s="4" t="s">
        <v>10065</v>
      </c>
    </row>
    <row r="1483" spans="1:8" x14ac:dyDescent="0.25">
      <c r="A1483" s="2" t="s">
        <v>1497</v>
      </c>
      <c r="B1483" s="3"/>
      <c r="C1483" s="3"/>
      <c r="D1483" s="3"/>
      <c r="E1483" s="4" t="str">
        <f>HYPERLINK("https://dpmzos25m8ivg.cloudfront.net/Documentos/631/03633449507/6310363344950709092023170624.pdf","https://dpmzos25m8ivg.cloudfront.net/Documentos/631/03633449507/6310363344950709092023170624.pdf")</f>
        <v>https://dpmzos25m8ivg.cloudfront.net/Documentos/631/03633449507/6310363344950709092023170624.pdf</v>
      </c>
      <c r="F1483" s="5" t="str">
        <f>HYPERLINK("https://dpmzos25m8ivg.cloudfront.net/Documentos/631/03633449507/6310363344950709092023170717.pdf","https://dpmzos25m8ivg.cloudfront.net/Documentos/631/03633449507/6310363344950709092023170717.pdf")</f>
        <v>https://dpmzos25m8ivg.cloudfront.net/Documentos/631/03633449507/6310363344950709092023170717.pdf</v>
      </c>
      <c r="G1483" s="5" t="str">
        <f>HYPERLINK("https://dpmzos25m8ivg.cloudfront.net/Documentos/631/03633449507/6310363344950709092023170737.pdf","https://dpmzos25m8ivg.cloudfront.net/Documentos/631/03633449507/6310363344950709092023170737.pdf")</f>
        <v>https://dpmzos25m8ivg.cloudfront.net/Documentos/631/03633449507/6310363344950709092023170737.pdf</v>
      </c>
      <c r="H1483" s="4" t="s">
        <v>10066</v>
      </c>
    </row>
    <row r="1484" spans="1:8" x14ac:dyDescent="0.25">
      <c r="A1484" s="2" t="s">
        <v>1498</v>
      </c>
      <c r="B1484" s="3" t="s">
        <v>23</v>
      </c>
      <c r="C1484" s="3"/>
      <c r="D1484" s="3"/>
      <c r="E1484" s="4" t="str">
        <f>HYPERLINK("https://dpmzos25m8ivg.cloudfront.net/Documentos/631/03638896200/6310363889620009092023200037.pdf","https://dpmzos25m8ivg.cloudfront.net/Documentos/631/03638896200/6310363889620009092023200037.pdf")</f>
        <v>https://dpmzos25m8ivg.cloudfront.net/Documentos/631/03638896200/6310363889620009092023200037.pdf</v>
      </c>
      <c r="F1484" s="5" t="str">
        <f>HYPERLINK("https://dpmzos25m8ivg.cloudfront.net/Documentos/631/03638896200/6310363889620009092023200052.pdf","https://dpmzos25m8ivg.cloudfront.net/Documentos/631/03638896200/6310363889620009092023200052.pdf")</f>
        <v>https://dpmzos25m8ivg.cloudfront.net/Documentos/631/03638896200/6310363889620009092023200052.pdf</v>
      </c>
      <c r="G1484" s="5" t="str">
        <f>HYPERLINK("https://dpmzos25m8ivg.cloudfront.net/Documentos/631/03638896200/6310363889620009092023200105.pdf","https://dpmzos25m8ivg.cloudfront.net/Documentos/631/03638896200/6310363889620009092023200105.pdf")</f>
        <v>https://dpmzos25m8ivg.cloudfront.net/Documentos/631/03638896200/6310363889620009092023200105.pdf</v>
      </c>
      <c r="H1484" s="4" t="s">
        <v>10067</v>
      </c>
    </row>
    <row r="1485" spans="1:8" x14ac:dyDescent="0.25">
      <c r="A1485" s="2" t="s">
        <v>1499</v>
      </c>
      <c r="B1485" s="3"/>
      <c r="C1485" s="3"/>
      <c r="D1485" s="3"/>
      <c r="E1485" s="4" t="str">
        <f>HYPERLINK("https://dpmzos25m8ivg.cloudfront.net/Documentos/631/03640501101/6310364050110111092023080849.pdf","https://dpmzos25m8ivg.cloudfront.net/Documentos/631/03640501101/6310364050110111092023080849.pdf")</f>
        <v>https://dpmzos25m8ivg.cloudfront.net/Documentos/631/03640501101/6310364050110111092023080849.pdf</v>
      </c>
      <c r="F1485" s="5" t="str">
        <f>HYPERLINK("https://dpmzos25m8ivg.cloudfront.net/Documentos/631/03640501101/6310364050110111092023080917.pdf","https://dpmzos25m8ivg.cloudfront.net/Documentos/631/03640501101/6310364050110111092023080917.pdf")</f>
        <v>https://dpmzos25m8ivg.cloudfront.net/Documentos/631/03640501101/6310364050110111092023080917.pdf</v>
      </c>
      <c r="G1485" s="5" t="str">
        <f>HYPERLINK("https://dpmzos25m8ivg.cloudfront.net/Documentos/631/03640501101/6310364050110111092023080931.pdf","https://dpmzos25m8ivg.cloudfront.net/Documentos/631/03640501101/6310364050110111092023080931.pdf")</f>
        <v>https://dpmzos25m8ivg.cloudfront.net/Documentos/631/03640501101/6310364050110111092023080931.pdf</v>
      </c>
      <c r="H1485" s="4" t="s">
        <v>10068</v>
      </c>
    </row>
    <row r="1486" spans="1:8" x14ac:dyDescent="0.25">
      <c r="A1486" s="2" t="s">
        <v>1500</v>
      </c>
      <c r="B1486" s="3"/>
      <c r="C1486" s="3"/>
      <c r="D1486" s="3"/>
      <c r="E1486" s="4" t="str">
        <f>HYPERLINK("https://dpmzos25m8ivg.cloudfront.net/Documentos/631/03641655374/6310364165537408092023230530.jpg","https://dpmzos25m8ivg.cloudfront.net/Documentos/631/03641655374/6310364165537408092023230530.jpg")</f>
        <v>https://dpmzos25m8ivg.cloudfront.net/Documentos/631/03641655374/6310364165537408092023230530.jpg</v>
      </c>
      <c r="F1486" s="5" t="str">
        <f>HYPERLINK("https://dpmzos25m8ivg.cloudfront.net/Documentos/631/03641655374/6310364165537408092023230538.jpg","https://dpmzos25m8ivg.cloudfront.net/Documentos/631/03641655374/6310364165537408092023230538.jpg")</f>
        <v>https://dpmzos25m8ivg.cloudfront.net/Documentos/631/03641655374/6310364165537408092023230538.jpg</v>
      </c>
      <c r="G1486" s="5" t="str">
        <f>HYPERLINK("https://dpmzos25m8ivg.cloudfront.net/Documentos/631/03641655374/6310364165537408092023230545.jpg","https://dpmzos25m8ivg.cloudfront.net/Documentos/631/03641655374/6310364165537408092023230545.jpg")</f>
        <v>https://dpmzos25m8ivg.cloudfront.net/Documentos/631/03641655374/6310364165537408092023230545.jpg</v>
      </c>
      <c r="H1486" s="4" t="s">
        <v>10069</v>
      </c>
    </row>
    <row r="1487" spans="1:8" x14ac:dyDescent="0.25">
      <c r="A1487" s="2" t="s">
        <v>1501</v>
      </c>
      <c r="B1487" s="3"/>
      <c r="C1487" s="3"/>
      <c r="D1487" s="3"/>
      <c r="E1487" s="4" t="str">
        <f>HYPERLINK("https://dpmzos25m8ivg.cloudfront.net/Documentos/631/03644101086/6310364410108611092023152229.pdf","https://dpmzos25m8ivg.cloudfront.net/Documentos/631/03644101086/6310364410108611092023152229.pdf")</f>
        <v>https://dpmzos25m8ivg.cloudfront.net/Documentos/631/03644101086/6310364410108611092023152229.pdf</v>
      </c>
      <c r="F1487" s="5" t="str">
        <f>HYPERLINK("https://dpmzos25m8ivg.cloudfront.net/Documentos/631/03644101086/6310364410108611092023152239.pdf","https://dpmzos25m8ivg.cloudfront.net/Documentos/631/03644101086/6310364410108611092023152239.pdf")</f>
        <v>https://dpmzos25m8ivg.cloudfront.net/Documentos/631/03644101086/6310364410108611092023152239.pdf</v>
      </c>
      <c r="G1487" s="5" t="str">
        <f>HYPERLINK("https://dpmzos25m8ivg.cloudfront.net/Documentos/631/03644101086/6310364410108611092023152251.pdf","https://dpmzos25m8ivg.cloudfront.net/Documentos/631/03644101086/6310364410108611092023152251.pdf")</f>
        <v>https://dpmzos25m8ivg.cloudfront.net/Documentos/631/03644101086/6310364410108611092023152251.pdf</v>
      </c>
      <c r="H1487" s="4" t="s">
        <v>10070</v>
      </c>
    </row>
    <row r="1488" spans="1:8" x14ac:dyDescent="0.25">
      <c r="A1488" s="2" t="s">
        <v>1502</v>
      </c>
      <c r="B1488" s="3"/>
      <c r="C1488" s="3"/>
      <c r="D1488" s="3"/>
      <c r="E1488" s="4" t="str">
        <f>HYPERLINK("https://dpmzos25m8ivg.cloudfront.net/Documentos/631/03646897309/6310364689730907092023181338.pdf","https://dpmzos25m8ivg.cloudfront.net/Documentos/631/03646897309/6310364689730907092023181338.pdf")</f>
        <v>https://dpmzos25m8ivg.cloudfront.net/Documentos/631/03646897309/6310364689730907092023181338.pdf</v>
      </c>
      <c r="F1488" s="5" t="str">
        <f>HYPERLINK("https://dpmzos25m8ivg.cloudfront.net/Documentos/631/03646897309/6310364689730907092023181534.pdf","https://dpmzos25m8ivg.cloudfront.net/Documentos/631/03646897309/6310364689730907092023181534.pdf")</f>
        <v>https://dpmzos25m8ivg.cloudfront.net/Documentos/631/03646897309/6310364689730907092023181534.pdf</v>
      </c>
      <c r="G1488" s="5" t="str">
        <f>HYPERLINK("https://dpmzos25m8ivg.cloudfront.net/Documentos/631/03646897309/6310364689730907092023181705.pdf","https://dpmzos25m8ivg.cloudfront.net/Documentos/631/03646897309/6310364689730907092023181705.pdf")</f>
        <v>https://dpmzos25m8ivg.cloudfront.net/Documentos/631/03646897309/6310364689730907092023181705.pdf</v>
      </c>
      <c r="H1488" s="4" t="s">
        <v>10071</v>
      </c>
    </row>
    <row r="1489" spans="1:8" x14ac:dyDescent="0.25">
      <c r="A1489" s="2" t="s">
        <v>1503</v>
      </c>
      <c r="B1489" s="3"/>
      <c r="C1489" s="3"/>
      <c r="D1489" s="3"/>
      <c r="E1489" s="4" t="str">
        <f>HYPERLINK("https://dpmzos25m8ivg.cloudfront.net/Documentos/631/03647279005/6310364727900511092023152348.jpeg","https://dpmzos25m8ivg.cloudfront.net/Documentos/631/03647279005/6310364727900511092023152348.jpeg")</f>
        <v>https://dpmzos25m8ivg.cloudfront.net/Documentos/631/03647279005/6310364727900511092023152348.jpeg</v>
      </c>
      <c r="F1489" s="5" t="str">
        <f>HYPERLINK("https://dpmzos25m8ivg.cloudfront.net/Documentos/631/03647279005/6310364727900511092023152400.jpeg","https://dpmzos25m8ivg.cloudfront.net/Documentos/631/03647279005/6310364727900511092023152400.jpeg")</f>
        <v>https://dpmzos25m8ivg.cloudfront.net/Documentos/631/03647279005/6310364727900511092023152400.jpeg</v>
      </c>
      <c r="G1489" s="5" t="str">
        <f>HYPERLINK("https://dpmzos25m8ivg.cloudfront.net/Documentos/631/03647279005/6310364727900511092023152412.jpeg","https://dpmzos25m8ivg.cloudfront.net/Documentos/631/03647279005/6310364727900511092023152412.jpeg")</f>
        <v>https://dpmzos25m8ivg.cloudfront.net/Documentos/631/03647279005/6310364727900511092023152412.jpeg</v>
      </c>
      <c r="H1489" s="4" t="s">
        <v>10072</v>
      </c>
    </row>
    <row r="1490" spans="1:8" x14ac:dyDescent="0.25">
      <c r="A1490" s="2" t="s">
        <v>1504</v>
      </c>
      <c r="B1490" s="3"/>
      <c r="C1490" s="3"/>
      <c r="D1490" s="3"/>
      <c r="E1490" s="4" t="str">
        <f>HYPERLINK("https://dpmzos25m8ivg.cloudfront.net/Documentos/631/03652427050/6310365242705014092023141420.jpg","https://dpmzos25m8ivg.cloudfront.net/Documentos/631/03652427050/6310365242705014092023141420.jpg")</f>
        <v>https://dpmzos25m8ivg.cloudfront.net/Documentos/631/03652427050/6310365242705014092023141420.jpg</v>
      </c>
      <c r="F1490" s="5" t="str">
        <f>HYPERLINK("https://dpmzos25m8ivg.cloudfront.net/Documentos/631/03652427050/6310365242705014092023141430.jpg","https://dpmzos25m8ivg.cloudfront.net/Documentos/631/03652427050/6310365242705014092023141430.jpg")</f>
        <v>https://dpmzos25m8ivg.cloudfront.net/Documentos/631/03652427050/6310365242705014092023141430.jpg</v>
      </c>
      <c r="G1490" s="5" t="str">
        <f>HYPERLINK("https://dpmzos25m8ivg.cloudfront.net/Documentos/631/03652427050/6310365242705014092023141439.jpg","https://dpmzos25m8ivg.cloudfront.net/Documentos/631/03652427050/6310365242705014092023141439.jpg")</f>
        <v>https://dpmzos25m8ivg.cloudfront.net/Documentos/631/03652427050/6310365242705014092023141439.jpg</v>
      </c>
      <c r="H1490" s="4" t="s">
        <v>10073</v>
      </c>
    </row>
    <row r="1491" spans="1:8" x14ac:dyDescent="0.25">
      <c r="A1491" s="2" t="s">
        <v>1505</v>
      </c>
      <c r="B1491" s="3"/>
      <c r="C1491" s="3"/>
      <c r="D1491" s="3"/>
      <c r="E1491" s="4" t="str">
        <f>HYPERLINK("https://dpmzos25m8ivg.cloudfront.net/Documentos/631/03654724175/6310365472417511092023154129.pdf","https://dpmzos25m8ivg.cloudfront.net/Documentos/631/03654724175/6310365472417511092023154129.pdf")</f>
        <v>https://dpmzos25m8ivg.cloudfront.net/Documentos/631/03654724175/6310365472417511092023154129.pdf</v>
      </c>
      <c r="F1491" s="5" t="str">
        <f>HYPERLINK("https://dpmzos25m8ivg.cloudfront.net/Documentos/631/03654724175/6310365472417511092023153824.pdf","https://dpmzos25m8ivg.cloudfront.net/Documentos/631/03654724175/6310365472417511092023153824.pdf")</f>
        <v>https://dpmzos25m8ivg.cloudfront.net/Documentos/631/03654724175/6310365472417511092023153824.pdf</v>
      </c>
      <c r="G1491" s="5" t="str">
        <f>HYPERLINK("https://dpmzos25m8ivg.cloudfront.net/Documentos/631/03654724175/6310365472417511092023154047.pdf","https://dpmzos25m8ivg.cloudfront.net/Documentos/631/03654724175/6310365472417511092023154047.pdf")</f>
        <v>https://dpmzos25m8ivg.cloudfront.net/Documentos/631/03654724175/6310365472417511092023154047.pdf</v>
      </c>
      <c r="H1491" s="4" t="s">
        <v>10074</v>
      </c>
    </row>
    <row r="1492" spans="1:8" x14ac:dyDescent="0.25">
      <c r="A1492" s="2" t="s">
        <v>1506</v>
      </c>
      <c r="B1492" s="3" t="s">
        <v>308</v>
      </c>
      <c r="C1492" s="3"/>
      <c r="D1492" s="3"/>
      <c r="E1492" s="4" t="str">
        <f>HYPERLINK("https://dpmzos25m8ivg.cloudfront.net/Documentos/631/03656069280/6310365606928011092023144428.pdf","https://dpmzos25m8ivg.cloudfront.net/Documentos/631/03656069280/6310365606928011092023144428.pdf")</f>
        <v>https://dpmzos25m8ivg.cloudfront.net/Documentos/631/03656069280/6310365606928011092023144428.pdf</v>
      </c>
      <c r="F1492" s="5" t="str">
        <f>HYPERLINK("https://dpmzos25m8ivg.cloudfront.net/Documentos/631/03656069280/6310365606928011092023144434.pdf","https://dpmzos25m8ivg.cloudfront.net/Documentos/631/03656069280/6310365606928011092023144434.pdf")</f>
        <v>https://dpmzos25m8ivg.cloudfront.net/Documentos/631/03656069280/6310365606928011092023144434.pdf</v>
      </c>
      <c r="G1492" s="5" t="str">
        <f>HYPERLINK("https://dpmzos25m8ivg.cloudfront.net/Documentos/631/03656069280/6310365606928011092023144449.pdf","https://dpmzos25m8ivg.cloudfront.net/Documentos/631/03656069280/6310365606928011092023144449.pdf")</f>
        <v>https://dpmzos25m8ivg.cloudfront.net/Documentos/631/03656069280/6310365606928011092023144449.pdf</v>
      </c>
      <c r="H1492" s="4" t="s">
        <v>10075</v>
      </c>
    </row>
    <row r="1493" spans="1:8" x14ac:dyDescent="0.25">
      <c r="A1493" s="2" t="s">
        <v>1507</v>
      </c>
      <c r="B1493" s="3"/>
      <c r="C1493" s="3"/>
      <c r="D1493" s="3"/>
      <c r="E1493" s="4" t="str">
        <f>HYPERLINK("https://dpmzos25m8ivg.cloudfront.net/Documentos/631/03658977523/6310365897752305092023110219.pdf","https://dpmzos25m8ivg.cloudfront.net/Documentos/631/03658977523/6310365897752305092023110219.pdf")</f>
        <v>https://dpmzos25m8ivg.cloudfront.net/Documentos/631/03658977523/6310365897752305092023110219.pdf</v>
      </c>
      <c r="F1493" s="5" t="str">
        <f>HYPERLINK("https://dpmzos25m8ivg.cloudfront.net/Documentos/631/03658977523/6310365897752305092023110229.pdf","https://dpmzos25m8ivg.cloudfront.net/Documentos/631/03658977523/6310365897752305092023110229.pdf")</f>
        <v>https://dpmzos25m8ivg.cloudfront.net/Documentos/631/03658977523/6310365897752305092023110229.pdf</v>
      </c>
      <c r="G1493" s="5" t="str">
        <f>HYPERLINK("https://dpmzos25m8ivg.cloudfront.net/Documentos/631/03658977523/6310365897752305092023110239.pdf","https://dpmzos25m8ivg.cloudfront.net/Documentos/631/03658977523/6310365897752305092023110239.pdf")</f>
        <v>https://dpmzos25m8ivg.cloudfront.net/Documentos/631/03658977523/6310365897752305092023110239.pdf</v>
      </c>
      <c r="H1493" s="4" t="s">
        <v>10076</v>
      </c>
    </row>
    <row r="1494" spans="1:8" x14ac:dyDescent="0.25">
      <c r="A1494" s="2" t="s">
        <v>1508</v>
      </c>
      <c r="B1494" s="3"/>
      <c r="C1494" s="3"/>
      <c r="D1494" s="3"/>
      <c r="E1494" s="4" t="str">
        <f>HYPERLINK("https://dpmzos25m8ivg.cloudfront.net/Documentos/631/03659209597/6310365920959709092023004715.pdf","https://dpmzos25m8ivg.cloudfront.net/Documentos/631/03659209597/6310365920959709092023004715.pdf")</f>
        <v>https://dpmzos25m8ivg.cloudfront.net/Documentos/631/03659209597/6310365920959709092023004715.pdf</v>
      </c>
      <c r="F1494" s="5" t="str">
        <f>HYPERLINK("https://dpmzos25m8ivg.cloudfront.net/Documentos/631/03659209597/6310365920959709092023004731.pdf","https://dpmzos25m8ivg.cloudfront.net/Documentos/631/03659209597/6310365920959709092023004731.pdf")</f>
        <v>https://dpmzos25m8ivg.cloudfront.net/Documentos/631/03659209597/6310365920959709092023004731.pdf</v>
      </c>
      <c r="G1494" s="5" t="str">
        <f>HYPERLINK("https://dpmzos25m8ivg.cloudfront.net/Documentos/631/03659209597/6310365920959709092023004754.pdf","https://dpmzos25m8ivg.cloudfront.net/Documentos/631/03659209597/6310365920959709092023004754.pdf")</f>
        <v>https://dpmzos25m8ivg.cloudfront.net/Documentos/631/03659209597/6310365920959709092023004754.pdf</v>
      </c>
      <c r="H1494" s="4" t="s">
        <v>10077</v>
      </c>
    </row>
    <row r="1495" spans="1:8" x14ac:dyDescent="0.25">
      <c r="A1495" s="2" t="s">
        <v>1509</v>
      </c>
      <c r="B1495" s="3"/>
      <c r="C1495" s="3"/>
      <c r="D1495" s="3"/>
      <c r="E1495" s="4" t="str">
        <f>HYPERLINK("https://dpmzos25m8ivg.cloudfront.net/Documentos/631/03660912476/6310366091247611092023110650.pdf","https://dpmzos25m8ivg.cloudfront.net/Documentos/631/03660912476/6310366091247611092023110650.pdf")</f>
        <v>https://dpmzos25m8ivg.cloudfront.net/Documentos/631/03660912476/6310366091247611092023110650.pdf</v>
      </c>
      <c r="F1495" s="5" t="str">
        <f>HYPERLINK("https://dpmzos25m8ivg.cloudfront.net/Documentos/631/03660912476/6310366091247611092023110703.pdf","https://dpmzos25m8ivg.cloudfront.net/Documentos/631/03660912476/6310366091247611092023110703.pdf")</f>
        <v>https://dpmzos25m8ivg.cloudfront.net/Documentos/631/03660912476/6310366091247611092023110703.pdf</v>
      </c>
      <c r="G1495" s="5" t="str">
        <f>HYPERLINK("https://dpmzos25m8ivg.cloudfront.net/Documentos/631/03660912476/6310366091247611092023110716.pdf","https://dpmzos25m8ivg.cloudfront.net/Documentos/631/03660912476/6310366091247611092023110716.pdf")</f>
        <v>https://dpmzos25m8ivg.cloudfront.net/Documentos/631/03660912476/6310366091247611092023110716.pdf</v>
      </c>
      <c r="H1495" s="4" t="s">
        <v>10078</v>
      </c>
    </row>
    <row r="1496" spans="1:8" x14ac:dyDescent="0.25">
      <c r="A1496" s="2" t="s">
        <v>1510</v>
      </c>
      <c r="B1496" s="3"/>
      <c r="C1496" s="3"/>
      <c r="D1496" s="3"/>
      <c r="E1496" s="4" t="str">
        <f>HYPERLINK("https://dpmzos25m8ivg.cloudfront.net/Documentos/631/03663794296/6310366379429611092023134845.pdf","https://dpmzos25m8ivg.cloudfront.net/Documentos/631/03663794296/6310366379429611092023134845.pdf")</f>
        <v>https://dpmzos25m8ivg.cloudfront.net/Documentos/631/03663794296/6310366379429611092023134845.pdf</v>
      </c>
      <c r="F1496" s="5" t="str">
        <f>HYPERLINK("https://dpmzos25m8ivg.cloudfront.net/Documentos/631/03663794296/6310366379429611092023134854.pdf","https://dpmzos25m8ivg.cloudfront.net/Documentos/631/03663794296/6310366379429611092023134854.pdf")</f>
        <v>https://dpmzos25m8ivg.cloudfront.net/Documentos/631/03663794296/6310366379429611092023134854.pdf</v>
      </c>
      <c r="G1496" s="5" t="str">
        <f>HYPERLINK("https://dpmzos25m8ivg.cloudfront.net/Documentos/631/03663794296/6310366379429611092023134903.pdf","https://dpmzos25m8ivg.cloudfront.net/Documentos/631/03663794296/6310366379429611092023134903.pdf")</f>
        <v>https://dpmzos25m8ivg.cloudfront.net/Documentos/631/03663794296/6310366379429611092023134903.pdf</v>
      </c>
      <c r="H1496" s="4" t="s">
        <v>10079</v>
      </c>
    </row>
    <row r="1497" spans="1:8" x14ac:dyDescent="0.25">
      <c r="A1497" s="2" t="s">
        <v>1511</v>
      </c>
      <c r="B1497" s="3"/>
      <c r="C1497" s="3"/>
      <c r="D1497" s="3"/>
      <c r="E1497" s="4" t="str">
        <f>HYPERLINK("https://dpmzos25m8ivg.cloudfront.net/Documentos/631/03665559103/6310366555910306092023123402.pdf","https://dpmzos25m8ivg.cloudfront.net/Documentos/631/03665559103/6310366555910306092023123402.pdf")</f>
        <v>https://dpmzos25m8ivg.cloudfront.net/Documentos/631/03665559103/6310366555910306092023123402.pdf</v>
      </c>
      <c r="F1497" s="5" t="str">
        <f>HYPERLINK("https://dpmzos25m8ivg.cloudfront.net/Documentos/631/03665559103/6310366555910306092023123548.pdf","https://dpmzos25m8ivg.cloudfront.net/Documentos/631/03665559103/6310366555910306092023123548.pdf")</f>
        <v>https://dpmzos25m8ivg.cloudfront.net/Documentos/631/03665559103/6310366555910306092023123548.pdf</v>
      </c>
      <c r="G1497" s="5" t="str">
        <f>HYPERLINK("https://dpmzos25m8ivg.cloudfront.net/Documentos/631/03665559103/6310366555910306092023124034.pdf","https://dpmzos25m8ivg.cloudfront.net/Documentos/631/03665559103/6310366555910306092023124034.pdf")</f>
        <v>https://dpmzos25m8ivg.cloudfront.net/Documentos/631/03665559103/6310366555910306092023124034.pdf</v>
      </c>
      <c r="H1497" s="4" t="s">
        <v>10080</v>
      </c>
    </row>
    <row r="1498" spans="1:8" x14ac:dyDescent="0.25">
      <c r="A1498" s="2" t="s">
        <v>1512</v>
      </c>
      <c r="B1498" s="3"/>
      <c r="C1498" s="3"/>
      <c r="D1498" s="3"/>
      <c r="E1498" s="4" t="str">
        <f>HYPERLINK("https://dpmzos25m8ivg.cloudfront.net/Documentos/631/03666960170/6310366696017011092023144830.pdf","https://dpmzos25m8ivg.cloudfront.net/Documentos/631/03666960170/6310366696017011092023144830.pdf")</f>
        <v>https://dpmzos25m8ivg.cloudfront.net/Documentos/631/03666960170/6310366696017011092023144830.pdf</v>
      </c>
      <c r="F1498" s="5" t="str">
        <f>HYPERLINK("https://dpmzos25m8ivg.cloudfront.net/Documentos/631/03666960170/6310366696017011092023144841.pdf","https://dpmzos25m8ivg.cloudfront.net/Documentos/631/03666960170/6310366696017011092023144841.pdf")</f>
        <v>https://dpmzos25m8ivg.cloudfront.net/Documentos/631/03666960170/6310366696017011092023144841.pdf</v>
      </c>
      <c r="G1498" s="5" t="str">
        <f>HYPERLINK("https://dpmzos25m8ivg.cloudfront.net/Documentos/631/03666960170/6310366696017011092023144851.pdf","https://dpmzos25m8ivg.cloudfront.net/Documentos/631/03666960170/6310366696017011092023144851.pdf")</f>
        <v>https://dpmzos25m8ivg.cloudfront.net/Documentos/631/03666960170/6310366696017011092023144851.pdf</v>
      </c>
      <c r="H1498" s="4" t="s">
        <v>10081</v>
      </c>
    </row>
    <row r="1499" spans="1:8" x14ac:dyDescent="0.25">
      <c r="A1499" s="2" t="s">
        <v>1513</v>
      </c>
      <c r="B1499" s="3"/>
      <c r="C1499" s="3"/>
      <c r="D1499" s="3"/>
      <c r="E1499" s="4" t="str">
        <f>HYPERLINK("https://dpmzos25m8ivg.cloudfront.net/Documentos/631/03667627378/6310366762737809092023195946.jpg","https://dpmzos25m8ivg.cloudfront.net/Documentos/631/03667627378/6310366762737809092023195946.jpg")</f>
        <v>https://dpmzos25m8ivg.cloudfront.net/Documentos/631/03667627378/6310366762737809092023195946.jpg</v>
      </c>
      <c r="F1499" s="5" t="str">
        <f>HYPERLINK("https://dpmzos25m8ivg.cloudfront.net/Documentos/631/03667627378/6310366762737809092023200002.jpg","https://dpmzos25m8ivg.cloudfront.net/Documentos/631/03667627378/6310366762737809092023200002.jpg")</f>
        <v>https://dpmzos25m8ivg.cloudfront.net/Documentos/631/03667627378/6310366762737809092023200002.jpg</v>
      </c>
      <c r="G1499" s="5" t="str">
        <f>HYPERLINK("https://dpmzos25m8ivg.cloudfront.net/Documentos/631/03667627378/6310366762737809092023200018.jpg","https://dpmzos25m8ivg.cloudfront.net/Documentos/631/03667627378/6310366762737809092023200018.jpg")</f>
        <v>https://dpmzos25m8ivg.cloudfront.net/Documentos/631/03667627378/6310366762737809092023200018.jpg</v>
      </c>
      <c r="H1499" s="4" t="s">
        <v>10082</v>
      </c>
    </row>
    <row r="1500" spans="1:8" x14ac:dyDescent="0.25">
      <c r="A1500" s="2" t="s">
        <v>1514</v>
      </c>
      <c r="B1500" s="3"/>
      <c r="C1500" s="3"/>
      <c r="D1500" s="3"/>
      <c r="E1500" s="4" t="str">
        <f>HYPERLINK("https://dpmzos25m8ivg.cloudfront.net/Documentos/631/03669507035/6310366950703511092023081438.jpg","https://dpmzos25m8ivg.cloudfront.net/Documentos/631/03669507035/6310366950703511092023081438.jpg")</f>
        <v>https://dpmzos25m8ivg.cloudfront.net/Documentos/631/03669507035/6310366950703511092023081438.jpg</v>
      </c>
      <c r="F1500" s="5" t="str">
        <f>HYPERLINK("https://dpmzos25m8ivg.cloudfront.net/Documentos/631/03669507035/6310366950703511092023081457.jpg","https://dpmzos25m8ivg.cloudfront.net/Documentos/631/03669507035/6310366950703511092023081457.jpg")</f>
        <v>https://dpmzos25m8ivg.cloudfront.net/Documentos/631/03669507035/6310366950703511092023081457.jpg</v>
      </c>
      <c r="G1500" s="5" t="str">
        <f>HYPERLINK("https://dpmzos25m8ivg.cloudfront.net/Documentos/631/03669507035/6310366950703511092023081515.jpg","https://dpmzos25m8ivg.cloudfront.net/Documentos/631/03669507035/6310366950703511092023081515.jpg")</f>
        <v>https://dpmzos25m8ivg.cloudfront.net/Documentos/631/03669507035/6310366950703511092023081515.jpg</v>
      </c>
      <c r="H1500" s="4" t="s">
        <v>10083</v>
      </c>
    </row>
    <row r="1501" spans="1:8" x14ac:dyDescent="0.25">
      <c r="A1501" s="2" t="s">
        <v>1515</v>
      </c>
      <c r="B1501" s="3"/>
      <c r="C1501" s="3"/>
      <c r="D1501" s="3"/>
      <c r="E1501" s="4" t="str">
        <f>HYPERLINK("https://dpmzos25m8ivg.cloudfront.net/Documentos/631/03674567610/6310367456761005092023203630.jpeg","https://dpmzos25m8ivg.cloudfront.net/Documentos/631/03674567610/6310367456761005092023203630.jpeg")</f>
        <v>https://dpmzos25m8ivg.cloudfront.net/Documentos/631/03674567610/6310367456761005092023203630.jpeg</v>
      </c>
      <c r="F1501" s="5" t="str">
        <f>HYPERLINK("https://dpmzos25m8ivg.cloudfront.net/Documentos/631/03674567610/6310367456761005092023203641.jpeg","https://dpmzos25m8ivg.cloudfront.net/Documentos/631/03674567610/6310367456761005092023203641.jpeg")</f>
        <v>https://dpmzos25m8ivg.cloudfront.net/Documentos/631/03674567610/6310367456761005092023203641.jpeg</v>
      </c>
      <c r="G1501" s="5" t="str">
        <f>HYPERLINK("https://dpmzos25m8ivg.cloudfront.net/Documentos/631/03674567610/6310367456761005092023203700.jpeg","https://dpmzos25m8ivg.cloudfront.net/Documentos/631/03674567610/6310367456761005092023203700.jpeg")</f>
        <v>https://dpmzos25m8ivg.cloudfront.net/Documentos/631/03674567610/6310367456761005092023203700.jpeg</v>
      </c>
      <c r="H1501" s="4" t="s">
        <v>10084</v>
      </c>
    </row>
    <row r="1502" spans="1:8" x14ac:dyDescent="0.25">
      <c r="A1502" s="2" t="s">
        <v>1516</v>
      </c>
      <c r="B1502" s="3"/>
      <c r="C1502" s="3"/>
      <c r="D1502" s="3"/>
      <c r="E1502" s="4" t="str">
        <f>HYPERLINK("https://dpmzos25m8ivg.cloudfront.net/Documentos/631/03674982196/6310367498219611092023153325.pdf","https://dpmzos25m8ivg.cloudfront.net/Documentos/631/03674982196/6310367498219611092023153325.pdf")</f>
        <v>https://dpmzos25m8ivg.cloudfront.net/Documentos/631/03674982196/6310367498219611092023153325.pdf</v>
      </c>
      <c r="F1502" s="5" t="str">
        <f>HYPERLINK("https://dpmzos25m8ivg.cloudfront.net/Documentos/631/03674982196/6310367498219611092023153331.pdf","https://dpmzos25m8ivg.cloudfront.net/Documentos/631/03674982196/6310367498219611092023153331.pdf")</f>
        <v>https://dpmzos25m8ivg.cloudfront.net/Documentos/631/03674982196/6310367498219611092023153331.pdf</v>
      </c>
      <c r="G1502" s="5" t="str">
        <f>HYPERLINK("https://dpmzos25m8ivg.cloudfront.net/Documentos/631/03674982196/6310367498219611092023153338.pdf","https://dpmzos25m8ivg.cloudfront.net/Documentos/631/03674982196/6310367498219611092023153338.pdf")</f>
        <v>https://dpmzos25m8ivg.cloudfront.net/Documentos/631/03674982196/6310367498219611092023153338.pdf</v>
      </c>
      <c r="H1502" s="4" t="s">
        <v>10085</v>
      </c>
    </row>
    <row r="1503" spans="1:8" x14ac:dyDescent="0.25">
      <c r="A1503" s="2" t="s">
        <v>1517</v>
      </c>
      <c r="B1503" s="3"/>
      <c r="C1503" s="3"/>
      <c r="D1503" s="3"/>
      <c r="E1503" s="4" t="str">
        <f>HYPERLINK("https://dpmzos25m8ivg.cloudfront.net/Documentos/631/03676372000/6310367637200010092023225100.pdf","https://dpmzos25m8ivg.cloudfront.net/Documentos/631/03676372000/6310367637200010092023225100.pdf")</f>
        <v>https://dpmzos25m8ivg.cloudfront.net/Documentos/631/03676372000/6310367637200010092023225100.pdf</v>
      </c>
      <c r="F1503" s="5" t="str">
        <f>HYPERLINK("https://dpmzos25m8ivg.cloudfront.net/Documentos/631/03676372000/6310367637200010092023225116.pdf","https://dpmzos25m8ivg.cloudfront.net/Documentos/631/03676372000/6310367637200010092023225116.pdf")</f>
        <v>https://dpmzos25m8ivg.cloudfront.net/Documentos/631/03676372000/6310367637200010092023225116.pdf</v>
      </c>
      <c r="G1503" s="5" t="str">
        <f>HYPERLINK("https://dpmzos25m8ivg.cloudfront.net/Documentos/631/03676372000/6310367637200010092023225130.pdf","https://dpmzos25m8ivg.cloudfront.net/Documentos/631/03676372000/6310367637200010092023225130.pdf")</f>
        <v>https://dpmzos25m8ivg.cloudfront.net/Documentos/631/03676372000/6310367637200010092023225130.pdf</v>
      </c>
      <c r="H1503" s="4" t="s">
        <v>10086</v>
      </c>
    </row>
    <row r="1504" spans="1:8" x14ac:dyDescent="0.25">
      <c r="A1504" s="2" t="s">
        <v>1518</v>
      </c>
      <c r="B1504" s="3" t="s">
        <v>312</v>
      </c>
      <c r="C1504" s="3"/>
      <c r="D1504" s="3"/>
      <c r="E1504" s="4" t="str">
        <f>HYPERLINK("https://dpmzos25m8ivg.cloudfront.net/Documentos/631/03679879377/6310367987937706092023144318.pdf","https://dpmzos25m8ivg.cloudfront.net/Documentos/631/03679879377/6310367987937706092023144318.pdf")</f>
        <v>https://dpmzos25m8ivg.cloudfront.net/Documentos/631/03679879377/6310367987937706092023144318.pdf</v>
      </c>
      <c r="F1504" s="5" t="str">
        <f>HYPERLINK("https://dpmzos25m8ivg.cloudfront.net/Documentos/631/03679879377/6310367987937706092023144332.pdf","https://dpmzos25m8ivg.cloudfront.net/Documentos/631/03679879377/6310367987937706092023144332.pdf")</f>
        <v>https://dpmzos25m8ivg.cloudfront.net/Documentos/631/03679879377/6310367987937706092023144332.pdf</v>
      </c>
      <c r="G1504" s="5" t="str">
        <f>HYPERLINK("https://dpmzos25m8ivg.cloudfront.net/Documentos/631/03679879377/6310367987937706092023144350.pdf","https://dpmzos25m8ivg.cloudfront.net/Documentos/631/03679879377/6310367987937706092023144350.pdf")</f>
        <v>https://dpmzos25m8ivg.cloudfront.net/Documentos/631/03679879377/6310367987937706092023144350.pdf</v>
      </c>
      <c r="H1504" s="4" t="s">
        <v>10087</v>
      </c>
    </row>
    <row r="1505" spans="1:8" x14ac:dyDescent="0.25">
      <c r="A1505" s="2" t="s">
        <v>1519</v>
      </c>
      <c r="B1505" s="3"/>
      <c r="C1505" s="3"/>
      <c r="D1505" s="3"/>
      <c r="E1505" s="4" t="str">
        <f>HYPERLINK("https://dpmzos25m8ivg.cloudfront.net/Documentos/631/03680389558/6310368038955806092023115515.pdf","https://dpmzos25m8ivg.cloudfront.net/Documentos/631/03680389558/6310368038955806092023115515.pdf")</f>
        <v>https://dpmzos25m8ivg.cloudfront.net/Documentos/631/03680389558/6310368038955806092023115515.pdf</v>
      </c>
      <c r="F1505" s="5" t="str">
        <f>HYPERLINK("https://dpmzos25m8ivg.cloudfront.net/Documentos/631/03680389558/6310368038955806092023115533.pdf","https://dpmzos25m8ivg.cloudfront.net/Documentos/631/03680389558/6310368038955806092023115533.pdf")</f>
        <v>https://dpmzos25m8ivg.cloudfront.net/Documentos/631/03680389558/6310368038955806092023115533.pdf</v>
      </c>
      <c r="G1505" s="5" t="str">
        <f>HYPERLINK("https://dpmzos25m8ivg.cloudfront.net/Documentos/631/03680389558/6310368038955806092023115552.pdf","https://dpmzos25m8ivg.cloudfront.net/Documentos/631/03680389558/6310368038955806092023115552.pdf")</f>
        <v>https://dpmzos25m8ivg.cloudfront.net/Documentos/631/03680389558/6310368038955806092023115552.pdf</v>
      </c>
      <c r="H1505" s="4" t="s">
        <v>10088</v>
      </c>
    </row>
    <row r="1506" spans="1:8" x14ac:dyDescent="0.25">
      <c r="A1506" s="2" t="s">
        <v>1520</v>
      </c>
      <c r="B1506" s="3"/>
      <c r="C1506" s="3"/>
      <c r="D1506" s="3"/>
      <c r="E1506" s="4" t="str">
        <f>HYPERLINK("https://dpmzos25m8ivg.cloudfront.net/Documentos/631/03681189838/6310368118983811092023140127.pdf","https://dpmzos25m8ivg.cloudfront.net/Documentos/631/03681189838/6310368118983811092023140127.pdf")</f>
        <v>https://dpmzos25m8ivg.cloudfront.net/Documentos/631/03681189838/6310368118983811092023140127.pdf</v>
      </c>
      <c r="F1506" s="5" t="str">
        <f>HYPERLINK("https://dpmzos25m8ivg.cloudfront.net/Documentos/631/03681189838/6310368118983811092023140146.pdf","https://dpmzos25m8ivg.cloudfront.net/Documentos/631/03681189838/6310368118983811092023140146.pdf")</f>
        <v>https://dpmzos25m8ivg.cloudfront.net/Documentos/631/03681189838/6310368118983811092023140146.pdf</v>
      </c>
      <c r="G1506" s="5" t="str">
        <f>HYPERLINK("https://dpmzos25m8ivg.cloudfront.net/Documentos/631/03681189838/6310368118983811092023140201.pdf","https://dpmzos25m8ivg.cloudfront.net/Documentos/631/03681189838/6310368118983811092023140201.pdf")</f>
        <v>https://dpmzos25m8ivg.cloudfront.net/Documentos/631/03681189838/6310368118983811092023140201.pdf</v>
      </c>
      <c r="H1506" s="4" t="s">
        <v>10089</v>
      </c>
    </row>
    <row r="1507" spans="1:8" x14ac:dyDescent="0.25">
      <c r="A1507" s="2" t="s">
        <v>1521</v>
      </c>
      <c r="B1507" s="3"/>
      <c r="C1507" s="3"/>
      <c r="D1507" s="3"/>
      <c r="E1507" s="4" t="str">
        <f>HYPERLINK("https://dpmzos25m8ivg.cloudfront.net/Documentos/631/03682840346/6310368284034611092023145125.pdf","https://dpmzos25m8ivg.cloudfront.net/Documentos/631/03682840346/6310368284034611092023145125.pdf")</f>
        <v>https://dpmzos25m8ivg.cloudfront.net/Documentos/631/03682840346/6310368284034611092023145125.pdf</v>
      </c>
      <c r="F1507" s="5" t="str">
        <f>HYPERLINK("https://dpmzos25m8ivg.cloudfront.net/Documentos/631/03682840346/6310368284034611092023145135.pdf","https://dpmzos25m8ivg.cloudfront.net/Documentos/631/03682840346/6310368284034611092023145135.pdf")</f>
        <v>https://dpmzos25m8ivg.cloudfront.net/Documentos/631/03682840346/6310368284034611092023145135.pdf</v>
      </c>
      <c r="G1507" s="5" t="str">
        <f>HYPERLINK("https://dpmzos25m8ivg.cloudfront.net/Documentos/631/03682840346/6310368284034611092023145144.pdf","https://dpmzos25m8ivg.cloudfront.net/Documentos/631/03682840346/6310368284034611092023145144.pdf")</f>
        <v>https://dpmzos25m8ivg.cloudfront.net/Documentos/631/03682840346/6310368284034611092023145144.pdf</v>
      </c>
      <c r="H1507" s="4" t="s">
        <v>10090</v>
      </c>
    </row>
    <row r="1508" spans="1:8" x14ac:dyDescent="0.25">
      <c r="A1508" s="2" t="s">
        <v>1522</v>
      </c>
      <c r="B1508" s="3"/>
      <c r="C1508" s="3"/>
      <c r="D1508" s="3"/>
      <c r="E1508" s="4" t="str">
        <f>HYPERLINK("https://dpmzos25m8ivg.cloudfront.net/Documentos/631/03684671550/6310368467155011092023101827.jpg","https://dpmzos25m8ivg.cloudfront.net/Documentos/631/03684671550/6310368467155011092023101827.jpg")</f>
        <v>https://dpmzos25m8ivg.cloudfront.net/Documentos/631/03684671550/6310368467155011092023101827.jpg</v>
      </c>
      <c r="F1508" s="5" t="str">
        <f>HYPERLINK("https://dpmzos25m8ivg.cloudfront.net/Documentos/631/03684671550/6310368467155011092023101839.jpg","https://dpmzos25m8ivg.cloudfront.net/Documentos/631/03684671550/6310368467155011092023101839.jpg")</f>
        <v>https://dpmzos25m8ivg.cloudfront.net/Documentos/631/03684671550/6310368467155011092023101839.jpg</v>
      </c>
      <c r="G1508" s="5" t="str">
        <f>HYPERLINK("https://dpmzos25m8ivg.cloudfront.net/Documentos/631/03684671550/6310368467155011092023101851.jpg","https://dpmzos25m8ivg.cloudfront.net/Documentos/631/03684671550/6310368467155011092023101851.jpg")</f>
        <v>https://dpmzos25m8ivg.cloudfront.net/Documentos/631/03684671550/6310368467155011092023101851.jpg</v>
      </c>
      <c r="H1508" s="4" t="s">
        <v>10091</v>
      </c>
    </row>
    <row r="1509" spans="1:8" x14ac:dyDescent="0.25">
      <c r="A1509" s="2" t="s">
        <v>1523</v>
      </c>
      <c r="B1509" s="3" t="s">
        <v>308</v>
      </c>
      <c r="C1509" s="3"/>
      <c r="D1509" s="3"/>
      <c r="E1509" s="4" t="str">
        <f>HYPERLINK("https://dpmzos25m8ivg.cloudfront.net/Documentos/631/03685178296/6310368517829611092023161112.pdf","https://dpmzos25m8ivg.cloudfront.net/Documentos/631/03685178296/6310368517829611092023161112.pdf")</f>
        <v>https://dpmzos25m8ivg.cloudfront.net/Documentos/631/03685178296/6310368517829611092023161112.pdf</v>
      </c>
      <c r="F1509" s="5" t="str">
        <f>HYPERLINK("https://dpmzos25m8ivg.cloudfront.net/Documentos/631/03685178296/6310368517829611092023161247.jpg","https://dpmzos25m8ivg.cloudfront.net/Documentos/631/03685178296/6310368517829611092023161247.jpg")</f>
        <v>https://dpmzos25m8ivg.cloudfront.net/Documentos/631/03685178296/6310368517829611092023161247.jpg</v>
      </c>
      <c r="G1509" s="5" t="str">
        <f>HYPERLINK("https://dpmzos25m8ivg.cloudfront.net/Documentos/631/03685178296/6310368517829611092023161456.pdf","https://dpmzos25m8ivg.cloudfront.net/Documentos/631/03685178296/6310368517829611092023161456.pdf")</f>
        <v>https://dpmzos25m8ivg.cloudfront.net/Documentos/631/03685178296/6310368517829611092023161456.pdf</v>
      </c>
      <c r="H1509" s="4" t="s">
        <v>10092</v>
      </c>
    </row>
    <row r="1510" spans="1:8" x14ac:dyDescent="0.25">
      <c r="A1510" s="2" t="s">
        <v>1524</v>
      </c>
      <c r="B1510" s="3"/>
      <c r="C1510" s="3"/>
      <c r="D1510" s="3"/>
      <c r="E1510" s="4" t="str">
        <f>HYPERLINK("https://dpmzos25m8ivg.cloudfront.net/Documentos/631/03685197835/6310368519783506092023085447.pdf","https://dpmzos25m8ivg.cloudfront.net/Documentos/631/03685197835/6310368519783506092023085447.pdf")</f>
        <v>https://dpmzos25m8ivg.cloudfront.net/Documentos/631/03685197835/6310368519783506092023085447.pdf</v>
      </c>
      <c r="F1510" s="5" t="str">
        <f>HYPERLINK("https://dpmzos25m8ivg.cloudfront.net/Documentos/631/03685197835/6310368519783506092023085505.pdf","https://dpmzos25m8ivg.cloudfront.net/Documentos/631/03685197835/6310368519783506092023085505.pdf")</f>
        <v>https://dpmzos25m8ivg.cloudfront.net/Documentos/631/03685197835/6310368519783506092023085505.pdf</v>
      </c>
      <c r="G1510" s="5" t="str">
        <f>HYPERLINK("https://dpmzos25m8ivg.cloudfront.net/Documentos/631/03685197835/6310368519783506092023085520.pdf","https://dpmzos25m8ivg.cloudfront.net/Documentos/631/03685197835/6310368519783506092023085520.pdf")</f>
        <v>https://dpmzos25m8ivg.cloudfront.net/Documentos/631/03685197835/6310368519783506092023085520.pdf</v>
      </c>
      <c r="H1510" s="4" t="s">
        <v>10093</v>
      </c>
    </row>
    <row r="1511" spans="1:8" x14ac:dyDescent="0.25">
      <c r="A1511" s="2" t="s">
        <v>1525</v>
      </c>
      <c r="B1511" s="3" t="s">
        <v>308</v>
      </c>
      <c r="C1511" s="3"/>
      <c r="D1511" s="3"/>
      <c r="E1511" s="4" t="str">
        <f>HYPERLINK("https://dpmzos25m8ivg.cloudfront.net/Documentos/631/03688728238/6310368872823804092023224330.pdf","https://dpmzos25m8ivg.cloudfront.net/Documentos/631/03688728238/6310368872823804092023224330.pdf")</f>
        <v>https://dpmzos25m8ivg.cloudfront.net/Documentos/631/03688728238/6310368872823804092023224330.pdf</v>
      </c>
      <c r="F1511" s="5" t="str">
        <f>HYPERLINK("https://dpmzos25m8ivg.cloudfront.net/Documentos/631/03688728238/6310368872823804092023224343.pdf","https://dpmzos25m8ivg.cloudfront.net/Documentos/631/03688728238/6310368872823804092023224343.pdf")</f>
        <v>https://dpmzos25m8ivg.cloudfront.net/Documentos/631/03688728238/6310368872823804092023224343.pdf</v>
      </c>
      <c r="G1511" s="5" t="str">
        <f>HYPERLINK("https://dpmzos25m8ivg.cloudfront.net/Documentos/631/03688728238/6310368872823805092023093738.pdf","https://dpmzos25m8ivg.cloudfront.net/Documentos/631/03688728238/6310368872823805092023093738.pdf")</f>
        <v>https://dpmzos25m8ivg.cloudfront.net/Documentos/631/03688728238/6310368872823805092023093738.pdf</v>
      </c>
      <c r="H1511" s="4" t="s">
        <v>10094</v>
      </c>
    </row>
    <row r="1512" spans="1:8" x14ac:dyDescent="0.25">
      <c r="A1512" s="2" t="s">
        <v>1526</v>
      </c>
      <c r="B1512" s="3"/>
      <c r="C1512" s="3"/>
      <c r="D1512" s="3"/>
      <c r="E1512" s="4" t="str">
        <f>HYPERLINK("https://dpmzos25m8ivg.cloudfront.net/Documentos/631/03690332303/6310369033230306092023172231.pdf","https://dpmzos25m8ivg.cloudfront.net/Documentos/631/03690332303/6310369033230306092023172231.pdf")</f>
        <v>https://dpmzos25m8ivg.cloudfront.net/Documentos/631/03690332303/6310369033230306092023172231.pdf</v>
      </c>
      <c r="F1512" s="5" t="str">
        <f>HYPERLINK("https://dpmzos25m8ivg.cloudfront.net/Documentos/631/03690332303/6310369033230306092023172256.pdf","https://dpmzos25m8ivg.cloudfront.net/Documentos/631/03690332303/6310369033230306092023172256.pdf")</f>
        <v>https://dpmzos25m8ivg.cloudfront.net/Documentos/631/03690332303/6310369033230306092023172256.pdf</v>
      </c>
      <c r="G1512" s="5" t="str">
        <f>HYPERLINK("https://dpmzos25m8ivg.cloudfront.net/Documentos/631/03690332303/6310369033230306092023172324.pdf","https://dpmzos25m8ivg.cloudfront.net/Documentos/631/03690332303/6310369033230306092023172324.pdf")</f>
        <v>https://dpmzos25m8ivg.cloudfront.net/Documentos/631/03690332303/6310369033230306092023172324.pdf</v>
      </c>
      <c r="H1512" s="4" t="s">
        <v>10095</v>
      </c>
    </row>
    <row r="1513" spans="1:8" x14ac:dyDescent="0.25">
      <c r="A1513" s="2" t="s">
        <v>1527</v>
      </c>
      <c r="B1513" s="3" t="s">
        <v>308</v>
      </c>
      <c r="C1513" s="3"/>
      <c r="D1513" s="3"/>
      <c r="E1513" s="4" t="str">
        <f>HYPERLINK("https://dpmzos25m8ivg.cloudfront.net/Documentos/631/03691319165/6310369131916509092023154455.pdf","https://dpmzos25m8ivg.cloudfront.net/Documentos/631/03691319165/6310369131916509092023154455.pdf")</f>
        <v>https://dpmzos25m8ivg.cloudfront.net/Documentos/631/03691319165/6310369131916509092023154455.pdf</v>
      </c>
      <c r="F1513" s="5" t="str">
        <f>HYPERLINK("https://dpmzos25m8ivg.cloudfront.net/Documentos/631/03691319165/6310369131916509092023154547.pdf","https://dpmzos25m8ivg.cloudfront.net/Documentos/631/03691319165/6310369131916509092023154547.pdf")</f>
        <v>https://dpmzos25m8ivg.cloudfront.net/Documentos/631/03691319165/6310369131916509092023154547.pdf</v>
      </c>
      <c r="G1513" s="5" t="str">
        <f>HYPERLINK("https://dpmzos25m8ivg.cloudfront.net/Documentos/631/03691319165/6310369131916509092023154731.pdf","https://dpmzos25m8ivg.cloudfront.net/Documentos/631/03691319165/6310369131916509092023154731.pdf")</f>
        <v>https://dpmzos25m8ivg.cloudfront.net/Documentos/631/03691319165/6310369131916509092023154731.pdf</v>
      </c>
      <c r="H1513" s="4" t="s">
        <v>10096</v>
      </c>
    </row>
    <row r="1514" spans="1:8" x14ac:dyDescent="0.25">
      <c r="A1514" s="2" t="s">
        <v>1528</v>
      </c>
      <c r="B1514" s="3"/>
      <c r="C1514" s="3"/>
      <c r="D1514" s="3"/>
      <c r="E1514" s="4" t="str">
        <f>HYPERLINK("https://dpmzos25m8ivg.cloudfront.net/Documentos/631/03691831265/6310369183126509092023213118.pdf","https://dpmzos25m8ivg.cloudfront.net/Documentos/631/03691831265/6310369183126509092023213118.pdf")</f>
        <v>https://dpmzos25m8ivg.cloudfront.net/Documentos/631/03691831265/6310369183126509092023213118.pdf</v>
      </c>
      <c r="F1514" s="5" t="str">
        <f>HYPERLINK("https://dpmzos25m8ivg.cloudfront.net/Documentos/631/03691831265/6310369183126509092023213101.pdf","https://dpmzos25m8ivg.cloudfront.net/Documentos/631/03691831265/6310369183126509092023213101.pdf")</f>
        <v>https://dpmzos25m8ivg.cloudfront.net/Documentos/631/03691831265/6310369183126509092023213101.pdf</v>
      </c>
      <c r="G1514" s="5" t="str">
        <f>HYPERLINK("https://dpmzos25m8ivg.cloudfront.net/Documentos/631/03691831265/6310369183126509092023213042.pdf","https://dpmzos25m8ivg.cloudfront.net/Documentos/631/03691831265/6310369183126509092023213042.pdf")</f>
        <v>https://dpmzos25m8ivg.cloudfront.net/Documentos/631/03691831265/6310369183126509092023213042.pdf</v>
      </c>
      <c r="H1514" s="4" t="s">
        <v>10097</v>
      </c>
    </row>
    <row r="1515" spans="1:8" x14ac:dyDescent="0.25">
      <c r="A1515" s="2" t="s">
        <v>1529</v>
      </c>
      <c r="B1515" s="3"/>
      <c r="C1515" s="3"/>
      <c r="D1515" s="3"/>
      <c r="E1515" s="4" t="str">
        <f>HYPERLINK("https://dpmzos25m8ivg.cloudfront.net/Documentos/631/03693265550/6310369326555010092023172257.pdf","https://dpmzos25m8ivg.cloudfront.net/Documentos/631/03693265550/6310369326555010092023172257.pdf")</f>
        <v>https://dpmzos25m8ivg.cloudfront.net/Documentos/631/03693265550/6310369326555010092023172257.pdf</v>
      </c>
      <c r="F1515" s="5" t="str">
        <f>HYPERLINK("https://dpmzos25m8ivg.cloudfront.net/Documentos/631/03693265550/6310369326555010092023172329.pdf","https://dpmzos25m8ivg.cloudfront.net/Documentos/631/03693265550/6310369326555010092023172329.pdf")</f>
        <v>https://dpmzos25m8ivg.cloudfront.net/Documentos/631/03693265550/6310369326555010092023172329.pdf</v>
      </c>
      <c r="G1515" s="5" t="str">
        <f>HYPERLINK("https://dpmzos25m8ivg.cloudfront.net/Documentos/631/03693265550/6310369326555010092023172405.pdf","https://dpmzos25m8ivg.cloudfront.net/Documentos/631/03693265550/6310369326555010092023172405.pdf")</f>
        <v>https://dpmzos25m8ivg.cloudfront.net/Documentos/631/03693265550/6310369326555010092023172405.pdf</v>
      </c>
      <c r="H1515" s="4" t="s">
        <v>10098</v>
      </c>
    </row>
    <row r="1516" spans="1:8" x14ac:dyDescent="0.25">
      <c r="A1516" s="2" t="s">
        <v>1530</v>
      </c>
      <c r="B1516" s="3"/>
      <c r="C1516" s="3"/>
      <c r="D1516" s="3"/>
      <c r="E1516" s="4" t="str">
        <f>HYPERLINK("https://dpmzos25m8ivg.cloudfront.net/Documentos/631/03694273352/6310369427335211092023161042.pdf","https://dpmzos25m8ivg.cloudfront.net/Documentos/631/03694273352/6310369427335211092023161042.pdf")</f>
        <v>https://dpmzos25m8ivg.cloudfront.net/Documentos/631/03694273352/6310369427335211092023161042.pdf</v>
      </c>
      <c r="F1516" s="5" t="str">
        <f>HYPERLINK("https://dpmzos25m8ivg.cloudfront.net/Documentos/631/03694273352/6310369427335211092023161110.pdf","https://dpmzos25m8ivg.cloudfront.net/Documentos/631/03694273352/6310369427335211092023161110.pdf")</f>
        <v>https://dpmzos25m8ivg.cloudfront.net/Documentos/631/03694273352/6310369427335211092023161110.pdf</v>
      </c>
      <c r="G1516" s="5" t="str">
        <f>HYPERLINK("https://dpmzos25m8ivg.cloudfront.net/Documentos/631/03694273352/6310369427335211092023161121.pdf","https://dpmzos25m8ivg.cloudfront.net/Documentos/631/03694273352/6310369427335211092023161121.pdf")</f>
        <v>https://dpmzos25m8ivg.cloudfront.net/Documentos/631/03694273352/6310369427335211092023161121.pdf</v>
      </c>
      <c r="H1516" s="4" t="s">
        <v>10099</v>
      </c>
    </row>
    <row r="1517" spans="1:8" x14ac:dyDescent="0.25">
      <c r="A1517" s="2" t="s">
        <v>1531</v>
      </c>
      <c r="B1517" s="3" t="s">
        <v>312</v>
      </c>
      <c r="C1517" s="3"/>
      <c r="D1517" s="3"/>
      <c r="E1517" s="4" t="str">
        <f>HYPERLINK("https://dpmzos25m8ivg.cloudfront.net/Documentos/631/03703200340/6310370320034006092023164658.jpeg","https://dpmzos25m8ivg.cloudfront.net/Documentos/631/03703200340/6310370320034006092023164658.jpeg")</f>
        <v>https://dpmzos25m8ivg.cloudfront.net/Documentos/631/03703200340/6310370320034006092023164658.jpeg</v>
      </c>
      <c r="F1517" s="5" t="str">
        <f>HYPERLINK("https://dpmzos25m8ivg.cloudfront.net/Documentos/631/03703200340/6310370320034006092023164746.jpeg","https://dpmzos25m8ivg.cloudfront.net/Documentos/631/03703200340/6310370320034006092023164746.jpeg")</f>
        <v>https://dpmzos25m8ivg.cloudfront.net/Documentos/631/03703200340/6310370320034006092023164746.jpeg</v>
      </c>
      <c r="G1517" s="5" t="str">
        <f>HYPERLINK("https://dpmzos25m8ivg.cloudfront.net/Documentos/631/03703200340/6310370320034006092023164831.jpeg","https://dpmzos25m8ivg.cloudfront.net/Documentos/631/03703200340/6310370320034006092023164831.jpeg")</f>
        <v>https://dpmzos25m8ivg.cloudfront.net/Documentos/631/03703200340/6310370320034006092023164831.jpeg</v>
      </c>
      <c r="H1517" s="4" t="s">
        <v>9010</v>
      </c>
    </row>
    <row r="1518" spans="1:8" x14ac:dyDescent="0.25">
      <c r="A1518" s="2" t="s">
        <v>1532</v>
      </c>
      <c r="B1518" s="3" t="s">
        <v>23</v>
      </c>
      <c r="C1518" s="3"/>
      <c r="D1518" s="3"/>
      <c r="E1518" s="4" t="str">
        <f>HYPERLINK("https://dpmzos25m8ivg.cloudfront.net/Documentos/631/03704915483/6310370491548310092023213350.pdf","https://dpmzos25m8ivg.cloudfront.net/Documentos/631/03704915483/6310370491548310092023213350.pdf")</f>
        <v>https://dpmzos25m8ivg.cloudfront.net/Documentos/631/03704915483/6310370491548310092023213350.pdf</v>
      </c>
      <c r="F1518" s="5" t="str">
        <f>HYPERLINK("https://dpmzos25m8ivg.cloudfront.net/Documentos/631/03704915483/6310370491548310092023213415.pdf","https://dpmzos25m8ivg.cloudfront.net/Documentos/631/03704915483/6310370491548310092023213415.pdf")</f>
        <v>https://dpmzos25m8ivg.cloudfront.net/Documentos/631/03704915483/6310370491548310092023213415.pdf</v>
      </c>
      <c r="G1518" s="5" t="str">
        <f>HYPERLINK("https://dpmzos25m8ivg.cloudfront.net/Documentos/631/03704915483/6310370491548310092023213437.pdf","https://dpmzos25m8ivg.cloudfront.net/Documentos/631/03704915483/6310370491548310092023213437.pdf")</f>
        <v>https://dpmzos25m8ivg.cloudfront.net/Documentos/631/03704915483/6310370491548310092023213437.pdf</v>
      </c>
      <c r="H1518" s="4" t="s">
        <v>10100</v>
      </c>
    </row>
    <row r="1519" spans="1:8" x14ac:dyDescent="0.25">
      <c r="A1519" s="2" t="s">
        <v>1533</v>
      </c>
      <c r="B1519" s="3"/>
      <c r="C1519" s="3"/>
      <c r="D1519" s="3"/>
      <c r="E1519" s="4" t="str">
        <f>HYPERLINK("https://dpmzos25m8ivg.cloudfront.net/Documentos/631/03706005506/6310370600550611092023080813.pdf","https://dpmzos25m8ivg.cloudfront.net/Documentos/631/03706005506/6310370600550611092023080813.pdf")</f>
        <v>https://dpmzos25m8ivg.cloudfront.net/Documentos/631/03706005506/6310370600550611092023080813.pdf</v>
      </c>
      <c r="F1519" s="5" t="str">
        <f>HYPERLINK("https://dpmzos25m8ivg.cloudfront.net/Documentos/631/03706005506/6310370600550611092023080855.pdf","https://dpmzos25m8ivg.cloudfront.net/Documentos/631/03706005506/6310370600550611092023080855.pdf")</f>
        <v>https://dpmzos25m8ivg.cloudfront.net/Documentos/631/03706005506/6310370600550611092023080855.pdf</v>
      </c>
      <c r="G1519" s="5" t="str">
        <f>HYPERLINK("https://dpmzos25m8ivg.cloudfront.net/Documentos/631/03706005506/6310370600550611092023080912.pdf","https://dpmzos25m8ivg.cloudfront.net/Documentos/631/03706005506/6310370600550611092023080912.pdf")</f>
        <v>https://dpmzos25m8ivg.cloudfront.net/Documentos/631/03706005506/6310370600550611092023080912.pdf</v>
      </c>
      <c r="H1519" s="4" t="s">
        <v>10101</v>
      </c>
    </row>
    <row r="1520" spans="1:8" x14ac:dyDescent="0.25">
      <c r="A1520" s="2" t="s">
        <v>1534</v>
      </c>
      <c r="B1520" s="3"/>
      <c r="C1520" s="3"/>
      <c r="D1520" s="3"/>
      <c r="E1520" s="4" t="str">
        <f>HYPERLINK("https://dpmzos25m8ivg.cloudfront.net/Documentos/631/03706499312/6310370649931211092023152813.pdf","https://dpmzos25m8ivg.cloudfront.net/Documentos/631/03706499312/6310370649931211092023152813.pdf")</f>
        <v>https://dpmzos25m8ivg.cloudfront.net/Documentos/631/03706499312/6310370649931211092023152813.pdf</v>
      </c>
      <c r="F1520" s="5" t="str">
        <f>HYPERLINK("https://dpmzos25m8ivg.cloudfront.net/Documentos/631/03706499312/6310370649931211092023152840.pdf","https://dpmzos25m8ivg.cloudfront.net/Documentos/631/03706499312/6310370649931211092023152840.pdf")</f>
        <v>https://dpmzos25m8ivg.cloudfront.net/Documentos/631/03706499312/6310370649931211092023152840.pdf</v>
      </c>
      <c r="G1520" s="5" t="str">
        <f>HYPERLINK("https://dpmzos25m8ivg.cloudfront.net/Documentos/631/03706499312/6310370649931211092023152855.pdf","https://dpmzos25m8ivg.cloudfront.net/Documentos/631/03706499312/6310370649931211092023152855.pdf")</f>
        <v>https://dpmzos25m8ivg.cloudfront.net/Documentos/631/03706499312/6310370649931211092023152855.pdf</v>
      </c>
      <c r="H1520" s="4" t="s">
        <v>10102</v>
      </c>
    </row>
    <row r="1521" spans="1:8" x14ac:dyDescent="0.25">
      <c r="A1521" s="2" t="s">
        <v>1535</v>
      </c>
      <c r="B1521" s="3" t="s">
        <v>312</v>
      </c>
      <c r="C1521" s="3"/>
      <c r="D1521" s="3"/>
      <c r="E1521" s="4" t="str">
        <f>HYPERLINK("https://dpmzos25m8ivg.cloudfront.net/Documentos/631/03707668142/6310370766814205092023214051.jpeg","https://dpmzos25m8ivg.cloudfront.net/Documentos/631/03707668142/6310370766814205092023214051.jpeg")</f>
        <v>https://dpmzos25m8ivg.cloudfront.net/Documentos/631/03707668142/6310370766814205092023214051.jpeg</v>
      </c>
      <c r="F1521" s="5" t="str">
        <f>HYPERLINK("https://dpmzos25m8ivg.cloudfront.net/Documentos/631/03707668142/6310370766814205092023214112.jpeg","https://dpmzos25m8ivg.cloudfront.net/Documentos/631/03707668142/6310370766814205092023214112.jpeg")</f>
        <v>https://dpmzos25m8ivg.cloudfront.net/Documentos/631/03707668142/6310370766814205092023214112.jpeg</v>
      </c>
      <c r="G1521" s="5" t="str">
        <f>HYPERLINK("https://dpmzos25m8ivg.cloudfront.net/Documentos/631/03707668142/6310370766814205092023214128.jpeg","https://dpmzos25m8ivg.cloudfront.net/Documentos/631/03707668142/6310370766814205092023214128.jpeg")</f>
        <v>https://dpmzos25m8ivg.cloudfront.net/Documentos/631/03707668142/6310370766814205092023214128.jpeg</v>
      </c>
      <c r="H1521" s="4" t="s">
        <v>10103</v>
      </c>
    </row>
    <row r="1522" spans="1:8" x14ac:dyDescent="0.25">
      <c r="A1522" s="2" t="s">
        <v>1536</v>
      </c>
      <c r="B1522" s="3"/>
      <c r="C1522" s="3"/>
      <c r="D1522" s="3"/>
      <c r="E1522" s="4" t="str">
        <f>HYPERLINK("https://dpmzos25m8ivg.cloudfront.net/Documentos/631/03708003543/6310370800354310092023130342.pdf","https://dpmzos25m8ivg.cloudfront.net/Documentos/631/03708003543/6310370800354310092023130342.pdf")</f>
        <v>https://dpmzos25m8ivg.cloudfront.net/Documentos/631/03708003543/6310370800354310092023130342.pdf</v>
      </c>
      <c r="F1522" s="5" t="str">
        <f>HYPERLINK("https://dpmzos25m8ivg.cloudfront.net/Documentos/631/03708003543/6310370800354310092023130431.pdf","https://dpmzos25m8ivg.cloudfront.net/Documentos/631/03708003543/6310370800354310092023130431.pdf")</f>
        <v>https://dpmzos25m8ivg.cloudfront.net/Documentos/631/03708003543/6310370800354310092023130431.pdf</v>
      </c>
      <c r="G1522" s="5" t="str">
        <f>HYPERLINK("https://dpmzos25m8ivg.cloudfront.net/Documentos/631/03708003543/6310370800354310092023130502.pdf","https://dpmzos25m8ivg.cloudfront.net/Documentos/631/03708003543/6310370800354310092023130502.pdf")</f>
        <v>https://dpmzos25m8ivg.cloudfront.net/Documentos/631/03708003543/6310370800354310092023130502.pdf</v>
      </c>
      <c r="H1522" s="4" t="s">
        <v>10104</v>
      </c>
    </row>
    <row r="1523" spans="1:8" x14ac:dyDescent="0.25">
      <c r="A1523" s="2" t="s">
        <v>1537</v>
      </c>
      <c r="B1523" s="3"/>
      <c r="C1523" s="3"/>
      <c r="D1523" s="3"/>
      <c r="E1523" s="4" t="str">
        <f>HYPERLINK("https://dpmzos25m8ivg.cloudfront.net/Documentos/631/03708712196/6310370871219605092023112511.pdf","https://dpmzos25m8ivg.cloudfront.net/Documentos/631/03708712196/6310370871219605092023112511.pdf")</f>
        <v>https://dpmzos25m8ivg.cloudfront.net/Documentos/631/03708712196/6310370871219605092023112511.pdf</v>
      </c>
      <c r="F1523" s="5" t="str">
        <f>HYPERLINK("https://dpmzos25m8ivg.cloudfront.net/Documentos/631/03708712196/6310370871219605092023112533.pdf","https://dpmzos25m8ivg.cloudfront.net/Documentos/631/03708712196/6310370871219605092023112533.pdf")</f>
        <v>https://dpmzos25m8ivg.cloudfront.net/Documentos/631/03708712196/6310370871219605092023112533.pdf</v>
      </c>
      <c r="G1523" s="5" t="str">
        <f>HYPERLINK("https://dpmzos25m8ivg.cloudfront.net/Documentos/631/03708712196/6310370871219605092023112550.pdf","https://dpmzos25m8ivg.cloudfront.net/Documentos/631/03708712196/6310370871219605092023112550.pdf")</f>
        <v>https://dpmzos25m8ivg.cloudfront.net/Documentos/631/03708712196/6310370871219605092023112550.pdf</v>
      </c>
      <c r="H1523" s="4" t="s">
        <v>10105</v>
      </c>
    </row>
    <row r="1524" spans="1:8" x14ac:dyDescent="0.25">
      <c r="A1524" s="2" t="s">
        <v>1538</v>
      </c>
      <c r="B1524" s="3" t="s">
        <v>312</v>
      </c>
      <c r="C1524" s="3"/>
      <c r="D1524" s="3"/>
      <c r="E1524" s="4" t="str">
        <f>HYPERLINK("https://dpmzos25m8ivg.cloudfront.net/Documentos/631/03709436435/6310370943643505092023210557.jpg","https://dpmzos25m8ivg.cloudfront.net/Documentos/631/03709436435/6310370943643505092023210557.jpg")</f>
        <v>https://dpmzos25m8ivg.cloudfront.net/Documentos/631/03709436435/6310370943643505092023210557.jpg</v>
      </c>
      <c r="F1524" s="5" t="str">
        <f>HYPERLINK("https://dpmzos25m8ivg.cloudfront.net/Documentos/631/03709436435/6310370943643505092023210626.jpg","https://dpmzos25m8ivg.cloudfront.net/Documentos/631/03709436435/6310370943643505092023210626.jpg")</f>
        <v>https://dpmzos25m8ivg.cloudfront.net/Documentos/631/03709436435/6310370943643505092023210626.jpg</v>
      </c>
      <c r="G1524" s="5" t="str">
        <f>HYPERLINK("https://dpmzos25m8ivg.cloudfront.net/Documentos/631/03709436435/6310370943643505092023210646.jpg","https://dpmzos25m8ivg.cloudfront.net/Documentos/631/03709436435/6310370943643505092023210646.jpg")</f>
        <v>https://dpmzos25m8ivg.cloudfront.net/Documentos/631/03709436435/6310370943643505092023210646.jpg</v>
      </c>
      <c r="H1524" s="4" t="s">
        <v>10106</v>
      </c>
    </row>
    <row r="1525" spans="1:8" x14ac:dyDescent="0.25">
      <c r="A1525" s="2" t="s">
        <v>1539</v>
      </c>
      <c r="B1525" s="3"/>
      <c r="C1525" s="3"/>
      <c r="D1525" s="3"/>
      <c r="E1525" s="4" t="str">
        <f>HYPERLINK("https://dpmzos25m8ivg.cloudfront.net/Documentos/631/03711073263/6310371107326311092023140325.pdf","https://dpmzos25m8ivg.cloudfront.net/Documentos/631/03711073263/6310371107326311092023140325.pdf")</f>
        <v>https://dpmzos25m8ivg.cloudfront.net/Documentos/631/03711073263/6310371107326311092023140325.pdf</v>
      </c>
      <c r="F1525" s="5" t="str">
        <f>HYPERLINK("https://dpmzos25m8ivg.cloudfront.net/Documentos/631/03711073263/6310371107326311092023140648.pdf","https://dpmzos25m8ivg.cloudfront.net/Documentos/631/03711073263/6310371107326311092023140648.pdf")</f>
        <v>https://dpmzos25m8ivg.cloudfront.net/Documentos/631/03711073263/6310371107326311092023140648.pdf</v>
      </c>
      <c r="G1525" s="5" t="str">
        <f>HYPERLINK("https://dpmzos25m8ivg.cloudfront.net/Documentos/631/03711073263/6310371107326311092023141023.pdf","https://dpmzos25m8ivg.cloudfront.net/Documentos/631/03711073263/6310371107326311092023141023.pdf")</f>
        <v>https://dpmzos25m8ivg.cloudfront.net/Documentos/631/03711073263/6310371107326311092023141023.pdf</v>
      </c>
      <c r="H1525" s="4" t="s">
        <v>10107</v>
      </c>
    </row>
    <row r="1526" spans="1:8" x14ac:dyDescent="0.25">
      <c r="A1526" s="2" t="s">
        <v>1540</v>
      </c>
      <c r="B1526" s="3" t="s">
        <v>308</v>
      </c>
      <c r="C1526" s="3"/>
      <c r="D1526" s="3"/>
      <c r="E1526" s="4" t="str">
        <f>HYPERLINK("https://dpmzos25m8ivg.cloudfront.net/Documentos/631/03713558507/6310371355850710092023215435.jpg","https://dpmzos25m8ivg.cloudfront.net/Documentos/631/03713558507/6310371355850710092023215435.jpg")</f>
        <v>https://dpmzos25m8ivg.cloudfront.net/Documentos/631/03713558507/6310371355850710092023215435.jpg</v>
      </c>
      <c r="F1526" s="5" t="str">
        <f>HYPERLINK("https://dpmzos25m8ivg.cloudfront.net/Documentos/631/03713558507/6310371355850710092023215750.jpg","https://dpmzos25m8ivg.cloudfront.net/Documentos/631/03713558507/6310371355850710092023215750.jpg")</f>
        <v>https://dpmzos25m8ivg.cloudfront.net/Documentos/631/03713558507/6310371355850710092023215750.jpg</v>
      </c>
      <c r="G1526" s="5" t="str">
        <f>HYPERLINK("https://dpmzos25m8ivg.cloudfront.net/Documentos/631/03713558507/6310371355850710092023215812.jpg","https://dpmzos25m8ivg.cloudfront.net/Documentos/631/03713558507/6310371355850710092023215812.jpg")</f>
        <v>https://dpmzos25m8ivg.cloudfront.net/Documentos/631/03713558507/6310371355850710092023215812.jpg</v>
      </c>
      <c r="H1526" s="4" t="s">
        <v>10108</v>
      </c>
    </row>
    <row r="1527" spans="1:8" x14ac:dyDescent="0.25">
      <c r="A1527" s="2" t="s">
        <v>1541</v>
      </c>
      <c r="B1527" s="3"/>
      <c r="C1527" s="3"/>
      <c r="D1527" s="3"/>
      <c r="E1527" s="4" t="str">
        <f>HYPERLINK("https://dpmzos25m8ivg.cloudfront.net/Documentos/631/03714965270/6310371496527010092023222858.pdf","https://dpmzos25m8ivg.cloudfront.net/Documentos/631/03714965270/6310371496527010092023222858.pdf")</f>
        <v>https://dpmzos25m8ivg.cloudfront.net/Documentos/631/03714965270/6310371496527010092023222858.pdf</v>
      </c>
      <c r="F1527" s="5" t="str">
        <f>HYPERLINK("https://dpmzos25m8ivg.cloudfront.net/Documentos/631/03714965270/6310371496527010092023222753.pdf","https://dpmzos25m8ivg.cloudfront.net/Documentos/631/03714965270/6310371496527010092023222753.pdf")</f>
        <v>https://dpmzos25m8ivg.cloudfront.net/Documentos/631/03714965270/6310371496527010092023222753.pdf</v>
      </c>
      <c r="G1527" s="5" t="str">
        <f>HYPERLINK("https://dpmzos25m8ivg.cloudfront.net/Documentos/631/03714965270/6310371496527010092023222741.pdf","https://dpmzos25m8ivg.cloudfront.net/Documentos/631/03714965270/6310371496527010092023222741.pdf")</f>
        <v>https://dpmzos25m8ivg.cloudfront.net/Documentos/631/03714965270/6310371496527010092023222741.pdf</v>
      </c>
      <c r="H1527" s="4" t="s">
        <v>10109</v>
      </c>
    </row>
    <row r="1528" spans="1:8" x14ac:dyDescent="0.25">
      <c r="A1528" s="2" t="s">
        <v>1542</v>
      </c>
      <c r="B1528" s="3"/>
      <c r="C1528" s="3"/>
      <c r="D1528" s="3"/>
      <c r="E1528" s="4" t="str">
        <f>HYPERLINK("https://dpmzos25m8ivg.cloudfront.net/Documentos/631/03715286318/6310371528631811092023120758.jpg","https://dpmzos25m8ivg.cloudfront.net/Documentos/631/03715286318/6310371528631811092023120758.jpg")</f>
        <v>https://dpmzos25m8ivg.cloudfront.net/Documentos/631/03715286318/6310371528631811092023120758.jpg</v>
      </c>
      <c r="F1528" s="5" t="str">
        <f>HYPERLINK("https://dpmzos25m8ivg.cloudfront.net/Documentos/631/03715286318/6310371528631811092023120829.jpg","https://dpmzos25m8ivg.cloudfront.net/Documentos/631/03715286318/6310371528631811092023120829.jpg")</f>
        <v>https://dpmzos25m8ivg.cloudfront.net/Documentos/631/03715286318/6310371528631811092023120829.jpg</v>
      </c>
      <c r="G1528" s="5" t="str">
        <f>HYPERLINK("https://dpmzos25m8ivg.cloudfront.net/Documentos/631/03715286318/6310371528631811092023120852.jpg","https://dpmzos25m8ivg.cloudfront.net/Documentos/631/03715286318/6310371528631811092023120852.jpg")</f>
        <v>https://dpmzos25m8ivg.cloudfront.net/Documentos/631/03715286318/6310371528631811092023120852.jpg</v>
      </c>
      <c r="H1528" s="4" t="s">
        <v>10110</v>
      </c>
    </row>
    <row r="1529" spans="1:8" x14ac:dyDescent="0.25">
      <c r="A1529" s="2" t="s">
        <v>1543</v>
      </c>
      <c r="B1529" s="3" t="s">
        <v>312</v>
      </c>
      <c r="C1529" s="3"/>
      <c r="D1529" s="3"/>
      <c r="E1529" s="4" t="str">
        <f>HYPERLINK("https://dpmzos25m8ivg.cloudfront.net/Documentos/631/03719495566/6310371949556605092023122214.jpg","https://dpmzos25m8ivg.cloudfront.net/Documentos/631/03719495566/6310371949556605092023122214.jpg")</f>
        <v>https://dpmzos25m8ivg.cloudfront.net/Documentos/631/03719495566/6310371949556605092023122214.jpg</v>
      </c>
      <c r="F1529" s="5" t="str">
        <f>HYPERLINK("https://dpmzos25m8ivg.cloudfront.net/Documentos/631/03719495566/6310371949556605092023122228.jpg","https://dpmzos25m8ivg.cloudfront.net/Documentos/631/03719495566/6310371949556605092023122228.jpg")</f>
        <v>https://dpmzos25m8ivg.cloudfront.net/Documentos/631/03719495566/6310371949556605092023122228.jpg</v>
      </c>
      <c r="G1529" s="5" t="str">
        <f>HYPERLINK("https://dpmzos25m8ivg.cloudfront.net/Documentos/631/03719495566/6310371949556605092023122414.jpg","https://dpmzos25m8ivg.cloudfront.net/Documentos/631/03719495566/6310371949556605092023122414.jpg")</f>
        <v>https://dpmzos25m8ivg.cloudfront.net/Documentos/631/03719495566/6310371949556605092023122414.jpg</v>
      </c>
      <c r="H1529" s="4" t="s">
        <v>10111</v>
      </c>
    </row>
    <row r="1530" spans="1:8" x14ac:dyDescent="0.25">
      <c r="A1530" s="2" t="s">
        <v>1544</v>
      </c>
      <c r="B1530" s="3"/>
      <c r="C1530" s="3"/>
      <c r="D1530" s="3"/>
      <c r="E1530" s="4" t="str">
        <f>HYPERLINK("https://dpmzos25m8ivg.cloudfront.net/Documentos/631/03719779912/6310371977991205092023221354.jpg","https://dpmzos25m8ivg.cloudfront.net/Documentos/631/03719779912/6310371977991205092023221354.jpg")</f>
        <v>https://dpmzos25m8ivg.cloudfront.net/Documentos/631/03719779912/6310371977991205092023221354.jpg</v>
      </c>
      <c r="F1530" s="5" t="str">
        <f>HYPERLINK("https://dpmzos25m8ivg.cloudfront.net/Documentos/631/03719779912/6310371977991205092023221432.jpg","https://dpmzos25m8ivg.cloudfront.net/Documentos/631/03719779912/6310371977991205092023221432.jpg")</f>
        <v>https://dpmzos25m8ivg.cloudfront.net/Documentos/631/03719779912/6310371977991205092023221432.jpg</v>
      </c>
      <c r="G1530" s="5" t="str">
        <f>HYPERLINK("https://dpmzos25m8ivg.cloudfront.net/Documentos/631/03719779912/6310371977991205092023221507.jpg","https://dpmzos25m8ivg.cloudfront.net/Documentos/631/03719779912/6310371977991205092023221507.jpg")</f>
        <v>https://dpmzos25m8ivg.cloudfront.net/Documentos/631/03719779912/6310371977991205092023221507.jpg</v>
      </c>
      <c r="H1530" s="4" t="s">
        <v>10112</v>
      </c>
    </row>
    <row r="1531" spans="1:8" x14ac:dyDescent="0.25">
      <c r="A1531" s="2" t="s">
        <v>1545</v>
      </c>
      <c r="B1531" s="3" t="s">
        <v>308</v>
      </c>
      <c r="C1531" s="3"/>
      <c r="D1531" s="3"/>
      <c r="E1531" s="4" t="str">
        <f>HYPERLINK("https://dpmzos25m8ivg.cloudfront.net/Documentos/631/03725696500/6310372569650011092023080039.pdf","https://dpmzos25m8ivg.cloudfront.net/Documentos/631/03725696500/6310372569650011092023080039.pdf")</f>
        <v>https://dpmzos25m8ivg.cloudfront.net/Documentos/631/03725696500/6310372569650011092023080039.pdf</v>
      </c>
      <c r="F1531" s="5" t="str">
        <f>HYPERLINK("https://dpmzos25m8ivg.cloudfront.net/Documentos/631/03725696500/6310372569650011092023080147.pdf","https://dpmzos25m8ivg.cloudfront.net/Documentos/631/03725696500/6310372569650011092023080147.pdf")</f>
        <v>https://dpmzos25m8ivg.cloudfront.net/Documentos/631/03725696500/6310372569650011092023080147.pdf</v>
      </c>
      <c r="G1531" s="5" t="str">
        <f>HYPERLINK("https://dpmzos25m8ivg.cloudfront.net/Documentos/631/03725696500/6310372569650011092023080214.pdf","https://dpmzos25m8ivg.cloudfront.net/Documentos/631/03725696500/6310372569650011092023080214.pdf")</f>
        <v>https://dpmzos25m8ivg.cloudfront.net/Documentos/631/03725696500/6310372569650011092023080214.pdf</v>
      </c>
      <c r="H1531" s="4" t="s">
        <v>10113</v>
      </c>
    </row>
    <row r="1532" spans="1:8" x14ac:dyDescent="0.25">
      <c r="A1532" s="2" t="s">
        <v>1546</v>
      </c>
      <c r="B1532" s="3"/>
      <c r="C1532" s="3"/>
      <c r="D1532" s="3"/>
      <c r="E1532" s="4" t="str">
        <f>HYPERLINK("https://dpmzos25m8ivg.cloudfront.net/Documentos/631/03726078290/6310372607829011092023154604.pdf","https://dpmzos25m8ivg.cloudfront.net/Documentos/631/03726078290/6310372607829011092023154604.pdf")</f>
        <v>https://dpmzos25m8ivg.cloudfront.net/Documentos/631/03726078290/6310372607829011092023154604.pdf</v>
      </c>
      <c r="F1532" s="5" t="str">
        <f>HYPERLINK("https://dpmzos25m8ivg.cloudfront.net/Documentos/631/03726078290/6310372607829011092023154620.pdf","https://dpmzos25m8ivg.cloudfront.net/Documentos/631/03726078290/6310372607829011092023154620.pdf")</f>
        <v>https://dpmzos25m8ivg.cloudfront.net/Documentos/631/03726078290/6310372607829011092023154620.pdf</v>
      </c>
      <c r="G1532" s="5" t="str">
        <f>HYPERLINK("https://dpmzos25m8ivg.cloudfront.net/Documentos/631/03726078290/6310372607829011092023154631.pdf","https://dpmzos25m8ivg.cloudfront.net/Documentos/631/03726078290/6310372607829011092023154631.pdf")</f>
        <v>https://dpmzos25m8ivg.cloudfront.net/Documentos/631/03726078290/6310372607829011092023154631.pdf</v>
      </c>
      <c r="H1532" s="4" t="s">
        <v>10114</v>
      </c>
    </row>
    <row r="1533" spans="1:8" x14ac:dyDescent="0.25">
      <c r="A1533" s="2" t="s">
        <v>1547</v>
      </c>
      <c r="B1533" s="3"/>
      <c r="C1533" s="3"/>
      <c r="D1533" s="3"/>
      <c r="E1533" s="4" t="str">
        <f>HYPERLINK("https://dpmzos25m8ivg.cloudfront.net/Documentos/631/03727255110/6310372725511005092023144258.jpeg","https://dpmzos25m8ivg.cloudfront.net/Documentos/631/03727255110/6310372725511005092023144258.jpeg")</f>
        <v>https://dpmzos25m8ivg.cloudfront.net/Documentos/631/03727255110/6310372725511005092023144258.jpeg</v>
      </c>
      <c r="F1533" s="5" t="str">
        <f>HYPERLINK("https://dpmzos25m8ivg.cloudfront.net/Documentos/631/03727255110/6310372725511005092023144306.jpeg","https://dpmzos25m8ivg.cloudfront.net/Documentos/631/03727255110/6310372725511005092023144306.jpeg")</f>
        <v>https://dpmzos25m8ivg.cloudfront.net/Documentos/631/03727255110/6310372725511005092023144306.jpeg</v>
      </c>
      <c r="G1533" s="5" t="str">
        <f>HYPERLINK("https://dpmzos25m8ivg.cloudfront.net/Documentos/631/03727255110/6310372725511005092023144315.jpeg","https://dpmzos25m8ivg.cloudfront.net/Documentos/631/03727255110/6310372725511005092023144315.jpeg")</f>
        <v>https://dpmzos25m8ivg.cloudfront.net/Documentos/631/03727255110/6310372725511005092023144315.jpeg</v>
      </c>
      <c r="H1533" s="4" t="s">
        <v>10115</v>
      </c>
    </row>
    <row r="1534" spans="1:8" x14ac:dyDescent="0.25">
      <c r="A1534" s="2" t="s">
        <v>1548</v>
      </c>
      <c r="B1534" s="3"/>
      <c r="C1534" s="3"/>
      <c r="D1534" s="3"/>
      <c r="E1534" s="4" t="str">
        <f>HYPERLINK("https://dpmzos25m8ivg.cloudfront.net/Documentos/631/03731179571/6310373117957105092023121907.pdf","https://dpmzos25m8ivg.cloudfront.net/Documentos/631/03731179571/6310373117957105092023121907.pdf")</f>
        <v>https://dpmzos25m8ivg.cloudfront.net/Documentos/631/03731179571/6310373117957105092023121907.pdf</v>
      </c>
      <c r="F1534" s="5" t="str">
        <f>HYPERLINK("https://dpmzos25m8ivg.cloudfront.net/Documentos/631/03731179571/6310373117957105092023121920.pdf","https://dpmzos25m8ivg.cloudfront.net/Documentos/631/03731179571/6310373117957105092023121920.pdf")</f>
        <v>https://dpmzos25m8ivg.cloudfront.net/Documentos/631/03731179571/6310373117957105092023121920.pdf</v>
      </c>
      <c r="G1534" s="5" t="str">
        <f>HYPERLINK("https://dpmzos25m8ivg.cloudfront.net/Documentos/631/03731179571/6310373117957105092023121930.pdf","https://dpmzos25m8ivg.cloudfront.net/Documentos/631/03731179571/6310373117957105092023121930.pdf")</f>
        <v>https://dpmzos25m8ivg.cloudfront.net/Documentos/631/03731179571/6310373117957105092023121930.pdf</v>
      </c>
      <c r="H1534" s="4" t="s">
        <v>10116</v>
      </c>
    </row>
    <row r="1535" spans="1:8" x14ac:dyDescent="0.25">
      <c r="A1535" s="2" t="s">
        <v>1549</v>
      </c>
      <c r="B1535" s="3"/>
      <c r="C1535" s="3"/>
      <c r="D1535" s="3"/>
      <c r="E1535" s="4" t="str">
        <f>HYPERLINK("https://dpmzos25m8ivg.cloudfront.net/Documentos/631/03736553552/6310373655355214092023145929.pdf","https://dpmzos25m8ivg.cloudfront.net/Documentos/631/03736553552/6310373655355214092023145929.pdf")</f>
        <v>https://dpmzos25m8ivg.cloudfront.net/Documentos/631/03736553552/6310373655355214092023145929.pdf</v>
      </c>
      <c r="F1535" s="5" t="str">
        <f>HYPERLINK("https://dpmzos25m8ivg.cloudfront.net/Documentos/631/03736553552/6310373655355214092023145937.pdf","https://dpmzos25m8ivg.cloudfront.net/Documentos/631/03736553552/6310373655355214092023145937.pdf")</f>
        <v>https://dpmzos25m8ivg.cloudfront.net/Documentos/631/03736553552/6310373655355214092023145937.pdf</v>
      </c>
      <c r="G1535" s="5" t="str">
        <f>HYPERLINK("https://dpmzos25m8ivg.cloudfront.net/Documentos/631/03736553552/6310373655355214092023145947.pdf","https://dpmzos25m8ivg.cloudfront.net/Documentos/631/03736553552/6310373655355214092023145947.pdf")</f>
        <v>https://dpmzos25m8ivg.cloudfront.net/Documentos/631/03736553552/6310373655355214092023145947.pdf</v>
      </c>
      <c r="H1535" s="4" t="s">
        <v>10117</v>
      </c>
    </row>
    <row r="1536" spans="1:8" x14ac:dyDescent="0.25">
      <c r="A1536" s="2" t="s">
        <v>1550</v>
      </c>
      <c r="B1536" s="3"/>
      <c r="C1536" s="3"/>
      <c r="D1536" s="3"/>
      <c r="E1536" s="4" t="str">
        <f>HYPERLINK("https://dpmzos25m8ivg.cloudfront.net/Documentos/631/03738172319/6310373817231909092023161015.jpeg","https://dpmzos25m8ivg.cloudfront.net/Documentos/631/03738172319/6310373817231909092023161015.jpeg")</f>
        <v>https://dpmzos25m8ivg.cloudfront.net/Documentos/631/03738172319/6310373817231909092023161015.jpeg</v>
      </c>
      <c r="F1536" s="5" t="str">
        <f>HYPERLINK("https://dpmzos25m8ivg.cloudfront.net/Documentos/631/03738172319/6310373817231909092023161049.jpeg","https://dpmzos25m8ivg.cloudfront.net/Documentos/631/03738172319/6310373817231909092023161049.jpeg")</f>
        <v>https://dpmzos25m8ivg.cloudfront.net/Documentos/631/03738172319/6310373817231909092023161049.jpeg</v>
      </c>
      <c r="G1536" s="5" t="str">
        <f>HYPERLINK("https://dpmzos25m8ivg.cloudfront.net/Documentos/631/03738172319/6310373817231909092023161104.jpeg","https://dpmzos25m8ivg.cloudfront.net/Documentos/631/03738172319/6310373817231909092023161104.jpeg")</f>
        <v>https://dpmzos25m8ivg.cloudfront.net/Documentos/631/03738172319/6310373817231909092023161104.jpeg</v>
      </c>
      <c r="H1536" s="4" t="s">
        <v>10118</v>
      </c>
    </row>
    <row r="1537" spans="1:8" x14ac:dyDescent="0.25">
      <c r="A1537" s="2" t="s">
        <v>1551</v>
      </c>
      <c r="B1537" s="3"/>
      <c r="C1537" s="3"/>
      <c r="D1537" s="3"/>
      <c r="E1537" s="4" t="str">
        <f>HYPERLINK("https://dpmzos25m8ivg.cloudfront.net/Documentos/631/03738511466/6310373851146614092023145854.pdf","https://dpmzos25m8ivg.cloudfront.net/Documentos/631/03738511466/6310373851146614092023145854.pdf")</f>
        <v>https://dpmzos25m8ivg.cloudfront.net/Documentos/631/03738511466/6310373851146614092023145854.pdf</v>
      </c>
      <c r="F1537" s="5" t="str">
        <f>HYPERLINK("https://dpmzos25m8ivg.cloudfront.net/Documentos/631/03738511466/6310373851146614092023145913.pdf","https://dpmzos25m8ivg.cloudfront.net/Documentos/631/03738511466/6310373851146614092023145913.pdf")</f>
        <v>https://dpmzos25m8ivg.cloudfront.net/Documentos/631/03738511466/6310373851146614092023145913.pdf</v>
      </c>
      <c r="G1537" s="5" t="str">
        <f>HYPERLINK("https://dpmzos25m8ivg.cloudfront.net/Documentos/631/03738511466/6310373851146614092023150135.pdf","https://dpmzos25m8ivg.cloudfront.net/Documentos/631/03738511466/6310373851146614092023150135.pdf")</f>
        <v>https://dpmzos25m8ivg.cloudfront.net/Documentos/631/03738511466/6310373851146614092023150135.pdf</v>
      </c>
      <c r="H1537" s="4" t="s">
        <v>10119</v>
      </c>
    </row>
    <row r="1538" spans="1:8" x14ac:dyDescent="0.25">
      <c r="A1538" s="2" t="s">
        <v>1552</v>
      </c>
      <c r="B1538" s="3"/>
      <c r="C1538" s="3"/>
      <c r="D1538" s="3"/>
      <c r="E1538" s="4" t="str">
        <f>HYPERLINK("https://dpmzos25m8ivg.cloudfront.net/Documentos/631/03738537260/6310373853726006092023150035.pdf","https://dpmzos25m8ivg.cloudfront.net/Documentos/631/03738537260/6310373853726006092023150035.pdf")</f>
        <v>https://dpmzos25m8ivg.cloudfront.net/Documentos/631/03738537260/6310373853726006092023150035.pdf</v>
      </c>
      <c r="F1538" s="5" t="str">
        <f>HYPERLINK("https://dpmzos25m8ivg.cloudfront.net/Documentos/631/03738537260/6310373853726006092023150044.pdf","https://dpmzos25m8ivg.cloudfront.net/Documentos/631/03738537260/6310373853726006092023150044.pdf")</f>
        <v>https://dpmzos25m8ivg.cloudfront.net/Documentos/631/03738537260/6310373853726006092023150044.pdf</v>
      </c>
      <c r="G1538" s="5" t="str">
        <f>HYPERLINK("https://dpmzos25m8ivg.cloudfront.net/Documentos/631/03738537260/6310373853726006092023150058.pdf","https://dpmzos25m8ivg.cloudfront.net/Documentos/631/03738537260/6310373853726006092023150058.pdf")</f>
        <v>https://dpmzos25m8ivg.cloudfront.net/Documentos/631/03738537260/6310373853726006092023150058.pdf</v>
      </c>
      <c r="H1538" s="4" t="s">
        <v>10120</v>
      </c>
    </row>
    <row r="1539" spans="1:8" x14ac:dyDescent="0.25">
      <c r="A1539" s="2" t="s">
        <v>1553</v>
      </c>
      <c r="B1539" s="3"/>
      <c r="C1539" s="3"/>
      <c r="D1539" s="3"/>
      <c r="E1539" s="4" t="str">
        <f>HYPERLINK("https://dpmzos25m8ivg.cloudfront.net/Documentos/631/03739656212/6310373965621213092023154053.jpg","https://dpmzos25m8ivg.cloudfront.net/Documentos/631/03739656212/6310373965621213092023154053.jpg")</f>
        <v>https://dpmzos25m8ivg.cloudfront.net/Documentos/631/03739656212/6310373965621213092023154053.jpg</v>
      </c>
      <c r="F1539" s="5" t="str">
        <f>HYPERLINK("https://dpmzos25m8ivg.cloudfront.net/Documentos/631/03739656212/6310373965621213092023154143.jpg","https://dpmzos25m8ivg.cloudfront.net/Documentos/631/03739656212/6310373965621213092023154143.jpg")</f>
        <v>https://dpmzos25m8ivg.cloudfront.net/Documentos/631/03739656212/6310373965621213092023154143.jpg</v>
      </c>
      <c r="G1539" s="5" t="str">
        <f>HYPERLINK("https://dpmzos25m8ivg.cloudfront.net/Documentos/631/03739656212/6310373965621213092023154158.jpg","https://dpmzos25m8ivg.cloudfront.net/Documentos/631/03739656212/6310373965621213092023154158.jpg")</f>
        <v>https://dpmzos25m8ivg.cloudfront.net/Documentos/631/03739656212/6310373965621213092023154158.jpg</v>
      </c>
      <c r="H1539" s="4" t="s">
        <v>10121</v>
      </c>
    </row>
    <row r="1540" spans="1:8" x14ac:dyDescent="0.25">
      <c r="A1540" s="2" t="s">
        <v>1554</v>
      </c>
      <c r="B1540" s="3" t="s">
        <v>312</v>
      </c>
      <c r="C1540" s="3"/>
      <c r="D1540" s="3"/>
      <c r="E1540" s="4" t="str">
        <f>HYPERLINK("https://dpmzos25m8ivg.cloudfront.net/Documentos/631/03741224405/6310374122440511092023170355.pdf","https://dpmzos25m8ivg.cloudfront.net/Documentos/631/03741224405/6310374122440511092023170355.pdf")</f>
        <v>https://dpmzos25m8ivg.cloudfront.net/Documentos/631/03741224405/6310374122440511092023170355.pdf</v>
      </c>
      <c r="F1540" s="5" t="str">
        <f>HYPERLINK("https://dpmzos25m8ivg.cloudfront.net/Documentos/631/03741224405/6310374122440511092023170416.pdf","https://dpmzos25m8ivg.cloudfront.net/Documentos/631/03741224405/6310374122440511092023170416.pdf")</f>
        <v>https://dpmzos25m8ivg.cloudfront.net/Documentos/631/03741224405/6310374122440511092023170416.pdf</v>
      </c>
      <c r="G1540" s="5" t="str">
        <f>HYPERLINK("https://dpmzos25m8ivg.cloudfront.net/Documentos/631/03741224405/6310374122440511092023170430.pdf","https://dpmzos25m8ivg.cloudfront.net/Documentos/631/03741224405/6310374122440511092023170430.pdf")</f>
        <v>https://dpmzos25m8ivg.cloudfront.net/Documentos/631/03741224405/6310374122440511092023170430.pdf</v>
      </c>
      <c r="H1540" s="4" t="s">
        <v>9010</v>
      </c>
    </row>
    <row r="1541" spans="1:8" x14ac:dyDescent="0.25">
      <c r="A1541" s="2" t="s">
        <v>1555</v>
      </c>
      <c r="B1541" s="3" t="s">
        <v>308</v>
      </c>
      <c r="C1541" s="3"/>
      <c r="D1541" s="3"/>
      <c r="E1541" s="4" t="str">
        <f>HYPERLINK("https://dpmzos25m8ivg.cloudfront.net/Documentos/631/03746612195/6310374661219509092023153122.pdf","https://dpmzos25m8ivg.cloudfront.net/Documentos/631/03746612195/6310374661219509092023153122.pdf")</f>
        <v>https://dpmzos25m8ivg.cloudfront.net/Documentos/631/03746612195/6310374661219509092023153122.pdf</v>
      </c>
      <c r="F1541" s="5" t="str">
        <f>HYPERLINK("https://dpmzos25m8ivg.cloudfront.net/Documentos/631/03746612195/6310374661219509092023153202.pdf","https://dpmzos25m8ivg.cloudfront.net/Documentos/631/03746612195/6310374661219509092023153202.pdf")</f>
        <v>https://dpmzos25m8ivg.cloudfront.net/Documentos/631/03746612195/6310374661219509092023153202.pdf</v>
      </c>
      <c r="G1541" s="5" t="str">
        <f>HYPERLINK("https://dpmzos25m8ivg.cloudfront.net/Documentos/631/03746612195/6310374661219509092023153229.pdf","https://dpmzos25m8ivg.cloudfront.net/Documentos/631/03746612195/6310374661219509092023153229.pdf")</f>
        <v>https://dpmzos25m8ivg.cloudfront.net/Documentos/631/03746612195/6310374661219509092023153229.pdf</v>
      </c>
      <c r="H1541" s="4" t="s">
        <v>10122</v>
      </c>
    </row>
    <row r="1542" spans="1:8" x14ac:dyDescent="0.25">
      <c r="A1542" s="2" t="s">
        <v>1556</v>
      </c>
      <c r="B1542" s="3"/>
      <c r="C1542" s="3"/>
      <c r="D1542" s="3"/>
      <c r="E1542" s="4" t="str">
        <f>HYPERLINK("https://dpmzos25m8ivg.cloudfront.net/Documentos/631/03750253595/6310375025359509092023132326.pdf","https://dpmzos25m8ivg.cloudfront.net/Documentos/631/03750253595/6310375025359509092023132326.pdf")</f>
        <v>https://dpmzos25m8ivg.cloudfront.net/Documentos/631/03750253595/6310375025359509092023132326.pdf</v>
      </c>
      <c r="F1542" s="5" t="str">
        <f>HYPERLINK("https://dpmzos25m8ivg.cloudfront.net/Documentos/631/03750253595/6310375025359509092023132338.pdf","https://dpmzos25m8ivg.cloudfront.net/Documentos/631/03750253595/6310375025359509092023132338.pdf")</f>
        <v>https://dpmzos25m8ivg.cloudfront.net/Documentos/631/03750253595/6310375025359509092023132338.pdf</v>
      </c>
      <c r="G1542" s="5" t="str">
        <f>HYPERLINK("https://dpmzos25m8ivg.cloudfront.net/Documentos/631/03750253595/6310375025359509092023132352.pdf","https://dpmzos25m8ivg.cloudfront.net/Documentos/631/03750253595/6310375025359509092023132352.pdf")</f>
        <v>https://dpmzos25m8ivg.cloudfront.net/Documentos/631/03750253595/6310375025359509092023132352.pdf</v>
      </c>
      <c r="H1542" s="4" t="s">
        <v>10123</v>
      </c>
    </row>
    <row r="1543" spans="1:8" x14ac:dyDescent="0.25">
      <c r="A1543" s="2" t="s">
        <v>1557</v>
      </c>
      <c r="B1543" s="3"/>
      <c r="C1543" s="3"/>
      <c r="D1543" s="3"/>
      <c r="E1543" s="4" t="str">
        <f>HYPERLINK("https://dpmzos25m8ivg.cloudfront.net/Documentos/631/03752120274/6310375212027411092023164100.pdf","https://dpmzos25m8ivg.cloudfront.net/Documentos/631/03752120274/6310375212027411092023164100.pdf")</f>
        <v>https://dpmzos25m8ivg.cloudfront.net/Documentos/631/03752120274/6310375212027411092023164100.pdf</v>
      </c>
      <c r="F1543" s="5" t="str">
        <f>HYPERLINK("https://dpmzos25m8ivg.cloudfront.net/Documentos/631/03752120274/6310375212027411092023164109.pdf","https://dpmzos25m8ivg.cloudfront.net/Documentos/631/03752120274/6310375212027411092023164109.pdf")</f>
        <v>https://dpmzos25m8ivg.cloudfront.net/Documentos/631/03752120274/6310375212027411092023164109.pdf</v>
      </c>
      <c r="G1543" s="5" t="str">
        <f>HYPERLINK("https://dpmzos25m8ivg.cloudfront.net/Documentos/631/03752120274/6310375212027411092023164118.pdf","https://dpmzos25m8ivg.cloudfront.net/Documentos/631/03752120274/6310375212027411092023164118.pdf")</f>
        <v>https://dpmzos25m8ivg.cloudfront.net/Documentos/631/03752120274/6310375212027411092023164118.pdf</v>
      </c>
      <c r="H1543" s="4" t="s">
        <v>10124</v>
      </c>
    </row>
    <row r="1544" spans="1:8" x14ac:dyDescent="0.25">
      <c r="A1544" s="2" t="s">
        <v>1558</v>
      </c>
      <c r="B1544" s="3"/>
      <c r="C1544" s="3"/>
      <c r="D1544" s="3"/>
      <c r="E1544" s="4" t="str">
        <f>HYPERLINK("https://dpmzos25m8ivg.cloudfront.net/Documentos/631/03753474533/6310375347453308092023104244.pdf","https://dpmzos25m8ivg.cloudfront.net/Documentos/631/03753474533/6310375347453308092023104244.pdf")</f>
        <v>https://dpmzos25m8ivg.cloudfront.net/Documentos/631/03753474533/6310375347453308092023104244.pdf</v>
      </c>
      <c r="F1544" s="5" t="str">
        <f>HYPERLINK("https://dpmzos25m8ivg.cloudfront.net/Documentos/631/03753474533/6310375347453308092023104307.pdf","https://dpmzos25m8ivg.cloudfront.net/Documentos/631/03753474533/6310375347453308092023104307.pdf")</f>
        <v>https://dpmzos25m8ivg.cloudfront.net/Documentos/631/03753474533/6310375347453308092023104307.pdf</v>
      </c>
      <c r="G1544" s="5" t="str">
        <f>HYPERLINK("https://dpmzos25m8ivg.cloudfront.net/Documentos/631/03753474533/6310375347453308092023104329.pdf","https://dpmzos25m8ivg.cloudfront.net/Documentos/631/03753474533/6310375347453308092023104329.pdf")</f>
        <v>https://dpmzos25m8ivg.cloudfront.net/Documentos/631/03753474533/6310375347453308092023104329.pdf</v>
      </c>
      <c r="H1544" s="4" t="s">
        <v>10125</v>
      </c>
    </row>
    <row r="1545" spans="1:8" x14ac:dyDescent="0.25">
      <c r="A1545" s="2" t="s">
        <v>1559</v>
      </c>
      <c r="B1545" s="3"/>
      <c r="C1545" s="3"/>
      <c r="D1545" s="3"/>
      <c r="E1545" s="4" t="str">
        <f>HYPERLINK("https://dpmzos25m8ivg.cloudfront.net/Documentos/631/03756368033/6310375636803306092023185113.jpg","https://dpmzos25m8ivg.cloudfront.net/Documentos/631/03756368033/6310375636803306092023185113.jpg")</f>
        <v>https://dpmzos25m8ivg.cloudfront.net/Documentos/631/03756368033/6310375636803306092023185113.jpg</v>
      </c>
      <c r="F1545" s="5" t="str">
        <f>HYPERLINK("https://dpmzos25m8ivg.cloudfront.net/Documentos/631/03756368033/6310375636803306092023184949.jpg","https://dpmzos25m8ivg.cloudfront.net/Documentos/631/03756368033/6310375636803306092023184949.jpg")</f>
        <v>https://dpmzos25m8ivg.cloudfront.net/Documentos/631/03756368033/6310375636803306092023184949.jpg</v>
      </c>
      <c r="G1545" s="5" t="str">
        <f>HYPERLINK("https://dpmzos25m8ivg.cloudfront.net/Documentos/631/03756368033/6310375636803306092023184557.jpg","https://dpmzos25m8ivg.cloudfront.net/Documentos/631/03756368033/6310375636803306092023184557.jpg")</f>
        <v>https://dpmzos25m8ivg.cloudfront.net/Documentos/631/03756368033/6310375636803306092023184557.jpg</v>
      </c>
      <c r="H1545" s="4" t="s">
        <v>10126</v>
      </c>
    </row>
    <row r="1546" spans="1:8" x14ac:dyDescent="0.25">
      <c r="A1546" s="2" t="s">
        <v>1560</v>
      </c>
      <c r="B1546" s="3"/>
      <c r="C1546" s="3"/>
      <c r="D1546" s="3"/>
      <c r="E1546" s="4" t="str">
        <f>HYPERLINK("https://dpmzos25m8ivg.cloudfront.net/Documentos/631/03759034292/6310375903429211092023105004.pdf","https://dpmzos25m8ivg.cloudfront.net/Documentos/631/03759034292/6310375903429211092023105004.pdf")</f>
        <v>https://dpmzos25m8ivg.cloudfront.net/Documentos/631/03759034292/6310375903429211092023105004.pdf</v>
      </c>
      <c r="F1546" s="5" t="str">
        <f>HYPERLINK("https://dpmzos25m8ivg.cloudfront.net/Documentos/631/03759034292/6310375903429211092023105031.pdf","https://dpmzos25m8ivg.cloudfront.net/Documentos/631/03759034292/6310375903429211092023105031.pdf")</f>
        <v>https://dpmzos25m8ivg.cloudfront.net/Documentos/631/03759034292/6310375903429211092023105031.pdf</v>
      </c>
      <c r="G1546" s="5" t="str">
        <f>HYPERLINK("https://dpmzos25m8ivg.cloudfront.net/Documentos/631/03759034292/6310375903429211092023105056.pdf","https://dpmzos25m8ivg.cloudfront.net/Documentos/631/03759034292/6310375903429211092023105056.pdf")</f>
        <v>https://dpmzos25m8ivg.cloudfront.net/Documentos/631/03759034292/6310375903429211092023105056.pdf</v>
      </c>
      <c r="H1546" s="4" t="s">
        <v>10127</v>
      </c>
    </row>
    <row r="1547" spans="1:8" x14ac:dyDescent="0.25">
      <c r="A1547" s="2" t="s">
        <v>1561</v>
      </c>
      <c r="B1547" s="3"/>
      <c r="C1547" s="3"/>
      <c r="D1547" s="3"/>
      <c r="E1547" s="4" t="str">
        <f>HYPERLINK("https://dpmzos25m8ivg.cloudfront.net/Documentos/631/03761079524/6310376107952411092023082138.jpg","https://dpmzos25m8ivg.cloudfront.net/Documentos/631/03761079524/6310376107952411092023082138.jpg")</f>
        <v>https://dpmzos25m8ivg.cloudfront.net/Documentos/631/03761079524/6310376107952411092023082138.jpg</v>
      </c>
      <c r="F1547" s="5" t="str">
        <f>HYPERLINK("https://dpmzos25m8ivg.cloudfront.net/Documentos/631/03761079524/6310376107952411092023082203.jpg","https://dpmzos25m8ivg.cloudfront.net/Documentos/631/03761079524/6310376107952411092023082203.jpg")</f>
        <v>https://dpmzos25m8ivg.cloudfront.net/Documentos/631/03761079524/6310376107952411092023082203.jpg</v>
      </c>
      <c r="G1547" s="5" t="str">
        <f>HYPERLINK("https://dpmzos25m8ivg.cloudfront.net/Documentos/631/03761079524/6310376107952411092023082239.jpg","https://dpmzos25m8ivg.cloudfront.net/Documentos/631/03761079524/6310376107952411092023082239.jpg")</f>
        <v>https://dpmzos25m8ivg.cloudfront.net/Documentos/631/03761079524/6310376107952411092023082239.jpg</v>
      </c>
      <c r="H1547" s="4" t="s">
        <v>10128</v>
      </c>
    </row>
    <row r="1548" spans="1:8" x14ac:dyDescent="0.25">
      <c r="A1548" s="2" t="s">
        <v>1562</v>
      </c>
      <c r="B1548" s="3" t="s">
        <v>312</v>
      </c>
      <c r="C1548" s="3"/>
      <c r="D1548" s="3"/>
      <c r="E1548" s="4" t="str">
        <f>HYPERLINK("https://dpmzos25m8ivg.cloudfront.net/Documentos/631/03762077525/6310376207752505092023133946.pdf","https://dpmzos25m8ivg.cloudfront.net/Documentos/631/03762077525/6310376207752505092023133946.pdf")</f>
        <v>https://dpmzos25m8ivg.cloudfront.net/Documentos/631/03762077525/6310376207752505092023133946.pdf</v>
      </c>
      <c r="F1548" s="5" t="str">
        <f>HYPERLINK("https://dpmzos25m8ivg.cloudfront.net/Documentos/631/03762077525/6310376207752505092023133958.pdf","https://dpmzos25m8ivg.cloudfront.net/Documentos/631/03762077525/6310376207752505092023133958.pdf")</f>
        <v>https://dpmzos25m8ivg.cloudfront.net/Documentos/631/03762077525/6310376207752505092023133958.pdf</v>
      </c>
      <c r="G1548" s="5" t="str">
        <f>HYPERLINK("https://dpmzos25m8ivg.cloudfront.net/Documentos/631/03762077525/6310376207752505092023134017.pdf","https://dpmzos25m8ivg.cloudfront.net/Documentos/631/03762077525/6310376207752505092023134017.pdf")</f>
        <v>https://dpmzos25m8ivg.cloudfront.net/Documentos/631/03762077525/6310376207752505092023134017.pdf</v>
      </c>
      <c r="H1548" s="4" t="s">
        <v>10129</v>
      </c>
    </row>
    <row r="1549" spans="1:8" x14ac:dyDescent="0.25">
      <c r="A1549" s="2" t="s">
        <v>1563</v>
      </c>
      <c r="B1549" s="3"/>
      <c r="C1549" s="3"/>
      <c r="D1549" s="3"/>
      <c r="E1549" s="4" t="str">
        <f>HYPERLINK("https://dpmzos25m8ivg.cloudfront.net/Documentos/631/03762863342/6310376286334210092023133208.jpg","https://dpmzos25m8ivg.cloudfront.net/Documentos/631/03762863342/6310376286334210092023133208.jpg")</f>
        <v>https://dpmzos25m8ivg.cloudfront.net/Documentos/631/03762863342/6310376286334210092023133208.jpg</v>
      </c>
      <c r="F1549" s="5" t="str">
        <f>HYPERLINK("https://dpmzos25m8ivg.cloudfront.net/Documentos/631/03762863342/6310376286334210092023133243.jpg","https://dpmzos25m8ivg.cloudfront.net/Documentos/631/03762863342/6310376286334210092023133243.jpg")</f>
        <v>https://dpmzos25m8ivg.cloudfront.net/Documentos/631/03762863342/6310376286334210092023133243.jpg</v>
      </c>
      <c r="G1549" s="5" t="str">
        <f>HYPERLINK("https://dpmzos25m8ivg.cloudfront.net/Documentos/631/03762863342/6310376286334210092023133324.jpg","https://dpmzos25m8ivg.cloudfront.net/Documentos/631/03762863342/6310376286334210092023133324.jpg")</f>
        <v>https://dpmzos25m8ivg.cloudfront.net/Documentos/631/03762863342/6310376286334210092023133324.jpg</v>
      </c>
      <c r="H1549" s="4" t="s">
        <v>10130</v>
      </c>
    </row>
    <row r="1550" spans="1:8" x14ac:dyDescent="0.25">
      <c r="A1550" s="2" t="s">
        <v>1564</v>
      </c>
      <c r="B1550" s="3"/>
      <c r="C1550" s="3"/>
      <c r="D1550" s="3"/>
      <c r="E1550" s="4" t="str">
        <f>HYPERLINK("https://dpmzos25m8ivg.cloudfront.net/Documentos/631/03764857013/6310376485701309092023203428.pdf","https://dpmzos25m8ivg.cloudfront.net/Documentos/631/03764857013/6310376485701309092023203428.pdf")</f>
        <v>https://dpmzos25m8ivg.cloudfront.net/Documentos/631/03764857013/6310376485701309092023203428.pdf</v>
      </c>
      <c r="F1550" s="5" t="str">
        <f>HYPERLINK("https://dpmzos25m8ivg.cloudfront.net/Documentos/631/03764857013/6310376485701309092023205514.pdf","https://dpmzos25m8ivg.cloudfront.net/Documentos/631/03764857013/6310376485701309092023205514.pdf")</f>
        <v>https://dpmzos25m8ivg.cloudfront.net/Documentos/631/03764857013/6310376485701309092023205514.pdf</v>
      </c>
      <c r="G1550" s="5" t="str">
        <f>HYPERLINK("https://dpmzos25m8ivg.cloudfront.net/Documentos/631/03764857013/6310376485701309092023205542.pdf","https://dpmzos25m8ivg.cloudfront.net/Documentos/631/03764857013/6310376485701309092023205542.pdf")</f>
        <v>https://dpmzos25m8ivg.cloudfront.net/Documentos/631/03764857013/6310376485701309092023205542.pdf</v>
      </c>
      <c r="H1550" s="4" t="s">
        <v>10131</v>
      </c>
    </row>
    <row r="1551" spans="1:8" x14ac:dyDescent="0.25">
      <c r="A1551" s="2" t="s">
        <v>1565</v>
      </c>
      <c r="B1551" s="3"/>
      <c r="C1551" s="3"/>
      <c r="D1551" s="3"/>
      <c r="E1551" s="4" t="str">
        <f>HYPERLINK("https://dpmzos25m8ivg.cloudfront.net/Documentos/631/03765225347/6310376522534711092023154427.pdf","https://dpmzos25m8ivg.cloudfront.net/Documentos/631/03765225347/6310376522534711092023154427.pdf")</f>
        <v>https://dpmzos25m8ivg.cloudfront.net/Documentos/631/03765225347/6310376522534711092023154427.pdf</v>
      </c>
      <c r="F1551" s="5" t="str">
        <f>HYPERLINK("https://dpmzos25m8ivg.cloudfront.net/Documentos/631/03765225347/6310376522534711092023154438.pdf","https://dpmzos25m8ivg.cloudfront.net/Documentos/631/03765225347/6310376522534711092023154438.pdf")</f>
        <v>https://dpmzos25m8ivg.cloudfront.net/Documentos/631/03765225347/6310376522534711092023154438.pdf</v>
      </c>
      <c r="G1551" s="5" t="str">
        <f>HYPERLINK("https://dpmzos25m8ivg.cloudfront.net/Documentos/631/03765225347/6310376522534711092023154448.pdf","https://dpmzos25m8ivg.cloudfront.net/Documentos/631/03765225347/6310376522534711092023154448.pdf")</f>
        <v>https://dpmzos25m8ivg.cloudfront.net/Documentos/631/03765225347/6310376522534711092023154448.pdf</v>
      </c>
      <c r="H1551" s="4" t="s">
        <v>10132</v>
      </c>
    </row>
    <row r="1552" spans="1:8" x14ac:dyDescent="0.25">
      <c r="A1552" s="2" t="s">
        <v>1566</v>
      </c>
      <c r="B1552" s="3"/>
      <c r="C1552" s="3"/>
      <c r="D1552" s="3"/>
      <c r="E1552" s="4" t="str">
        <f>HYPERLINK("https://dpmzos25m8ivg.cloudfront.net/Documentos/631/03768408388/6310376840838811092023163716.pdf","https://dpmzos25m8ivg.cloudfront.net/Documentos/631/03768408388/6310376840838811092023163716.pdf")</f>
        <v>https://dpmzos25m8ivg.cloudfront.net/Documentos/631/03768408388/6310376840838811092023163716.pdf</v>
      </c>
      <c r="F1552" s="5" t="str">
        <f>HYPERLINK("https://dpmzos25m8ivg.cloudfront.net/Documentos/631/03768408388/6310376840838811092023163740.pdf","https://dpmzos25m8ivg.cloudfront.net/Documentos/631/03768408388/6310376840838811092023163740.pdf")</f>
        <v>https://dpmzos25m8ivg.cloudfront.net/Documentos/631/03768408388/6310376840838811092023163740.pdf</v>
      </c>
      <c r="G1552" s="5" t="str">
        <f>HYPERLINK("https://dpmzos25m8ivg.cloudfront.net/Documentos/631/03768408388/6310376840838811092023163755.pdf","https://dpmzos25m8ivg.cloudfront.net/Documentos/631/03768408388/6310376840838811092023163755.pdf")</f>
        <v>https://dpmzos25m8ivg.cloudfront.net/Documentos/631/03768408388/6310376840838811092023163755.pdf</v>
      </c>
      <c r="H1552" s="4" t="s">
        <v>10133</v>
      </c>
    </row>
    <row r="1553" spans="1:8" x14ac:dyDescent="0.25">
      <c r="A1553" s="2" t="s">
        <v>1567</v>
      </c>
      <c r="B1553" s="3"/>
      <c r="C1553" s="3"/>
      <c r="D1553" s="3"/>
      <c r="E1553" s="4" t="str">
        <f>HYPERLINK("https://dpmzos25m8ivg.cloudfront.net/Documentos/631/03768521273/6310376852127305092023134324.jpg","https://dpmzos25m8ivg.cloudfront.net/Documentos/631/03768521273/6310376852127305092023134324.jpg")</f>
        <v>https://dpmzos25m8ivg.cloudfront.net/Documentos/631/03768521273/6310376852127305092023134324.jpg</v>
      </c>
      <c r="F1553" s="5" t="str">
        <f>HYPERLINK("https://dpmzos25m8ivg.cloudfront.net/Documentos/631/03768521273/6310376852127305092023134341.jpg","https://dpmzos25m8ivg.cloudfront.net/Documentos/631/03768521273/6310376852127305092023134341.jpg")</f>
        <v>https://dpmzos25m8ivg.cloudfront.net/Documentos/631/03768521273/6310376852127305092023134341.jpg</v>
      </c>
      <c r="G1553" s="5" t="str">
        <f>HYPERLINK("https://dpmzos25m8ivg.cloudfront.net/Documentos/631/03768521273/6310376852127305092023134419.jpg","https://dpmzos25m8ivg.cloudfront.net/Documentos/631/03768521273/6310376852127305092023134419.jpg")</f>
        <v>https://dpmzos25m8ivg.cloudfront.net/Documentos/631/03768521273/6310376852127305092023134419.jpg</v>
      </c>
      <c r="H1553" s="4" t="s">
        <v>10134</v>
      </c>
    </row>
    <row r="1554" spans="1:8" x14ac:dyDescent="0.25">
      <c r="A1554" s="2" t="s">
        <v>1568</v>
      </c>
      <c r="B1554" s="3"/>
      <c r="C1554" s="3"/>
      <c r="D1554" s="3"/>
      <c r="E1554" s="4" t="str">
        <f>HYPERLINK("https://dpmzos25m8ivg.cloudfront.net/Documentos/631/03771748828/6310377174882807092023145902.pdf","https://dpmzos25m8ivg.cloudfront.net/Documentos/631/03771748828/6310377174882807092023145902.pdf")</f>
        <v>https://dpmzos25m8ivg.cloudfront.net/Documentos/631/03771748828/6310377174882807092023145902.pdf</v>
      </c>
      <c r="F1554" s="5" t="str">
        <f>HYPERLINK("https://dpmzos25m8ivg.cloudfront.net/Documentos/631/03771748828/6310377174882807092023145934.pdf","https://dpmzos25m8ivg.cloudfront.net/Documentos/631/03771748828/6310377174882807092023145934.pdf")</f>
        <v>https://dpmzos25m8ivg.cloudfront.net/Documentos/631/03771748828/6310377174882807092023145934.pdf</v>
      </c>
      <c r="G1554" s="5" t="str">
        <f>HYPERLINK("https://dpmzos25m8ivg.cloudfront.net/Documentos/631/03771748828/6310377174882807092023145952.pdf","https://dpmzos25m8ivg.cloudfront.net/Documentos/631/03771748828/6310377174882807092023145952.pdf")</f>
        <v>https://dpmzos25m8ivg.cloudfront.net/Documentos/631/03771748828/6310377174882807092023145952.pdf</v>
      </c>
      <c r="H1554" s="4" t="s">
        <v>10135</v>
      </c>
    </row>
    <row r="1555" spans="1:8" x14ac:dyDescent="0.25">
      <c r="A1555" s="2" t="s">
        <v>1569</v>
      </c>
      <c r="B1555" s="3"/>
      <c r="C1555" s="3"/>
      <c r="D1555" s="3"/>
      <c r="E1555" s="4" t="str">
        <f>HYPERLINK("https://dpmzos25m8ivg.cloudfront.net/Documentos/631/03772685188/6310377268518811092023140208.pdf","https://dpmzos25m8ivg.cloudfront.net/Documentos/631/03772685188/6310377268518811092023140208.pdf")</f>
        <v>https://dpmzos25m8ivg.cloudfront.net/Documentos/631/03772685188/6310377268518811092023140208.pdf</v>
      </c>
      <c r="F1555" s="5" t="str">
        <f>HYPERLINK("https://dpmzos25m8ivg.cloudfront.net/Documentos/631/03772685188/6310377268518811092023140217.pdf","https://dpmzos25m8ivg.cloudfront.net/Documentos/631/03772685188/6310377268518811092023140217.pdf")</f>
        <v>https://dpmzos25m8ivg.cloudfront.net/Documentos/631/03772685188/6310377268518811092023140217.pdf</v>
      </c>
      <c r="G1555" s="5" t="str">
        <f>HYPERLINK("https://dpmzos25m8ivg.cloudfront.net/Documentos/631/03772685188/6310377268518811092023140225.pdf","https://dpmzos25m8ivg.cloudfront.net/Documentos/631/03772685188/6310377268518811092023140225.pdf")</f>
        <v>https://dpmzos25m8ivg.cloudfront.net/Documentos/631/03772685188/6310377268518811092023140225.pdf</v>
      </c>
      <c r="H1555" s="4" t="s">
        <v>10136</v>
      </c>
    </row>
    <row r="1556" spans="1:8" x14ac:dyDescent="0.25">
      <c r="A1556" s="2" t="s">
        <v>1570</v>
      </c>
      <c r="B1556" s="3"/>
      <c r="C1556" s="3"/>
      <c r="D1556" s="3"/>
      <c r="E1556" s="4" t="str">
        <f>HYPERLINK("https://dpmzos25m8ivg.cloudfront.net/Documentos/631/03773292317/6310377329231711092023120841.pdf","https://dpmzos25m8ivg.cloudfront.net/Documentos/631/03773292317/6310377329231711092023120841.pdf")</f>
        <v>https://dpmzos25m8ivg.cloudfront.net/Documentos/631/03773292317/6310377329231711092023120841.pdf</v>
      </c>
      <c r="F1556" s="5" t="str">
        <f>HYPERLINK("https://dpmzos25m8ivg.cloudfront.net/Documentos/631/03773292317/6310377329231711092023120905.pdf","https://dpmzos25m8ivg.cloudfront.net/Documentos/631/03773292317/6310377329231711092023120905.pdf")</f>
        <v>https://dpmzos25m8ivg.cloudfront.net/Documentos/631/03773292317/6310377329231711092023120905.pdf</v>
      </c>
      <c r="G1556" s="5" t="str">
        <f>HYPERLINK("https://dpmzos25m8ivg.cloudfront.net/Documentos/631/03773292317/6310377329231711092023120921.pdf","https://dpmzos25m8ivg.cloudfront.net/Documentos/631/03773292317/6310377329231711092023120921.pdf")</f>
        <v>https://dpmzos25m8ivg.cloudfront.net/Documentos/631/03773292317/6310377329231711092023120921.pdf</v>
      </c>
      <c r="H1556" s="4" t="s">
        <v>10137</v>
      </c>
    </row>
    <row r="1557" spans="1:8" x14ac:dyDescent="0.25">
      <c r="A1557" s="2" t="s">
        <v>1571</v>
      </c>
      <c r="B1557" s="3"/>
      <c r="C1557" s="3"/>
      <c r="D1557" s="3"/>
      <c r="E1557" s="4" t="str">
        <f>HYPERLINK("https://dpmzos25m8ivg.cloudfront.net/Documentos/631/03775058036/6310377505803606092023102929.pdf","https://dpmzos25m8ivg.cloudfront.net/Documentos/631/03775058036/6310377505803606092023102929.pdf")</f>
        <v>https://dpmzos25m8ivg.cloudfront.net/Documentos/631/03775058036/6310377505803606092023102929.pdf</v>
      </c>
      <c r="F1557" s="5" t="str">
        <f>HYPERLINK("https://dpmzos25m8ivg.cloudfront.net/Documentos/631/03775058036/6310377505803606092023104242.pdf","https://dpmzos25m8ivg.cloudfront.net/Documentos/631/03775058036/6310377505803606092023104242.pdf")</f>
        <v>https://dpmzos25m8ivg.cloudfront.net/Documentos/631/03775058036/6310377505803606092023104242.pdf</v>
      </c>
      <c r="G1557" s="5" t="str">
        <f>HYPERLINK("https://dpmzos25m8ivg.cloudfront.net/Documentos/631/03775058036/6310377505803606092023104315.pdf","https://dpmzos25m8ivg.cloudfront.net/Documentos/631/03775058036/6310377505803606092023104315.pdf")</f>
        <v>https://dpmzos25m8ivg.cloudfront.net/Documentos/631/03775058036/6310377505803606092023104315.pdf</v>
      </c>
      <c r="H1557" s="4" t="s">
        <v>10138</v>
      </c>
    </row>
    <row r="1558" spans="1:8" x14ac:dyDescent="0.25">
      <c r="A1558" s="2" t="s">
        <v>1572</v>
      </c>
      <c r="B1558" s="3"/>
      <c r="C1558" s="3"/>
      <c r="D1558" s="3"/>
      <c r="E1558" s="4" t="str">
        <f>HYPERLINK("https://dpmzos25m8ivg.cloudfront.net/Documentos/631/03776838841/6310377683884108092023161231.pdf","https://dpmzos25m8ivg.cloudfront.net/Documentos/631/03776838841/6310377683884108092023161231.pdf")</f>
        <v>https://dpmzos25m8ivg.cloudfront.net/Documentos/631/03776838841/6310377683884108092023161231.pdf</v>
      </c>
      <c r="F1558" s="5" t="str">
        <f>HYPERLINK("https://dpmzos25m8ivg.cloudfront.net/Documentos/631/03776838841/6310377683884108092023161354.pdf","https://dpmzos25m8ivg.cloudfront.net/Documentos/631/03776838841/6310377683884108092023161354.pdf")</f>
        <v>https://dpmzos25m8ivg.cloudfront.net/Documentos/631/03776838841/6310377683884108092023161354.pdf</v>
      </c>
      <c r="G1558" s="5" t="str">
        <f>HYPERLINK("https://dpmzos25m8ivg.cloudfront.net/Documentos/631/03776838841/6310377683884108092023161448.pdf","https://dpmzos25m8ivg.cloudfront.net/Documentos/631/03776838841/6310377683884108092023161448.pdf")</f>
        <v>https://dpmzos25m8ivg.cloudfront.net/Documentos/631/03776838841/6310377683884108092023161448.pdf</v>
      </c>
      <c r="H1558" s="4" t="s">
        <v>10139</v>
      </c>
    </row>
    <row r="1559" spans="1:8" x14ac:dyDescent="0.25">
      <c r="A1559" s="2" t="s">
        <v>1573</v>
      </c>
      <c r="B1559" s="3"/>
      <c r="C1559" s="3"/>
      <c r="D1559" s="3"/>
      <c r="E1559" s="4" t="str">
        <f>HYPERLINK("https://dpmzos25m8ivg.cloudfront.net/Documentos/631/03777674419/6310377767441906092023161354.pdf","https://dpmzos25m8ivg.cloudfront.net/Documentos/631/03777674419/6310377767441906092023161354.pdf")</f>
        <v>https://dpmzos25m8ivg.cloudfront.net/Documentos/631/03777674419/6310377767441906092023161354.pdf</v>
      </c>
      <c r="F1559" s="5" t="str">
        <f>HYPERLINK("https://dpmzos25m8ivg.cloudfront.net/Documentos/631/03777674419/6310377767441906092023161414.pdf","https://dpmzos25m8ivg.cloudfront.net/Documentos/631/03777674419/6310377767441906092023161414.pdf")</f>
        <v>https://dpmzos25m8ivg.cloudfront.net/Documentos/631/03777674419/6310377767441906092023161414.pdf</v>
      </c>
      <c r="G1559" s="5" t="str">
        <f>HYPERLINK("https://dpmzos25m8ivg.cloudfront.net/Documentos/631/03777674419/6310377767441906092023161435.pdf","https://dpmzos25m8ivg.cloudfront.net/Documentos/631/03777674419/6310377767441906092023161435.pdf")</f>
        <v>https://dpmzos25m8ivg.cloudfront.net/Documentos/631/03777674419/6310377767441906092023161435.pdf</v>
      </c>
      <c r="H1559" s="4" t="s">
        <v>10140</v>
      </c>
    </row>
    <row r="1560" spans="1:8" x14ac:dyDescent="0.25">
      <c r="A1560" s="2" t="s">
        <v>1574</v>
      </c>
      <c r="B1560" s="3"/>
      <c r="C1560" s="3"/>
      <c r="D1560" s="3"/>
      <c r="E1560" s="4" t="str">
        <f>HYPERLINK("https://dpmzos25m8ivg.cloudfront.net/Documentos/631/03780800756/6310378080075613092023203503.pdf","https://dpmzos25m8ivg.cloudfront.net/Documentos/631/03780800756/6310378080075613092023203503.pdf")</f>
        <v>https://dpmzos25m8ivg.cloudfront.net/Documentos/631/03780800756/6310378080075613092023203503.pdf</v>
      </c>
      <c r="F1560" s="5" t="str">
        <f>HYPERLINK("https://dpmzos25m8ivg.cloudfront.net/Documentos/631/03780800756/6310378080075613092023203513.pdf","https://dpmzos25m8ivg.cloudfront.net/Documentos/631/03780800756/6310378080075613092023203513.pdf")</f>
        <v>https://dpmzos25m8ivg.cloudfront.net/Documentos/631/03780800756/6310378080075613092023203513.pdf</v>
      </c>
      <c r="G1560" s="5" t="str">
        <f>HYPERLINK("https://dpmzos25m8ivg.cloudfront.net/Documentos/631/03780800756/6310378080075613092023203520.pdf","https://dpmzos25m8ivg.cloudfront.net/Documentos/631/03780800756/6310378080075613092023203520.pdf")</f>
        <v>https://dpmzos25m8ivg.cloudfront.net/Documentos/631/03780800756/6310378080075613092023203520.pdf</v>
      </c>
      <c r="H1560" s="4" t="s">
        <v>10141</v>
      </c>
    </row>
    <row r="1561" spans="1:8" x14ac:dyDescent="0.25">
      <c r="A1561" s="2" t="s">
        <v>1575</v>
      </c>
      <c r="B1561" s="3"/>
      <c r="C1561" s="3"/>
      <c r="D1561" s="3"/>
      <c r="E1561" s="4" t="str">
        <f>HYPERLINK("https://dpmzos25m8ivg.cloudfront.net/Documentos/631/03783041350/6310378304135010092023202636.pdf","https://dpmzos25m8ivg.cloudfront.net/Documentos/631/03783041350/6310378304135010092023202636.pdf")</f>
        <v>https://dpmzos25m8ivg.cloudfront.net/Documentos/631/03783041350/6310378304135010092023202636.pdf</v>
      </c>
      <c r="F1561" s="5" t="str">
        <f>HYPERLINK("https://dpmzos25m8ivg.cloudfront.net/Documentos/631/03783041350/6310378304135010092023202656.pdf","https://dpmzos25m8ivg.cloudfront.net/Documentos/631/03783041350/6310378304135010092023202656.pdf")</f>
        <v>https://dpmzos25m8ivg.cloudfront.net/Documentos/631/03783041350/6310378304135010092023202656.pdf</v>
      </c>
      <c r="G1561" s="5" t="str">
        <f>HYPERLINK("https://dpmzos25m8ivg.cloudfront.net/Documentos/631/03783041350/6310378304135010092023202722.pdf","https://dpmzos25m8ivg.cloudfront.net/Documentos/631/03783041350/6310378304135010092023202722.pdf")</f>
        <v>https://dpmzos25m8ivg.cloudfront.net/Documentos/631/03783041350/6310378304135010092023202722.pdf</v>
      </c>
      <c r="H1561" s="4" t="s">
        <v>10142</v>
      </c>
    </row>
    <row r="1562" spans="1:8" x14ac:dyDescent="0.25">
      <c r="A1562" s="2" t="s">
        <v>1576</v>
      </c>
      <c r="B1562" s="3" t="s">
        <v>308</v>
      </c>
      <c r="C1562" s="3"/>
      <c r="D1562" s="3"/>
      <c r="E1562" s="4" t="str">
        <f>HYPERLINK("https://dpmzos25m8ivg.cloudfront.net/Documentos/631/03783228344/6310378322834411092023143420.pdf","https://dpmzos25m8ivg.cloudfront.net/Documentos/631/03783228344/6310378322834411092023143420.pdf")</f>
        <v>https://dpmzos25m8ivg.cloudfront.net/Documentos/631/03783228344/6310378322834411092023143420.pdf</v>
      </c>
      <c r="F1562" s="5" t="str">
        <f>HYPERLINK("https://dpmzos25m8ivg.cloudfront.net/Documentos/631/03783228344/6310378322834411092023143432.pdf","https://dpmzos25m8ivg.cloudfront.net/Documentos/631/03783228344/6310378322834411092023143432.pdf")</f>
        <v>https://dpmzos25m8ivg.cloudfront.net/Documentos/631/03783228344/6310378322834411092023143432.pdf</v>
      </c>
      <c r="G1562" s="5" t="str">
        <f>HYPERLINK("https://dpmzos25m8ivg.cloudfront.net/Documentos/631/03783228344/6310378322834411092023143443.pdf","https://dpmzos25m8ivg.cloudfront.net/Documentos/631/03783228344/6310378322834411092023143443.pdf")</f>
        <v>https://dpmzos25m8ivg.cloudfront.net/Documentos/631/03783228344/6310378322834411092023143443.pdf</v>
      </c>
      <c r="H1562" s="4" t="s">
        <v>10143</v>
      </c>
    </row>
    <row r="1563" spans="1:8" x14ac:dyDescent="0.25">
      <c r="A1563" s="2" t="s">
        <v>1577</v>
      </c>
      <c r="B1563" s="3"/>
      <c r="C1563" s="3"/>
      <c r="D1563" s="3"/>
      <c r="E1563" s="4" t="str">
        <f>HYPERLINK("https://dpmzos25m8ivg.cloudfront.net/Documentos/631/03783757339/6310378375733907092023210500.jpeg","https://dpmzos25m8ivg.cloudfront.net/Documentos/631/03783757339/6310378375733907092023210500.jpeg")</f>
        <v>https://dpmzos25m8ivg.cloudfront.net/Documentos/631/03783757339/6310378375733907092023210500.jpeg</v>
      </c>
      <c r="F1563" s="5" t="str">
        <f>HYPERLINK("https://dpmzos25m8ivg.cloudfront.net/Documentos/631/03783757339/6310378375733907092023210521.jpeg","https://dpmzos25m8ivg.cloudfront.net/Documentos/631/03783757339/6310378375733907092023210521.jpeg")</f>
        <v>https://dpmzos25m8ivg.cloudfront.net/Documentos/631/03783757339/6310378375733907092023210521.jpeg</v>
      </c>
      <c r="G1563" s="5" t="str">
        <f>HYPERLINK("https://dpmzos25m8ivg.cloudfront.net/Documentos/631/03783757339/6310378375733907092023210531.jpeg","https://dpmzos25m8ivg.cloudfront.net/Documentos/631/03783757339/6310378375733907092023210531.jpeg")</f>
        <v>https://dpmzos25m8ivg.cloudfront.net/Documentos/631/03783757339/6310378375733907092023210531.jpeg</v>
      </c>
      <c r="H1563" s="4" t="s">
        <v>10144</v>
      </c>
    </row>
    <row r="1564" spans="1:8" x14ac:dyDescent="0.25">
      <c r="A1564" s="2" t="s">
        <v>1578</v>
      </c>
      <c r="B1564" s="3" t="s">
        <v>312</v>
      </c>
      <c r="C1564" s="3"/>
      <c r="D1564" s="3"/>
      <c r="E1564" s="4" t="str">
        <f>HYPERLINK("https://dpmzos25m8ivg.cloudfront.net/Documentos/631/03784348530/6310378434853008092023112237.pdf","https://dpmzos25m8ivg.cloudfront.net/Documentos/631/03784348530/6310378434853008092023112237.pdf")</f>
        <v>https://dpmzos25m8ivg.cloudfront.net/Documentos/631/03784348530/6310378434853008092023112237.pdf</v>
      </c>
      <c r="F1564" s="5" t="str">
        <f>HYPERLINK("https://dpmzos25m8ivg.cloudfront.net/Documentos/631/03784348530/6310378434853008092023112247.pdf","https://dpmzos25m8ivg.cloudfront.net/Documentos/631/03784348530/6310378434853008092023112247.pdf")</f>
        <v>https://dpmzos25m8ivg.cloudfront.net/Documentos/631/03784348530/6310378434853008092023112247.pdf</v>
      </c>
      <c r="G1564" s="5" t="str">
        <f>HYPERLINK("https://dpmzos25m8ivg.cloudfront.net/Documentos/631/03784348530/6310378434853008092023112256.pdf","https://dpmzos25m8ivg.cloudfront.net/Documentos/631/03784348530/6310378434853008092023112256.pdf")</f>
        <v>https://dpmzos25m8ivg.cloudfront.net/Documentos/631/03784348530/6310378434853008092023112256.pdf</v>
      </c>
      <c r="H1564" s="4" t="s">
        <v>10145</v>
      </c>
    </row>
    <row r="1565" spans="1:8" x14ac:dyDescent="0.25">
      <c r="A1565" s="2" t="s">
        <v>1579</v>
      </c>
      <c r="B1565" s="3"/>
      <c r="C1565" s="3"/>
      <c r="D1565" s="3"/>
      <c r="E1565" s="4" t="str">
        <f>HYPERLINK("https://dpmzos25m8ivg.cloudfront.net/Documentos/631/03787937307/6310378793730711092023142719.pdf","https://dpmzos25m8ivg.cloudfront.net/Documentos/631/03787937307/6310378793730711092023142719.pdf")</f>
        <v>https://dpmzos25m8ivg.cloudfront.net/Documentos/631/03787937307/6310378793730711092023142719.pdf</v>
      </c>
      <c r="F1565" s="5" t="str">
        <f>HYPERLINK("https://dpmzos25m8ivg.cloudfront.net/Documentos/631/03787937307/6310378793730711092023142739.pdf","https://dpmzos25m8ivg.cloudfront.net/Documentos/631/03787937307/6310378793730711092023142739.pdf")</f>
        <v>https://dpmzos25m8ivg.cloudfront.net/Documentos/631/03787937307/6310378793730711092023142739.pdf</v>
      </c>
      <c r="G1565" s="5" t="str">
        <f>HYPERLINK("https://dpmzos25m8ivg.cloudfront.net/Documentos/631/03787937307/6310378793730711092023143019.pdf","https://dpmzos25m8ivg.cloudfront.net/Documentos/631/03787937307/6310378793730711092023143019.pdf")</f>
        <v>https://dpmzos25m8ivg.cloudfront.net/Documentos/631/03787937307/6310378793730711092023143019.pdf</v>
      </c>
      <c r="H1565" s="4" t="s">
        <v>10146</v>
      </c>
    </row>
    <row r="1566" spans="1:8" x14ac:dyDescent="0.25">
      <c r="A1566" s="2" t="s">
        <v>1580</v>
      </c>
      <c r="B1566" s="3"/>
      <c r="C1566" s="3"/>
      <c r="D1566" s="3"/>
      <c r="E1566" s="4" t="str">
        <f>HYPERLINK("https://dpmzos25m8ivg.cloudfront.net/Documentos/631/03789159590/6310378915959011092023134426.jpg","https://dpmzos25m8ivg.cloudfront.net/Documentos/631/03789159590/6310378915959011092023134426.jpg")</f>
        <v>https://dpmzos25m8ivg.cloudfront.net/Documentos/631/03789159590/6310378915959011092023134426.jpg</v>
      </c>
      <c r="F1566" s="5" t="str">
        <f>HYPERLINK("https://dpmzos25m8ivg.cloudfront.net/Documentos/631/03789159590/6310378915959011092023134451.jpg","https://dpmzos25m8ivg.cloudfront.net/Documentos/631/03789159590/6310378915959011092023134451.jpg")</f>
        <v>https://dpmzos25m8ivg.cloudfront.net/Documentos/631/03789159590/6310378915959011092023134451.jpg</v>
      </c>
      <c r="G1566" s="5" t="str">
        <f>HYPERLINK("https://dpmzos25m8ivg.cloudfront.net/Documentos/631/03789159590/6310378915959011092023134514.jpg","https://dpmzos25m8ivg.cloudfront.net/Documentos/631/03789159590/6310378915959011092023134514.jpg")</f>
        <v>https://dpmzos25m8ivg.cloudfront.net/Documentos/631/03789159590/6310378915959011092023134514.jpg</v>
      </c>
      <c r="H1566" s="4" t="s">
        <v>10147</v>
      </c>
    </row>
    <row r="1567" spans="1:8" x14ac:dyDescent="0.25">
      <c r="A1567" s="2" t="s">
        <v>1581</v>
      </c>
      <c r="B1567" s="3"/>
      <c r="C1567" s="3"/>
      <c r="D1567" s="3"/>
      <c r="E1567" s="4" t="str">
        <f>HYPERLINK("https://dpmzos25m8ivg.cloudfront.net/Documentos/631/03790212180/6310379021218006092023185732.pdf","https://dpmzos25m8ivg.cloudfront.net/Documentos/631/03790212180/6310379021218006092023185732.pdf")</f>
        <v>https://dpmzos25m8ivg.cloudfront.net/Documentos/631/03790212180/6310379021218006092023185732.pdf</v>
      </c>
      <c r="F1567" s="5" t="str">
        <f>HYPERLINK("https://dpmzos25m8ivg.cloudfront.net/Documentos/631/03790212180/6310379021218006092023185855.pdf","https://dpmzos25m8ivg.cloudfront.net/Documentos/631/03790212180/6310379021218006092023185855.pdf")</f>
        <v>https://dpmzos25m8ivg.cloudfront.net/Documentos/631/03790212180/6310379021218006092023185855.pdf</v>
      </c>
      <c r="G1567" s="5" t="str">
        <f>HYPERLINK("https://dpmzos25m8ivg.cloudfront.net/Documentos/631/03790212180/6310379021218006092023185905.pdf","https://dpmzos25m8ivg.cloudfront.net/Documentos/631/03790212180/6310379021218006092023185905.pdf")</f>
        <v>https://dpmzos25m8ivg.cloudfront.net/Documentos/631/03790212180/6310379021218006092023185905.pdf</v>
      </c>
      <c r="H1567" s="4" t="s">
        <v>10148</v>
      </c>
    </row>
    <row r="1568" spans="1:8" x14ac:dyDescent="0.25">
      <c r="A1568" s="2" t="s">
        <v>1582</v>
      </c>
      <c r="B1568" s="3"/>
      <c r="C1568" s="3"/>
      <c r="D1568" s="3"/>
      <c r="E1568" s="4" t="str">
        <f>HYPERLINK("https://dpmzos25m8ivg.cloudfront.net/Documentos/631/03791167073/6310379116707310092023235322.pdf","https://dpmzos25m8ivg.cloudfront.net/Documentos/631/03791167073/6310379116707310092023235322.pdf")</f>
        <v>https://dpmzos25m8ivg.cloudfront.net/Documentos/631/03791167073/6310379116707310092023235322.pdf</v>
      </c>
      <c r="F1568" s="5" t="str">
        <f>HYPERLINK("https://dpmzos25m8ivg.cloudfront.net/Documentos/631/03791167073/6310379116707310092023235212.pdf","https://dpmzos25m8ivg.cloudfront.net/Documentos/631/03791167073/6310379116707310092023235212.pdf")</f>
        <v>https://dpmzos25m8ivg.cloudfront.net/Documentos/631/03791167073/6310379116707310092023235212.pdf</v>
      </c>
      <c r="G1568" s="5" t="str">
        <f>HYPERLINK("https://dpmzos25m8ivg.cloudfront.net/Documentos/631/03791167073/6310379116707310092023235132.pdf","https://dpmzos25m8ivg.cloudfront.net/Documentos/631/03791167073/6310379116707310092023235132.pdf")</f>
        <v>https://dpmzos25m8ivg.cloudfront.net/Documentos/631/03791167073/6310379116707310092023235132.pdf</v>
      </c>
      <c r="H1568" s="4" t="s">
        <v>10149</v>
      </c>
    </row>
    <row r="1569" spans="1:8" x14ac:dyDescent="0.25">
      <c r="A1569" s="2" t="s">
        <v>1583</v>
      </c>
      <c r="B1569" s="3"/>
      <c r="C1569" s="3"/>
      <c r="D1569" s="3"/>
      <c r="E1569" s="4" t="str">
        <f>HYPERLINK("https://dpmzos25m8ivg.cloudfront.net/Documentos/631/03793127001/6310379312700108092023173224.pdf","https://dpmzos25m8ivg.cloudfront.net/Documentos/631/03793127001/6310379312700108092023173224.pdf")</f>
        <v>https://dpmzos25m8ivg.cloudfront.net/Documentos/631/03793127001/6310379312700108092023173224.pdf</v>
      </c>
      <c r="F1569" s="5" t="str">
        <f>HYPERLINK("https://dpmzos25m8ivg.cloudfront.net/Documentos/631/03793127001/6310379312700108092023173233.pdf","https://dpmzos25m8ivg.cloudfront.net/Documentos/631/03793127001/6310379312700108092023173233.pdf")</f>
        <v>https://dpmzos25m8ivg.cloudfront.net/Documentos/631/03793127001/6310379312700108092023173233.pdf</v>
      </c>
      <c r="G1569" s="5" t="str">
        <f>HYPERLINK("https://dpmzos25m8ivg.cloudfront.net/Documentos/631/03793127001/6310379312700108092023173242.pdf","https://dpmzos25m8ivg.cloudfront.net/Documentos/631/03793127001/6310379312700108092023173242.pdf")</f>
        <v>https://dpmzos25m8ivg.cloudfront.net/Documentos/631/03793127001/6310379312700108092023173242.pdf</v>
      </c>
      <c r="H1569" s="4" t="s">
        <v>10150</v>
      </c>
    </row>
    <row r="1570" spans="1:8" x14ac:dyDescent="0.25">
      <c r="A1570" s="2" t="s">
        <v>1584</v>
      </c>
      <c r="B1570" s="3"/>
      <c r="C1570" s="3"/>
      <c r="D1570" s="3"/>
      <c r="E1570" s="4" t="str">
        <f>HYPERLINK("https://dpmzos25m8ivg.cloudfront.net/Documentos/631/03793752496/6310379375249609092023130128.pdf","https://dpmzos25m8ivg.cloudfront.net/Documentos/631/03793752496/6310379375249609092023130128.pdf")</f>
        <v>https://dpmzos25m8ivg.cloudfront.net/Documentos/631/03793752496/6310379375249609092023130128.pdf</v>
      </c>
      <c r="F1570" s="5" t="str">
        <f>HYPERLINK("https://dpmzos25m8ivg.cloudfront.net/Documentos/631/03793752496/6310379375249609092023130157.pdf","https://dpmzos25m8ivg.cloudfront.net/Documentos/631/03793752496/6310379375249609092023130157.pdf")</f>
        <v>https://dpmzos25m8ivg.cloudfront.net/Documentos/631/03793752496/6310379375249609092023130157.pdf</v>
      </c>
      <c r="G1570" s="5" t="str">
        <f>HYPERLINK("https://dpmzos25m8ivg.cloudfront.net/Documentos/631/03793752496/6310379375249609092023130234.pdf","https://dpmzos25m8ivg.cloudfront.net/Documentos/631/03793752496/6310379375249609092023130234.pdf")</f>
        <v>https://dpmzos25m8ivg.cloudfront.net/Documentos/631/03793752496/6310379375249609092023130234.pdf</v>
      </c>
      <c r="H1570" s="4" t="s">
        <v>10151</v>
      </c>
    </row>
    <row r="1571" spans="1:8" x14ac:dyDescent="0.25">
      <c r="A1571" s="2" t="s">
        <v>1585</v>
      </c>
      <c r="B1571" s="3"/>
      <c r="C1571" s="3"/>
      <c r="D1571" s="3"/>
      <c r="E1571" s="4" t="str">
        <f>HYPERLINK("https://dpmzos25m8ivg.cloudfront.net/Documentos/631/03797064586/6310379706458605092023215216.pdf","https://dpmzos25m8ivg.cloudfront.net/Documentos/631/03797064586/6310379706458605092023215216.pdf")</f>
        <v>https://dpmzos25m8ivg.cloudfront.net/Documentos/631/03797064586/6310379706458605092023215216.pdf</v>
      </c>
      <c r="F1571" s="5" t="str">
        <f>HYPERLINK("https://dpmzos25m8ivg.cloudfront.net/Documentos/631/03797064586/6310379706458605092023215231.pdf","https://dpmzos25m8ivg.cloudfront.net/Documentos/631/03797064586/6310379706458605092023215231.pdf")</f>
        <v>https://dpmzos25m8ivg.cloudfront.net/Documentos/631/03797064586/6310379706458605092023215231.pdf</v>
      </c>
      <c r="G1571" s="5" t="str">
        <f>HYPERLINK("https://dpmzos25m8ivg.cloudfront.net/Documentos/631/03797064586/6310379706458605092023215245.pdf","https://dpmzos25m8ivg.cloudfront.net/Documentos/631/03797064586/6310379706458605092023215245.pdf")</f>
        <v>https://dpmzos25m8ivg.cloudfront.net/Documentos/631/03797064586/6310379706458605092023215245.pdf</v>
      </c>
      <c r="H1571" s="4" t="s">
        <v>10152</v>
      </c>
    </row>
    <row r="1572" spans="1:8" x14ac:dyDescent="0.25">
      <c r="A1572" s="2" t="s">
        <v>1586</v>
      </c>
      <c r="B1572" s="3"/>
      <c r="C1572" s="3"/>
      <c r="D1572" s="3"/>
      <c r="E1572" s="4" t="str">
        <f>HYPERLINK("https://dpmzos25m8ivg.cloudfront.net/Documentos/631/03797419201/6310379741920106092023094110.pdf","https://dpmzos25m8ivg.cloudfront.net/Documentos/631/03797419201/6310379741920106092023094110.pdf")</f>
        <v>https://dpmzos25m8ivg.cloudfront.net/Documentos/631/03797419201/6310379741920106092023094110.pdf</v>
      </c>
      <c r="F1572" s="8" t="str">
        <f>HYPERLINK("https://dpmzos25m8ivg.cloudfront.net/Documentos/631/03797419201/6310379741920106092023094024.pdf","https://dpmzos25m8ivg.cloudfront.net/Documentos/631/03797419201/6310379741920106092023094024.pdf")</f>
        <v>https://dpmzos25m8ivg.cloudfront.net/Documentos/631/03797419201/6310379741920106092023094024.pdf</v>
      </c>
      <c r="G1572" s="5" t="str">
        <f>HYPERLINK("https://dpmzos25m8ivg.cloudfront.net/Documentos/631/03797419201/6310379741920106092023094042.pdf","https://dpmzos25m8ivg.cloudfront.net/Documentos/631/03797419201/6310379741920106092023094042.pdf")</f>
        <v>https://dpmzos25m8ivg.cloudfront.net/Documentos/631/03797419201/6310379741920106092023094042.pdf</v>
      </c>
      <c r="H1572" s="4" t="s">
        <v>10153</v>
      </c>
    </row>
    <row r="1573" spans="1:8" x14ac:dyDescent="0.25">
      <c r="A1573" s="2" t="s">
        <v>1587</v>
      </c>
      <c r="B1573" s="3" t="s">
        <v>312</v>
      </c>
      <c r="C1573" s="3"/>
      <c r="D1573" s="3"/>
      <c r="E1573" s="4" t="str">
        <f>HYPERLINK("https://dpmzos25m8ivg.cloudfront.net/Documentos/631/03797636644/6310379763664405092023091731.jpg","https://dpmzos25m8ivg.cloudfront.net/Documentos/631/03797636644/6310379763664405092023091731.jpg")</f>
        <v>https://dpmzos25m8ivg.cloudfront.net/Documentos/631/03797636644/6310379763664405092023091731.jpg</v>
      </c>
      <c r="F1573" s="5" t="str">
        <f>HYPERLINK("https://dpmzos25m8ivg.cloudfront.net/Documentos/631/03797636644/6310379763664405092023091714.jpg","https://dpmzos25m8ivg.cloudfront.net/Documentos/631/03797636644/6310379763664405092023091714.jpg")</f>
        <v>https://dpmzos25m8ivg.cloudfront.net/Documentos/631/03797636644/6310379763664405092023091714.jpg</v>
      </c>
      <c r="G1573" s="5" t="str">
        <f>HYPERLINK("https://dpmzos25m8ivg.cloudfront.net/Documentos/631/03797636644/6310379763664405092023091701.jpg","https://dpmzos25m8ivg.cloudfront.net/Documentos/631/03797636644/6310379763664405092023091701.jpg")</f>
        <v>https://dpmzos25m8ivg.cloudfront.net/Documentos/631/03797636644/6310379763664405092023091701.jpg</v>
      </c>
      <c r="H1573" s="4" t="s">
        <v>10154</v>
      </c>
    </row>
    <row r="1574" spans="1:8" x14ac:dyDescent="0.25">
      <c r="A1574" s="2" t="s">
        <v>1588</v>
      </c>
      <c r="B1574" s="3"/>
      <c r="C1574" s="3"/>
      <c r="D1574" s="3"/>
      <c r="E1574" s="4" t="str">
        <f>HYPERLINK("https://dpmzos25m8ivg.cloudfront.net/Documentos/631/03799332502/6310379933250211092023150710.pdf","https://dpmzos25m8ivg.cloudfront.net/Documentos/631/03799332502/6310379933250211092023150710.pdf")</f>
        <v>https://dpmzos25m8ivg.cloudfront.net/Documentos/631/03799332502/6310379933250211092023150710.pdf</v>
      </c>
      <c r="F1574" s="5" t="str">
        <f>HYPERLINK("https://dpmzos25m8ivg.cloudfront.net/Documentos/631/03799332502/6310379933250211092023150727.pdf","https://dpmzos25m8ivg.cloudfront.net/Documentos/631/03799332502/6310379933250211092023150727.pdf")</f>
        <v>https://dpmzos25m8ivg.cloudfront.net/Documentos/631/03799332502/6310379933250211092023150727.pdf</v>
      </c>
      <c r="G1574" s="5" t="str">
        <f>HYPERLINK("https://dpmzos25m8ivg.cloudfront.net/Documentos/631/03799332502/6310379933250211092023150743.pdf","https://dpmzos25m8ivg.cloudfront.net/Documentos/631/03799332502/6310379933250211092023150743.pdf")</f>
        <v>https://dpmzos25m8ivg.cloudfront.net/Documentos/631/03799332502/6310379933250211092023150743.pdf</v>
      </c>
      <c r="H1574" s="4" t="s">
        <v>10155</v>
      </c>
    </row>
    <row r="1575" spans="1:8" x14ac:dyDescent="0.25">
      <c r="A1575" s="2" t="s">
        <v>1589</v>
      </c>
      <c r="B1575" s="3"/>
      <c r="C1575" s="3"/>
      <c r="D1575" s="3"/>
      <c r="E1575" s="4" t="str">
        <f>HYPERLINK("https://dpmzos25m8ivg.cloudfront.net/Documentos/631/03812893541/6310381289354105092023141657.jpeg","https://dpmzos25m8ivg.cloudfront.net/Documentos/631/03812893541/6310381289354105092023141657.jpeg")</f>
        <v>https://dpmzos25m8ivg.cloudfront.net/Documentos/631/03812893541/6310381289354105092023141657.jpeg</v>
      </c>
      <c r="F1575" s="5" t="str">
        <f>HYPERLINK("https://dpmzos25m8ivg.cloudfront.net/Documentos/631/03812893541/6310381289354105092023141952.jpeg","https://dpmzos25m8ivg.cloudfront.net/Documentos/631/03812893541/6310381289354105092023141952.jpeg")</f>
        <v>https://dpmzos25m8ivg.cloudfront.net/Documentos/631/03812893541/6310381289354105092023141952.jpeg</v>
      </c>
      <c r="G1575" s="5" t="str">
        <f>HYPERLINK("https://dpmzos25m8ivg.cloudfront.net/Documentos/631/03812893541/6310381289354105092023142005.jpeg","https://dpmzos25m8ivg.cloudfront.net/Documentos/631/03812893541/6310381289354105092023142005.jpeg")</f>
        <v>https://dpmzos25m8ivg.cloudfront.net/Documentos/631/03812893541/6310381289354105092023142005.jpeg</v>
      </c>
      <c r="H1575" s="4" t="s">
        <v>10156</v>
      </c>
    </row>
    <row r="1576" spans="1:8" x14ac:dyDescent="0.25">
      <c r="A1576" s="2" t="s">
        <v>1590</v>
      </c>
      <c r="B1576" s="3"/>
      <c r="C1576" s="3"/>
      <c r="D1576" s="3"/>
      <c r="E1576" s="4" t="str">
        <f>HYPERLINK("https://dpmzos25m8ivg.cloudfront.net/Documentos/631/03813558967/6310381355896710092023164931.jpg","https://dpmzos25m8ivg.cloudfront.net/Documentos/631/03813558967/6310381355896710092023164931.jpg")</f>
        <v>https://dpmzos25m8ivg.cloudfront.net/Documentos/631/03813558967/6310381355896710092023164931.jpg</v>
      </c>
      <c r="F1576" s="5" t="str">
        <f>HYPERLINK("https://dpmzos25m8ivg.cloudfront.net/Documentos/631/03813558967/6310381355896710092023164950.jpg","https://dpmzos25m8ivg.cloudfront.net/Documentos/631/03813558967/6310381355896710092023164950.jpg")</f>
        <v>https://dpmzos25m8ivg.cloudfront.net/Documentos/631/03813558967/6310381355896710092023164950.jpg</v>
      </c>
      <c r="G1576" s="5" t="str">
        <f>HYPERLINK("https://dpmzos25m8ivg.cloudfront.net/Documentos/631/03813558967/6310381355896710092023165001.jpg","https://dpmzos25m8ivg.cloudfront.net/Documentos/631/03813558967/6310381355896710092023165001.jpg")</f>
        <v>https://dpmzos25m8ivg.cloudfront.net/Documentos/631/03813558967/6310381355896710092023165001.jpg</v>
      </c>
      <c r="H1576" s="4" t="s">
        <v>10157</v>
      </c>
    </row>
    <row r="1577" spans="1:8" x14ac:dyDescent="0.25">
      <c r="A1577" s="2" t="s">
        <v>1591</v>
      </c>
      <c r="B1577" s="3" t="s">
        <v>312</v>
      </c>
      <c r="C1577" s="3"/>
      <c r="D1577" s="3"/>
      <c r="E1577" s="4" t="str">
        <f>HYPERLINK("https://dpmzos25m8ivg.cloudfront.net/Documentos/631/03814171152/6310381417115205092023192724.jpg","https://dpmzos25m8ivg.cloudfront.net/Documentos/631/03814171152/6310381417115205092023192724.jpg")</f>
        <v>https://dpmzos25m8ivg.cloudfront.net/Documentos/631/03814171152/6310381417115205092023192724.jpg</v>
      </c>
      <c r="F1577" s="5" t="str">
        <f>HYPERLINK("https://dpmzos25m8ivg.cloudfront.net/Documentos/631/03814171152/6310381417115205092023192742.jpg","https://dpmzos25m8ivg.cloudfront.net/Documentos/631/03814171152/6310381417115205092023192742.jpg")</f>
        <v>https://dpmzos25m8ivg.cloudfront.net/Documentos/631/03814171152/6310381417115205092023192742.jpg</v>
      </c>
      <c r="G1577" s="5" t="str">
        <f>HYPERLINK("https://dpmzos25m8ivg.cloudfront.net/Documentos/631/03814171152/6310381417115205092023192807.jpg","https://dpmzos25m8ivg.cloudfront.net/Documentos/631/03814171152/6310381417115205092023192807.jpg")</f>
        <v>https://dpmzos25m8ivg.cloudfront.net/Documentos/631/03814171152/6310381417115205092023192807.jpg</v>
      </c>
      <c r="H1577" s="4" t="s">
        <v>10158</v>
      </c>
    </row>
    <row r="1578" spans="1:8" x14ac:dyDescent="0.25">
      <c r="A1578" s="2" t="s">
        <v>1592</v>
      </c>
      <c r="B1578" s="3"/>
      <c r="C1578" s="3"/>
      <c r="D1578" s="3"/>
      <c r="E1578" s="4" t="str">
        <f>HYPERLINK("https://dpmzos25m8ivg.cloudfront.net/Documentos/631/03815190150/6310381519015011092023161529.jpg","https://dpmzos25m8ivg.cloudfront.net/Documentos/631/03815190150/6310381519015011092023161529.jpg")</f>
        <v>https://dpmzos25m8ivg.cloudfront.net/Documentos/631/03815190150/6310381519015011092023161529.jpg</v>
      </c>
      <c r="F1578" s="5" t="str">
        <f>HYPERLINK("https://dpmzos25m8ivg.cloudfront.net/Documentos/631/03815190150/6310381519015011092023161609.jpg","https://dpmzos25m8ivg.cloudfront.net/Documentos/631/03815190150/6310381519015011092023161609.jpg")</f>
        <v>https://dpmzos25m8ivg.cloudfront.net/Documentos/631/03815190150/6310381519015011092023161609.jpg</v>
      </c>
      <c r="G1578" s="5" t="str">
        <f>HYPERLINK("https://dpmzos25m8ivg.cloudfront.net/Documentos/631/03815190150/6310381519015011092023161646.jpg","https://dpmzos25m8ivg.cloudfront.net/Documentos/631/03815190150/6310381519015011092023161646.jpg")</f>
        <v>https://dpmzos25m8ivg.cloudfront.net/Documentos/631/03815190150/6310381519015011092023161646.jpg</v>
      </c>
      <c r="H1578" s="4" t="s">
        <v>10159</v>
      </c>
    </row>
    <row r="1579" spans="1:8" x14ac:dyDescent="0.25">
      <c r="A1579" s="2" t="s">
        <v>1593</v>
      </c>
      <c r="B1579" s="3"/>
      <c r="C1579" s="3"/>
      <c r="D1579" s="3"/>
      <c r="E1579" s="4" t="str">
        <f>HYPERLINK("https://dpmzos25m8ivg.cloudfront.net/Documentos/631/03815370213/6310381537021311092023164436.pdf","https://dpmzos25m8ivg.cloudfront.net/Documentos/631/03815370213/6310381537021311092023164436.pdf")</f>
        <v>https://dpmzos25m8ivg.cloudfront.net/Documentos/631/03815370213/6310381537021311092023164436.pdf</v>
      </c>
      <c r="F1579" s="5" t="str">
        <f>HYPERLINK("https://dpmzos25m8ivg.cloudfront.net/Documentos/631/03815370213/6310381537021311092023164447.pdf","https://dpmzos25m8ivg.cloudfront.net/Documentos/631/03815370213/6310381537021311092023164447.pdf")</f>
        <v>https://dpmzos25m8ivg.cloudfront.net/Documentos/631/03815370213/6310381537021311092023164447.pdf</v>
      </c>
      <c r="G1579" s="5" t="str">
        <f>HYPERLINK("https://dpmzos25m8ivg.cloudfront.net/Documentos/631/03815370213/6310381537021311092023164504.pdf","https://dpmzos25m8ivg.cloudfront.net/Documentos/631/03815370213/6310381537021311092023164504.pdf")</f>
        <v>https://dpmzos25m8ivg.cloudfront.net/Documentos/631/03815370213/6310381537021311092023164504.pdf</v>
      </c>
      <c r="H1579" s="4" t="s">
        <v>10160</v>
      </c>
    </row>
    <row r="1580" spans="1:8" x14ac:dyDescent="0.25">
      <c r="A1580" s="2" t="s">
        <v>1594</v>
      </c>
      <c r="B1580" s="3"/>
      <c r="C1580" s="3"/>
      <c r="D1580" s="3"/>
      <c r="E1580" s="4" t="str">
        <f>HYPERLINK("https://dpmzos25m8ivg.cloudfront.net/Documentos/631/03815648190/6310381564819011092023034025.jpeg","https://dpmzos25m8ivg.cloudfront.net/Documentos/631/03815648190/6310381564819011092023034025.jpeg")</f>
        <v>https://dpmzos25m8ivg.cloudfront.net/Documentos/631/03815648190/6310381564819011092023034025.jpeg</v>
      </c>
      <c r="F1580" s="5" t="str">
        <f>HYPERLINK("https://dpmzos25m8ivg.cloudfront.net/Documentos/631/03815648190/6310381564819011092023034117.jpeg","https://dpmzos25m8ivg.cloudfront.net/Documentos/631/03815648190/6310381564819011092023034117.jpeg")</f>
        <v>https://dpmzos25m8ivg.cloudfront.net/Documentos/631/03815648190/6310381564819011092023034117.jpeg</v>
      </c>
      <c r="G1580" s="5" t="str">
        <f>HYPERLINK("https://dpmzos25m8ivg.cloudfront.net/Documentos/631/03815648190/6310381564819011092023034143.jpeg","https://dpmzos25m8ivg.cloudfront.net/Documentos/631/03815648190/6310381564819011092023034143.jpeg")</f>
        <v>https://dpmzos25m8ivg.cloudfront.net/Documentos/631/03815648190/6310381564819011092023034143.jpeg</v>
      </c>
      <c r="H1580" s="4" t="s">
        <v>10161</v>
      </c>
    </row>
    <row r="1581" spans="1:8" x14ac:dyDescent="0.25">
      <c r="A1581" s="2" t="s">
        <v>1595</v>
      </c>
      <c r="B1581" s="3"/>
      <c r="C1581" s="3"/>
      <c r="D1581" s="3"/>
      <c r="E1581" s="4" t="str">
        <f>HYPERLINK("https://dpmzos25m8ivg.cloudfront.net/Documentos/631/03819071555/6310381907155513092023184955.jpeg","https://dpmzos25m8ivg.cloudfront.net/Documentos/631/03819071555/6310381907155513092023184955.jpeg")</f>
        <v>https://dpmzos25m8ivg.cloudfront.net/Documentos/631/03819071555/6310381907155513092023184955.jpeg</v>
      </c>
      <c r="F1581" s="5" t="str">
        <f>HYPERLINK("https://dpmzos25m8ivg.cloudfront.net/Documentos/631/03819071555/6310381907155513092023185011.jpeg","https://dpmzos25m8ivg.cloudfront.net/Documentos/631/03819071555/6310381907155513092023185011.jpeg")</f>
        <v>https://dpmzos25m8ivg.cloudfront.net/Documentos/631/03819071555/6310381907155513092023185011.jpeg</v>
      </c>
      <c r="G1581" s="5" t="str">
        <f>HYPERLINK("https://dpmzos25m8ivg.cloudfront.net/Documentos/631/03819071555/6310381907155513092023185033.jpeg","https://dpmzos25m8ivg.cloudfront.net/Documentos/631/03819071555/6310381907155513092023185033.jpeg")</f>
        <v>https://dpmzos25m8ivg.cloudfront.net/Documentos/631/03819071555/6310381907155513092023185033.jpeg</v>
      </c>
      <c r="H1581" s="4" t="s">
        <v>10162</v>
      </c>
    </row>
    <row r="1582" spans="1:8" x14ac:dyDescent="0.25">
      <c r="A1582" s="2" t="s">
        <v>1596</v>
      </c>
      <c r="B1582" s="3"/>
      <c r="C1582" s="3"/>
      <c r="D1582" s="3"/>
      <c r="E1582" s="4" t="str">
        <f>HYPERLINK("https://dpmzos25m8ivg.cloudfront.net/Documentos/631/03820098518/6310382009851811092023092014.jpeg","https://dpmzos25m8ivg.cloudfront.net/Documentos/631/03820098518/6310382009851811092023092014.jpeg")</f>
        <v>https://dpmzos25m8ivg.cloudfront.net/Documentos/631/03820098518/6310382009851811092023092014.jpeg</v>
      </c>
      <c r="F1582" s="5" t="str">
        <f>HYPERLINK("https://dpmzos25m8ivg.cloudfront.net/Documentos/631/03820098518/6310382009851811092023092045.jpeg","https://dpmzos25m8ivg.cloudfront.net/Documentos/631/03820098518/6310382009851811092023092045.jpeg")</f>
        <v>https://dpmzos25m8ivg.cloudfront.net/Documentos/631/03820098518/6310382009851811092023092045.jpeg</v>
      </c>
      <c r="G1582" s="5" t="str">
        <f>HYPERLINK("https://dpmzos25m8ivg.cloudfront.net/Documentos/631/03820098518/6310382009851811092023092113.jpeg","https://dpmzos25m8ivg.cloudfront.net/Documentos/631/03820098518/6310382009851811092023092113.jpeg")</f>
        <v>https://dpmzos25m8ivg.cloudfront.net/Documentos/631/03820098518/6310382009851811092023092113.jpeg</v>
      </c>
      <c r="H1582" s="4" t="s">
        <v>10163</v>
      </c>
    </row>
    <row r="1583" spans="1:8" x14ac:dyDescent="0.25">
      <c r="A1583" s="2" t="s">
        <v>1597</v>
      </c>
      <c r="B1583" s="3"/>
      <c r="C1583" s="3"/>
      <c r="D1583" s="3"/>
      <c r="E1583" s="4" t="str">
        <f>HYPERLINK("https://dpmzos25m8ivg.cloudfront.net/Documentos/631/03820894560/6310382089456005092023231701.jpeg","https://dpmzos25m8ivg.cloudfront.net/Documentos/631/03820894560/6310382089456005092023231701.jpeg")</f>
        <v>https://dpmzos25m8ivg.cloudfront.net/Documentos/631/03820894560/6310382089456005092023231701.jpeg</v>
      </c>
      <c r="F1583" s="5" t="str">
        <f>HYPERLINK("https://dpmzos25m8ivg.cloudfront.net/Documentos/631/03820894560/6310382089456005092023231731.jpeg","https://dpmzos25m8ivg.cloudfront.net/Documentos/631/03820894560/6310382089456005092023231731.jpeg")</f>
        <v>https://dpmzos25m8ivg.cloudfront.net/Documentos/631/03820894560/6310382089456005092023231731.jpeg</v>
      </c>
      <c r="G1583" s="5" t="str">
        <f>HYPERLINK("https://dpmzos25m8ivg.cloudfront.net/Documentos/631/03820894560/6310382089456005092023231749.jpeg","https://dpmzos25m8ivg.cloudfront.net/Documentos/631/03820894560/6310382089456005092023231749.jpeg")</f>
        <v>https://dpmzos25m8ivg.cloudfront.net/Documentos/631/03820894560/6310382089456005092023231749.jpeg</v>
      </c>
      <c r="H1583" s="4" t="s">
        <v>10164</v>
      </c>
    </row>
    <row r="1584" spans="1:8" x14ac:dyDescent="0.25">
      <c r="A1584" s="2" t="s">
        <v>1598</v>
      </c>
      <c r="B1584" s="3"/>
      <c r="C1584" s="3"/>
      <c r="D1584" s="3"/>
      <c r="E1584" s="4" t="str">
        <f>HYPERLINK("https://dpmzos25m8ivg.cloudfront.net/Documentos/631/03822014184/6310382201418407092023124339.pdf","https://dpmzos25m8ivg.cloudfront.net/Documentos/631/03822014184/6310382201418407092023124339.pdf")</f>
        <v>https://dpmzos25m8ivg.cloudfront.net/Documentos/631/03822014184/6310382201418407092023124339.pdf</v>
      </c>
      <c r="F1584" s="5" t="str">
        <f>HYPERLINK("https://dpmzos25m8ivg.cloudfront.net/Documentos/631/03822014184/6310382201418407092023124347.pdf","https://dpmzos25m8ivg.cloudfront.net/Documentos/631/03822014184/6310382201418407092023124347.pdf")</f>
        <v>https://dpmzos25m8ivg.cloudfront.net/Documentos/631/03822014184/6310382201418407092023124347.pdf</v>
      </c>
      <c r="G1584" s="5" t="str">
        <f>HYPERLINK("https://dpmzos25m8ivg.cloudfront.net/Documentos/631/03822014184/6310382201418407092023124354.pdf","https://dpmzos25m8ivg.cloudfront.net/Documentos/631/03822014184/6310382201418407092023124354.pdf")</f>
        <v>https://dpmzos25m8ivg.cloudfront.net/Documentos/631/03822014184/6310382201418407092023124354.pdf</v>
      </c>
      <c r="H1584" s="4" t="s">
        <v>10165</v>
      </c>
    </row>
    <row r="1585" spans="1:8" x14ac:dyDescent="0.25">
      <c r="A1585" s="2" t="s">
        <v>1599</v>
      </c>
      <c r="B1585" s="3"/>
      <c r="C1585" s="3"/>
      <c r="D1585" s="3"/>
      <c r="E1585" s="4" t="str">
        <f>HYPERLINK("https://dpmzos25m8ivg.cloudfront.net/Documentos/631/03822061344/6310382206134411092023151033.pdf","https://dpmzos25m8ivg.cloudfront.net/Documentos/631/03822061344/6310382206134411092023151033.pdf")</f>
        <v>https://dpmzos25m8ivg.cloudfront.net/Documentos/631/03822061344/6310382206134411092023151033.pdf</v>
      </c>
      <c r="F1585" s="5" t="str">
        <f>HYPERLINK("https://dpmzos25m8ivg.cloudfront.net/Documentos/631/03822061344/6310382206134411092023151226.pdf","https://dpmzos25m8ivg.cloudfront.net/Documentos/631/03822061344/6310382206134411092023151226.pdf")</f>
        <v>https://dpmzos25m8ivg.cloudfront.net/Documentos/631/03822061344/6310382206134411092023151226.pdf</v>
      </c>
      <c r="G1585" s="5" t="str">
        <f>HYPERLINK("https://dpmzos25m8ivg.cloudfront.net/Documentos/631/03822061344/6310382206134411092023151243.pdf","https://dpmzos25m8ivg.cloudfront.net/Documentos/631/03822061344/6310382206134411092023151243.pdf")</f>
        <v>https://dpmzos25m8ivg.cloudfront.net/Documentos/631/03822061344/6310382206134411092023151243.pdf</v>
      </c>
      <c r="H1585" s="4" t="s">
        <v>10166</v>
      </c>
    </row>
    <row r="1586" spans="1:8" x14ac:dyDescent="0.25">
      <c r="A1586" s="2" t="s">
        <v>1600</v>
      </c>
      <c r="B1586" s="3"/>
      <c r="C1586" s="3"/>
      <c r="D1586" s="3"/>
      <c r="E1586" s="4" t="str">
        <f>HYPERLINK("https://dpmzos25m8ivg.cloudfront.net/Documentos/631/03822975559/6310382297555914092023143309.pdf","https://dpmzos25m8ivg.cloudfront.net/Documentos/631/03822975559/6310382297555914092023143309.pdf")</f>
        <v>https://dpmzos25m8ivg.cloudfront.net/Documentos/631/03822975559/6310382297555914092023143309.pdf</v>
      </c>
      <c r="F1586" s="5" t="str">
        <f>HYPERLINK("https://dpmzos25m8ivg.cloudfront.net/Documentos/631/03822975559/6310382297555914092023143325.pdf","https://dpmzos25m8ivg.cloudfront.net/Documentos/631/03822975559/6310382297555914092023143325.pdf")</f>
        <v>https://dpmzos25m8ivg.cloudfront.net/Documentos/631/03822975559/6310382297555914092023143325.pdf</v>
      </c>
      <c r="G1586" s="5" t="str">
        <f>HYPERLINK("https://dpmzos25m8ivg.cloudfront.net/Documentos/631/03822975559/6310382297555914092023143346.pdf","https://dpmzos25m8ivg.cloudfront.net/Documentos/631/03822975559/6310382297555914092023143346.pdf")</f>
        <v>https://dpmzos25m8ivg.cloudfront.net/Documentos/631/03822975559/6310382297555914092023143346.pdf</v>
      </c>
      <c r="H1586" s="4" t="s">
        <v>10167</v>
      </c>
    </row>
    <row r="1587" spans="1:8" x14ac:dyDescent="0.25">
      <c r="A1587" s="2" t="s">
        <v>1601</v>
      </c>
      <c r="B1587" s="3"/>
      <c r="C1587" s="3"/>
      <c r="D1587" s="3"/>
      <c r="E1587" s="4" t="str">
        <f>HYPERLINK("https://dpmzos25m8ivg.cloudfront.net/Documentos/631/03823348256/6310382334825605092023171337.pdf","https://dpmzos25m8ivg.cloudfront.net/Documentos/631/03823348256/6310382334825605092023171337.pdf")</f>
        <v>https://dpmzos25m8ivg.cloudfront.net/Documentos/631/03823348256/6310382334825605092023171337.pdf</v>
      </c>
      <c r="F1587" s="5" t="str">
        <f>HYPERLINK("https://dpmzos25m8ivg.cloudfront.net/Documentos/631/03823348256/6310382334825605092023171352.pdf","https://dpmzos25m8ivg.cloudfront.net/Documentos/631/03823348256/6310382334825605092023171352.pdf")</f>
        <v>https://dpmzos25m8ivg.cloudfront.net/Documentos/631/03823348256/6310382334825605092023171352.pdf</v>
      </c>
      <c r="G1587" s="5" t="str">
        <f>HYPERLINK("https://dpmzos25m8ivg.cloudfront.net/Documentos/631/03823348256/6310382334825605092023171408.pdf","https://dpmzos25m8ivg.cloudfront.net/Documentos/631/03823348256/6310382334825605092023171408.pdf")</f>
        <v>https://dpmzos25m8ivg.cloudfront.net/Documentos/631/03823348256/6310382334825605092023171408.pdf</v>
      </c>
      <c r="H1587" s="4" t="s">
        <v>10168</v>
      </c>
    </row>
    <row r="1588" spans="1:8" x14ac:dyDescent="0.25">
      <c r="A1588" s="2" t="s">
        <v>1602</v>
      </c>
      <c r="B1588" s="3"/>
      <c r="C1588" s="3"/>
      <c r="D1588" s="3"/>
      <c r="E1588" s="4" t="str">
        <f>HYPERLINK("https://dpmzos25m8ivg.cloudfront.net/Documentos/631/03823427555/6310382342755513092023192256.jpg","https://dpmzos25m8ivg.cloudfront.net/Documentos/631/03823427555/6310382342755513092023192256.jpg")</f>
        <v>https://dpmzos25m8ivg.cloudfront.net/Documentos/631/03823427555/6310382342755513092023192256.jpg</v>
      </c>
      <c r="F1588" s="5" t="str">
        <f>HYPERLINK("https://dpmzos25m8ivg.cloudfront.net/Documentos/631/03823427555/6310382342755513092023192408.jpg","https://dpmzos25m8ivg.cloudfront.net/Documentos/631/03823427555/6310382342755513092023192408.jpg")</f>
        <v>https://dpmzos25m8ivg.cloudfront.net/Documentos/631/03823427555/6310382342755513092023192408.jpg</v>
      </c>
      <c r="G1588" s="5" t="str">
        <f>HYPERLINK("https://dpmzos25m8ivg.cloudfront.net/Documentos/631/03823427555/6310382342755513092023192518.jpg","https://dpmzos25m8ivg.cloudfront.net/Documentos/631/03823427555/6310382342755513092023192518.jpg")</f>
        <v>https://dpmzos25m8ivg.cloudfront.net/Documentos/631/03823427555/6310382342755513092023192518.jpg</v>
      </c>
      <c r="H1588" s="4" t="s">
        <v>10169</v>
      </c>
    </row>
    <row r="1589" spans="1:8" x14ac:dyDescent="0.25">
      <c r="A1589" s="2" t="s">
        <v>1603</v>
      </c>
      <c r="B1589" s="3"/>
      <c r="C1589" s="3"/>
      <c r="D1589" s="3"/>
      <c r="E1589" s="4" t="str">
        <f>HYPERLINK("https://dpmzos25m8ivg.cloudfront.net/Documentos/631/03823864181/6310382386418106092023190339.jpg","https://dpmzos25m8ivg.cloudfront.net/Documentos/631/03823864181/6310382386418106092023190339.jpg")</f>
        <v>https://dpmzos25m8ivg.cloudfront.net/Documentos/631/03823864181/6310382386418106092023190339.jpg</v>
      </c>
      <c r="F1589" s="5" t="str">
        <f>HYPERLINK("https://dpmzos25m8ivg.cloudfront.net/Documentos/631/03823864181/6310382386418106092023190406.jpg","https://dpmzos25m8ivg.cloudfront.net/Documentos/631/03823864181/6310382386418106092023190406.jpg")</f>
        <v>https://dpmzos25m8ivg.cloudfront.net/Documentos/631/03823864181/6310382386418106092023190406.jpg</v>
      </c>
      <c r="G1589" s="5" t="str">
        <f>HYPERLINK("https://dpmzos25m8ivg.cloudfront.net/Documentos/631/03823864181/6310382386418106092023190423.jpg","https://dpmzos25m8ivg.cloudfront.net/Documentos/631/03823864181/6310382386418106092023190423.jpg")</f>
        <v>https://dpmzos25m8ivg.cloudfront.net/Documentos/631/03823864181/6310382386418106092023190423.jpg</v>
      </c>
      <c r="H1589" s="4" t="s">
        <v>10170</v>
      </c>
    </row>
    <row r="1590" spans="1:8" x14ac:dyDescent="0.25">
      <c r="A1590" s="2" t="s">
        <v>1604</v>
      </c>
      <c r="B1590" s="3" t="s">
        <v>312</v>
      </c>
      <c r="C1590" s="3"/>
      <c r="D1590" s="3"/>
      <c r="E1590" s="4" t="str">
        <f>HYPERLINK("https://dpmzos25m8ivg.cloudfront.net/Documentos/631/03827053358/6310382705335808092023111722.pdf","https://dpmzos25m8ivg.cloudfront.net/Documentos/631/03827053358/6310382705335808092023111722.pdf")</f>
        <v>https://dpmzos25m8ivg.cloudfront.net/Documentos/631/03827053358/6310382705335808092023111722.pdf</v>
      </c>
      <c r="F1590" s="5" t="str">
        <f>HYPERLINK("https://dpmzos25m8ivg.cloudfront.net/Documentos/631/03827053358/6310382705335808092023112022.pdf","https://dpmzos25m8ivg.cloudfront.net/Documentos/631/03827053358/6310382705335808092023112022.pdf")</f>
        <v>https://dpmzos25m8ivg.cloudfront.net/Documentos/631/03827053358/6310382705335808092023112022.pdf</v>
      </c>
      <c r="G1590" s="5" t="str">
        <f>HYPERLINK("https://dpmzos25m8ivg.cloudfront.net/Documentos/631/03827053358/6310382705335808092023112010.pdf","https://dpmzos25m8ivg.cloudfront.net/Documentos/631/03827053358/6310382705335808092023112010.pdf")</f>
        <v>https://dpmzos25m8ivg.cloudfront.net/Documentos/631/03827053358/6310382705335808092023112010.pdf</v>
      </c>
      <c r="H1590" s="4" t="s">
        <v>10171</v>
      </c>
    </row>
    <row r="1591" spans="1:8" x14ac:dyDescent="0.25">
      <c r="A1591" s="2" t="s">
        <v>1605</v>
      </c>
      <c r="B1591" s="3"/>
      <c r="C1591" s="3"/>
      <c r="D1591" s="3"/>
      <c r="E1591" s="4" t="str">
        <f>HYPERLINK("https://dpmzos25m8ivg.cloudfront.net/Documentos/631/03828165109/6310382816510905092023153315.jpeg","https://dpmzos25m8ivg.cloudfront.net/Documentos/631/03828165109/6310382816510905092023153315.jpeg")</f>
        <v>https://dpmzos25m8ivg.cloudfront.net/Documentos/631/03828165109/6310382816510905092023153315.jpeg</v>
      </c>
      <c r="F1591" s="5" t="str">
        <f>HYPERLINK("https://dpmzos25m8ivg.cloudfront.net/Documentos/631/03828165109/6310382816510905092023153340.jpeg","https://dpmzos25m8ivg.cloudfront.net/Documentos/631/03828165109/6310382816510905092023153340.jpeg")</f>
        <v>https://dpmzos25m8ivg.cloudfront.net/Documentos/631/03828165109/6310382816510905092023153340.jpeg</v>
      </c>
      <c r="G1591" s="5" t="str">
        <f>HYPERLINK("https://dpmzos25m8ivg.cloudfront.net/Documentos/631/03828165109/6310382816510905092023153401.jpeg","https://dpmzos25m8ivg.cloudfront.net/Documentos/631/03828165109/6310382816510905092023153401.jpeg")</f>
        <v>https://dpmzos25m8ivg.cloudfront.net/Documentos/631/03828165109/6310382816510905092023153401.jpeg</v>
      </c>
      <c r="H1591" s="4" t="s">
        <v>10172</v>
      </c>
    </row>
    <row r="1592" spans="1:8" x14ac:dyDescent="0.25">
      <c r="A1592" s="2" t="s">
        <v>1606</v>
      </c>
      <c r="B1592" s="3"/>
      <c r="C1592" s="3"/>
      <c r="D1592" s="3"/>
      <c r="E1592" s="4" t="str">
        <f>HYPERLINK("https://dpmzos25m8ivg.cloudfront.net/Documentos/631/03832111158/6310383211115804092023224751.pdf","https://dpmzos25m8ivg.cloudfront.net/Documentos/631/03832111158/6310383211115804092023224751.pdf")</f>
        <v>https://dpmzos25m8ivg.cloudfront.net/Documentos/631/03832111158/6310383211115804092023224751.pdf</v>
      </c>
      <c r="F1592" s="5" t="str">
        <f>HYPERLINK("https://dpmzos25m8ivg.cloudfront.net/Documentos/631/03832111158/6310383211115805092023153326.pdf","https://dpmzos25m8ivg.cloudfront.net/Documentos/631/03832111158/6310383211115805092023153326.pdf")</f>
        <v>https://dpmzos25m8ivg.cloudfront.net/Documentos/631/03832111158/6310383211115805092023153326.pdf</v>
      </c>
      <c r="G1592" s="5" t="str">
        <f>HYPERLINK("https://dpmzos25m8ivg.cloudfront.net/Documentos/631/03832111158/6310383211115805092023153343.pdf","https://dpmzos25m8ivg.cloudfront.net/Documentos/631/03832111158/6310383211115805092023153343.pdf")</f>
        <v>https://dpmzos25m8ivg.cloudfront.net/Documentos/631/03832111158/6310383211115805092023153343.pdf</v>
      </c>
      <c r="H1592" s="4" t="s">
        <v>10173</v>
      </c>
    </row>
    <row r="1593" spans="1:8" x14ac:dyDescent="0.25">
      <c r="A1593" s="2" t="s">
        <v>1607</v>
      </c>
      <c r="B1593" s="3"/>
      <c r="C1593" s="3"/>
      <c r="D1593" s="3"/>
      <c r="E1593" s="4" t="str">
        <f>HYPERLINK("https://dpmzos25m8ivg.cloudfront.net/Documentos/631/03832959041/6310383295904111092023092507.jpg","https://dpmzos25m8ivg.cloudfront.net/Documentos/631/03832959041/6310383295904111092023092507.jpg")</f>
        <v>https://dpmzos25m8ivg.cloudfront.net/Documentos/631/03832959041/6310383295904111092023092507.jpg</v>
      </c>
      <c r="F1593" s="5" t="str">
        <f>HYPERLINK("https://dpmzos25m8ivg.cloudfront.net/Documentos/631/03832959041/6310383295904111092023092525.jpg","https://dpmzos25m8ivg.cloudfront.net/Documentos/631/03832959041/6310383295904111092023092525.jpg")</f>
        <v>https://dpmzos25m8ivg.cloudfront.net/Documentos/631/03832959041/6310383295904111092023092525.jpg</v>
      </c>
      <c r="G1593" s="5" t="str">
        <f>HYPERLINK("https://dpmzos25m8ivg.cloudfront.net/Documentos/631/03832959041/6310383295904111092023092547.jpg","https://dpmzos25m8ivg.cloudfront.net/Documentos/631/03832959041/6310383295904111092023092547.jpg")</f>
        <v>https://dpmzos25m8ivg.cloudfront.net/Documentos/631/03832959041/6310383295904111092023092547.jpg</v>
      </c>
      <c r="H1593" s="4" t="s">
        <v>10174</v>
      </c>
    </row>
    <row r="1594" spans="1:8" x14ac:dyDescent="0.25">
      <c r="A1594" s="2" t="s">
        <v>1608</v>
      </c>
      <c r="B1594" s="3"/>
      <c r="C1594" s="3"/>
      <c r="D1594" s="3"/>
      <c r="E1594" s="4" t="str">
        <f>HYPERLINK("https://dpmzos25m8ivg.cloudfront.net/Documentos/631/03834761192/6310383476119211092023133655.pdf","https://dpmzos25m8ivg.cloudfront.net/Documentos/631/03834761192/6310383476119211092023133655.pdf")</f>
        <v>https://dpmzos25m8ivg.cloudfront.net/Documentos/631/03834761192/6310383476119211092023133655.pdf</v>
      </c>
      <c r="F1594" s="5" t="str">
        <f>HYPERLINK("https://dpmzos25m8ivg.cloudfront.net/Documentos/631/03834761192/6310383476119211092023133702.pdf","https://dpmzos25m8ivg.cloudfront.net/Documentos/631/03834761192/6310383476119211092023133702.pdf")</f>
        <v>https://dpmzos25m8ivg.cloudfront.net/Documentos/631/03834761192/6310383476119211092023133702.pdf</v>
      </c>
      <c r="G1594" s="5" t="str">
        <f>HYPERLINK("https://dpmzos25m8ivg.cloudfront.net/Documentos/631/03834761192/6310383476119211092023133710.pdf","https://dpmzos25m8ivg.cloudfront.net/Documentos/631/03834761192/6310383476119211092023133710.pdf")</f>
        <v>https://dpmzos25m8ivg.cloudfront.net/Documentos/631/03834761192/6310383476119211092023133710.pdf</v>
      </c>
      <c r="H1594" s="4" t="s">
        <v>10175</v>
      </c>
    </row>
    <row r="1595" spans="1:8" x14ac:dyDescent="0.25">
      <c r="A1595" s="2" t="s">
        <v>1609</v>
      </c>
      <c r="B1595" s="3"/>
      <c r="C1595" s="3"/>
      <c r="D1595" s="3"/>
      <c r="E1595" s="4" t="str">
        <f>HYPERLINK("https://dpmzos25m8ivg.cloudfront.net/Documentos/631/03836554208/6310383655420811092023155922.pdf","https://dpmzos25m8ivg.cloudfront.net/Documentos/631/03836554208/6310383655420811092023155922.pdf")</f>
        <v>https://dpmzos25m8ivg.cloudfront.net/Documentos/631/03836554208/6310383655420811092023155922.pdf</v>
      </c>
      <c r="F1595" s="5" t="str">
        <f>HYPERLINK("https://dpmzos25m8ivg.cloudfront.net/Documentos/631/03836554208/6310383655420811092023155943.pdf","https://dpmzos25m8ivg.cloudfront.net/Documentos/631/03836554208/6310383655420811092023155943.pdf")</f>
        <v>https://dpmzos25m8ivg.cloudfront.net/Documentos/631/03836554208/6310383655420811092023155943.pdf</v>
      </c>
      <c r="G1595" s="5" t="str">
        <f>HYPERLINK("https://dpmzos25m8ivg.cloudfront.net/Documentos/631/03836554208/6310383655420811092023155954.pdf","https://dpmzos25m8ivg.cloudfront.net/Documentos/631/03836554208/6310383655420811092023155954.pdf")</f>
        <v>https://dpmzos25m8ivg.cloudfront.net/Documentos/631/03836554208/6310383655420811092023155954.pdf</v>
      </c>
      <c r="H1595" s="4" t="s">
        <v>10176</v>
      </c>
    </row>
    <row r="1596" spans="1:8" x14ac:dyDescent="0.25">
      <c r="A1596" s="2" t="s">
        <v>1610</v>
      </c>
      <c r="B1596" s="3"/>
      <c r="C1596" s="3"/>
      <c r="D1596" s="3"/>
      <c r="E1596" s="4" t="str">
        <f>HYPERLINK("https://dpmzos25m8ivg.cloudfront.net/Documentos/631/03837893200/6310383789320011092023141116.pdf","https://dpmzos25m8ivg.cloudfront.net/Documentos/631/03837893200/6310383789320011092023141116.pdf")</f>
        <v>https://dpmzos25m8ivg.cloudfront.net/Documentos/631/03837893200/6310383789320011092023141116.pdf</v>
      </c>
      <c r="F1596" s="5" t="str">
        <f>HYPERLINK("https://dpmzos25m8ivg.cloudfront.net/Documentos/631/03837893200/6310383789320011092023141129.pdf","https://dpmzos25m8ivg.cloudfront.net/Documentos/631/03837893200/6310383789320011092023141129.pdf")</f>
        <v>https://dpmzos25m8ivg.cloudfront.net/Documentos/631/03837893200/6310383789320011092023141129.pdf</v>
      </c>
      <c r="G1596" s="5" t="str">
        <f>HYPERLINK("https://dpmzos25m8ivg.cloudfront.net/Documentos/631/03837893200/6310383789320011092023141143.pdf","https://dpmzos25m8ivg.cloudfront.net/Documentos/631/03837893200/6310383789320011092023141143.pdf")</f>
        <v>https://dpmzos25m8ivg.cloudfront.net/Documentos/631/03837893200/6310383789320011092023141143.pdf</v>
      </c>
      <c r="H1596" s="4" t="s">
        <v>10177</v>
      </c>
    </row>
    <row r="1597" spans="1:8" x14ac:dyDescent="0.25">
      <c r="A1597" s="2" t="s">
        <v>1611</v>
      </c>
      <c r="B1597" s="3"/>
      <c r="C1597" s="3"/>
      <c r="D1597" s="3"/>
      <c r="E1597" s="4" t="str">
        <f>HYPERLINK("https://dpmzos25m8ivg.cloudfront.net/Documentos/631/03840693551/6310384069355113092023152733.pdf","https://dpmzos25m8ivg.cloudfront.net/Documentos/631/03840693551/6310384069355113092023152733.pdf")</f>
        <v>https://dpmzos25m8ivg.cloudfront.net/Documentos/631/03840693551/6310384069355113092023152733.pdf</v>
      </c>
      <c r="F1597" s="5" t="str">
        <f>HYPERLINK("https://dpmzos25m8ivg.cloudfront.net/Documentos/631/03840693551/6310384069355113092023153351.pdf","https://dpmzos25m8ivg.cloudfront.net/Documentos/631/03840693551/6310384069355113092023153351.pdf")</f>
        <v>https://dpmzos25m8ivg.cloudfront.net/Documentos/631/03840693551/6310384069355113092023153351.pdf</v>
      </c>
      <c r="G1597" s="5" t="str">
        <f>HYPERLINK("https://dpmzos25m8ivg.cloudfront.net/Documentos/631/03840693551/6310384069355113092023153409.pdf","https://dpmzos25m8ivg.cloudfront.net/Documentos/631/03840693551/6310384069355113092023153409.pdf")</f>
        <v>https://dpmzos25m8ivg.cloudfront.net/Documentos/631/03840693551/6310384069355113092023153409.pdf</v>
      </c>
      <c r="H1597" s="4" t="s">
        <v>10178</v>
      </c>
    </row>
    <row r="1598" spans="1:8" x14ac:dyDescent="0.25">
      <c r="A1598" s="2" t="s">
        <v>1612</v>
      </c>
      <c r="B1598" s="3"/>
      <c r="C1598" s="3"/>
      <c r="D1598" s="3"/>
      <c r="E1598" s="4" t="str">
        <f>HYPERLINK("https://dpmzos25m8ivg.cloudfront.net/Documentos/631/03842261322/6310384226132208092023095520.pdf","https://dpmzos25m8ivg.cloudfront.net/Documentos/631/03842261322/6310384226132208092023095520.pdf")</f>
        <v>https://dpmzos25m8ivg.cloudfront.net/Documentos/631/03842261322/6310384226132208092023095520.pdf</v>
      </c>
      <c r="F1598" s="5" t="str">
        <f>HYPERLINK("https://dpmzos25m8ivg.cloudfront.net/Documentos/631/03842261322/6310384226132208092023105516.pdf","https://dpmzos25m8ivg.cloudfront.net/Documentos/631/03842261322/6310384226132208092023105516.pdf")</f>
        <v>https://dpmzos25m8ivg.cloudfront.net/Documentos/631/03842261322/6310384226132208092023105516.pdf</v>
      </c>
      <c r="G1598" s="5" t="str">
        <f>HYPERLINK("https://dpmzos25m8ivg.cloudfront.net/Documentos/631/03842261322/6310384226132208092023105705.pdf","https://dpmzos25m8ivg.cloudfront.net/Documentos/631/03842261322/6310384226132208092023105705.pdf")</f>
        <v>https://dpmzos25m8ivg.cloudfront.net/Documentos/631/03842261322/6310384226132208092023105705.pdf</v>
      </c>
      <c r="H1598" s="4" t="s">
        <v>10179</v>
      </c>
    </row>
    <row r="1599" spans="1:8" x14ac:dyDescent="0.25">
      <c r="A1599" s="2" t="s">
        <v>1613</v>
      </c>
      <c r="B1599" s="3"/>
      <c r="C1599" s="3"/>
      <c r="D1599" s="3"/>
      <c r="E1599" s="4" t="str">
        <f>HYPERLINK("https://dpmzos25m8ivg.cloudfront.net/Documentos/631/03842354509/6310384235450908092023142955.jpg","https://dpmzos25m8ivg.cloudfront.net/Documentos/631/03842354509/6310384235450908092023142955.jpg")</f>
        <v>https://dpmzos25m8ivg.cloudfront.net/Documentos/631/03842354509/6310384235450908092023142955.jpg</v>
      </c>
      <c r="F1599" s="5" t="str">
        <f>HYPERLINK("https://dpmzos25m8ivg.cloudfront.net/Documentos/631/03842354509/6310384235450908092023143031.jpg","https://dpmzos25m8ivg.cloudfront.net/Documentos/631/03842354509/6310384235450908092023143031.jpg")</f>
        <v>https://dpmzos25m8ivg.cloudfront.net/Documentos/631/03842354509/6310384235450908092023143031.jpg</v>
      </c>
      <c r="G1599" s="5" t="str">
        <f>HYPERLINK("https://dpmzos25m8ivg.cloudfront.net/Documentos/631/03842354509/6310384235450908092023143050.jpg","https://dpmzos25m8ivg.cloudfront.net/Documentos/631/03842354509/6310384235450908092023143050.jpg")</f>
        <v>https://dpmzos25m8ivg.cloudfront.net/Documentos/631/03842354509/6310384235450908092023143050.jpg</v>
      </c>
      <c r="H1599" s="4" t="s">
        <v>10180</v>
      </c>
    </row>
    <row r="1600" spans="1:8" x14ac:dyDescent="0.25">
      <c r="A1600" s="2" t="s">
        <v>1614</v>
      </c>
      <c r="B1600" s="3"/>
      <c r="C1600" s="3"/>
      <c r="D1600" s="3"/>
      <c r="E1600" s="4" t="str">
        <f>HYPERLINK("https://dpmzos25m8ivg.cloudfront.net/Documentos/631/03844879129/6310384487912911092023155124.pdf","https://dpmzos25m8ivg.cloudfront.net/Documentos/631/03844879129/6310384487912911092023155124.pdf")</f>
        <v>https://dpmzos25m8ivg.cloudfront.net/Documentos/631/03844879129/6310384487912911092023155124.pdf</v>
      </c>
      <c r="F1600" s="5" t="str">
        <f>HYPERLINK("https://dpmzos25m8ivg.cloudfront.net/Documentos/631/03844879129/6310384487912911092023155137.pdf","https://dpmzos25m8ivg.cloudfront.net/Documentos/631/03844879129/6310384487912911092023155137.pdf")</f>
        <v>https://dpmzos25m8ivg.cloudfront.net/Documentos/631/03844879129/6310384487912911092023155137.pdf</v>
      </c>
      <c r="G1600" s="5" t="str">
        <f>HYPERLINK("https://dpmzos25m8ivg.cloudfront.net/Documentos/631/03844879129/6310384487912911092023155505.pdf","https://dpmzos25m8ivg.cloudfront.net/Documentos/631/03844879129/6310384487912911092023155505.pdf")</f>
        <v>https://dpmzos25m8ivg.cloudfront.net/Documentos/631/03844879129/6310384487912911092023155505.pdf</v>
      </c>
      <c r="H1600" s="4" t="s">
        <v>10181</v>
      </c>
    </row>
    <row r="1601" spans="1:8" x14ac:dyDescent="0.25">
      <c r="A1601" s="2" t="s">
        <v>1615</v>
      </c>
      <c r="B1601" s="3"/>
      <c r="C1601" s="3"/>
      <c r="D1601" s="3"/>
      <c r="E1601" s="4" t="str">
        <f>HYPERLINK("https://dpmzos25m8ivg.cloudfront.net/Documentos/631/03846004170/6310384600417011092023114028.jpeg","https://dpmzos25m8ivg.cloudfront.net/Documentos/631/03846004170/6310384600417011092023114028.jpeg")</f>
        <v>https://dpmzos25m8ivg.cloudfront.net/Documentos/631/03846004170/6310384600417011092023114028.jpeg</v>
      </c>
      <c r="F1601" s="5" t="str">
        <f>HYPERLINK("https://dpmzos25m8ivg.cloudfront.net/Documentos/631/03846004170/6310384600417011092023114039.jpeg","https://dpmzos25m8ivg.cloudfront.net/Documentos/631/03846004170/6310384600417011092023114039.jpeg")</f>
        <v>https://dpmzos25m8ivg.cloudfront.net/Documentos/631/03846004170/6310384600417011092023114039.jpeg</v>
      </c>
      <c r="G1601" s="5" t="str">
        <f>HYPERLINK("https://dpmzos25m8ivg.cloudfront.net/Documentos/631/03846004170/6310384600417011092023114046.jpeg","https://dpmzos25m8ivg.cloudfront.net/Documentos/631/03846004170/6310384600417011092023114046.jpeg")</f>
        <v>https://dpmzos25m8ivg.cloudfront.net/Documentos/631/03846004170/6310384600417011092023114046.jpeg</v>
      </c>
      <c r="H1601" s="4" t="s">
        <v>10182</v>
      </c>
    </row>
    <row r="1602" spans="1:8" x14ac:dyDescent="0.25">
      <c r="A1602" s="2" t="s">
        <v>1616</v>
      </c>
      <c r="B1602" s="3"/>
      <c r="C1602" s="3"/>
      <c r="D1602" s="3"/>
      <c r="E1602" s="4" t="str">
        <f>HYPERLINK("https://dpmzos25m8ivg.cloudfront.net/Documentos/631/03849601544/6310384960154411092023123301.pdf","https://dpmzos25m8ivg.cloudfront.net/Documentos/631/03849601544/6310384960154411092023123301.pdf")</f>
        <v>https://dpmzos25m8ivg.cloudfront.net/Documentos/631/03849601544/6310384960154411092023123301.pdf</v>
      </c>
      <c r="F1602" s="5" t="str">
        <f>HYPERLINK("https://dpmzos25m8ivg.cloudfront.net/Documentos/631/03849601544/6310384960154411092023123329.pdf","https://dpmzos25m8ivg.cloudfront.net/Documentos/631/03849601544/6310384960154411092023123329.pdf")</f>
        <v>https://dpmzos25m8ivg.cloudfront.net/Documentos/631/03849601544/6310384960154411092023123329.pdf</v>
      </c>
      <c r="G1602" s="5" t="str">
        <f>HYPERLINK("https://dpmzos25m8ivg.cloudfront.net/Documentos/631/03849601544/6310384960154411092023123352.pdf","https://dpmzos25m8ivg.cloudfront.net/Documentos/631/03849601544/6310384960154411092023123352.pdf")</f>
        <v>https://dpmzos25m8ivg.cloudfront.net/Documentos/631/03849601544/6310384960154411092023123352.pdf</v>
      </c>
      <c r="H1602" s="4" t="s">
        <v>10183</v>
      </c>
    </row>
    <row r="1603" spans="1:8" x14ac:dyDescent="0.25">
      <c r="A1603" s="2" t="s">
        <v>1617</v>
      </c>
      <c r="B1603" s="3" t="s">
        <v>312</v>
      </c>
      <c r="C1603" s="3"/>
      <c r="D1603" s="3"/>
      <c r="E1603" s="4" t="str">
        <f>HYPERLINK("https://dpmzos25m8ivg.cloudfront.net/Documentos/631/03849963101/6310384996310111092023165151.pdf","https://dpmzos25m8ivg.cloudfront.net/Documentos/631/03849963101/6310384996310111092023165151.pdf")</f>
        <v>https://dpmzos25m8ivg.cloudfront.net/Documentos/631/03849963101/6310384996310111092023165151.pdf</v>
      </c>
      <c r="F1603" s="5" t="str">
        <f>HYPERLINK("https://dpmzos25m8ivg.cloudfront.net/Documentos/631/03849963101/6310384996310111092023165215.pdf","https://dpmzos25m8ivg.cloudfront.net/Documentos/631/03849963101/6310384996310111092023165215.pdf")</f>
        <v>https://dpmzos25m8ivg.cloudfront.net/Documentos/631/03849963101/6310384996310111092023165215.pdf</v>
      </c>
      <c r="G1603" s="5" t="str">
        <f>HYPERLINK("https://dpmzos25m8ivg.cloudfront.net/Documentos/631/03849963101/6310384996310111092023165234.pdf","https://dpmzos25m8ivg.cloudfront.net/Documentos/631/03849963101/6310384996310111092023165234.pdf")</f>
        <v>https://dpmzos25m8ivg.cloudfront.net/Documentos/631/03849963101/6310384996310111092023165234.pdf</v>
      </c>
      <c r="H1603" s="4" t="s">
        <v>10184</v>
      </c>
    </row>
    <row r="1604" spans="1:8" x14ac:dyDescent="0.25">
      <c r="A1604" s="2" t="s">
        <v>1618</v>
      </c>
      <c r="B1604" s="3"/>
      <c r="C1604" s="3"/>
      <c r="D1604" s="3"/>
      <c r="E1604" s="4" t="str">
        <f>HYPERLINK("https://dpmzos25m8ivg.cloudfront.net/Documentos/631/03851053125/6310385105312511092023145913.jpg","https://dpmzos25m8ivg.cloudfront.net/Documentos/631/03851053125/6310385105312511092023145913.jpg")</f>
        <v>https://dpmzos25m8ivg.cloudfront.net/Documentos/631/03851053125/6310385105312511092023145913.jpg</v>
      </c>
      <c r="F1604" s="5" t="str">
        <f>HYPERLINK("https://dpmzos25m8ivg.cloudfront.net/Documentos/631/03851053125/6310385105312511092023150144.jpg","https://dpmzos25m8ivg.cloudfront.net/Documentos/631/03851053125/6310385105312511092023150144.jpg")</f>
        <v>https://dpmzos25m8ivg.cloudfront.net/Documentos/631/03851053125/6310385105312511092023150144.jpg</v>
      </c>
      <c r="G1604" s="5" t="str">
        <f>HYPERLINK("https://dpmzos25m8ivg.cloudfront.net/Documentos/631/03851053125/6310385105312511092023150202.jpg","https://dpmzos25m8ivg.cloudfront.net/Documentos/631/03851053125/6310385105312511092023150202.jpg")</f>
        <v>https://dpmzos25m8ivg.cloudfront.net/Documentos/631/03851053125/6310385105312511092023150202.jpg</v>
      </c>
      <c r="H1604" s="4" t="s">
        <v>10185</v>
      </c>
    </row>
    <row r="1605" spans="1:8" x14ac:dyDescent="0.25">
      <c r="A1605" s="2" t="s">
        <v>1619</v>
      </c>
      <c r="B1605" s="3"/>
      <c r="C1605" s="3"/>
      <c r="D1605" s="3"/>
      <c r="E1605" s="4" t="str">
        <f>HYPERLINK("https://dpmzos25m8ivg.cloudfront.net/Documentos/631/03852882206/6310385288220608092023171230.pdf","https://dpmzos25m8ivg.cloudfront.net/Documentos/631/03852882206/6310385288220608092023171230.pdf")</f>
        <v>https://dpmzos25m8ivg.cloudfront.net/Documentos/631/03852882206/6310385288220608092023171230.pdf</v>
      </c>
      <c r="F1605" s="5" t="str">
        <f>HYPERLINK("https://dpmzos25m8ivg.cloudfront.net/Documentos/631/03852882206/6310385288220608092023171242.pdf","https://dpmzos25m8ivg.cloudfront.net/Documentos/631/03852882206/6310385288220608092023171242.pdf")</f>
        <v>https://dpmzos25m8ivg.cloudfront.net/Documentos/631/03852882206/6310385288220608092023171242.pdf</v>
      </c>
      <c r="G1605" s="5" t="str">
        <f>HYPERLINK("https://dpmzos25m8ivg.cloudfront.net/Documentos/631/03852882206/6310385288220608092023171415.pdf","https://dpmzos25m8ivg.cloudfront.net/Documentos/631/03852882206/6310385288220608092023171415.pdf")</f>
        <v>https://dpmzos25m8ivg.cloudfront.net/Documentos/631/03852882206/6310385288220608092023171415.pdf</v>
      </c>
      <c r="H1605" s="4" t="s">
        <v>10186</v>
      </c>
    </row>
    <row r="1606" spans="1:8" x14ac:dyDescent="0.25">
      <c r="A1606" s="2" t="s">
        <v>1620</v>
      </c>
      <c r="B1606" s="3"/>
      <c r="C1606" s="3"/>
      <c r="D1606" s="3"/>
      <c r="E1606" s="4" t="str">
        <f>HYPERLINK("https://dpmzos25m8ivg.cloudfront.net/Documentos/631/03856190570/6310385619057009092023140838.jpg","https://dpmzos25m8ivg.cloudfront.net/Documentos/631/03856190570/6310385619057009092023140838.jpg")</f>
        <v>https://dpmzos25m8ivg.cloudfront.net/Documentos/631/03856190570/6310385619057009092023140838.jpg</v>
      </c>
      <c r="F1606" s="5" t="str">
        <f>HYPERLINK("https://dpmzos25m8ivg.cloudfront.net/Documentos/631/03856190570/6310385619057009092023140926.jpg","https://dpmzos25m8ivg.cloudfront.net/Documentos/631/03856190570/6310385619057009092023140926.jpg")</f>
        <v>https://dpmzos25m8ivg.cloudfront.net/Documentos/631/03856190570/6310385619057009092023140926.jpg</v>
      </c>
      <c r="G1606" s="5" t="str">
        <f>HYPERLINK("https://dpmzos25m8ivg.cloudfront.net/Documentos/631/03856190570/6310385619057009092023141052.jpg","https://dpmzos25m8ivg.cloudfront.net/Documentos/631/03856190570/6310385619057009092023141052.jpg")</f>
        <v>https://dpmzos25m8ivg.cloudfront.net/Documentos/631/03856190570/6310385619057009092023141052.jpg</v>
      </c>
      <c r="H1606" s="4" t="s">
        <v>10187</v>
      </c>
    </row>
    <row r="1607" spans="1:8" x14ac:dyDescent="0.25">
      <c r="A1607" s="2" t="s">
        <v>1621</v>
      </c>
      <c r="B1607" s="3"/>
      <c r="C1607" s="3"/>
      <c r="D1607" s="3"/>
      <c r="E1607" s="4" t="str">
        <f>HYPERLINK("https://dpmzos25m8ivg.cloudfront.net/Documentos/631/03856675310/6310385667531012092023234227.pdf","https://dpmzos25m8ivg.cloudfront.net/Documentos/631/03856675310/6310385667531012092023234227.pdf")</f>
        <v>https://dpmzos25m8ivg.cloudfront.net/Documentos/631/03856675310/6310385667531012092023234227.pdf</v>
      </c>
      <c r="F1607" s="5" t="str">
        <f>HYPERLINK("https://dpmzos25m8ivg.cloudfront.net/Documentos/631/03856675310/6310385667531012092023234250.pdf","https://dpmzos25m8ivg.cloudfront.net/Documentos/631/03856675310/6310385667531012092023234250.pdf")</f>
        <v>https://dpmzos25m8ivg.cloudfront.net/Documentos/631/03856675310/6310385667531012092023234250.pdf</v>
      </c>
      <c r="G1607" s="5" t="str">
        <f>HYPERLINK("https://dpmzos25m8ivg.cloudfront.net/Documentos/631/03856675310/6310385667531012092023234320.pdf","https://dpmzos25m8ivg.cloudfront.net/Documentos/631/03856675310/6310385667531012092023234320.pdf")</f>
        <v>https://dpmzos25m8ivg.cloudfront.net/Documentos/631/03856675310/6310385667531012092023234320.pdf</v>
      </c>
      <c r="H1607" s="4" t="s">
        <v>10188</v>
      </c>
    </row>
    <row r="1608" spans="1:8" x14ac:dyDescent="0.25">
      <c r="A1608" s="2" t="s">
        <v>1622</v>
      </c>
      <c r="B1608" s="3"/>
      <c r="C1608" s="3"/>
      <c r="D1608" s="3"/>
      <c r="E1608" s="4" t="str">
        <f>HYPERLINK("https://dpmzos25m8ivg.cloudfront.net/Documentos/631/03857227532/6310385722753211092023103221.jpg","https://dpmzos25m8ivg.cloudfront.net/Documentos/631/03857227532/6310385722753211092023103221.jpg")</f>
        <v>https://dpmzos25m8ivg.cloudfront.net/Documentos/631/03857227532/6310385722753211092023103221.jpg</v>
      </c>
      <c r="F1608" s="5" t="str">
        <f>HYPERLINK("https://dpmzos25m8ivg.cloudfront.net/Documentos/631/03857227532/6310385722753211092023103327.jpg","https://dpmzos25m8ivg.cloudfront.net/Documentos/631/03857227532/6310385722753211092023103327.jpg")</f>
        <v>https://dpmzos25m8ivg.cloudfront.net/Documentos/631/03857227532/6310385722753211092023103327.jpg</v>
      </c>
      <c r="G1608" s="5" t="str">
        <f>HYPERLINK("https://dpmzos25m8ivg.cloudfront.net/Documentos/631/03857227532/6310385722753211092023103355.jpg","https://dpmzos25m8ivg.cloudfront.net/Documentos/631/03857227532/6310385722753211092023103355.jpg")</f>
        <v>https://dpmzos25m8ivg.cloudfront.net/Documentos/631/03857227532/6310385722753211092023103355.jpg</v>
      </c>
      <c r="H1608" s="4" t="s">
        <v>10189</v>
      </c>
    </row>
    <row r="1609" spans="1:8" x14ac:dyDescent="0.25">
      <c r="A1609" s="2" t="s">
        <v>1623</v>
      </c>
      <c r="B1609" s="3"/>
      <c r="C1609" s="3"/>
      <c r="D1609" s="3"/>
      <c r="E1609" s="4" t="str">
        <f>HYPERLINK("https://dpmzos25m8ivg.cloudfront.net/Documentos/631/03863553047/6310386355304711092023120428.pdf","https://dpmzos25m8ivg.cloudfront.net/Documentos/631/03863553047/6310386355304711092023120428.pdf")</f>
        <v>https://dpmzos25m8ivg.cloudfront.net/Documentos/631/03863553047/6310386355304711092023120428.pdf</v>
      </c>
      <c r="F1609" s="5" t="str">
        <f>HYPERLINK("https://dpmzos25m8ivg.cloudfront.net/Documentos/631/03863553047/6310386355304711092023120441.pdf","https://dpmzos25m8ivg.cloudfront.net/Documentos/631/03863553047/6310386355304711092023120441.pdf")</f>
        <v>https://dpmzos25m8ivg.cloudfront.net/Documentos/631/03863553047/6310386355304711092023120441.pdf</v>
      </c>
      <c r="G1609" s="5" t="str">
        <f>HYPERLINK("https://dpmzos25m8ivg.cloudfront.net/Documentos/631/03863553047/6310386355304711092023120503.pdf","https://dpmzos25m8ivg.cloudfront.net/Documentos/631/03863553047/6310386355304711092023120503.pdf")</f>
        <v>https://dpmzos25m8ivg.cloudfront.net/Documentos/631/03863553047/6310386355304711092023120503.pdf</v>
      </c>
      <c r="H1609" s="4" t="s">
        <v>10190</v>
      </c>
    </row>
    <row r="1610" spans="1:8" x14ac:dyDescent="0.25">
      <c r="A1610" s="2" t="s">
        <v>1624</v>
      </c>
      <c r="B1610" s="3"/>
      <c r="C1610" s="3"/>
      <c r="D1610" s="3"/>
      <c r="E1610" s="4" t="str">
        <f>HYPERLINK("https://dpmzos25m8ivg.cloudfront.net/Documentos/631/03864652235/6310386465223511092023162639.pdf","https://dpmzos25m8ivg.cloudfront.net/Documentos/631/03864652235/6310386465223511092023162639.pdf")</f>
        <v>https://dpmzos25m8ivg.cloudfront.net/Documentos/631/03864652235/6310386465223511092023162639.pdf</v>
      </c>
      <c r="F1610" s="5" t="str">
        <f>HYPERLINK("https://dpmzos25m8ivg.cloudfront.net/Documentos/631/03864652235/6310386465223511092023162648.pdf","https://dpmzos25m8ivg.cloudfront.net/Documentos/631/03864652235/6310386465223511092023162648.pdf")</f>
        <v>https://dpmzos25m8ivg.cloudfront.net/Documentos/631/03864652235/6310386465223511092023162648.pdf</v>
      </c>
      <c r="G1610" s="5" t="str">
        <f>HYPERLINK("https://dpmzos25m8ivg.cloudfront.net/Documentos/631/03864652235/6310386465223511092023162706.pdf","https://dpmzos25m8ivg.cloudfront.net/Documentos/631/03864652235/6310386465223511092023162706.pdf")</f>
        <v>https://dpmzos25m8ivg.cloudfront.net/Documentos/631/03864652235/6310386465223511092023162706.pdf</v>
      </c>
      <c r="H1610" s="4" t="s">
        <v>10191</v>
      </c>
    </row>
    <row r="1611" spans="1:8" x14ac:dyDescent="0.25">
      <c r="A1611" s="2" t="s">
        <v>1625</v>
      </c>
      <c r="B1611" s="3"/>
      <c r="C1611" s="3"/>
      <c r="D1611" s="3"/>
      <c r="E1611" s="4" t="str">
        <f>HYPERLINK("https://dpmzos25m8ivg.cloudfront.net/Documentos/631/03865314716/6310386531471613092023181839.pdf","https://dpmzos25m8ivg.cloudfront.net/Documentos/631/03865314716/6310386531471613092023181839.pdf")</f>
        <v>https://dpmzos25m8ivg.cloudfront.net/Documentos/631/03865314716/6310386531471613092023181839.pdf</v>
      </c>
      <c r="F1611" s="5" t="str">
        <f>HYPERLINK("https://dpmzos25m8ivg.cloudfront.net/Documentos/631/03865314716/6310386531471613092023182042.pdf","https://dpmzos25m8ivg.cloudfront.net/Documentos/631/03865314716/6310386531471613092023182042.pdf")</f>
        <v>https://dpmzos25m8ivg.cloudfront.net/Documentos/631/03865314716/6310386531471613092023182042.pdf</v>
      </c>
      <c r="G1611" s="5" t="str">
        <f>HYPERLINK("https://dpmzos25m8ivg.cloudfront.net/Documentos/631/03865314716/6310386531471613092023182123.pdf","https://dpmzos25m8ivg.cloudfront.net/Documentos/631/03865314716/6310386531471613092023182123.pdf")</f>
        <v>https://dpmzos25m8ivg.cloudfront.net/Documentos/631/03865314716/6310386531471613092023182123.pdf</v>
      </c>
      <c r="H1611" s="4" t="s">
        <v>10192</v>
      </c>
    </row>
    <row r="1612" spans="1:8" x14ac:dyDescent="0.25">
      <c r="A1612" s="2" t="s">
        <v>1626</v>
      </c>
      <c r="B1612" s="3" t="s">
        <v>308</v>
      </c>
      <c r="C1612" s="3"/>
      <c r="D1612" s="3"/>
      <c r="E1612" s="4" t="str">
        <f>HYPERLINK("https://dpmzos25m8ivg.cloudfront.net/Documentos/631/03866983255/6310386698325505092023194752.jpg","https://dpmzos25m8ivg.cloudfront.net/Documentos/631/03866983255/6310386698325505092023194752.jpg")</f>
        <v>https://dpmzos25m8ivg.cloudfront.net/Documentos/631/03866983255/6310386698325505092023194752.jpg</v>
      </c>
      <c r="F1612" s="5" t="str">
        <f>HYPERLINK("https://dpmzos25m8ivg.cloudfront.net/Documentos/631/03866983255/6310386698325505092023194808.jpg","https://dpmzos25m8ivg.cloudfront.net/Documentos/631/03866983255/6310386698325505092023194808.jpg")</f>
        <v>https://dpmzos25m8ivg.cloudfront.net/Documentos/631/03866983255/6310386698325505092023194808.jpg</v>
      </c>
      <c r="G1612" s="5" t="str">
        <f>HYPERLINK("https://dpmzos25m8ivg.cloudfront.net/Documentos/631/03866983255/6310386698325505092023194832.jpg","https://dpmzos25m8ivg.cloudfront.net/Documentos/631/03866983255/6310386698325505092023194832.jpg")</f>
        <v>https://dpmzos25m8ivg.cloudfront.net/Documentos/631/03866983255/6310386698325505092023194832.jpg</v>
      </c>
      <c r="H1612" s="4" t="s">
        <v>10193</v>
      </c>
    </row>
    <row r="1613" spans="1:8" x14ac:dyDescent="0.25">
      <c r="A1613" s="2" t="s">
        <v>1627</v>
      </c>
      <c r="B1613" s="3" t="s">
        <v>23</v>
      </c>
      <c r="C1613" s="3"/>
      <c r="D1613" s="3"/>
      <c r="E1613" s="4" t="str">
        <f>HYPERLINK("https://dpmzos25m8ivg.cloudfront.net/Documentos/631/03868580557/6310386858055710092023224840.pdf","https://dpmzos25m8ivg.cloudfront.net/Documentos/631/03868580557/6310386858055710092023224840.pdf")</f>
        <v>https://dpmzos25m8ivg.cloudfront.net/Documentos/631/03868580557/6310386858055710092023224840.pdf</v>
      </c>
      <c r="F1613" s="5" t="str">
        <f>HYPERLINK("https://dpmzos25m8ivg.cloudfront.net/Documentos/631/03868580557/6310386858055710092023224857.pdf","https://dpmzos25m8ivg.cloudfront.net/Documentos/631/03868580557/6310386858055710092023224857.pdf")</f>
        <v>https://dpmzos25m8ivg.cloudfront.net/Documentos/631/03868580557/6310386858055710092023224857.pdf</v>
      </c>
      <c r="G1613" s="5" t="str">
        <f>HYPERLINK("https://dpmzos25m8ivg.cloudfront.net/Documentos/631/03868580557/6310386858055710092023225217.pdf","https://dpmzos25m8ivg.cloudfront.net/Documentos/631/03868580557/6310386858055710092023225217.pdf")</f>
        <v>https://dpmzos25m8ivg.cloudfront.net/Documentos/631/03868580557/6310386858055710092023225217.pdf</v>
      </c>
      <c r="H1613" s="4" t="s">
        <v>10194</v>
      </c>
    </row>
    <row r="1614" spans="1:8" x14ac:dyDescent="0.25">
      <c r="A1614" s="2" t="s">
        <v>1628</v>
      </c>
      <c r="B1614" s="3"/>
      <c r="C1614" s="3"/>
      <c r="D1614" s="3"/>
      <c r="E1614" s="4" t="str">
        <f>HYPERLINK("https://dpmzos25m8ivg.cloudfront.net/Documentos/631/03869746165/6310386974616511092023162242.pdf","https://dpmzos25m8ivg.cloudfront.net/Documentos/631/03869746165/6310386974616511092023162242.pdf")</f>
        <v>https://dpmzos25m8ivg.cloudfront.net/Documentos/631/03869746165/6310386974616511092023162242.pdf</v>
      </c>
      <c r="F1614" s="5" t="str">
        <f>HYPERLINK("https://dpmzos25m8ivg.cloudfront.net/Documentos/631/03869746165/6310386974616511092023162306.pdf","https://dpmzos25m8ivg.cloudfront.net/Documentos/631/03869746165/6310386974616511092023162306.pdf")</f>
        <v>https://dpmzos25m8ivg.cloudfront.net/Documentos/631/03869746165/6310386974616511092023162306.pdf</v>
      </c>
      <c r="G1614" s="5" t="str">
        <f>HYPERLINK("https://dpmzos25m8ivg.cloudfront.net/Documentos/631/03869746165/6310386974616511092023162314.pdf","https://dpmzos25m8ivg.cloudfront.net/Documentos/631/03869746165/6310386974616511092023162314.pdf")</f>
        <v>https://dpmzos25m8ivg.cloudfront.net/Documentos/631/03869746165/6310386974616511092023162314.pdf</v>
      </c>
      <c r="H1614" s="4" t="s">
        <v>10195</v>
      </c>
    </row>
    <row r="1615" spans="1:8" x14ac:dyDescent="0.25">
      <c r="A1615" s="2" t="s">
        <v>1629</v>
      </c>
      <c r="B1615" s="3" t="s">
        <v>308</v>
      </c>
      <c r="C1615" s="3"/>
      <c r="D1615" s="3"/>
      <c r="E1615" s="4" t="str">
        <f>HYPERLINK("https://dpmzos25m8ivg.cloudfront.net/Documentos/631/03873921146/6310387392114605092023101643.pdf","https://dpmzos25m8ivg.cloudfront.net/Documentos/631/03873921146/6310387392114605092023101643.pdf")</f>
        <v>https://dpmzos25m8ivg.cloudfront.net/Documentos/631/03873921146/6310387392114605092023101643.pdf</v>
      </c>
      <c r="F1615" s="5" t="str">
        <f>HYPERLINK("https://dpmzos25m8ivg.cloudfront.net/Documentos/631/03873921146/6310387392114605092023101652.pdf","https://dpmzos25m8ivg.cloudfront.net/Documentos/631/03873921146/6310387392114605092023101652.pdf")</f>
        <v>https://dpmzos25m8ivg.cloudfront.net/Documentos/631/03873921146/6310387392114605092023101652.pdf</v>
      </c>
      <c r="G1615" s="5" t="str">
        <f>HYPERLINK("https://dpmzos25m8ivg.cloudfront.net/Documentos/631/03873921146/6310387392114605092023101705.pdf","https://dpmzos25m8ivg.cloudfront.net/Documentos/631/03873921146/6310387392114605092023101705.pdf")</f>
        <v>https://dpmzos25m8ivg.cloudfront.net/Documentos/631/03873921146/6310387392114605092023101705.pdf</v>
      </c>
      <c r="H1615" s="4" t="s">
        <v>10196</v>
      </c>
    </row>
    <row r="1616" spans="1:8" x14ac:dyDescent="0.25">
      <c r="A1616" s="2" t="s">
        <v>1630</v>
      </c>
      <c r="B1616" s="3"/>
      <c r="C1616" s="3"/>
      <c r="D1616" s="3"/>
      <c r="E1616" s="4" t="str">
        <f>HYPERLINK("https://dpmzos25m8ivg.cloudfront.net/Documentos/631/03874380416/6310387438041605092023184823.pdf","https://dpmzos25m8ivg.cloudfront.net/Documentos/631/03874380416/6310387438041605092023184823.pdf")</f>
        <v>https://dpmzos25m8ivg.cloudfront.net/Documentos/631/03874380416/6310387438041605092023184823.pdf</v>
      </c>
      <c r="F1616" s="5" t="str">
        <f>HYPERLINK("https://dpmzos25m8ivg.cloudfront.net/Documentos/631/03874380416/6310387438041605092023184852.pdf","https://dpmzos25m8ivg.cloudfront.net/Documentos/631/03874380416/6310387438041605092023184852.pdf")</f>
        <v>https://dpmzos25m8ivg.cloudfront.net/Documentos/631/03874380416/6310387438041605092023184852.pdf</v>
      </c>
      <c r="G1616" s="5" t="str">
        <f>HYPERLINK("https://dpmzos25m8ivg.cloudfront.net/Documentos/631/03874380416/6310387438041605092023184941.pdf","https://dpmzos25m8ivg.cloudfront.net/Documentos/631/03874380416/6310387438041605092023184941.pdf")</f>
        <v>https://dpmzos25m8ivg.cloudfront.net/Documentos/631/03874380416/6310387438041605092023184941.pdf</v>
      </c>
      <c r="H1616" s="4" t="s">
        <v>10197</v>
      </c>
    </row>
    <row r="1617" spans="1:8" x14ac:dyDescent="0.25">
      <c r="A1617" s="2" t="s">
        <v>1631</v>
      </c>
      <c r="B1617" s="3"/>
      <c r="C1617" s="3"/>
      <c r="D1617" s="3"/>
      <c r="E1617" s="4" t="str">
        <f>HYPERLINK("https://dpmzos25m8ivg.cloudfront.net/Documentos/631/03874580008/6310387458000811092023133524.jpeg","https://dpmzos25m8ivg.cloudfront.net/Documentos/631/03874580008/6310387458000811092023133524.jpeg")</f>
        <v>https://dpmzos25m8ivg.cloudfront.net/Documentos/631/03874580008/6310387458000811092023133524.jpeg</v>
      </c>
      <c r="F1617" s="5" t="str">
        <f>HYPERLINK("https://dpmzos25m8ivg.cloudfront.net/Documentos/631/03874580008/6310387458000811092023133748.jpeg","https://dpmzos25m8ivg.cloudfront.net/Documentos/631/03874580008/6310387458000811092023133748.jpeg")</f>
        <v>https://dpmzos25m8ivg.cloudfront.net/Documentos/631/03874580008/6310387458000811092023133748.jpeg</v>
      </c>
      <c r="G1617" s="5" t="str">
        <f>HYPERLINK("https://dpmzos25m8ivg.cloudfront.net/Documentos/631/03874580008/6310387458000811092023133759.jpeg","https://dpmzos25m8ivg.cloudfront.net/Documentos/631/03874580008/6310387458000811092023133759.jpeg")</f>
        <v>https://dpmzos25m8ivg.cloudfront.net/Documentos/631/03874580008/6310387458000811092023133759.jpeg</v>
      </c>
      <c r="H1617" s="4" t="s">
        <v>10198</v>
      </c>
    </row>
    <row r="1618" spans="1:8" x14ac:dyDescent="0.25">
      <c r="A1618" s="2" t="s">
        <v>1632</v>
      </c>
      <c r="B1618" s="3"/>
      <c r="C1618" s="3"/>
      <c r="D1618" s="3"/>
      <c r="E1618" s="4" t="str">
        <f>HYPERLINK("https://dpmzos25m8ivg.cloudfront.net/Documentos/631/03875388100/6310387538810005092023112903.pdf","https://dpmzos25m8ivg.cloudfront.net/Documentos/631/03875388100/6310387538810005092023112903.pdf")</f>
        <v>https://dpmzos25m8ivg.cloudfront.net/Documentos/631/03875388100/6310387538810005092023112903.pdf</v>
      </c>
      <c r="F1618" s="5" t="str">
        <f>HYPERLINK("https://dpmzos25m8ivg.cloudfront.net/Documentos/631/03875388100/6310387538810005092023112939.pdf","https://dpmzos25m8ivg.cloudfront.net/Documentos/631/03875388100/6310387538810005092023112939.pdf")</f>
        <v>https://dpmzos25m8ivg.cloudfront.net/Documentos/631/03875388100/6310387538810005092023112939.pdf</v>
      </c>
      <c r="G1618" s="5" t="str">
        <f>HYPERLINK("https://dpmzos25m8ivg.cloudfront.net/Documentos/631/03875388100/6310387538810005092023112953.pdf","https://dpmzos25m8ivg.cloudfront.net/Documentos/631/03875388100/6310387538810005092023112953.pdf")</f>
        <v>https://dpmzos25m8ivg.cloudfront.net/Documentos/631/03875388100/6310387538810005092023112953.pdf</v>
      </c>
      <c r="H1618" s="4" t="s">
        <v>10199</v>
      </c>
    </row>
    <row r="1619" spans="1:8" x14ac:dyDescent="0.25">
      <c r="A1619" s="2" t="s">
        <v>1633</v>
      </c>
      <c r="B1619" s="3"/>
      <c r="C1619" s="3"/>
      <c r="D1619" s="3"/>
      <c r="E1619" s="4" t="str">
        <f>HYPERLINK("https://dpmzos25m8ivg.cloudfront.net/Documentos/631/03883641146/6310388364114605092023164312.pdf","https://dpmzos25m8ivg.cloudfront.net/Documentos/631/03883641146/6310388364114605092023164312.pdf")</f>
        <v>https://dpmzos25m8ivg.cloudfront.net/Documentos/631/03883641146/6310388364114605092023164312.pdf</v>
      </c>
      <c r="F1619" s="5" t="str">
        <f>HYPERLINK("https://dpmzos25m8ivg.cloudfront.net/Documentos/631/03883641146/6310388364114605092023164321.pdf","https://dpmzos25m8ivg.cloudfront.net/Documentos/631/03883641146/6310388364114605092023164321.pdf")</f>
        <v>https://dpmzos25m8ivg.cloudfront.net/Documentos/631/03883641146/6310388364114605092023164321.pdf</v>
      </c>
      <c r="G1619" s="5" t="str">
        <f>HYPERLINK("https://dpmzos25m8ivg.cloudfront.net/Documentos/631/03883641146/6310388364114605092023164330.pdf","https://dpmzos25m8ivg.cloudfront.net/Documentos/631/03883641146/6310388364114605092023164330.pdf")</f>
        <v>https://dpmzos25m8ivg.cloudfront.net/Documentos/631/03883641146/6310388364114605092023164330.pdf</v>
      </c>
      <c r="H1619" s="4" t="s">
        <v>10200</v>
      </c>
    </row>
    <row r="1620" spans="1:8" x14ac:dyDescent="0.25">
      <c r="A1620" s="2" t="s">
        <v>1634</v>
      </c>
      <c r="B1620" s="3"/>
      <c r="C1620" s="3"/>
      <c r="D1620" s="3"/>
      <c r="E1620" s="4" t="str">
        <f>HYPERLINK("https://dpmzos25m8ivg.cloudfront.net/Documentos/631/03884304518/6310388430451806092023143635.pdf","https://dpmzos25m8ivg.cloudfront.net/Documentos/631/03884304518/6310388430451806092023143635.pdf")</f>
        <v>https://dpmzos25m8ivg.cloudfront.net/Documentos/631/03884304518/6310388430451806092023143635.pdf</v>
      </c>
      <c r="F1620" s="5" t="str">
        <f>HYPERLINK("https://dpmzos25m8ivg.cloudfront.net/Documentos/631/03884304518/6310388430451806092023143712.pdf","https://dpmzos25m8ivg.cloudfront.net/Documentos/631/03884304518/6310388430451806092023143712.pdf")</f>
        <v>https://dpmzos25m8ivg.cloudfront.net/Documentos/631/03884304518/6310388430451806092023143712.pdf</v>
      </c>
      <c r="G1620" s="5" t="str">
        <f>HYPERLINK("https://dpmzos25m8ivg.cloudfront.net/Documentos/631/03884304518/6310388430451806092023143655.pdf","https://dpmzos25m8ivg.cloudfront.net/Documentos/631/03884304518/6310388430451806092023143655.pdf")</f>
        <v>https://dpmzos25m8ivg.cloudfront.net/Documentos/631/03884304518/6310388430451806092023143655.pdf</v>
      </c>
      <c r="H1620" s="4" t="s">
        <v>10201</v>
      </c>
    </row>
    <row r="1621" spans="1:8" x14ac:dyDescent="0.25">
      <c r="A1621" s="2" t="s">
        <v>1635</v>
      </c>
      <c r="B1621" s="3"/>
      <c r="C1621" s="3"/>
      <c r="D1621" s="3"/>
      <c r="E1621" s="4" t="str">
        <f>HYPERLINK("https://dpmzos25m8ivg.cloudfront.net/Documentos/631/03885769360/6310388576936014092023004318.pdf","https://dpmzos25m8ivg.cloudfront.net/Documentos/631/03885769360/6310388576936014092023004318.pdf")</f>
        <v>https://dpmzos25m8ivg.cloudfront.net/Documentos/631/03885769360/6310388576936014092023004318.pdf</v>
      </c>
      <c r="F1621" s="5" t="str">
        <f>HYPERLINK("https://dpmzos25m8ivg.cloudfront.net/Documentos/631/03885769360/6310388576936014092023004334.pdf","https://dpmzos25m8ivg.cloudfront.net/Documentos/631/03885769360/6310388576936014092023004334.pdf")</f>
        <v>https://dpmzos25m8ivg.cloudfront.net/Documentos/631/03885769360/6310388576936014092023004334.pdf</v>
      </c>
      <c r="G1621" s="5" t="str">
        <f>HYPERLINK("https://dpmzos25m8ivg.cloudfront.net/Documentos/631/03885769360/6310388576936014092023004245.pdf","https://dpmzos25m8ivg.cloudfront.net/Documentos/631/03885769360/6310388576936014092023004245.pdf")</f>
        <v>https://dpmzos25m8ivg.cloudfront.net/Documentos/631/03885769360/6310388576936014092023004245.pdf</v>
      </c>
      <c r="H1621" s="4" t="s">
        <v>10202</v>
      </c>
    </row>
    <row r="1622" spans="1:8" x14ac:dyDescent="0.25">
      <c r="A1622" s="2" t="s">
        <v>1636</v>
      </c>
      <c r="B1622" s="3"/>
      <c r="C1622" s="3"/>
      <c r="D1622" s="3"/>
      <c r="E1622" s="4" t="str">
        <f>HYPERLINK("https://dpmzos25m8ivg.cloudfront.net/Documentos/631/03889553508/6310388955350811092023004249.pdf","https://dpmzos25m8ivg.cloudfront.net/Documentos/631/03889553508/6310388955350811092023004249.pdf")</f>
        <v>https://dpmzos25m8ivg.cloudfront.net/Documentos/631/03889553508/6310388955350811092023004249.pdf</v>
      </c>
      <c r="F1622" s="5" t="str">
        <f>HYPERLINK("https://dpmzos25m8ivg.cloudfront.net/Documentos/631/03889553508/6310388955350811092023004300.pdf","https://dpmzos25m8ivg.cloudfront.net/Documentos/631/03889553508/6310388955350811092023004300.pdf")</f>
        <v>https://dpmzos25m8ivg.cloudfront.net/Documentos/631/03889553508/6310388955350811092023004300.pdf</v>
      </c>
      <c r="G1622" s="5" t="str">
        <f>HYPERLINK("https://dpmzos25m8ivg.cloudfront.net/Documentos/631/03889553508/6310388955350811092023004314.pdf","https://dpmzos25m8ivg.cloudfront.net/Documentos/631/03889553508/6310388955350811092023004314.pdf")</f>
        <v>https://dpmzos25m8ivg.cloudfront.net/Documentos/631/03889553508/6310388955350811092023004314.pdf</v>
      </c>
      <c r="H1622" s="4" t="s">
        <v>10203</v>
      </c>
    </row>
    <row r="1623" spans="1:8" x14ac:dyDescent="0.25">
      <c r="A1623" s="2" t="s">
        <v>1637</v>
      </c>
      <c r="B1623" s="3"/>
      <c r="C1623" s="3"/>
      <c r="D1623" s="3"/>
      <c r="E1623" s="4" t="str">
        <f>HYPERLINK("https://dpmzos25m8ivg.cloudfront.net/Documentos/631/03889789374/6310388978937405092023155734.pdf","https://dpmzos25m8ivg.cloudfront.net/Documentos/631/03889789374/6310388978937405092023155734.pdf")</f>
        <v>https://dpmzos25m8ivg.cloudfront.net/Documentos/631/03889789374/6310388978937405092023155734.pdf</v>
      </c>
      <c r="F1623" s="5" t="str">
        <f>HYPERLINK("https://dpmzos25m8ivg.cloudfront.net/Documentos/631/03889789374/6310388978937405092023155757.pdf","https://dpmzos25m8ivg.cloudfront.net/Documentos/631/03889789374/6310388978937405092023155757.pdf")</f>
        <v>https://dpmzos25m8ivg.cloudfront.net/Documentos/631/03889789374/6310388978937405092023155757.pdf</v>
      </c>
      <c r="G1623" s="5" t="str">
        <f>HYPERLINK("https://dpmzos25m8ivg.cloudfront.net/Documentos/631/03889789374/6310388978937405092023155824.pdf","https://dpmzos25m8ivg.cloudfront.net/Documentos/631/03889789374/6310388978937405092023155824.pdf")</f>
        <v>https://dpmzos25m8ivg.cloudfront.net/Documentos/631/03889789374/6310388978937405092023155824.pdf</v>
      </c>
      <c r="H1623" s="4" t="s">
        <v>10204</v>
      </c>
    </row>
    <row r="1624" spans="1:8" x14ac:dyDescent="0.25">
      <c r="A1624" s="2" t="s">
        <v>1638</v>
      </c>
      <c r="B1624" s="3"/>
      <c r="C1624" s="3"/>
      <c r="D1624" s="3"/>
      <c r="E1624" s="4" t="str">
        <f>HYPERLINK("https://dpmzos25m8ivg.cloudfront.net/Documentos/631/03891456107/6310389145610711092023164844.pdf","https://dpmzos25m8ivg.cloudfront.net/Documentos/631/03891456107/6310389145610711092023164844.pdf")</f>
        <v>https://dpmzos25m8ivg.cloudfront.net/Documentos/631/03891456107/6310389145610711092023164844.pdf</v>
      </c>
      <c r="F1624" s="5" t="str">
        <f>HYPERLINK("https://dpmzos25m8ivg.cloudfront.net/Documentos/631/03891456107/6310389145610711092023164854.pdf","https://dpmzos25m8ivg.cloudfront.net/Documentos/631/03891456107/6310389145610711092023164854.pdf")</f>
        <v>https://dpmzos25m8ivg.cloudfront.net/Documentos/631/03891456107/6310389145610711092023164854.pdf</v>
      </c>
      <c r="G1624" s="5" t="str">
        <f>HYPERLINK("https://dpmzos25m8ivg.cloudfront.net/Documentos/631/03891456107/6310389145610711092023164904.pdf","https://dpmzos25m8ivg.cloudfront.net/Documentos/631/03891456107/6310389145610711092023164904.pdf")</f>
        <v>https://dpmzos25m8ivg.cloudfront.net/Documentos/631/03891456107/6310389145610711092023164904.pdf</v>
      </c>
      <c r="H1624" s="4" t="s">
        <v>10205</v>
      </c>
    </row>
    <row r="1625" spans="1:8" x14ac:dyDescent="0.25">
      <c r="A1625" s="2" t="s">
        <v>1639</v>
      </c>
      <c r="B1625" s="3" t="s">
        <v>308</v>
      </c>
      <c r="C1625" s="3"/>
      <c r="D1625" s="3"/>
      <c r="E1625" s="4" t="str">
        <f>HYPERLINK("https://dpmzos25m8ivg.cloudfront.net/Documentos/631/03892106509/6310389210650908092023101811.pdf","https://dpmzos25m8ivg.cloudfront.net/Documentos/631/03892106509/6310389210650908092023101811.pdf")</f>
        <v>https://dpmzos25m8ivg.cloudfront.net/Documentos/631/03892106509/6310389210650908092023101811.pdf</v>
      </c>
      <c r="F1625" s="5" t="str">
        <f>HYPERLINK("https://dpmzos25m8ivg.cloudfront.net/Documentos/631/03892106509/6310389210650908092023101821.pdf","https://dpmzos25m8ivg.cloudfront.net/Documentos/631/03892106509/6310389210650908092023101821.pdf")</f>
        <v>https://dpmzos25m8ivg.cloudfront.net/Documentos/631/03892106509/6310389210650908092023101821.pdf</v>
      </c>
      <c r="G1625" s="5" t="str">
        <f>HYPERLINK("https://dpmzos25m8ivg.cloudfront.net/Documentos/631/03892106509/6310389210650908092023101834.pdf","https://dpmzos25m8ivg.cloudfront.net/Documentos/631/03892106509/6310389210650908092023101834.pdf")</f>
        <v>https://dpmzos25m8ivg.cloudfront.net/Documentos/631/03892106509/6310389210650908092023101834.pdf</v>
      </c>
      <c r="H1625" s="4" t="s">
        <v>10206</v>
      </c>
    </row>
    <row r="1626" spans="1:8" x14ac:dyDescent="0.25">
      <c r="A1626" s="2" t="s">
        <v>1640</v>
      </c>
      <c r="B1626" s="3"/>
      <c r="C1626" s="3"/>
      <c r="D1626" s="3"/>
      <c r="E1626" s="4" t="str">
        <f>HYPERLINK("https://dpmzos25m8ivg.cloudfront.net/Documentos/631/03892779163/6310389277916311092023152709.pdf","https://dpmzos25m8ivg.cloudfront.net/Documentos/631/03892779163/6310389277916311092023152709.pdf")</f>
        <v>https://dpmzos25m8ivg.cloudfront.net/Documentos/631/03892779163/6310389277916311092023152709.pdf</v>
      </c>
      <c r="F1626" s="5" t="str">
        <f>HYPERLINK("https://dpmzos25m8ivg.cloudfront.net/Documentos/631/03892779163/6310389277916311092023152726.pdf","https://dpmzos25m8ivg.cloudfront.net/Documentos/631/03892779163/6310389277916311092023152726.pdf")</f>
        <v>https://dpmzos25m8ivg.cloudfront.net/Documentos/631/03892779163/6310389277916311092023152726.pdf</v>
      </c>
      <c r="G1626" s="5" t="str">
        <f>HYPERLINK("https://dpmzos25m8ivg.cloudfront.net/Documentos/631/03892779163/6310389277916311092023152318.pdf","https://dpmzos25m8ivg.cloudfront.net/Documentos/631/03892779163/6310389277916311092023152318.pdf")</f>
        <v>https://dpmzos25m8ivg.cloudfront.net/Documentos/631/03892779163/6310389277916311092023152318.pdf</v>
      </c>
      <c r="H1626" s="4" t="s">
        <v>10207</v>
      </c>
    </row>
    <row r="1627" spans="1:8" x14ac:dyDescent="0.25">
      <c r="A1627" s="2" t="s">
        <v>1641</v>
      </c>
      <c r="B1627" s="3" t="s">
        <v>308</v>
      </c>
      <c r="C1627" s="3"/>
      <c r="D1627" s="3"/>
      <c r="E1627" s="4" t="str">
        <f>HYPERLINK("https://dpmzos25m8ivg.cloudfront.net/Documentos/631/03895733105/6310389573310505092023094034.jpg","https://dpmzos25m8ivg.cloudfront.net/Documentos/631/03895733105/6310389573310505092023094034.jpg")</f>
        <v>https://dpmzos25m8ivg.cloudfront.net/Documentos/631/03895733105/6310389573310505092023094034.jpg</v>
      </c>
      <c r="F1627" s="5" t="str">
        <f>HYPERLINK("https://dpmzos25m8ivg.cloudfront.net/Documentos/631/03895733105/6310389573310505092023094057.jpg","https://dpmzos25m8ivg.cloudfront.net/Documentos/631/03895733105/6310389573310505092023094057.jpg")</f>
        <v>https://dpmzos25m8ivg.cloudfront.net/Documentos/631/03895733105/6310389573310505092023094057.jpg</v>
      </c>
      <c r="G1627" s="5" t="str">
        <f>HYPERLINK("https://dpmzos25m8ivg.cloudfront.net/Documentos/631/03895733105/6310389573310505092023095252.jpg","https://dpmzos25m8ivg.cloudfront.net/Documentos/631/03895733105/6310389573310505092023095252.jpg")</f>
        <v>https://dpmzos25m8ivg.cloudfront.net/Documentos/631/03895733105/6310389573310505092023095252.jpg</v>
      </c>
      <c r="H1627" s="4" t="s">
        <v>10208</v>
      </c>
    </row>
    <row r="1628" spans="1:8" x14ac:dyDescent="0.25">
      <c r="A1628" s="2" t="s">
        <v>1642</v>
      </c>
      <c r="B1628" s="3"/>
      <c r="C1628" s="3"/>
      <c r="D1628" s="3"/>
      <c r="E1628" s="4" t="str">
        <f>HYPERLINK("https://dpmzos25m8ivg.cloudfront.net/Documentos/631/03899099044/6310389909904411092023081755.jpeg","https://dpmzos25m8ivg.cloudfront.net/Documentos/631/03899099044/6310389909904411092023081755.jpeg")</f>
        <v>https://dpmzos25m8ivg.cloudfront.net/Documentos/631/03899099044/6310389909904411092023081755.jpeg</v>
      </c>
      <c r="F1628" s="5" t="str">
        <f>HYPERLINK("https://dpmzos25m8ivg.cloudfront.net/Documentos/631/03899099044/6310389909904411092023081810.jpeg","https://dpmzos25m8ivg.cloudfront.net/Documentos/631/03899099044/6310389909904411092023081810.jpeg")</f>
        <v>https://dpmzos25m8ivg.cloudfront.net/Documentos/631/03899099044/6310389909904411092023081810.jpeg</v>
      </c>
      <c r="G1628" s="5" t="str">
        <f>HYPERLINK("https://dpmzos25m8ivg.cloudfront.net/Documentos/631/03899099044/6310389909904411092023081830.jpeg","https://dpmzos25m8ivg.cloudfront.net/Documentos/631/03899099044/6310389909904411092023081830.jpeg")</f>
        <v>https://dpmzos25m8ivg.cloudfront.net/Documentos/631/03899099044/6310389909904411092023081830.jpeg</v>
      </c>
      <c r="H1628" s="4" t="s">
        <v>10209</v>
      </c>
    </row>
    <row r="1629" spans="1:8" x14ac:dyDescent="0.25">
      <c r="A1629" s="2" t="s">
        <v>1643</v>
      </c>
      <c r="B1629" s="3"/>
      <c r="C1629" s="3"/>
      <c r="D1629" s="3"/>
      <c r="E1629" s="4" t="str">
        <f>HYPERLINK("https://dpmzos25m8ivg.cloudfront.net/Documentos/631/03901803513/6310390180351307092023144629.pdf","https://dpmzos25m8ivg.cloudfront.net/Documentos/631/03901803513/6310390180351307092023144629.pdf")</f>
        <v>https://dpmzos25m8ivg.cloudfront.net/Documentos/631/03901803513/6310390180351307092023144629.pdf</v>
      </c>
      <c r="F1629" s="5" t="str">
        <f>HYPERLINK("https://dpmzos25m8ivg.cloudfront.net/Documentos/631/03901803513/6310390180351307092023144642.pdf","https://dpmzos25m8ivg.cloudfront.net/Documentos/631/03901803513/6310390180351307092023144642.pdf")</f>
        <v>https://dpmzos25m8ivg.cloudfront.net/Documentos/631/03901803513/6310390180351307092023144642.pdf</v>
      </c>
      <c r="G1629" s="5" t="str">
        <f>HYPERLINK("https://dpmzos25m8ivg.cloudfront.net/Documentos/631/03901803513/6310390180351307092023144653.pdf","https://dpmzos25m8ivg.cloudfront.net/Documentos/631/03901803513/6310390180351307092023144653.pdf")</f>
        <v>https://dpmzos25m8ivg.cloudfront.net/Documentos/631/03901803513/6310390180351307092023144653.pdf</v>
      </c>
      <c r="H1629" s="4" t="s">
        <v>10210</v>
      </c>
    </row>
    <row r="1630" spans="1:8" x14ac:dyDescent="0.25">
      <c r="A1630" s="2" t="s">
        <v>1644</v>
      </c>
      <c r="B1630" s="3" t="s">
        <v>23</v>
      </c>
      <c r="C1630" s="3"/>
      <c r="D1630" s="3"/>
      <c r="E1630" s="4" t="str">
        <f>HYPERLINK("https://dpmzos25m8ivg.cloudfront.net/Documentos/631/03902559128/6310390255912810092023235758.pdf","https://dpmzos25m8ivg.cloudfront.net/Documentos/631/03902559128/6310390255912810092023235758.pdf")</f>
        <v>https://dpmzos25m8ivg.cloudfront.net/Documentos/631/03902559128/6310390255912810092023235758.pdf</v>
      </c>
      <c r="F1630" s="5" t="str">
        <f>HYPERLINK("https://dpmzos25m8ivg.cloudfront.net/Documentos/631/03902559128/6310390255912810092023235815.pdf","https://dpmzos25m8ivg.cloudfront.net/Documentos/631/03902559128/6310390255912810092023235815.pdf")</f>
        <v>https://dpmzos25m8ivg.cloudfront.net/Documentos/631/03902559128/6310390255912810092023235815.pdf</v>
      </c>
      <c r="G1630" s="5" t="str">
        <f>HYPERLINK("https://dpmzos25m8ivg.cloudfront.net/Documentos/631/03902559128/6310390255912810092023235829.pdf","https://dpmzos25m8ivg.cloudfront.net/Documentos/631/03902559128/6310390255912810092023235829.pdf")</f>
        <v>https://dpmzos25m8ivg.cloudfront.net/Documentos/631/03902559128/6310390255912810092023235829.pdf</v>
      </c>
      <c r="H1630" s="4" t="s">
        <v>10211</v>
      </c>
    </row>
    <row r="1631" spans="1:8" x14ac:dyDescent="0.25">
      <c r="A1631" s="2" t="s">
        <v>1645</v>
      </c>
      <c r="B1631" s="3" t="s">
        <v>90</v>
      </c>
      <c r="C1631" s="3"/>
      <c r="D1631" s="3"/>
      <c r="E1631" s="4" t="str">
        <f>HYPERLINK("https://dpmzos25m8ivg.cloudfront.net/Documentos/631/03906616002/6310390661600210092023160937.pdf","https://dpmzos25m8ivg.cloudfront.net/Documentos/631/03906616002/6310390661600210092023160937.pdf")</f>
        <v>https://dpmzos25m8ivg.cloudfront.net/Documentos/631/03906616002/6310390661600210092023160937.pdf</v>
      </c>
      <c r="F1631" s="5" t="str">
        <f>HYPERLINK("https://dpmzos25m8ivg.cloudfront.net/Documentos/631/03906616002/6310390661600210092023160947.pdf","https://dpmzos25m8ivg.cloudfront.net/Documentos/631/03906616002/6310390661600210092023160947.pdf")</f>
        <v>https://dpmzos25m8ivg.cloudfront.net/Documentos/631/03906616002/6310390661600210092023160947.pdf</v>
      </c>
      <c r="G1631" s="5" t="str">
        <f>HYPERLINK("https://dpmzos25m8ivg.cloudfront.net/Documentos/631/03906616002/6310390661600210092023161000.pdf","https://dpmzos25m8ivg.cloudfront.net/Documentos/631/03906616002/6310390661600210092023161000.pdf")</f>
        <v>https://dpmzos25m8ivg.cloudfront.net/Documentos/631/03906616002/6310390661600210092023161000.pdf</v>
      </c>
      <c r="H1631" s="4" t="s">
        <v>10212</v>
      </c>
    </row>
    <row r="1632" spans="1:8" x14ac:dyDescent="0.25">
      <c r="A1632" s="2" t="s">
        <v>1646</v>
      </c>
      <c r="B1632" s="3"/>
      <c r="C1632" s="3"/>
      <c r="D1632" s="3"/>
      <c r="E1632" s="4" t="str">
        <f>HYPERLINK("https://dpmzos25m8ivg.cloudfront.net/Documentos/631/03908532167/6310390853216706092023101148.pdf","https://dpmzos25m8ivg.cloudfront.net/Documentos/631/03908532167/6310390853216706092023101148.pdf")</f>
        <v>https://dpmzos25m8ivg.cloudfront.net/Documentos/631/03908532167/6310390853216706092023101148.pdf</v>
      </c>
      <c r="F1632" s="5" t="str">
        <f>HYPERLINK("https://dpmzos25m8ivg.cloudfront.net/Documentos/631/03908532167/6310390853216706092023101221.pdf","https://dpmzos25m8ivg.cloudfront.net/Documentos/631/03908532167/6310390853216706092023101221.pdf")</f>
        <v>https://dpmzos25m8ivg.cloudfront.net/Documentos/631/03908532167/6310390853216706092023101221.pdf</v>
      </c>
      <c r="G1632" s="5" t="str">
        <f>HYPERLINK("https://dpmzos25m8ivg.cloudfront.net/Documentos/631/03908532167/6310390853216706092023101237.pdf","https://dpmzos25m8ivg.cloudfront.net/Documentos/631/03908532167/6310390853216706092023101237.pdf")</f>
        <v>https://dpmzos25m8ivg.cloudfront.net/Documentos/631/03908532167/6310390853216706092023101237.pdf</v>
      </c>
      <c r="H1632" s="4" t="s">
        <v>10213</v>
      </c>
    </row>
    <row r="1633" spans="1:8" x14ac:dyDescent="0.25">
      <c r="A1633" s="2" t="s">
        <v>1647</v>
      </c>
      <c r="B1633" s="3"/>
      <c r="C1633" s="3"/>
      <c r="D1633" s="3"/>
      <c r="E1633" s="4" t="str">
        <f>HYPERLINK("https://dpmzos25m8ivg.cloudfront.net/Documentos/631/03909192505/6310390919250511092023101326.pdf","https://dpmzos25m8ivg.cloudfront.net/Documentos/631/03909192505/6310390919250511092023101326.pdf")</f>
        <v>https://dpmzos25m8ivg.cloudfront.net/Documentos/631/03909192505/6310390919250511092023101326.pdf</v>
      </c>
      <c r="F1633" s="5" t="str">
        <f>HYPERLINK("https://dpmzos25m8ivg.cloudfront.net/Documentos/631/03909192505/6310390919250511092023100428.pdf","https://dpmzos25m8ivg.cloudfront.net/Documentos/631/03909192505/6310390919250511092023100428.pdf")</f>
        <v>https://dpmzos25m8ivg.cloudfront.net/Documentos/631/03909192505/6310390919250511092023100428.pdf</v>
      </c>
      <c r="G1633" s="5" t="str">
        <f>HYPERLINK("https://dpmzos25m8ivg.cloudfront.net/Documentos/631/03909192505/6310390919250511092023095853.pdf","https://dpmzos25m8ivg.cloudfront.net/Documentos/631/03909192505/6310390919250511092023095853.pdf")</f>
        <v>https://dpmzos25m8ivg.cloudfront.net/Documentos/631/03909192505/6310390919250511092023095853.pdf</v>
      </c>
      <c r="H1633" s="4" t="s">
        <v>10214</v>
      </c>
    </row>
    <row r="1634" spans="1:8" x14ac:dyDescent="0.25">
      <c r="A1634" s="2" t="s">
        <v>1648</v>
      </c>
      <c r="B1634" s="3"/>
      <c r="C1634" s="3"/>
      <c r="D1634" s="3"/>
      <c r="E1634" s="4" t="str">
        <f>HYPERLINK("https://dpmzos25m8ivg.cloudfront.net/Documentos/631/03909396259/6310390939625911092023115015.pdf","https://dpmzos25m8ivg.cloudfront.net/Documentos/631/03909396259/6310390939625911092023115015.pdf")</f>
        <v>https://dpmzos25m8ivg.cloudfront.net/Documentos/631/03909396259/6310390939625911092023115015.pdf</v>
      </c>
      <c r="F1634" s="5" t="str">
        <f>HYPERLINK("https://dpmzos25m8ivg.cloudfront.net/Documentos/631/03909396259/6310390939625911092023115031.pdf","https://dpmzos25m8ivg.cloudfront.net/Documentos/631/03909396259/6310390939625911092023115031.pdf")</f>
        <v>https://dpmzos25m8ivg.cloudfront.net/Documentos/631/03909396259/6310390939625911092023115031.pdf</v>
      </c>
      <c r="G1634" s="5" t="str">
        <f>HYPERLINK("https://dpmzos25m8ivg.cloudfront.net/Documentos/631/03909396259/6310390939625911092023115045.pdf","https://dpmzos25m8ivg.cloudfront.net/Documentos/631/03909396259/6310390939625911092023115045.pdf")</f>
        <v>https://dpmzos25m8ivg.cloudfront.net/Documentos/631/03909396259/6310390939625911092023115045.pdf</v>
      </c>
      <c r="H1634" s="4" t="s">
        <v>10215</v>
      </c>
    </row>
    <row r="1635" spans="1:8" x14ac:dyDescent="0.25">
      <c r="A1635" s="2" t="s">
        <v>1649</v>
      </c>
      <c r="B1635" s="3"/>
      <c r="C1635" s="3"/>
      <c r="D1635" s="3"/>
      <c r="E1635" s="4" t="str">
        <f>HYPERLINK("https://dpmzos25m8ivg.cloudfront.net/Documentos/631/03912886440/6310391288644005092023184101.pdf","https://dpmzos25m8ivg.cloudfront.net/Documentos/631/03912886440/6310391288644005092023184101.pdf")</f>
        <v>https://dpmzos25m8ivg.cloudfront.net/Documentos/631/03912886440/6310391288644005092023184101.pdf</v>
      </c>
      <c r="F1635" s="5" t="str">
        <f>HYPERLINK("https://dpmzos25m8ivg.cloudfront.net/Documentos/631/03912886440/6310391288644005092023184111.pdf","https://dpmzos25m8ivg.cloudfront.net/Documentos/631/03912886440/6310391288644005092023184111.pdf")</f>
        <v>https://dpmzos25m8ivg.cloudfront.net/Documentos/631/03912886440/6310391288644005092023184111.pdf</v>
      </c>
      <c r="G1635" s="5" t="str">
        <f>HYPERLINK("https://dpmzos25m8ivg.cloudfront.net/Documentos/631/03912886440/6310391288644005092023184130.pdf","https://dpmzos25m8ivg.cloudfront.net/Documentos/631/03912886440/6310391288644005092023184130.pdf")</f>
        <v>https://dpmzos25m8ivg.cloudfront.net/Documentos/631/03912886440/6310391288644005092023184130.pdf</v>
      </c>
      <c r="H1635" s="4" t="s">
        <v>10216</v>
      </c>
    </row>
    <row r="1636" spans="1:8" x14ac:dyDescent="0.25">
      <c r="A1636" s="2" t="s">
        <v>1650</v>
      </c>
      <c r="B1636" s="3"/>
      <c r="C1636" s="3"/>
      <c r="D1636" s="3"/>
      <c r="E1636" s="4" t="str">
        <f>HYPERLINK("https://dpmzos25m8ivg.cloudfront.net/Documentos/631/03914768150/6310391476815005092023134137.pdf","https://dpmzos25m8ivg.cloudfront.net/Documentos/631/03914768150/6310391476815005092023134137.pdf")</f>
        <v>https://dpmzos25m8ivg.cloudfront.net/Documentos/631/03914768150/6310391476815005092023134137.pdf</v>
      </c>
      <c r="F1636" s="5" t="str">
        <f>HYPERLINK("https://dpmzos25m8ivg.cloudfront.net/Documentos/631/03914768150/6310391476815005092023134156.pdf","https://dpmzos25m8ivg.cloudfront.net/Documentos/631/03914768150/6310391476815005092023134156.pdf")</f>
        <v>https://dpmzos25m8ivg.cloudfront.net/Documentos/631/03914768150/6310391476815005092023134156.pdf</v>
      </c>
      <c r="G1636" s="5" t="str">
        <f>HYPERLINK("https://dpmzos25m8ivg.cloudfront.net/Documentos/631/03914768150/6310391476815005092023134211.pdf","https://dpmzos25m8ivg.cloudfront.net/Documentos/631/03914768150/6310391476815005092023134211.pdf")</f>
        <v>https://dpmzos25m8ivg.cloudfront.net/Documentos/631/03914768150/6310391476815005092023134211.pdf</v>
      </c>
      <c r="H1636" s="4" t="s">
        <v>10217</v>
      </c>
    </row>
    <row r="1637" spans="1:8" x14ac:dyDescent="0.25">
      <c r="A1637" s="2" t="s">
        <v>1651</v>
      </c>
      <c r="B1637" s="3"/>
      <c r="C1637" s="3"/>
      <c r="D1637" s="3"/>
      <c r="E1637" s="4" t="str">
        <f>HYPERLINK("https://dpmzos25m8ivg.cloudfront.net/Documentos/631/03915916226/6310391591622611092023103332.pdf","https://dpmzos25m8ivg.cloudfront.net/Documentos/631/03915916226/6310391591622611092023103332.pdf")</f>
        <v>https://dpmzos25m8ivg.cloudfront.net/Documentos/631/03915916226/6310391591622611092023103332.pdf</v>
      </c>
      <c r="F1637" s="5" t="str">
        <f>HYPERLINK("https://dpmzos25m8ivg.cloudfront.net/Documentos/631/03915916226/6310391591622611092023103342.pdf","https://dpmzos25m8ivg.cloudfront.net/Documentos/631/03915916226/6310391591622611092023103342.pdf")</f>
        <v>https://dpmzos25m8ivg.cloudfront.net/Documentos/631/03915916226/6310391591622611092023103342.pdf</v>
      </c>
      <c r="G1637" s="5" t="str">
        <f>HYPERLINK("https://dpmzos25m8ivg.cloudfront.net/Documentos/631/03915916226/6310391591622611092023103351.pdf","https://dpmzos25m8ivg.cloudfront.net/Documentos/631/03915916226/6310391591622611092023103351.pdf")</f>
        <v>https://dpmzos25m8ivg.cloudfront.net/Documentos/631/03915916226/6310391591622611092023103351.pdf</v>
      </c>
      <c r="H1637" s="4" t="s">
        <v>10218</v>
      </c>
    </row>
    <row r="1638" spans="1:8" x14ac:dyDescent="0.25">
      <c r="A1638" s="2" t="s">
        <v>1652</v>
      </c>
      <c r="B1638" s="3"/>
      <c r="C1638" s="3"/>
      <c r="D1638" s="3"/>
      <c r="E1638" s="4" t="str">
        <f>HYPERLINK("https://dpmzos25m8ivg.cloudfront.net/Documentos/631/03916031163/6310391603116310092023174038.pdf","https://dpmzos25m8ivg.cloudfront.net/Documentos/631/03916031163/6310391603116310092023174038.pdf")</f>
        <v>https://dpmzos25m8ivg.cloudfront.net/Documentos/631/03916031163/6310391603116310092023174038.pdf</v>
      </c>
      <c r="F1638" s="5" t="str">
        <f>HYPERLINK("https://dpmzos25m8ivg.cloudfront.net/Documentos/631/03916031163/6310391603116310092023174050.pdf","https://dpmzos25m8ivg.cloudfront.net/Documentos/631/03916031163/6310391603116310092023174050.pdf")</f>
        <v>https://dpmzos25m8ivg.cloudfront.net/Documentos/631/03916031163/6310391603116310092023174050.pdf</v>
      </c>
      <c r="G1638" s="5" t="str">
        <f>HYPERLINK("https://dpmzos25m8ivg.cloudfront.net/Documentos/631/03916031163/6310391603116310092023174110.pdf","https://dpmzos25m8ivg.cloudfront.net/Documentos/631/03916031163/6310391603116310092023174110.pdf")</f>
        <v>https://dpmzos25m8ivg.cloudfront.net/Documentos/631/03916031163/6310391603116310092023174110.pdf</v>
      </c>
      <c r="H1638" s="4" t="s">
        <v>10219</v>
      </c>
    </row>
    <row r="1639" spans="1:8" x14ac:dyDescent="0.25">
      <c r="A1639" s="2" t="s">
        <v>1653</v>
      </c>
      <c r="B1639" s="3"/>
      <c r="C1639" s="3"/>
      <c r="D1639" s="3"/>
      <c r="E1639" s="4" t="str">
        <f>HYPERLINK("https://dpmzos25m8ivg.cloudfront.net/Documentos/631/03916386298/6310391638629811092023153109.pdf","https://dpmzos25m8ivg.cloudfront.net/Documentos/631/03916386298/6310391638629811092023153109.pdf")</f>
        <v>https://dpmzos25m8ivg.cloudfront.net/Documentos/631/03916386298/6310391638629811092023153109.pdf</v>
      </c>
      <c r="F1639" s="5" t="str">
        <f>HYPERLINK("https://dpmzos25m8ivg.cloudfront.net/Documentos/631/03916386298/6310391638629811092023153122.pdf","https://dpmzos25m8ivg.cloudfront.net/Documentos/631/03916386298/6310391638629811092023153122.pdf")</f>
        <v>https://dpmzos25m8ivg.cloudfront.net/Documentos/631/03916386298/6310391638629811092023153122.pdf</v>
      </c>
      <c r="G1639" s="5" t="str">
        <f>HYPERLINK("https://dpmzos25m8ivg.cloudfront.net/Documentos/631/03916386298/6310391638629811092023153139.pdf","https://dpmzos25m8ivg.cloudfront.net/Documentos/631/03916386298/6310391638629811092023153139.pdf")</f>
        <v>https://dpmzos25m8ivg.cloudfront.net/Documentos/631/03916386298/6310391638629811092023153139.pdf</v>
      </c>
      <c r="H1639" s="4" t="s">
        <v>10220</v>
      </c>
    </row>
    <row r="1640" spans="1:8" x14ac:dyDescent="0.25">
      <c r="A1640" s="2" t="s">
        <v>1654</v>
      </c>
      <c r="B1640" s="3"/>
      <c r="C1640" s="3"/>
      <c r="D1640" s="3"/>
      <c r="E1640" s="4" t="str">
        <f>HYPERLINK("https://dpmzos25m8ivg.cloudfront.net/Documentos/631/03917723174/6310391772317411092023145335.pdf","https://dpmzos25m8ivg.cloudfront.net/Documentos/631/03917723174/6310391772317411092023145335.pdf")</f>
        <v>https://dpmzos25m8ivg.cloudfront.net/Documentos/631/03917723174/6310391772317411092023145335.pdf</v>
      </c>
      <c r="F1640" s="5" t="str">
        <f>HYPERLINK("https://dpmzos25m8ivg.cloudfront.net/Documentos/631/03917723174/6310391772317411092023145349.pdf","https://dpmzos25m8ivg.cloudfront.net/Documentos/631/03917723174/6310391772317411092023145349.pdf")</f>
        <v>https://dpmzos25m8ivg.cloudfront.net/Documentos/631/03917723174/6310391772317411092023145349.pdf</v>
      </c>
      <c r="G1640" s="5" t="str">
        <f>HYPERLINK("https://dpmzos25m8ivg.cloudfront.net/Documentos/631/03917723174/6310391772317411092023145358.pdf","https://dpmzos25m8ivg.cloudfront.net/Documentos/631/03917723174/6310391772317411092023145358.pdf")</f>
        <v>https://dpmzos25m8ivg.cloudfront.net/Documentos/631/03917723174/6310391772317411092023145358.pdf</v>
      </c>
      <c r="H1640" s="4" t="s">
        <v>10221</v>
      </c>
    </row>
    <row r="1641" spans="1:8" x14ac:dyDescent="0.25">
      <c r="A1641" s="2" t="s">
        <v>1655</v>
      </c>
      <c r="B1641" s="3"/>
      <c r="C1641" s="3"/>
      <c r="D1641" s="3"/>
      <c r="E1641" s="4" t="str">
        <f>HYPERLINK("https://dpmzos25m8ivg.cloudfront.net/Documentos/631/03918272354/6310391827235408092023204940.pdf","https://dpmzos25m8ivg.cloudfront.net/Documentos/631/03918272354/6310391827235408092023204940.pdf")</f>
        <v>https://dpmzos25m8ivg.cloudfront.net/Documentos/631/03918272354/6310391827235408092023204940.pdf</v>
      </c>
      <c r="F1641" s="5" t="str">
        <f>HYPERLINK("https://dpmzos25m8ivg.cloudfront.net/Documentos/631/03918272354/6310391827235408092023204959.pdf","https://dpmzos25m8ivg.cloudfront.net/Documentos/631/03918272354/6310391827235408092023204959.pdf")</f>
        <v>https://dpmzos25m8ivg.cloudfront.net/Documentos/631/03918272354/6310391827235408092023204959.pdf</v>
      </c>
      <c r="G1641" s="5" t="str">
        <f>HYPERLINK("https://dpmzos25m8ivg.cloudfront.net/Documentos/631/03918272354/6310391827235408092023205016.pdf","https://dpmzos25m8ivg.cloudfront.net/Documentos/631/03918272354/6310391827235408092023205016.pdf")</f>
        <v>https://dpmzos25m8ivg.cloudfront.net/Documentos/631/03918272354/6310391827235408092023205016.pdf</v>
      </c>
      <c r="H1641" s="4" t="s">
        <v>10222</v>
      </c>
    </row>
    <row r="1642" spans="1:8" x14ac:dyDescent="0.25">
      <c r="A1642" s="2" t="s">
        <v>1656</v>
      </c>
      <c r="B1642" s="3"/>
      <c r="C1642" s="3"/>
      <c r="D1642" s="3"/>
      <c r="E1642" s="4" t="str">
        <f>HYPERLINK("https://dpmzos25m8ivg.cloudfront.net/Documentos/631/03922279163/6310392227916309092023174616.pdf","https://dpmzos25m8ivg.cloudfront.net/Documentos/631/03922279163/6310392227916309092023174616.pdf")</f>
        <v>https://dpmzos25m8ivg.cloudfront.net/Documentos/631/03922279163/6310392227916309092023174616.pdf</v>
      </c>
      <c r="F1642" s="5" t="str">
        <f>HYPERLINK("https://dpmzos25m8ivg.cloudfront.net/Documentos/631/03922279163/6310392227916309092023174628.pdf","https://dpmzos25m8ivg.cloudfront.net/Documentos/631/03922279163/6310392227916309092023174628.pdf")</f>
        <v>https://dpmzos25m8ivg.cloudfront.net/Documentos/631/03922279163/6310392227916309092023174628.pdf</v>
      </c>
      <c r="G1642" s="5" t="str">
        <f>HYPERLINK("https://dpmzos25m8ivg.cloudfront.net/Documentos/631/03922279163/6310392227916309092023174642.pdf","https://dpmzos25m8ivg.cloudfront.net/Documentos/631/03922279163/6310392227916309092023174642.pdf")</f>
        <v>https://dpmzos25m8ivg.cloudfront.net/Documentos/631/03922279163/6310392227916309092023174642.pdf</v>
      </c>
      <c r="H1642" s="4" t="s">
        <v>10223</v>
      </c>
    </row>
    <row r="1643" spans="1:8" x14ac:dyDescent="0.25">
      <c r="A1643" s="2" t="s">
        <v>1657</v>
      </c>
      <c r="B1643" s="3" t="s">
        <v>308</v>
      </c>
      <c r="C1643" s="3"/>
      <c r="D1643" s="3"/>
      <c r="E1643" s="4" t="str">
        <f>HYPERLINK("https://dpmzos25m8ivg.cloudfront.net/Documentos/631/03923099479/6310392309947908092023111202.pdf","https://dpmzos25m8ivg.cloudfront.net/Documentos/631/03923099479/6310392309947908092023111202.pdf")</f>
        <v>https://dpmzos25m8ivg.cloudfront.net/Documentos/631/03923099479/6310392309947908092023111202.pdf</v>
      </c>
      <c r="F1643" s="5" t="str">
        <f>HYPERLINK("https://dpmzos25m8ivg.cloudfront.net/Documentos/631/03923099479/6310392309947908092023111211.pdf","https://dpmzos25m8ivg.cloudfront.net/Documentos/631/03923099479/6310392309947908092023111211.pdf")</f>
        <v>https://dpmzos25m8ivg.cloudfront.net/Documentos/631/03923099479/6310392309947908092023111211.pdf</v>
      </c>
      <c r="G1643" s="5" t="str">
        <f>HYPERLINK("https://dpmzos25m8ivg.cloudfront.net/Documentos/631/03923099479/6310392309947908092023111221.pdf","https://dpmzos25m8ivg.cloudfront.net/Documentos/631/03923099479/6310392309947908092023111221.pdf")</f>
        <v>https://dpmzos25m8ivg.cloudfront.net/Documentos/631/03923099479/6310392309947908092023111221.pdf</v>
      </c>
      <c r="H1643" s="4" t="s">
        <v>10224</v>
      </c>
    </row>
    <row r="1644" spans="1:8" x14ac:dyDescent="0.25">
      <c r="A1644" s="2" t="s">
        <v>1658</v>
      </c>
      <c r="B1644" s="3"/>
      <c r="C1644" s="3"/>
      <c r="D1644" s="3"/>
      <c r="E1644" s="4" t="str">
        <f>HYPERLINK("https://dpmzos25m8ivg.cloudfront.net/Documentos/631/03923474156/6310392347415605092023200635.pdf","https://dpmzos25m8ivg.cloudfront.net/Documentos/631/03923474156/6310392347415605092023200635.pdf")</f>
        <v>https://dpmzos25m8ivg.cloudfront.net/Documentos/631/03923474156/6310392347415605092023200635.pdf</v>
      </c>
      <c r="F1644" s="5" t="str">
        <f>HYPERLINK("https://dpmzos25m8ivg.cloudfront.net/Documentos/631/03923474156/6310392347415605092023200651.pdf","https://dpmzos25m8ivg.cloudfront.net/Documentos/631/03923474156/6310392347415605092023200651.pdf")</f>
        <v>https://dpmzos25m8ivg.cloudfront.net/Documentos/631/03923474156/6310392347415605092023200651.pdf</v>
      </c>
      <c r="G1644" s="5" t="str">
        <f>HYPERLINK("https://dpmzos25m8ivg.cloudfront.net/Documentos/631/03923474156/6310392347415605092023200712.pdf","https://dpmzos25m8ivg.cloudfront.net/Documentos/631/03923474156/6310392347415605092023200712.pdf")</f>
        <v>https://dpmzos25m8ivg.cloudfront.net/Documentos/631/03923474156/6310392347415605092023200712.pdf</v>
      </c>
      <c r="H1644" s="4" t="s">
        <v>10225</v>
      </c>
    </row>
    <row r="1645" spans="1:8" x14ac:dyDescent="0.25">
      <c r="A1645" s="2" t="s">
        <v>1659</v>
      </c>
      <c r="B1645" s="3"/>
      <c r="C1645" s="3"/>
      <c r="D1645" s="3"/>
      <c r="E1645" s="4" t="str">
        <f>HYPERLINK("https://dpmzos25m8ivg.cloudfront.net/Documentos/631/03924508100/6310392450810013092023184152.pdf","https://dpmzos25m8ivg.cloudfront.net/Documentos/631/03924508100/6310392450810013092023184152.pdf")</f>
        <v>https://dpmzos25m8ivg.cloudfront.net/Documentos/631/03924508100/6310392450810013092023184152.pdf</v>
      </c>
      <c r="F1645" s="5" t="str">
        <f>HYPERLINK("https://dpmzos25m8ivg.cloudfront.net/Documentos/631/03924508100/6310392450810013092023180602.pdf","https://dpmzos25m8ivg.cloudfront.net/Documentos/631/03924508100/6310392450810013092023180602.pdf")</f>
        <v>https://dpmzos25m8ivg.cloudfront.net/Documentos/631/03924508100/6310392450810013092023180602.pdf</v>
      </c>
      <c r="G1645" s="5" t="str">
        <f>HYPERLINK("https://dpmzos25m8ivg.cloudfront.net/Documentos/631/03924508100/6310392450810013092023180806.pdf","https://dpmzos25m8ivg.cloudfront.net/Documentos/631/03924508100/6310392450810013092023180806.pdf")</f>
        <v>https://dpmzos25m8ivg.cloudfront.net/Documentos/631/03924508100/6310392450810013092023180806.pdf</v>
      </c>
      <c r="H1645" s="4" t="s">
        <v>10226</v>
      </c>
    </row>
    <row r="1646" spans="1:8" x14ac:dyDescent="0.25">
      <c r="A1646" s="2" t="s">
        <v>1660</v>
      </c>
      <c r="B1646" s="3"/>
      <c r="C1646" s="3"/>
      <c r="D1646" s="3"/>
      <c r="E1646" s="4" t="str">
        <f>HYPERLINK("https://dpmzos25m8ivg.cloudfront.net/Documentos/631/03925332359/6310392533235911092023164134.pdf","https://dpmzos25m8ivg.cloudfront.net/Documentos/631/03925332359/6310392533235911092023164134.pdf")</f>
        <v>https://dpmzos25m8ivg.cloudfront.net/Documentos/631/03925332359/6310392533235911092023164134.pdf</v>
      </c>
      <c r="F1646" s="5" t="str">
        <f>HYPERLINK("https://dpmzos25m8ivg.cloudfront.net/Documentos/631/03925332359/6310392533235911092023164144.pdf","https://dpmzos25m8ivg.cloudfront.net/Documentos/631/03925332359/6310392533235911092023164144.pdf")</f>
        <v>https://dpmzos25m8ivg.cloudfront.net/Documentos/631/03925332359/6310392533235911092023164144.pdf</v>
      </c>
      <c r="G1646" s="5" t="str">
        <f>HYPERLINK("https://dpmzos25m8ivg.cloudfront.net/Documentos/631/03925332359/6310392533235911092023164200.pdf","https://dpmzos25m8ivg.cloudfront.net/Documentos/631/03925332359/6310392533235911092023164200.pdf")</f>
        <v>https://dpmzos25m8ivg.cloudfront.net/Documentos/631/03925332359/6310392533235911092023164200.pdf</v>
      </c>
      <c r="H1646" s="4" t="s">
        <v>10227</v>
      </c>
    </row>
    <row r="1647" spans="1:8" x14ac:dyDescent="0.25">
      <c r="A1647" s="2" t="s">
        <v>1661</v>
      </c>
      <c r="B1647" s="3"/>
      <c r="C1647" s="3"/>
      <c r="D1647" s="3"/>
      <c r="E1647" s="4" t="str">
        <f>HYPERLINK("https://dpmzos25m8ivg.cloudfront.net/Documentos/631/03927445460/6310392744546005092023202838.pdf","https://dpmzos25m8ivg.cloudfront.net/Documentos/631/03927445460/6310392744546005092023202838.pdf")</f>
        <v>https://dpmzos25m8ivg.cloudfront.net/Documentos/631/03927445460/6310392744546005092023202838.pdf</v>
      </c>
      <c r="F1647" s="5" t="str">
        <f>HYPERLINK("https://dpmzos25m8ivg.cloudfront.net/Documentos/631/03927445460/6310392744546005092023202943.pdf","https://dpmzos25m8ivg.cloudfront.net/Documentos/631/03927445460/6310392744546005092023202943.pdf")</f>
        <v>https://dpmzos25m8ivg.cloudfront.net/Documentos/631/03927445460/6310392744546005092023202943.pdf</v>
      </c>
      <c r="G1647" s="5" t="str">
        <f>HYPERLINK("https://dpmzos25m8ivg.cloudfront.net/Documentos/631/03927445460/6310392744546005092023203434.pdf","https://dpmzos25m8ivg.cloudfront.net/Documentos/631/03927445460/6310392744546005092023203434.pdf")</f>
        <v>https://dpmzos25m8ivg.cloudfront.net/Documentos/631/03927445460/6310392744546005092023203434.pdf</v>
      </c>
      <c r="H1647" s="4" t="s">
        <v>10228</v>
      </c>
    </row>
    <row r="1648" spans="1:8" x14ac:dyDescent="0.25">
      <c r="A1648" s="2" t="s">
        <v>1662</v>
      </c>
      <c r="B1648" s="3"/>
      <c r="C1648" s="3"/>
      <c r="D1648" s="3"/>
      <c r="E1648" s="4" t="str">
        <f>HYPERLINK("https://dpmzos25m8ivg.cloudfront.net/Documentos/631/03927708143/6310392770814308092023194622.pdf","https://dpmzos25m8ivg.cloudfront.net/Documentos/631/03927708143/6310392770814308092023194622.pdf")</f>
        <v>https://dpmzos25m8ivg.cloudfront.net/Documentos/631/03927708143/6310392770814308092023194622.pdf</v>
      </c>
      <c r="F1648" s="5" t="str">
        <f>HYPERLINK("https://dpmzos25m8ivg.cloudfront.net/Documentos/631/03927708143/6310392770814308092023194703.pdf","https://dpmzos25m8ivg.cloudfront.net/Documentos/631/03927708143/6310392770814308092023194703.pdf")</f>
        <v>https://dpmzos25m8ivg.cloudfront.net/Documentos/631/03927708143/6310392770814308092023194703.pdf</v>
      </c>
      <c r="G1648" s="5" t="str">
        <f>HYPERLINK("https://dpmzos25m8ivg.cloudfront.net/Documentos/631/03927708143/6310392770814308092023194719.pdf","https://dpmzos25m8ivg.cloudfront.net/Documentos/631/03927708143/6310392770814308092023194719.pdf")</f>
        <v>https://dpmzos25m8ivg.cloudfront.net/Documentos/631/03927708143/6310392770814308092023194719.pdf</v>
      </c>
      <c r="H1648" s="4" t="s">
        <v>10229</v>
      </c>
    </row>
    <row r="1649" spans="1:8" x14ac:dyDescent="0.25">
      <c r="A1649" s="2" t="s">
        <v>1663</v>
      </c>
      <c r="B1649" s="3"/>
      <c r="C1649" s="3"/>
      <c r="D1649" s="3"/>
      <c r="E1649" s="4" t="str">
        <f>HYPERLINK("https://dpmzos25m8ivg.cloudfront.net/Documentos/631/03928409107/6310392840910711092023115119.jpg","https://dpmzos25m8ivg.cloudfront.net/Documentos/631/03928409107/6310392840910711092023115119.jpg")</f>
        <v>https://dpmzos25m8ivg.cloudfront.net/Documentos/631/03928409107/6310392840910711092023115119.jpg</v>
      </c>
      <c r="F1649" s="5" t="str">
        <f>HYPERLINK("https://dpmzos25m8ivg.cloudfront.net/Documentos/631/03928409107/6310392840910711092023115136.jpg","https://dpmzos25m8ivg.cloudfront.net/Documentos/631/03928409107/6310392840910711092023115136.jpg")</f>
        <v>https://dpmzos25m8ivg.cloudfront.net/Documentos/631/03928409107/6310392840910711092023115136.jpg</v>
      </c>
      <c r="G1649" s="5" t="str">
        <f>HYPERLINK("https://dpmzos25m8ivg.cloudfront.net/Documentos/631/03928409107/6310392840910711092023115201.jpg","https://dpmzos25m8ivg.cloudfront.net/Documentos/631/03928409107/6310392840910711092023115201.jpg")</f>
        <v>https://dpmzos25m8ivg.cloudfront.net/Documentos/631/03928409107/6310392840910711092023115201.jpg</v>
      </c>
      <c r="H1649" s="4" t="s">
        <v>10230</v>
      </c>
    </row>
    <row r="1650" spans="1:8" x14ac:dyDescent="0.25">
      <c r="A1650" s="2" t="s">
        <v>1664</v>
      </c>
      <c r="B1650" s="3"/>
      <c r="C1650" s="3"/>
      <c r="D1650" s="3"/>
      <c r="E1650" s="4" t="str">
        <f>HYPERLINK("https://dpmzos25m8ivg.cloudfront.net/Documentos/631/03929009552/6310392900955205092023100236.pdf","https://dpmzos25m8ivg.cloudfront.net/Documentos/631/03929009552/6310392900955205092023100236.pdf")</f>
        <v>https://dpmzos25m8ivg.cloudfront.net/Documentos/631/03929009552/6310392900955205092023100236.pdf</v>
      </c>
      <c r="F1650" s="5" t="str">
        <f>HYPERLINK("https://dpmzos25m8ivg.cloudfront.net/Documentos/631/03929009552/6310392900955205092023103421.pdf","https://dpmzos25m8ivg.cloudfront.net/Documentos/631/03929009552/6310392900955205092023103421.pdf")</f>
        <v>https://dpmzos25m8ivg.cloudfront.net/Documentos/631/03929009552/6310392900955205092023103421.pdf</v>
      </c>
      <c r="G1650" s="5" t="str">
        <f>HYPERLINK("https://dpmzos25m8ivg.cloudfront.net/Documentos/631/03929009552/6310392900955205092023104019.pdf","https://dpmzos25m8ivg.cloudfront.net/Documentos/631/03929009552/6310392900955205092023104019.pdf")</f>
        <v>https://dpmzos25m8ivg.cloudfront.net/Documentos/631/03929009552/6310392900955205092023104019.pdf</v>
      </c>
      <c r="H1650" s="4" t="s">
        <v>10231</v>
      </c>
    </row>
    <row r="1651" spans="1:8" x14ac:dyDescent="0.25">
      <c r="A1651" s="2" t="s">
        <v>1665</v>
      </c>
      <c r="B1651" s="3"/>
      <c r="C1651" s="3"/>
      <c r="D1651" s="3"/>
      <c r="E1651" s="4" t="str">
        <f>HYPERLINK("https://dpmzos25m8ivg.cloudfront.net/Documentos/631/03929149567/6310392914956705092023215801.pdf","https://dpmzos25m8ivg.cloudfront.net/Documentos/631/03929149567/6310392914956705092023215801.pdf")</f>
        <v>https://dpmzos25m8ivg.cloudfront.net/Documentos/631/03929149567/6310392914956705092023215801.pdf</v>
      </c>
      <c r="F1651" s="5" t="str">
        <f>HYPERLINK("https://dpmzos25m8ivg.cloudfront.net/Documentos/631/03929149567/6310392914956705092023215828.pdf","https://dpmzos25m8ivg.cloudfront.net/Documentos/631/03929149567/6310392914956705092023215828.pdf")</f>
        <v>https://dpmzos25m8ivg.cloudfront.net/Documentos/631/03929149567/6310392914956705092023215828.pdf</v>
      </c>
      <c r="G1651" s="5" t="str">
        <f>HYPERLINK("https://dpmzos25m8ivg.cloudfront.net/Documentos/631/03929149567/6310392914956705092023215849.pdf","https://dpmzos25m8ivg.cloudfront.net/Documentos/631/03929149567/6310392914956705092023215849.pdf")</f>
        <v>https://dpmzos25m8ivg.cloudfront.net/Documentos/631/03929149567/6310392914956705092023215849.pdf</v>
      </c>
      <c r="H1651" s="4" t="s">
        <v>10232</v>
      </c>
    </row>
    <row r="1652" spans="1:8" x14ac:dyDescent="0.25">
      <c r="A1652" s="2" t="s">
        <v>1666</v>
      </c>
      <c r="B1652" s="3"/>
      <c r="C1652" s="3"/>
      <c r="D1652" s="3"/>
      <c r="E1652" s="4" t="str">
        <f>HYPERLINK("https://dpmzos25m8ivg.cloudfront.net/Documentos/631/03934751156/6310393475115614092023124342.jpg","https://dpmzos25m8ivg.cloudfront.net/Documentos/631/03934751156/6310393475115614092023124342.jpg")</f>
        <v>https://dpmzos25m8ivg.cloudfront.net/Documentos/631/03934751156/6310393475115614092023124342.jpg</v>
      </c>
      <c r="F1652" s="5" t="str">
        <f>HYPERLINK("https://dpmzos25m8ivg.cloudfront.net/Documentos/631/03934751156/6310393475115614092023124422.jpg","https://dpmzos25m8ivg.cloudfront.net/Documentos/631/03934751156/6310393475115614092023124422.jpg")</f>
        <v>https://dpmzos25m8ivg.cloudfront.net/Documentos/631/03934751156/6310393475115614092023124422.jpg</v>
      </c>
      <c r="G1652" s="5" t="str">
        <f>HYPERLINK("https://dpmzos25m8ivg.cloudfront.net/Documentos/631/03934751156/6310393475115614092023124452.jpg","https://dpmzos25m8ivg.cloudfront.net/Documentos/631/03934751156/6310393475115614092023124452.jpg")</f>
        <v>https://dpmzos25m8ivg.cloudfront.net/Documentos/631/03934751156/6310393475115614092023124452.jpg</v>
      </c>
      <c r="H1652" s="4" t="s">
        <v>10233</v>
      </c>
    </row>
    <row r="1653" spans="1:8" x14ac:dyDescent="0.25">
      <c r="A1653" s="2" t="s">
        <v>1667</v>
      </c>
      <c r="B1653" s="3"/>
      <c r="C1653" s="3"/>
      <c r="D1653" s="3"/>
      <c r="E1653" s="4" t="str">
        <f>HYPERLINK("https://dpmzos25m8ivg.cloudfront.net/Documentos/631/03937897135/6310393789713507092023130345.pdf","https://dpmzos25m8ivg.cloudfront.net/Documentos/631/03937897135/6310393789713507092023130345.pdf")</f>
        <v>https://dpmzos25m8ivg.cloudfront.net/Documentos/631/03937897135/6310393789713507092023130345.pdf</v>
      </c>
      <c r="F1653" s="5" t="str">
        <f>HYPERLINK("https://dpmzos25m8ivg.cloudfront.net/Documentos/631/03937897135/6310393789713507092023130416.pdf","https://dpmzos25m8ivg.cloudfront.net/Documentos/631/03937897135/6310393789713507092023130416.pdf")</f>
        <v>https://dpmzos25m8ivg.cloudfront.net/Documentos/631/03937897135/6310393789713507092023130416.pdf</v>
      </c>
      <c r="G1653" s="5" t="str">
        <f>HYPERLINK("https://dpmzos25m8ivg.cloudfront.net/Documentos/631/03937897135/6310393789713507092023130437.pdf","https://dpmzos25m8ivg.cloudfront.net/Documentos/631/03937897135/6310393789713507092023130437.pdf")</f>
        <v>https://dpmzos25m8ivg.cloudfront.net/Documentos/631/03937897135/6310393789713507092023130437.pdf</v>
      </c>
      <c r="H1653" s="4" t="s">
        <v>10234</v>
      </c>
    </row>
    <row r="1654" spans="1:8" x14ac:dyDescent="0.25">
      <c r="A1654" s="2" t="s">
        <v>1668</v>
      </c>
      <c r="B1654" s="3" t="s">
        <v>312</v>
      </c>
      <c r="C1654" s="3"/>
      <c r="D1654" s="3"/>
      <c r="E1654" s="4" t="str">
        <f>HYPERLINK("https://dpmzos25m8ivg.cloudfront.net/Documentos/631/03938442425/6310393844242506092023050435.jpg","https://dpmzos25m8ivg.cloudfront.net/Documentos/631/03938442425/6310393844242506092023050435.jpg")</f>
        <v>https://dpmzos25m8ivg.cloudfront.net/Documentos/631/03938442425/6310393844242506092023050435.jpg</v>
      </c>
      <c r="F1654" s="5" t="str">
        <f>HYPERLINK("https://dpmzos25m8ivg.cloudfront.net/Documentos/631/03938442425/6310393844242507092023194127.pdf","https://dpmzos25m8ivg.cloudfront.net/Documentos/631/03938442425/6310393844242507092023194127.pdf")</f>
        <v>https://dpmzos25m8ivg.cloudfront.net/Documentos/631/03938442425/6310393844242507092023194127.pdf</v>
      </c>
      <c r="G1654" s="5" t="str">
        <f>HYPERLINK("https://dpmzos25m8ivg.cloudfront.net/Documentos/631/03938442425/6310393844242507092023194251.jpg","https://dpmzos25m8ivg.cloudfront.net/Documentos/631/03938442425/6310393844242507092023194251.jpg")</f>
        <v>https://dpmzos25m8ivg.cloudfront.net/Documentos/631/03938442425/6310393844242507092023194251.jpg</v>
      </c>
      <c r="H1654" s="4" t="s">
        <v>10235</v>
      </c>
    </row>
    <row r="1655" spans="1:8" x14ac:dyDescent="0.25">
      <c r="A1655" s="2" t="s">
        <v>1669</v>
      </c>
      <c r="B1655" s="3"/>
      <c r="C1655" s="3"/>
      <c r="D1655" s="3"/>
      <c r="E1655" s="4" t="str">
        <f>HYPERLINK("https://dpmzos25m8ivg.cloudfront.net/Documentos/631/03939647527/6310393964752711092023170200.jpg","https://dpmzos25m8ivg.cloudfront.net/Documentos/631/03939647527/6310393964752711092023170200.jpg")</f>
        <v>https://dpmzos25m8ivg.cloudfront.net/Documentos/631/03939647527/6310393964752711092023170200.jpg</v>
      </c>
      <c r="F1655" s="5" t="str">
        <f>HYPERLINK("https://dpmzos25m8ivg.cloudfront.net/Documentos/631/03939647527/6310393964752711092023170220.jpg","https://dpmzos25m8ivg.cloudfront.net/Documentos/631/03939647527/6310393964752711092023170220.jpg")</f>
        <v>https://dpmzos25m8ivg.cloudfront.net/Documentos/631/03939647527/6310393964752711092023170220.jpg</v>
      </c>
      <c r="G1655" s="5" t="str">
        <f>HYPERLINK("https://dpmzos25m8ivg.cloudfront.net/Documentos/631/03939647527/6310393964752711092023170239.jpg","https://dpmzos25m8ivg.cloudfront.net/Documentos/631/03939647527/6310393964752711092023170239.jpg")</f>
        <v>https://dpmzos25m8ivg.cloudfront.net/Documentos/631/03939647527/6310393964752711092023170239.jpg</v>
      </c>
      <c r="H1655" s="4" t="s">
        <v>10236</v>
      </c>
    </row>
    <row r="1656" spans="1:8" x14ac:dyDescent="0.25">
      <c r="A1656" s="2" t="s">
        <v>1670</v>
      </c>
      <c r="B1656" s="3"/>
      <c r="C1656" s="3"/>
      <c r="D1656" s="3"/>
      <c r="E1656" s="4" t="str">
        <f>HYPERLINK("https://dpmzos25m8ivg.cloudfront.net/Documentos/631/03940263060/6310394026306008092023092312.pdf","https://dpmzos25m8ivg.cloudfront.net/Documentos/631/03940263060/6310394026306008092023092312.pdf")</f>
        <v>https://dpmzos25m8ivg.cloudfront.net/Documentos/631/03940263060/6310394026306008092023092312.pdf</v>
      </c>
      <c r="F1656" s="5" t="str">
        <f>HYPERLINK("https://dpmzos25m8ivg.cloudfront.net/Documentos/631/03940263060/6310394026306008092023092346.pdf","https://dpmzos25m8ivg.cloudfront.net/Documentos/631/03940263060/6310394026306008092023092346.pdf")</f>
        <v>https://dpmzos25m8ivg.cloudfront.net/Documentos/631/03940263060/6310394026306008092023092346.pdf</v>
      </c>
      <c r="G1656" s="5" t="str">
        <f>HYPERLINK("https://dpmzos25m8ivg.cloudfront.net/Documentos/631/03940263060/6310394026306008092023092356.pdf","https://dpmzos25m8ivg.cloudfront.net/Documentos/631/03940263060/6310394026306008092023092356.pdf")</f>
        <v>https://dpmzos25m8ivg.cloudfront.net/Documentos/631/03940263060/6310394026306008092023092356.pdf</v>
      </c>
      <c r="H1656" s="4" t="s">
        <v>10237</v>
      </c>
    </row>
    <row r="1657" spans="1:8" x14ac:dyDescent="0.25">
      <c r="A1657" s="2" t="s">
        <v>1671</v>
      </c>
      <c r="B1657" s="3"/>
      <c r="C1657" s="3"/>
      <c r="D1657" s="3"/>
      <c r="E1657" s="4" t="str">
        <f>HYPERLINK("https://dpmzos25m8ivg.cloudfront.net/Documentos/631/03940830160/6310394083016014092023120204.pdf","https://dpmzos25m8ivg.cloudfront.net/Documentos/631/03940830160/6310394083016014092023120204.pdf")</f>
        <v>https://dpmzos25m8ivg.cloudfront.net/Documentos/631/03940830160/6310394083016014092023120204.pdf</v>
      </c>
      <c r="F1657" s="5" t="str">
        <f>HYPERLINK("https://dpmzos25m8ivg.cloudfront.net/Documentos/631/03940830160/6310394083016014092023120237.pdf","https://dpmzos25m8ivg.cloudfront.net/Documentos/631/03940830160/6310394083016014092023120237.pdf")</f>
        <v>https://dpmzos25m8ivg.cloudfront.net/Documentos/631/03940830160/6310394083016014092023120237.pdf</v>
      </c>
      <c r="G1657" s="5" t="str">
        <f>HYPERLINK("https://dpmzos25m8ivg.cloudfront.net/Documentos/631/03940830160/6310394083016014092023120336.pdf","https://dpmzos25m8ivg.cloudfront.net/Documentos/631/03940830160/6310394083016014092023120336.pdf")</f>
        <v>https://dpmzos25m8ivg.cloudfront.net/Documentos/631/03940830160/6310394083016014092023120336.pdf</v>
      </c>
      <c r="H1657" s="4" t="s">
        <v>10238</v>
      </c>
    </row>
    <row r="1658" spans="1:8" x14ac:dyDescent="0.25">
      <c r="A1658" s="2" t="s">
        <v>1672</v>
      </c>
      <c r="B1658" s="3"/>
      <c r="C1658" s="3"/>
      <c r="D1658" s="3"/>
      <c r="E1658" s="4" t="str">
        <f>HYPERLINK("https://dpmzos25m8ivg.cloudfront.net/Documentos/631/03943319407/6310394331940707092023184501.pdf","https://dpmzos25m8ivg.cloudfront.net/Documentos/631/03943319407/6310394331940707092023184501.pdf")</f>
        <v>https://dpmzos25m8ivg.cloudfront.net/Documentos/631/03943319407/6310394331940707092023184501.pdf</v>
      </c>
      <c r="F1658" s="5" t="str">
        <f>HYPERLINK("https://dpmzos25m8ivg.cloudfront.net/Documentos/631/03943319407/6310394331940707092023184536.pdf","https://dpmzos25m8ivg.cloudfront.net/Documentos/631/03943319407/6310394331940707092023184536.pdf")</f>
        <v>https://dpmzos25m8ivg.cloudfront.net/Documentos/631/03943319407/6310394331940707092023184536.pdf</v>
      </c>
      <c r="G1658" s="5" t="str">
        <f>HYPERLINK("https://dpmzos25m8ivg.cloudfront.net/Documentos/631/03943319407/6310394331940707092023184616.pdf","https://dpmzos25m8ivg.cloudfront.net/Documentos/631/03943319407/6310394331940707092023184616.pdf")</f>
        <v>https://dpmzos25m8ivg.cloudfront.net/Documentos/631/03943319407/6310394331940707092023184616.pdf</v>
      </c>
      <c r="H1658" s="4" t="s">
        <v>10239</v>
      </c>
    </row>
    <row r="1659" spans="1:8" x14ac:dyDescent="0.25">
      <c r="A1659" s="2" t="s">
        <v>1673</v>
      </c>
      <c r="B1659" s="3"/>
      <c r="C1659" s="3"/>
      <c r="D1659" s="3"/>
      <c r="E1659" s="4" t="str">
        <f>HYPERLINK("https://dpmzos25m8ivg.cloudfront.net/Documentos/631/03944049209/6310394404920911092023170215.jpeg","https://dpmzos25m8ivg.cloudfront.net/Documentos/631/03944049209/6310394404920911092023170215.jpeg")</f>
        <v>https://dpmzos25m8ivg.cloudfront.net/Documentos/631/03944049209/6310394404920911092023170215.jpeg</v>
      </c>
      <c r="F1659" s="5" t="str">
        <f>HYPERLINK("https://dpmzos25m8ivg.cloudfront.net/Documentos/631/03944049209/6310394404920911092023170222.jpeg","https://dpmzos25m8ivg.cloudfront.net/Documentos/631/03944049209/6310394404920911092023170222.jpeg")</f>
        <v>https://dpmzos25m8ivg.cloudfront.net/Documentos/631/03944049209/6310394404920911092023170222.jpeg</v>
      </c>
      <c r="G1659" s="5" t="str">
        <f>HYPERLINK("https://dpmzos25m8ivg.cloudfront.net/Documentos/631/03944049209/6310394404920911092023170231.jpeg","https://dpmzos25m8ivg.cloudfront.net/Documentos/631/03944049209/6310394404920911092023170231.jpeg")</f>
        <v>https://dpmzos25m8ivg.cloudfront.net/Documentos/631/03944049209/6310394404920911092023170231.jpeg</v>
      </c>
      <c r="H1659" s="4" t="s">
        <v>10240</v>
      </c>
    </row>
    <row r="1660" spans="1:8" x14ac:dyDescent="0.25">
      <c r="A1660" s="2" t="s">
        <v>1674</v>
      </c>
      <c r="B1660" s="3"/>
      <c r="C1660" s="3"/>
      <c r="D1660" s="3"/>
      <c r="E1660" s="4" t="str">
        <f>HYPERLINK("https://dpmzos25m8ivg.cloudfront.net/Documentos/631/03944382218/6310394438221811092023035528.pdf","https://dpmzos25m8ivg.cloudfront.net/Documentos/631/03944382218/6310394438221811092023035528.pdf")</f>
        <v>https://dpmzos25m8ivg.cloudfront.net/Documentos/631/03944382218/6310394438221811092023035528.pdf</v>
      </c>
      <c r="F1660" s="5" t="str">
        <f>HYPERLINK("https://dpmzos25m8ivg.cloudfront.net/Documentos/631/03944382218/6310394438221811092023035748.pdf","https://dpmzos25m8ivg.cloudfront.net/Documentos/631/03944382218/6310394438221811092023035748.pdf")</f>
        <v>https://dpmzos25m8ivg.cloudfront.net/Documentos/631/03944382218/6310394438221811092023035748.pdf</v>
      </c>
      <c r="G1660" s="5" t="str">
        <f>HYPERLINK("https://dpmzos25m8ivg.cloudfront.net/Documentos/631/03944382218/6310394438221811092023035822.pdf","https://dpmzos25m8ivg.cloudfront.net/Documentos/631/03944382218/6310394438221811092023035822.pdf")</f>
        <v>https://dpmzos25m8ivg.cloudfront.net/Documentos/631/03944382218/6310394438221811092023035822.pdf</v>
      </c>
      <c r="H1660" s="4" t="s">
        <v>10241</v>
      </c>
    </row>
    <row r="1661" spans="1:8" x14ac:dyDescent="0.25">
      <c r="A1661" s="2" t="s">
        <v>1675</v>
      </c>
      <c r="B1661" s="3"/>
      <c r="C1661" s="3"/>
      <c r="D1661" s="3"/>
      <c r="E1661" s="4" t="str">
        <f>HYPERLINK("https://dpmzos25m8ivg.cloudfront.net/Documentos/631/03945663199/6310394566319905092023163939.pdf","https://dpmzos25m8ivg.cloudfront.net/Documentos/631/03945663199/6310394566319905092023163939.pdf")</f>
        <v>https://dpmzos25m8ivg.cloudfront.net/Documentos/631/03945663199/6310394566319905092023163939.pdf</v>
      </c>
      <c r="F1661" s="5" t="str">
        <f>HYPERLINK("https://dpmzos25m8ivg.cloudfront.net/Documentos/631/03945663199/6310394566319905092023163954.pdf","https://dpmzos25m8ivg.cloudfront.net/Documentos/631/03945663199/6310394566319905092023163954.pdf")</f>
        <v>https://dpmzos25m8ivg.cloudfront.net/Documentos/631/03945663199/6310394566319905092023163954.pdf</v>
      </c>
      <c r="G1661" s="5" t="str">
        <f>HYPERLINK("https://dpmzos25m8ivg.cloudfront.net/Documentos/631/03945663199/6310394566319905092023164016.pdf","https://dpmzos25m8ivg.cloudfront.net/Documentos/631/03945663199/6310394566319905092023164016.pdf")</f>
        <v>https://dpmzos25m8ivg.cloudfront.net/Documentos/631/03945663199/6310394566319905092023164016.pdf</v>
      </c>
      <c r="H1661" s="4" t="s">
        <v>10242</v>
      </c>
    </row>
    <row r="1662" spans="1:8" x14ac:dyDescent="0.25">
      <c r="A1662" s="2" t="s">
        <v>1676</v>
      </c>
      <c r="B1662" s="3"/>
      <c r="C1662" s="3"/>
      <c r="D1662" s="3"/>
      <c r="E1662" s="4" t="str">
        <f>HYPERLINK("https://dpmzos25m8ivg.cloudfront.net/Documentos/631/03946735142/6310394673514207092023110422.jpeg","https://dpmzos25m8ivg.cloudfront.net/Documentos/631/03946735142/6310394673514207092023110422.jpeg")</f>
        <v>https://dpmzos25m8ivg.cloudfront.net/Documentos/631/03946735142/6310394673514207092023110422.jpeg</v>
      </c>
      <c r="F1662" s="5" t="str">
        <f>HYPERLINK("https://dpmzos25m8ivg.cloudfront.net/Documentos/631/03946735142/6310394673514207092023110431.jpeg","https://dpmzos25m8ivg.cloudfront.net/Documentos/631/03946735142/6310394673514207092023110431.jpeg")</f>
        <v>https://dpmzos25m8ivg.cloudfront.net/Documentos/631/03946735142/6310394673514207092023110431.jpeg</v>
      </c>
      <c r="G1662" s="5" t="str">
        <f>HYPERLINK("https://dpmzos25m8ivg.cloudfront.net/Documentos/631/03946735142/6310394673514207092023110439.jpeg","https://dpmzos25m8ivg.cloudfront.net/Documentos/631/03946735142/6310394673514207092023110439.jpeg")</f>
        <v>https://dpmzos25m8ivg.cloudfront.net/Documentos/631/03946735142/6310394673514207092023110439.jpeg</v>
      </c>
      <c r="H1662" s="4" t="s">
        <v>10243</v>
      </c>
    </row>
    <row r="1663" spans="1:8" x14ac:dyDescent="0.25">
      <c r="A1663" s="2" t="s">
        <v>1677</v>
      </c>
      <c r="B1663" s="3"/>
      <c r="C1663" s="3"/>
      <c r="D1663" s="3"/>
      <c r="E1663" s="4" t="str">
        <f>HYPERLINK("https://dpmzos25m8ivg.cloudfront.net/Documentos/631/03947753179/6310394775317911092023125714.pdf","https://dpmzos25m8ivg.cloudfront.net/Documentos/631/03947753179/6310394775317911092023125714.pdf")</f>
        <v>https://dpmzos25m8ivg.cloudfront.net/Documentos/631/03947753179/6310394775317911092023125714.pdf</v>
      </c>
      <c r="F1663" s="5" t="str">
        <f>HYPERLINK("https://dpmzos25m8ivg.cloudfront.net/Documentos/631/03947753179/6310394775317911092023125728.pdf","https://dpmzos25m8ivg.cloudfront.net/Documentos/631/03947753179/6310394775317911092023125728.pdf")</f>
        <v>https://dpmzos25m8ivg.cloudfront.net/Documentos/631/03947753179/6310394775317911092023125728.pdf</v>
      </c>
      <c r="G1663" s="5" t="str">
        <f>HYPERLINK("https://dpmzos25m8ivg.cloudfront.net/Documentos/631/03947753179/6310394775317911092023125739.pdf","https://dpmzos25m8ivg.cloudfront.net/Documentos/631/03947753179/6310394775317911092023125739.pdf")</f>
        <v>https://dpmzos25m8ivg.cloudfront.net/Documentos/631/03947753179/6310394775317911092023125739.pdf</v>
      </c>
      <c r="H1663" s="4" t="s">
        <v>10244</v>
      </c>
    </row>
    <row r="1664" spans="1:8" x14ac:dyDescent="0.25">
      <c r="A1664" s="2" t="s">
        <v>1678</v>
      </c>
      <c r="B1664" s="3"/>
      <c r="C1664" s="3"/>
      <c r="D1664" s="3"/>
      <c r="E1664" s="4" t="str">
        <f>HYPERLINK("https://dpmzos25m8ivg.cloudfront.net/Documentos/631/03948601607/6310394860160707092023214148.pdf","https://dpmzos25m8ivg.cloudfront.net/Documentos/631/03948601607/6310394860160707092023214148.pdf")</f>
        <v>https://dpmzos25m8ivg.cloudfront.net/Documentos/631/03948601607/6310394860160707092023214148.pdf</v>
      </c>
      <c r="F1664" s="5" t="str">
        <f>HYPERLINK("https://dpmzos25m8ivg.cloudfront.net/Documentos/631/03948601607/6310394860160707092023214207.pdf","https://dpmzos25m8ivg.cloudfront.net/Documentos/631/03948601607/6310394860160707092023214207.pdf")</f>
        <v>https://dpmzos25m8ivg.cloudfront.net/Documentos/631/03948601607/6310394860160707092023214207.pdf</v>
      </c>
      <c r="G1664" s="5" t="str">
        <f>HYPERLINK("https://dpmzos25m8ivg.cloudfront.net/Documentos/631/03948601607/6310394860160707092023214227.pdf","https://dpmzos25m8ivg.cloudfront.net/Documentos/631/03948601607/6310394860160707092023214227.pdf")</f>
        <v>https://dpmzos25m8ivg.cloudfront.net/Documentos/631/03948601607/6310394860160707092023214227.pdf</v>
      </c>
      <c r="H1664" s="4" t="s">
        <v>10245</v>
      </c>
    </row>
    <row r="1665" spans="1:8" x14ac:dyDescent="0.25">
      <c r="A1665" s="2" t="s">
        <v>1679</v>
      </c>
      <c r="B1665" s="3"/>
      <c r="C1665" s="3"/>
      <c r="D1665" s="3"/>
      <c r="E1665" s="4" t="str">
        <f>HYPERLINK("https://dpmzos25m8ivg.cloudfront.net/Documentos/631/03950134107/6310395013410711092023164431.jpeg","https://dpmzos25m8ivg.cloudfront.net/Documentos/631/03950134107/6310395013410711092023164431.jpeg")</f>
        <v>https://dpmzos25m8ivg.cloudfront.net/Documentos/631/03950134107/6310395013410711092023164431.jpeg</v>
      </c>
      <c r="F1665" s="5" t="str">
        <f>HYPERLINK("https://dpmzos25m8ivg.cloudfront.net/Documentos/631/03950134107/6310395013410711092023164509.jpeg","https://dpmzos25m8ivg.cloudfront.net/Documentos/631/03950134107/6310395013410711092023164509.jpeg")</f>
        <v>https://dpmzos25m8ivg.cloudfront.net/Documentos/631/03950134107/6310395013410711092023164509.jpeg</v>
      </c>
      <c r="G1665" s="5" t="str">
        <f>HYPERLINK("https://dpmzos25m8ivg.cloudfront.net/Documentos/631/03950134107/6310395013410711092023164614.jpeg","https://dpmzos25m8ivg.cloudfront.net/Documentos/631/03950134107/6310395013410711092023164614.jpeg")</f>
        <v>https://dpmzos25m8ivg.cloudfront.net/Documentos/631/03950134107/6310395013410711092023164614.jpeg</v>
      </c>
      <c r="H1665" s="4" t="s">
        <v>10246</v>
      </c>
    </row>
    <row r="1666" spans="1:8" x14ac:dyDescent="0.25">
      <c r="A1666" s="2" t="s">
        <v>1680</v>
      </c>
      <c r="B1666" s="3"/>
      <c r="C1666" s="3"/>
      <c r="D1666" s="3"/>
      <c r="E1666" s="4" t="str">
        <f>HYPERLINK("https://dpmzos25m8ivg.cloudfront.net/Documentos/631/03951508337/6310395150833711092023160021.pdf","https://dpmzos25m8ivg.cloudfront.net/Documentos/631/03951508337/6310395150833711092023160021.pdf")</f>
        <v>https://dpmzos25m8ivg.cloudfront.net/Documentos/631/03951508337/6310395150833711092023160021.pdf</v>
      </c>
      <c r="F1666" s="5" t="str">
        <f>HYPERLINK("https://dpmzos25m8ivg.cloudfront.net/Documentos/631/03951508337/6310395150833711092023160030.pdf","https://dpmzos25m8ivg.cloudfront.net/Documentos/631/03951508337/6310395150833711092023160030.pdf")</f>
        <v>https://dpmzos25m8ivg.cloudfront.net/Documentos/631/03951508337/6310395150833711092023160030.pdf</v>
      </c>
      <c r="G1666" s="5" t="str">
        <f>HYPERLINK("https://dpmzos25m8ivg.cloudfront.net/Documentos/631/03951508337/6310395150833711092023160039.pdf","https://dpmzos25m8ivg.cloudfront.net/Documentos/631/03951508337/6310395150833711092023160039.pdf")</f>
        <v>https://dpmzos25m8ivg.cloudfront.net/Documentos/631/03951508337/6310395150833711092023160039.pdf</v>
      </c>
      <c r="H1666" s="4" t="s">
        <v>10247</v>
      </c>
    </row>
    <row r="1667" spans="1:8" x14ac:dyDescent="0.25">
      <c r="A1667" s="2" t="s">
        <v>1681</v>
      </c>
      <c r="B1667" s="3"/>
      <c r="C1667" s="3"/>
      <c r="D1667" s="3"/>
      <c r="E1667" s="4" t="str">
        <f>HYPERLINK("https://dpmzos25m8ivg.cloudfront.net/Documentos/631/03951850418/6310395185041811092023152009.pdf","https://dpmzos25m8ivg.cloudfront.net/Documentos/631/03951850418/6310395185041811092023152009.pdf")</f>
        <v>https://dpmzos25m8ivg.cloudfront.net/Documentos/631/03951850418/6310395185041811092023152009.pdf</v>
      </c>
      <c r="F1667" s="5" t="str">
        <f>HYPERLINK("https://dpmzos25m8ivg.cloudfront.net/Documentos/631/03951850418/6310395185041811092023152029.pdf","https://dpmzos25m8ivg.cloudfront.net/Documentos/631/03951850418/6310395185041811092023152029.pdf")</f>
        <v>https://dpmzos25m8ivg.cloudfront.net/Documentos/631/03951850418/6310395185041811092023152029.pdf</v>
      </c>
      <c r="G1667" s="5" t="str">
        <f>HYPERLINK("https://dpmzos25m8ivg.cloudfront.net/Documentos/631/03951850418/6310395185041811092023153756.pdf","https://dpmzos25m8ivg.cloudfront.net/Documentos/631/03951850418/6310395185041811092023153756.pdf")</f>
        <v>https://dpmzos25m8ivg.cloudfront.net/Documentos/631/03951850418/6310395185041811092023153756.pdf</v>
      </c>
      <c r="H1667" s="4" t="s">
        <v>10248</v>
      </c>
    </row>
    <row r="1668" spans="1:8" x14ac:dyDescent="0.25">
      <c r="A1668" s="2" t="s">
        <v>1682</v>
      </c>
      <c r="B1668" s="3"/>
      <c r="C1668" s="3"/>
      <c r="D1668" s="3"/>
      <c r="E1668" s="4" t="str">
        <f>HYPERLINK("https://dpmzos25m8ivg.cloudfront.net/Documentos/631/03954530384/6310395453038414092023155510.pdf","https://dpmzos25m8ivg.cloudfront.net/Documentos/631/03954530384/6310395453038414092023155510.pdf")</f>
        <v>https://dpmzos25m8ivg.cloudfront.net/Documentos/631/03954530384/6310395453038414092023155510.pdf</v>
      </c>
      <c r="F1668" s="5" t="str">
        <f>HYPERLINK("https://dpmzos25m8ivg.cloudfront.net/Documentos/631/03954530384/6310395453038414092023155811.pdf","https://dpmzos25m8ivg.cloudfront.net/Documentos/631/03954530384/6310395453038414092023155811.pdf")</f>
        <v>https://dpmzos25m8ivg.cloudfront.net/Documentos/631/03954530384/6310395453038414092023155811.pdf</v>
      </c>
      <c r="G1668" s="5" t="str">
        <f>HYPERLINK("https://dpmzos25m8ivg.cloudfront.net/Documentos/631/03954530384/6310395453038414092023155823.pdf","https://dpmzos25m8ivg.cloudfront.net/Documentos/631/03954530384/6310395453038414092023155823.pdf")</f>
        <v>https://dpmzos25m8ivg.cloudfront.net/Documentos/631/03954530384/6310395453038414092023155823.pdf</v>
      </c>
      <c r="H1668" s="4" t="s">
        <v>10249</v>
      </c>
    </row>
    <row r="1669" spans="1:8" x14ac:dyDescent="0.25">
      <c r="A1669" s="2" t="s">
        <v>1683</v>
      </c>
      <c r="B1669" s="3" t="s">
        <v>90</v>
      </c>
      <c r="C1669" s="3"/>
      <c r="D1669" s="3"/>
      <c r="E1669" s="4" t="str">
        <f>HYPERLINK("https://dpmzos25m8ivg.cloudfront.net/Documentos/631/03960260105/6310396026010511092023100548.pdf","https://dpmzos25m8ivg.cloudfront.net/Documentos/631/03960260105/6310396026010511092023100548.pdf")</f>
        <v>https://dpmzos25m8ivg.cloudfront.net/Documentos/631/03960260105/6310396026010511092023100548.pdf</v>
      </c>
      <c r="F1669" s="5" t="str">
        <f>HYPERLINK("https://dpmzos25m8ivg.cloudfront.net/Documentos/631/03960260105/6310396026010511092023100611.pdf","https://dpmzos25m8ivg.cloudfront.net/Documentos/631/03960260105/6310396026010511092023100611.pdf")</f>
        <v>https://dpmzos25m8ivg.cloudfront.net/Documentos/631/03960260105/6310396026010511092023100611.pdf</v>
      </c>
      <c r="G1669" s="5" t="str">
        <f>HYPERLINK("https://dpmzos25m8ivg.cloudfront.net/Documentos/631/03960260105/6310396026010511092023100620.pdf","https://dpmzos25m8ivg.cloudfront.net/Documentos/631/03960260105/6310396026010511092023100620.pdf")</f>
        <v>https://dpmzos25m8ivg.cloudfront.net/Documentos/631/03960260105/6310396026010511092023100620.pdf</v>
      </c>
      <c r="H1669" s="4" t="s">
        <v>10250</v>
      </c>
    </row>
    <row r="1670" spans="1:8" x14ac:dyDescent="0.25">
      <c r="A1670" s="2" t="s">
        <v>1684</v>
      </c>
      <c r="B1670" s="3"/>
      <c r="C1670" s="3"/>
      <c r="D1670" s="3"/>
      <c r="E1670" s="4" t="str">
        <f>HYPERLINK("https://dpmzos25m8ivg.cloudfront.net/Documentos/631/03965930540/6310396593054011092023144734.pdf","https://dpmzos25m8ivg.cloudfront.net/Documentos/631/03965930540/6310396593054011092023144734.pdf")</f>
        <v>https://dpmzos25m8ivg.cloudfront.net/Documentos/631/03965930540/6310396593054011092023144734.pdf</v>
      </c>
      <c r="F1670" s="5" t="str">
        <f>HYPERLINK("https://dpmzos25m8ivg.cloudfront.net/Documentos/631/03965930540/6310396593054011092023144759.pdf","https://dpmzos25m8ivg.cloudfront.net/Documentos/631/03965930540/6310396593054011092023144759.pdf")</f>
        <v>https://dpmzos25m8ivg.cloudfront.net/Documentos/631/03965930540/6310396593054011092023144759.pdf</v>
      </c>
      <c r="G1670" s="5" t="str">
        <f>HYPERLINK("https://dpmzos25m8ivg.cloudfront.net/Documentos/631/03965930540/6310396593054011092023144828.pdf","https://dpmzos25m8ivg.cloudfront.net/Documentos/631/03965930540/6310396593054011092023144828.pdf")</f>
        <v>https://dpmzos25m8ivg.cloudfront.net/Documentos/631/03965930540/6310396593054011092023144828.pdf</v>
      </c>
      <c r="H1670" s="4" t="s">
        <v>10251</v>
      </c>
    </row>
    <row r="1671" spans="1:8" x14ac:dyDescent="0.25">
      <c r="A1671" s="2" t="s">
        <v>1685</v>
      </c>
      <c r="B1671" s="3"/>
      <c r="C1671" s="3"/>
      <c r="D1671" s="3"/>
      <c r="E1671" s="4" t="str">
        <f>HYPERLINK("https://dpmzos25m8ivg.cloudfront.net/Documentos/631/03966548194/6310396654819413092023213603.jpg","https://dpmzos25m8ivg.cloudfront.net/Documentos/631/03966548194/6310396654819413092023213603.jpg")</f>
        <v>https://dpmzos25m8ivg.cloudfront.net/Documentos/631/03966548194/6310396654819413092023213603.jpg</v>
      </c>
      <c r="F1671" s="5" t="str">
        <f>HYPERLINK("https://dpmzos25m8ivg.cloudfront.net/Documentos/631/03966548194/6310396654819413092023213616.jpg","https://dpmzos25m8ivg.cloudfront.net/Documentos/631/03966548194/6310396654819413092023213616.jpg")</f>
        <v>https://dpmzos25m8ivg.cloudfront.net/Documentos/631/03966548194/6310396654819413092023213616.jpg</v>
      </c>
      <c r="G1671" s="5" t="str">
        <f>HYPERLINK("https://dpmzos25m8ivg.cloudfront.net/Documentos/631/03966548194/6310396654819413092023213633.jpg","https://dpmzos25m8ivg.cloudfront.net/Documentos/631/03966548194/6310396654819413092023213633.jpg")</f>
        <v>https://dpmzos25m8ivg.cloudfront.net/Documentos/631/03966548194/6310396654819413092023213633.jpg</v>
      </c>
      <c r="H1671" s="4" t="s">
        <v>10252</v>
      </c>
    </row>
    <row r="1672" spans="1:8" x14ac:dyDescent="0.25">
      <c r="A1672" s="2" t="s">
        <v>1686</v>
      </c>
      <c r="B1672" s="3"/>
      <c r="C1672" s="3"/>
      <c r="D1672" s="3"/>
      <c r="E1672" s="4" t="str">
        <f>HYPERLINK("https://dpmzos25m8ivg.cloudfront.net/Documentos/631/03966800110/6310396680011011092023111602.jpeg","https://dpmzos25m8ivg.cloudfront.net/Documentos/631/03966800110/6310396680011011092023111602.jpeg")</f>
        <v>https://dpmzos25m8ivg.cloudfront.net/Documentos/631/03966800110/6310396680011011092023111602.jpeg</v>
      </c>
      <c r="F1672" s="5" t="str">
        <f>HYPERLINK("https://dpmzos25m8ivg.cloudfront.net/Documentos/631/03966800110/6310396680011011092023111614.jpeg","https://dpmzos25m8ivg.cloudfront.net/Documentos/631/03966800110/6310396680011011092023111614.jpeg")</f>
        <v>https://dpmzos25m8ivg.cloudfront.net/Documentos/631/03966800110/6310396680011011092023111614.jpeg</v>
      </c>
      <c r="G1672" s="5" t="str">
        <f>HYPERLINK("https://dpmzos25m8ivg.cloudfront.net/Documentos/631/03966800110/6310396680011011092023111629.jpeg","https://dpmzos25m8ivg.cloudfront.net/Documentos/631/03966800110/6310396680011011092023111629.jpeg")</f>
        <v>https://dpmzos25m8ivg.cloudfront.net/Documentos/631/03966800110/6310396680011011092023111629.jpeg</v>
      </c>
      <c r="H1672" s="4" t="s">
        <v>10253</v>
      </c>
    </row>
    <row r="1673" spans="1:8" x14ac:dyDescent="0.25">
      <c r="A1673" s="2" t="s">
        <v>1687</v>
      </c>
      <c r="B1673" s="3"/>
      <c r="C1673" s="3"/>
      <c r="D1673" s="3"/>
      <c r="E1673" s="4" t="str">
        <f>HYPERLINK("https://dpmzos25m8ivg.cloudfront.net/Documentos/631/03969026261/6310396902626111092023161828.pdf","https://dpmzos25m8ivg.cloudfront.net/Documentos/631/03969026261/6310396902626111092023161828.pdf")</f>
        <v>https://dpmzos25m8ivg.cloudfront.net/Documentos/631/03969026261/6310396902626111092023161828.pdf</v>
      </c>
      <c r="F1673" s="5" t="str">
        <f>HYPERLINK("https://dpmzos25m8ivg.cloudfront.net/Documentos/631/03969026261/6310396902626111092023161849.pdf","https://dpmzos25m8ivg.cloudfront.net/Documentos/631/03969026261/6310396902626111092023161849.pdf")</f>
        <v>https://dpmzos25m8ivg.cloudfront.net/Documentos/631/03969026261/6310396902626111092023161849.pdf</v>
      </c>
      <c r="G1673" s="5" t="str">
        <f>HYPERLINK("https://dpmzos25m8ivg.cloudfront.net/Documentos/631/03969026261/6310396902626111092023161900.pdf","https://dpmzos25m8ivg.cloudfront.net/Documentos/631/03969026261/6310396902626111092023161900.pdf")</f>
        <v>https://dpmzos25m8ivg.cloudfront.net/Documentos/631/03969026261/6310396902626111092023161900.pdf</v>
      </c>
      <c r="H1673" s="4" t="s">
        <v>10254</v>
      </c>
    </row>
    <row r="1674" spans="1:8" x14ac:dyDescent="0.25">
      <c r="A1674" s="2" t="s">
        <v>1688</v>
      </c>
      <c r="B1674" s="3"/>
      <c r="C1674" s="3"/>
      <c r="D1674" s="3"/>
      <c r="E1674" s="4" t="str">
        <f>HYPERLINK("https://dpmzos25m8ivg.cloudfront.net/Documentos/631/03969092485/6310396909248505092023154609.pdf","https://dpmzos25m8ivg.cloudfront.net/Documentos/631/03969092485/6310396909248505092023154609.pdf")</f>
        <v>https://dpmzos25m8ivg.cloudfront.net/Documentos/631/03969092485/6310396909248505092023154609.pdf</v>
      </c>
      <c r="F1674" s="5" t="str">
        <f>HYPERLINK("https://dpmzos25m8ivg.cloudfront.net/Documentos/631/03969092485/6310396909248505092023154658.pdf","https://dpmzos25m8ivg.cloudfront.net/Documentos/631/03969092485/6310396909248505092023154658.pdf")</f>
        <v>https://dpmzos25m8ivg.cloudfront.net/Documentos/631/03969092485/6310396909248505092023154658.pdf</v>
      </c>
      <c r="G1674" s="5" t="str">
        <f>HYPERLINK("https://dpmzos25m8ivg.cloudfront.net/Documentos/631/03969092485/6310396909248505092023172333.pdf","https://dpmzos25m8ivg.cloudfront.net/Documentos/631/03969092485/6310396909248505092023172333.pdf")</f>
        <v>https://dpmzos25m8ivg.cloudfront.net/Documentos/631/03969092485/6310396909248505092023172333.pdf</v>
      </c>
      <c r="H1674" s="4" t="s">
        <v>10255</v>
      </c>
    </row>
    <row r="1675" spans="1:8" x14ac:dyDescent="0.25">
      <c r="A1675" s="2" t="s">
        <v>1689</v>
      </c>
      <c r="B1675" s="3"/>
      <c r="C1675" s="3"/>
      <c r="D1675" s="3"/>
      <c r="E1675" s="4" t="str">
        <f>HYPERLINK("https://dpmzos25m8ivg.cloudfront.net/Documentos/631/03971030696/6310397103069607092023085320.pdf","https://dpmzos25m8ivg.cloudfront.net/Documentos/631/03971030696/6310397103069607092023085320.pdf")</f>
        <v>https://dpmzos25m8ivg.cloudfront.net/Documentos/631/03971030696/6310397103069607092023085320.pdf</v>
      </c>
      <c r="F1675" s="5" t="str">
        <f>HYPERLINK("https://dpmzos25m8ivg.cloudfront.net/Documentos/631/03971030696/6310397103069607092023085345.pdf","https://dpmzos25m8ivg.cloudfront.net/Documentos/631/03971030696/6310397103069607092023085345.pdf")</f>
        <v>https://dpmzos25m8ivg.cloudfront.net/Documentos/631/03971030696/6310397103069607092023085345.pdf</v>
      </c>
      <c r="G1675" s="5" t="str">
        <f>HYPERLINK("https://dpmzos25m8ivg.cloudfront.net/Documentos/631/03971030696/6310397103069607092023085351.pdf","https://dpmzos25m8ivg.cloudfront.net/Documentos/631/03971030696/6310397103069607092023085351.pdf")</f>
        <v>https://dpmzos25m8ivg.cloudfront.net/Documentos/631/03971030696/6310397103069607092023085351.pdf</v>
      </c>
      <c r="H1675" s="4" t="s">
        <v>10256</v>
      </c>
    </row>
    <row r="1676" spans="1:8" x14ac:dyDescent="0.25">
      <c r="A1676" s="2" t="s">
        <v>1690</v>
      </c>
      <c r="B1676" s="3"/>
      <c r="C1676" s="3"/>
      <c r="D1676" s="3"/>
      <c r="E1676" s="4" t="str">
        <f>HYPERLINK("https://dpmzos25m8ivg.cloudfront.net/Documentos/631/03971100066/6310397110006606092023170457.pdf","https://dpmzos25m8ivg.cloudfront.net/Documentos/631/03971100066/6310397110006606092023170457.pdf")</f>
        <v>https://dpmzos25m8ivg.cloudfront.net/Documentos/631/03971100066/6310397110006606092023170457.pdf</v>
      </c>
      <c r="F1676" s="5" t="str">
        <f>HYPERLINK("https://dpmzos25m8ivg.cloudfront.net/Documentos/631/03971100066/6310397110006606092023170505.pdf","https://dpmzos25m8ivg.cloudfront.net/Documentos/631/03971100066/6310397110006606092023170505.pdf")</f>
        <v>https://dpmzos25m8ivg.cloudfront.net/Documentos/631/03971100066/6310397110006606092023170505.pdf</v>
      </c>
      <c r="G1676" s="5" t="str">
        <f>HYPERLINK("https://dpmzos25m8ivg.cloudfront.net/Documentos/631/03971100066/6310397110006606092023170512.pdf","https://dpmzos25m8ivg.cloudfront.net/Documentos/631/03971100066/6310397110006606092023170512.pdf")</f>
        <v>https://dpmzos25m8ivg.cloudfront.net/Documentos/631/03971100066/6310397110006606092023170512.pdf</v>
      </c>
      <c r="H1676" s="4" t="s">
        <v>10257</v>
      </c>
    </row>
    <row r="1677" spans="1:8" x14ac:dyDescent="0.25">
      <c r="A1677" s="2" t="s">
        <v>1691</v>
      </c>
      <c r="B1677" s="3"/>
      <c r="C1677" s="3"/>
      <c r="D1677" s="3"/>
      <c r="E1677" s="4" t="str">
        <f>HYPERLINK("https://dpmzos25m8ivg.cloudfront.net/Documentos/631/03972644027/6310397264402710092023210728.pdf","https://dpmzos25m8ivg.cloudfront.net/Documentos/631/03972644027/6310397264402710092023210728.pdf")</f>
        <v>https://dpmzos25m8ivg.cloudfront.net/Documentos/631/03972644027/6310397264402710092023210728.pdf</v>
      </c>
      <c r="F1677" s="5" t="str">
        <f>HYPERLINK("https://dpmzos25m8ivg.cloudfront.net/Documentos/631/03972644027/6310397264402710092023210814.pdf","https://dpmzos25m8ivg.cloudfront.net/Documentos/631/03972644027/6310397264402710092023210814.pdf")</f>
        <v>https://dpmzos25m8ivg.cloudfront.net/Documentos/631/03972644027/6310397264402710092023210814.pdf</v>
      </c>
      <c r="G1677" s="5" t="str">
        <f>HYPERLINK("https://dpmzos25m8ivg.cloudfront.net/Documentos/631/03972644027/6310397264402710092023211148.pdf","https://dpmzos25m8ivg.cloudfront.net/Documentos/631/03972644027/6310397264402710092023211148.pdf")</f>
        <v>https://dpmzos25m8ivg.cloudfront.net/Documentos/631/03972644027/6310397264402710092023211148.pdf</v>
      </c>
      <c r="H1677" s="4" t="s">
        <v>10258</v>
      </c>
    </row>
    <row r="1678" spans="1:8" x14ac:dyDescent="0.25">
      <c r="A1678" s="2" t="s">
        <v>1692</v>
      </c>
      <c r="B1678" s="3"/>
      <c r="C1678" s="3"/>
      <c r="D1678" s="3"/>
      <c r="E1678" s="4" t="str">
        <f>HYPERLINK("https://dpmzos25m8ivg.cloudfront.net/Documentos/631/03972677383/6310397267738305092023202242.pdf","https://dpmzos25m8ivg.cloudfront.net/Documentos/631/03972677383/6310397267738305092023202242.pdf")</f>
        <v>https://dpmzos25m8ivg.cloudfront.net/Documentos/631/03972677383/6310397267738305092023202242.pdf</v>
      </c>
      <c r="F1678" s="5" t="str">
        <f>HYPERLINK("https://dpmzos25m8ivg.cloudfront.net/Documentos/631/03972677383/6310397267738305092023202252.pdf","https://dpmzos25m8ivg.cloudfront.net/Documentos/631/03972677383/6310397267738305092023202252.pdf")</f>
        <v>https://dpmzos25m8ivg.cloudfront.net/Documentos/631/03972677383/6310397267738305092023202252.pdf</v>
      </c>
      <c r="G1678" s="5" t="str">
        <f>HYPERLINK("https://dpmzos25m8ivg.cloudfront.net/Documentos/631/03972677383/6310397267738305092023202301.pdf","https://dpmzos25m8ivg.cloudfront.net/Documentos/631/03972677383/6310397267738305092023202301.pdf")</f>
        <v>https://dpmzos25m8ivg.cloudfront.net/Documentos/631/03972677383/6310397267738305092023202301.pdf</v>
      </c>
      <c r="H1678" s="4" t="s">
        <v>10259</v>
      </c>
    </row>
    <row r="1679" spans="1:8" x14ac:dyDescent="0.25">
      <c r="A1679" s="2" t="s">
        <v>1693</v>
      </c>
      <c r="B1679" s="3"/>
      <c r="C1679" s="3"/>
      <c r="D1679" s="3"/>
      <c r="E1679" s="4" t="str">
        <f>HYPERLINK("https://dpmzos25m8ivg.cloudfront.net/Documentos/631/03974547169/6310397454716911092023105737.jpeg","https://dpmzos25m8ivg.cloudfront.net/Documentos/631/03974547169/6310397454716911092023105737.jpeg")</f>
        <v>https://dpmzos25m8ivg.cloudfront.net/Documentos/631/03974547169/6310397454716911092023105737.jpeg</v>
      </c>
      <c r="F1679" s="5" t="str">
        <f>HYPERLINK("https://dpmzos25m8ivg.cloudfront.net/Documentos/631/03974547169/6310397454716911092023105753.jpeg","https://dpmzos25m8ivg.cloudfront.net/Documentos/631/03974547169/6310397454716911092023105753.jpeg")</f>
        <v>https://dpmzos25m8ivg.cloudfront.net/Documentos/631/03974547169/6310397454716911092023105753.jpeg</v>
      </c>
      <c r="G1679" s="5" t="str">
        <f>HYPERLINK("https://dpmzos25m8ivg.cloudfront.net/Documentos/631/03974547169/6310397454716911092023105809.jpeg","https://dpmzos25m8ivg.cloudfront.net/Documentos/631/03974547169/6310397454716911092023105809.jpeg")</f>
        <v>https://dpmzos25m8ivg.cloudfront.net/Documentos/631/03974547169/6310397454716911092023105809.jpeg</v>
      </c>
      <c r="H1679" s="4" t="s">
        <v>10260</v>
      </c>
    </row>
    <row r="1680" spans="1:8" x14ac:dyDescent="0.25">
      <c r="A1680" s="2" t="s">
        <v>1694</v>
      </c>
      <c r="B1680" s="3"/>
      <c r="C1680" s="3"/>
      <c r="D1680" s="3"/>
      <c r="E1680" s="4" t="str">
        <f>HYPERLINK("https://dpmzos25m8ivg.cloudfront.net/Documentos/631/03975409657/6310397540965710092023224103.pdf","https://dpmzos25m8ivg.cloudfront.net/Documentos/631/03975409657/6310397540965710092023224103.pdf")</f>
        <v>https://dpmzos25m8ivg.cloudfront.net/Documentos/631/03975409657/6310397540965710092023224103.pdf</v>
      </c>
      <c r="F1680" s="5" t="str">
        <f>HYPERLINK("https://dpmzos25m8ivg.cloudfront.net/Documentos/631/03975409657/6310397540965710092023224122.pdf","https://dpmzos25m8ivg.cloudfront.net/Documentos/631/03975409657/6310397540965710092023224122.pdf")</f>
        <v>https://dpmzos25m8ivg.cloudfront.net/Documentos/631/03975409657/6310397540965710092023224122.pdf</v>
      </c>
      <c r="G1680" s="5" t="str">
        <f>HYPERLINK("https://dpmzos25m8ivg.cloudfront.net/Documentos/631/03975409657/6310397540965710092023224137.pdf","https://dpmzos25m8ivg.cloudfront.net/Documentos/631/03975409657/6310397540965710092023224137.pdf")</f>
        <v>https://dpmzos25m8ivg.cloudfront.net/Documentos/631/03975409657/6310397540965710092023224137.pdf</v>
      </c>
      <c r="H1680" s="4" t="s">
        <v>10261</v>
      </c>
    </row>
    <row r="1681" spans="1:8" x14ac:dyDescent="0.25">
      <c r="A1681" s="2" t="s">
        <v>1695</v>
      </c>
      <c r="B1681" s="3"/>
      <c r="C1681" s="3"/>
      <c r="D1681" s="3"/>
      <c r="E1681" s="4" t="str">
        <f>HYPERLINK("https://dpmzos25m8ivg.cloudfront.net/Documentos/631/03976182559/6310397618255908092023213754.jpg","https://dpmzos25m8ivg.cloudfront.net/Documentos/631/03976182559/6310397618255908092023213754.jpg")</f>
        <v>https://dpmzos25m8ivg.cloudfront.net/Documentos/631/03976182559/6310397618255908092023213754.jpg</v>
      </c>
      <c r="F1681" s="5" t="str">
        <f>HYPERLINK("https://dpmzos25m8ivg.cloudfront.net/Documentos/631/03976182559/6310397618255908092023213820.jpg","https://dpmzos25m8ivg.cloudfront.net/Documentos/631/03976182559/6310397618255908092023213820.jpg")</f>
        <v>https://dpmzos25m8ivg.cloudfront.net/Documentos/631/03976182559/6310397618255908092023213820.jpg</v>
      </c>
      <c r="G1681" s="5" t="str">
        <f>HYPERLINK("https://dpmzos25m8ivg.cloudfront.net/Documentos/631/03976182559/6310397618255908092023213837.jpg","https://dpmzos25m8ivg.cloudfront.net/Documentos/631/03976182559/6310397618255908092023213837.jpg")</f>
        <v>https://dpmzos25m8ivg.cloudfront.net/Documentos/631/03976182559/6310397618255908092023213837.jpg</v>
      </c>
      <c r="H1681" s="4" t="s">
        <v>10262</v>
      </c>
    </row>
    <row r="1682" spans="1:8" x14ac:dyDescent="0.25">
      <c r="A1682" s="2" t="s">
        <v>1696</v>
      </c>
      <c r="B1682" s="3"/>
      <c r="C1682" s="3"/>
      <c r="D1682" s="3"/>
      <c r="E1682" s="4" t="str">
        <f>HYPERLINK("https://dpmzos25m8ivg.cloudfront.net/Documentos/631/03976269166/6310397626916611092023132949.pdf","https://dpmzos25m8ivg.cloudfront.net/Documentos/631/03976269166/6310397626916611092023132949.pdf")</f>
        <v>https://dpmzos25m8ivg.cloudfront.net/Documentos/631/03976269166/6310397626916611092023132949.pdf</v>
      </c>
      <c r="F1682" s="5" t="str">
        <f>HYPERLINK("https://dpmzos25m8ivg.cloudfront.net/Documentos/631/03976269166/6310397626916611092023133001.pdf","https://dpmzos25m8ivg.cloudfront.net/Documentos/631/03976269166/6310397626916611092023133001.pdf")</f>
        <v>https://dpmzos25m8ivg.cloudfront.net/Documentos/631/03976269166/6310397626916611092023133001.pdf</v>
      </c>
      <c r="G1682" s="5" t="str">
        <f>HYPERLINK("https://dpmzos25m8ivg.cloudfront.net/Documentos/631/03976269166/6310397626916611092023133019.pdf","https://dpmzos25m8ivg.cloudfront.net/Documentos/631/03976269166/6310397626916611092023133019.pdf")</f>
        <v>https://dpmzos25m8ivg.cloudfront.net/Documentos/631/03976269166/6310397626916611092023133019.pdf</v>
      </c>
      <c r="H1682" s="4" t="s">
        <v>10263</v>
      </c>
    </row>
    <row r="1683" spans="1:8" x14ac:dyDescent="0.25">
      <c r="A1683" s="2" t="s">
        <v>1697</v>
      </c>
      <c r="B1683" s="3"/>
      <c r="C1683" s="3"/>
      <c r="D1683" s="3"/>
      <c r="E1683" s="4" t="str">
        <f>HYPERLINK("https://dpmzos25m8ivg.cloudfront.net/Documentos/631/03976562203/6310397656220309092023004049.pdf","https://dpmzos25m8ivg.cloudfront.net/Documentos/631/03976562203/6310397656220309092023004049.pdf")</f>
        <v>https://dpmzos25m8ivg.cloudfront.net/Documentos/631/03976562203/6310397656220309092023004049.pdf</v>
      </c>
      <c r="F1683" s="5" t="str">
        <f>HYPERLINK("https://dpmzos25m8ivg.cloudfront.net/Documentos/631/03976562203/6310397656220309092023004059.pdf","https://dpmzos25m8ivg.cloudfront.net/Documentos/631/03976562203/6310397656220309092023004059.pdf")</f>
        <v>https://dpmzos25m8ivg.cloudfront.net/Documentos/631/03976562203/6310397656220309092023004059.pdf</v>
      </c>
      <c r="G1683" s="5" t="str">
        <f>HYPERLINK("https://dpmzos25m8ivg.cloudfront.net/Documentos/631/03976562203/6310397656220309092023004110.pdf","https://dpmzos25m8ivg.cloudfront.net/Documentos/631/03976562203/6310397656220309092023004110.pdf")</f>
        <v>https://dpmzos25m8ivg.cloudfront.net/Documentos/631/03976562203/6310397656220309092023004110.pdf</v>
      </c>
      <c r="H1683" s="4" t="s">
        <v>10264</v>
      </c>
    </row>
    <row r="1684" spans="1:8" x14ac:dyDescent="0.25">
      <c r="A1684" s="2" t="s">
        <v>1698</v>
      </c>
      <c r="B1684" s="3"/>
      <c r="C1684" s="3"/>
      <c r="D1684" s="3"/>
      <c r="E1684" s="4" t="str">
        <f>HYPERLINK("https://dpmzos25m8ivg.cloudfront.net/Documentos/631/03980280365/6310398028036512092023222755.pdf","https://dpmzos25m8ivg.cloudfront.net/Documentos/631/03980280365/6310398028036512092023222755.pdf")</f>
        <v>https://dpmzos25m8ivg.cloudfront.net/Documentos/631/03980280365/6310398028036512092023222755.pdf</v>
      </c>
      <c r="F1684" s="5" t="str">
        <f>HYPERLINK("https://dpmzos25m8ivg.cloudfront.net/Documentos/631/03980280365/6310398028036512092023222808.pdf","https://dpmzos25m8ivg.cloudfront.net/Documentos/631/03980280365/6310398028036512092023222808.pdf")</f>
        <v>https://dpmzos25m8ivg.cloudfront.net/Documentos/631/03980280365/6310398028036512092023222808.pdf</v>
      </c>
      <c r="G1684" s="5" t="str">
        <f>HYPERLINK("https://dpmzos25m8ivg.cloudfront.net/Documentos/631/03980280365/6310398028036512092023222821.pdf","https://dpmzos25m8ivg.cloudfront.net/Documentos/631/03980280365/6310398028036512092023222821.pdf")</f>
        <v>https://dpmzos25m8ivg.cloudfront.net/Documentos/631/03980280365/6310398028036512092023222821.pdf</v>
      </c>
      <c r="H1684" s="4" t="s">
        <v>10265</v>
      </c>
    </row>
    <row r="1685" spans="1:8" x14ac:dyDescent="0.25">
      <c r="A1685" s="2" t="s">
        <v>1699</v>
      </c>
      <c r="B1685" s="3"/>
      <c r="C1685" s="3"/>
      <c r="D1685" s="3"/>
      <c r="E1685" s="4" t="str">
        <f>HYPERLINK("https://dpmzos25m8ivg.cloudfront.net/Documentos/631/03982720184/6310398272018409092023235325.pdf","https://dpmzos25m8ivg.cloudfront.net/Documentos/631/03982720184/6310398272018409092023235325.pdf")</f>
        <v>https://dpmzos25m8ivg.cloudfront.net/Documentos/631/03982720184/6310398272018409092023235325.pdf</v>
      </c>
      <c r="F1685" s="5" t="str">
        <f>HYPERLINK("https://dpmzos25m8ivg.cloudfront.net/Documentos/631/03982720184/6310398272018409092023235337.pdf","https://dpmzos25m8ivg.cloudfront.net/Documentos/631/03982720184/6310398272018409092023235337.pdf")</f>
        <v>https://dpmzos25m8ivg.cloudfront.net/Documentos/631/03982720184/6310398272018409092023235337.pdf</v>
      </c>
      <c r="G1685" s="5" t="str">
        <f>HYPERLINK("https://dpmzos25m8ivg.cloudfront.net/Documentos/631/03982720184/6310398272018409092023235346.pdf","https://dpmzos25m8ivg.cloudfront.net/Documentos/631/03982720184/6310398272018409092023235346.pdf")</f>
        <v>https://dpmzos25m8ivg.cloudfront.net/Documentos/631/03982720184/6310398272018409092023235346.pdf</v>
      </c>
      <c r="H1685" s="4" t="s">
        <v>10266</v>
      </c>
    </row>
    <row r="1686" spans="1:8" x14ac:dyDescent="0.25">
      <c r="A1686" s="2" t="s">
        <v>1700</v>
      </c>
      <c r="B1686" s="3" t="s">
        <v>308</v>
      </c>
      <c r="C1686" s="3"/>
      <c r="D1686" s="3"/>
      <c r="E1686" s="4" t="str">
        <f>HYPERLINK("https://dpmzos25m8ivg.cloudfront.net/Documentos/631/03982909112/6310398290911210092023133626.pdf","https://dpmzos25m8ivg.cloudfront.net/Documentos/631/03982909112/6310398290911210092023133626.pdf")</f>
        <v>https://dpmzos25m8ivg.cloudfront.net/Documentos/631/03982909112/6310398290911210092023133626.pdf</v>
      </c>
      <c r="F1686" s="5" t="str">
        <f>HYPERLINK("https://dpmzos25m8ivg.cloudfront.net/Documentos/631/03982909112/6310398290911210092023133654.pdf","https://dpmzos25m8ivg.cloudfront.net/Documentos/631/03982909112/6310398290911210092023133654.pdf")</f>
        <v>https://dpmzos25m8ivg.cloudfront.net/Documentos/631/03982909112/6310398290911210092023133654.pdf</v>
      </c>
      <c r="G1686" s="5" t="str">
        <f>HYPERLINK("https://dpmzos25m8ivg.cloudfront.net/Documentos/631/03982909112/6310398290911210092023133755.pdf","https://dpmzos25m8ivg.cloudfront.net/Documentos/631/03982909112/6310398290911210092023133755.pdf")</f>
        <v>https://dpmzos25m8ivg.cloudfront.net/Documentos/631/03982909112/6310398290911210092023133755.pdf</v>
      </c>
      <c r="H1686" s="4" t="s">
        <v>10267</v>
      </c>
    </row>
    <row r="1687" spans="1:8" x14ac:dyDescent="0.25">
      <c r="A1687" s="2" t="s">
        <v>1701</v>
      </c>
      <c r="B1687" s="3"/>
      <c r="C1687" s="3"/>
      <c r="D1687" s="3"/>
      <c r="E1687" s="4" t="str">
        <f>HYPERLINK("https://dpmzos25m8ivg.cloudfront.net/Documentos/631/03983614108/6310398361410811092023165725.jpg","https://dpmzos25m8ivg.cloudfront.net/Documentos/631/03983614108/6310398361410811092023165725.jpg")</f>
        <v>https://dpmzos25m8ivg.cloudfront.net/Documentos/631/03983614108/6310398361410811092023165725.jpg</v>
      </c>
      <c r="F1687" s="5" t="str">
        <f>HYPERLINK("https://dpmzos25m8ivg.cloudfront.net/Documentos/631/03983614108/6310398361410811092023165734.jpg","https://dpmzos25m8ivg.cloudfront.net/Documentos/631/03983614108/6310398361410811092023165734.jpg")</f>
        <v>https://dpmzos25m8ivg.cloudfront.net/Documentos/631/03983614108/6310398361410811092023165734.jpg</v>
      </c>
      <c r="G1687" s="5" t="str">
        <f>HYPERLINK("https://dpmzos25m8ivg.cloudfront.net/Documentos/631/03983614108/6310398361410811092023165742.jpg","https://dpmzos25m8ivg.cloudfront.net/Documentos/631/03983614108/6310398361410811092023165742.jpg")</f>
        <v>https://dpmzos25m8ivg.cloudfront.net/Documentos/631/03983614108/6310398361410811092023165742.jpg</v>
      </c>
      <c r="H1687" s="4" t="s">
        <v>10268</v>
      </c>
    </row>
    <row r="1688" spans="1:8" x14ac:dyDescent="0.25">
      <c r="A1688" s="2" t="s">
        <v>1702</v>
      </c>
      <c r="B1688" s="3" t="s">
        <v>308</v>
      </c>
      <c r="C1688" s="3"/>
      <c r="D1688" s="3"/>
      <c r="E1688" s="4" t="str">
        <f>HYPERLINK("https://dpmzos25m8ivg.cloudfront.net/Documentos/631/03984717628/6310398471762811092023164858.pdf","https://dpmzos25m8ivg.cloudfront.net/Documentos/631/03984717628/6310398471762811092023164858.pdf")</f>
        <v>https://dpmzos25m8ivg.cloudfront.net/Documentos/631/03984717628/6310398471762811092023164858.pdf</v>
      </c>
      <c r="F1688" s="5" t="str">
        <f>HYPERLINK("https://dpmzos25m8ivg.cloudfront.net/Documentos/631/03984717628/6310398471762811092023164908.pdf","https://dpmzos25m8ivg.cloudfront.net/Documentos/631/03984717628/6310398471762811092023164908.pdf")</f>
        <v>https://dpmzos25m8ivg.cloudfront.net/Documentos/631/03984717628/6310398471762811092023164908.pdf</v>
      </c>
      <c r="G1688" s="5" t="str">
        <f>HYPERLINK("https://dpmzos25m8ivg.cloudfront.net/Documentos/631/03984717628/6310398471762811092023164919.pdf","https://dpmzos25m8ivg.cloudfront.net/Documentos/631/03984717628/6310398471762811092023164919.pdf")</f>
        <v>https://dpmzos25m8ivg.cloudfront.net/Documentos/631/03984717628/6310398471762811092023164919.pdf</v>
      </c>
      <c r="H1688" s="4" t="s">
        <v>10269</v>
      </c>
    </row>
    <row r="1689" spans="1:8" x14ac:dyDescent="0.25">
      <c r="A1689" s="2" t="s">
        <v>1703</v>
      </c>
      <c r="B1689" s="3"/>
      <c r="C1689" s="3"/>
      <c r="D1689" s="3"/>
      <c r="E1689" s="4" t="str">
        <f>HYPERLINK("https://dpmzos25m8ivg.cloudfront.net/Documentos/631/03984778171/6310398477817111092023112108.pdf","https://dpmzos25m8ivg.cloudfront.net/Documentos/631/03984778171/6310398477817111092023112108.pdf")</f>
        <v>https://dpmzos25m8ivg.cloudfront.net/Documentos/631/03984778171/6310398477817111092023112108.pdf</v>
      </c>
      <c r="F1689" s="5" t="str">
        <f>HYPERLINK("https://dpmzos25m8ivg.cloudfront.net/Documentos/631/03984778171/6310398477817111092023112052.pdf","https://dpmzos25m8ivg.cloudfront.net/Documentos/631/03984778171/6310398477817111092023112052.pdf")</f>
        <v>https://dpmzos25m8ivg.cloudfront.net/Documentos/631/03984778171/6310398477817111092023112052.pdf</v>
      </c>
      <c r="G1689" s="5" t="str">
        <f>HYPERLINK("https://dpmzos25m8ivg.cloudfront.net/Documentos/631/03984778171/6310398477817111092023112038.pdf","https://dpmzos25m8ivg.cloudfront.net/Documentos/631/03984778171/6310398477817111092023112038.pdf")</f>
        <v>https://dpmzos25m8ivg.cloudfront.net/Documentos/631/03984778171/6310398477817111092023112038.pdf</v>
      </c>
      <c r="H1689" s="4" t="s">
        <v>10270</v>
      </c>
    </row>
    <row r="1690" spans="1:8" x14ac:dyDescent="0.25">
      <c r="A1690" s="2" t="s">
        <v>1704</v>
      </c>
      <c r="B1690" s="3"/>
      <c r="C1690" s="3"/>
      <c r="D1690" s="3"/>
      <c r="E1690" s="4" t="str">
        <f>HYPERLINK("https://dpmzos25m8ivg.cloudfront.net/Documentos/631/03987792108/6310398779210811092023083809.pdf","https://dpmzos25m8ivg.cloudfront.net/Documentos/631/03987792108/6310398779210811092023083809.pdf")</f>
        <v>https://dpmzos25m8ivg.cloudfront.net/Documentos/631/03987792108/6310398779210811092023083809.pdf</v>
      </c>
      <c r="F1690" s="5" t="str">
        <f>HYPERLINK("https://dpmzos25m8ivg.cloudfront.net/Documentos/631/03987792108/6310398779210811092023083850.pdf","https://dpmzos25m8ivg.cloudfront.net/Documentos/631/03987792108/6310398779210811092023083850.pdf")</f>
        <v>https://dpmzos25m8ivg.cloudfront.net/Documentos/631/03987792108/6310398779210811092023083850.pdf</v>
      </c>
      <c r="G1690" s="5" t="str">
        <f>HYPERLINK("https://dpmzos25m8ivg.cloudfront.net/Documentos/631/03987792108/6310398779210811092023083901.pdf","https://dpmzos25m8ivg.cloudfront.net/Documentos/631/03987792108/6310398779210811092023083901.pdf")</f>
        <v>https://dpmzos25m8ivg.cloudfront.net/Documentos/631/03987792108/6310398779210811092023083901.pdf</v>
      </c>
      <c r="H1690" s="4" t="s">
        <v>10271</v>
      </c>
    </row>
    <row r="1691" spans="1:8" x14ac:dyDescent="0.25">
      <c r="A1691" s="2" t="s">
        <v>1705</v>
      </c>
      <c r="B1691" s="3"/>
      <c r="C1691" s="3"/>
      <c r="D1691" s="3"/>
      <c r="E1691" s="4" t="str">
        <f>HYPERLINK("https://dpmzos25m8ivg.cloudfront.net/Documentos/631/03992502392/6310399250239211092023093852.pdf","https://dpmzos25m8ivg.cloudfront.net/Documentos/631/03992502392/6310399250239211092023093852.pdf")</f>
        <v>https://dpmzos25m8ivg.cloudfront.net/Documentos/631/03992502392/6310399250239211092023093852.pdf</v>
      </c>
      <c r="F1691" s="5" t="str">
        <f>HYPERLINK("https://dpmzos25m8ivg.cloudfront.net/Documentos/631/03992502392/6310399250239211092023093904.pdf","https://dpmzos25m8ivg.cloudfront.net/Documentos/631/03992502392/6310399250239211092023093904.pdf")</f>
        <v>https://dpmzos25m8ivg.cloudfront.net/Documentos/631/03992502392/6310399250239211092023093904.pdf</v>
      </c>
      <c r="G1691" s="5" t="str">
        <f>HYPERLINK("https://dpmzos25m8ivg.cloudfront.net/Documentos/631/03992502392/6310399250239211092023093913.pdf","https://dpmzos25m8ivg.cloudfront.net/Documentos/631/03992502392/6310399250239211092023093913.pdf")</f>
        <v>https://dpmzos25m8ivg.cloudfront.net/Documentos/631/03992502392/6310399250239211092023093913.pdf</v>
      </c>
      <c r="H1691" s="4" t="s">
        <v>10272</v>
      </c>
    </row>
    <row r="1692" spans="1:8" x14ac:dyDescent="0.25">
      <c r="A1692" s="2" t="s">
        <v>1706</v>
      </c>
      <c r="B1692" s="3"/>
      <c r="C1692" s="3"/>
      <c r="D1692" s="3"/>
      <c r="E1692" s="4" t="str">
        <f>HYPERLINK("https://dpmzos25m8ivg.cloudfront.net/Documentos/631/03992626369/6310399262636907092023141436.jpg","https://dpmzos25m8ivg.cloudfront.net/Documentos/631/03992626369/6310399262636907092023141436.jpg")</f>
        <v>https://dpmzos25m8ivg.cloudfront.net/Documentos/631/03992626369/6310399262636907092023141436.jpg</v>
      </c>
      <c r="F1692" s="5" t="str">
        <f>HYPERLINK("https://dpmzos25m8ivg.cloudfront.net/Documentos/631/03992626369/6310399262636907092023141500.jpg","https://dpmzos25m8ivg.cloudfront.net/Documentos/631/03992626369/6310399262636907092023141500.jpg")</f>
        <v>https://dpmzos25m8ivg.cloudfront.net/Documentos/631/03992626369/6310399262636907092023141500.jpg</v>
      </c>
      <c r="G1692" s="5" t="str">
        <f>HYPERLINK("https://dpmzos25m8ivg.cloudfront.net/Documentos/631/03992626369/6310399262636907092023141607.jpg","https://dpmzos25m8ivg.cloudfront.net/Documentos/631/03992626369/6310399262636907092023141607.jpg")</f>
        <v>https://dpmzos25m8ivg.cloudfront.net/Documentos/631/03992626369/6310399262636907092023141607.jpg</v>
      </c>
      <c r="H1692" s="4" t="s">
        <v>10273</v>
      </c>
    </row>
    <row r="1693" spans="1:8" x14ac:dyDescent="0.25">
      <c r="A1693" s="2" t="s">
        <v>1707</v>
      </c>
      <c r="B1693" s="3"/>
      <c r="C1693" s="3"/>
      <c r="D1693" s="3"/>
      <c r="E1693" s="4" t="str">
        <f>HYPERLINK("https://dpmzos25m8ivg.cloudfront.net/Documentos/631/03998645128/6310399864512809092023162030.pdf","https://dpmzos25m8ivg.cloudfront.net/Documentos/631/03998645128/6310399864512809092023162030.pdf")</f>
        <v>https://dpmzos25m8ivg.cloudfront.net/Documentos/631/03998645128/6310399864512809092023162030.pdf</v>
      </c>
      <c r="F1693" s="5" t="str">
        <f>HYPERLINK("https://dpmzos25m8ivg.cloudfront.net/Documentos/631/03998645128/6310399864512809092023162038.pdf","https://dpmzos25m8ivg.cloudfront.net/Documentos/631/03998645128/6310399864512809092023162038.pdf")</f>
        <v>https://dpmzos25m8ivg.cloudfront.net/Documentos/631/03998645128/6310399864512809092023162038.pdf</v>
      </c>
      <c r="G1693" s="5" t="str">
        <f>HYPERLINK("https://dpmzos25m8ivg.cloudfront.net/Documentos/631/03998645128/6310399864512809092023162049.pdf","https://dpmzos25m8ivg.cloudfront.net/Documentos/631/03998645128/6310399864512809092023162049.pdf")</f>
        <v>https://dpmzos25m8ivg.cloudfront.net/Documentos/631/03998645128/6310399864512809092023162049.pdf</v>
      </c>
      <c r="H1693" s="4" t="s">
        <v>10274</v>
      </c>
    </row>
    <row r="1694" spans="1:8" x14ac:dyDescent="0.25">
      <c r="A1694" s="2" t="s">
        <v>1708</v>
      </c>
      <c r="B1694" s="3"/>
      <c r="C1694" s="3"/>
      <c r="D1694" s="3"/>
      <c r="E1694" s="4" t="str">
        <f>HYPERLINK("https://dpmzos25m8ivg.cloudfront.net/Documentos/631/03999964278/6310399996427808092023211449.pdf","https://dpmzos25m8ivg.cloudfront.net/Documentos/631/03999964278/6310399996427808092023211449.pdf")</f>
        <v>https://dpmzos25m8ivg.cloudfront.net/Documentos/631/03999964278/6310399996427808092023211449.pdf</v>
      </c>
      <c r="F1694" s="5" t="str">
        <f>HYPERLINK("https://dpmzos25m8ivg.cloudfront.net/Documentos/631/03999964278/6310399996427808092023211506.pdf","https://dpmzos25m8ivg.cloudfront.net/Documentos/631/03999964278/6310399996427808092023211506.pdf")</f>
        <v>https://dpmzos25m8ivg.cloudfront.net/Documentos/631/03999964278/6310399996427808092023211506.pdf</v>
      </c>
      <c r="G1694" s="5" t="str">
        <f>HYPERLINK("https://dpmzos25m8ivg.cloudfront.net/Documentos/631/03999964278/6310399996427808092023211533.pdf","https://dpmzos25m8ivg.cloudfront.net/Documentos/631/03999964278/6310399996427808092023211533.pdf")</f>
        <v>https://dpmzos25m8ivg.cloudfront.net/Documentos/631/03999964278/6310399996427808092023211533.pdf</v>
      </c>
      <c r="H1694" s="4" t="s">
        <v>10275</v>
      </c>
    </row>
    <row r="1695" spans="1:8" x14ac:dyDescent="0.25">
      <c r="A1695" s="2" t="s">
        <v>1709</v>
      </c>
      <c r="B1695" s="3"/>
      <c r="C1695" s="3"/>
      <c r="D1695" s="3"/>
      <c r="E1695" s="4" t="str">
        <f>HYPERLINK("https://dpmzos25m8ivg.cloudfront.net/Documentos/631/04001160579/6310400116057905092023173404.pdf","https://dpmzos25m8ivg.cloudfront.net/Documentos/631/04001160579/6310400116057905092023173404.pdf")</f>
        <v>https://dpmzos25m8ivg.cloudfront.net/Documentos/631/04001160579/6310400116057905092023173404.pdf</v>
      </c>
      <c r="F1695" s="5" t="str">
        <f>HYPERLINK("https://dpmzos25m8ivg.cloudfront.net/Documentos/631/04001160579/6310400116057905092023173419.pdf","https://dpmzos25m8ivg.cloudfront.net/Documentos/631/04001160579/6310400116057905092023173419.pdf")</f>
        <v>https://dpmzos25m8ivg.cloudfront.net/Documentos/631/04001160579/6310400116057905092023173419.pdf</v>
      </c>
      <c r="G1695" s="5" t="str">
        <f>HYPERLINK("https://dpmzos25m8ivg.cloudfront.net/Documentos/631/04001160579/6310400116057905092023173441.pdf","https://dpmzos25m8ivg.cloudfront.net/Documentos/631/04001160579/6310400116057905092023173441.pdf")</f>
        <v>https://dpmzos25m8ivg.cloudfront.net/Documentos/631/04001160579/6310400116057905092023173441.pdf</v>
      </c>
      <c r="H1695" s="4" t="s">
        <v>10276</v>
      </c>
    </row>
    <row r="1696" spans="1:8" x14ac:dyDescent="0.25">
      <c r="A1696" s="2" t="s">
        <v>1710</v>
      </c>
      <c r="B1696" s="3"/>
      <c r="C1696" s="3"/>
      <c r="D1696" s="3"/>
      <c r="E1696" s="4" t="str">
        <f>HYPERLINK("https://dpmzos25m8ivg.cloudfront.net/Documentos/631/04003066200/6310400306620007092023120257.pdf","https://dpmzos25m8ivg.cloudfront.net/Documentos/631/04003066200/6310400306620007092023120257.pdf")</f>
        <v>https://dpmzos25m8ivg.cloudfront.net/Documentos/631/04003066200/6310400306620007092023120257.pdf</v>
      </c>
      <c r="F1696" s="5" t="str">
        <f>HYPERLINK("https://dpmzos25m8ivg.cloudfront.net/Documentos/631/04003066200/6310400306620007092023120319.pdf","https://dpmzos25m8ivg.cloudfront.net/Documentos/631/04003066200/6310400306620007092023120319.pdf")</f>
        <v>https://dpmzos25m8ivg.cloudfront.net/Documentos/631/04003066200/6310400306620007092023120319.pdf</v>
      </c>
      <c r="G1696" s="5" t="str">
        <f>HYPERLINK("https://dpmzos25m8ivg.cloudfront.net/Documentos/631/04003066200/6310400306620007092023120327.pdf","https://dpmzos25m8ivg.cloudfront.net/Documentos/631/04003066200/6310400306620007092023120327.pdf")</f>
        <v>https://dpmzos25m8ivg.cloudfront.net/Documentos/631/04003066200/6310400306620007092023120327.pdf</v>
      </c>
      <c r="H1696" s="4" t="s">
        <v>10277</v>
      </c>
    </row>
    <row r="1697" spans="1:8" x14ac:dyDescent="0.25">
      <c r="A1697" s="2" t="s">
        <v>1711</v>
      </c>
      <c r="B1697" s="3"/>
      <c r="C1697" s="3"/>
      <c r="D1697" s="3"/>
      <c r="E1697" s="4" t="str">
        <f>HYPERLINK("https://dpmzos25m8ivg.cloudfront.net/Documentos/631/04003813111/6310400381311111092023151156.pdf","https://dpmzos25m8ivg.cloudfront.net/Documentos/631/04003813111/6310400381311111092023151156.pdf")</f>
        <v>https://dpmzos25m8ivg.cloudfront.net/Documentos/631/04003813111/6310400381311111092023151156.pdf</v>
      </c>
      <c r="F1697" s="5" t="str">
        <f>HYPERLINK("https://dpmzos25m8ivg.cloudfront.net/Documentos/631/04003813111/6310400381311111092023151205.pdf","https://dpmzos25m8ivg.cloudfront.net/Documentos/631/04003813111/6310400381311111092023151205.pdf")</f>
        <v>https://dpmzos25m8ivg.cloudfront.net/Documentos/631/04003813111/6310400381311111092023151205.pdf</v>
      </c>
      <c r="G1697" s="5" t="str">
        <f>HYPERLINK("https://dpmzos25m8ivg.cloudfront.net/Documentos/631/04003813111/6310400381311111092023151220.pdf","https://dpmzos25m8ivg.cloudfront.net/Documentos/631/04003813111/6310400381311111092023151220.pdf")</f>
        <v>https://dpmzos25m8ivg.cloudfront.net/Documentos/631/04003813111/6310400381311111092023151220.pdf</v>
      </c>
      <c r="H1697" s="4" t="s">
        <v>10278</v>
      </c>
    </row>
    <row r="1698" spans="1:8" x14ac:dyDescent="0.25">
      <c r="A1698" s="2" t="s">
        <v>1712</v>
      </c>
      <c r="B1698" s="3" t="s">
        <v>90</v>
      </c>
      <c r="C1698" s="3"/>
      <c r="D1698" s="3"/>
      <c r="E1698" s="4" t="str">
        <f>HYPERLINK("https://dpmzos25m8ivg.cloudfront.net/Documentos/631/04004153484/6310400415348405092023105011.pdf","https://dpmzos25m8ivg.cloudfront.net/Documentos/631/04004153484/6310400415348405092023105011.pdf")</f>
        <v>https://dpmzos25m8ivg.cloudfront.net/Documentos/631/04004153484/6310400415348405092023105011.pdf</v>
      </c>
      <c r="F1698" s="5" t="str">
        <f>HYPERLINK("https://dpmzos25m8ivg.cloudfront.net/Documentos/631/04004153484/6310400415348405092023105032.pdf","https://dpmzos25m8ivg.cloudfront.net/Documentos/631/04004153484/6310400415348405092023105032.pdf")</f>
        <v>https://dpmzos25m8ivg.cloudfront.net/Documentos/631/04004153484/6310400415348405092023105032.pdf</v>
      </c>
      <c r="G1698" s="5" t="str">
        <f>HYPERLINK("https://dpmzos25m8ivg.cloudfront.net/Documentos/631/04004153484/6310400415348405092023105055.pdf","https://dpmzos25m8ivg.cloudfront.net/Documentos/631/04004153484/6310400415348405092023105055.pdf")</f>
        <v>https://dpmzos25m8ivg.cloudfront.net/Documentos/631/04004153484/6310400415348405092023105055.pdf</v>
      </c>
      <c r="H1698" s="4" t="s">
        <v>10279</v>
      </c>
    </row>
    <row r="1699" spans="1:8" x14ac:dyDescent="0.25">
      <c r="A1699" s="2" t="s">
        <v>1713</v>
      </c>
      <c r="B1699" s="3"/>
      <c r="C1699" s="3"/>
      <c r="D1699" s="3"/>
      <c r="E1699" s="4" t="str">
        <f>HYPERLINK("https://dpmzos25m8ivg.cloudfront.net/Documentos/631/04004176344/6310400417634412092023173201.pdf","https://dpmzos25m8ivg.cloudfront.net/Documentos/631/04004176344/6310400417634412092023173201.pdf")</f>
        <v>https://dpmzos25m8ivg.cloudfront.net/Documentos/631/04004176344/6310400417634412092023173201.pdf</v>
      </c>
      <c r="F1699" s="5" t="str">
        <f>HYPERLINK("https://dpmzos25m8ivg.cloudfront.net/Documentos/631/04004176344/6310400417634412092023173227.pdf","https://dpmzos25m8ivg.cloudfront.net/Documentos/631/04004176344/6310400417634412092023173227.pdf")</f>
        <v>https://dpmzos25m8ivg.cloudfront.net/Documentos/631/04004176344/6310400417634412092023173227.pdf</v>
      </c>
      <c r="G1699" s="5" t="str">
        <f>HYPERLINK("https://dpmzos25m8ivg.cloudfront.net/Documentos/631/04004176344/6310400417634412092023173250.pdf","https://dpmzos25m8ivg.cloudfront.net/Documentos/631/04004176344/6310400417634412092023173250.pdf")</f>
        <v>https://dpmzos25m8ivg.cloudfront.net/Documentos/631/04004176344/6310400417634412092023173250.pdf</v>
      </c>
      <c r="H1699" s="4" t="s">
        <v>10280</v>
      </c>
    </row>
    <row r="1700" spans="1:8" x14ac:dyDescent="0.25">
      <c r="A1700" s="2" t="s">
        <v>1714</v>
      </c>
      <c r="B1700" s="3"/>
      <c r="C1700" s="3"/>
      <c r="D1700" s="3"/>
      <c r="E1700" s="4" t="str">
        <f>HYPERLINK("https://dpmzos25m8ivg.cloudfront.net/Documentos/631/04004473551/6310400447355107092023192755.pdf","https://dpmzos25m8ivg.cloudfront.net/Documentos/631/04004473551/6310400447355107092023192755.pdf")</f>
        <v>https://dpmzos25m8ivg.cloudfront.net/Documentos/631/04004473551/6310400447355107092023192755.pdf</v>
      </c>
      <c r="F1700" s="5" t="str">
        <f>HYPERLINK("https://dpmzos25m8ivg.cloudfront.net/Documentos/631/04004473551/6310400447355107092023192809.pdf","https://dpmzos25m8ivg.cloudfront.net/Documentos/631/04004473551/6310400447355107092023192809.pdf")</f>
        <v>https://dpmzos25m8ivg.cloudfront.net/Documentos/631/04004473551/6310400447355107092023192809.pdf</v>
      </c>
      <c r="G1700" s="5" t="str">
        <f>HYPERLINK("https://dpmzos25m8ivg.cloudfront.net/Documentos/631/04004473551/6310400447355107092023192824.pdf","https://dpmzos25m8ivg.cloudfront.net/Documentos/631/04004473551/6310400447355107092023192824.pdf")</f>
        <v>https://dpmzos25m8ivg.cloudfront.net/Documentos/631/04004473551/6310400447355107092023192824.pdf</v>
      </c>
      <c r="H1700" s="4" t="s">
        <v>10281</v>
      </c>
    </row>
    <row r="1701" spans="1:8" x14ac:dyDescent="0.25">
      <c r="A1701" s="2" t="s">
        <v>1715</v>
      </c>
      <c r="B1701" s="3" t="s">
        <v>308</v>
      </c>
      <c r="C1701" s="3"/>
      <c r="D1701" s="3"/>
      <c r="E1701" s="4" t="str">
        <f>HYPERLINK("https://dpmzos25m8ivg.cloudfront.net/Documentos/631/04004792223/6310400479222311092023164621.pdf","https://dpmzos25m8ivg.cloudfront.net/Documentos/631/04004792223/6310400479222311092023164621.pdf")</f>
        <v>https://dpmzos25m8ivg.cloudfront.net/Documentos/631/04004792223/6310400479222311092023164621.pdf</v>
      </c>
      <c r="F1701" s="5" t="str">
        <f>HYPERLINK("https://dpmzos25m8ivg.cloudfront.net/Documentos/631/04004792223/6310400479222311092023164634.pdf","https://dpmzos25m8ivg.cloudfront.net/Documentos/631/04004792223/6310400479222311092023164634.pdf")</f>
        <v>https://dpmzos25m8ivg.cloudfront.net/Documentos/631/04004792223/6310400479222311092023164634.pdf</v>
      </c>
      <c r="G1701" s="5" t="str">
        <f>HYPERLINK("https://dpmzos25m8ivg.cloudfront.net/Documentos/631/04004792223/6310400479222311092023164648.pdf","https://dpmzos25m8ivg.cloudfront.net/Documentos/631/04004792223/6310400479222311092023164648.pdf")</f>
        <v>https://dpmzos25m8ivg.cloudfront.net/Documentos/631/04004792223/6310400479222311092023164648.pdf</v>
      </c>
      <c r="H1701" s="4" t="s">
        <v>10282</v>
      </c>
    </row>
    <row r="1702" spans="1:8" x14ac:dyDescent="0.25">
      <c r="A1702" s="2" t="s">
        <v>1716</v>
      </c>
      <c r="B1702" s="3"/>
      <c r="C1702" s="3"/>
      <c r="D1702" s="3"/>
      <c r="E1702" s="4" t="str">
        <f>HYPERLINK("https://dpmzos25m8ivg.cloudfront.net/Documentos/631/04012489925/6310401248992511092023105508.pdf","https://dpmzos25m8ivg.cloudfront.net/Documentos/631/04012489925/6310401248992511092023105508.pdf")</f>
        <v>https://dpmzos25m8ivg.cloudfront.net/Documentos/631/04012489925/6310401248992511092023105508.pdf</v>
      </c>
      <c r="F1702" s="5" t="str">
        <f>HYPERLINK("https://dpmzos25m8ivg.cloudfront.net/Documentos/631/04012489925/6310401248992511092023105517.pdf","https://dpmzos25m8ivg.cloudfront.net/Documentos/631/04012489925/6310401248992511092023105517.pdf")</f>
        <v>https://dpmzos25m8ivg.cloudfront.net/Documentos/631/04012489925/6310401248992511092023105517.pdf</v>
      </c>
      <c r="G1702" s="5" t="str">
        <f>HYPERLINK("https://dpmzos25m8ivg.cloudfront.net/Documentos/631/04012489925/6310401248992511092023105530.pdf","https://dpmzos25m8ivg.cloudfront.net/Documentos/631/04012489925/6310401248992511092023105530.pdf")</f>
        <v>https://dpmzos25m8ivg.cloudfront.net/Documentos/631/04012489925/6310401248992511092023105530.pdf</v>
      </c>
      <c r="H1702" s="4" t="s">
        <v>10283</v>
      </c>
    </row>
    <row r="1703" spans="1:8" x14ac:dyDescent="0.25">
      <c r="A1703" s="2" t="s">
        <v>1717</v>
      </c>
      <c r="B1703" s="3"/>
      <c r="C1703" s="3"/>
      <c r="D1703" s="3"/>
      <c r="E1703" s="4" t="str">
        <f>HYPERLINK("https://dpmzos25m8ivg.cloudfront.net/Documentos/631/04014911535/6310401491153511092023170034.pdf","https://dpmzos25m8ivg.cloudfront.net/Documentos/631/04014911535/6310401491153511092023170034.pdf")</f>
        <v>https://dpmzos25m8ivg.cloudfront.net/Documentos/631/04014911535/6310401491153511092023170034.pdf</v>
      </c>
      <c r="F1703" s="5" t="str">
        <f>HYPERLINK("https://dpmzos25m8ivg.cloudfront.net/Documentos/631/04014911535/6310401491153511092023170042.pdf","https://dpmzos25m8ivg.cloudfront.net/Documentos/631/04014911535/6310401491153511092023170042.pdf")</f>
        <v>https://dpmzos25m8ivg.cloudfront.net/Documentos/631/04014911535/6310401491153511092023170042.pdf</v>
      </c>
      <c r="G1703" s="5" t="str">
        <f>HYPERLINK("https://dpmzos25m8ivg.cloudfront.net/Documentos/631/04014911535/6310401491153511092023170052.pdf","https://dpmzos25m8ivg.cloudfront.net/Documentos/631/04014911535/6310401491153511092023170052.pdf")</f>
        <v>https://dpmzos25m8ivg.cloudfront.net/Documentos/631/04014911535/6310401491153511092023170052.pdf</v>
      </c>
      <c r="H1703" s="4" t="s">
        <v>10284</v>
      </c>
    </row>
    <row r="1704" spans="1:8" x14ac:dyDescent="0.25">
      <c r="A1704" s="2" t="s">
        <v>1718</v>
      </c>
      <c r="B1704" s="3"/>
      <c r="C1704" s="3"/>
      <c r="D1704" s="3"/>
      <c r="E1704" s="4" t="str">
        <f>HYPERLINK("https://dpmzos25m8ivg.cloudfront.net/Documentos/631/04018904495/6310401890449508092023130320.pdf","https://dpmzos25m8ivg.cloudfront.net/Documentos/631/04018904495/6310401890449508092023130320.pdf")</f>
        <v>https://dpmzos25m8ivg.cloudfront.net/Documentos/631/04018904495/6310401890449508092023130320.pdf</v>
      </c>
      <c r="F1704" s="5" t="str">
        <f>HYPERLINK("https://dpmzos25m8ivg.cloudfront.net/Documentos/631/04018904495/6310401890449508092023130332.pdf","https://dpmzos25m8ivg.cloudfront.net/Documentos/631/04018904495/6310401890449508092023130332.pdf")</f>
        <v>https://dpmzos25m8ivg.cloudfront.net/Documentos/631/04018904495/6310401890449508092023130332.pdf</v>
      </c>
      <c r="G1704" s="5" t="str">
        <f>HYPERLINK("https://dpmzos25m8ivg.cloudfront.net/Documentos/631/04018904495/6310401890449508092023130343.pdf","https://dpmzos25m8ivg.cloudfront.net/Documentos/631/04018904495/6310401890449508092023130343.pdf")</f>
        <v>https://dpmzos25m8ivg.cloudfront.net/Documentos/631/04018904495/6310401890449508092023130343.pdf</v>
      </c>
      <c r="H1704" s="4" t="s">
        <v>10285</v>
      </c>
    </row>
    <row r="1705" spans="1:8" x14ac:dyDescent="0.25">
      <c r="A1705" s="2" t="s">
        <v>1719</v>
      </c>
      <c r="B1705" s="3" t="s">
        <v>312</v>
      </c>
      <c r="C1705" s="3"/>
      <c r="D1705" s="3"/>
      <c r="E1705" s="4" t="str">
        <f>HYPERLINK("https://dpmzos25m8ivg.cloudfront.net/Documentos/631/04018914296/6310401891429611092023110258.pdf","https://dpmzos25m8ivg.cloudfront.net/Documentos/631/04018914296/6310401891429611092023110258.pdf")</f>
        <v>https://dpmzos25m8ivg.cloudfront.net/Documentos/631/04018914296/6310401891429611092023110258.pdf</v>
      </c>
      <c r="F1705" s="5" t="str">
        <f>HYPERLINK("https://dpmzos25m8ivg.cloudfront.net/Documentos/631/04018914296/6310401891429611092023110317.pdf","https://dpmzos25m8ivg.cloudfront.net/Documentos/631/04018914296/6310401891429611092023110317.pdf")</f>
        <v>https://dpmzos25m8ivg.cloudfront.net/Documentos/631/04018914296/6310401891429611092023110317.pdf</v>
      </c>
      <c r="G1705" s="5" t="str">
        <f>HYPERLINK("https://dpmzos25m8ivg.cloudfront.net/Documentos/631/04018914296/6310401891429611092023110330.pdf","https://dpmzos25m8ivg.cloudfront.net/Documentos/631/04018914296/6310401891429611092023110330.pdf")</f>
        <v>https://dpmzos25m8ivg.cloudfront.net/Documentos/631/04018914296/6310401891429611092023110330.pdf</v>
      </c>
      <c r="H1705" s="4" t="s">
        <v>10286</v>
      </c>
    </row>
    <row r="1706" spans="1:8" x14ac:dyDescent="0.25">
      <c r="A1706" s="2" t="s">
        <v>1720</v>
      </c>
      <c r="B1706" s="3" t="s">
        <v>308</v>
      </c>
      <c r="C1706" s="3"/>
      <c r="D1706" s="3"/>
      <c r="E1706" s="4" t="str">
        <f>HYPERLINK("https://dpmzos25m8ivg.cloudfront.net/Documentos/631/04021910212/6310402191021210092023160931.pdf","https://dpmzos25m8ivg.cloudfront.net/Documentos/631/04021910212/6310402191021210092023160931.pdf")</f>
        <v>https://dpmzos25m8ivg.cloudfront.net/Documentos/631/04021910212/6310402191021210092023160931.pdf</v>
      </c>
      <c r="F1706" s="5" t="str">
        <f>HYPERLINK("https://dpmzos25m8ivg.cloudfront.net/Documentos/631/04021910212/6310402191021210092023160942.pdf","https://dpmzos25m8ivg.cloudfront.net/Documentos/631/04021910212/6310402191021210092023160942.pdf")</f>
        <v>https://dpmzos25m8ivg.cloudfront.net/Documentos/631/04021910212/6310402191021210092023160942.pdf</v>
      </c>
      <c r="G1706" s="5" t="str">
        <f>HYPERLINK("https://dpmzos25m8ivg.cloudfront.net/Documentos/631/04021910212/6310402191021210092023160951.pdf","https://dpmzos25m8ivg.cloudfront.net/Documentos/631/04021910212/6310402191021210092023160951.pdf")</f>
        <v>https://dpmzos25m8ivg.cloudfront.net/Documentos/631/04021910212/6310402191021210092023160951.pdf</v>
      </c>
      <c r="H1706" s="4" t="s">
        <v>10287</v>
      </c>
    </row>
    <row r="1707" spans="1:8" x14ac:dyDescent="0.25">
      <c r="A1707" s="2" t="s">
        <v>1721</v>
      </c>
      <c r="B1707" s="3"/>
      <c r="C1707" s="3"/>
      <c r="D1707" s="3"/>
      <c r="E1707" s="4" t="str">
        <f>HYPERLINK("https://dpmzos25m8ivg.cloudfront.net/Documentos/631/04024679228/6310402467922811092023155211.jpeg","https://dpmzos25m8ivg.cloudfront.net/Documentos/631/04024679228/6310402467922811092023155211.jpeg")</f>
        <v>https://dpmzos25m8ivg.cloudfront.net/Documentos/631/04024679228/6310402467922811092023155211.jpeg</v>
      </c>
      <c r="F1707" s="5" t="str">
        <f>HYPERLINK("https://dpmzos25m8ivg.cloudfront.net/Documentos/631/04024679228/6310402467922811092023155223.jpeg","https://dpmzos25m8ivg.cloudfront.net/Documentos/631/04024679228/6310402467922811092023155223.jpeg")</f>
        <v>https://dpmzos25m8ivg.cloudfront.net/Documentos/631/04024679228/6310402467922811092023155223.jpeg</v>
      </c>
      <c r="G1707" s="5" t="str">
        <f>HYPERLINK("https://dpmzos25m8ivg.cloudfront.net/Documentos/631/04024679228/6310402467922811092023155235.jpeg","https://dpmzos25m8ivg.cloudfront.net/Documentos/631/04024679228/6310402467922811092023155235.jpeg")</f>
        <v>https://dpmzos25m8ivg.cloudfront.net/Documentos/631/04024679228/6310402467922811092023155235.jpeg</v>
      </c>
      <c r="H1707" s="4" t="s">
        <v>10288</v>
      </c>
    </row>
    <row r="1708" spans="1:8" x14ac:dyDescent="0.25">
      <c r="A1708" s="2" t="s">
        <v>1722</v>
      </c>
      <c r="B1708" s="3"/>
      <c r="C1708" s="3"/>
      <c r="D1708" s="3"/>
      <c r="E1708" s="4" t="str">
        <f>HYPERLINK("https://dpmzos25m8ivg.cloudfront.net/Documentos/631/04024681125/6310402468112511092023153901.jpeg","https://dpmzos25m8ivg.cloudfront.net/Documentos/631/04024681125/6310402468112511092023153901.jpeg")</f>
        <v>https://dpmzos25m8ivg.cloudfront.net/Documentos/631/04024681125/6310402468112511092023153901.jpeg</v>
      </c>
      <c r="F1708" s="5" t="str">
        <f>HYPERLINK("https://dpmzos25m8ivg.cloudfront.net/Documentos/631/04024681125/6310402468112511092023153937.jpeg","https://dpmzos25m8ivg.cloudfront.net/Documentos/631/04024681125/6310402468112511092023153937.jpeg")</f>
        <v>https://dpmzos25m8ivg.cloudfront.net/Documentos/631/04024681125/6310402468112511092023153937.jpeg</v>
      </c>
      <c r="G1708" s="5" t="str">
        <f>HYPERLINK("https://dpmzos25m8ivg.cloudfront.net/Documentos/631/04024681125/6310402468112511092023153956.jpeg","https://dpmzos25m8ivg.cloudfront.net/Documentos/631/04024681125/6310402468112511092023153956.jpeg")</f>
        <v>https://dpmzos25m8ivg.cloudfront.net/Documentos/631/04024681125/6310402468112511092023153956.jpeg</v>
      </c>
      <c r="H1708" s="4" t="s">
        <v>10289</v>
      </c>
    </row>
    <row r="1709" spans="1:8" x14ac:dyDescent="0.25">
      <c r="A1709" s="2" t="s">
        <v>1723</v>
      </c>
      <c r="B1709" s="3"/>
      <c r="C1709" s="3"/>
      <c r="D1709" s="3"/>
      <c r="E1709" s="4" t="str">
        <f>HYPERLINK("https://dpmzos25m8ivg.cloudfront.net/Documentos/631/04025689235/6310402568923511092023120356.pdf","https://dpmzos25m8ivg.cloudfront.net/Documentos/631/04025689235/6310402568923511092023120356.pdf")</f>
        <v>https://dpmzos25m8ivg.cloudfront.net/Documentos/631/04025689235/6310402568923511092023120356.pdf</v>
      </c>
      <c r="F1709" s="5" t="str">
        <f>HYPERLINK("https://dpmzos25m8ivg.cloudfront.net/Documentos/631/04025689235/6310402568923511092023120415.pdf","https://dpmzos25m8ivg.cloudfront.net/Documentos/631/04025689235/6310402568923511092023120415.pdf")</f>
        <v>https://dpmzos25m8ivg.cloudfront.net/Documentos/631/04025689235/6310402568923511092023120415.pdf</v>
      </c>
      <c r="G1709" s="5" t="str">
        <f>HYPERLINK("https://dpmzos25m8ivg.cloudfront.net/Documentos/631/04025689235/6310402568923511092023120435.pdf","https://dpmzos25m8ivg.cloudfront.net/Documentos/631/04025689235/6310402568923511092023120435.pdf")</f>
        <v>https://dpmzos25m8ivg.cloudfront.net/Documentos/631/04025689235/6310402568923511092023120435.pdf</v>
      </c>
      <c r="H1709" s="4" t="s">
        <v>10290</v>
      </c>
    </row>
    <row r="1710" spans="1:8" x14ac:dyDescent="0.25">
      <c r="A1710" s="2" t="s">
        <v>1724</v>
      </c>
      <c r="B1710" s="3"/>
      <c r="C1710" s="3"/>
      <c r="D1710" s="3"/>
      <c r="E1710" s="4" t="str">
        <f>HYPERLINK("https://dpmzos25m8ivg.cloudfront.net/Documentos/631/04026353532/6310402635353211092023113750.jpg","https://dpmzos25m8ivg.cloudfront.net/Documentos/631/04026353532/6310402635353211092023113750.jpg")</f>
        <v>https://dpmzos25m8ivg.cloudfront.net/Documentos/631/04026353532/6310402635353211092023113750.jpg</v>
      </c>
      <c r="F1710" s="5" t="str">
        <f>HYPERLINK("https://dpmzos25m8ivg.cloudfront.net/Documentos/631/04026353532/6310402635353211092023113803.jpg","https://dpmzos25m8ivg.cloudfront.net/Documentos/631/04026353532/6310402635353211092023113803.jpg")</f>
        <v>https://dpmzos25m8ivg.cloudfront.net/Documentos/631/04026353532/6310402635353211092023113803.jpg</v>
      </c>
      <c r="G1710" s="5" t="str">
        <f>HYPERLINK("https://dpmzos25m8ivg.cloudfront.net/Documentos/631/04026353532/6310402635353211092023113814.jpg","https://dpmzos25m8ivg.cloudfront.net/Documentos/631/04026353532/6310402635353211092023113814.jpg")</f>
        <v>https://dpmzos25m8ivg.cloudfront.net/Documentos/631/04026353532/6310402635353211092023113814.jpg</v>
      </c>
      <c r="H1710" s="4" t="s">
        <v>10291</v>
      </c>
    </row>
    <row r="1711" spans="1:8" x14ac:dyDescent="0.25">
      <c r="A1711" s="2" t="s">
        <v>1725</v>
      </c>
      <c r="B1711" s="3"/>
      <c r="C1711" s="3"/>
      <c r="D1711" s="3"/>
      <c r="E1711" s="4" t="str">
        <f>HYPERLINK("https://dpmzos25m8ivg.cloudfront.net/Documentos/631/04026447510/6310402644751008092023201716.jpg","https://dpmzos25m8ivg.cloudfront.net/Documentos/631/04026447510/6310402644751008092023201716.jpg")</f>
        <v>https://dpmzos25m8ivg.cloudfront.net/Documentos/631/04026447510/6310402644751008092023201716.jpg</v>
      </c>
      <c r="F1711" s="5" t="str">
        <f>HYPERLINK("https://dpmzos25m8ivg.cloudfront.net/Documentos/631/04026447510/6310402644751008092023201735.jpg","https://dpmzos25m8ivg.cloudfront.net/Documentos/631/04026447510/6310402644751008092023201735.jpg")</f>
        <v>https://dpmzos25m8ivg.cloudfront.net/Documentos/631/04026447510/6310402644751008092023201735.jpg</v>
      </c>
      <c r="G1711" s="5" t="str">
        <f>HYPERLINK("https://dpmzos25m8ivg.cloudfront.net/Documentos/631/04026447510/6310402644751008092023201745.jpg","https://dpmzos25m8ivg.cloudfront.net/Documentos/631/04026447510/6310402644751008092023201745.jpg")</f>
        <v>https://dpmzos25m8ivg.cloudfront.net/Documentos/631/04026447510/6310402644751008092023201745.jpg</v>
      </c>
      <c r="H1711" s="4" t="s">
        <v>10292</v>
      </c>
    </row>
    <row r="1712" spans="1:8" x14ac:dyDescent="0.25">
      <c r="A1712" s="2" t="s">
        <v>1726</v>
      </c>
      <c r="B1712" s="3" t="s">
        <v>308</v>
      </c>
      <c r="C1712" s="3"/>
      <c r="D1712" s="3"/>
      <c r="E1712" s="4" t="str">
        <f>HYPERLINK("https://dpmzos25m8ivg.cloudfront.net/Documentos/631/04028188571/6310402818857111092023161414.pdf","https://dpmzos25m8ivg.cloudfront.net/Documentos/631/04028188571/6310402818857111092023161414.pdf")</f>
        <v>https://dpmzos25m8ivg.cloudfront.net/Documentos/631/04028188571/6310402818857111092023161414.pdf</v>
      </c>
      <c r="F1712" s="5" t="str">
        <f>HYPERLINK("https://dpmzos25m8ivg.cloudfront.net/Documentos/631/04028188571/6310402818857111092023161426.pdf","https://dpmzos25m8ivg.cloudfront.net/Documentos/631/04028188571/6310402818857111092023161426.pdf")</f>
        <v>https://dpmzos25m8ivg.cloudfront.net/Documentos/631/04028188571/6310402818857111092023161426.pdf</v>
      </c>
      <c r="G1712" s="5" t="str">
        <f>HYPERLINK("https://dpmzos25m8ivg.cloudfront.net/Documentos/631/04028188571/6310402818857111092023161436.pdf","https://dpmzos25m8ivg.cloudfront.net/Documentos/631/04028188571/6310402818857111092023161436.pdf")</f>
        <v>https://dpmzos25m8ivg.cloudfront.net/Documentos/631/04028188571/6310402818857111092023161436.pdf</v>
      </c>
      <c r="H1712" s="4" t="s">
        <v>10293</v>
      </c>
    </row>
    <row r="1713" spans="1:8" x14ac:dyDescent="0.25">
      <c r="A1713" s="2" t="s">
        <v>1727</v>
      </c>
      <c r="B1713" s="3"/>
      <c r="C1713" s="3"/>
      <c r="D1713" s="3"/>
      <c r="E1713" s="4" t="str">
        <f>HYPERLINK("https://dpmzos25m8ivg.cloudfront.net/Documentos/631/04028829119/6310402882911905092023125438.jpeg","https://dpmzos25m8ivg.cloudfront.net/Documentos/631/04028829119/6310402882911905092023125438.jpeg")</f>
        <v>https://dpmzos25m8ivg.cloudfront.net/Documentos/631/04028829119/6310402882911905092023125438.jpeg</v>
      </c>
      <c r="F1713" s="5" t="str">
        <f>HYPERLINK("https://dpmzos25m8ivg.cloudfront.net/Documentos/631/04028829119/6310402882911905092023125454.jpeg","https://dpmzos25m8ivg.cloudfront.net/Documentos/631/04028829119/6310402882911905092023125454.jpeg")</f>
        <v>https://dpmzos25m8ivg.cloudfront.net/Documentos/631/04028829119/6310402882911905092023125454.jpeg</v>
      </c>
      <c r="G1713" s="5" t="str">
        <f>HYPERLINK("https://dpmzos25m8ivg.cloudfront.net/Documentos/631/04028829119/6310402882911905092023125508.jpeg","https://dpmzos25m8ivg.cloudfront.net/Documentos/631/04028829119/6310402882911905092023125508.jpeg")</f>
        <v>https://dpmzos25m8ivg.cloudfront.net/Documentos/631/04028829119/6310402882911905092023125508.jpeg</v>
      </c>
      <c r="H1713" s="4" t="s">
        <v>10294</v>
      </c>
    </row>
    <row r="1714" spans="1:8" x14ac:dyDescent="0.25">
      <c r="A1714" s="2" t="s">
        <v>1728</v>
      </c>
      <c r="B1714" s="3"/>
      <c r="C1714" s="3"/>
      <c r="D1714" s="3"/>
      <c r="E1714" s="4" t="str">
        <f>HYPERLINK("https://dpmzos25m8ivg.cloudfront.net/Documentos/631/04031197152/6310403119715211092023144756.pdf","https://dpmzos25m8ivg.cloudfront.net/Documentos/631/04031197152/6310403119715211092023144756.pdf")</f>
        <v>https://dpmzos25m8ivg.cloudfront.net/Documentos/631/04031197152/6310403119715211092023144756.pdf</v>
      </c>
      <c r="F1714" s="5" t="str">
        <f>HYPERLINK("https://dpmzos25m8ivg.cloudfront.net/Documentos/631/04031197152/6310403119715211092023144807.pdf","https://dpmzos25m8ivg.cloudfront.net/Documentos/631/04031197152/6310403119715211092023144807.pdf")</f>
        <v>https://dpmzos25m8ivg.cloudfront.net/Documentos/631/04031197152/6310403119715211092023144807.pdf</v>
      </c>
      <c r="G1714" s="5" t="str">
        <f>HYPERLINK("https://dpmzos25m8ivg.cloudfront.net/Documentos/631/04031197152/6310403119715211092023144817.pdf","https://dpmzos25m8ivg.cloudfront.net/Documentos/631/04031197152/6310403119715211092023144817.pdf")</f>
        <v>https://dpmzos25m8ivg.cloudfront.net/Documentos/631/04031197152/6310403119715211092023144817.pdf</v>
      </c>
      <c r="H1714" s="4" t="s">
        <v>10295</v>
      </c>
    </row>
    <row r="1715" spans="1:8" x14ac:dyDescent="0.25">
      <c r="A1715" s="2" t="s">
        <v>1729</v>
      </c>
      <c r="B1715" s="3"/>
      <c r="C1715" s="3"/>
      <c r="D1715" s="3"/>
      <c r="E1715" s="4" t="str">
        <f>HYPERLINK("https://dpmzos25m8ivg.cloudfront.net/Documentos/631/04032307130/6310403230713008092023143655.pdf","https://dpmzos25m8ivg.cloudfront.net/Documentos/631/04032307130/6310403230713008092023143655.pdf")</f>
        <v>https://dpmzos25m8ivg.cloudfront.net/Documentos/631/04032307130/6310403230713008092023143655.pdf</v>
      </c>
      <c r="F1715" s="5" t="str">
        <f>HYPERLINK("https://dpmzos25m8ivg.cloudfront.net/Documentos/631/04032307130/6310403230713008092023143723.pdf","https://dpmzos25m8ivg.cloudfront.net/Documentos/631/04032307130/6310403230713008092023143723.pdf")</f>
        <v>https://dpmzos25m8ivg.cloudfront.net/Documentos/631/04032307130/6310403230713008092023143723.pdf</v>
      </c>
      <c r="G1715" s="5" t="str">
        <f>HYPERLINK("https://dpmzos25m8ivg.cloudfront.net/Documentos/631/04032307130/6310403230713008092023143739.pdf","https://dpmzos25m8ivg.cloudfront.net/Documentos/631/04032307130/6310403230713008092023143739.pdf")</f>
        <v>https://dpmzos25m8ivg.cloudfront.net/Documentos/631/04032307130/6310403230713008092023143739.pdf</v>
      </c>
      <c r="H1715" s="4" t="s">
        <v>10296</v>
      </c>
    </row>
    <row r="1716" spans="1:8" x14ac:dyDescent="0.25">
      <c r="A1716" s="2" t="s">
        <v>1730</v>
      </c>
      <c r="B1716" s="3" t="s">
        <v>308</v>
      </c>
      <c r="C1716" s="3"/>
      <c r="D1716" s="3"/>
      <c r="E1716" s="4" t="str">
        <f>HYPERLINK("https://dpmzos25m8ivg.cloudfront.net/Documentos/631/04032530556/6310403253055610092023193307.pdf","https://dpmzos25m8ivg.cloudfront.net/Documentos/631/04032530556/6310403253055610092023193307.pdf")</f>
        <v>https://dpmzos25m8ivg.cloudfront.net/Documentos/631/04032530556/6310403253055610092023193307.pdf</v>
      </c>
      <c r="F1716" s="5" t="str">
        <f>HYPERLINK("https://dpmzos25m8ivg.cloudfront.net/Documentos/631/04032530556/6310403253055610092023193640.pdf","https://dpmzos25m8ivg.cloudfront.net/Documentos/631/04032530556/6310403253055610092023193640.pdf")</f>
        <v>https://dpmzos25m8ivg.cloudfront.net/Documentos/631/04032530556/6310403253055610092023193640.pdf</v>
      </c>
      <c r="G1716" s="5" t="str">
        <f>HYPERLINK("https://dpmzos25m8ivg.cloudfront.net/Documentos/631/04032530556/6310403253055610092023193747.pdf","https://dpmzos25m8ivg.cloudfront.net/Documentos/631/04032530556/6310403253055610092023193747.pdf")</f>
        <v>https://dpmzos25m8ivg.cloudfront.net/Documentos/631/04032530556/6310403253055610092023193747.pdf</v>
      </c>
      <c r="H1716" s="4" t="s">
        <v>10297</v>
      </c>
    </row>
    <row r="1717" spans="1:8" x14ac:dyDescent="0.25">
      <c r="A1717" s="2" t="s">
        <v>1731</v>
      </c>
      <c r="B1717" s="3"/>
      <c r="C1717" s="3"/>
      <c r="D1717" s="3"/>
      <c r="E1717" s="4" t="str">
        <f>HYPERLINK("https://dpmzos25m8ivg.cloudfront.net/Documentos/631/04033354425/6310403335442505092023100022.jpg","https://dpmzos25m8ivg.cloudfront.net/Documentos/631/04033354425/6310403335442505092023100022.jpg")</f>
        <v>https://dpmzos25m8ivg.cloudfront.net/Documentos/631/04033354425/6310403335442505092023100022.jpg</v>
      </c>
      <c r="F1717" s="5" t="str">
        <f>HYPERLINK("https://dpmzos25m8ivg.cloudfront.net/Documentos/631/04033354425/6310403335442505092023100105.jpg","https://dpmzos25m8ivg.cloudfront.net/Documentos/631/04033354425/6310403335442505092023100105.jpg")</f>
        <v>https://dpmzos25m8ivg.cloudfront.net/Documentos/631/04033354425/6310403335442505092023100105.jpg</v>
      </c>
      <c r="G1717" s="5" t="str">
        <f>HYPERLINK("https://dpmzos25m8ivg.cloudfront.net/Documentos/631/04033354425/6310403335442505092023100153.jpg","https://dpmzos25m8ivg.cloudfront.net/Documentos/631/04033354425/6310403335442505092023100153.jpg")</f>
        <v>https://dpmzos25m8ivg.cloudfront.net/Documentos/631/04033354425/6310403335442505092023100153.jpg</v>
      </c>
      <c r="H1717" s="4" t="s">
        <v>10298</v>
      </c>
    </row>
    <row r="1718" spans="1:8" x14ac:dyDescent="0.25">
      <c r="A1718" s="2" t="s">
        <v>1732</v>
      </c>
      <c r="B1718" s="3"/>
      <c r="C1718" s="3"/>
      <c r="D1718" s="3"/>
      <c r="E1718" s="4" t="str">
        <f>HYPERLINK("https://dpmzos25m8ivg.cloudfront.net/Documentos/631/04034505192/6310403450519210092023155531.pdf","https://dpmzos25m8ivg.cloudfront.net/Documentos/631/04034505192/6310403450519210092023155531.pdf")</f>
        <v>https://dpmzos25m8ivg.cloudfront.net/Documentos/631/04034505192/6310403450519210092023155531.pdf</v>
      </c>
      <c r="F1718" s="5" t="str">
        <f>HYPERLINK("https://dpmzos25m8ivg.cloudfront.net/Documentos/631/04034505192/6310403450519210092023155547.pdf","https://dpmzos25m8ivg.cloudfront.net/Documentos/631/04034505192/6310403450519210092023155547.pdf")</f>
        <v>https://dpmzos25m8ivg.cloudfront.net/Documentos/631/04034505192/6310403450519210092023155547.pdf</v>
      </c>
      <c r="G1718" s="5" t="str">
        <f>HYPERLINK("https://dpmzos25m8ivg.cloudfront.net/Documentos/631/04034505192/6310403450519210092023155602.pdf","https://dpmzos25m8ivg.cloudfront.net/Documentos/631/04034505192/6310403450519210092023155602.pdf")</f>
        <v>https://dpmzos25m8ivg.cloudfront.net/Documentos/631/04034505192/6310403450519210092023155602.pdf</v>
      </c>
      <c r="H1718" s="4" t="s">
        <v>10299</v>
      </c>
    </row>
    <row r="1719" spans="1:8" x14ac:dyDescent="0.25">
      <c r="A1719" s="2" t="s">
        <v>1733</v>
      </c>
      <c r="B1719" s="3"/>
      <c r="C1719" s="3"/>
      <c r="D1719" s="3"/>
      <c r="E1719" s="4" t="str">
        <f>HYPERLINK("https://dpmzos25m8ivg.cloudfront.net/Documentos/631/04035603570/6310403560357014092023133244.pdf","https://dpmzos25m8ivg.cloudfront.net/Documentos/631/04035603570/6310403560357014092023133244.pdf")</f>
        <v>https://dpmzos25m8ivg.cloudfront.net/Documentos/631/04035603570/6310403560357014092023133244.pdf</v>
      </c>
      <c r="F1719" s="5" t="str">
        <f>HYPERLINK("https://dpmzos25m8ivg.cloudfront.net/Documentos/631/04035603570/6310403560357014092023133254.pdf","https://dpmzos25m8ivg.cloudfront.net/Documentos/631/04035603570/6310403560357014092023133254.pdf")</f>
        <v>https://dpmzos25m8ivg.cloudfront.net/Documentos/631/04035603570/6310403560357014092023133254.pdf</v>
      </c>
      <c r="G1719" s="5" t="str">
        <f>HYPERLINK("https://dpmzos25m8ivg.cloudfront.net/Documentos/631/04035603570/6310403560357014092023133305.pdf","https://dpmzos25m8ivg.cloudfront.net/Documentos/631/04035603570/6310403560357014092023133305.pdf")</f>
        <v>https://dpmzos25m8ivg.cloudfront.net/Documentos/631/04035603570/6310403560357014092023133305.pdf</v>
      </c>
      <c r="H1719" s="4" t="s">
        <v>10300</v>
      </c>
    </row>
    <row r="1720" spans="1:8" x14ac:dyDescent="0.25">
      <c r="A1720" s="2" t="s">
        <v>1734</v>
      </c>
      <c r="B1720" s="3"/>
      <c r="C1720" s="3"/>
      <c r="D1720" s="3"/>
      <c r="E1720" s="4" t="str">
        <f>HYPERLINK("https://dpmzos25m8ivg.cloudfront.net/Documentos/631/04036216660/6310403621666005092023141041.pdf","https://dpmzos25m8ivg.cloudfront.net/Documentos/631/04036216660/6310403621666005092023141041.pdf")</f>
        <v>https://dpmzos25m8ivg.cloudfront.net/Documentos/631/04036216660/6310403621666005092023141041.pdf</v>
      </c>
      <c r="F1720" s="5" t="str">
        <f>HYPERLINK("https://dpmzos25m8ivg.cloudfront.net/Documentos/631/04036216660/6310403621666005092023141121.pdf","https://dpmzos25m8ivg.cloudfront.net/Documentos/631/04036216660/6310403621666005092023141121.pdf")</f>
        <v>https://dpmzos25m8ivg.cloudfront.net/Documentos/631/04036216660/6310403621666005092023141121.pdf</v>
      </c>
      <c r="G1720" s="5" t="str">
        <f>HYPERLINK("https://dpmzos25m8ivg.cloudfront.net/Documentos/631/04036216660/6310403621666005092023141132.pdf","https://dpmzos25m8ivg.cloudfront.net/Documentos/631/04036216660/6310403621666005092023141132.pdf")</f>
        <v>https://dpmzos25m8ivg.cloudfront.net/Documentos/631/04036216660/6310403621666005092023141132.pdf</v>
      </c>
      <c r="H1720" s="4" t="s">
        <v>10301</v>
      </c>
    </row>
    <row r="1721" spans="1:8" x14ac:dyDescent="0.25">
      <c r="A1721" s="2" t="s">
        <v>1735</v>
      </c>
      <c r="B1721" s="3"/>
      <c r="C1721" s="3"/>
      <c r="D1721" s="3"/>
      <c r="E1721" s="4" t="str">
        <f>HYPERLINK("https://dpmzos25m8ivg.cloudfront.net/Documentos/631/04038183114/6310403818311408092023220702.pdf","https://dpmzos25m8ivg.cloudfront.net/Documentos/631/04038183114/6310403818311408092023220702.pdf")</f>
        <v>https://dpmzos25m8ivg.cloudfront.net/Documentos/631/04038183114/6310403818311408092023220702.pdf</v>
      </c>
      <c r="F1721" s="5" t="str">
        <f>HYPERLINK("https://dpmzos25m8ivg.cloudfront.net/Documentos/631/04038183114/6310403818311408092023220719.pdf","https://dpmzos25m8ivg.cloudfront.net/Documentos/631/04038183114/6310403818311408092023220719.pdf")</f>
        <v>https://dpmzos25m8ivg.cloudfront.net/Documentos/631/04038183114/6310403818311408092023220719.pdf</v>
      </c>
      <c r="G1721" s="5" t="str">
        <f>HYPERLINK("https://dpmzos25m8ivg.cloudfront.net/Documentos/631/04038183114/6310403818311408092023220737.pdf","https://dpmzos25m8ivg.cloudfront.net/Documentos/631/04038183114/6310403818311408092023220737.pdf")</f>
        <v>https://dpmzos25m8ivg.cloudfront.net/Documentos/631/04038183114/6310403818311408092023220737.pdf</v>
      </c>
      <c r="H1721" s="4" t="s">
        <v>10302</v>
      </c>
    </row>
    <row r="1722" spans="1:8" x14ac:dyDescent="0.25">
      <c r="A1722" s="2" t="s">
        <v>1736</v>
      </c>
      <c r="B1722" s="3"/>
      <c r="C1722" s="3"/>
      <c r="D1722" s="3"/>
      <c r="E1722" s="4" t="str">
        <f>HYPERLINK("https://dpmzos25m8ivg.cloudfront.net/Documentos/631/04039372050/6310403937205011092023134746.pdf","https://dpmzos25m8ivg.cloudfront.net/Documentos/631/04039372050/6310403937205011092023134746.pdf")</f>
        <v>https://dpmzos25m8ivg.cloudfront.net/Documentos/631/04039372050/6310403937205011092023134746.pdf</v>
      </c>
      <c r="F1722" s="5" t="str">
        <f>HYPERLINK("https://dpmzos25m8ivg.cloudfront.net/Documentos/631/04039372050/6310403937205011092023134757.pdf","https://dpmzos25m8ivg.cloudfront.net/Documentos/631/04039372050/6310403937205011092023134757.pdf")</f>
        <v>https://dpmzos25m8ivg.cloudfront.net/Documentos/631/04039372050/6310403937205011092023134757.pdf</v>
      </c>
      <c r="G1722" s="5" t="str">
        <f>HYPERLINK("https://dpmzos25m8ivg.cloudfront.net/Documentos/631/04039372050/6310403937205011092023134816.pdf","https://dpmzos25m8ivg.cloudfront.net/Documentos/631/04039372050/6310403937205011092023134816.pdf")</f>
        <v>https://dpmzos25m8ivg.cloudfront.net/Documentos/631/04039372050/6310403937205011092023134816.pdf</v>
      </c>
      <c r="H1722" s="4" t="s">
        <v>10303</v>
      </c>
    </row>
    <row r="1723" spans="1:8" x14ac:dyDescent="0.25">
      <c r="A1723" s="2" t="s">
        <v>1737</v>
      </c>
      <c r="B1723" s="3"/>
      <c r="C1723" s="3"/>
      <c r="D1723" s="3"/>
      <c r="E1723" s="4" t="str">
        <f>HYPERLINK("https://dpmzos25m8ivg.cloudfront.net/Documentos/631/04039443179/6310403944317910092023203026.pdf","https://dpmzos25m8ivg.cloudfront.net/Documentos/631/04039443179/6310403944317910092023203026.pdf")</f>
        <v>https://dpmzos25m8ivg.cloudfront.net/Documentos/631/04039443179/6310403944317910092023203026.pdf</v>
      </c>
      <c r="F1723" s="5" t="str">
        <f>HYPERLINK("https://dpmzos25m8ivg.cloudfront.net/Documentos/631/04039443179/6310403944317910092023203041.pdf","https://dpmzos25m8ivg.cloudfront.net/Documentos/631/04039443179/6310403944317910092023203041.pdf")</f>
        <v>https://dpmzos25m8ivg.cloudfront.net/Documentos/631/04039443179/6310403944317910092023203041.pdf</v>
      </c>
      <c r="G1723" s="5" t="str">
        <f>HYPERLINK("https://dpmzos25m8ivg.cloudfront.net/Documentos/631/04039443179/6310403944317910092023203052.pdf","https://dpmzos25m8ivg.cloudfront.net/Documentos/631/04039443179/6310403944317910092023203052.pdf")</f>
        <v>https://dpmzos25m8ivg.cloudfront.net/Documentos/631/04039443179/6310403944317910092023203052.pdf</v>
      </c>
      <c r="H1723" s="4" t="s">
        <v>10304</v>
      </c>
    </row>
    <row r="1724" spans="1:8" x14ac:dyDescent="0.25">
      <c r="A1724" s="2" t="s">
        <v>1738</v>
      </c>
      <c r="B1724" s="3"/>
      <c r="C1724" s="3"/>
      <c r="D1724" s="3"/>
      <c r="E1724" s="4" t="str">
        <f>HYPERLINK("https://dpmzos25m8ivg.cloudfront.net/Documentos/631/04040398041/6310404039804110092023222218.pdf","https://dpmzos25m8ivg.cloudfront.net/Documentos/631/04040398041/6310404039804110092023222218.pdf")</f>
        <v>https://dpmzos25m8ivg.cloudfront.net/Documentos/631/04040398041/6310404039804110092023222218.pdf</v>
      </c>
      <c r="F1724" s="5" t="str">
        <f>HYPERLINK("https://dpmzos25m8ivg.cloudfront.net/Documentos/631/04040398041/6310404039804110092023222229.pdf","https://dpmzos25m8ivg.cloudfront.net/Documentos/631/04040398041/6310404039804110092023222229.pdf")</f>
        <v>https://dpmzos25m8ivg.cloudfront.net/Documentos/631/04040398041/6310404039804110092023222229.pdf</v>
      </c>
      <c r="G1724" s="5" t="str">
        <f>HYPERLINK("https://dpmzos25m8ivg.cloudfront.net/Documentos/631/04040398041/6310404039804110092023222239.pdf","https://dpmzos25m8ivg.cloudfront.net/Documentos/631/04040398041/6310404039804110092023222239.pdf")</f>
        <v>https://dpmzos25m8ivg.cloudfront.net/Documentos/631/04040398041/6310404039804110092023222239.pdf</v>
      </c>
      <c r="H1724" s="4" t="s">
        <v>10305</v>
      </c>
    </row>
    <row r="1725" spans="1:8" x14ac:dyDescent="0.25">
      <c r="A1725" s="2" t="s">
        <v>1739</v>
      </c>
      <c r="B1725" s="3"/>
      <c r="C1725" s="3"/>
      <c r="D1725" s="3"/>
      <c r="E1725" s="4" t="str">
        <f>HYPERLINK("https://dpmzos25m8ivg.cloudfront.net/Documentos/631/04043047290/6310404304729008092023194257.pdf","https://dpmzos25m8ivg.cloudfront.net/Documentos/631/04043047290/6310404304729008092023194257.pdf")</f>
        <v>https://dpmzos25m8ivg.cloudfront.net/Documentos/631/04043047290/6310404304729008092023194257.pdf</v>
      </c>
      <c r="F1725" s="5" t="str">
        <f>HYPERLINK("https://dpmzos25m8ivg.cloudfront.net/Documentos/631/04043047290/6310404304729008092023194308.pdf","https://dpmzos25m8ivg.cloudfront.net/Documentos/631/04043047290/6310404304729008092023194308.pdf")</f>
        <v>https://dpmzos25m8ivg.cloudfront.net/Documentos/631/04043047290/6310404304729008092023194308.pdf</v>
      </c>
      <c r="G1725" s="5" t="str">
        <f>HYPERLINK("https://dpmzos25m8ivg.cloudfront.net/Documentos/631/04043047290/6310404304729008092023194318.pdf","https://dpmzos25m8ivg.cloudfront.net/Documentos/631/04043047290/6310404304729008092023194318.pdf")</f>
        <v>https://dpmzos25m8ivg.cloudfront.net/Documentos/631/04043047290/6310404304729008092023194318.pdf</v>
      </c>
      <c r="H1725" s="4" t="s">
        <v>10306</v>
      </c>
    </row>
    <row r="1726" spans="1:8" x14ac:dyDescent="0.25">
      <c r="A1726" s="2" t="s">
        <v>1740</v>
      </c>
      <c r="B1726" s="3"/>
      <c r="C1726" s="3"/>
      <c r="D1726" s="3"/>
      <c r="E1726" s="4" t="str">
        <f>HYPERLINK("https://dpmzos25m8ivg.cloudfront.net/Documentos/631/04044635170/6310404463517011092023001355.pdf","https://dpmzos25m8ivg.cloudfront.net/Documentos/631/04044635170/6310404463517011092023001355.pdf")</f>
        <v>https://dpmzos25m8ivg.cloudfront.net/Documentos/631/04044635170/6310404463517011092023001355.pdf</v>
      </c>
      <c r="F1726" s="5" t="str">
        <f>HYPERLINK("https://dpmzos25m8ivg.cloudfront.net/Documentos/631/04044635170/6310404463517011092023001435.pdf","https://dpmzos25m8ivg.cloudfront.net/Documentos/631/04044635170/6310404463517011092023001435.pdf")</f>
        <v>https://dpmzos25m8ivg.cloudfront.net/Documentos/631/04044635170/6310404463517011092023001435.pdf</v>
      </c>
      <c r="G1726" s="5" t="str">
        <f>HYPERLINK("https://dpmzos25m8ivg.cloudfront.net/Documentos/631/04044635170/6310404463517011092023001512.pdf","https://dpmzos25m8ivg.cloudfront.net/Documentos/631/04044635170/6310404463517011092023001512.pdf")</f>
        <v>https://dpmzos25m8ivg.cloudfront.net/Documentos/631/04044635170/6310404463517011092023001512.pdf</v>
      </c>
      <c r="H1726" s="4" t="s">
        <v>10307</v>
      </c>
    </row>
    <row r="1727" spans="1:8" x14ac:dyDescent="0.25">
      <c r="A1727" s="2" t="s">
        <v>1741</v>
      </c>
      <c r="B1727" s="3"/>
      <c r="C1727" s="3"/>
      <c r="D1727" s="3"/>
      <c r="E1727" s="4" t="str">
        <f>HYPERLINK("https://dpmzos25m8ivg.cloudfront.net/Documentos/631/04048341677/6310404834167708092023223612.jpg","https://dpmzos25m8ivg.cloudfront.net/Documentos/631/04048341677/6310404834167708092023223612.jpg")</f>
        <v>https://dpmzos25m8ivg.cloudfront.net/Documentos/631/04048341677/6310404834167708092023223612.jpg</v>
      </c>
      <c r="F1727" s="5" t="str">
        <f>HYPERLINK("https://dpmzos25m8ivg.cloudfront.net/Documentos/631/04048341677/6310404834167708092023223659.jpg","https://dpmzos25m8ivg.cloudfront.net/Documentos/631/04048341677/6310404834167708092023223659.jpg")</f>
        <v>https://dpmzos25m8ivg.cloudfront.net/Documentos/631/04048341677/6310404834167708092023223659.jpg</v>
      </c>
      <c r="G1727" s="5" t="str">
        <f>HYPERLINK("https://dpmzos25m8ivg.cloudfront.net/Documentos/631/04048341677/6310404834167708092023223735.jpg","https://dpmzos25m8ivg.cloudfront.net/Documentos/631/04048341677/6310404834167708092023223735.jpg")</f>
        <v>https://dpmzos25m8ivg.cloudfront.net/Documentos/631/04048341677/6310404834167708092023223735.jpg</v>
      </c>
      <c r="H1727" s="4" t="s">
        <v>10308</v>
      </c>
    </row>
    <row r="1728" spans="1:8" x14ac:dyDescent="0.25">
      <c r="A1728" s="2" t="s">
        <v>1742</v>
      </c>
      <c r="B1728" s="3"/>
      <c r="C1728" s="3"/>
      <c r="D1728" s="3"/>
      <c r="E1728" s="4" t="str">
        <f>HYPERLINK("https://dpmzos25m8ivg.cloudfront.net/Documentos/631/04051697525/6310405169752511092023154825.jpeg","https://dpmzos25m8ivg.cloudfront.net/Documentos/631/04051697525/6310405169752511092023154825.jpeg")</f>
        <v>https://dpmzos25m8ivg.cloudfront.net/Documentos/631/04051697525/6310405169752511092023154825.jpeg</v>
      </c>
      <c r="F1728" s="5" t="str">
        <f>HYPERLINK("https://dpmzos25m8ivg.cloudfront.net/Documentos/631/04051697525/6310405169752511092023154907.jpeg","https://dpmzos25m8ivg.cloudfront.net/Documentos/631/04051697525/6310405169752511092023154907.jpeg")</f>
        <v>https://dpmzos25m8ivg.cloudfront.net/Documentos/631/04051697525/6310405169752511092023154907.jpeg</v>
      </c>
      <c r="G1728" s="5" t="str">
        <f>HYPERLINK("https://dpmzos25m8ivg.cloudfront.net/Documentos/631/04051697525/6310405169752511092023154934.jpeg","https://dpmzos25m8ivg.cloudfront.net/Documentos/631/04051697525/6310405169752511092023154934.jpeg")</f>
        <v>https://dpmzos25m8ivg.cloudfront.net/Documentos/631/04051697525/6310405169752511092023154934.jpeg</v>
      </c>
      <c r="H1728" s="4" t="s">
        <v>10309</v>
      </c>
    </row>
    <row r="1729" spans="1:8" x14ac:dyDescent="0.25">
      <c r="A1729" s="2" t="s">
        <v>1743</v>
      </c>
      <c r="B1729" s="3"/>
      <c r="C1729" s="3"/>
      <c r="D1729" s="3"/>
      <c r="E1729" s="4" t="str">
        <f>HYPERLINK("https://dpmzos25m8ivg.cloudfront.net/Documentos/631/04053237270/6310405323727011092023125631.pdf","https://dpmzos25m8ivg.cloudfront.net/Documentos/631/04053237270/6310405323727011092023125631.pdf")</f>
        <v>https://dpmzos25m8ivg.cloudfront.net/Documentos/631/04053237270/6310405323727011092023125631.pdf</v>
      </c>
      <c r="F1729" s="5" t="str">
        <f>HYPERLINK("https://dpmzos25m8ivg.cloudfront.net/Documentos/631/04053237270/6310405323727011092023125650.pdf","https://dpmzos25m8ivg.cloudfront.net/Documentos/631/04053237270/6310405323727011092023125650.pdf")</f>
        <v>https://dpmzos25m8ivg.cloudfront.net/Documentos/631/04053237270/6310405323727011092023125650.pdf</v>
      </c>
      <c r="G1729" s="5" t="str">
        <f>HYPERLINK("https://dpmzos25m8ivg.cloudfront.net/Documentos/631/04053237270/6310405323727011092023130008.pdf","https://dpmzos25m8ivg.cloudfront.net/Documentos/631/04053237270/6310405323727011092023130008.pdf")</f>
        <v>https://dpmzos25m8ivg.cloudfront.net/Documentos/631/04053237270/6310405323727011092023130008.pdf</v>
      </c>
      <c r="H1729" s="4" t="s">
        <v>10310</v>
      </c>
    </row>
    <row r="1730" spans="1:8" x14ac:dyDescent="0.25">
      <c r="A1730" s="2" t="s">
        <v>1744</v>
      </c>
      <c r="B1730" s="3"/>
      <c r="C1730" s="3"/>
      <c r="D1730" s="3"/>
      <c r="E1730" s="4" t="str">
        <f>HYPERLINK("https://dpmzos25m8ivg.cloudfront.net/Documentos/631/04055677588/6310405567758806092023095438.pdf","https://dpmzos25m8ivg.cloudfront.net/Documentos/631/04055677588/6310405567758806092023095438.pdf")</f>
        <v>https://dpmzos25m8ivg.cloudfront.net/Documentos/631/04055677588/6310405567758806092023095438.pdf</v>
      </c>
      <c r="F1730" s="5" t="str">
        <f>HYPERLINK("https://dpmzos25m8ivg.cloudfront.net/Documentos/631/04055677588/6310405567758806092023095446.pdf","https://dpmzos25m8ivg.cloudfront.net/Documentos/631/04055677588/6310405567758806092023095446.pdf")</f>
        <v>https://dpmzos25m8ivg.cloudfront.net/Documentos/631/04055677588/6310405567758806092023095446.pdf</v>
      </c>
      <c r="G1730" s="5" t="str">
        <f>HYPERLINK("https://dpmzos25m8ivg.cloudfront.net/Documentos/631/04055677588/6310405567758806092023095452.pdf","https://dpmzos25m8ivg.cloudfront.net/Documentos/631/04055677588/6310405567758806092023095452.pdf")</f>
        <v>https://dpmzos25m8ivg.cloudfront.net/Documentos/631/04055677588/6310405567758806092023095452.pdf</v>
      </c>
      <c r="H1730" s="4" t="s">
        <v>10311</v>
      </c>
    </row>
    <row r="1731" spans="1:8" x14ac:dyDescent="0.25">
      <c r="A1731" s="2" t="s">
        <v>1745</v>
      </c>
      <c r="B1731" s="3"/>
      <c r="C1731" s="3"/>
      <c r="D1731" s="3"/>
      <c r="E1731" s="4" t="str">
        <f>HYPERLINK("https://dpmzos25m8ivg.cloudfront.net/Documentos/631/04057466525/6310405746652511092023113129.pdf","https://dpmzos25m8ivg.cloudfront.net/Documentos/631/04057466525/6310405746652511092023113129.pdf")</f>
        <v>https://dpmzos25m8ivg.cloudfront.net/Documentos/631/04057466525/6310405746652511092023113129.pdf</v>
      </c>
      <c r="F1731" s="5" t="str">
        <f>HYPERLINK("https://dpmzos25m8ivg.cloudfront.net/Documentos/631/04057466525/6310405746652511092023113149.pdf","https://dpmzos25m8ivg.cloudfront.net/Documentos/631/04057466525/6310405746652511092023113149.pdf")</f>
        <v>https://dpmzos25m8ivg.cloudfront.net/Documentos/631/04057466525/6310405746652511092023113149.pdf</v>
      </c>
      <c r="G1731" s="5" t="str">
        <f>HYPERLINK("https://dpmzos25m8ivg.cloudfront.net/Documentos/631/04057466525/6310405746652511092023113209.pdf","https://dpmzos25m8ivg.cloudfront.net/Documentos/631/04057466525/6310405746652511092023113209.pdf")</f>
        <v>https://dpmzos25m8ivg.cloudfront.net/Documentos/631/04057466525/6310405746652511092023113209.pdf</v>
      </c>
      <c r="H1731" s="4" t="s">
        <v>10312</v>
      </c>
    </row>
    <row r="1732" spans="1:8" x14ac:dyDescent="0.25">
      <c r="A1732" s="2" t="s">
        <v>1746</v>
      </c>
      <c r="B1732" s="3"/>
      <c r="C1732" s="3"/>
      <c r="D1732" s="3"/>
      <c r="E1732" s="4" t="str">
        <f>HYPERLINK("https://dpmzos25m8ivg.cloudfront.net/Documentos/631/04058552654/6310405855265405092023134804.pdf","https://dpmzos25m8ivg.cloudfront.net/Documentos/631/04058552654/6310405855265405092023134804.pdf")</f>
        <v>https://dpmzos25m8ivg.cloudfront.net/Documentos/631/04058552654/6310405855265405092023134804.pdf</v>
      </c>
      <c r="F1732" s="5" t="str">
        <f>HYPERLINK("https://dpmzos25m8ivg.cloudfront.net/Documentos/631/04058552654/6310405855265405092023134826.pdf","https://dpmzos25m8ivg.cloudfront.net/Documentos/631/04058552654/6310405855265405092023134826.pdf")</f>
        <v>https://dpmzos25m8ivg.cloudfront.net/Documentos/631/04058552654/6310405855265405092023134826.pdf</v>
      </c>
      <c r="G1732" s="5" t="str">
        <f>HYPERLINK("https://dpmzos25m8ivg.cloudfront.net/Documentos/631/04058552654/6310405855265405092023134844.pdf","https://dpmzos25m8ivg.cloudfront.net/Documentos/631/04058552654/6310405855265405092023134844.pdf")</f>
        <v>https://dpmzos25m8ivg.cloudfront.net/Documentos/631/04058552654/6310405855265405092023134844.pdf</v>
      </c>
      <c r="H1732" s="4" t="s">
        <v>10313</v>
      </c>
    </row>
    <row r="1733" spans="1:8" x14ac:dyDescent="0.25">
      <c r="A1733" s="2" t="s">
        <v>1747</v>
      </c>
      <c r="B1733" s="3"/>
      <c r="C1733" s="3"/>
      <c r="D1733" s="3"/>
      <c r="E1733" s="4" t="str">
        <f>HYPERLINK("https://dpmzos25m8ivg.cloudfront.net/Documentos/631/04061722697/6310406172269705092023173706.pdf","https://dpmzos25m8ivg.cloudfront.net/Documentos/631/04061722697/6310406172269705092023173706.pdf")</f>
        <v>https://dpmzos25m8ivg.cloudfront.net/Documentos/631/04061722697/6310406172269705092023173706.pdf</v>
      </c>
      <c r="F1733" s="5" t="str">
        <f>HYPERLINK("https://dpmzos25m8ivg.cloudfront.net/Documentos/631/04061722697/6310406172269705092023173728.pdf","https://dpmzos25m8ivg.cloudfront.net/Documentos/631/04061722697/6310406172269705092023173728.pdf")</f>
        <v>https://dpmzos25m8ivg.cloudfront.net/Documentos/631/04061722697/6310406172269705092023173728.pdf</v>
      </c>
      <c r="G1733" s="5" t="str">
        <f>HYPERLINK("https://dpmzos25m8ivg.cloudfront.net/Documentos/631/04061722697/6310406172269705092023173746.pdf","https://dpmzos25m8ivg.cloudfront.net/Documentos/631/04061722697/6310406172269705092023173746.pdf")</f>
        <v>https://dpmzos25m8ivg.cloudfront.net/Documentos/631/04061722697/6310406172269705092023173746.pdf</v>
      </c>
      <c r="H1733" s="4" t="s">
        <v>10314</v>
      </c>
    </row>
    <row r="1734" spans="1:8" x14ac:dyDescent="0.25">
      <c r="A1734" s="2" t="s">
        <v>1748</v>
      </c>
      <c r="B1734" s="3"/>
      <c r="C1734" s="3"/>
      <c r="D1734" s="3"/>
      <c r="E1734" s="4" t="str">
        <f>HYPERLINK("https://dpmzos25m8ivg.cloudfront.net/Documentos/631/04063700011/6310406370001105092023093306.pdf","https://dpmzos25m8ivg.cloudfront.net/Documentos/631/04063700011/6310406370001105092023093306.pdf")</f>
        <v>https://dpmzos25m8ivg.cloudfront.net/Documentos/631/04063700011/6310406370001105092023093306.pdf</v>
      </c>
      <c r="F1734" s="5" t="str">
        <f>HYPERLINK("https://dpmzos25m8ivg.cloudfront.net/Documentos/631/04063700011/6310406370001105092023093329.pdf","https://dpmzos25m8ivg.cloudfront.net/Documentos/631/04063700011/6310406370001105092023093329.pdf")</f>
        <v>https://dpmzos25m8ivg.cloudfront.net/Documentos/631/04063700011/6310406370001105092023093329.pdf</v>
      </c>
      <c r="G1734" s="5" t="str">
        <f>HYPERLINK("https://dpmzos25m8ivg.cloudfront.net/Documentos/631/04063700011/6310406370001105092023093350.pdf","https://dpmzos25m8ivg.cloudfront.net/Documentos/631/04063700011/6310406370001105092023093350.pdf")</f>
        <v>https://dpmzos25m8ivg.cloudfront.net/Documentos/631/04063700011/6310406370001105092023093350.pdf</v>
      </c>
      <c r="H1734" s="4" t="s">
        <v>10315</v>
      </c>
    </row>
    <row r="1735" spans="1:8" x14ac:dyDescent="0.25">
      <c r="A1735" s="2" t="s">
        <v>1749</v>
      </c>
      <c r="B1735" s="3"/>
      <c r="C1735" s="3"/>
      <c r="D1735" s="3"/>
      <c r="E1735" s="4" t="str">
        <f>HYPERLINK("https://dpmzos25m8ivg.cloudfront.net/Documentos/631/04066379117/6310406637911706092023161000.pdf","https://dpmzos25m8ivg.cloudfront.net/Documentos/631/04066379117/6310406637911706092023161000.pdf")</f>
        <v>https://dpmzos25m8ivg.cloudfront.net/Documentos/631/04066379117/6310406637911706092023161000.pdf</v>
      </c>
      <c r="F1735" s="5" t="str">
        <f>HYPERLINK("https://dpmzos25m8ivg.cloudfront.net/Documentos/631/04066379117/6310406637911706092023161017.pdf","https://dpmzos25m8ivg.cloudfront.net/Documentos/631/04066379117/6310406637911706092023161017.pdf")</f>
        <v>https://dpmzos25m8ivg.cloudfront.net/Documentos/631/04066379117/6310406637911706092023161017.pdf</v>
      </c>
      <c r="G1735" s="5" t="str">
        <f>HYPERLINK("https://dpmzos25m8ivg.cloudfront.net/Documentos/631/04066379117/6310406637911706092023161028.pdf","https://dpmzos25m8ivg.cloudfront.net/Documentos/631/04066379117/6310406637911706092023161028.pdf")</f>
        <v>https://dpmzos25m8ivg.cloudfront.net/Documentos/631/04066379117/6310406637911706092023161028.pdf</v>
      </c>
      <c r="H1735" s="4" t="s">
        <v>10316</v>
      </c>
    </row>
    <row r="1736" spans="1:8" x14ac:dyDescent="0.25">
      <c r="A1736" s="2" t="s">
        <v>1750</v>
      </c>
      <c r="B1736" s="3"/>
      <c r="C1736" s="3"/>
      <c r="D1736" s="3"/>
      <c r="E1736" s="4" t="str">
        <f>HYPERLINK("https://dpmzos25m8ivg.cloudfront.net/Documentos/631/04071342129/6310407134212906092023152310.pdf","https://dpmzos25m8ivg.cloudfront.net/Documentos/631/04071342129/6310407134212906092023152310.pdf")</f>
        <v>https://dpmzos25m8ivg.cloudfront.net/Documentos/631/04071342129/6310407134212906092023152310.pdf</v>
      </c>
      <c r="F1736" s="5" t="str">
        <f>HYPERLINK("https://dpmzos25m8ivg.cloudfront.net/Documentos/631/04071342129/6310407134212906092023152325.pdf","https://dpmzos25m8ivg.cloudfront.net/Documentos/631/04071342129/6310407134212906092023152325.pdf")</f>
        <v>https://dpmzos25m8ivg.cloudfront.net/Documentos/631/04071342129/6310407134212906092023152325.pdf</v>
      </c>
      <c r="G1736" s="5" t="str">
        <f>HYPERLINK("https://dpmzos25m8ivg.cloudfront.net/Documentos/631/04071342129/6310407134212906092023152337.pdf","https://dpmzos25m8ivg.cloudfront.net/Documentos/631/04071342129/6310407134212906092023152337.pdf")</f>
        <v>https://dpmzos25m8ivg.cloudfront.net/Documentos/631/04071342129/6310407134212906092023152337.pdf</v>
      </c>
      <c r="H1736" s="4" t="s">
        <v>10317</v>
      </c>
    </row>
    <row r="1737" spans="1:8" x14ac:dyDescent="0.25">
      <c r="A1737" s="2" t="s">
        <v>1751</v>
      </c>
      <c r="B1737" s="3"/>
      <c r="C1737" s="3"/>
      <c r="D1737" s="3"/>
      <c r="E1737" s="4" t="str">
        <f>HYPERLINK("https://dpmzos25m8ivg.cloudfront.net/Documentos/631/04071967226/6310407196722610092023173614.pdf","https://dpmzos25m8ivg.cloudfront.net/Documentos/631/04071967226/6310407196722610092023173614.pdf")</f>
        <v>https://dpmzos25m8ivg.cloudfront.net/Documentos/631/04071967226/6310407196722610092023173614.pdf</v>
      </c>
      <c r="F1737" s="5" t="str">
        <f>HYPERLINK("https://dpmzos25m8ivg.cloudfront.net/Documentos/631/04071967226/6310407196722610092023173627.pdf","https://dpmzos25m8ivg.cloudfront.net/Documentos/631/04071967226/6310407196722610092023173627.pdf")</f>
        <v>https://dpmzos25m8ivg.cloudfront.net/Documentos/631/04071967226/6310407196722610092023173627.pdf</v>
      </c>
      <c r="G1737" s="5" t="str">
        <f>HYPERLINK("https://dpmzos25m8ivg.cloudfront.net/Documentos/631/04071967226/6310407196722610092023173657.pdf","https://dpmzos25m8ivg.cloudfront.net/Documentos/631/04071967226/6310407196722610092023173657.pdf")</f>
        <v>https://dpmzos25m8ivg.cloudfront.net/Documentos/631/04071967226/6310407196722610092023173657.pdf</v>
      </c>
      <c r="H1737" s="4" t="s">
        <v>10318</v>
      </c>
    </row>
    <row r="1738" spans="1:8" x14ac:dyDescent="0.25">
      <c r="A1738" s="2" t="s">
        <v>1752</v>
      </c>
      <c r="B1738" s="3"/>
      <c r="C1738" s="3"/>
      <c r="D1738" s="3"/>
      <c r="E1738" s="4" t="str">
        <f>HYPERLINK("https://dpmzos25m8ivg.cloudfront.net/Documentos/631/04072512354/6310407251235411092023105742.jpg","https://dpmzos25m8ivg.cloudfront.net/Documentos/631/04072512354/6310407251235411092023105742.jpg")</f>
        <v>https://dpmzos25m8ivg.cloudfront.net/Documentos/631/04072512354/6310407251235411092023105742.jpg</v>
      </c>
      <c r="F1738" s="5" t="str">
        <f>HYPERLINK("https://dpmzos25m8ivg.cloudfront.net/Documentos/631/04072512354/6310407251235411092023105805.jpg","https://dpmzos25m8ivg.cloudfront.net/Documentos/631/04072512354/6310407251235411092023105805.jpg")</f>
        <v>https://dpmzos25m8ivg.cloudfront.net/Documentos/631/04072512354/6310407251235411092023105805.jpg</v>
      </c>
      <c r="G1738" s="5" t="str">
        <f>HYPERLINK("https://dpmzos25m8ivg.cloudfront.net/Documentos/631/04072512354/6310407251235411092023105816.jpg","https://dpmzos25m8ivg.cloudfront.net/Documentos/631/04072512354/6310407251235411092023105816.jpg")</f>
        <v>https://dpmzos25m8ivg.cloudfront.net/Documentos/631/04072512354/6310407251235411092023105816.jpg</v>
      </c>
      <c r="H1738" s="4" t="s">
        <v>10319</v>
      </c>
    </row>
    <row r="1739" spans="1:8" x14ac:dyDescent="0.25">
      <c r="A1739" s="2" t="s">
        <v>1753</v>
      </c>
      <c r="B1739" s="3" t="s">
        <v>312</v>
      </c>
      <c r="C1739" s="3"/>
      <c r="D1739" s="3"/>
      <c r="E1739" s="4" t="str">
        <f>HYPERLINK("https://dpmzos25m8ivg.cloudfront.net/Documentos/631/04075227197/6310407522719711092023000557.pdf","https://dpmzos25m8ivg.cloudfront.net/Documentos/631/04075227197/6310407522719711092023000557.pdf")</f>
        <v>https://dpmzos25m8ivg.cloudfront.net/Documentos/631/04075227197/6310407522719711092023000557.pdf</v>
      </c>
      <c r="F1739" s="5" t="str">
        <f>HYPERLINK("https://dpmzos25m8ivg.cloudfront.net/Documentos/631/04075227197/6310407522719711092023000607.pdf","https://dpmzos25m8ivg.cloudfront.net/Documentos/631/04075227197/6310407522719711092023000607.pdf")</f>
        <v>https://dpmzos25m8ivg.cloudfront.net/Documentos/631/04075227197/6310407522719711092023000607.pdf</v>
      </c>
      <c r="G1739" s="5" t="str">
        <f>HYPERLINK("https://dpmzos25m8ivg.cloudfront.net/Documentos/631/04075227197/6310407522719711092023000629.pdf","https://dpmzos25m8ivg.cloudfront.net/Documentos/631/04075227197/6310407522719711092023000629.pdf")</f>
        <v>https://dpmzos25m8ivg.cloudfront.net/Documentos/631/04075227197/6310407522719711092023000629.pdf</v>
      </c>
      <c r="H1739" s="4" t="s">
        <v>10320</v>
      </c>
    </row>
    <row r="1740" spans="1:8" x14ac:dyDescent="0.25">
      <c r="A1740" s="2" t="s">
        <v>1754</v>
      </c>
      <c r="B1740" s="3"/>
      <c r="C1740" s="3"/>
      <c r="D1740" s="3"/>
      <c r="E1740" s="4" t="str">
        <f>HYPERLINK("https://dpmzos25m8ivg.cloudfront.net/Documentos/631/04075249913/6310407524991308092023223506.pdf","https://dpmzos25m8ivg.cloudfront.net/Documentos/631/04075249913/6310407524991308092023223506.pdf")</f>
        <v>https://dpmzos25m8ivg.cloudfront.net/Documentos/631/04075249913/6310407524991308092023223506.pdf</v>
      </c>
      <c r="F1740" s="5" t="str">
        <f>HYPERLINK("https://dpmzos25m8ivg.cloudfront.net/Documentos/631/04075249913/6310407524991308092023223524.pdf","https://dpmzos25m8ivg.cloudfront.net/Documentos/631/04075249913/6310407524991308092023223524.pdf")</f>
        <v>https://dpmzos25m8ivg.cloudfront.net/Documentos/631/04075249913/6310407524991308092023223524.pdf</v>
      </c>
      <c r="G1740" s="5" t="str">
        <f>HYPERLINK("https://dpmzos25m8ivg.cloudfront.net/Documentos/631/04075249913/6310407524991308092023223537.pdf","https://dpmzos25m8ivg.cloudfront.net/Documentos/631/04075249913/6310407524991308092023223537.pdf")</f>
        <v>https://dpmzos25m8ivg.cloudfront.net/Documentos/631/04075249913/6310407524991308092023223537.pdf</v>
      </c>
      <c r="H1740" s="4" t="s">
        <v>10321</v>
      </c>
    </row>
    <row r="1741" spans="1:8" x14ac:dyDescent="0.25">
      <c r="A1741" s="2" t="s">
        <v>1755</v>
      </c>
      <c r="B1741" s="3"/>
      <c r="C1741" s="3"/>
      <c r="D1741" s="3"/>
      <c r="E1741" s="4" t="str">
        <f>HYPERLINK("https://dpmzos25m8ivg.cloudfront.net/Documentos/631/04076457137/6310407645713708092023172127.jpeg","https://dpmzos25m8ivg.cloudfront.net/Documentos/631/04076457137/6310407645713708092023172127.jpeg")</f>
        <v>https://dpmzos25m8ivg.cloudfront.net/Documentos/631/04076457137/6310407645713708092023172127.jpeg</v>
      </c>
      <c r="F1741" s="5" t="str">
        <f>HYPERLINK("https://dpmzos25m8ivg.cloudfront.net/Documentos/631/04076457137/6310407645713708092023173836.jpeg","https://dpmzos25m8ivg.cloudfront.net/Documentos/631/04076457137/6310407645713708092023173836.jpeg")</f>
        <v>https://dpmzos25m8ivg.cloudfront.net/Documentos/631/04076457137/6310407645713708092023173836.jpeg</v>
      </c>
      <c r="G1741" s="5" t="str">
        <f>HYPERLINK("https://dpmzos25m8ivg.cloudfront.net/Documentos/631/04076457137/6310407645713708092023173750.jpeg","https://dpmzos25m8ivg.cloudfront.net/Documentos/631/04076457137/6310407645713708092023173750.jpeg")</f>
        <v>https://dpmzos25m8ivg.cloudfront.net/Documentos/631/04076457137/6310407645713708092023173750.jpeg</v>
      </c>
      <c r="H1741" s="4" t="s">
        <v>10322</v>
      </c>
    </row>
    <row r="1742" spans="1:8" x14ac:dyDescent="0.25">
      <c r="A1742" s="2" t="s">
        <v>1756</v>
      </c>
      <c r="B1742" s="3" t="s">
        <v>308</v>
      </c>
      <c r="C1742" s="3"/>
      <c r="D1742" s="3"/>
      <c r="E1742" s="4" t="str">
        <f>HYPERLINK("https://dpmzos25m8ivg.cloudfront.net/Documentos/631/04076878582/6310407687858211092023114407.pdf","https://dpmzos25m8ivg.cloudfront.net/Documentos/631/04076878582/6310407687858211092023114407.pdf")</f>
        <v>https://dpmzos25m8ivg.cloudfront.net/Documentos/631/04076878582/6310407687858211092023114407.pdf</v>
      </c>
      <c r="F1742" s="5" t="str">
        <f>HYPERLINK("https://dpmzos25m8ivg.cloudfront.net/Documentos/631/04076878582/6310407687858211092023114419.pdf","https://dpmzos25m8ivg.cloudfront.net/Documentos/631/04076878582/6310407687858211092023114419.pdf")</f>
        <v>https://dpmzos25m8ivg.cloudfront.net/Documentos/631/04076878582/6310407687858211092023114419.pdf</v>
      </c>
      <c r="G1742" s="5" t="str">
        <f>HYPERLINK("https://dpmzos25m8ivg.cloudfront.net/Documentos/631/04076878582/6310407687858211092023114430.pdf","https://dpmzos25m8ivg.cloudfront.net/Documentos/631/04076878582/6310407687858211092023114430.pdf")</f>
        <v>https://dpmzos25m8ivg.cloudfront.net/Documentos/631/04076878582/6310407687858211092023114430.pdf</v>
      </c>
      <c r="H1742" s="4" t="s">
        <v>10323</v>
      </c>
    </row>
    <row r="1743" spans="1:8" x14ac:dyDescent="0.25">
      <c r="A1743" s="2" t="s">
        <v>1757</v>
      </c>
      <c r="B1743" s="3"/>
      <c r="C1743" s="3"/>
      <c r="D1743" s="3"/>
      <c r="E1743" s="4" t="str">
        <f>HYPERLINK("https://dpmzos25m8ivg.cloudfront.net/Documentos/631/04078424384/6310407842438408092023105258.pdf","https://dpmzos25m8ivg.cloudfront.net/Documentos/631/04078424384/6310407842438408092023105258.pdf")</f>
        <v>https://dpmzos25m8ivg.cloudfront.net/Documentos/631/04078424384/6310407842438408092023105258.pdf</v>
      </c>
      <c r="F1743" s="5" t="str">
        <f>HYPERLINK("https://dpmzos25m8ivg.cloudfront.net/Documentos/631/04078424384/6310407842438408092023105528.pdf","https://dpmzos25m8ivg.cloudfront.net/Documentos/631/04078424384/6310407842438408092023105528.pdf")</f>
        <v>https://dpmzos25m8ivg.cloudfront.net/Documentos/631/04078424384/6310407842438408092023105528.pdf</v>
      </c>
      <c r="G1743" s="5" t="str">
        <f>HYPERLINK("https://dpmzos25m8ivg.cloudfront.net/Documentos/631/04078424384/6310407842438408092023105617.pdf","https://dpmzos25m8ivg.cloudfront.net/Documentos/631/04078424384/6310407842438408092023105617.pdf")</f>
        <v>https://dpmzos25m8ivg.cloudfront.net/Documentos/631/04078424384/6310407842438408092023105617.pdf</v>
      </c>
      <c r="H1743" s="4" t="s">
        <v>10324</v>
      </c>
    </row>
    <row r="1744" spans="1:8" x14ac:dyDescent="0.25">
      <c r="A1744" s="2" t="s">
        <v>1758</v>
      </c>
      <c r="B1744" s="3"/>
      <c r="C1744" s="3"/>
      <c r="D1744" s="3"/>
      <c r="E1744" s="4" t="str">
        <f>HYPERLINK("https://dpmzos25m8ivg.cloudfront.net/Documentos/631/04080811209/6310408081120911092023152325.pdf","https://dpmzos25m8ivg.cloudfront.net/Documentos/631/04080811209/6310408081120911092023152325.pdf")</f>
        <v>https://dpmzos25m8ivg.cloudfront.net/Documentos/631/04080811209/6310408081120911092023152325.pdf</v>
      </c>
      <c r="F1744" s="5" t="str">
        <f>HYPERLINK("https://dpmzos25m8ivg.cloudfront.net/Documentos/631/04080811209/6310408081120911092023152334.pdf","https://dpmzos25m8ivg.cloudfront.net/Documentos/631/04080811209/6310408081120911092023152334.pdf")</f>
        <v>https://dpmzos25m8ivg.cloudfront.net/Documentos/631/04080811209/6310408081120911092023152334.pdf</v>
      </c>
      <c r="G1744" s="5" t="str">
        <f>HYPERLINK("https://dpmzos25m8ivg.cloudfront.net/Documentos/631/04080811209/6310408081120911092023152342.pdf","https://dpmzos25m8ivg.cloudfront.net/Documentos/631/04080811209/6310408081120911092023152342.pdf")</f>
        <v>https://dpmzos25m8ivg.cloudfront.net/Documentos/631/04080811209/6310408081120911092023152342.pdf</v>
      </c>
      <c r="H1744" s="4" t="s">
        <v>10325</v>
      </c>
    </row>
    <row r="1745" spans="1:8" x14ac:dyDescent="0.25">
      <c r="A1745" s="2" t="s">
        <v>1759</v>
      </c>
      <c r="B1745" s="3"/>
      <c r="C1745" s="3"/>
      <c r="D1745" s="3"/>
      <c r="E1745" s="4" t="str">
        <f>HYPERLINK("https://dpmzos25m8ivg.cloudfront.net/Documentos/631/04082161155/6310408216115511092023160544.pdf","https://dpmzos25m8ivg.cloudfront.net/Documentos/631/04082161155/6310408216115511092023160544.pdf")</f>
        <v>https://dpmzos25m8ivg.cloudfront.net/Documentos/631/04082161155/6310408216115511092023160544.pdf</v>
      </c>
      <c r="F1745" s="5" t="str">
        <f>HYPERLINK("https://dpmzos25m8ivg.cloudfront.net/Documentos/631/04082161155/6310408216115511092023160556.pdf","https://dpmzos25m8ivg.cloudfront.net/Documentos/631/04082161155/6310408216115511092023160556.pdf")</f>
        <v>https://dpmzos25m8ivg.cloudfront.net/Documentos/631/04082161155/6310408216115511092023160556.pdf</v>
      </c>
      <c r="G1745" s="5" t="str">
        <f>HYPERLINK("https://dpmzos25m8ivg.cloudfront.net/Documentos/631/04082161155/6310408216115511092023160606.pdf","https://dpmzos25m8ivg.cloudfront.net/Documentos/631/04082161155/6310408216115511092023160606.pdf")</f>
        <v>https://dpmzos25m8ivg.cloudfront.net/Documentos/631/04082161155/6310408216115511092023160606.pdf</v>
      </c>
      <c r="H1745" s="4" t="s">
        <v>10326</v>
      </c>
    </row>
    <row r="1746" spans="1:8" x14ac:dyDescent="0.25">
      <c r="A1746" s="2" t="s">
        <v>1760</v>
      </c>
      <c r="B1746" s="3"/>
      <c r="C1746" s="3"/>
      <c r="D1746" s="3"/>
      <c r="E1746" s="4" t="str">
        <f>HYPERLINK("https://dpmzos25m8ivg.cloudfront.net/Documentos/631/04082437169/6310408243716911092023154630.jpg","https://dpmzos25m8ivg.cloudfront.net/Documentos/631/04082437169/6310408243716911092023154630.jpg")</f>
        <v>https://dpmzos25m8ivg.cloudfront.net/Documentos/631/04082437169/6310408243716911092023154630.jpg</v>
      </c>
      <c r="F1746" s="5" t="str">
        <f>HYPERLINK("https://dpmzos25m8ivg.cloudfront.net/Documentos/631/04082437169/6310408243716911092023154637.jpg","https://dpmzos25m8ivg.cloudfront.net/Documentos/631/04082437169/6310408243716911092023154637.jpg")</f>
        <v>https://dpmzos25m8ivg.cloudfront.net/Documentos/631/04082437169/6310408243716911092023154637.jpg</v>
      </c>
      <c r="G1746" s="5" t="str">
        <f>HYPERLINK("https://dpmzos25m8ivg.cloudfront.net/Documentos/631/04082437169/6310408243716911092023154645.jpg","https://dpmzos25m8ivg.cloudfront.net/Documentos/631/04082437169/6310408243716911092023154645.jpg")</f>
        <v>https://dpmzos25m8ivg.cloudfront.net/Documentos/631/04082437169/6310408243716911092023154645.jpg</v>
      </c>
      <c r="H1746" s="4" t="s">
        <v>10327</v>
      </c>
    </row>
    <row r="1747" spans="1:8" x14ac:dyDescent="0.25">
      <c r="A1747" s="2" t="s">
        <v>1761</v>
      </c>
      <c r="B1747" s="3"/>
      <c r="C1747" s="3"/>
      <c r="D1747" s="3"/>
      <c r="E1747" s="4" t="str">
        <f>HYPERLINK("https://dpmzos25m8ivg.cloudfront.net/Documentos/631/04083713313/6310408371331306092023102533.pdf","https://dpmzos25m8ivg.cloudfront.net/Documentos/631/04083713313/6310408371331306092023102533.pdf")</f>
        <v>https://dpmzos25m8ivg.cloudfront.net/Documentos/631/04083713313/6310408371331306092023102533.pdf</v>
      </c>
      <c r="F1747" s="5" t="str">
        <f>HYPERLINK("https://dpmzos25m8ivg.cloudfront.net/Documentos/631/04083713313/6310408371331306092023102543.pdf","https://dpmzos25m8ivg.cloudfront.net/Documentos/631/04083713313/6310408371331306092023102543.pdf")</f>
        <v>https://dpmzos25m8ivg.cloudfront.net/Documentos/631/04083713313/6310408371331306092023102543.pdf</v>
      </c>
      <c r="G1747" s="5" t="str">
        <f>HYPERLINK("https://dpmzos25m8ivg.cloudfront.net/Documentos/631/04083713313/6310408371331306092023102603.pdf","https://dpmzos25m8ivg.cloudfront.net/Documentos/631/04083713313/6310408371331306092023102603.pdf")</f>
        <v>https://dpmzos25m8ivg.cloudfront.net/Documentos/631/04083713313/6310408371331306092023102603.pdf</v>
      </c>
      <c r="H1747" s="4" t="s">
        <v>10328</v>
      </c>
    </row>
    <row r="1748" spans="1:8" x14ac:dyDescent="0.25">
      <c r="A1748" s="2" t="s">
        <v>1762</v>
      </c>
      <c r="B1748" s="3"/>
      <c r="C1748" s="3"/>
      <c r="D1748" s="3"/>
      <c r="E1748" s="4" t="str">
        <f>HYPERLINK("https://dpmzos25m8ivg.cloudfront.net/Documentos/631/04084715573/6310408471557311092023125230.jpg","https://dpmzos25m8ivg.cloudfront.net/Documentos/631/04084715573/6310408471557311092023125230.jpg")</f>
        <v>https://dpmzos25m8ivg.cloudfront.net/Documentos/631/04084715573/6310408471557311092023125230.jpg</v>
      </c>
      <c r="F1748" s="5" t="str">
        <f>HYPERLINK("https://dpmzos25m8ivg.cloudfront.net/Documentos/631/04084715573/6310408471557311092023125529.jpg","https://dpmzos25m8ivg.cloudfront.net/Documentos/631/04084715573/6310408471557311092023125529.jpg")</f>
        <v>https://dpmzos25m8ivg.cloudfront.net/Documentos/631/04084715573/6310408471557311092023125529.jpg</v>
      </c>
      <c r="G1748" s="5" t="str">
        <f>HYPERLINK("https://dpmzos25m8ivg.cloudfront.net/Documentos/631/04084715573/6310408471557311092023125534.jpg","https://dpmzos25m8ivg.cloudfront.net/Documentos/631/04084715573/6310408471557311092023125534.jpg")</f>
        <v>https://dpmzos25m8ivg.cloudfront.net/Documentos/631/04084715573/6310408471557311092023125534.jpg</v>
      </c>
      <c r="H1748" s="4" t="s">
        <v>10329</v>
      </c>
    </row>
    <row r="1749" spans="1:8" x14ac:dyDescent="0.25">
      <c r="A1749" s="2" t="s">
        <v>1763</v>
      </c>
      <c r="B1749" s="3"/>
      <c r="C1749" s="3"/>
      <c r="D1749" s="3"/>
      <c r="E1749" s="4" t="str">
        <f>HYPERLINK("https://dpmzos25m8ivg.cloudfront.net/Documentos/631/04085522396/6310408552239610092023202412.pdf","https://dpmzos25m8ivg.cloudfront.net/Documentos/631/04085522396/6310408552239610092023202412.pdf")</f>
        <v>https://dpmzos25m8ivg.cloudfront.net/Documentos/631/04085522396/6310408552239610092023202412.pdf</v>
      </c>
      <c r="F1749" s="5" t="str">
        <f>HYPERLINK("https://dpmzos25m8ivg.cloudfront.net/Documentos/631/04085522396/6310408552239610092023202423.pdf","https://dpmzos25m8ivg.cloudfront.net/Documentos/631/04085522396/6310408552239610092023202423.pdf")</f>
        <v>https://dpmzos25m8ivg.cloudfront.net/Documentos/631/04085522396/6310408552239610092023202423.pdf</v>
      </c>
      <c r="G1749" s="5" t="str">
        <f>HYPERLINK("https://dpmzos25m8ivg.cloudfront.net/Documentos/631/04085522396/6310408552239610092023202434.pdf","https://dpmzos25m8ivg.cloudfront.net/Documentos/631/04085522396/6310408552239610092023202434.pdf")</f>
        <v>https://dpmzos25m8ivg.cloudfront.net/Documentos/631/04085522396/6310408552239610092023202434.pdf</v>
      </c>
      <c r="H1749" s="4" t="s">
        <v>10330</v>
      </c>
    </row>
    <row r="1750" spans="1:8" x14ac:dyDescent="0.25">
      <c r="A1750" s="2" t="s">
        <v>1764</v>
      </c>
      <c r="B1750" s="3"/>
      <c r="C1750" s="3"/>
      <c r="D1750" s="3"/>
      <c r="E1750" s="4" t="str">
        <f>HYPERLINK("https://dpmzos25m8ivg.cloudfront.net/Documentos/631/04085586360/6310408558636012092023180822.jpeg","https://dpmzos25m8ivg.cloudfront.net/Documentos/631/04085586360/6310408558636012092023180822.jpeg")</f>
        <v>https://dpmzos25m8ivg.cloudfront.net/Documentos/631/04085586360/6310408558636012092023180822.jpeg</v>
      </c>
      <c r="F1750" s="5" t="str">
        <f>HYPERLINK("https://dpmzos25m8ivg.cloudfront.net/Documentos/631/04085586360/6310408558636012092023180910.jpeg","https://dpmzos25m8ivg.cloudfront.net/Documentos/631/04085586360/6310408558636012092023180910.jpeg")</f>
        <v>https://dpmzos25m8ivg.cloudfront.net/Documentos/631/04085586360/6310408558636012092023180910.jpeg</v>
      </c>
      <c r="G1750" s="5" t="str">
        <f>HYPERLINK("https://dpmzos25m8ivg.cloudfront.net/Documentos/631/04085586360/6310408558636012092023180944.jpeg","https://dpmzos25m8ivg.cloudfront.net/Documentos/631/04085586360/6310408558636012092023180944.jpeg")</f>
        <v>https://dpmzos25m8ivg.cloudfront.net/Documentos/631/04085586360/6310408558636012092023180944.jpeg</v>
      </c>
      <c r="H1750" s="4" t="s">
        <v>10331</v>
      </c>
    </row>
    <row r="1751" spans="1:8" x14ac:dyDescent="0.25">
      <c r="A1751" s="2" t="s">
        <v>1765</v>
      </c>
      <c r="B1751" s="3" t="s">
        <v>312</v>
      </c>
      <c r="C1751" s="3"/>
      <c r="D1751" s="3"/>
      <c r="E1751" s="4" t="str">
        <f>HYPERLINK("https://dpmzos25m8ivg.cloudfront.net/Documentos/631/04089784905/6310408978490511092023142219.jpeg","https://dpmzos25m8ivg.cloudfront.net/Documentos/631/04089784905/6310408978490511092023142219.jpeg")</f>
        <v>https://dpmzos25m8ivg.cloudfront.net/Documentos/631/04089784905/6310408978490511092023142219.jpeg</v>
      </c>
      <c r="F1751" s="5" t="str">
        <f>HYPERLINK("https://dpmzos25m8ivg.cloudfront.net/Documentos/631/04089784905/6310408978490511092023142246.jpeg","https://dpmzos25m8ivg.cloudfront.net/Documentos/631/04089784905/6310408978490511092023142246.jpeg")</f>
        <v>https://dpmzos25m8ivg.cloudfront.net/Documentos/631/04089784905/6310408978490511092023142246.jpeg</v>
      </c>
      <c r="G1751" s="5" t="str">
        <f>HYPERLINK("https://dpmzos25m8ivg.cloudfront.net/Documentos/631/04089784905/6310408978490511092023142300.jpeg","https://dpmzos25m8ivg.cloudfront.net/Documentos/631/04089784905/6310408978490511092023142300.jpeg")</f>
        <v>https://dpmzos25m8ivg.cloudfront.net/Documentos/631/04089784905/6310408978490511092023142300.jpeg</v>
      </c>
      <c r="H1751" s="4" t="s">
        <v>10332</v>
      </c>
    </row>
    <row r="1752" spans="1:8" x14ac:dyDescent="0.25">
      <c r="A1752" s="2" t="s">
        <v>1766</v>
      </c>
      <c r="B1752" s="3"/>
      <c r="C1752" s="3"/>
      <c r="D1752" s="3"/>
      <c r="E1752" s="4" t="str">
        <f>HYPERLINK("https://dpmzos25m8ivg.cloudfront.net/Documentos/631/04091615511/6310409161551111092023160255.pdf","https://dpmzos25m8ivg.cloudfront.net/Documentos/631/04091615511/6310409161551111092023160255.pdf")</f>
        <v>https://dpmzos25m8ivg.cloudfront.net/Documentos/631/04091615511/6310409161551111092023160255.pdf</v>
      </c>
      <c r="F1752" s="5" t="str">
        <f>HYPERLINK("https://dpmzos25m8ivg.cloudfront.net/Documentos/631/04091615511/6310409161551111092023160321.pdf","https://dpmzos25m8ivg.cloudfront.net/Documentos/631/04091615511/6310409161551111092023160321.pdf")</f>
        <v>https://dpmzos25m8ivg.cloudfront.net/Documentos/631/04091615511/6310409161551111092023160321.pdf</v>
      </c>
      <c r="G1752" s="5" t="str">
        <f>HYPERLINK("https://dpmzos25m8ivg.cloudfront.net/Documentos/631/04091615511/6310409161551111092023160334.pdf","https://dpmzos25m8ivg.cloudfront.net/Documentos/631/04091615511/6310409161551111092023160334.pdf")</f>
        <v>https://dpmzos25m8ivg.cloudfront.net/Documentos/631/04091615511/6310409161551111092023160334.pdf</v>
      </c>
      <c r="H1752" s="4" t="s">
        <v>10333</v>
      </c>
    </row>
    <row r="1753" spans="1:8" x14ac:dyDescent="0.25">
      <c r="A1753" s="2" t="s">
        <v>1767</v>
      </c>
      <c r="B1753" s="3"/>
      <c r="C1753" s="3"/>
      <c r="D1753" s="3"/>
      <c r="E1753" s="4" t="str">
        <f>HYPERLINK("https://dpmzos25m8ivg.cloudfront.net/Documentos/631/04095226005/6310409522600510092023130922.pdf","https://dpmzos25m8ivg.cloudfront.net/Documentos/631/04095226005/6310409522600510092023130922.pdf")</f>
        <v>https://dpmzos25m8ivg.cloudfront.net/Documentos/631/04095226005/6310409522600510092023130922.pdf</v>
      </c>
      <c r="F1753" s="5" t="str">
        <f>HYPERLINK("https://dpmzos25m8ivg.cloudfront.net/Documentos/631/04095226005/6310409522600510092023130937.pdf","https://dpmzos25m8ivg.cloudfront.net/Documentos/631/04095226005/6310409522600510092023130937.pdf")</f>
        <v>https://dpmzos25m8ivg.cloudfront.net/Documentos/631/04095226005/6310409522600510092023130937.pdf</v>
      </c>
      <c r="G1753" s="5" t="str">
        <f>HYPERLINK("https://dpmzos25m8ivg.cloudfront.net/Documentos/631/04095226005/6310409522600510092023130952.pdf","https://dpmzos25m8ivg.cloudfront.net/Documentos/631/04095226005/6310409522600510092023130952.pdf")</f>
        <v>https://dpmzos25m8ivg.cloudfront.net/Documentos/631/04095226005/6310409522600510092023130952.pdf</v>
      </c>
      <c r="H1753" s="4" t="s">
        <v>10334</v>
      </c>
    </row>
    <row r="1754" spans="1:8" x14ac:dyDescent="0.25">
      <c r="A1754" s="2" t="s">
        <v>1768</v>
      </c>
      <c r="B1754" s="3"/>
      <c r="C1754" s="3"/>
      <c r="D1754" s="3"/>
      <c r="E1754" s="4" t="str">
        <f>HYPERLINK("https://dpmzos25m8ivg.cloudfront.net/Documentos/631/04098003090/6310409800309014092023141935.pdf","https://dpmzos25m8ivg.cloudfront.net/Documentos/631/04098003090/6310409800309014092023141935.pdf")</f>
        <v>https://dpmzos25m8ivg.cloudfront.net/Documentos/631/04098003090/6310409800309014092023141935.pdf</v>
      </c>
      <c r="F1754" s="5" t="str">
        <f>HYPERLINK("https://dpmzos25m8ivg.cloudfront.net/Documentos/631/04098003090/6310409800309014092023142002.pdf","https://dpmzos25m8ivg.cloudfront.net/Documentos/631/04098003090/6310409800309014092023142002.pdf")</f>
        <v>https://dpmzos25m8ivg.cloudfront.net/Documentos/631/04098003090/6310409800309014092023142002.pdf</v>
      </c>
      <c r="G1754" s="5" t="str">
        <f>HYPERLINK("https://dpmzos25m8ivg.cloudfront.net/Documentos/631/04098003090/6310409800309014092023142015.pdf","https://dpmzos25m8ivg.cloudfront.net/Documentos/631/04098003090/6310409800309014092023142015.pdf")</f>
        <v>https://dpmzos25m8ivg.cloudfront.net/Documentos/631/04098003090/6310409800309014092023142015.pdf</v>
      </c>
      <c r="H1754" s="4" t="s">
        <v>10335</v>
      </c>
    </row>
    <row r="1755" spans="1:8" x14ac:dyDescent="0.25">
      <c r="A1755" s="2" t="s">
        <v>1769</v>
      </c>
      <c r="B1755" s="3"/>
      <c r="C1755" s="3"/>
      <c r="D1755" s="3"/>
      <c r="E1755" s="4" t="str">
        <f>HYPERLINK("https://dpmzos25m8ivg.cloudfront.net/Documentos/631/04101904200/6310410190420014092023134954.pdf","https://dpmzos25m8ivg.cloudfront.net/Documentos/631/04101904200/6310410190420014092023134954.pdf")</f>
        <v>https://dpmzos25m8ivg.cloudfront.net/Documentos/631/04101904200/6310410190420014092023134954.pdf</v>
      </c>
      <c r="F1755" s="5" t="str">
        <f>HYPERLINK("https://dpmzos25m8ivg.cloudfront.net/Documentos/631/04101904200/6310410190420014092023135002.pdf","https://dpmzos25m8ivg.cloudfront.net/Documentos/631/04101904200/6310410190420014092023135002.pdf")</f>
        <v>https://dpmzos25m8ivg.cloudfront.net/Documentos/631/04101904200/6310410190420014092023135002.pdf</v>
      </c>
      <c r="G1755" s="5" t="str">
        <f>HYPERLINK("https://dpmzos25m8ivg.cloudfront.net/Documentos/631/04101904200/6310410190420014092023135011.pdf","https://dpmzos25m8ivg.cloudfront.net/Documentos/631/04101904200/6310410190420014092023135011.pdf")</f>
        <v>https://dpmzos25m8ivg.cloudfront.net/Documentos/631/04101904200/6310410190420014092023135011.pdf</v>
      </c>
      <c r="H1755" s="4" t="s">
        <v>10336</v>
      </c>
    </row>
    <row r="1756" spans="1:8" x14ac:dyDescent="0.25">
      <c r="A1756" s="2" t="s">
        <v>1770</v>
      </c>
      <c r="B1756" s="3"/>
      <c r="C1756" s="3"/>
      <c r="D1756" s="3"/>
      <c r="E1756" s="4" t="str">
        <f>HYPERLINK("https://dpmzos25m8ivg.cloudfront.net/Documentos/631/04106045346/6310410604534606092023143855.pdf","https://dpmzos25m8ivg.cloudfront.net/Documentos/631/04106045346/6310410604534606092023143855.pdf")</f>
        <v>https://dpmzos25m8ivg.cloudfront.net/Documentos/631/04106045346/6310410604534606092023143855.pdf</v>
      </c>
      <c r="F1756" s="5" t="str">
        <f>HYPERLINK("https://dpmzos25m8ivg.cloudfront.net/Documentos/631/04106045346/6310410604534606092023144001.pdf","https://dpmzos25m8ivg.cloudfront.net/Documentos/631/04106045346/6310410604534606092023144001.pdf")</f>
        <v>https://dpmzos25m8ivg.cloudfront.net/Documentos/631/04106045346/6310410604534606092023144001.pdf</v>
      </c>
      <c r="G1756" s="5" t="str">
        <f>HYPERLINK("https://dpmzos25m8ivg.cloudfront.net/Documentos/631/04106045346/6310410604534606092023144011.pdf","https://dpmzos25m8ivg.cloudfront.net/Documentos/631/04106045346/6310410604534606092023144011.pdf")</f>
        <v>https://dpmzos25m8ivg.cloudfront.net/Documentos/631/04106045346/6310410604534606092023144011.pdf</v>
      </c>
      <c r="H1756" s="4" t="s">
        <v>10337</v>
      </c>
    </row>
    <row r="1757" spans="1:8" x14ac:dyDescent="0.25">
      <c r="A1757" s="2" t="s">
        <v>1771</v>
      </c>
      <c r="B1757" s="3"/>
      <c r="C1757" s="3"/>
      <c r="D1757" s="3"/>
      <c r="E1757" s="4" t="str">
        <f>HYPERLINK("https://dpmzos25m8ivg.cloudfront.net/Documentos/631/04107374106/6310410737410611092023163243.jpg","https://dpmzos25m8ivg.cloudfront.net/Documentos/631/04107374106/6310410737410611092023163243.jpg")</f>
        <v>https://dpmzos25m8ivg.cloudfront.net/Documentos/631/04107374106/6310410737410611092023163243.jpg</v>
      </c>
      <c r="F1757" s="5" t="str">
        <f>HYPERLINK("https://dpmzos25m8ivg.cloudfront.net/Documentos/631/04107374106/6310410737410611092023163304.jpg","https://dpmzos25m8ivg.cloudfront.net/Documentos/631/04107374106/6310410737410611092023163304.jpg")</f>
        <v>https://dpmzos25m8ivg.cloudfront.net/Documentos/631/04107374106/6310410737410611092023163304.jpg</v>
      </c>
      <c r="G1757" s="5" t="str">
        <f>HYPERLINK("https://dpmzos25m8ivg.cloudfront.net/Documentos/631/04107374106/6310410737410611092023163317.jpg","https://dpmzos25m8ivg.cloudfront.net/Documentos/631/04107374106/6310410737410611092023163317.jpg")</f>
        <v>https://dpmzos25m8ivg.cloudfront.net/Documentos/631/04107374106/6310410737410611092023163317.jpg</v>
      </c>
      <c r="H1757" s="4" t="s">
        <v>10338</v>
      </c>
    </row>
    <row r="1758" spans="1:8" x14ac:dyDescent="0.25">
      <c r="A1758" s="2" t="s">
        <v>1772</v>
      </c>
      <c r="B1758" s="3" t="s">
        <v>308</v>
      </c>
      <c r="C1758" s="3"/>
      <c r="D1758" s="3"/>
      <c r="E1758" s="4" t="str">
        <f>HYPERLINK("https://dpmzos25m8ivg.cloudfront.net/Documentos/631/04110165474/6310411016547409092023165309.pdf","https://dpmzos25m8ivg.cloudfront.net/Documentos/631/04110165474/6310411016547409092023165309.pdf")</f>
        <v>https://dpmzos25m8ivg.cloudfront.net/Documentos/631/04110165474/6310411016547409092023165309.pdf</v>
      </c>
      <c r="F1758" s="5" t="str">
        <f>HYPERLINK("https://dpmzos25m8ivg.cloudfront.net/Documentos/631/04110165474/6310411016547409092023165805.pdf","https://dpmzos25m8ivg.cloudfront.net/Documentos/631/04110165474/6310411016547409092023165805.pdf")</f>
        <v>https://dpmzos25m8ivg.cloudfront.net/Documentos/631/04110165474/6310411016547409092023165805.pdf</v>
      </c>
      <c r="G1758" s="5" t="str">
        <f>HYPERLINK("https://dpmzos25m8ivg.cloudfront.net/Documentos/631/04110165474/6310411016547409092023171620.pdf","https://dpmzos25m8ivg.cloudfront.net/Documentos/631/04110165474/6310411016547409092023171620.pdf")</f>
        <v>https://dpmzos25m8ivg.cloudfront.net/Documentos/631/04110165474/6310411016547409092023171620.pdf</v>
      </c>
      <c r="H1758" s="4" t="s">
        <v>10339</v>
      </c>
    </row>
    <row r="1759" spans="1:8" x14ac:dyDescent="0.25">
      <c r="A1759" s="2" t="s">
        <v>1773</v>
      </c>
      <c r="B1759" s="3"/>
      <c r="C1759" s="3"/>
      <c r="D1759" s="3"/>
      <c r="E1759" s="4" t="str">
        <f>HYPERLINK("https://dpmzos25m8ivg.cloudfront.net/Documentos/631/04114127364/6310411412736414092023135040.pdf","https://dpmzos25m8ivg.cloudfront.net/Documentos/631/04114127364/6310411412736414092023135040.pdf")</f>
        <v>https://dpmzos25m8ivg.cloudfront.net/Documentos/631/04114127364/6310411412736414092023135040.pdf</v>
      </c>
      <c r="F1759" s="5" t="str">
        <f>HYPERLINK("https://dpmzos25m8ivg.cloudfront.net/Documentos/631/04114127364/6310411412736414092023135110.pdf","https://dpmzos25m8ivg.cloudfront.net/Documentos/631/04114127364/6310411412736414092023135110.pdf")</f>
        <v>https://dpmzos25m8ivg.cloudfront.net/Documentos/631/04114127364/6310411412736414092023135110.pdf</v>
      </c>
      <c r="G1759" s="5" t="str">
        <f>HYPERLINK("https://dpmzos25m8ivg.cloudfront.net/Documentos/631/04114127364/6310411412736414092023135151.pdf","https://dpmzos25m8ivg.cloudfront.net/Documentos/631/04114127364/6310411412736414092023135151.pdf")</f>
        <v>https://dpmzos25m8ivg.cloudfront.net/Documentos/631/04114127364/6310411412736414092023135151.pdf</v>
      </c>
      <c r="H1759" s="4" t="s">
        <v>10340</v>
      </c>
    </row>
    <row r="1760" spans="1:8" x14ac:dyDescent="0.25">
      <c r="A1760" s="2" t="s">
        <v>1774</v>
      </c>
      <c r="B1760" s="3"/>
      <c r="C1760" s="3"/>
      <c r="D1760" s="3"/>
      <c r="E1760" s="4" t="str">
        <f>HYPERLINK("https://dpmzos25m8ivg.cloudfront.net/Documentos/631/04119217116/6310411921711606092023150911.pdf","https://dpmzos25m8ivg.cloudfront.net/Documentos/631/04119217116/6310411921711606092023150911.pdf")</f>
        <v>https://dpmzos25m8ivg.cloudfront.net/Documentos/631/04119217116/6310411921711606092023150911.pdf</v>
      </c>
      <c r="F1760" s="5" t="str">
        <f>HYPERLINK("https://dpmzos25m8ivg.cloudfront.net/Documentos/631/04119217116/6310411921711606092023150920.pdf","https://dpmzos25m8ivg.cloudfront.net/Documentos/631/04119217116/6310411921711606092023150920.pdf")</f>
        <v>https://dpmzos25m8ivg.cloudfront.net/Documentos/631/04119217116/6310411921711606092023150920.pdf</v>
      </c>
      <c r="G1760" s="5" t="str">
        <f>HYPERLINK("https://dpmzos25m8ivg.cloudfront.net/Documentos/631/04119217116/6310411921711606092023150927.pdf","https://dpmzos25m8ivg.cloudfront.net/Documentos/631/04119217116/6310411921711606092023150927.pdf")</f>
        <v>https://dpmzos25m8ivg.cloudfront.net/Documentos/631/04119217116/6310411921711606092023150927.pdf</v>
      </c>
      <c r="H1760" s="4" t="s">
        <v>10341</v>
      </c>
    </row>
    <row r="1761" spans="1:8" x14ac:dyDescent="0.25">
      <c r="A1761" s="2" t="s">
        <v>1775</v>
      </c>
      <c r="B1761" s="3"/>
      <c r="C1761" s="3"/>
      <c r="D1761" s="3"/>
      <c r="E1761" s="4" t="str">
        <f>HYPERLINK("https://dpmzos25m8ivg.cloudfront.net/Documentos/631/04128160164/6310412816016411092023152743.jpg","https://dpmzos25m8ivg.cloudfront.net/Documentos/631/04128160164/6310412816016411092023152743.jpg")</f>
        <v>https://dpmzos25m8ivg.cloudfront.net/Documentos/631/04128160164/6310412816016411092023152743.jpg</v>
      </c>
      <c r="F1761" s="5" t="str">
        <f>HYPERLINK("https://dpmzos25m8ivg.cloudfront.net/Documentos/631/04128160164/6310412816016411092023152801.jpg","https://dpmzos25m8ivg.cloudfront.net/Documentos/631/04128160164/6310412816016411092023152801.jpg")</f>
        <v>https://dpmzos25m8ivg.cloudfront.net/Documentos/631/04128160164/6310412816016411092023152801.jpg</v>
      </c>
      <c r="G1761" s="5" t="str">
        <f>HYPERLINK("https://dpmzos25m8ivg.cloudfront.net/Documentos/631/04128160164/6310412816016411092023152816.jpg","https://dpmzos25m8ivg.cloudfront.net/Documentos/631/04128160164/6310412816016411092023152816.jpg")</f>
        <v>https://dpmzos25m8ivg.cloudfront.net/Documentos/631/04128160164/6310412816016411092023152816.jpg</v>
      </c>
      <c r="H1761" s="4" t="s">
        <v>10342</v>
      </c>
    </row>
    <row r="1762" spans="1:8" x14ac:dyDescent="0.25">
      <c r="A1762" s="2" t="s">
        <v>1776</v>
      </c>
      <c r="B1762" s="3"/>
      <c r="C1762" s="3"/>
      <c r="D1762" s="3"/>
      <c r="E1762" s="4" t="str">
        <f>HYPERLINK("https://dpmzos25m8ivg.cloudfront.net/Documentos/631/04131042576/6310413104257611092023101056.pdf","https://dpmzos25m8ivg.cloudfront.net/Documentos/631/04131042576/6310413104257611092023101056.pdf")</f>
        <v>https://dpmzos25m8ivg.cloudfront.net/Documentos/631/04131042576/6310413104257611092023101056.pdf</v>
      </c>
      <c r="F1762" s="5" t="str">
        <f>HYPERLINK("https://dpmzos25m8ivg.cloudfront.net/Documentos/631/04131042576/6310413104257611092023101104.pdf","https://dpmzos25m8ivg.cloudfront.net/Documentos/631/04131042576/6310413104257611092023101104.pdf")</f>
        <v>https://dpmzos25m8ivg.cloudfront.net/Documentos/631/04131042576/6310413104257611092023101104.pdf</v>
      </c>
      <c r="G1762" s="5" t="str">
        <f>HYPERLINK("https://dpmzos25m8ivg.cloudfront.net/Documentos/631/04131042576/6310413104257611092023101111.pdf","https://dpmzos25m8ivg.cloudfront.net/Documentos/631/04131042576/6310413104257611092023101111.pdf")</f>
        <v>https://dpmzos25m8ivg.cloudfront.net/Documentos/631/04131042576/6310413104257611092023101111.pdf</v>
      </c>
      <c r="H1762" s="4" t="s">
        <v>10343</v>
      </c>
    </row>
    <row r="1763" spans="1:8" x14ac:dyDescent="0.25">
      <c r="A1763" s="2" t="s">
        <v>1777</v>
      </c>
      <c r="B1763" s="3"/>
      <c r="C1763" s="3"/>
      <c r="D1763" s="3"/>
      <c r="E1763" s="4" t="str">
        <f>HYPERLINK("https://dpmzos25m8ivg.cloudfront.net/Documentos/631/04133240871/6310413324087111092023110839.pdf","https://dpmzos25m8ivg.cloudfront.net/Documentos/631/04133240871/6310413324087111092023110839.pdf")</f>
        <v>https://dpmzos25m8ivg.cloudfront.net/Documentos/631/04133240871/6310413324087111092023110839.pdf</v>
      </c>
      <c r="F1763" s="5" t="str">
        <f>HYPERLINK("https://dpmzos25m8ivg.cloudfront.net/Documentos/631/04133240871/6310413324087111092023110904.pdf","https://dpmzos25m8ivg.cloudfront.net/Documentos/631/04133240871/6310413324087111092023110904.pdf")</f>
        <v>https://dpmzos25m8ivg.cloudfront.net/Documentos/631/04133240871/6310413324087111092023110904.pdf</v>
      </c>
      <c r="G1763" s="5" t="str">
        <f>HYPERLINK("https://dpmzos25m8ivg.cloudfront.net/Documentos/631/04133240871/6310413324087111092023110931.pdf","https://dpmzos25m8ivg.cloudfront.net/Documentos/631/04133240871/6310413324087111092023110931.pdf")</f>
        <v>https://dpmzos25m8ivg.cloudfront.net/Documentos/631/04133240871/6310413324087111092023110931.pdf</v>
      </c>
      <c r="H1763" s="4" t="s">
        <v>10344</v>
      </c>
    </row>
    <row r="1764" spans="1:8" x14ac:dyDescent="0.25">
      <c r="A1764" s="2" t="s">
        <v>1778</v>
      </c>
      <c r="B1764" s="3" t="s">
        <v>312</v>
      </c>
      <c r="C1764" s="3"/>
      <c r="D1764" s="3"/>
      <c r="E1764" s="4" t="str">
        <f>HYPERLINK("https://dpmzos25m8ivg.cloudfront.net/Documentos/631/04134421365/6310413442136511092023160715.pdf","https://dpmzos25m8ivg.cloudfront.net/Documentos/631/04134421365/6310413442136511092023160715.pdf")</f>
        <v>https://dpmzos25m8ivg.cloudfront.net/Documentos/631/04134421365/6310413442136511092023160715.pdf</v>
      </c>
      <c r="F1764" s="5" t="str">
        <f>HYPERLINK("https://dpmzos25m8ivg.cloudfront.net/Documentos/631/04134421365/6310413442136511092023160739.pdf","https://dpmzos25m8ivg.cloudfront.net/Documentos/631/04134421365/6310413442136511092023160739.pdf")</f>
        <v>https://dpmzos25m8ivg.cloudfront.net/Documentos/631/04134421365/6310413442136511092023160739.pdf</v>
      </c>
      <c r="G1764" s="5" t="str">
        <f>HYPERLINK("https://dpmzos25m8ivg.cloudfront.net/Documentos/631/04134421365/6310413442136511092023160753.pdf","https://dpmzos25m8ivg.cloudfront.net/Documentos/631/04134421365/6310413442136511092023160753.pdf")</f>
        <v>https://dpmzos25m8ivg.cloudfront.net/Documentos/631/04134421365/6310413442136511092023160753.pdf</v>
      </c>
      <c r="H1764" s="4" t="s">
        <v>10345</v>
      </c>
    </row>
    <row r="1765" spans="1:8" x14ac:dyDescent="0.25">
      <c r="A1765" s="2" t="s">
        <v>1779</v>
      </c>
      <c r="B1765" s="3"/>
      <c r="C1765" s="3"/>
      <c r="D1765" s="3"/>
      <c r="E1765" s="4" t="str">
        <f>HYPERLINK("https://dpmzos25m8ivg.cloudfront.net/Documentos/631/04134682240/6310413468224005092023015639.pdf","https://dpmzos25m8ivg.cloudfront.net/Documentos/631/04134682240/6310413468224005092023015639.pdf")</f>
        <v>https://dpmzos25m8ivg.cloudfront.net/Documentos/631/04134682240/6310413468224005092023015639.pdf</v>
      </c>
      <c r="F1765" s="5" t="str">
        <f>HYPERLINK("https://dpmzos25m8ivg.cloudfront.net/Documentos/631/04134682240/6310413468224005092023024701.pdf","https://dpmzos25m8ivg.cloudfront.net/Documentos/631/04134682240/6310413468224005092023024701.pdf")</f>
        <v>https://dpmzos25m8ivg.cloudfront.net/Documentos/631/04134682240/6310413468224005092023024701.pdf</v>
      </c>
      <c r="G1765" s="5" t="str">
        <f>HYPERLINK("https://dpmzos25m8ivg.cloudfront.net/Documentos/631/04134682240/6310413468224005092023015736.pdf","https://dpmzos25m8ivg.cloudfront.net/Documentos/631/04134682240/6310413468224005092023015736.pdf")</f>
        <v>https://dpmzos25m8ivg.cloudfront.net/Documentos/631/04134682240/6310413468224005092023015736.pdf</v>
      </c>
      <c r="H1765" s="4" t="s">
        <v>10346</v>
      </c>
    </row>
    <row r="1766" spans="1:8" x14ac:dyDescent="0.25">
      <c r="A1766" s="2" t="s">
        <v>1780</v>
      </c>
      <c r="B1766" s="3"/>
      <c r="C1766" s="3"/>
      <c r="D1766" s="3"/>
      <c r="E1766" s="4" t="str">
        <f>HYPERLINK("https://dpmzos25m8ivg.cloudfront.net/Documentos/631/04135603920/6310413560392011092023140028.jpg","https://dpmzos25m8ivg.cloudfront.net/Documentos/631/04135603920/6310413560392011092023140028.jpg")</f>
        <v>https://dpmzos25m8ivg.cloudfront.net/Documentos/631/04135603920/6310413560392011092023140028.jpg</v>
      </c>
      <c r="F1766" s="5" t="str">
        <f>HYPERLINK("https://dpmzos25m8ivg.cloudfront.net/Documentos/631/04135603920/6310413560392011092023140110.jpg","https://dpmzos25m8ivg.cloudfront.net/Documentos/631/04135603920/6310413560392011092023140110.jpg")</f>
        <v>https://dpmzos25m8ivg.cloudfront.net/Documentos/631/04135603920/6310413560392011092023140110.jpg</v>
      </c>
      <c r="G1766" s="5" t="str">
        <f>HYPERLINK("https://dpmzos25m8ivg.cloudfront.net/Documentos/631/04135603920/6310413560392011092023140132.jpg","https://dpmzos25m8ivg.cloudfront.net/Documentos/631/04135603920/6310413560392011092023140132.jpg")</f>
        <v>https://dpmzos25m8ivg.cloudfront.net/Documentos/631/04135603920/6310413560392011092023140132.jpg</v>
      </c>
      <c r="H1766" s="4" t="s">
        <v>10347</v>
      </c>
    </row>
    <row r="1767" spans="1:8" x14ac:dyDescent="0.25">
      <c r="A1767" s="2" t="s">
        <v>1781</v>
      </c>
      <c r="B1767" s="3"/>
      <c r="C1767" s="3"/>
      <c r="D1767" s="3"/>
      <c r="E1767" s="4" t="str">
        <f>HYPERLINK("https://dpmzos25m8ivg.cloudfront.net/Documentos/631/04138760202/6310413876020211092023165829.jpeg","https://dpmzos25m8ivg.cloudfront.net/Documentos/631/04138760202/6310413876020211092023165829.jpeg")</f>
        <v>https://dpmzos25m8ivg.cloudfront.net/Documentos/631/04138760202/6310413876020211092023165829.jpeg</v>
      </c>
      <c r="F1767" s="5" t="str">
        <f>HYPERLINK("https://dpmzos25m8ivg.cloudfront.net/Documentos/631/04138760202/6310413876020211092023165837.jpeg","https://dpmzos25m8ivg.cloudfront.net/Documentos/631/04138760202/6310413876020211092023165837.jpeg")</f>
        <v>https://dpmzos25m8ivg.cloudfront.net/Documentos/631/04138760202/6310413876020211092023165837.jpeg</v>
      </c>
      <c r="G1767" s="5" t="str">
        <f>HYPERLINK("https://dpmzos25m8ivg.cloudfront.net/Documentos/631/04138760202/6310413876020211092023165845.jpeg","https://dpmzos25m8ivg.cloudfront.net/Documentos/631/04138760202/6310413876020211092023165845.jpeg")</f>
        <v>https://dpmzos25m8ivg.cloudfront.net/Documentos/631/04138760202/6310413876020211092023165845.jpeg</v>
      </c>
      <c r="H1767" s="4" t="s">
        <v>10348</v>
      </c>
    </row>
    <row r="1768" spans="1:8" x14ac:dyDescent="0.25">
      <c r="A1768" s="2" t="s">
        <v>1782</v>
      </c>
      <c r="B1768" s="3" t="s">
        <v>23</v>
      </c>
      <c r="C1768" s="3"/>
      <c r="D1768" s="3"/>
      <c r="E1768" s="4" t="str">
        <f>HYPERLINK("https://dpmzos25m8ivg.cloudfront.net/Documentos/631/04138971254/6310413897125411092023164706.pdf","https://dpmzos25m8ivg.cloudfront.net/Documentos/631/04138971254/6310413897125411092023164706.pdf")</f>
        <v>https://dpmzos25m8ivg.cloudfront.net/Documentos/631/04138971254/6310413897125411092023164706.pdf</v>
      </c>
      <c r="F1768" s="5" t="str">
        <f>HYPERLINK("https://dpmzos25m8ivg.cloudfront.net/Documentos/631/04138971254/6310413897125411092023164718.pdf","https://dpmzos25m8ivg.cloudfront.net/Documentos/631/04138971254/6310413897125411092023164718.pdf")</f>
        <v>https://dpmzos25m8ivg.cloudfront.net/Documentos/631/04138971254/6310413897125411092023164718.pdf</v>
      </c>
      <c r="G1768" s="5" t="str">
        <f>HYPERLINK("https://dpmzos25m8ivg.cloudfront.net/Documentos/631/04138971254/6310413897125411092023164733.pdf","https://dpmzos25m8ivg.cloudfront.net/Documentos/631/04138971254/6310413897125411092023164733.pdf")</f>
        <v>https://dpmzos25m8ivg.cloudfront.net/Documentos/631/04138971254/6310413897125411092023164733.pdf</v>
      </c>
      <c r="H1768" s="4" t="s">
        <v>10349</v>
      </c>
    </row>
    <row r="1769" spans="1:8" x14ac:dyDescent="0.25">
      <c r="A1769" s="2" t="s">
        <v>1783</v>
      </c>
      <c r="B1769" s="3" t="s">
        <v>308</v>
      </c>
      <c r="C1769" s="3"/>
      <c r="D1769" s="3"/>
      <c r="E1769" s="4" t="str">
        <f>HYPERLINK("https://dpmzos25m8ivg.cloudfront.net/Documentos/631/04140131152/6310414013115209092023231032.jpg","https://dpmzos25m8ivg.cloudfront.net/Documentos/631/04140131152/6310414013115209092023231032.jpg")</f>
        <v>https://dpmzos25m8ivg.cloudfront.net/Documentos/631/04140131152/6310414013115209092023231032.jpg</v>
      </c>
      <c r="F1769" s="5" t="str">
        <f>HYPERLINK("https://dpmzos25m8ivg.cloudfront.net/Documentos/631/04140131152/6310414013115209092023231048.jpg","https://dpmzos25m8ivg.cloudfront.net/Documentos/631/04140131152/6310414013115209092023231048.jpg")</f>
        <v>https://dpmzos25m8ivg.cloudfront.net/Documentos/631/04140131152/6310414013115209092023231048.jpg</v>
      </c>
      <c r="G1769" s="5" t="str">
        <f>HYPERLINK("https://dpmzos25m8ivg.cloudfront.net/Documentos/631/04140131152/6310414013115209092023231106.jpg","https://dpmzos25m8ivg.cloudfront.net/Documentos/631/04140131152/6310414013115209092023231106.jpg")</f>
        <v>https://dpmzos25m8ivg.cloudfront.net/Documentos/631/04140131152/6310414013115209092023231106.jpg</v>
      </c>
      <c r="H1769" s="4" t="s">
        <v>10350</v>
      </c>
    </row>
    <row r="1770" spans="1:8" x14ac:dyDescent="0.25">
      <c r="A1770" s="2" t="s">
        <v>1784</v>
      </c>
      <c r="B1770" s="3"/>
      <c r="C1770" s="3"/>
      <c r="D1770" s="3"/>
      <c r="E1770" s="4" t="str">
        <f>HYPERLINK("https://dpmzos25m8ivg.cloudfront.net/Documentos/631/04140655305/6310414065530508092023195350.pdf","https://dpmzos25m8ivg.cloudfront.net/Documentos/631/04140655305/6310414065530508092023195350.pdf")</f>
        <v>https://dpmzos25m8ivg.cloudfront.net/Documentos/631/04140655305/6310414065530508092023195350.pdf</v>
      </c>
      <c r="F1770" s="5" t="str">
        <f>HYPERLINK("https://dpmzos25m8ivg.cloudfront.net/Documentos/631/04140655305/6310414065530508092023195428.pdf","https://dpmzos25m8ivg.cloudfront.net/Documentos/631/04140655305/6310414065530508092023195428.pdf")</f>
        <v>https://dpmzos25m8ivg.cloudfront.net/Documentos/631/04140655305/6310414065530508092023195428.pdf</v>
      </c>
      <c r="G1770" s="5" t="str">
        <f>HYPERLINK("https://dpmzos25m8ivg.cloudfront.net/Documentos/631/04140655305/6310414065530508092023195454.pdf","https://dpmzos25m8ivg.cloudfront.net/Documentos/631/04140655305/6310414065530508092023195454.pdf")</f>
        <v>https://dpmzos25m8ivg.cloudfront.net/Documentos/631/04140655305/6310414065530508092023195454.pdf</v>
      </c>
      <c r="H1770" s="4" t="s">
        <v>10351</v>
      </c>
    </row>
    <row r="1771" spans="1:8" x14ac:dyDescent="0.25">
      <c r="A1771" s="2" t="s">
        <v>1785</v>
      </c>
      <c r="B1771" s="3"/>
      <c r="C1771" s="3"/>
      <c r="D1771" s="3"/>
      <c r="E1771" s="4" t="str">
        <f>HYPERLINK("https://dpmzos25m8ivg.cloudfront.net/Documentos/631/04141321575/6310414132157514092023140440.pdf","https://dpmzos25m8ivg.cloudfront.net/Documentos/631/04141321575/6310414132157514092023140440.pdf")</f>
        <v>https://dpmzos25m8ivg.cloudfront.net/Documentos/631/04141321575/6310414132157514092023140440.pdf</v>
      </c>
      <c r="F1771" s="5" t="str">
        <f>HYPERLINK("https://dpmzos25m8ivg.cloudfront.net/Documentos/631/04141321575/6310414132157514092023140451.pdf","https://dpmzos25m8ivg.cloudfront.net/Documentos/631/04141321575/6310414132157514092023140451.pdf")</f>
        <v>https://dpmzos25m8ivg.cloudfront.net/Documentos/631/04141321575/6310414132157514092023140451.pdf</v>
      </c>
      <c r="G1771" s="5" t="str">
        <f>HYPERLINK("https://dpmzos25m8ivg.cloudfront.net/Documentos/631/04141321575/6310414132157514092023140505.pdf","https://dpmzos25m8ivg.cloudfront.net/Documentos/631/04141321575/6310414132157514092023140505.pdf")</f>
        <v>https://dpmzos25m8ivg.cloudfront.net/Documentos/631/04141321575/6310414132157514092023140505.pdf</v>
      </c>
      <c r="H1771" s="4" t="s">
        <v>10352</v>
      </c>
    </row>
    <row r="1772" spans="1:8" x14ac:dyDescent="0.25">
      <c r="A1772" s="2" t="s">
        <v>1786</v>
      </c>
      <c r="B1772" s="3"/>
      <c r="C1772" s="3"/>
      <c r="D1772" s="3"/>
      <c r="E1772" s="4" t="str">
        <f>HYPERLINK("https://dpmzos25m8ivg.cloudfront.net/Documentos/631/04143592169/6310414359216905092023155433.pdf","https://dpmzos25m8ivg.cloudfront.net/Documentos/631/04143592169/6310414359216905092023155433.pdf")</f>
        <v>https://dpmzos25m8ivg.cloudfront.net/Documentos/631/04143592169/6310414359216905092023155433.pdf</v>
      </c>
      <c r="F1772" s="5" t="str">
        <f>HYPERLINK("https://dpmzos25m8ivg.cloudfront.net/Documentos/631/04143592169/6310414359216905092023160344.pdf","https://dpmzos25m8ivg.cloudfront.net/Documentos/631/04143592169/6310414359216905092023160344.pdf")</f>
        <v>https://dpmzos25m8ivg.cloudfront.net/Documentos/631/04143592169/6310414359216905092023160344.pdf</v>
      </c>
      <c r="G1772" s="5" t="str">
        <f>HYPERLINK("https://dpmzos25m8ivg.cloudfront.net/Documentos/631/04143592169/6310414359216905092023160551.pdf","https://dpmzos25m8ivg.cloudfront.net/Documentos/631/04143592169/6310414359216905092023160551.pdf")</f>
        <v>https://dpmzos25m8ivg.cloudfront.net/Documentos/631/04143592169/6310414359216905092023160551.pdf</v>
      </c>
      <c r="H1772" s="4" t="s">
        <v>10353</v>
      </c>
    </row>
    <row r="1773" spans="1:8" x14ac:dyDescent="0.25">
      <c r="A1773" s="2" t="s">
        <v>1787</v>
      </c>
      <c r="B1773" s="3"/>
      <c r="C1773" s="3"/>
      <c r="D1773" s="3"/>
      <c r="E1773" s="4" t="str">
        <f>HYPERLINK("https://dpmzos25m8ivg.cloudfront.net/Documentos/631/04144803171/6310414480317109092023204455.jpg","https://dpmzos25m8ivg.cloudfront.net/Documentos/631/04144803171/6310414480317109092023204455.jpg")</f>
        <v>https://dpmzos25m8ivg.cloudfront.net/Documentos/631/04144803171/6310414480317109092023204455.jpg</v>
      </c>
      <c r="F1773" s="5" t="str">
        <f>HYPERLINK("https://dpmzos25m8ivg.cloudfront.net/Documentos/631/04144803171/6310414480317109092023204507.jpg","https://dpmzos25m8ivg.cloudfront.net/Documentos/631/04144803171/6310414480317109092023204507.jpg")</f>
        <v>https://dpmzos25m8ivg.cloudfront.net/Documentos/631/04144803171/6310414480317109092023204507.jpg</v>
      </c>
      <c r="G1773" s="5" t="str">
        <f>HYPERLINK("https://dpmzos25m8ivg.cloudfront.net/Documentos/631/04144803171/6310414480317109092023204520.jpg","https://dpmzos25m8ivg.cloudfront.net/Documentos/631/04144803171/6310414480317109092023204520.jpg")</f>
        <v>https://dpmzos25m8ivg.cloudfront.net/Documentos/631/04144803171/6310414480317109092023204520.jpg</v>
      </c>
      <c r="H1773" s="4" t="s">
        <v>10354</v>
      </c>
    </row>
    <row r="1774" spans="1:8" x14ac:dyDescent="0.25">
      <c r="A1774" s="2" t="s">
        <v>1788</v>
      </c>
      <c r="B1774" s="3"/>
      <c r="C1774" s="3"/>
      <c r="D1774" s="3"/>
      <c r="E1774" s="4" t="str">
        <f>HYPERLINK("https://dpmzos25m8ivg.cloudfront.net/Documentos/631/04145029143/6310414502914305092023211821.pdf","https://dpmzos25m8ivg.cloudfront.net/Documentos/631/04145029143/6310414502914305092023211821.pdf")</f>
        <v>https://dpmzos25m8ivg.cloudfront.net/Documentos/631/04145029143/6310414502914305092023211821.pdf</v>
      </c>
      <c r="F1774" s="5" t="str">
        <f>HYPERLINK("https://dpmzos25m8ivg.cloudfront.net/Documentos/631/04145029143/6310414502914305092023211828.pdf","https://dpmzos25m8ivg.cloudfront.net/Documentos/631/04145029143/6310414502914305092023211828.pdf")</f>
        <v>https://dpmzos25m8ivg.cloudfront.net/Documentos/631/04145029143/6310414502914305092023211828.pdf</v>
      </c>
      <c r="G1774" s="5" t="str">
        <f>HYPERLINK("https://dpmzos25m8ivg.cloudfront.net/Documentos/631/04145029143/6310414502914305092023211836.pdf","https://dpmzos25m8ivg.cloudfront.net/Documentos/631/04145029143/6310414502914305092023211836.pdf")</f>
        <v>https://dpmzos25m8ivg.cloudfront.net/Documentos/631/04145029143/6310414502914305092023211836.pdf</v>
      </c>
      <c r="H1774" s="4" t="s">
        <v>10355</v>
      </c>
    </row>
    <row r="1775" spans="1:8" x14ac:dyDescent="0.25">
      <c r="A1775" s="2" t="s">
        <v>1789</v>
      </c>
      <c r="B1775" s="3" t="s">
        <v>308</v>
      </c>
      <c r="C1775" s="3"/>
      <c r="D1775" s="3"/>
      <c r="E1775" s="4" t="str">
        <f>HYPERLINK("https://dpmzos25m8ivg.cloudfront.net/Documentos/631/04146165539/6310414616553911092023164450.jpg","https://dpmzos25m8ivg.cloudfront.net/Documentos/631/04146165539/6310414616553911092023164450.jpg")</f>
        <v>https://dpmzos25m8ivg.cloudfront.net/Documentos/631/04146165539/6310414616553911092023164450.jpg</v>
      </c>
      <c r="F1775" s="5" t="str">
        <f>HYPERLINK("https://dpmzos25m8ivg.cloudfront.net/Documentos/631/04146165539/6310414616553911092023164542.jpg","https://dpmzos25m8ivg.cloudfront.net/Documentos/631/04146165539/6310414616553911092023164542.jpg")</f>
        <v>https://dpmzos25m8ivg.cloudfront.net/Documentos/631/04146165539/6310414616553911092023164542.jpg</v>
      </c>
      <c r="G1775" s="5" t="str">
        <f>HYPERLINK("https://dpmzos25m8ivg.cloudfront.net/Documentos/631/04146165539/6310414616553911092023164614.jpg","https://dpmzos25m8ivg.cloudfront.net/Documentos/631/04146165539/6310414616553911092023164614.jpg")</f>
        <v>https://dpmzos25m8ivg.cloudfront.net/Documentos/631/04146165539/6310414616553911092023164614.jpg</v>
      </c>
      <c r="H1775" s="4" t="s">
        <v>9010</v>
      </c>
    </row>
    <row r="1776" spans="1:8" x14ac:dyDescent="0.25">
      <c r="A1776" s="2" t="s">
        <v>1790</v>
      </c>
      <c r="B1776" s="3"/>
      <c r="C1776" s="3"/>
      <c r="D1776" s="3"/>
      <c r="E1776" s="4" t="str">
        <f>HYPERLINK("https://dpmzos25m8ivg.cloudfront.net/Documentos/631/04147853200/6310414785320011092023100033.pdf","https://dpmzos25m8ivg.cloudfront.net/Documentos/631/04147853200/6310414785320011092023100033.pdf")</f>
        <v>https://dpmzos25m8ivg.cloudfront.net/Documentos/631/04147853200/6310414785320011092023100033.pdf</v>
      </c>
      <c r="F1776" s="5" t="str">
        <f>HYPERLINK("https://dpmzos25m8ivg.cloudfront.net/Documentos/631/04147853200/6310414785320011092023100804.pdf","https://dpmzos25m8ivg.cloudfront.net/Documentos/631/04147853200/6310414785320011092023100804.pdf")</f>
        <v>https://dpmzos25m8ivg.cloudfront.net/Documentos/631/04147853200/6310414785320011092023100804.pdf</v>
      </c>
      <c r="G1776" s="5" t="str">
        <f>HYPERLINK("https://dpmzos25m8ivg.cloudfront.net/Documentos/631/04147853200/6310414785320011092023100823.pdf","https://dpmzos25m8ivg.cloudfront.net/Documentos/631/04147853200/6310414785320011092023100823.pdf")</f>
        <v>https://dpmzos25m8ivg.cloudfront.net/Documentos/631/04147853200/6310414785320011092023100823.pdf</v>
      </c>
      <c r="H1776" s="4" t="s">
        <v>10356</v>
      </c>
    </row>
    <row r="1777" spans="1:8" x14ac:dyDescent="0.25">
      <c r="A1777" s="2" t="s">
        <v>1791</v>
      </c>
      <c r="B1777" s="3" t="s">
        <v>308</v>
      </c>
      <c r="C1777" s="3"/>
      <c r="D1777" s="3"/>
      <c r="E1777" s="4" t="str">
        <f>HYPERLINK("https://dpmzos25m8ivg.cloudfront.net/Documentos/631/04149445184/6310414944518405092023124836.jpeg","https://dpmzos25m8ivg.cloudfront.net/Documentos/631/04149445184/6310414944518405092023124836.jpeg")</f>
        <v>https://dpmzos25m8ivg.cloudfront.net/Documentos/631/04149445184/6310414944518405092023124836.jpeg</v>
      </c>
      <c r="F1777" s="5" t="str">
        <f>HYPERLINK("https://dpmzos25m8ivg.cloudfront.net/Documentos/631/04149445184/6310414944518405092023124844.jpeg","https://dpmzos25m8ivg.cloudfront.net/Documentos/631/04149445184/6310414944518405092023124844.jpeg")</f>
        <v>https://dpmzos25m8ivg.cloudfront.net/Documentos/631/04149445184/6310414944518405092023124844.jpeg</v>
      </c>
      <c r="G1777" s="5" t="str">
        <f>HYPERLINK("https://dpmzos25m8ivg.cloudfront.net/Documentos/631/04149445184/6310414944518405092023124851.jpeg","https://dpmzos25m8ivg.cloudfront.net/Documentos/631/04149445184/6310414944518405092023124851.jpeg")</f>
        <v>https://dpmzos25m8ivg.cloudfront.net/Documentos/631/04149445184/6310414944518405092023124851.jpeg</v>
      </c>
      <c r="H1777" s="4" t="s">
        <v>10357</v>
      </c>
    </row>
    <row r="1778" spans="1:8" x14ac:dyDescent="0.25">
      <c r="A1778" s="2" t="s">
        <v>1792</v>
      </c>
      <c r="B1778" s="3" t="s">
        <v>312</v>
      </c>
      <c r="C1778" s="3"/>
      <c r="D1778" s="3"/>
      <c r="E1778" s="4" t="str">
        <f>HYPERLINK("https://dpmzos25m8ivg.cloudfront.net/Documentos/631/04150084173/6310415008417311092023083100.jpg","https://dpmzos25m8ivg.cloudfront.net/Documentos/631/04150084173/6310415008417311092023083100.jpg")</f>
        <v>https://dpmzos25m8ivg.cloudfront.net/Documentos/631/04150084173/6310415008417311092023083100.jpg</v>
      </c>
      <c r="F1778" s="5" t="str">
        <f>HYPERLINK("https://dpmzos25m8ivg.cloudfront.net/Documentos/631/04150084173/6310415008417311092023083118.jpg","https://dpmzos25m8ivg.cloudfront.net/Documentos/631/04150084173/6310415008417311092023083118.jpg")</f>
        <v>https://dpmzos25m8ivg.cloudfront.net/Documentos/631/04150084173/6310415008417311092023083118.jpg</v>
      </c>
      <c r="G1778" s="5" t="str">
        <f>HYPERLINK("https://dpmzos25m8ivg.cloudfront.net/Documentos/631/04150084173/6310415008417311092023083140.jpg","https://dpmzos25m8ivg.cloudfront.net/Documentos/631/04150084173/6310415008417311092023083140.jpg")</f>
        <v>https://dpmzos25m8ivg.cloudfront.net/Documentos/631/04150084173/6310415008417311092023083140.jpg</v>
      </c>
      <c r="H1778" s="4" t="s">
        <v>10358</v>
      </c>
    </row>
    <row r="1779" spans="1:8" x14ac:dyDescent="0.25">
      <c r="A1779" s="2" t="s">
        <v>1793</v>
      </c>
      <c r="B1779" s="3"/>
      <c r="C1779" s="3"/>
      <c r="D1779" s="3"/>
      <c r="E1779" s="4" t="str">
        <f>HYPERLINK("https://dpmzos25m8ivg.cloudfront.net/Documentos/631/04151502300/6310415150230011092023164833.jpeg","https://dpmzos25m8ivg.cloudfront.net/Documentos/631/04151502300/6310415150230011092023164833.jpeg")</f>
        <v>https://dpmzos25m8ivg.cloudfront.net/Documentos/631/04151502300/6310415150230011092023164833.jpeg</v>
      </c>
      <c r="F1779" s="5" t="str">
        <f>HYPERLINK("https://dpmzos25m8ivg.cloudfront.net/Documentos/631/04151502300/6310415150230011092023164858.jpeg","https://dpmzos25m8ivg.cloudfront.net/Documentos/631/04151502300/6310415150230011092023164858.jpeg")</f>
        <v>https://dpmzos25m8ivg.cloudfront.net/Documentos/631/04151502300/6310415150230011092023164858.jpeg</v>
      </c>
      <c r="G1779" s="5" t="str">
        <f>HYPERLINK("https://dpmzos25m8ivg.cloudfront.net/Documentos/631/04151502300/6310415150230011092023164918.jpeg","https://dpmzos25m8ivg.cloudfront.net/Documentos/631/04151502300/6310415150230011092023164918.jpeg")</f>
        <v>https://dpmzos25m8ivg.cloudfront.net/Documentos/631/04151502300/6310415150230011092023164918.jpeg</v>
      </c>
      <c r="H1779" s="4" t="s">
        <v>10359</v>
      </c>
    </row>
    <row r="1780" spans="1:8" x14ac:dyDescent="0.25">
      <c r="A1780" s="2" t="s">
        <v>1794</v>
      </c>
      <c r="B1780" s="3"/>
      <c r="C1780" s="3"/>
      <c r="D1780" s="3"/>
      <c r="E1780" s="4" t="str">
        <f>HYPERLINK("https://dpmzos25m8ivg.cloudfront.net/Documentos/631/04152643161/6310415264316105092023120920.pdf","https://dpmzos25m8ivg.cloudfront.net/Documentos/631/04152643161/6310415264316105092023120920.pdf")</f>
        <v>https://dpmzos25m8ivg.cloudfront.net/Documentos/631/04152643161/6310415264316105092023120920.pdf</v>
      </c>
      <c r="F1780" s="5" t="str">
        <f>HYPERLINK("https://dpmzos25m8ivg.cloudfront.net/Documentos/631/04152643161/6310415264316105092023120928.pdf","https://dpmzos25m8ivg.cloudfront.net/Documentos/631/04152643161/6310415264316105092023120928.pdf")</f>
        <v>https://dpmzos25m8ivg.cloudfront.net/Documentos/631/04152643161/6310415264316105092023120928.pdf</v>
      </c>
      <c r="G1780" s="5" t="str">
        <f>HYPERLINK("https://dpmzos25m8ivg.cloudfront.net/Documentos/631/04152643161/6310415264316105092023120935.pdf","https://dpmzos25m8ivg.cloudfront.net/Documentos/631/04152643161/6310415264316105092023120935.pdf")</f>
        <v>https://dpmzos25m8ivg.cloudfront.net/Documentos/631/04152643161/6310415264316105092023120935.pdf</v>
      </c>
      <c r="H1780" s="4" t="s">
        <v>10360</v>
      </c>
    </row>
    <row r="1781" spans="1:8" x14ac:dyDescent="0.25">
      <c r="A1781" s="2" t="s">
        <v>1795</v>
      </c>
      <c r="B1781" s="3"/>
      <c r="C1781" s="3"/>
      <c r="D1781" s="3"/>
      <c r="E1781" s="4" t="str">
        <f>HYPERLINK("https://dpmzos25m8ivg.cloudfront.net/Documentos/631/04155511290/6310415551129011092023105742.jpg","https://dpmzos25m8ivg.cloudfront.net/Documentos/631/04155511290/6310415551129011092023105742.jpg")</f>
        <v>https://dpmzos25m8ivg.cloudfront.net/Documentos/631/04155511290/6310415551129011092023105742.jpg</v>
      </c>
      <c r="F1781" s="5" t="str">
        <f>HYPERLINK("https://dpmzos25m8ivg.cloudfront.net/Documentos/631/04155511290/6310415551129011092023105805.jpg","https://dpmzos25m8ivg.cloudfront.net/Documentos/631/04155511290/6310415551129011092023105805.jpg")</f>
        <v>https://dpmzos25m8ivg.cloudfront.net/Documentos/631/04155511290/6310415551129011092023105805.jpg</v>
      </c>
      <c r="G1781" s="5" t="str">
        <f>HYPERLINK("https://dpmzos25m8ivg.cloudfront.net/Documentos/631/04155511290/6310415551129011092023105834.jpg","https://dpmzos25m8ivg.cloudfront.net/Documentos/631/04155511290/6310415551129011092023105834.jpg")</f>
        <v>https://dpmzos25m8ivg.cloudfront.net/Documentos/631/04155511290/6310415551129011092023105834.jpg</v>
      </c>
      <c r="H1781" s="4" t="s">
        <v>10361</v>
      </c>
    </row>
    <row r="1782" spans="1:8" x14ac:dyDescent="0.25">
      <c r="A1782" s="2" t="s">
        <v>1796</v>
      </c>
      <c r="B1782" s="3"/>
      <c r="C1782" s="3"/>
      <c r="D1782" s="3"/>
      <c r="E1782" s="4" t="str">
        <f>HYPERLINK("https://dpmzos25m8ivg.cloudfront.net/Documentos/631/04157366760/6310415736676011092023161416.jpg","https://dpmzos25m8ivg.cloudfront.net/Documentos/631/04157366760/6310415736676011092023161416.jpg")</f>
        <v>https://dpmzos25m8ivg.cloudfront.net/Documentos/631/04157366760/6310415736676011092023161416.jpg</v>
      </c>
      <c r="F1782" s="5" t="str">
        <f>HYPERLINK("https://dpmzos25m8ivg.cloudfront.net/Documentos/631/04157366760/6310415736676011092023161545.jpg","https://dpmzos25m8ivg.cloudfront.net/Documentos/631/04157366760/6310415736676011092023161545.jpg")</f>
        <v>https://dpmzos25m8ivg.cloudfront.net/Documentos/631/04157366760/6310415736676011092023161545.jpg</v>
      </c>
      <c r="G1782" s="5" t="str">
        <f>HYPERLINK("https://dpmzos25m8ivg.cloudfront.net/Documentos/631/04157366760/6310415736676011092023161624.jpg","https://dpmzos25m8ivg.cloudfront.net/Documentos/631/04157366760/6310415736676011092023161624.jpg")</f>
        <v>https://dpmzos25m8ivg.cloudfront.net/Documentos/631/04157366760/6310415736676011092023161624.jpg</v>
      </c>
      <c r="H1782" s="4" t="s">
        <v>10362</v>
      </c>
    </row>
    <row r="1783" spans="1:8" x14ac:dyDescent="0.25">
      <c r="A1783" s="2" t="s">
        <v>1797</v>
      </c>
      <c r="B1783" s="3"/>
      <c r="C1783" s="3"/>
      <c r="D1783" s="3"/>
      <c r="E1783" s="4" t="str">
        <f>HYPERLINK("https://dpmzos25m8ivg.cloudfront.net/Documentos/631/04160156460/6310416015646008092023131555.pdf","https://dpmzos25m8ivg.cloudfront.net/Documentos/631/04160156460/6310416015646008092023131555.pdf")</f>
        <v>https://dpmzos25m8ivg.cloudfront.net/Documentos/631/04160156460/6310416015646008092023131555.pdf</v>
      </c>
      <c r="F1783" s="5" t="str">
        <f>HYPERLINK("https://dpmzos25m8ivg.cloudfront.net/Documentos/631/04160156460/6310416015646008092023131606.pdf","https://dpmzos25m8ivg.cloudfront.net/Documentos/631/04160156460/6310416015646008092023131606.pdf")</f>
        <v>https://dpmzos25m8ivg.cloudfront.net/Documentos/631/04160156460/6310416015646008092023131606.pdf</v>
      </c>
      <c r="G1783" s="5" t="str">
        <f>HYPERLINK("https://dpmzos25m8ivg.cloudfront.net/Documentos/631/04160156460/6310416015646008092023131614.pdf","https://dpmzos25m8ivg.cloudfront.net/Documentos/631/04160156460/6310416015646008092023131614.pdf")</f>
        <v>https://dpmzos25m8ivg.cloudfront.net/Documentos/631/04160156460/6310416015646008092023131614.pdf</v>
      </c>
      <c r="H1783" s="4" t="s">
        <v>10363</v>
      </c>
    </row>
    <row r="1784" spans="1:8" x14ac:dyDescent="0.25">
      <c r="A1784" s="2" t="s">
        <v>1798</v>
      </c>
      <c r="B1784" s="3"/>
      <c r="C1784" s="3"/>
      <c r="D1784" s="3"/>
      <c r="E1784" s="4" t="str">
        <f>HYPERLINK("https://dpmzos25m8ivg.cloudfront.net/Documentos/631/04160987974/6310416098797411092023154435.pdf","https://dpmzos25m8ivg.cloudfront.net/Documentos/631/04160987974/6310416098797411092023154435.pdf")</f>
        <v>https://dpmzos25m8ivg.cloudfront.net/Documentos/631/04160987974/6310416098797411092023154435.pdf</v>
      </c>
      <c r="F1784" s="5" t="str">
        <f>HYPERLINK("https://dpmzos25m8ivg.cloudfront.net/Documentos/631/04160987974/6310416098797411092023154443.pdf","https://dpmzos25m8ivg.cloudfront.net/Documentos/631/04160987974/6310416098797411092023154443.pdf")</f>
        <v>https://dpmzos25m8ivg.cloudfront.net/Documentos/631/04160987974/6310416098797411092023154443.pdf</v>
      </c>
      <c r="G1784" s="5" t="str">
        <f>HYPERLINK("https://dpmzos25m8ivg.cloudfront.net/Documentos/631/04160987974/6310416098797411092023154450.pdf","https://dpmzos25m8ivg.cloudfront.net/Documentos/631/04160987974/6310416098797411092023154450.pdf")</f>
        <v>https://dpmzos25m8ivg.cloudfront.net/Documentos/631/04160987974/6310416098797411092023154450.pdf</v>
      </c>
      <c r="H1784" s="4" t="s">
        <v>10364</v>
      </c>
    </row>
    <row r="1785" spans="1:8" x14ac:dyDescent="0.25">
      <c r="A1785" s="2" t="s">
        <v>1799</v>
      </c>
      <c r="B1785" s="3"/>
      <c r="C1785" s="3"/>
      <c r="D1785" s="3"/>
      <c r="E1785" s="4" t="str">
        <f>HYPERLINK("https://dpmzos25m8ivg.cloudfront.net/Documentos/631/04161888007/6310416188800705092023171955.jpeg","https://dpmzos25m8ivg.cloudfront.net/Documentos/631/04161888007/6310416188800705092023171955.jpeg")</f>
        <v>https://dpmzos25m8ivg.cloudfront.net/Documentos/631/04161888007/6310416188800705092023171955.jpeg</v>
      </c>
      <c r="F1785" s="5" t="str">
        <f>HYPERLINK("https://dpmzos25m8ivg.cloudfront.net/Documentos/631/04161888007/6310416188800705092023172036.jpeg","https://dpmzos25m8ivg.cloudfront.net/Documentos/631/04161888007/6310416188800705092023172036.jpeg")</f>
        <v>https://dpmzos25m8ivg.cloudfront.net/Documentos/631/04161888007/6310416188800705092023172036.jpeg</v>
      </c>
      <c r="G1785" s="5" t="str">
        <f>HYPERLINK("https://dpmzos25m8ivg.cloudfront.net/Documentos/631/04161888007/6310416188800705092023172017.jpeg","https://dpmzos25m8ivg.cloudfront.net/Documentos/631/04161888007/6310416188800705092023172017.jpeg")</f>
        <v>https://dpmzos25m8ivg.cloudfront.net/Documentos/631/04161888007/6310416188800705092023172017.jpeg</v>
      </c>
      <c r="H1785" s="4" t="s">
        <v>10365</v>
      </c>
    </row>
    <row r="1786" spans="1:8" x14ac:dyDescent="0.25">
      <c r="A1786" s="2" t="s">
        <v>1800</v>
      </c>
      <c r="B1786" s="3"/>
      <c r="C1786" s="3"/>
      <c r="D1786" s="3"/>
      <c r="E1786" s="4" t="str">
        <f>HYPERLINK("https://dpmzos25m8ivg.cloudfront.net/Documentos/631/04164007605/6310416400760508092023201445.jpeg","https://dpmzos25m8ivg.cloudfront.net/Documentos/631/04164007605/6310416400760508092023201445.jpeg")</f>
        <v>https://dpmzos25m8ivg.cloudfront.net/Documentos/631/04164007605/6310416400760508092023201445.jpeg</v>
      </c>
      <c r="F1786" s="5" t="str">
        <f>HYPERLINK("https://dpmzos25m8ivg.cloudfront.net/Documentos/631/04164007605/6310416400760508092023201542.jpeg","https://dpmzos25m8ivg.cloudfront.net/Documentos/631/04164007605/6310416400760508092023201542.jpeg")</f>
        <v>https://dpmzos25m8ivg.cloudfront.net/Documentos/631/04164007605/6310416400760508092023201542.jpeg</v>
      </c>
      <c r="G1786" s="5" t="str">
        <f>HYPERLINK("https://dpmzos25m8ivg.cloudfront.net/Documentos/631/04164007605/6310416400760508092023201559.jpeg","https://dpmzos25m8ivg.cloudfront.net/Documentos/631/04164007605/6310416400760508092023201559.jpeg")</f>
        <v>https://dpmzos25m8ivg.cloudfront.net/Documentos/631/04164007605/6310416400760508092023201559.jpeg</v>
      </c>
      <c r="H1786" s="4" t="s">
        <v>10366</v>
      </c>
    </row>
    <row r="1787" spans="1:8" x14ac:dyDescent="0.25">
      <c r="A1787" s="2" t="s">
        <v>1801</v>
      </c>
      <c r="B1787" s="3" t="s">
        <v>312</v>
      </c>
      <c r="C1787" s="3"/>
      <c r="D1787" s="3"/>
      <c r="E1787" s="4" t="str">
        <f>HYPERLINK("https://dpmzos25m8ivg.cloudfront.net/Documentos/631/04165789186/6310416578918612092023225857.pdf","https://dpmzos25m8ivg.cloudfront.net/Documentos/631/04165789186/6310416578918612092023225857.pdf")</f>
        <v>https://dpmzos25m8ivg.cloudfront.net/Documentos/631/04165789186/6310416578918612092023225857.pdf</v>
      </c>
      <c r="F1787" s="5" t="str">
        <f>HYPERLINK("https://dpmzos25m8ivg.cloudfront.net/Documentos/631/04165789186/6310416578918612092023230034.pdf","https://dpmzos25m8ivg.cloudfront.net/Documentos/631/04165789186/6310416578918612092023230034.pdf")</f>
        <v>https://dpmzos25m8ivg.cloudfront.net/Documentos/631/04165789186/6310416578918612092023230034.pdf</v>
      </c>
      <c r="G1787" s="5" t="str">
        <f>HYPERLINK("https://dpmzos25m8ivg.cloudfront.net/Documentos/631/04165789186/6310416578918612092023230057.pdf","https://dpmzos25m8ivg.cloudfront.net/Documentos/631/04165789186/6310416578918612092023230057.pdf")</f>
        <v>https://dpmzos25m8ivg.cloudfront.net/Documentos/631/04165789186/6310416578918612092023230057.pdf</v>
      </c>
      <c r="H1787" s="4" t="s">
        <v>10367</v>
      </c>
    </row>
    <row r="1788" spans="1:8" x14ac:dyDescent="0.25">
      <c r="A1788" s="2" t="s">
        <v>1802</v>
      </c>
      <c r="B1788" s="3"/>
      <c r="C1788" s="3"/>
      <c r="D1788" s="3"/>
      <c r="E1788" s="4" t="str">
        <f>HYPERLINK("https://dpmzos25m8ivg.cloudfront.net/Documentos/631/04168351122/6310416835112211092023164921.pdf","https://dpmzos25m8ivg.cloudfront.net/Documentos/631/04168351122/6310416835112211092023164921.pdf")</f>
        <v>https://dpmzos25m8ivg.cloudfront.net/Documentos/631/04168351122/6310416835112211092023164921.pdf</v>
      </c>
      <c r="F1788" s="5" t="str">
        <f>HYPERLINK("https://dpmzos25m8ivg.cloudfront.net/Documentos/631/04168351122/6310416835112211092023164931.pdf","https://dpmzos25m8ivg.cloudfront.net/Documentos/631/04168351122/6310416835112211092023164931.pdf")</f>
        <v>https://dpmzos25m8ivg.cloudfront.net/Documentos/631/04168351122/6310416835112211092023164931.pdf</v>
      </c>
      <c r="G1788" s="5" t="str">
        <f>HYPERLINK("https://dpmzos25m8ivg.cloudfront.net/Documentos/631/04168351122/6310416835112211092023164943.pdf","https://dpmzos25m8ivg.cloudfront.net/Documentos/631/04168351122/6310416835112211092023164943.pdf")</f>
        <v>https://dpmzos25m8ivg.cloudfront.net/Documentos/631/04168351122/6310416835112211092023164943.pdf</v>
      </c>
      <c r="H1788" s="4" t="s">
        <v>10368</v>
      </c>
    </row>
    <row r="1789" spans="1:8" x14ac:dyDescent="0.25">
      <c r="A1789" s="2" t="s">
        <v>1803</v>
      </c>
      <c r="B1789" s="3"/>
      <c r="C1789" s="3"/>
      <c r="D1789" s="3"/>
      <c r="E1789" s="4" t="str">
        <f>HYPERLINK("https://dpmzos25m8ivg.cloudfront.net/Documentos/631/04169574206/6310416957420606092023200007.jpg","https://dpmzos25m8ivg.cloudfront.net/Documentos/631/04169574206/6310416957420606092023200007.jpg")</f>
        <v>https://dpmzos25m8ivg.cloudfront.net/Documentos/631/04169574206/6310416957420606092023200007.jpg</v>
      </c>
      <c r="F1789" s="5" t="str">
        <f>HYPERLINK("https://dpmzos25m8ivg.cloudfront.net/Documentos/631/04169574206/6310416957420606092023200735.jpg","https://dpmzos25m8ivg.cloudfront.net/Documentos/631/04169574206/6310416957420606092023200735.jpg")</f>
        <v>https://dpmzos25m8ivg.cloudfront.net/Documentos/631/04169574206/6310416957420606092023200735.jpg</v>
      </c>
      <c r="G1789" s="5" t="str">
        <f>HYPERLINK("https://dpmzos25m8ivg.cloudfront.net/Documentos/631/04169574206/6310416957420606092023201636.jpg","https://dpmzos25m8ivg.cloudfront.net/Documentos/631/04169574206/6310416957420606092023201636.jpg")</f>
        <v>https://dpmzos25m8ivg.cloudfront.net/Documentos/631/04169574206/6310416957420606092023201636.jpg</v>
      </c>
      <c r="H1789" s="4" t="s">
        <v>10369</v>
      </c>
    </row>
    <row r="1790" spans="1:8" x14ac:dyDescent="0.25">
      <c r="A1790" s="2" t="s">
        <v>1804</v>
      </c>
      <c r="B1790" s="3"/>
      <c r="C1790" s="3"/>
      <c r="D1790" s="3"/>
      <c r="E1790" s="4" t="str">
        <f>HYPERLINK("https://dpmzos25m8ivg.cloudfront.net/Documentos/631/04176909161/6310417690916111092023122811.pdf","https://dpmzos25m8ivg.cloudfront.net/Documentos/631/04176909161/6310417690916111092023122811.pdf")</f>
        <v>https://dpmzos25m8ivg.cloudfront.net/Documentos/631/04176909161/6310417690916111092023122811.pdf</v>
      </c>
      <c r="F1790" s="5" t="str">
        <f>HYPERLINK("https://dpmzos25m8ivg.cloudfront.net/Documentos/631/04176909161/6310417690916111092023122909.pdf","https://dpmzos25m8ivg.cloudfront.net/Documentos/631/04176909161/6310417690916111092023122909.pdf")</f>
        <v>https://dpmzos25m8ivg.cloudfront.net/Documentos/631/04176909161/6310417690916111092023122909.pdf</v>
      </c>
      <c r="G1790" s="5" t="str">
        <f>HYPERLINK("https://dpmzos25m8ivg.cloudfront.net/Documentos/631/04176909161/6310417690916111092023122928.pdf","https://dpmzos25m8ivg.cloudfront.net/Documentos/631/04176909161/6310417690916111092023122928.pdf")</f>
        <v>https://dpmzos25m8ivg.cloudfront.net/Documentos/631/04176909161/6310417690916111092023122928.pdf</v>
      </c>
      <c r="H1790" s="4" t="s">
        <v>10370</v>
      </c>
    </row>
    <row r="1791" spans="1:8" x14ac:dyDescent="0.25">
      <c r="A1791" s="2" t="s">
        <v>1805</v>
      </c>
      <c r="B1791" s="3"/>
      <c r="C1791" s="3"/>
      <c r="D1791" s="3"/>
      <c r="E1791" s="4" t="str">
        <f>HYPERLINK("https://dpmzos25m8ivg.cloudfront.net/Documentos/631/04178250132/6310417825013208092023115107.pdf","https://dpmzos25m8ivg.cloudfront.net/Documentos/631/04178250132/6310417825013208092023115107.pdf")</f>
        <v>https://dpmzos25m8ivg.cloudfront.net/Documentos/631/04178250132/6310417825013208092023115107.pdf</v>
      </c>
      <c r="F1791" s="5" t="str">
        <f>HYPERLINK("https://dpmzos25m8ivg.cloudfront.net/Documentos/631/04178250132/6310417825013208092023115412.pdf","https://dpmzos25m8ivg.cloudfront.net/Documentos/631/04178250132/6310417825013208092023115412.pdf")</f>
        <v>https://dpmzos25m8ivg.cloudfront.net/Documentos/631/04178250132/6310417825013208092023115412.pdf</v>
      </c>
      <c r="G1791" s="5" t="str">
        <f>HYPERLINK("https://dpmzos25m8ivg.cloudfront.net/Documentos/631/04178250132/6310417825013208092023115419.pdf","https://dpmzos25m8ivg.cloudfront.net/Documentos/631/04178250132/6310417825013208092023115419.pdf")</f>
        <v>https://dpmzos25m8ivg.cloudfront.net/Documentos/631/04178250132/6310417825013208092023115419.pdf</v>
      </c>
      <c r="H1791" s="4" t="s">
        <v>10371</v>
      </c>
    </row>
    <row r="1792" spans="1:8" x14ac:dyDescent="0.25">
      <c r="A1792" s="2" t="s">
        <v>1806</v>
      </c>
      <c r="B1792" s="3"/>
      <c r="C1792" s="3"/>
      <c r="D1792" s="3"/>
      <c r="E1792" s="4" t="str">
        <f>HYPERLINK("https://dpmzos25m8ivg.cloudfront.net/Documentos/631/04179745747/6310417974574705092023212913.pdf","https://dpmzos25m8ivg.cloudfront.net/Documentos/631/04179745747/6310417974574705092023212913.pdf")</f>
        <v>https://dpmzos25m8ivg.cloudfront.net/Documentos/631/04179745747/6310417974574705092023212913.pdf</v>
      </c>
      <c r="F1792" s="5" t="str">
        <f>HYPERLINK("https://dpmzos25m8ivg.cloudfront.net/Documentos/631/04179745747/6310417974574705092023213020.pdf","https://dpmzos25m8ivg.cloudfront.net/Documentos/631/04179745747/6310417974574705092023213020.pdf")</f>
        <v>https://dpmzos25m8ivg.cloudfront.net/Documentos/631/04179745747/6310417974574705092023213020.pdf</v>
      </c>
      <c r="G1792" s="5" t="str">
        <f>HYPERLINK("https://dpmzos25m8ivg.cloudfront.net/Documentos/631/04179745747/6310417974574705092023213105.pdf","https://dpmzos25m8ivg.cloudfront.net/Documentos/631/04179745747/6310417974574705092023213105.pdf")</f>
        <v>https://dpmzos25m8ivg.cloudfront.net/Documentos/631/04179745747/6310417974574705092023213105.pdf</v>
      </c>
      <c r="H1792" s="4" t="s">
        <v>10372</v>
      </c>
    </row>
    <row r="1793" spans="1:8" x14ac:dyDescent="0.25">
      <c r="A1793" s="2" t="s">
        <v>1807</v>
      </c>
      <c r="B1793" s="3" t="s">
        <v>308</v>
      </c>
      <c r="C1793" s="3"/>
      <c r="D1793" s="3"/>
      <c r="E1793" s="4" t="str">
        <f>HYPERLINK("https://dpmzos25m8ivg.cloudfront.net/Documentos/631/04179822083/6310417982208305092023122422.pdf","https://dpmzos25m8ivg.cloudfront.net/Documentos/631/04179822083/6310417982208305092023122422.pdf")</f>
        <v>https://dpmzos25m8ivg.cloudfront.net/Documentos/631/04179822083/6310417982208305092023122422.pdf</v>
      </c>
      <c r="F1793" s="5" t="str">
        <f>HYPERLINK("https://dpmzos25m8ivg.cloudfront.net/Documentos/631/04179822083/6310417982208305092023122434.pdf","https://dpmzos25m8ivg.cloudfront.net/Documentos/631/04179822083/6310417982208305092023122434.pdf")</f>
        <v>https://dpmzos25m8ivg.cloudfront.net/Documentos/631/04179822083/6310417982208305092023122434.pdf</v>
      </c>
      <c r="G1793" s="5" t="str">
        <f>HYPERLINK("https://dpmzos25m8ivg.cloudfront.net/Documentos/631/04179822083/6310417982208305092023122445.pdf","https://dpmzos25m8ivg.cloudfront.net/Documentos/631/04179822083/6310417982208305092023122445.pdf")</f>
        <v>https://dpmzos25m8ivg.cloudfront.net/Documentos/631/04179822083/6310417982208305092023122445.pdf</v>
      </c>
      <c r="H1793" s="4" t="s">
        <v>10373</v>
      </c>
    </row>
    <row r="1794" spans="1:8" x14ac:dyDescent="0.25">
      <c r="A1794" s="2" t="s">
        <v>1808</v>
      </c>
      <c r="B1794" s="3"/>
      <c r="C1794" s="3"/>
      <c r="D1794" s="3"/>
      <c r="E1794" s="4" t="str">
        <f>HYPERLINK("https://dpmzos25m8ivg.cloudfront.net/Documentos/631/04180535530/6310418053553008092023145948.jpg","https://dpmzos25m8ivg.cloudfront.net/Documentos/631/04180535530/6310418053553008092023145948.jpg")</f>
        <v>https://dpmzos25m8ivg.cloudfront.net/Documentos/631/04180535530/6310418053553008092023145948.jpg</v>
      </c>
      <c r="F1794" s="5" t="str">
        <f>HYPERLINK("https://dpmzos25m8ivg.cloudfront.net/Documentos/631/04180535530/6310418053553008092023150004.jpg","https://dpmzos25m8ivg.cloudfront.net/Documentos/631/04180535530/6310418053553008092023150004.jpg")</f>
        <v>https://dpmzos25m8ivg.cloudfront.net/Documentos/631/04180535530/6310418053553008092023150004.jpg</v>
      </c>
      <c r="G1794" s="5" t="str">
        <f>HYPERLINK("https://dpmzos25m8ivg.cloudfront.net/Documentos/631/04180535530/6310418053553008092023150019.jpg","https://dpmzos25m8ivg.cloudfront.net/Documentos/631/04180535530/6310418053553008092023150019.jpg")</f>
        <v>https://dpmzos25m8ivg.cloudfront.net/Documentos/631/04180535530/6310418053553008092023150019.jpg</v>
      </c>
      <c r="H1794" s="4" t="s">
        <v>10374</v>
      </c>
    </row>
    <row r="1795" spans="1:8" x14ac:dyDescent="0.25">
      <c r="A1795" s="2" t="s">
        <v>1809</v>
      </c>
      <c r="B1795" s="3" t="s">
        <v>90</v>
      </c>
      <c r="C1795" s="3"/>
      <c r="D1795" s="3"/>
      <c r="E1795" s="4" t="str">
        <f>HYPERLINK("https://dpmzos25m8ivg.cloudfront.net/Documentos/631/04180797496/6310418079749610092023214706.pdf","https://dpmzos25m8ivg.cloudfront.net/Documentos/631/04180797496/6310418079749610092023214706.pdf")</f>
        <v>https://dpmzos25m8ivg.cloudfront.net/Documentos/631/04180797496/6310418079749610092023214706.pdf</v>
      </c>
      <c r="F1795" s="5" t="str">
        <f>HYPERLINK("https://dpmzos25m8ivg.cloudfront.net/Documentos/631/04180797496/6310418079749610092023214725.pdf","https://dpmzos25m8ivg.cloudfront.net/Documentos/631/04180797496/6310418079749610092023214725.pdf")</f>
        <v>https://dpmzos25m8ivg.cloudfront.net/Documentos/631/04180797496/6310418079749610092023214725.pdf</v>
      </c>
      <c r="G1795" s="5" t="str">
        <f>HYPERLINK("https://dpmzos25m8ivg.cloudfront.net/Documentos/631/04180797496/6310418079749610092023214754.pdf","https://dpmzos25m8ivg.cloudfront.net/Documentos/631/04180797496/6310418079749610092023214754.pdf")</f>
        <v>https://dpmzos25m8ivg.cloudfront.net/Documentos/631/04180797496/6310418079749610092023214754.pdf</v>
      </c>
      <c r="H1795" s="4" t="s">
        <v>10375</v>
      </c>
    </row>
    <row r="1796" spans="1:8" x14ac:dyDescent="0.25">
      <c r="A1796" s="2" t="s">
        <v>1810</v>
      </c>
      <c r="B1796" s="3"/>
      <c r="C1796" s="3"/>
      <c r="D1796" s="3"/>
      <c r="E1796" s="4" t="str">
        <f>HYPERLINK("https://dpmzos25m8ivg.cloudfront.net/Documentos/631/04182178319/6310418217831905092023155519.jpg","https://dpmzos25m8ivg.cloudfront.net/Documentos/631/04182178319/6310418217831905092023155519.jpg")</f>
        <v>https://dpmzos25m8ivg.cloudfront.net/Documentos/631/04182178319/6310418217831905092023155519.jpg</v>
      </c>
      <c r="F1796" s="5" t="str">
        <f>HYPERLINK("https://dpmzos25m8ivg.cloudfront.net/Documentos/631/04182178319/6310418217831905092023155513.jpg","https://dpmzos25m8ivg.cloudfront.net/Documentos/631/04182178319/6310418217831905092023155513.jpg")</f>
        <v>https://dpmzos25m8ivg.cloudfront.net/Documentos/631/04182178319/6310418217831905092023155513.jpg</v>
      </c>
      <c r="G1796" s="5" t="str">
        <f>HYPERLINK("https://dpmzos25m8ivg.cloudfront.net/Documentos/631/04182178319/6310418217831905092023155507.jpg","https://dpmzos25m8ivg.cloudfront.net/Documentos/631/04182178319/6310418217831905092023155507.jpg")</f>
        <v>https://dpmzos25m8ivg.cloudfront.net/Documentos/631/04182178319/6310418217831905092023155507.jpg</v>
      </c>
      <c r="H1796" s="4" t="s">
        <v>10376</v>
      </c>
    </row>
    <row r="1797" spans="1:8" x14ac:dyDescent="0.25">
      <c r="A1797" s="2" t="s">
        <v>1811</v>
      </c>
      <c r="B1797" s="3"/>
      <c r="C1797" s="3"/>
      <c r="D1797" s="3"/>
      <c r="E1797" s="4" t="str">
        <f>HYPERLINK("https://dpmzos25m8ivg.cloudfront.net/Documentos/631/04182651510/6310418265151007092023141009.pdf","https://dpmzos25m8ivg.cloudfront.net/Documentos/631/04182651510/6310418265151007092023141009.pdf")</f>
        <v>https://dpmzos25m8ivg.cloudfront.net/Documentos/631/04182651510/6310418265151007092023141009.pdf</v>
      </c>
      <c r="F1797" s="5" t="str">
        <f>HYPERLINK("https://dpmzos25m8ivg.cloudfront.net/Documentos/631/04182651510/6310418265151007092023141026.pdf","https://dpmzos25m8ivg.cloudfront.net/Documentos/631/04182651510/6310418265151007092023141026.pdf")</f>
        <v>https://dpmzos25m8ivg.cloudfront.net/Documentos/631/04182651510/6310418265151007092023141026.pdf</v>
      </c>
      <c r="G1797" s="5" t="str">
        <f>HYPERLINK("https://dpmzos25m8ivg.cloudfront.net/Documentos/631/04182651510/6310418265151007092023141041.pdf","https://dpmzos25m8ivg.cloudfront.net/Documentos/631/04182651510/6310418265151007092023141041.pdf")</f>
        <v>https://dpmzos25m8ivg.cloudfront.net/Documentos/631/04182651510/6310418265151007092023141041.pdf</v>
      </c>
      <c r="H1797" s="4" t="s">
        <v>10377</v>
      </c>
    </row>
    <row r="1798" spans="1:8" x14ac:dyDescent="0.25">
      <c r="A1798" s="2" t="s">
        <v>1812</v>
      </c>
      <c r="B1798" s="3" t="s">
        <v>312</v>
      </c>
      <c r="C1798" s="3"/>
      <c r="D1798" s="3"/>
      <c r="E1798" s="4" t="str">
        <f>HYPERLINK("https://dpmzos25m8ivg.cloudfront.net/Documentos/631/04183287065/6310418328706511092023152237.jpg","https://dpmzos25m8ivg.cloudfront.net/Documentos/631/04183287065/6310418328706511092023152237.jpg")</f>
        <v>https://dpmzos25m8ivg.cloudfront.net/Documentos/631/04183287065/6310418328706511092023152237.jpg</v>
      </c>
      <c r="F1798" s="5" t="str">
        <f>HYPERLINK("https://dpmzos25m8ivg.cloudfront.net/Documentos/631/04183287065/6310418328706511092023152243.jpg","https://dpmzos25m8ivg.cloudfront.net/Documentos/631/04183287065/6310418328706511092023152243.jpg")</f>
        <v>https://dpmzos25m8ivg.cloudfront.net/Documentos/631/04183287065/6310418328706511092023152243.jpg</v>
      </c>
      <c r="G1798" s="5" t="str">
        <f>HYPERLINK("https://dpmzos25m8ivg.cloudfront.net/Documentos/631/04183287065/6310418328706511092023152250.jpg","https://dpmzos25m8ivg.cloudfront.net/Documentos/631/04183287065/6310418328706511092023152250.jpg")</f>
        <v>https://dpmzos25m8ivg.cloudfront.net/Documentos/631/04183287065/6310418328706511092023152250.jpg</v>
      </c>
      <c r="H1798" s="4" t="s">
        <v>10378</v>
      </c>
    </row>
    <row r="1799" spans="1:8" x14ac:dyDescent="0.25">
      <c r="A1799" s="2" t="s">
        <v>1813</v>
      </c>
      <c r="B1799" s="3"/>
      <c r="C1799" s="3"/>
      <c r="D1799" s="3"/>
      <c r="E1799" s="4" t="str">
        <f>HYPERLINK("https://dpmzos25m8ivg.cloudfront.net/Documentos/631/04186103127/6310418610312705092023101148.pdf","https://dpmzos25m8ivg.cloudfront.net/Documentos/631/04186103127/6310418610312705092023101148.pdf")</f>
        <v>https://dpmzos25m8ivg.cloudfront.net/Documentos/631/04186103127/6310418610312705092023101148.pdf</v>
      </c>
      <c r="F1799" s="5" t="str">
        <f>HYPERLINK("https://dpmzos25m8ivg.cloudfront.net/Documentos/631/04186103127/6310418610312705092023101154.pdf","https://dpmzos25m8ivg.cloudfront.net/Documentos/631/04186103127/6310418610312705092023101154.pdf")</f>
        <v>https://dpmzos25m8ivg.cloudfront.net/Documentos/631/04186103127/6310418610312705092023101154.pdf</v>
      </c>
      <c r="G1799" s="5" t="str">
        <f>HYPERLINK("https://dpmzos25m8ivg.cloudfront.net/Documentos/631/04186103127/6310418610312705092023101200.pdf","https://dpmzos25m8ivg.cloudfront.net/Documentos/631/04186103127/6310418610312705092023101200.pdf")</f>
        <v>https://dpmzos25m8ivg.cloudfront.net/Documentos/631/04186103127/6310418610312705092023101200.pdf</v>
      </c>
      <c r="H1799" s="4" t="s">
        <v>10379</v>
      </c>
    </row>
    <row r="1800" spans="1:8" x14ac:dyDescent="0.25">
      <c r="A1800" s="2" t="s">
        <v>1814</v>
      </c>
      <c r="B1800" s="3"/>
      <c r="C1800" s="3"/>
      <c r="D1800" s="3"/>
      <c r="E1800" s="4" t="str">
        <f>HYPERLINK("https://dpmzos25m8ivg.cloudfront.net/Documentos/631/04186638233/6310418663823305092023212817.pdf","https://dpmzos25m8ivg.cloudfront.net/Documentos/631/04186638233/6310418663823305092023212817.pdf")</f>
        <v>https://dpmzos25m8ivg.cloudfront.net/Documentos/631/04186638233/6310418663823305092023212817.pdf</v>
      </c>
      <c r="F1800" s="5" t="str">
        <f>HYPERLINK("https://dpmzos25m8ivg.cloudfront.net/Documentos/631/04186638233/6310418663823305092023212837.pdf","https://dpmzos25m8ivg.cloudfront.net/Documentos/631/04186638233/6310418663823305092023212837.pdf")</f>
        <v>https://dpmzos25m8ivg.cloudfront.net/Documentos/631/04186638233/6310418663823305092023212837.pdf</v>
      </c>
      <c r="G1800" s="5" t="str">
        <f>HYPERLINK("https://dpmzos25m8ivg.cloudfront.net/Documentos/631/04186638233/6310418663823305092023212857.pdf","https://dpmzos25m8ivg.cloudfront.net/Documentos/631/04186638233/6310418663823305092023212857.pdf")</f>
        <v>https://dpmzos25m8ivg.cloudfront.net/Documentos/631/04186638233/6310418663823305092023212857.pdf</v>
      </c>
      <c r="H1800" s="4" t="s">
        <v>10380</v>
      </c>
    </row>
    <row r="1801" spans="1:8" x14ac:dyDescent="0.25">
      <c r="A1801" s="2" t="s">
        <v>1815</v>
      </c>
      <c r="B1801" s="3"/>
      <c r="C1801" s="3"/>
      <c r="D1801" s="3"/>
      <c r="E1801" s="4" t="str">
        <f>HYPERLINK("https://dpmzos25m8ivg.cloudfront.net/Documentos/631/04186939519/6310418693951911092023104706.pdf","https://dpmzos25m8ivg.cloudfront.net/Documentos/631/04186939519/6310418693951911092023104706.pdf")</f>
        <v>https://dpmzos25m8ivg.cloudfront.net/Documentos/631/04186939519/6310418693951911092023104706.pdf</v>
      </c>
      <c r="F1801" s="5" t="str">
        <f>HYPERLINK("https://dpmzos25m8ivg.cloudfront.net/Documentos/631/04186939519/6310418693951911092023104719.pdf","https://dpmzos25m8ivg.cloudfront.net/Documentos/631/04186939519/6310418693951911092023104719.pdf")</f>
        <v>https://dpmzos25m8ivg.cloudfront.net/Documentos/631/04186939519/6310418693951911092023104719.pdf</v>
      </c>
      <c r="G1801" s="5" t="str">
        <f>HYPERLINK("https://dpmzos25m8ivg.cloudfront.net/Documentos/631/04186939519/6310418693951911092023104727.pdf","https://dpmzos25m8ivg.cloudfront.net/Documentos/631/04186939519/6310418693951911092023104727.pdf")</f>
        <v>https://dpmzos25m8ivg.cloudfront.net/Documentos/631/04186939519/6310418693951911092023104727.pdf</v>
      </c>
      <c r="H1801" s="4" t="s">
        <v>10381</v>
      </c>
    </row>
    <row r="1802" spans="1:8" x14ac:dyDescent="0.25">
      <c r="A1802" s="2" t="s">
        <v>1816</v>
      </c>
      <c r="B1802" s="3"/>
      <c r="C1802" s="3"/>
      <c r="D1802" s="3"/>
      <c r="E1802" s="4" t="str">
        <f>HYPERLINK("https://dpmzos25m8ivg.cloudfront.net/Documentos/631/04187896147/6310418789614710092023123523.jpeg","https://dpmzos25m8ivg.cloudfront.net/Documentos/631/04187896147/6310418789614710092023123523.jpeg")</f>
        <v>https://dpmzos25m8ivg.cloudfront.net/Documentos/631/04187896147/6310418789614710092023123523.jpeg</v>
      </c>
      <c r="F1802" s="5" t="str">
        <f>HYPERLINK("https://dpmzos25m8ivg.cloudfront.net/Documentos/631/04187896147/6310418789614710092023123601.jpeg","https://dpmzos25m8ivg.cloudfront.net/Documentos/631/04187896147/6310418789614710092023123601.jpeg")</f>
        <v>https://dpmzos25m8ivg.cloudfront.net/Documentos/631/04187896147/6310418789614710092023123601.jpeg</v>
      </c>
      <c r="G1802" s="5" t="str">
        <f>HYPERLINK("https://dpmzos25m8ivg.cloudfront.net/Documentos/631/04187896147/6310418789614710092023124017.jpeg","https://dpmzos25m8ivg.cloudfront.net/Documentos/631/04187896147/6310418789614710092023124017.jpeg")</f>
        <v>https://dpmzos25m8ivg.cloudfront.net/Documentos/631/04187896147/6310418789614710092023124017.jpeg</v>
      </c>
      <c r="H1802" s="4" t="s">
        <v>10382</v>
      </c>
    </row>
    <row r="1803" spans="1:8" x14ac:dyDescent="0.25">
      <c r="A1803" s="2" t="s">
        <v>1817</v>
      </c>
      <c r="B1803" s="3"/>
      <c r="C1803" s="3"/>
      <c r="D1803" s="3"/>
      <c r="E1803" s="4" t="str">
        <f>HYPERLINK("https://dpmzos25m8ivg.cloudfront.net/Documentos/631/04189334723/6310418933472309092023141906.pdf","https://dpmzos25m8ivg.cloudfront.net/Documentos/631/04189334723/6310418933472309092023141906.pdf")</f>
        <v>https://dpmzos25m8ivg.cloudfront.net/Documentos/631/04189334723/6310418933472309092023141906.pdf</v>
      </c>
      <c r="F1803" s="5" t="str">
        <f>HYPERLINK("https://dpmzos25m8ivg.cloudfront.net/Documentos/631/04189334723/6310418933472309092023141930.pdf","https://dpmzos25m8ivg.cloudfront.net/Documentos/631/04189334723/6310418933472309092023141930.pdf")</f>
        <v>https://dpmzos25m8ivg.cloudfront.net/Documentos/631/04189334723/6310418933472309092023141930.pdf</v>
      </c>
      <c r="G1803" s="5" t="str">
        <f>HYPERLINK("https://dpmzos25m8ivg.cloudfront.net/Documentos/631/04189334723/6310418933472309092023141952.pdf","https://dpmzos25m8ivg.cloudfront.net/Documentos/631/04189334723/6310418933472309092023141952.pdf")</f>
        <v>https://dpmzos25m8ivg.cloudfront.net/Documentos/631/04189334723/6310418933472309092023141952.pdf</v>
      </c>
      <c r="H1803" s="4" t="s">
        <v>10383</v>
      </c>
    </row>
    <row r="1804" spans="1:8" x14ac:dyDescent="0.25">
      <c r="A1804" s="2" t="s">
        <v>1818</v>
      </c>
      <c r="B1804" s="3"/>
      <c r="C1804" s="3"/>
      <c r="D1804" s="3"/>
      <c r="E1804" s="4" t="str">
        <f>HYPERLINK("https://dpmzos25m8ivg.cloudfront.net/Documentos/631/04190875325/6310419087532506092023011236.pdf","https://dpmzos25m8ivg.cloudfront.net/Documentos/631/04190875325/6310419087532506092023011236.pdf")</f>
        <v>https://dpmzos25m8ivg.cloudfront.net/Documentos/631/04190875325/6310419087532506092023011236.pdf</v>
      </c>
      <c r="F1804" s="5" t="str">
        <f>HYPERLINK("https://dpmzos25m8ivg.cloudfront.net/Documentos/631/04190875325/6310419087532506092023011247.pdf","https://dpmzos25m8ivg.cloudfront.net/Documentos/631/04190875325/6310419087532506092023011247.pdf")</f>
        <v>https://dpmzos25m8ivg.cloudfront.net/Documentos/631/04190875325/6310419087532506092023011247.pdf</v>
      </c>
      <c r="G1804" s="5" t="str">
        <f>HYPERLINK("https://dpmzos25m8ivg.cloudfront.net/Documentos/631/04190875325/6310419087532506092023011258.pdf","https://dpmzos25m8ivg.cloudfront.net/Documentos/631/04190875325/6310419087532506092023011258.pdf")</f>
        <v>https://dpmzos25m8ivg.cloudfront.net/Documentos/631/04190875325/6310419087532506092023011258.pdf</v>
      </c>
      <c r="H1804" s="4" t="s">
        <v>10384</v>
      </c>
    </row>
    <row r="1805" spans="1:8" x14ac:dyDescent="0.25">
      <c r="A1805" s="2" t="s">
        <v>1819</v>
      </c>
      <c r="B1805" s="3"/>
      <c r="C1805" s="3"/>
      <c r="D1805" s="3"/>
      <c r="E1805" s="4" t="str">
        <f>HYPERLINK("https://dpmzos25m8ivg.cloudfront.net/Documentos/631/04193494640/6310419349464011092023121758.pdf","https://dpmzos25m8ivg.cloudfront.net/Documentos/631/04193494640/6310419349464011092023121758.pdf")</f>
        <v>https://dpmzos25m8ivg.cloudfront.net/Documentos/631/04193494640/6310419349464011092023121758.pdf</v>
      </c>
      <c r="F1805" s="5" t="str">
        <f>HYPERLINK("https://dpmzos25m8ivg.cloudfront.net/Documentos/631/04193494640/6310419349464011092023121815.pdf","https://dpmzos25m8ivg.cloudfront.net/Documentos/631/04193494640/6310419349464011092023121815.pdf")</f>
        <v>https://dpmzos25m8ivg.cloudfront.net/Documentos/631/04193494640/6310419349464011092023121815.pdf</v>
      </c>
      <c r="G1805" s="5" t="str">
        <f>HYPERLINK("https://dpmzos25m8ivg.cloudfront.net/Documentos/631/04193494640/6310419349464011092023121831.pdf","https://dpmzos25m8ivg.cloudfront.net/Documentos/631/04193494640/6310419349464011092023121831.pdf")</f>
        <v>https://dpmzos25m8ivg.cloudfront.net/Documentos/631/04193494640/6310419349464011092023121831.pdf</v>
      </c>
      <c r="H1805" s="4" t="s">
        <v>10385</v>
      </c>
    </row>
    <row r="1806" spans="1:8" x14ac:dyDescent="0.25">
      <c r="A1806" s="2" t="s">
        <v>1820</v>
      </c>
      <c r="B1806" s="3"/>
      <c r="C1806" s="3"/>
      <c r="D1806" s="3"/>
      <c r="E1806" s="4" t="str">
        <f>HYPERLINK("https://dpmzos25m8ivg.cloudfront.net/Documentos/631/04196418589/6310419641858911092023143315.pdf","https://dpmzos25m8ivg.cloudfront.net/Documentos/631/04196418589/6310419641858911092023143315.pdf")</f>
        <v>https://dpmzos25m8ivg.cloudfront.net/Documentos/631/04196418589/6310419641858911092023143315.pdf</v>
      </c>
      <c r="F1806" s="5" t="str">
        <f>HYPERLINK("https://dpmzos25m8ivg.cloudfront.net/Documentos/631/04196418589/6310419641858911092023143325.pdf","https://dpmzos25m8ivg.cloudfront.net/Documentos/631/04196418589/6310419641858911092023143325.pdf")</f>
        <v>https://dpmzos25m8ivg.cloudfront.net/Documentos/631/04196418589/6310419641858911092023143325.pdf</v>
      </c>
      <c r="G1806" s="5" t="str">
        <f>HYPERLINK("https://dpmzos25m8ivg.cloudfront.net/Documentos/631/04196418589/6310419641858911092023143338.pdf","https://dpmzos25m8ivg.cloudfront.net/Documentos/631/04196418589/6310419641858911092023143338.pdf")</f>
        <v>https://dpmzos25m8ivg.cloudfront.net/Documentos/631/04196418589/6310419641858911092023143338.pdf</v>
      </c>
      <c r="H1806" s="4" t="s">
        <v>10386</v>
      </c>
    </row>
    <row r="1807" spans="1:8" x14ac:dyDescent="0.25">
      <c r="A1807" s="2" t="s">
        <v>1821</v>
      </c>
      <c r="B1807" s="3"/>
      <c r="C1807" s="3"/>
      <c r="D1807" s="3"/>
      <c r="E1807" s="4" t="str">
        <f>HYPERLINK("https://dpmzos25m8ivg.cloudfront.net/Documentos/631/04198442010/6310419844201011092023110414.pdf","https://dpmzos25m8ivg.cloudfront.net/Documentos/631/04198442010/6310419844201011092023110414.pdf")</f>
        <v>https://dpmzos25m8ivg.cloudfront.net/Documentos/631/04198442010/6310419844201011092023110414.pdf</v>
      </c>
      <c r="F1807" s="5" t="str">
        <f>HYPERLINK("https://dpmzos25m8ivg.cloudfront.net/Documentos/631/04198442010/6310419844201011092023110432.pdf","https://dpmzos25m8ivg.cloudfront.net/Documentos/631/04198442010/6310419844201011092023110432.pdf")</f>
        <v>https://dpmzos25m8ivg.cloudfront.net/Documentos/631/04198442010/6310419844201011092023110432.pdf</v>
      </c>
      <c r="G1807" s="5" t="str">
        <f>HYPERLINK("https://dpmzos25m8ivg.cloudfront.net/Documentos/631/04198442010/6310419844201011092023110443.pdf","https://dpmzos25m8ivg.cloudfront.net/Documentos/631/04198442010/6310419844201011092023110443.pdf")</f>
        <v>https://dpmzos25m8ivg.cloudfront.net/Documentos/631/04198442010/6310419844201011092023110443.pdf</v>
      </c>
      <c r="H1807" s="4" t="s">
        <v>10387</v>
      </c>
    </row>
    <row r="1808" spans="1:8" x14ac:dyDescent="0.25">
      <c r="A1808" s="2" t="s">
        <v>1822</v>
      </c>
      <c r="B1808" s="3"/>
      <c r="C1808" s="3"/>
      <c r="D1808" s="3"/>
      <c r="E1808" s="4" t="str">
        <f>HYPERLINK("https://dpmzos25m8ivg.cloudfront.net/Documentos/631/04199984208/6310419998420811092023121545.jpeg","https://dpmzos25m8ivg.cloudfront.net/Documentos/631/04199984208/6310419998420811092023121545.jpeg")</f>
        <v>https://dpmzos25m8ivg.cloudfront.net/Documentos/631/04199984208/6310419998420811092023121545.jpeg</v>
      </c>
      <c r="F1808" s="5" t="str">
        <f>HYPERLINK("https://dpmzos25m8ivg.cloudfront.net/Documentos/631/04199984208/6310419998420811092023121558.jpeg","https://dpmzos25m8ivg.cloudfront.net/Documentos/631/04199984208/6310419998420811092023121558.jpeg")</f>
        <v>https://dpmzos25m8ivg.cloudfront.net/Documentos/631/04199984208/6310419998420811092023121558.jpeg</v>
      </c>
      <c r="G1808" s="5" t="str">
        <f>HYPERLINK("https://dpmzos25m8ivg.cloudfront.net/Documentos/631/04199984208/6310419998420811092023121609.jpeg","https://dpmzos25m8ivg.cloudfront.net/Documentos/631/04199984208/6310419998420811092023121609.jpeg")</f>
        <v>https://dpmzos25m8ivg.cloudfront.net/Documentos/631/04199984208/6310419998420811092023121609.jpeg</v>
      </c>
      <c r="H1808" s="4" t="s">
        <v>10388</v>
      </c>
    </row>
    <row r="1809" spans="1:8" x14ac:dyDescent="0.25">
      <c r="A1809" s="2" t="s">
        <v>1823</v>
      </c>
      <c r="B1809" s="3"/>
      <c r="C1809" s="3"/>
      <c r="D1809" s="3"/>
      <c r="E1809" s="4" t="str">
        <f>HYPERLINK("https://dpmzos25m8ivg.cloudfront.net/Documentos/631/04200293544/6310420029354411092023130446.jpeg","https://dpmzos25m8ivg.cloudfront.net/Documentos/631/04200293544/6310420029354411092023130446.jpeg")</f>
        <v>https://dpmzos25m8ivg.cloudfront.net/Documentos/631/04200293544/6310420029354411092023130446.jpeg</v>
      </c>
      <c r="F1809" s="5" t="str">
        <f>HYPERLINK("https://dpmzos25m8ivg.cloudfront.net/Documentos/631/04200293544/6310420029354411092023130502.jpeg","https://dpmzos25m8ivg.cloudfront.net/Documentos/631/04200293544/6310420029354411092023130502.jpeg")</f>
        <v>https://dpmzos25m8ivg.cloudfront.net/Documentos/631/04200293544/6310420029354411092023130502.jpeg</v>
      </c>
      <c r="G1809" s="5" t="str">
        <f>HYPERLINK("https://dpmzos25m8ivg.cloudfront.net/Documentos/631/04200293544/6310420029354411092023130515.jpeg","https://dpmzos25m8ivg.cloudfront.net/Documentos/631/04200293544/6310420029354411092023130515.jpeg")</f>
        <v>https://dpmzos25m8ivg.cloudfront.net/Documentos/631/04200293544/6310420029354411092023130515.jpeg</v>
      </c>
      <c r="H1809" s="4" t="s">
        <v>10389</v>
      </c>
    </row>
    <row r="1810" spans="1:8" x14ac:dyDescent="0.25">
      <c r="A1810" s="2" t="s">
        <v>1824</v>
      </c>
      <c r="B1810" s="3"/>
      <c r="C1810" s="3"/>
      <c r="D1810" s="3"/>
      <c r="E1810" s="4" t="str">
        <f>HYPERLINK("https://dpmzos25m8ivg.cloudfront.net/Documentos/631/04201342476/6310420134247607092023231533.jpeg","https://dpmzos25m8ivg.cloudfront.net/Documentos/631/04201342476/6310420134247607092023231533.jpeg")</f>
        <v>https://dpmzos25m8ivg.cloudfront.net/Documentos/631/04201342476/6310420134247607092023231533.jpeg</v>
      </c>
      <c r="F1810" s="5" t="str">
        <f>HYPERLINK("https://dpmzos25m8ivg.cloudfront.net/Documentos/631/04201342476/6310420134247607092023231549.jpeg","https://dpmzos25m8ivg.cloudfront.net/Documentos/631/04201342476/6310420134247607092023231549.jpeg")</f>
        <v>https://dpmzos25m8ivg.cloudfront.net/Documentos/631/04201342476/6310420134247607092023231549.jpeg</v>
      </c>
      <c r="G1810" s="5" t="str">
        <f>HYPERLINK("https://dpmzos25m8ivg.cloudfront.net/Documentos/631/04201342476/6310420134247607092023231605.jpeg","https://dpmzos25m8ivg.cloudfront.net/Documentos/631/04201342476/6310420134247607092023231605.jpeg")</f>
        <v>https://dpmzos25m8ivg.cloudfront.net/Documentos/631/04201342476/6310420134247607092023231605.jpeg</v>
      </c>
      <c r="H1810" s="4" t="s">
        <v>10390</v>
      </c>
    </row>
    <row r="1811" spans="1:8" x14ac:dyDescent="0.25">
      <c r="A1811" s="2" t="s">
        <v>1825</v>
      </c>
      <c r="B1811" s="3"/>
      <c r="C1811" s="3"/>
      <c r="D1811" s="3"/>
      <c r="E1811" s="4" t="str">
        <f>HYPERLINK("https://dpmzos25m8ivg.cloudfront.net/Documentos/631/04201578240/6310420157824011092023132317.pdf","https://dpmzos25m8ivg.cloudfront.net/Documentos/631/04201578240/6310420157824011092023132317.pdf")</f>
        <v>https://dpmzos25m8ivg.cloudfront.net/Documentos/631/04201578240/6310420157824011092023132317.pdf</v>
      </c>
      <c r="F1811" s="5" t="str">
        <f>HYPERLINK("https://dpmzos25m8ivg.cloudfront.net/Documentos/631/04201578240/6310420157824011092023132209.pdf","https://dpmzos25m8ivg.cloudfront.net/Documentos/631/04201578240/6310420157824011092023132209.pdf")</f>
        <v>https://dpmzos25m8ivg.cloudfront.net/Documentos/631/04201578240/6310420157824011092023132209.pdf</v>
      </c>
      <c r="G1811" s="5" t="str">
        <f>HYPERLINK("https://dpmzos25m8ivg.cloudfront.net/Documentos/631/04201578240/6310420157824011092023132148.pdf","https://dpmzos25m8ivg.cloudfront.net/Documentos/631/04201578240/6310420157824011092023132148.pdf")</f>
        <v>https://dpmzos25m8ivg.cloudfront.net/Documentos/631/04201578240/6310420157824011092023132148.pdf</v>
      </c>
      <c r="H1811" s="4" t="s">
        <v>10391</v>
      </c>
    </row>
    <row r="1812" spans="1:8" x14ac:dyDescent="0.25">
      <c r="A1812" s="2" t="s">
        <v>1826</v>
      </c>
      <c r="B1812" s="3" t="s">
        <v>308</v>
      </c>
      <c r="C1812" s="3"/>
      <c r="D1812" s="3"/>
      <c r="E1812" s="4" t="str">
        <f>HYPERLINK("https://dpmzos25m8ivg.cloudfront.net/Documentos/631/04202060350/6310420206035011092023143323.pdf","https://dpmzos25m8ivg.cloudfront.net/Documentos/631/04202060350/6310420206035011092023143323.pdf")</f>
        <v>https://dpmzos25m8ivg.cloudfront.net/Documentos/631/04202060350/6310420206035011092023143323.pdf</v>
      </c>
      <c r="F1812" s="5" t="str">
        <f>HYPERLINK("https://dpmzos25m8ivg.cloudfront.net/Documentos/631/04202060350/6310420206035011092023143334.pdf","https://dpmzos25m8ivg.cloudfront.net/Documentos/631/04202060350/6310420206035011092023143334.pdf")</f>
        <v>https://dpmzos25m8ivg.cloudfront.net/Documentos/631/04202060350/6310420206035011092023143334.pdf</v>
      </c>
      <c r="G1812" s="5" t="str">
        <f>HYPERLINK("https://dpmzos25m8ivg.cloudfront.net/Documentos/631/04202060350/6310420206035011092023143345.pdf","https://dpmzos25m8ivg.cloudfront.net/Documentos/631/04202060350/6310420206035011092023143345.pdf")</f>
        <v>https://dpmzos25m8ivg.cloudfront.net/Documentos/631/04202060350/6310420206035011092023143345.pdf</v>
      </c>
      <c r="H1812" s="4" t="s">
        <v>10392</v>
      </c>
    </row>
    <row r="1813" spans="1:8" x14ac:dyDescent="0.25">
      <c r="A1813" s="2" t="s">
        <v>1827</v>
      </c>
      <c r="B1813" s="3"/>
      <c r="C1813" s="3"/>
      <c r="D1813" s="3"/>
      <c r="E1813" s="4" t="str">
        <f>HYPERLINK("https://dpmzos25m8ivg.cloudfront.net/Documentos/631/04202383443/6310420238344308092023085048.pdf","https://dpmzos25m8ivg.cloudfront.net/Documentos/631/04202383443/6310420238344308092023085048.pdf")</f>
        <v>https://dpmzos25m8ivg.cloudfront.net/Documentos/631/04202383443/6310420238344308092023085048.pdf</v>
      </c>
      <c r="F1813" s="5" t="str">
        <f>HYPERLINK("https://dpmzos25m8ivg.cloudfront.net/Documentos/631/04202383443/6310420238344308092023085056.pdf","https://dpmzos25m8ivg.cloudfront.net/Documentos/631/04202383443/6310420238344308092023085056.pdf")</f>
        <v>https://dpmzos25m8ivg.cloudfront.net/Documentos/631/04202383443/6310420238344308092023085056.pdf</v>
      </c>
      <c r="G1813" s="5" t="str">
        <f>HYPERLINK("https://dpmzos25m8ivg.cloudfront.net/Documentos/631/04202383443/6310420238344308092023085106.pdf","https://dpmzos25m8ivg.cloudfront.net/Documentos/631/04202383443/6310420238344308092023085106.pdf")</f>
        <v>https://dpmzos25m8ivg.cloudfront.net/Documentos/631/04202383443/6310420238344308092023085106.pdf</v>
      </c>
      <c r="H1813" s="4" t="s">
        <v>10393</v>
      </c>
    </row>
    <row r="1814" spans="1:8" x14ac:dyDescent="0.25">
      <c r="A1814" s="2" t="s">
        <v>1828</v>
      </c>
      <c r="B1814" s="3"/>
      <c r="C1814" s="3"/>
      <c r="D1814" s="3"/>
      <c r="E1814" s="4" t="str">
        <f>HYPERLINK("https://dpmzos25m8ivg.cloudfront.net/Documentos/631/04203075599/6310420307559914092023151817.jpg","https://dpmzos25m8ivg.cloudfront.net/Documentos/631/04203075599/6310420307559914092023151817.jpg")</f>
        <v>https://dpmzos25m8ivg.cloudfront.net/Documentos/631/04203075599/6310420307559914092023151817.jpg</v>
      </c>
      <c r="F1814" s="5" t="str">
        <f>HYPERLINK("https://dpmzos25m8ivg.cloudfront.net/Documentos/631/04203075599/6310420307559914092023151844.jpg","https://dpmzos25m8ivg.cloudfront.net/Documentos/631/04203075599/6310420307559914092023151844.jpg")</f>
        <v>https://dpmzos25m8ivg.cloudfront.net/Documentos/631/04203075599/6310420307559914092023151844.jpg</v>
      </c>
      <c r="G1814" s="5" t="str">
        <f>HYPERLINK("https://dpmzos25m8ivg.cloudfront.net/Documentos/631/04203075599/6310420307559914092023151901.jpg","https://dpmzos25m8ivg.cloudfront.net/Documentos/631/04203075599/6310420307559914092023151901.jpg")</f>
        <v>https://dpmzos25m8ivg.cloudfront.net/Documentos/631/04203075599/6310420307559914092023151901.jpg</v>
      </c>
      <c r="H1814" s="4" t="s">
        <v>10394</v>
      </c>
    </row>
    <row r="1815" spans="1:8" x14ac:dyDescent="0.25">
      <c r="A1815" s="2" t="s">
        <v>1829</v>
      </c>
      <c r="B1815" s="3"/>
      <c r="C1815" s="3"/>
      <c r="D1815" s="3"/>
      <c r="E1815" s="4" t="str">
        <f>HYPERLINK("https://dpmzos25m8ivg.cloudfront.net/Documentos/631/04205569157/6310420556915711092023100411.pdf","https://dpmzos25m8ivg.cloudfront.net/Documentos/631/04205569157/6310420556915711092023100411.pdf")</f>
        <v>https://dpmzos25m8ivg.cloudfront.net/Documentos/631/04205569157/6310420556915711092023100411.pdf</v>
      </c>
      <c r="F1815" s="5" t="str">
        <f>HYPERLINK("https://dpmzos25m8ivg.cloudfront.net/Documentos/631/04205569157/6310420556915711092023100427.pdf","https://dpmzos25m8ivg.cloudfront.net/Documentos/631/04205569157/6310420556915711092023100427.pdf")</f>
        <v>https://dpmzos25m8ivg.cloudfront.net/Documentos/631/04205569157/6310420556915711092023100427.pdf</v>
      </c>
      <c r="G1815" s="5" t="str">
        <f>HYPERLINK("https://dpmzos25m8ivg.cloudfront.net/Documentos/631/04205569157/6310420556915711092023100440.pdf","https://dpmzos25m8ivg.cloudfront.net/Documentos/631/04205569157/6310420556915711092023100440.pdf")</f>
        <v>https://dpmzos25m8ivg.cloudfront.net/Documentos/631/04205569157/6310420556915711092023100440.pdf</v>
      </c>
      <c r="H1815" s="4" t="s">
        <v>10395</v>
      </c>
    </row>
    <row r="1816" spans="1:8" x14ac:dyDescent="0.25">
      <c r="A1816" s="2" t="s">
        <v>1830</v>
      </c>
      <c r="B1816" s="3" t="s">
        <v>308</v>
      </c>
      <c r="C1816" s="3"/>
      <c r="D1816" s="3"/>
      <c r="E1816" s="4" t="str">
        <f>HYPERLINK("https://dpmzos25m8ivg.cloudfront.net/Documentos/631/04209622397/6310420962239711092023071356.pdf","https://dpmzos25m8ivg.cloudfront.net/Documentos/631/04209622397/6310420962239711092023071356.pdf")</f>
        <v>https://dpmzos25m8ivg.cloudfront.net/Documentos/631/04209622397/6310420962239711092023071356.pdf</v>
      </c>
      <c r="F1816" s="5" t="str">
        <f>HYPERLINK("https://dpmzos25m8ivg.cloudfront.net/Documentos/631/04209622397/6310420962239711092023071415.pdf","https://dpmzos25m8ivg.cloudfront.net/Documentos/631/04209622397/6310420962239711092023071415.pdf")</f>
        <v>https://dpmzos25m8ivg.cloudfront.net/Documentos/631/04209622397/6310420962239711092023071415.pdf</v>
      </c>
      <c r="G1816" s="5" t="str">
        <f>HYPERLINK("https://dpmzos25m8ivg.cloudfront.net/Documentos/631/04209622397/6310420962239711092023071431.pdf","https://dpmzos25m8ivg.cloudfront.net/Documentos/631/04209622397/6310420962239711092023071431.pdf")</f>
        <v>https://dpmzos25m8ivg.cloudfront.net/Documentos/631/04209622397/6310420962239711092023071431.pdf</v>
      </c>
      <c r="H1816" s="4" t="s">
        <v>10396</v>
      </c>
    </row>
    <row r="1817" spans="1:8" x14ac:dyDescent="0.25">
      <c r="A1817" s="2" t="s">
        <v>1831</v>
      </c>
      <c r="B1817" s="3"/>
      <c r="C1817" s="3"/>
      <c r="D1817" s="3"/>
      <c r="E1817" s="4" t="str">
        <f>HYPERLINK("https://dpmzos25m8ivg.cloudfront.net/Documentos/631/04210197351/6310421019735106092023143113.jpeg","https://dpmzos25m8ivg.cloudfront.net/Documentos/631/04210197351/6310421019735106092023143113.jpeg")</f>
        <v>https://dpmzos25m8ivg.cloudfront.net/Documentos/631/04210197351/6310421019735106092023143113.jpeg</v>
      </c>
      <c r="F1817" s="5" t="str">
        <f>HYPERLINK("https://dpmzos25m8ivg.cloudfront.net/Documentos/631/04210197351/6310421019735106092023200706.jpeg","https://dpmzos25m8ivg.cloudfront.net/Documentos/631/04210197351/6310421019735106092023200706.jpeg")</f>
        <v>https://dpmzos25m8ivg.cloudfront.net/Documentos/631/04210197351/6310421019735106092023200706.jpeg</v>
      </c>
      <c r="G1817" s="5" t="str">
        <f>HYPERLINK("https://dpmzos25m8ivg.cloudfront.net/Documentos/631/04210197351/6310421019735106092023200749.jpeg","https://dpmzos25m8ivg.cloudfront.net/Documentos/631/04210197351/6310421019735106092023200749.jpeg")</f>
        <v>https://dpmzos25m8ivg.cloudfront.net/Documentos/631/04210197351/6310421019735106092023200749.jpeg</v>
      </c>
      <c r="H1817" s="4" t="s">
        <v>10397</v>
      </c>
    </row>
    <row r="1818" spans="1:8" x14ac:dyDescent="0.25">
      <c r="A1818" s="2" t="s">
        <v>1832</v>
      </c>
      <c r="B1818" s="3"/>
      <c r="C1818" s="3"/>
      <c r="D1818" s="3"/>
      <c r="E1818" s="4" t="str">
        <f>HYPERLINK("https://dpmzos25m8ivg.cloudfront.net/Documentos/631/04210412503/6310421041250311092023134635.pdf","https://dpmzos25m8ivg.cloudfront.net/Documentos/631/04210412503/6310421041250311092023134635.pdf")</f>
        <v>https://dpmzos25m8ivg.cloudfront.net/Documentos/631/04210412503/6310421041250311092023134635.pdf</v>
      </c>
      <c r="F1818" s="5" t="str">
        <f>HYPERLINK("https://dpmzos25m8ivg.cloudfront.net/Documentos/631/04210412503/6310421041250311092023134650.pdf","https://dpmzos25m8ivg.cloudfront.net/Documentos/631/04210412503/6310421041250311092023134650.pdf")</f>
        <v>https://dpmzos25m8ivg.cloudfront.net/Documentos/631/04210412503/6310421041250311092023134650.pdf</v>
      </c>
      <c r="G1818" s="5" t="str">
        <f>HYPERLINK("https://dpmzos25m8ivg.cloudfront.net/Documentos/631/04210412503/6310421041250311092023134709.pdf","https://dpmzos25m8ivg.cloudfront.net/Documentos/631/04210412503/6310421041250311092023134709.pdf")</f>
        <v>https://dpmzos25m8ivg.cloudfront.net/Documentos/631/04210412503/6310421041250311092023134709.pdf</v>
      </c>
      <c r="H1818" s="4" t="s">
        <v>10398</v>
      </c>
    </row>
    <row r="1819" spans="1:8" x14ac:dyDescent="0.25">
      <c r="A1819" s="2" t="s">
        <v>1833</v>
      </c>
      <c r="B1819" s="3"/>
      <c r="C1819" s="3"/>
      <c r="D1819" s="3"/>
      <c r="E1819" s="4" t="str">
        <f>HYPERLINK("https://dpmzos25m8ivg.cloudfront.net/Documentos/631/04211822535/6310421182253511092023171348.jpeg","https://dpmzos25m8ivg.cloudfront.net/Documentos/631/04211822535/6310421182253511092023171348.jpeg")</f>
        <v>https://dpmzos25m8ivg.cloudfront.net/Documentos/631/04211822535/6310421182253511092023171348.jpeg</v>
      </c>
      <c r="F1819" s="5" t="str">
        <f>HYPERLINK("https://dpmzos25m8ivg.cloudfront.net/Documentos/631/04211822535/6310421182253511092023171327.jpeg","https://dpmzos25m8ivg.cloudfront.net/Documentos/631/04211822535/6310421182253511092023171327.jpeg")</f>
        <v>https://dpmzos25m8ivg.cloudfront.net/Documentos/631/04211822535/6310421182253511092023171327.jpeg</v>
      </c>
      <c r="G1819" s="5" t="str">
        <f>HYPERLINK("https://dpmzos25m8ivg.cloudfront.net/Documentos/631/04211822535/6310421182253511092023171314.jpeg","https://dpmzos25m8ivg.cloudfront.net/Documentos/631/04211822535/6310421182253511092023171314.jpeg")</f>
        <v>https://dpmzos25m8ivg.cloudfront.net/Documentos/631/04211822535/6310421182253511092023171314.jpeg</v>
      </c>
      <c r="H1819" s="4" t="s">
        <v>10399</v>
      </c>
    </row>
    <row r="1820" spans="1:8" x14ac:dyDescent="0.25">
      <c r="A1820" s="2" t="s">
        <v>1834</v>
      </c>
      <c r="B1820" s="3"/>
      <c r="C1820" s="3"/>
      <c r="D1820" s="3"/>
      <c r="E1820" s="4" t="str">
        <f>HYPERLINK("https://dpmzos25m8ivg.cloudfront.net/Documentos/631/04216308171/6310421630817105092023105429.pdf","https://dpmzos25m8ivg.cloudfront.net/Documentos/631/04216308171/6310421630817105092023105429.pdf")</f>
        <v>https://dpmzos25m8ivg.cloudfront.net/Documentos/631/04216308171/6310421630817105092023105429.pdf</v>
      </c>
      <c r="F1820" s="5" t="str">
        <f>HYPERLINK("https://dpmzos25m8ivg.cloudfront.net/Documentos/631/04216308171/6310421630817105092023105551.pdf","https://dpmzos25m8ivg.cloudfront.net/Documentos/631/04216308171/6310421630817105092023105551.pdf")</f>
        <v>https://dpmzos25m8ivg.cloudfront.net/Documentos/631/04216308171/6310421630817105092023105551.pdf</v>
      </c>
      <c r="G1820" s="5" t="str">
        <f>HYPERLINK("https://dpmzos25m8ivg.cloudfront.net/Documentos/631/04216308171/6310421630817105092023105619.pdf","https://dpmzos25m8ivg.cloudfront.net/Documentos/631/04216308171/6310421630817105092023105619.pdf")</f>
        <v>https://dpmzos25m8ivg.cloudfront.net/Documentos/631/04216308171/6310421630817105092023105619.pdf</v>
      </c>
      <c r="H1820" s="4" t="s">
        <v>10400</v>
      </c>
    </row>
    <row r="1821" spans="1:8" x14ac:dyDescent="0.25">
      <c r="A1821" s="2" t="s">
        <v>1835</v>
      </c>
      <c r="B1821" s="3" t="s">
        <v>308</v>
      </c>
      <c r="C1821" s="3"/>
      <c r="D1821" s="3"/>
      <c r="E1821" s="4" t="str">
        <f>HYPERLINK("https://dpmzos25m8ivg.cloudfront.net/Documentos/631/04216317162/6310421631716205092023153040.pdf","https://dpmzos25m8ivg.cloudfront.net/Documentos/631/04216317162/6310421631716205092023153040.pdf")</f>
        <v>https://dpmzos25m8ivg.cloudfront.net/Documentos/631/04216317162/6310421631716205092023153040.pdf</v>
      </c>
      <c r="F1821" s="5" t="str">
        <f>HYPERLINK("https://dpmzos25m8ivg.cloudfront.net/Documentos/631/04216317162/6310421631716205092023153047.pdf","https://dpmzos25m8ivg.cloudfront.net/Documentos/631/04216317162/6310421631716205092023153047.pdf")</f>
        <v>https://dpmzos25m8ivg.cloudfront.net/Documentos/631/04216317162/6310421631716205092023153047.pdf</v>
      </c>
      <c r="G1821" s="5" t="str">
        <f>HYPERLINK("https://dpmzos25m8ivg.cloudfront.net/Documentos/631/04216317162/6310421631716205092023153055.pdf","https://dpmzos25m8ivg.cloudfront.net/Documentos/631/04216317162/6310421631716205092023153055.pdf")</f>
        <v>https://dpmzos25m8ivg.cloudfront.net/Documentos/631/04216317162/6310421631716205092023153055.pdf</v>
      </c>
      <c r="H1821" s="4" t="s">
        <v>10401</v>
      </c>
    </row>
    <row r="1822" spans="1:8" x14ac:dyDescent="0.25">
      <c r="A1822" s="2" t="s">
        <v>1836</v>
      </c>
      <c r="B1822" s="3"/>
      <c r="C1822" s="3"/>
      <c r="D1822" s="3"/>
      <c r="E1822" s="4" t="str">
        <f>HYPERLINK("https://dpmzos25m8ivg.cloudfront.net/Documentos/631/04216575536/6310421657553606092023171115.pdf","https://dpmzos25m8ivg.cloudfront.net/Documentos/631/04216575536/6310421657553606092023171115.pdf")</f>
        <v>https://dpmzos25m8ivg.cloudfront.net/Documentos/631/04216575536/6310421657553606092023171115.pdf</v>
      </c>
      <c r="F1822" s="5" t="str">
        <f>HYPERLINK("https://dpmzos25m8ivg.cloudfront.net/Documentos/631/04216575536/6310421657553606092023171129.pdf","https://dpmzos25m8ivg.cloudfront.net/Documentos/631/04216575536/6310421657553606092023171129.pdf")</f>
        <v>https://dpmzos25m8ivg.cloudfront.net/Documentos/631/04216575536/6310421657553606092023171129.pdf</v>
      </c>
      <c r="G1822" s="5" t="str">
        <f>HYPERLINK("https://dpmzos25m8ivg.cloudfront.net/Documentos/631/04216575536/6310421657553606092023171142.pdf","https://dpmzos25m8ivg.cloudfront.net/Documentos/631/04216575536/6310421657553606092023171142.pdf")</f>
        <v>https://dpmzos25m8ivg.cloudfront.net/Documentos/631/04216575536/6310421657553606092023171142.pdf</v>
      </c>
      <c r="H1822" s="4" t="s">
        <v>10402</v>
      </c>
    </row>
    <row r="1823" spans="1:8" x14ac:dyDescent="0.25">
      <c r="A1823" s="2" t="s">
        <v>1837</v>
      </c>
      <c r="B1823" s="3"/>
      <c r="C1823" s="3"/>
      <c r="D1823" s="3"/>
      <c r="E1823" s="4" t="str">
        <f>HYPERLINK("https://dpmzos25m8ivg.cloudfront.net/Documentos/631/04218609527/6310421860952710092023104915.pdf","https://dpmzos25m8ivg.cloudfront.net/Documentos/631/04218609527/6310421860952710092023104915.pdf")</f>
        <v>https://dpmzos25m8ivg.cloudfront.net/Documentos/631/04218609527/6310421860952710092023104915.pdf</v>
      </c>
      <c r="F1823" s="5" t="str">
        <f>HYPERLINK("https://dpmzos25m8ivg.cloudfront.net/Documentos/631/04218609527/6310421860952710092023104938.pdf","https://dpmzos25m8ivg.cloudfront.net/Documentos/631/04218609527/6310421860952710092023104938.pdf")</f>
        <v>https://dpmzos25m8ivg.cloudfront.net/Documentos/631/04218609527/6310421860952710092023104938.pdf</v>
      </c>
      <c r="G1823" s="5" t="str">
        <f>HYPERLINK("https://dpmzos25m8ivg.cloudfront.net/Documentos/631/04218609527/6310421860952710092023104950.pdf","https://dpmzos25m8ivg.cloudfront.net/Documentos/631/04218609527/6310421860952710092023104950.pdf")</f>
        <v>https://dpmzos25m8ivg.cloudfront.net/Documentos/631/04218609527/6310421860952710092023104950.pdf</v>
      </c>
      <c r="H1823" s="4" t="s">
        <v>10403</v>
      </c>
    </row>
    <row r="1824" spans="1:8" x14ac:dyDescent="0.25">
      <c r="A1824" s="2" t="s">
        <v>1838</v>
      </c>
      <c r="B1824" s="3"/>
      <c r="C1824" s="3"/>
      <c r="D1824" s="3"/>
      <c r="E1824" s="4" t="str">
        <f>HYPERLINK("https://dpmzos25m8ivg.cloudfront.net/Documentos/631/04220764143/6310422076414311092023144647.pdf","https://dpmzos25m8ivg.cloudfront.net/Documentos/631/04220764143/6310422076414311092023144647.pdf")</f>
        <v>https://dpmzos25m8ivg.cloudfront.net/Documentos/631/04220764143/6310422076414311092023144647.pdf</v>
      </c>
      <c r="F1824" s="5" t="str">
        <f>HYPERLINK("https://dpmzos25m8ivg.cloudfront.net/Documentos/631/04220764143/6310422076414311092023144653.pdf","https://dpmzos25m8ivg.cloudfront.net/Documentos/631/04220764143/6310422076414311092023144653.pdf")</f>
        <v>https://dpmzos25m8ivg.cloudfront.net/Documentos/631/04220764143/6310422076414311092023144653.pdf</v>
      </c>
      <c r="G1824" s="5" t="str">
        <f>HYPERLINK("https://dpmzos25m8ivg.cloudfront.net/Documentos/631/04220764143/6310422076414311092023144659.pdf","https://dpmzos25m8ivg.cloudfront.net/Documentos/631/04220764143/6310422076414311092023144659.pdf")</f>
        <v>https://dpmzos25m8ivg.cloudfront.net/Documentos/631/04220764143/6310422076414311092023144659.pdf</v>
      </c>
      <c r="H1824" s="4" t="s">
        <v>10404</v>
      </c>
    </row>
    <row r="1825" spans="1:8" x14ac:dyDescent="0.25">
      <c r="A1825" s="2" t="s">
        <v>1839</v>
      </c>
      <c r="B1825" s="3"/>
      <c r="C1825" s="3"/>
      <c r="D1825" s="3"/>
      <c r="E1825" s="4" t="str">
        <f>HYPERLINK("https://dpmzos25m8ivg.cloudfront.net/Documentos/631/04223109308/6310422310930811092023112143.pdf","https://dpmzos25m8ivg.cloudfront.net/Documentos/631/04223109308/6310422310930811092023112143.pdf")</f>
        <v>https://dpmzos25m8ivg.cloudfront.net/Documentos/631/04223109308/6310422310930811092023112143.pdf</v>
      </c>
      <c r="F1825" s="5" t="str">
        <f>HYPERLINK("https://dpmzos25m8ivg.cloudfront.net/Documentos/631/04223109308/6310422310930811092023112216.pdf","https://dpmzos25m8ivg.cloudfront.net/Documentos/631/04223109308/6310422310930811092023112216.pdf")</f>
        <v>https://dpmzos25m8ivg.cloudfront.net/Documentos/631/04223109308/6310422310930811092023112216.pdf</v>
      </c>
      <c r="G1825" s="5" t="str">
        <f>HYPERLINK("https://dpmzos25m8ivg.cloudfront.net/Documentos/631/04223109308/6310422310930811092023112235.pdf","https://dpmzos25m8ivg.cloudfront.net/Documentos/631/04223109308/6310422310930811092023112235.pdf")</f>
        <v>https://dpmzos25m8ivg.cloudfront.net/Documentos/631/04223109308/6310422310930811092023112235.pdf</v>
      </c>
      <c r="H1825" s="4" t="s">
        <v>10405</v>
      </c>
    </row>
    <row r="1826" spans="1:8" x14ac:dyDescent="0.25">
      <c r="A1826" s="2" t="s">
        <v>1840</v>
      </c>
      <c r="B1826" s="3"/>
      <c r="C1826" s="3"/>
      <c r="D1826" s="3"/>
      <c r="E1826" s="4" t="str">
        <f>HYPERLINK("https://dpmzos25m8ivg.cloudfront.net/Documentos/631/04229937199/6310422993719905092023162451.pdf","https://dpmzos25m8ivg.cloudfront.net/Documentos/631/04229937199/6310422993719905092023162451.pdf")</f>
        <v>https://dpmzos25m8ivg.cloudfront.net/Documentos/631/04229937199/6310422993719905092023162451.pdf</v>
      </c>
      <c r="F1826" s="5" t="str">
        <f>HYPERLINK("https://dpmzos25m8ivg.cloudfront.net/Documentos/631/04229937199/6310422993719905092023162503.pdf","https://dpmzos25m8ivg.cloudfront.net/Documentos/631/04229937199/6310422993719905092023162503.pdf")</f>
        <v>https://dpmzos25m8ivg.cloudfront.net/Documentos/631/04229937199/6310422993719905092023162503.pdf</v>
      </c>
      <c r="G1826" s="5" t="str">
        <f>HYPERLINK("https://dpmzos25m8ivg.cloudfront.net/Documentos/631/04229937199/6310422993719905092023162514.pdf","https://dpmzos25m8ivg.cloudfront.net/Documentos/631/04229937199/6310422993719905092023162514.pdf")</f>
        <v>https://dpmzos25m8ivg.cloudfront.net/Documentos/631/04229937199/6310422993719905092023162514.pdf</v>
      </c>
      <c r="H1826" s="4" t="s">
        <v>10406</v>
      </c>
    </row>
    <row r="1827" spans="1:8" x14ac:dyDescent="0.25">
      <c r="A1827" s="2" t="s">
        <v>1841</v>
      </c>
      <c r="B1827" s="3"/>
      <c r="C1827" s="3"/>
      <c r="D1827" s="3"/>
      <c r="E1827" s="4" t="str">
        <f>HYPERLINK("https://dpmzos25m8ivg.cloudfront.net/Documentos/631/04239356407/6310423935640711092023154818.jpg","https://dpmzos25m8ivg.cloudfront.net/Documentos/631/04239356407/6310423935640711092023154818.jpg")</f>
        <v>https://dpmzos25m8ivg.cloudfront.net/Documentos/631/04239356407/6310423935640711092023154818.jpg</v>
      </c>
      <c r="F1827" s="5" t="str">
        <f>HYPERLINK("https://dpmzos25m8ivg.cloudfront.net/Documentos/631/04239356407/6310423935640711092023154901.jpg","https://dpmzos25m8ivg.cloudfront.net/Documentos/631/04239356407/6310423935640711092023154901.jpg")</f>
        <v>https://dpmzos25m8ivg.cloudfront.net/Documentos/631/04239356407/6310423935640711092023154901.jpg</v>
      </c>
      <c r="G1827" s="5" t="str">
        <f>HYPERLINK("https://dpmzos25m8ivg.cloudfront.net/Documentos/631/04239356407/6310423935640711092023155125.jpg","https://dpmzos25m8ivg.cloudfront.net/Documentos/631/04239356407/6310423935640711092023155125.jpg")</f>
        <v>https://dpmzos25m8ivg.cloudfront.net/Documentos/631/04239356407/6310423935640711092023155125.jpg</v>
      </c>
      <c r="H1827" s="4" t="s">
        <v>10407</v>
      </c>
    </row>
    <row r="1828" spans="1:8" x14ac:dyDescent="0.25">
      <c r="A1828" s="2" t="s">
        <v>1842</v>
      </c>
      <c r="B1828" s="3" t="s">
        <v>90</v>
      </c>
      <c r="C1828" s="3"/>
      <c r="D1828" s="3"/>
      <c r="E1828" s="4" t="str">
        <f>HYPERLINK("https://dpmzos25m8ivg.cloudfront.net/Documentos/631/04239813077/6310423981307706092023204003.pdf","https://dpmzos25m8ivg.cloudfront.net/Documentos/631/04239813077/6310423981307706092023204003.pdf")</f>
        <v>https://dpmzos25m8ivg.cloudfront.net/Documentos/631/04239813077/6310423981307706092023204003.pdf</v>
      </c>
      <c r="F1828" s="5" t="str">
        <f>HYPERLINK("https://dpmzos25m8ivg.cloudfront.net/Documentos/631/04239813077/6310423981307706092023204015.pdf","https://dpmzos25m8ivg.cloudfront.net/Documentos/631/04239813077/6310423981307706092023204015.pdf")</f>
        <v>https://dpmzos25m8ivg.cloudfront.net/Documentos/631/04239813077/6310423981307706092023204015.pdf</v>
      </c>
      <c r="G1828" s="5" t="str">
        <f>HYPERLINK("https://dpmzos25m8ivg.cloudfront.net/Documentos/631/04239813077/6310423981307706092023204027.pdf","https://dpmzos25m8ivg.cloudfront.net/Documentos/631/04239813077/6310423981307706092023204027.pdf")</f>
        <v>https://dpmzos25m8ivg.cloudfront.net/Documentos/631/04239813077/6310423981307706092023204027.pdf</v>
      </c>
      <c r="H1828" s="4" t="s">
        <v>10408</v>
      </c>
    </row>
    <row r="1829" spans="1:8" x14ac:dyDescent="0.25">
      <c r="A1829" s="2" t="s">
        <v>1843</v>
      </c>
      <c r="B1829" s="3"/>
      <c r="C1829" s="3"/>
      <c r="D1829" s="3"/>
      <c r="E1829" s="4" t="str">
        <f>HYPERLINK("https://dpmzos25m8ivg.cloudfront.net/Documentos/631/04241532381/6310424153238109092023113714.pdf","https://dpmzos25m8ivg.cloudfront.net/Documentos/631/04241532381/6310424153238109092023113714.pdf")</f>
        <v>https://dpmzos25m8ivg.cloudfront.net/Documentos/631/04241532381/6310424153238109092023113714.pdf</v>
      </c>
      <c r="F1829" s="5" t="str">
        <f>HYPERLINK("https://dpmzos25m8ivg.cloudfront.net/Documentos/631/04241532381/6310424153238109092023113728.pdf","https://dpmzos25m8ivg.cloudfront.net/Documentos/631/04241532381/6310424153238109092023113728.pdf")</f>
        <v>https://dpmzos25m8ivg.cloudfront.net/Documentos/631/04241532381/6310424153238109092023113728.pdf</v>
      </c>
      <c r="G1829" s="5" t="str">
        <f>HYPERLINK("https://dpmzos25m8ivg.cloudfront.net/Documentos/631/04241532381/6310424153238109092023113740.pdf","https://dpmzos25m8ivg.cloudfront.net/Documentos/631/04241532381/6310424153238109092023113740.pdf")</f>
        <v>https://dpmzos25m8ivg.cloudfront.net/Documentos/631/04241532381/6310424153238109092023113740.pdf</v>
      </c>
      <c r="H1829" s="4" t="s">
        <v>10409</v>
      </c>
    </row>
    <row r="1830" spans="1:8" x14ac:dyDescent="0.25">
      <c r="A1830" s="2" t="s">
        <v>1844</v>
      </c>
      <c r="B1830" s="3"/>
      <c r="C1830" s="3"/>
      <c r="D1830" s="3"/>
      <c r="E1830" s="4" t="str">
        <f>HYPERLINK("https://dpmzos25m8ivg.cloudfront.net/Documentos/631/04244809481/6310424480948105092023215217.pdf","https://dpmzos25m8ivg.cloudfront.net/Documentos/631/04244809481/6310424480948105092023215217.pdf")</f>
        <v>https://dpmzos25m8ivg.cloudfront.net/Documentos/631/04244809481/6310424480948105092023215217.pdf</v>
      </c>
      <c r="F1830" s="5" t="str">
        <f>HYPERLINK("https://dpmzos25m8ivg.cloudfront.net/Documentos/631/04244809481/6310424480948105092023215159.pdf","https://dpmzos25m8ivg.cloudfront.net/Documentos/631/04244809481/6310424480948105092023215159.pdf")</f>
        <v>https://dpmzos25m8ivg.cloudfront.net/Documentos/631/04244809481/6310424480948105092023215159.pdf</v>
      </c>
      <c r="G1830" s="5" t="str">
        <f>HYPERLINK("https://dpmzos25m8ivg.cloudfront.net/Documentos/631/04244809481/6310424480948105092023215140.pdf","https://dpmzos25m8ivg.cloudfront.net/Documentos/631/04244809481/6310424480948105092023215140.pdf")</f>
        <v>https://dpmzos25m8ivg.cloudfront.net/Documentos/631/04244809481/6310424480948105092023215140.pdf</v>
      </c>
      <c r="H1830" s="4" t="s">
        <v>10410</v>
      </c>
    </row>
    <row r="1831" spans="1:8" x14ac:dyDescent="0.25">
      <c r="A1831" s="2" t="s">
        <v>1845</v>
      </c>
      <c r="B1831" s="3"/>
      <c r="C1831" s="3"/>
      <c r="D1831" s="3"/>
      <c r="E1831" s="4" t="str">
        <f>HYPERLINK("https://dpmzos25m8ivg.cloudfront.net/Documentos/631/04247118269/6310424711826905092023103108.pdf","https://dpmzos25m8ivg.cloudfront.net/Documentos/631/04247118269/6310424711826905092023103108.pdf")</f>
        <v>https://dpmzos25m8ivg.cloudfront.net/Documentos/631/04247118269/6310424711826905092023103108.pdf</v>
      </c>
      <c r="F1831" s="5" t="str">
        <f>HYPERLINK("https://dpmzos25m8ivg.cloudfront.net/Documentos/631/04247118269/6310424711826905092023103126.pdf","https://dpmzos25m8ivg.cloudfront.net/Documentos/631/04247118269/6310424711826905092023103126.pdf")</f>
        <v>https://dpmzos25m8ivg.cloudfront.net/Documentos/631/04247118269/6310424711826905092023103126.pdf</v>
      </c>
      <c r="G1831" s="5" t="str">
        <f>HYPERLINK("https://dpmzos25m8ivg.cloudfront.net/Documentos/631/04247118269/6310424711826905092023103145.pdf","https://dpmzos25m8ivg.cloudfront.net/Documentos/631/04247118269/6310424711826905092023103145.pdf")</f>
        <v>https://dpmzos25m8ivg.cloudfront.net/Documentos/631/04247118269/6310424711826905092023103145.pdf</v>
      </c>
      <c r="H1831" s="4" t="s">
        <v>10411</v>
      </c>
    </row>
    <row r="1832" spans="1:8" x14ac:dyDescent="0.25">
      <c r="A1832" s="2" t="s">
        <v>1846</v>
      </c>
      <c r="B1832" s="3"/>
      <c r="C1832" s="3"/>
      <c r="D1832" s="3"/>
      <c r="E1832" s="4" t="str">
        <f>HYPERLINK("https://dpmzos25m8ivg.cloudfront.net/Documentos/631/04253861636/6310425386163606092023095238.pdf","https://dpmzos25m8ivg.cloudfront.net/Documentos/631/04253861636/6310425386163606092023095238.pdf")</f>
        <v>https://dpmzos25m8ivg.cloudfront.net/Documentos/631/04253861636/6310425386163606092023095238.pdf</v>
      </c>
      <c r="F1832" s="5" t="str">
        <f>HYPERLINK("https://dpmzos25m8ivg.cloudfront.net/Documentos/631/04253861636/6310425386163606092023095303.pdf","https://dpmzos25m8ivg.cloudfront.net/Documentos/631/04253861636/6310425386163606092023095303.pdf")</f>
        <v>https://dpmzos25m8ivg.cloudfront.net/Documentos/631/04253861636/6310425386163606092023095303.pdf</v>
      </c>
      <c r="G1832" s="5" t="str">
        <f>HYPERLINK("https://dpmzos25m8ivg.cloudfront.net/Documentos/631/04253861636/6310425386163606092023095323.pdf","https://dpmzos25m8ivg.cloudfront.net/Documentos/631/04253861636/6310425386163606092023095323.pdf")</f>
        <v>https://dpmzos25m8ivg.cloudfront.net/Documentos/631/04253861636/6310425386163606092023095323.pdf</v>
      </c>
      <c r="H1832" s="4" t="s">
        <v>10412</v>
      </c>
    </row>
    <row r="1833" spans="1:8" x14ac:dyDescent="0.25">
      <c r="A1833" s="2" t="s">
        <v>1847</v>
      </c>
      <c r="B1833" s="3"/>
      <c r="C1833" s="3"/>
      <c r="D1833" s="3"/>
      <c r="E1833" s="4" t="str">
        <f>HYPERLINK("https://dpmzos25m8ivg.cloudfront.net/Documentos/631/04254214146/6310425421414611092023161002.jpg","https://dpmzos25m8ivg.cloudfront.net/Documentos/631/04254214146/6310425421414611092023161002.jpg")</f>
        <v>https://dpmzos25m8ivg.cloudfront.net/Documentos/631/04254214146/6310425421414611092023161002.jpg</v>
      </c>
      <c r="F1833" s="5" t="str">
        <f>HYPERLINK("https://dpmzos25m8ivg.cloudfront.net/Documentos/631/04254214146/6310425421414611092023161011.jpg","https://dpmzos25m8ivg.cloudfront.net/Documentos/631/04254214146/6310425421414611092023161011.jpg")</f>
        <v>https://dpmzos25m8ivg.cloudfront.net/Documentos/631/04254214146/6310425421414611092023161011.jpg</v>
      </c>
      <c r="G1833" s="5" t="str">
        <f>HYPERLINK("https://dpmzos25m8ivg.cloudfront.net/Documentos/631/04254214146/6310425421414611092023161019.jpg","https://dpmzos25m8ivg.cloudfront.net/Documentos/631/04254214146/6310425421414611092023161019.jpg")</f>
        <v>https://dpmzos25m8ivg.cloudfront.net/Documentos/631/04254214146/6310425421414611092023161019.jpg</v>
      </c>
      <c r="H1833" s="4" t="s">
        <v>10413</v>
      </c>
    </row>
    <row r="1834" spans="1:8" x14ac:dyDescent="0.25">
      <c r="A1834" s="2" t="s">
        <v>1848</v>
      </c>
      <c r="B1834" s="3"/>
      <c r="C1834" s="3"/>
      <c r="D1834" s="3"/>
      <c r="E1834" s="4" t="str">
        <f>HYPERLINK("https://dpmzos25m8ivg.cloudfront.net/Documentos/631/04254220545/6310425422054509092023121915.pdf","https://dpmzos25m8ivg.cloudfront.net/Documentos/631/04254220545/6310425422054509092023121915.pdf")</f>
        <v>https://dpmzos25m8ivg.cloudfront.net/Documentos/631/04254220545/6310425422054509092023121915.pdf</v>
      </c>
      <c r="F1834" s="5" t="str">
        <f>HYPERLINK("https://dpmzos25m8ivg.cloudfront.net/Documentos/631/04254220545/6310425422054509092023121926.pdf","https://dpmzos25m8ivg.cloudfront.net/Documentos/631/04254220545/6310425422054509092023121926.pdf")</f>
        <v>https://dpmzos25m8ivg.cloudfront.net/Documentos/631/04254220545/6310425422054509092023121926.pdf</v>
      </c>
      <c r="G1834" s="5" t="str">
        <f>HYPERLINK("https://dpmzos25m8ivg.cloudfront.net/Documentos/631/04254220545/6310425422054509092023121935.pdf","https://dpmzos25m8ivg.cloudfront.net/Documentos/631/04254220545/6310425422054509092023121935.pdf")</f>
        <v>https://dpmzos25m8ivg.cloudfront.net/Documentos/631/04254220545/6310425422054509092023121935.pdf</v>
      </c>
      <c r="H1834" s="4" t="s">
        <v>10414</v>
      </c>
    </row>
    <row r="1835" spans="1:8" x14ac:dyDescent="0.25">
      <c r="A1835" s="2" t="s">
        <v>1849</v>
      </c>
      <c r="B1835" s="3"/>
      <c r="C1835" s="3"/>
      <c r="D1835" s="3"/>
      <c r="E1835" s="4" t="str">
        <f>HYPERLINK("https://dpmzos25m8ivg.cloudfront.net/Documentos/631/04256523278/6310425652327808092023203546.pdf","https://dpmzos25m8ivg.cloudfront.net/Documentos/631/04256523278/6310425652327808092023203546.pdf")</f>
        <v>https://dpmzos25m8ivg.cloudfront.net/Documentos/631/04256523278/6310425652327808092023203546.pdf</v>
      </c>
      <c r="F1835" s="5" t="str">
        <f>HYPERLINK("https://dpmzos25m8ivg.cloudfront.net/Documentos/631/04256523278/6310425652327808092023203556.pdf","https://dpmzos25m8ivg.cloudfront.net/Documentos/631/04256523278/6310425652327808092023203556.pdf")</f>
        <v>https://dpmzos25m8ivg.cloudfront.net/Documentos/631/04256523278/6310425652327808092023203556.pdf</v>
      </c>
      <c r="G1835" s="5" t="str">
        <f>HYPERLINK("https://dpmzos25m8ivg.cloudfront.net/Documentos/631/04256523278/6310425652327808092023203607.pdf","https://dpmzos25m8ivg.cloudfront.net/Documentos/631/04256523278/6310425652327808092023203607.pdf")</f>
        <v>https://dpmzos25m8ivg.cloudfront.net/Documentos/631/04256523278/6310425652327808092023203607.pdf</v>
      </c>
      <c r="H1835" s="4" t="s">
        <v>10415</v>
      </c>
    </row>
    <row r="1836" spans="1:8" x14ac:dyDescent="0.25">
      <c r="A1836" s="2" t="s">
        <v>1850</v>
      </c>
      <c r="B1836" s="3"/>
      <c r="C1836" s="3"/>
      <c r="D1836" s="3"/>
      <c r="E1836" s="4" t="str">
        <f>HYPERLINK("https://dpmzos25m8ivg.cloudfront.net/Documentos/631/04256534474/6310425653447411092023140221.pdf","https://dpmzos25m8ivg.cloudfront.net/Documentos/631/04256534474/6310425653447411092023140221.pdf")</f>
        <v>https://dpmzos25m8ivg.cloudfront.net/Documentos/631/04256534474/6310425653447411092023140221.pdf</v>
      </c>
      <c r="F1836" s="5" t="str">
        <f>HYPERLINK("https://dpmzos25m8ivg.cloudfront.net/Documentos/631/04256534474/6310425653447411092023140229.pdf","https://dpmzos25m8ivg.cloudfront.net/Documentos/631/04256534474/6310425653447411092023140229.pdf")</f>
        <v>https://dpmzos25m8ivg.cloudfront.net/Documentos/631/04256534474/6310425653447411092023140229.pdf</v>
      </c>
      <c r="G1836" s="5" t="str">
        <f>HYPERLINK("https://dpmzos25m8ivg.cloudfront.net/Documentos/631/04256534474/6310425653447411092023140246.pdf","https://dpmzos25m8ivg.cloudfront.net/Documentos/631/04256534474/6310425653447411092023140246.pdf")</f>
        <v>https://dpmzos25m8ivg.cloudfront.net/Documentos/631/04256534474/6310425653447411092023140246.pdf</v>
      </c>
      <c r="H1836" s="4" t="s">
        <v>10416</v>
      </c>
    </row>
    <row r="1837" spans="1:8" x14ac:dyDescent="0.25">
      <c r="A1837" s="2" t="s">
        <v>1851</v>
      </c>
      <c r="B1837" s="3"/>
      <c r="C1837" s="3"/>
      <c r="D1837" s="3"/>
      <c r="E1837" s="4" t="str">
        <f>HYPERLINK("https://dpmzos25m8ivg.cloudfront.net/Documentos/631/04257320370/6310425732037010092023233250.pdf","https://dpmzos25m8ivg.cloudfront.net/Documentos/631/04257320370/6310425732037010092023233250.pdf")</f>
        <v>https://dpmzos25m8ivg.cloudfront.net/Documentos/631/04257320370/6310425732037010092023233250.pdf</v>
      </c>
      <c r="F1837" s="5" t="str">
        <f>HYPERLINK("https://dpmzos25m8ivg.cloudfront.net/Documentos/631/04257320370/6310425732037010092023233259.pdf","https://dpmzos25m8ivg.cloudfront.net/Documentos/631/04257320370/6310425732037010092023233259.pdf")</f>
        <v>https://dpmzos25m8ivg.cloudfront.net/Documentos/631/04257320370/6310425732037010092023233259.pdf</v>
      </c>
      <c r="G1837" s="5" t="str">
        <f>HYPERLINK("https://dpmzos25m8ivg.cloudfront.net/Documentos/631/04257320370/6310425732037010092023233309.pdf","https://dpmzos25m8ivg.cloudfront.net/Documentos/631/04257320370/6310425732037010092023233309.pdf")</f>
        <v>https://dpmzos25m8ivg.cloudfront.net/Documentos/631/04257320370/6310425732037010092023233309.pdf</v>
      </c>
      <c r="H1837" s="4" t="s">
        <v>10417</v>
      </c>
    </row>
    <row r="1838" spans="1:8" x14ac:dyDescent="0.25">
      <c r="A1838" s="2" t="s">
        <v>1852</v>
      </c>
      <c r="B1838" s="3"/>
      <c r="C1838" s="3"/>
      <c r="D1838" s="3"/>
      <c r="E1838" s="4" t="str">
        <f>HYPERLINK("https://dpmzos25m8ivg.cloudfront.net/Documentos/631/04258920428/6310425892042805092023215506.pdf","https://dpmzos25m8ivg.cloudfront.net/Documentos/631/04258920428/6310425892042805092023215506.pdf")</f>
        <v>https://dpmzos25m8ivg.cloudfront.net/Documentos/631/04258920428/6310425892042805092023215506.pdf</v>
      </c>
      <c r="F1838" s="5" t="str">
        <f>HYPERLINK("https://dpmzos25m8ivg.cloudfront.net/Documentos/631/04258920428/6310425892042805092023215517.pdf","https://dpmzos25m8ivg.cloudfront.net/Documentos/631/04258920428/6310425892042805092023215517.pdf")</f>
        <v>https://dpmzos25m8ivg.cloudfront.net/Documentos/631/04258920428/6310425892042805092023215517.pdf</v>
      </c>
      <c r="G1838" s="5" t="str">
        <f>HYPERLINK("https://dpmzos25m8ivg.cloudfront.net/Documentos/631/04258920428/6310425892042805092023215530.pdf","https://dpmzos25m8ivg.cloudfront.net/Documentos/631/04258920428/6310425892042805092023215530.pdf")</f>
        <v>https://dpmzos25m8ivg.cloudfront.net/Documentos/631/04258920428/6310425892042805092023215530.pdf</v>
      </c>
      <c r="H1838" s="4" t="s">
        <v>10418</v>
      </c>
    </row>
    <row r="1839" spans="1:8" x14ac:dyDescent="0.25">
      <c r="A1839" s="2" t="s">
        <v>1853</v>
      </c>
      <c r="B1839" s="3"/>
      <c r="C1839" s="3"/>
      <c r="D1839" s="3"/>
      <c r="E1839" s="4" t="str">
        <f>HYPERLINK("https://dpmzos25m8ivg.cloudfront.net/Documentos/631/04260106120/6310426010612011092023145152.pdf","https://dpmzos25m8ivg.cloudfront.net/Documentos/631/04260106120/6310426010612011092023145152.pdf")</f>
        <v>https://dpmzos25m8ivg.cloudfront.net/Documentos/631/04260106120/6310426010612011092023145152.pdf</v>
      </c>
      <c r="F1839" s="5" t="str">
        <f>HYPERLINK("https://dpmzos25m8ivg.cloudfront.net/Documentos/631/04260106120/6310426010612011092023145209.pdf","https://dpmzos25m8ivg.cloudfront.net/Documentos/631/04260106120/6310426010612011092023145209.pdf")</f>
        <v>https://dpmzos25m8ivg.cloudfront.net/Documentos/631/04260106120/6310426010612011092023145209.pdf</v>
      </c>
      <c r="G1839" s="5" t="str">
        <f>HYPERLINK("https://dpmzos25m8ivg.cloudfront.net/Documentos/631/04260106120/6310426010612011092023145229.pdf","https://dpmzos25m8ivg.cloudfront.net/Documentos/631/04260106120/6310426010612011092023145229.pdf")</f>
        <v>https://dpmzos25m8ivg.cloudfront.net/Documentos/631/04260106120/6310426010612011092023145229.pdf</v>
      </c>
      <c r="H1839" s="4" t="s">
        <v>10419</v>
      </c>
    </row>
    <row r="1840" spans="1:8" x14ac:dyDescent="0.25">
      <c r="A1840" s="2" t="s">
        <v>1854</v>
      </c>
      <c r="B1840" s="3"/>
      <c r="C1840" s="3"/>
      <c r="D1840" s="3"/>
      <c r="E1840" s="4" t="str">
        <f>HYPERLINK("https://dpmzos25m8ivg.cloudfront.net/Documentos/631/04260510762/6310426051076210092023172142.pdf","https://dpmzos25m8ivg.cloudfront.net/Documentos/631/04260510762/6310426051076210092023172142.pdf")</f>
        <v>https://dpmzos25m8ivg.cloudfront.net/Documentos/631/04260510762/6310426051076210092023172142.pdf</v>
      </c>
      <c r="F1840" s="5" t="str">
        <f>HYPERLINK("https://dpmzos25m8ivg.cloudfront.net/Documentos/631/04260510762/6310426051076210092023172249.pdf","https://dpmzos25m8ivg.cloudfront.net/Documentos/631/04260510762/6310426051076210092023172249.pdf")</f>
        <v>https://dpmzos25m8ivg.cloudfront.net/Documentos/631/04260510762/6310426051076210092023172249.pdf</v>
      </c>
      <c r="G1840" s="5" t="str">
        <f>HYPERLINK("https://dpmzos25m8ivg.cloudfront.net/Documentos/631/04260510762/6310426051076210092023172322.pdf","https://dpmzos25m8ivg.cloudfront.net/Documentos/631/04260510762/6310426051076210092023172322.pdf")</f>
        <v>https://dpmzos25m8ivg.cloudfront.net/Documentos/631/04260510762/6310426051076210092023172322.pdf</v>
      </c>
      <c r="H1840" s="4" t="s">
        <v>10420</v>
      </c>
    </row>
    <row r="1841" spans="1:8" x14ac:dyDescent="0.25">
      <c r="A1841" s="2" t="s">
        <v>1855</v>
      </c>
      <c r="B1841" s="3"/>
      <c r="C1841" s="3"/>
      <c r="D1841" s="3"/>
      <c r="E1841" s="4" t="str">
        <f>HYPERLINK("https://dpmzos25m8ivg.cloudfront.net/Documentos/631/04264119278/6310426411927805092023114814.pdf","https://dpmzos25m8ivg.cloudfront.net/Documentos/631/04264119278/6310426411927805092023114814.pdf")</f>
        <v>https://dpmzos25m8ivg.cloudfront.net/Documentos/631/04264119278/6310426411927805092023114814.pdf</v>
      </c>
      <c r="F1841" s="5" t="str">
        <f>HYPERLINK("https://dpmzos25m8ivg.cloudfront.net/Documentos/631/04264119278/6310426411927805092023114831.pdf","https://dpmzos25m8ivg.cloudfront.net/Documentos/631/04264119278/6310426411927805092023114831.pdf")</f>
        <v>https://dpmzos25m8ivg.cloudfront.net/Documentos/631/04264119278/6310426411927805092023114831.pdf</v>
      </c>
      <c r="G1841" s="5" t="str">
        <f>HYPERLINK("https://dpmzos25m8ivg.cloudfront.net/Documentos/631/04264119278/6310426411927805092023114843.pdf","https://dpmzos25m8ivg.cloudfront.net/Documentos/631/04264119278/6310426411927805092023114843.pdf")</f>
        <v>https://dpmzos25m8ivg.cloudfront.net/Documentos/631/04264119278/6310426411927805092023114843.pdf</v>
      </c>
      <c r="H1841" s="4" t="s">
        <v>10421</v>
      </c>
    </row>
    <row r="1842" spans="1:8" x14ac:dyDescent="0.25">
      <c r="A1842" s="2" t="s">
        <v>1856</v>
      </c>
      <c r="B1842" s="3"/>
      <c r="C1842" s="3"/>
      <c r="D1842" s="3"/>
      <c r="E1842" s="4" t="str">
        <f>HYPERLINK("https://dpmzos25m8ivg.cloudfront.net/Documentos/631/04265579647/6310426557964710092023071130.pdf","https://dpmzos25m8ivg.cloudfront.net/Documentos/631/04265579647/6310426557964710092023071130.pdf")</f>
        <v>https://dpmzos25m8ivg.cloudfront.net/Documentos/631/04265579647/6310426557964710092023071130.pdf</v>
      </c>
      <c r="F1842" s="5" t="str">
        <f>HYPERLINK("https://dpmzos25m8ivg.cloudfront.net/Documentos/631/04265579647/6310426557964710092023071213.pdf","https://dpmzos25m8ivg.cloudfront.net/Documentos/631/04265579647/6310426557964710092023071213.pdf")</f>
        <v>https://dpmzos25m8ivg.cloudfront.net/Documentos/631/04265579647/6310426557964710092023071213.pdf</v>
      </c>
      <c r="G1842" s="5" t="str">
        <f>HYPERLINK("https://dpmzos25m8ivg.cloudfront.net/Documentos/631/04265579647/6310426557964710092023071234.pdf","https://dpmzos25m8ivg.cloudfront.net/Documentos/631/04265579647/6310426557964710092023071234.pdf")</f>
        <v>https://dpmzos25m8ivg.cloudfront.net/Documentos/631/04265579647/6310426557964710092023071234.pdf</v>
      </c>
      <c r="H1842" s="4" t="s">
        <v>10422</v>
      </c>
    </row>
    <row r="1843" spans="1:8" x14ac:dyDescent="0.25">
      <c r="A1843" s="2" t="s">
        <v>1857</v>
      </c>
      <c r="B1843" s="3"/>
      <c r="C1843" s="3"/>
      <c r="D1843" s="3"/>
      <c r="E1843" s="4" t="str">
        <f>HYPERLINK("https://dpmzos25m8ivg.cloudfront.net/Documentos/631/04268688463/6310426868846311092023154908.jpeg","https://dpmzos25m8ivg.cloudfront.net/Documentos/631/04268688463/6310426868846311092023154908.jpeg")</f>
        <v>https://dpmzos25m8ivg.cloudfront.net/Documentos/631/04268688463/6310426868846311092023154908.jpeg</v>
      </c>
      <c r="F1843" s="5" t="str">
        <f>HYPERLINK("https://dpmzos25m8ivg.cloudfront.net/Documentos/631/04268688463/6310426868846311092023154924.jpeg","https://dpmzos25m8ivg.cloudfront.net/Documentos/631/04268688463/6310426868846311092023154924.jpeg")</f>
        <v>https://dpmzos25m8ivg.cloudfront.net/Documentos/631/04268688463/6310426868846311092023154924.jpeg</v>
      </c>
      <c r="G1843" s="5" t="str">
        <f>HYPERLINK("https://dpmzos25m8ivg.cloudfront.net/Documentos/631/04268688463/6310426868846311092023154942.jpeg","https://dpmzos25m8ivg.cloudfront.net/Documentos/631/04268688463/6310426868846311092023154942.jpeg")</f>
        <v>https://dpmzos25m8ivg.cloudfront.net/Documentos/631/04268688463/6310426868846311092023154942.jpeg</v>
      </c>
      <c r="H1843" s="4" t="s">
        <v>10423</v>
      </c>
    </row>
    <row r="1844" spans="1:8" x14ac:dyDescent="0.25">
      <c r="A1844" s="2" t="s">
        <v>1858</v>
      </c>
      <c r="B1844" s="3"/>
      <c r="C1844" s="3"/>
      <c r="D1844" s="3"/>
      <c r="E1844" s="4" t="str">
        <f>HYPERLINK("https://dpmzos25m8ivg.cloudfront.net/Documentos/631/04269483512/6310426948351211092023170642.pdf","https://dpmzos25m8ivg.cloudfront.net/Documentos/631/04269483512/6310426948351211092023170642.pdf")</f>
        <v>https://dpmzos25m8ivg.cloudfront.net/Documentos/631/04269483512/6310426948351211092023170642.pdf</v>
      </c>
      <c r="F1844" s="5" t="str">
        <f>HYPERLINK("https://dpmzos25m8ivg.cloudfront.net/Documentos/631/04269483512/6310426948351211092023170655.pdf","https://dpmzos25m8ivg.cloudfront.net/Documentos/631/04269483512/6310426948351211092023170655.pdf")</f>
        <v>https://dpmzos25m8ivg.cloudfront.net/Documentos/631/04269483512/6310426948351211092023170655.pdf</v>
      </c>
      <c r="G1844" s="5" t="str">
        <f>HYPERLINK("https://dpmzos25m8ivg.cloudfront.net/Documentos/631/04269483512/6310426948351211092023170710.pdf","https://dpmzos25m8ivg.cloudfront.net/Documentos/631/04269483512/6310426948351211092023170710.pdf")</f>
        <v>https://dpmzos25m8ivg.cloudfront.net/Documentos/631/04269483512/6310426948351211092023170710.pdf</v>
      </c>
      <c r="H1844" s="4" t="s">
        <v>10424</v>
      </c>
    </row>
    <row r="1845" spans="1:8" x14ac:dyDescent="0.25">
      <c r="A1845" s="2" t="s">
        <v>1859</v>
      </c>
      <c r="B1845" s="3"/>
      <c r="C1845" s="3"/>
      <c r="D1845" s="3"/>
      <c r="E1845" s="4" t="str">
        <f>HYPERLINK("https://dpmzos25m8ivg.cloudfront.net/Documentos/631/04269798181/6310426979818105092023135656.pdf","https://dpmzos25m8ivg.cloudfront.net/Documentos/631/04269798181/6310426979818105092023135656.pdf")</f>
        <v>https://dpmzos25m8ivg.cloudfront.net/Documentos/631/04269798181/6310426979818105092023135656.pdf</v>
      </c>
      <c r="F1845" s="5" t="str">
        <f>HYPERLINK("https://dpmzos25m8ivg.cloudfront.net/Documentos/631/04269798181/6310426979818105092023135715.pdf","https://dpmzos25m8ivg.cloudfront.net/Documentos/631/04269798181/6310426979818105092023135715.pdf")</f>
        <v>https://dpmzos25m8ivg.cloudfront.net/Documentos/631/04269798181/6310426979818105092023135715.pdf</v>
      </c>
      <c r="G1845" s="5" t="str">
        <f>HYPERLINK("https://dpmzos25m8ivg.cloudfront.net/Documentos/631/04269798181/6310426979818105092023135734.pdf","https://dpmzos25m8ivg.cloudfront.net/Documentos/631/04269798181/6310426979818105092023135734.pdf")</f>
        <v>https://dpmzos25m8ivg.cloudfront.net/Documentos/631/04269798181/6310426979818105092023135734.pdf</v>
      </c>
      <c r="H1845" s="4" t="s">
        <v>10425</v>
      </c>
    </row>
    <row r="1846" spans="1:8" x14ac:dyDescent="0.25">
      <c r="A1846" s="2" t="s">
        <v>1860</v>
      </c>
      <c r="B1846" s="3"/>
      <c r="C1846" s="3"/>
      <c r="D1846" s="3"/>
      <c r="E1846" s="4" t="str">
        <f>HYPERLINK("https://dpmzos25m8ivg.cloudfront.net/Documentos/631/04269908548/6310426990854811092023170044.pdf","https://dpmzos25m8ivg.cloudfront.net/Documentos/631/04269908548/6310426990854811092023170044.pdf")</f>
        <v>https://dpmzos25m8ivg.cloudfront.net/Documentos/631/04269908548/6310426990854811092023170044.pdf</v>
      </c>
      <c r="F1846" s="5" t="str">
        <f>HYPERLINK("https://dpmzos25m8ivg.cloudfront.net/Documentos/631/04269908548/6310426990854811092023170058.pdf","https://dpmzos25m8ivg.cloudfront.net/Documentos/631/04269908548/6310426990854811092023170058.pdf")</f>
        <v>https://dpmzos25m8ivg.cloudfront.net/Documentos/631/04269908548/6310426990854811092023170058.pdf</v>
      </c>
      <c r="G1846" s="5" t="str">
        <f>HYPERLINK("https://dpmzos25m8ivg.cloudfront.net/Documentos/631/04269908548/6310426990854811092023170116.pdf","https://dpmzos25m8ivg.cloudfront.net/Documentos/631/04269908548/6310426990854811092023170116.pdf")</f>
        <v>https://dpmzos25m8ivg.cloudfront.net/Documentos/631/04269908548/6310426990854811092023170116.pdf</v>
      </c>
      <c r="H1846" s="4" t="s">
        <v>10426</v>
      </c>
    </row>
    <row r="1847" spans="1:8" x14ac:dyDescent="0.25">
      <c r="A1847" s="2" t="s">
        <v>1861</v>
      </c>
      <c r="B1847" s="3" t="s">
        <v>23</v>
      </c>
      <c r="C1847" s="3"/>
      <c r="D1847" s="3"/>
      <c r="E1847" s="4" t="str">
        <f>HYPERLINK("https://dpmzos25m8ivg.cloudfront.net/Documentos/631/04273618265/6310427361826510092023175522.pdf","https://dpmzos25m8ivg.cloudfront.net/Documentos/631/04273618265/6310427361826510092023175522.pdf")</f>
        <v>https://dpmzos25m8ivg.cloudfront.net/Documentos/631/04273618265/6310427361826510092023175522.pdf</v>
      </c>
      <c r="F1847" s="5" t="str">
        <f>HYPERLINK("https://dpmzos25m8ivg.cloudfront.net/Documentos/631/04273618265/6310427361826510092023175533.pdf","https://dpmzos25m8ivg.cloudfront.net/Documentos/631/04273618265/6310427361826510092023175533.pdf")</f>
        <v>https://dpmzos25m8ivg.cloudfront.net/Documentos/631/04273618265/6310427361826510092023175533.pdf</v>
      </c>
      <c r="G1847" s="5" t="str">
        <f>HYPERLINK("https://dpmzos25m8ivg.cloudfront.net/Documentos/631/04273618265/6310427361826510092023175546.pdf","https://dpmzos25m8ivg.cloudfront.net/Documentos/631/04273618265/6310427361826510092023175546.pdf")</f>
        <v>https://dpmzos25m8ivg.cloudfront.net/Documentos/631/04273618265/6310427361826510092023175546.pdf</v>
      </c>
      <c r="H1847" s="4" t="s">
        <v>10427</v>
      </c>
    </row>
    <row r="1848" spans="1:8" x14ac:dyDescent="0.25">
      <c r="A1848" s="2" t="s">
        <v>1862</v>
      </c>
      <c r="B1848" s="3"/>
      <c r="C1848" s="3"/>
      <c r="D1848" s="3"/>
      <c r="E1848" s="4" t="str">
        <f>HYPERLINK("https://dpmzos25m8ivg.cloudfront.net/Documentos/631/04277896642/6310427789664210092023234645.jpg","https://dpmzos25m8ivg.cloudfront.net/Documentos/631/04277896642/6310427789664210092023234645.jpg")</f>
        <v>https://dpmzos25m8ivg.cloudfront.net/Documentos/631/04277896642/6310427789664210092023234645.jpg</v>
      </c>
      <c r="F1848" s="5" t="str">
        <f>HYPERLINK("https://dpmzos25m8ivg.cloudfront.net/Documentos/631/04277896642/6310427789664210092023234736.jpg","https://dpmzos25m8ivg.cloudfront.net/Documentos/631/04277896642/6310427789664210092023234736.jpg")</f>
        <v>https://dpmzos25m8ivg.cloudfront.net/Documentos/631/04277896642/6310427789664210092023234736.jpg</v>
      </c>
      <c r="G1848" s="5" t="str">
        <f>HYPERLINK("https://dpmzos25m8ivg.cloudfront.net/Documentos/631/04277896642/6310427789664210092023234814.jpg","https://dpmzos25m8ivg.cloudfront.net/Documentos/631/04277896642/6310427789664210092023234814.jpg")</f>
        <v>https://dpmzos25m8ivg.cloudfront.net/Documentos/631/04277896642/6310427789664210092023234814.jpg</v>
      </c>
      <c r="H1848" s="4" t="s">
        <v>10428</v>
      </c>
    </row>
    <row r="1849" spans="1:8" x14ac:dyDescent="0.25">
      <c r="A1849" s="2" t="s">
        <v>1863</v>
      </c>
      <c r="B1849" s="3" t="s">
        <v>312</v>
      </c>
      <c r="C1849" s="3"/>
      <c r="D1849" s="3"/>
      <c r="E1849" s="4" t="str">
        <f>HYPERLINK("https://dpmzos25m8ivg.cloudfront.net/Documentos/631/04277918123/6310427791812305092023184700.jpg","https://dpmzos25m8ivg.cloudfront.net/Documentos/631/04277918123/6310427791812305092023184700.jpg")</f>
        <v>https://dpmzos25m8ivg.cloudfront.net/Documentos/631/04277918123/6310427791812305092023184700.jpg</v>
      </c>
      <c r="F1849" s="5" t="str">
        <f>HYPERLINK("https://dpmzos25m8ivg.cloudfront.net/Documentos/631/04277918123/6310427791812305092023184719.jpg","https://dpmzos25m8ivg.cloudfront.net/Documentos/631/04277918123/6310427791812305092023184719.jpg")</f>
        <v>https://dpmzos25m8ivg.cloudfront.net/Documentos/631/04277918123/6310427791812305092023184719.jpg</v>
      </c>
      <c r="G1849" s="5" t="str">
        <f>HYPERLINK("https://dpmzos25m8ivg.cloudfront.net/Documentos/631/04277918123/6310427791812305092023184739.jpg","https://dpmzos25m8ivg.cloudfront.net/Documentos/631/04277918123/6310427791812305092023184739.jpg")</f>
        <v>https://dpmzos25m8ivg.cloudfront.net/Documentos/631/04277918123/6310427791812305092023184739.jpg</v>
      </c>
      <c r="H1849" s="4" t="s">
        <v>10429</v>
      </c>
    </row>
    <row r="1850" spans="1:8" x14ac:dyDescent="0.25">
      <c r="A1850" s="2" t="s">
        <v>1864</v>
      </c>
      <c r="B1850" s="3"/>
      <c r="C1850" s="3"/>
      <c r="D1850" s="3"/>
      <c r="E1850" s="4" t="str">
        <f>HYPERLINK("https://dpmzos25m8ivg.cloudfront.net/Documentos/631/04279258511/6310427925851105092023123410.pdf","https://dpmzos25m8ivg.cloudfront.net/Documentos/631/04279258511/6310427925851105092023123410.pdf")</f>
        <v>https://dpmzos25m8ivg.cloudfront.net/Documentos/631/04279258511/6310427925851105092023123410.pdf</v>
      </c>
      <c r="F1850" s="5" t="str">
        <f>HYPERLINK("https://dpmzos25m8ivg.cloudfront.net/Documentos/631/04279258511/6310427925851105092023123435.pdf","https://dpmzos25m8ivg.cloudfront.net/Documentos/631/04279258511/6310427925851105092023123435.pdf")</f>
        <v>https://dpmzos25m8ivg.cloudfront.net/Documentos/631/04279258511/6310427925851105092023123435.pdf</v>
      </c>
      <c r="G1850" s="5" t="str">
        <f>HYPERLINK("https://dpmzos25m8ivg.cloudfront.net/Documentos/631/04279258511/6310427925851105092023123447.pdf","https://dpmzos25m8ivg.cloudfront.net/Documentos/631/04279258511/6310427925851105092023123447.pdf")</f>
        <v>https://dpmzos25m8ivg.cloudfront.net/Documentos/631/04279258511/6310427925851105092023123447.pdf</v>
      </c>
      <c r="H1850" s="4" t="s">
        <v>10430</v>
      </c>
    </row>
    <row r="1851" spans="1:8" x14ac:dyDescent="0.25">
      <c r="A1851" s="2" t="s">
        <v>1865</v>
      </c>
      <c r="B1851" s="3"/>
      <c r="C1851" s="3"/>
      <c r="D1851" s="3"/>
      <c r="E1851" s="4" t="str">
        <f>HYPERLINK("https://dpmzos25m8ivg.cloudfront.net/Documentos/631/04282579170/6310428257917010092023153714.pdf","https://dpmzos25m8ivg.cloudfront.net/Documentos/631/04282579170/6310428257917010092023153714.pdf")</f>
        <v>https://dpmzos25m8ivg.cloudfront.net/Documentos/631/04282579170/6310428257917010092023153714.pdf</v>
      </c>
      <c r="F1851" s="5" t="str">
        <f>HYPERLINK("https://dpmzos25m8ivg.cloudfront.net/Documentos/631/04282579170/6310428257917010092023153726.pdf","https://dpmzos25m8ivg.cloudfront.net/Documentos/631/04282579170/6310428257917010092023153726.pdf")</f>
        <v>https://dpmzos25m8ivg.cloudfront.net/Documentos/631/04282579170/6310428257917010092023153726.pdf</v>
      </c>
      <c r="G1851" s="5" t="str">
        <f>HYPERLINK("https://dpmzos25m8ivg.cloudfront.net/Documentos/631/04282579170/6310428257917010092023153737.pdf","https://dpmzos25m8ivg.cloudfront.net/Documentos/631/04282579170/6310428257917010092023153737.pdf")</f>
        <v>https://dpmzos25m8ivg.cloudfront.net/Documentos/631/04282579170/6310428257917010092023153737.pdf</v>
      </c>
      <c r="H1851" s="4" t="s">
        <v>10431</v>
      </c>
    </row>
    <row r="1852" spans="1:8" x14ac:dyDescent="0.25">
      <c r="A1852" s="2" t="s">
        <v>1866</v>
      </c>
      <c r="B1852" s="3"/>
      <c r="C1852" s="3"/>
      <c r="D1852" s="3"/>
      <c r="E1852" s="4" t="str">
        <f>HYPERLINK("https://dpmzos25m8ivg.cloudfront.net/Documentos/631/04287315111/6310428731511111092023101827.pdf","https://dpmzos25m8ivg.cloudfront.net/Documentos/631/04287315111/6310428731511111092023101827.pdf")</f>
        <v>https://dpmzos25m8ivg.cloudfront.net/Documentos/631/04287315111/6310428731511111092023101827.pdf</v>
      </c>
      <c r="F1852" s="5" t="str">
        <f>HYPERLINK("https://dpmzos25m8ivg.cloudfront.net/Documentos/631/04287315111/6310428731511111092023101835.pdf","https://dpmzos25m8ivg.cloudfront.net/Documentos/631/04287315111/6310428731511111092023101835.pdf")</f>
        <v>https://dpmzos25m8ivg.cloudfront.net/Documentos/631/04287315111/6310428731511111092023101835.pdf</v>
      </c>
      <c r="G1852" s="5" t="str">
        <f>HYPERLINK("https://dpmzos25m8ivg.cloudfront.net/Documentos/631/04287315111/6310428731511111092023101843.pdf","https://dpmzos25m8ivg.cloudfront.net/Documentos/631/04287315111/6310428731511111092023101843.pdf")</f>
        <v>https://dpmzos25m8ivg.cloudfront.net/Documentos/631/04287315111/6310428731511111092023101843.pdf</v>
      </c>
      <c r="H1852" s="4" t="s">
        <v>10432</v>
      </c>
    </row>
    <row r="1853" spans="1:8" x14ac:dyDescent="0.25">
      <c r="A1853" s="2" t="s">
        <v>1867</v>
      </c>
      <c r="B1853" s="3" t="s">
        <v>308</v>
      </c>
      <c r="C1853" s="3"/>
      <c r="D1853" s="3"/>
      <c r="E1853" s="4" t="str">
        <f>HYPERLINK("https://dpmzos25m8ivg.cloudfront.net/Documentos/631/04287500440/6310428750044011092023162134.pdf","https://dpmzos25m8ivg.cloudfront.net/Documentos/631/04287500440/6310428750044011092023162134.pdf")</f>
        <v>https://dpmzos25m8ivg.cloudfront.net/Documentos/631/04287500440/6310428750044011092023162134.pdf</v>
      </c>
      <c r="F1853" s="5" t="str">
        <f>HYPERLINK("https://dpmzos25m8ivg.cloudfront.net/Documentos/631/04287500440/6310428750044011092023162154.pdf","https://dpmzos25m8ivg.cloudfront.net/Documentos/631/04287500440/6310428750044011092023162154.pdf")</f>
        <v>https://dpmzos25m8ivg.cloudfront.net/Documentos/631/04287500440/6310428750044011092023162154.pdf</v>
      </c>
      <c r="G1853" s="5" t="str">
        <f>HYPERLINK("https://dpmzos25m8ivg.cloudfront.net/Documentos/631/04287500440/6310428750044011092023162212.pdf","https://dpmzos25m8ivg.cloudfront.net/Documentos/631/04287500440/6310428750044011092023162212.pdf")</f>
        <v>https://dpmzos25m8ivg.cloudfront.net/Documentos/631/04287500440/6310428750044011092023162212.pdf</v>
      </c>
      <c r="H1853" s="4" t="s">
        <v>10433</v>
      </c>
    </row>
    <row r="1854" spans="1:8" x14ac:dyDescent="0.25">
      <c r="A1854" s="2" t="s">
        <v>1868</v>
      </c>
      <c r="B1854" s="3"/>
      <c r="C1854" s="3"/>
      <c r="D1854" s="3"/>
      <c r="E1854" s="4" t="str">
        <f>HYPERLINK("https://dpmzos25m8ivg.cloudfront.net/Documentos/631/04290742122/6310429074212211092023103944.pdf","https://dpmzos25m8ivg.cloudfront.net/Documentos/631/04290742122/6310429074212211092023103944.pdf")</f>
        <v>https://dpmzos25m8ivg.cloudfront.net/Documentos/631/04290742122/6310429074212211092023103944.pdf</v>
      </c>
      <c r="F1854" s="5" t="str">
        <f>HYPERLINK("https://dpmzos25m8ivg.cloudfront.net/Documentos/631/04290742122/6310429074212211092023103951.pdf","https://dpmzos25m8ivg.cloudfront.net/Documentos/631/04290742122/6310429074212211092023103951.pdf")</f>
        <v>https://dpmzos25m8ivg.cloudfront.net/Documentos/631/04290742122/6310429074212211092023103951.pdf</v>
      </c>
      <c r="G1854" s="5" t="str">
        <f>HYPERLINK("https://dpmzos25m8ivg.cloudfront.net/Documentos/631/04290742122/6310429074212211092023103957.pdf","https://dpmzos25m8ivg.cloudfront.net/Documentos/631/04290742122/6310429074212211092023103957.pdf")</f>
        <v>https://dpmzos25m8ivg.cloudfront.net/Documentos/631/04290742122/6310429074212211092023103957.pdf</v>
      </c>
      <c r="H1854" s="4" t="s">
        <v>10434</v>
      </c>
    </row>
    <row r="1855" spans="1:8" x14ac:dyDescent="0.25">
      <c r="A1855" s="2" t="s">
        <v>1869</v>
      </c>
      <c r="B1855" s="3"/>
      <c r="C1855" s="3"/>
      <c r="D1855" s="3"/>
      <c r="E1855" s="4" t="str">
        <f>HYPERLINK("https://dpmzos25m8ivg.cloudfront.net/Documentos/631/04290914004/6310429091400411092023165125.jpeg","https://dpmzos25m8ivg.cloudfront.net/Documentos/631/04290914004/6310429091400411092023165125.jpeg")</f>
        <v>https://dpmzos25m8ivg.cloudfront.net/Documentos/631/04290914004/6310429091400411092023165125.jpeg</v>
      </c>
      <c r="F1855" s="5" t="str">
        <f>HYPERLINK("https://dpmzos25m8ivg.cloudfront.net/Documentos/631/04290914004/6310429091400411092023165151.jpeg","https://dpmzos25m8ivg.cloudfront.net/Documentos/631/04290914004/6310429091400411092023165151.jpeg")</f>
        <v>https://dpmzos25m8ivg.cloudfront.net/Documentos/631/04290914004/6310429091400411092023165151.jpeg</v>
      </c>
      <c r="G1855" s="5" t="str">
        <f>HYPERLINK("https://dpmzos25m8ivg.cloudfront.net/Documentos/631/04290914004/6310429091400411092023165202.jpeg","https://dpmzos25m8ivg.cloudfront.net/Documentos/631/04290914004/6310429091400411092023165202.jpeg")</f>
        <v>https://dpmzos25m8ivg.cloudfront.net/Documentos/631/04290914004/6310429091400411092023165202.jpeg</v>
      </c>
      <c r="H1855" s="4" t="s">
        <v>10435</v>
      </c>
    </row>
    <row r="1856" spans="1:8" x14ac:dyDescent="0.25">
      <c r="A1856" s="2" t="s">
        <v>1870</v>
      </c>
      <c r="B1856" s="3" t="s">
        <v>308</v>
      </c>
      <c r="C1856" s="3"/>
      <c r="D1856" s="3"/>
      <c r="E1856" s="4" t="str">
        <f>HYPERLINK("https://dpmzos25m8ivg.cloudfront.net/Documentos/631/04292328102/6310429232810211092023163319.jpeg","https://dpmzos25m8ivg.cloudfront.net/Documentos/631/04292328102/6310429232810211092023163319.jpeg")</f>
        <v>https://dpmzos25m8ivg.cloudfront.net/Documentos/631/04292328102/6310429232810211092023163319.jpeg</v>
      </c>
      <c r="F1856" s="5" t="str">
        <f>HYPERLINK("https://dpmzos25m8ivg.cloudfront.net/Documentos/631/04292328102/6310429232810211092023163331.jpeg","https://dpmzos25m8ivg.cloudfront.net/Documentos/631/04292328102/6310429232810211092023163331.jpeg")</f>
        <v>https://dpmzos25m8ivg.cloudfront.net/Documentos/631/04292328102/6310429232810211092023163331.jpeg</v>
      </c>
      <c r="G1856" s="5" t="str">
        <f>HYPERLINK("https://dpmzos25m8ivg.cloudfront.net/Documentos/631/04292328102/6310429232810211092023163343.jpeg","https://dpmzos25m8ivg.cloudfront.net/Documentos/631/04292328102/6310429232810211092023163343.jpeg")</f>
        <v>https://dpmzos25m8ivg.cloudfront.net/Documentos/631/04292328102/6310429232810211092023163343.jpeg</v>
      </c>
      <c r="H1856" s="4" t="s">
        <v>10436</v>
      </c>
    </row>
    <row r="1857" spans="1:8" x14ac:dyDescent="0.25">
      <c r="A1857" s="2" t="s">
        <v>1871</v>
      </c>
      <c r="B1857" s="3"/>
      <c r="C1857" s="3"/>
      <c r="D1857" s="3"/>
      <c r="E1857" s="4" t="str">
        <f>HYPERLINK("https://dpmzos25m8ivg.cloudfront.net/Documentos/631/04293876529/6310429387652911092023145109.pdf","https://dpmzos25m8ivg.cloudfront.net/Documentos/631/04293876529/6310429387652911092023145109.pdf")</f>
        <v>https://dpmzos25m8ivg.cloudfront.net/Documentos/631/04293876529/6310429387652911092023145109.pdf</v>
      </c>
      <c r="F1857" s="5" t="str">
        <f>HYPERLINK("https://dpmzos25m8ivg.cloudfront.net/Documentos/631/04293876529/6310429387652911092023145118.pdf","https://dpmzos25m8ivg.cloudfront.net/Documentos/631/04293876529/6310429387652911092023145118.pdf")</f>
        <v>https://dpmzos25m8ivg.cloudfront.net/Documentos/631/04293876529/6310429387652911092023145118.pdf</v>
      </c>
      <c r="G1857" s="5" t="str">
        <f>HYPERLINK("https://dpmzos25m8ivg.cloudfront.net/Documentos/631/04293876529/6310429387652911092023145128.pdf","https://dpmzos25m8ivg.cloudfront.net/Documentos/631/04293876529/6310429387652911092023145128.pdf")</f>
        <v>https://dpmzos25m8ivg.cloudfront.net/Documentos/631/04293876529/6310429387652911092023145128.pdf</v>
      </c>
      <c r="H1857" s="4" t="s">
        <v>10437</v>
      </c>
    </row>
    <row r="1858" spans="1:8" x14ac:dyDescent="0.25">
      <c r="A1858" s="2" t="s">
        <v>1872</v>
      </c>
      <c r="B1858" s="3"/>
      <c r="C1858" s="3"/>
      <c r="D1858" s="3"/>
      <c r="E1858" s="4" t="str">
        <f>HYPERLINK("https://dpmzos25m8ivg.cloudfront.net/Documentos/631/04294057580/6310429405758011092023091339.pdf","https://dpmzos25m8ivg.cloudfront.net/Documentos/631/04294057580/6310429405758011092023091339.pdf")</f>
        <v>https://dpmzos25m8ivg.cloudfront.net/Documentos/631/04294057580/6310429405758011092023091339.pdf</v>
      </c>
      <c r="F1858" s="5" t="str">
        <f>HYPERLINK("https://dpmzos25m8ivg.cloudfront.net/Documentos/631/04294057580/6310429405758011092023091348.pdf","https://dpmzos25m8ivg.cloudfront.net/Documentos/631/04294057580/6310429405758011092023091348.pdf")</f>
        <v>https://dpmzos25m8ivg.cloudfront.net/Documentos/631/04294057580/6310429405758011092023091348.pdf</v>
      </c>
      <c r="G1858" s="5" t="str">
        <f>HYPERLINK("https://dpmzos25m8ivg.cloudfront.net/Documentos/631/04294057580/6310429405758011092023091357.pdf","https://dpmzos25m8ivg.cloudfront.net/Documentos/631/04294057580/6310429405758011092023091357.pdf")</f>
        <v>https://dpmzos25m8ivg.cloudfront.net/Documentos/631/04294057580/6310429405758011092023091357.pdf</v>
      </c>
      <c r="H1858" s="4" t="s">
        <v>10438</v>
      </c>
    </row>
    <row r="1859" spans="1:8" x14ac:dyDescent="0.25">
      <c r="A1859" s="2" t="s">
        <v>1873</v>
      </c>
      <c r="B1859" s="3"/>
      <c r="C1859" s="3"/>
      <c r="D1859" s="3"/>
      <c r="E1859" s="4" t="str">
        <f>HYPERLINK("https://dpmzos25m8ivg.cloudfront.net/Documentos/631/04294864133/6310429486413305092023144336.pdf","https://dpmzos25m8ivg.cloudfront.net/Documentos/631/04294864133/6310429486413305092023144336.pdf")</f>
        <v>https://dpmzos25m8ivg.cloudfront.net/Documentos/631/04294864133/6310429486413305092023144336.pdf</v>
      </c>
      <c r="F1859" s="5" t="str">
        <f>HYPERLINK("https://dpmzos25m8ivg.cloudfront.net/Documentos/631/04294864133/6310429486413305092023144414.pdf","https://dpmzos25m8ivg.cloudfront.net/Documentos/631/04294864133/6310429486413305092023144414.pdf")</f>
        <v>https://dpmzos25m8ivg.cloudfront.net/Documentos/631/04294864133/6310429486413305092023144414.pdf</v>
      </c>
      <c r="G1859" s="5" t="str">
        <f>HYPERLINK("https://dpmzos25m8ivg.cloudfront.net/Documentos/631/04294864133/6310429486413305092023144430.pdf","https://dpmzos25m8ivg.cloudfront.net/Documentos/631/04294864133/6310429486413305092023144430.pdf")</f>
        <v>https://dpmzos25m8ivg.cloudfront.net/Documentos/631/04294864133/6310429486413305092023144430.pdf</v>
      </c>
      <c r="H1859" s="4" t="s">
        <v>10439</v>
      </c>
    </row>
    <row r="1860" spans="1:8" x14ac:dyDescent="0.25">
      <c r="A1860" s="2" t="s">
        <v>1874</v>
      </c>
      <c r="B1860" s="3"/>
      <c r="C1860" s="3"/>
      <c r="D1860" s="3"/>
      <c r="E1860" s="4" t="str">
        <f>HYPERLINK("https://dpmzos25m8ivg.cloudfront.net/Documentos/631/04295256480/6310429525648011092023110015.jpg","https://dpmzos25m8ivg.cloudfront.net/Documentos/631/04295256480/6310429525648011092023110015.jpg")</f>
        <v>https://dpmzos25m8ivg.cloudfront.net/Documentos/631/04295256480/6310429525648011092023110015.jpg</v>
      </c>
      <c r="F1860" s="5" t="str">
        <f>HYPERLINK("https://dpmzos25m8ivg.cloudfront.net/Documentos/631/04295256480/6310429525648011092023105401.jpeg","https://dpmzos25m8ivg.cloudfront.net/Documentos/631/04295256480/6310429525648011092023105401.jpeg")</f>
        <v>https://dpmzos25m8ivg.cloudfront.net/Documentos/631/04295256480/6310429525648011092023105401.jpeg</v>
      </c>
      <c r="G1860" s="5" t="str">
        <f>HYPERLINK("https://dpmzos25m8ivg.cloudfront.net/Documentos/631/04295256480/6310429525648011092023105410.jpeg","https://dpmzos25m8ivg.cloudfront.net/Documentos/631/04295256480/6310429525648011092023105410.jpeg")</f>
        <v>https://dpmzos25m8ivg.cloudfront.net/Documentos/631/04295256480/6310429525648011092023105410.jpeg</v>
      </c>
      <c r="H1860" s="4" t="s">
        <v>10440</v>
      </c>
    </row>
    <row r="1861" spans="1:8" x14ac:dyDescent="0.25">
      <c r="A1861" s="2" t="s">
        <v>1875</v>
      </c>
      <c r="B1861" s="3"/>
      <c r="C1861" s="3"/>
      <c r="D1861" s="3"/>
      <c r="E1861" s="4" t="str">
        <f>HYPERLINK("https://dpmzos25m8ivg.cloudfront.net/Documentos/631/04297395240/6310429739524010092023115823.jpeg","https://dpmzos25m8ivg.cloudfront.net/Documentos/631/04297395240/6310429739524010092023115823.jpeg")</f>
        <v>https://dpmzos25m8ivg.cloudfront.net/Documentos/631/04297395240/6310429739524010092023115823.jpeg</v>
      </c>
      <c r="F1861" s="5" t="str">
        <f>HYPERLINK("https://dpmzos25m8ivg.cloudfront.net/Documentos/631/04297395240/6310429739524010092023115919.jpeg","https://dpmzos25m8ivg.cloudfront.net/Documentos/631/04297395240/6310429739524010092023115919.jpeg")</f>
        <v>https://dpmzos25m8ivg.cloudfront.net/Documentos/631/04297395240/6310429739524010092023115919.jpeg</v>
      </c>
      <c r="G1861" s="5" t="str">
        <f>HYPERLINK("https://dpmzos25m8ivg.cloudfront.net/Documentos/631/04297395240/6310429739524010092023115941.jpeg","https://dpmzos25m8ivg.cloudfront.net/Documentos/631/04297395240/6310429739524010092023115941.jpeg")</f>
        <v>https://dpmzos25m8ivg.cloudfront.net/Documentos/631/04297395240/6310429739524010092023115941.jpeg</v>
      </c>
      <c r="H1861" s="4" t="s">
        <v>10441</v>
      </c>
    </row>
    <row r="1862" spans="1:8" x14ac:dyDescent="0.25">
      <c r="A1862" s="2" t="s">
        <v>1876</v>
      </c>
      <c r="B1862" s="3"/>
      <c r="C1862" s="3"/>
      <c r="D1862" s="3"/>
      <c r="E1862" s="4" t="str">
        <f>HYPERLINK("https://dpmzos25m8ivg.cloudfront.net/Documentos/631/04301106502/6310430110650207092023190850.pdf","https://dpmzos25m8ivg.cloudfront.net/Documentos/631/04301106502/6310430110650207092023190850.pdf")</f>
        <v>https://dpmzos25m8ivg.cloudfront.net/Documentos/631/04301106502/6310430110650207092023190850.pdf</v>
      </c>
      <c r="F1862" s="5" t="str">
        <f>HYPERLINK("https://dpmzos25m8ivg.cloudfront.net/Documentos/631/04301106502/6310430110650207092023190859.pdf","https://dpmzos25m8ivg.cloudfront.net/Documentos/631/04301106502/6310430110650207092023190859.pdf")</f>
        <v>https://dpmzos25m8ivg.cloudfront.net/Documentos/631/04301106502/6310430110650207092023190859.pdf</v>
      </c>
      <c r="G1862" s="5" t="str">
        <f>HYPERLINK("https://dpmzos25m8ivg.cloudfront.net/Documentos/631/04301106502/6310430110650207092023190908.pdf","https://dpmzos25m8ivg.cloudfront.net/Documentos/631/04301106502/6310430110650207092023190908.pdf")</f>
        <v>https://dpmzos25m8ivg.cloudfront.net/Documentos/631/04301106502/6310430110650207092023190908.pdf</v>
      </c>
      <c r="H1862" s="4" t="s">
        <v>10442</v>
      </c>
    </row>
    <row r="1863" spans="1:8" x14ac:dyDescent="0.25">
      <c r="A1863" s="2" t="s">
        <v>1877</v>
      </c>
      <c r="B1863" s="3"/>
      <c r="C1863" s="3"/>
      <c r="D1863" s="3"/>
      <c r="E1863" s="4" t="str">
        <f>HYPERLINK("https://dpmzos25m8ivg.cloudfront.net/Documentos/631/04301999370/6310430199937005092023085936.pdf","https://dpmzos25m8ivg.cloudfront.net/Documentos/631/04301999370/6310430199937005092023085936.pdf")</f>
        <v>https://dpmzos25m8ivg.cloudfront.net/Documentos/631/04301999370/6310430199937005092023085936.pdf</v>
      </c>
      <c r="F1863" s="5" t="str">
        <f>HYPERLINK("https://dpmzos25m8ivg.cloudfront.net/Documentos/631/04301999370/6310430199937005092023085951.pdf","https://dpmzos25m8ivg.cloudfront.net/Documentos/631/04301999370/6310430199937005092023085951.pdf")</f>
        <v>https://dpmzos25m8ivg.cloudfront.net/Documentos/631/04301999370/6310430199937005092023085951.pdf</v>
      </c>
      <c r="G1863" s="5" t="str">
        <f>HYPERLINK("https://dpmzos25m8ivg.cloudfront.net/Documentos/631/04301999370/6310430199937005092023090008.pdf","https://dpmzos25m8ivg.cloudfront.net/Documentos/631/04301999370/6310430199937005092023090008.pdf")</f>
        <v>https://dpmzos25m8ivg.cloudfront.net/Documentos/631/04301999370/6310430199937005092023090008.pdf</v>
      </c>
      <c r="H1863" s="4" t="s">
        <v>10443</v>
      </c>
    </row>
    <row r="1864" spans="1:8" x14ac:dyDescent="0.25">
      <c r="A1864" s="2" t="s">
        <v>1878</v>
      </c>
      <c r="B1864" s="3" t="s">
        <v>308</v>
      </c>
      <c r="C1864" s="3"/>
      <c r="D1864" s="3"/>
      <c r="E1864" s="4" t="str">
        <f>HYPERLINK("https://dpmzos25m8ivg.cloudfront.net/Documentos/631/04303957798/6310430395779814092023154912.pdf","https://dpmzos25m8ivg.cloudfront.net/Documentos/631/04303957798/6310430395779814092023154912.pdf")</f>
        <v>https://dpmzos25m8ivg.cloudfront.net/Documentos/631/04303957798/6310430395779814092023154912.pdf</v>
      </c>
      <c r="F1864" s="5" t="str">
        <f>HYPERLINK("https://dpmzos25m8ivg.cloudfront.net/Documentos/631/04303957798/6310430395779814092023154930.pdf","https://dpmzos25m8ivg.cloudfront.net/Documentos/631/04303957798/6310430395779814092023154930.pdf")</f>
        <v>https://dpmzos25m8ivg.cloudfront.net/Documentos/631/04303957798/6310430395779814092023154930.pdf</v>
      </c>
      <c r="G1864" s="5" t="str">
        <f>HYPERLINK("https://dpmzos25m8ivg.cloudfront.net/Documentos/631/04303957798/6310430395779814092023154957.pdf","https://dpmzos25m8ivg.cloudfront.net/Documentos/631/04303957798/6310430395779814092023154957.pdf")</f>
        <v>https://dpmzos25m8ivg.cloudfront.net/Documentos/631/04303957798/6310430395779814092023154957.pdf</v>
      </c>
      <c r="H1864" s="4" t="s">
        <v>10444</v>
      </c>
    </row>
    <row r="1865" spans="1:8" x14ac:dyDescent="0.25">
      <c r="A1865" s="2" t="s">
        <v>1879</v>
      </c>
      <c r="B1865" s="3"/>
      <c r="C1865" s="3"/>
      <c r="D1865" s="3"/>
      <c r="E1865" s="4" t="str">
        <f>HYPERLINK("https://dpmzos25m8ivg.cloudfront.net/Documentos/631/04306735311/6310430673531111092023130155.pdf","https://dpmzos25m8ivg.cloudfront.net/Documentos/631/04306735311/6310430673531111092023130155.pdf")</f>
        <v>https://dpmzos25m8ivg.cloudfront.net/Documentos/631/04306735311/6310430673531111092023130155.pdf</v>
      </c>
      <c r="F1865" s="5" t="str">
        <f>HYPERLINK("https://dpmzos25m8ivg.cloudfront.net/Documentos/631/04306735311/6310430673531111092023130211.pdf","https://dpmzos25m8ivg.cloudfront.net/Documentos/631/04306735311/6310430673531111092023130211.pdf")</f>
        <v>https://dpmzos25m8ivg.cloudfront.net/Documentos/631/04306735311/6310430673531111092023130211.pdf</v>
      </c>
      <c r="G1865" s="5" t="str">
        <f>HYPERLINK("https://dpmzos25m8ivg.cloudfront.net/Documentos/631/04306735311/6310430673531111092023130227.pdf","https://dpmzos25m8ivg.cloudfront.net/Documentos/631/04306735311/6310430673531111092023130227.pdf")</f>
        <v>https://dpmzos25m8ivg.cloudfront.net/Documentos/631/04306735311/6310430673531111092023130227.pdf</v>
      </c>
      <c r="H1865" s="4" t="s">
        <v>10445</v>
      </c>
    </row>
    <row r="1866" spans="1:8" x14ac:dyDescent="0.25">
      <c r="A1866" s="2" t="s">
        <v>1880</v>
      </c>
      <c r="B1866" s="3"/>
      <c r="C1866" s="3"/>
      <c r="D1866" s="3"/>
      <c r="E1866" s="4" t="str">
        <f>HYPERLINK("https://dpmzos25m8ivg.cloudfront.net/Documentos/631/04307272161/6310430727216111092023163600.pdf","https://dpmzos25m8ivg.cloudfront.net/Documentos/631/04307272161/6310430727216111092023163600.pdf")</f>
        <v>https://dpmzos25m8ivg.cloudfront.net/Documentos/631/04307272161/6310430727216111092023163600.pdf</v>
      </c>
      <c r="F1866" s="5" t="str">
        <f>HYPERLINK("https://dpmzos25m8ivg.cloudfront.net/Documentos/631/04307272161/6310430727216111092023163616.pdf","https://dpmzos25m8ivg.cloudfront.net/Documentos/631/04307272161/6310430727216111092023163616.pdf")</f>
        <v>https://dpmzos25m8ivg.cloudfront.net/Documentos/631/04307272161/6310430727216111092023163616.pdf</v>
      </c>
      <c r="G1866" s="5" t="str">
        <f>HYPERLINK("https://dpmzos25m8ivg.cloudfront.net/Documentos/631/04307272161/6310430727216111092023163626.pdf","https://dpmzos25m8ivg.cloudfront.net/Documentos/631/04307272161/6310430727216111092023163626.pdf")</f>
        <v>https://dpmzos25m8ivg.cloudfront.net/Documentos/631/04307272161/6310430727216111092023163626.pdf</v>
      </c>
      <c r="H1866" s="4" t="s">
        <v>10446</v>
      </c>
    </row>
    <row r="1867" spans="1:8" x14ac:dyDescent="0.25">
      <c r="A1867" s="2" t="s">
        <v>1881</v>
      </c>
      <c r="B1867" s="3" t="s">
        <v>312</v>
      </c>
      <c r="C1867" s="3"/>
      <c r="D1867" s="3"/>
      <c r="E1867" s="4" t="str">
        <f>HYPERLINK("https://dpmzos25m8ivg.cloudfront.net/Documentos/631/04308147638/6310430814763805092023180916.jpg","https://dpmzos25m8ivg.cloudfront.net/Documentos/631/04308147638/6310430814763805092023180916.jpg")</f>
        <v>https://dpmzos25m8ivg.cloudfront.net/Documentos/631/04308147638/6310430814763805092023180916.jpg</v>
      </c>
      <c r="F1867" s="5" t="str">
        <f>HYPERLINK("https://dpmzos25m8ivg.cloudfront.net/Documentos/631/04308147638/6310430814763806092023164121.jpg","https://dpmzos25m8ivg.cloudfront.net/Documentos/631/04308147638/6310430814763806092023164121.jpg")</f>
        <v>https://dpmzos25m8ivg.cloudfront.net/Documentos/631/04308147638/6310430814763806092023164121.jpg</v>
      </c>
      <c r="G1867" s="5" t="str">
        <f>HYPERLINK("https://dpmzos25m8ivg.cloudfront.net/Documentos/631/04308147638/6310430814763806092023164157.jpg","https://dpmzos25m8ivg.cloudfront.net/Documentos/631/04308147638/6310430814763806092023164157.jpg")</f>
        <v>https://dpmzos25m8ivg.cloudfront.net/Documentos/631/04308147638/6310430814763806092023164157.jpg</v>
      </c>
      <c r="H1867" s="4" t="s">
        <v>10447</v>
      </c>
    </row>
    <row r="1868" spans="1:8" x14ac:dyDescent="0.25">
      <c r="A1868" s="2" t="s">
        <v>1882</v>
      </c>
      <c r="B1868" s="3"/>
      <c r="C1868" s="3"/>
      <c r="D1868" s="3"/>
      <c r="E1868" s="4" t="str">
        <f>HYPERLINK("https://dpmzos25m8ivg.cloudfront.net/Documentos/631/04308789150/6310430878915010092023213143.pdf","https://dpmzos25m8ivg.cloudfront.net/Documentos/631/04308789150/6310430878915010092023213143.pdf")</f>
        <v>https://dpmzos25m8ivg.cloudfront.net/Documentos/631/04308789150/6310430878915010092023213143.pdf</v>
      </c>
      <c r="F1868" s="5" t="str">
        <f>HYPERLINK("https://dpmzos25m8ivg.cloudfront.net/Documentos/631/04308789150/6310430878915010092023213239.pdf","https://dpmzos25m8ivg.cloudfront.net/Documentos/631/04308789150/6310430878915010092023213239.pdf")</f>
        <v>https://dpmzos25m8ivg.cloudfront.net/Documentos/631/04308789150/6310430878915010092023213239.pdf</v>
      </c>
      <c r="G1868" s="5" t="str">
        <f>HYPERLINK("https://dpmzos25m8ivg.cloudfront.net/Documentos/631/04308789150/6310430878915010092023213246.pdf","https://dpmzos25m8ivg.cloudfront.net/Documentos/631/04308789150/6310430878915010092023213246.pdf")</f>
        <v>https://dpmzos25m8ivg.cloudfront.net/Documentos/631/04308789150/6310430878915010092023213246.pdf</v>
      </c>
      <c r="H1868" s="4" t="s">
        <v>10448</v>
      </c>
    </row>
    <row r="1869" spans="1:8" x14ac:dyDescent="0.25">
      <c r="A1869" s="2" t="s">
        <v>1883</v>
      </c>
      <c r="B1869" s="3"/>
      <c r="C1869" s="3"/>
      <c r="D1869" s="3"/>
      <c r="E1869" s="4" t="str">
        <f>HYPERLINK("https://dpmzos25m8ivg.cloudfront.net/Documentos/631/04310339190/6310431033919009092023085517.pdf","https://dpmzos25m8ivg.cloudfront.net/Documentos/631/04310339190/6310431033919009092023085517.pdf")</f>
        <v>https://dpmzos25m8ivg.cloudfront.net/Documentos/631/04310339190/6310431033919009092023085517.pdf</v>
      </c>
      <c r="F1869" s="5" t="str">
        <f>HYPERLINK("https://dpmzos25m8ivg.cloudfront.net/Documentos/631/04310339190/6310431033919009092023085525.pdf","https://dpmzos25m8ivg.cloudfront.net/Documentos/631/04310339190/6310431033919009092023085525.pdf")</f>
        <v>https://dpmzos25m8ivg.cloudfront.net/Documentos/631/04310339190/6310431033919009092023085525.pdf</v>
      </c>
      <c r="G1869" s="5" t="str">
        <f>HYPERLINK("https://dpmzos25m8ivg.cloudfront.net/Documentos/631/04310339190/6310431033919009092023085538.pdf","https://dpmzos25m8ivg.cloudfront.net/Documentos/631/04310339190/6310431033919009092023085538.pdf")</f>
        <v>https://dpmzos25m8ivg.cloudfront.net/Documentos/631/04310339190/6310431033919009092023085538.pdf</v>
      </c>
      <c r="H1869" s="4" t="s">
        <v>10449</v>
      </c>
    </row>
    <row r="1870" spans="1:8" x14ac:dyDescent="0.25">
      <c r="A1870" s="2" t="s">
        <v>1884</v>
      </c>
      <c r="B1870" s="3"/>
      <c r="C1870" s="3"/>
      <c r="D1870" s="3"/>
      <c r="E1870" s="4" t="str">
        <f>HYPERLINK("https://dpmzos25m8ivg.cloudfront.net/Documentos/631/04311863675/6310431186367513092023221730.pdf","https://dpmzos25m8ivg.cloudfront.net/Documentos/631/04311863675/6310431186367513092023221730.pdf")</f>
        <v>https://dpmzos25m8ivg.cloudfront.net/Documentos/631/04311863675/6310431186367513092023221730.pdf</v>
      </c>
      <c r="F1870" s="5" t="str">
        <f>HYPERLINK("https://dpmzos25m8ivg.cloudfront.net/Documentos/631/04311863675/6310431186367514092023130210.pdf","https://dpmzos25m8ivg.cloudfront.net/Documentos/631/04311863675/6310431186367514092023130210.pdf")</f>
        <v>https://dpmzos25m8ivg.cloudfront.net/Documentos/631/04311863675/6310431186367514092023130210.pdf</v>
      </c>
      <c r="G1870" s="5" t="str">
        <f>HYPERLINK("https://dpmzos25m8ivg.cloudfront.net/Documentos/631/04311863675/6310431186367514092023130336.pdf","https://dpmzos25m8ivg.cloudfront.net/Documentos/631/04311863675/6310431186367514092023130336.pdf")</f>
        <v>https://dpmzos25m8ivg.cloudfront.net/Documentos/631/04311863675/6310431186367514092023130336.pdf</v>
      </c>
      <c r="H1870" s="4" t="s">
        <v>10450</v>
      </c>
    </row>
    <row r="1871" spans="1:8" x14ac:dyDescent="0.25">
      <c r="A1871" s="2" t="s">
        <v>1885</v>
      </c>
      <c r="B1871" s="3"/>
      <c r="C1871" s="3"/>
      <c r="D1871" s="3"/>
      <c r="E1871" s="4" t="str">
        <f>HYPERLINK("https://dpmzos25m8ivg.cloudfront.net/Documentos/631/04313078657/6310431307865714092023134439.pdf","https://dpmzos25m8ivg.cloudfront.net/Documentos/631/04313078657/6310431307865714092023134439.pdf")</f>
        <v>https://dpmzos25m8ivg.cloudfront.net/Documentos/631/04313078657/6310431307865714092023134439.pdf</v>
      </c>
      <c r="F1871" s="5" t="str">
        <f>HYPERLINK("https://dpmzos25m8ivg.cloudfront.net/Documentos/631/04313078657/6310431307865714092023134448.pdf","https://dpmzos25m8ivg.cloudfront.net/Documentos/631/04313078657/6310431307865714092023134448.pdf")</f>
        <v>https://dpmzos25m8ivg.cloudfront.net/Documentos/631/04313078657/6310431307865714092023134448.pdf</v>
      </c>
      <c r="G1871" s="5" t="str">
        <f>HYPERLINK("https://dpmzos25m8ivg.cloudfront.net/Documentos/631/04313078657/6310431307865714092023134501.pdf","https://dpmzos25m8ivg.cloudfront.net/Documentos/631/04313078657/6310431307865714092023134501.pdf")</f>
        <v>https://dpmzos25m8ivg.cloudfront.net/Documentos/631/04313078657/6310431307865714092023134501.pdf</v>
      </c>
      <c r="H1871" s="4" t="s">
        <v>10451</v>
      </c>
    </row>
    <row r="1872" spans="1:8" x14ac:dyDescent="0.25">
      <c r="A1872" s="2" t="s">
        <v>1886</v>
      </c>
      <c r="B1872" s="3" t="s">
        <v>308</v>
      </c>
      <c r="C1872" s="3"/>
      <c r="D1872" s="3"/>
      <c r="E1872" s="4" t="str">
        <f>HYPERLINK("https://dpmzos25m8ivg.cloudfront.net/Documentos/631/04314242175/6310431424217506092023095237.pdf","https://dpmzos25m8ivg.cloudfront.net/Documentos/631/04314242175/6310431424217506092023095237.pdf")</f>
        <v>https://dpmzos25m8ivg.cloudfront.net/Documentos/631/04314242175/6310431424217506092023095237.pdf</v>
      </c>
      <c r="F1872" s="5" t="str">
        <f>HYPERLINK("https://dpmzos25m8ivg.cloudfront.net/Documentos/631/04314242175/6310431424217506092023095246.pdf","https://dpmzos25m8ivg.cloudfront.net/Documentos/631/04314242175/6310431424217506092023095246.pdf")</f>
        <v>https://dpmzos25m8ivg.cloudfront.net/Documentos/631/04314242175/6310431424217506092023095246.pdf</v>
      </c>
      <c r="G1872" s="5" t="str">
        <f>HYPERLINK("https://dpmzos25m8ivg.cloudfront.net/Documentos/631/04314242175/6310431424217506092023095254.pdf","https://dpmzos25m8ivg.cloudfront.net/Documentos/631/04314242175/6310431424217506092023095254.pdf")</f>
        <v>https://dpmzos25m8ivg.cloudfront.net/Documentos/631/04314242175/6310431424217506092023095254.pdf</v>
      </c>
      <c r="H1872" s="4" t="s">
        <v>10452</v>
      </c>
    </row>
    <row r="1873" spans="1:8" x14ac:dyDescent="0.25">
      <c r="A1873" s="2" t="s">
        <v>1887</v>
      </c>
      <c r="B1873" s="3" t="s">
        <v>308</v>
      </c>
      <c r="C1873" s="3"/>
      <c r="D1873" s="3"/>
      <c r="E1873" s="4" t="str">
        <f>HYPERLINK("https://dpmzos25m8ivg.cloudfront.net/Documentos/631/04314773537/6310431477353711092023121309.pdf","https://dpmzos25m8ivg.cloudfront.net/Documentos/631/04314773537/6310431477353711092023121309.pdf")</f>
        <v>https://dpmzos25m8ivg.cloudfront.net/Documentos/631/04314773537/6310431477353711092023121309.pdf</v>
      </c>
      <c r="F1873" s="5" t="str">
        <f>HYPERLINK("https://dpmzos25m8ivg.cloudfront.net/Documentos/631/04314773537/6310431477353711092023121322.pdf","https://dpmzos25m8ivg.cloudfront.net/Documentos/631/04314773537/6310431477353711092023121322.pdf")</f>
        <v>https://dpmzos25m8ivg.cloudfront.net/Documentos/631/04314773537/6310431477353711092023121322.pdf</v>
      </c>
      <c r="G1873" s="5" t="str">
        <f>HYPERLINK("https://dpmzos25m8ivg.cloudfront.net/Documentos/631/04314773537/6310431477353711092023121337.pdf","https://dpmzos25m8ivg.cloudfront.net/Documentos/631/04314773537/6310431477353711092023121337.pdf")</f>
        <v>https://dpmzos25m8ivg.cloudfront.net/Documentos/631/04314773537/6310431477353711092023121337.pdf</v>
      </c>
      <c r="H1873" s="4" t="s">
        <v>10453</v>
      </c>
    </row>
    <row r="1874" spans="1:8" x14ac:dyDescent="0.25">
      <c r="A1874" s="2" t="s">
        <v>1888</v>
      </c>
      <c r="B1874" s="3" t="s">
        <v>308</v>
      </c>
      <c r="C1874" s="3"/>
      <c r="D1874" s="3"/>
      <c r="E1874" s="4" t="str">
        <f>HYPERLINK("https://dpmzos25m8ivg.cloudfront.net/Documentos/631/04316182161/6310431618216111092023143122.jpg","https://dpmzos25m8ivg.cloudfront.net/Documentos/631/04316182161/6310431618216111092023143122.jpg")</f>
        <v>https://dpmzos25m8ivg.cloudfront.net/Documentos/631/04316182161/6310431618216111092023143122.jpg</v>
      </c>
      <c r="F1874" s="5" t="str">
        <f>HYPERLINK("https://dpmzos25m8ivg.cloudfront.net/Documentos/631/04316182161/6310431618216113092023103950.jpg","https://dpmzos25m8ivg.cloudfront.net/Documentos/631/04316182161/6310431618216113092023103950.jpg")</f>
        <v>https://dpmzos25m8ivg.cloudfront.net/Documentos/631/04316182161/6310431618216113092023103950.jpg</v>
      </c>
      <c r="G1874" s="5" t="str">
        <f>HYPERLINK("https://dpmzos25m8ivg.cloudfront.net/Documentos/631/04316182161/6310431618216113092023103913.jpg","https://dpmzos25m8ivg.cloudfront.net/Documentos/631/04316182161/6310431618216113092023103913.jpg")</f>
        <v>https://dpmzos25m8ivg.cloudfront.net/Documentos/631/04316182161/6310431618216113092023103913.jpg</v>
      </c>
      <c r="H1874" s="4" t="s">
        <v>10454</v>
      </c>
    </row>
    <row r="1875" spans="1:8" x14ac:dyDescent="0.25">
      <c r="A1875" s="2" t="s">
        <v>1889</v>
      </c>
      <c r="B1875" s="3"/>
      <c r="C1875" s="3"/>
      <c r="D1875" s="3"/>
      <c r="E1875" s="4" t="str">
        <f>HYPERLINK("https://dpmzos25m8ivg.cloudfront.net/Documentos/631/04316510274/6310431651027409092023151224.jpg","https://dpmzos25m8ivg.cloudfront.net/Documentos/631/04316510274/6310431651027409092023151224.jpg")</f>
        <v>https://dpmzos25m8ivg.cloudfront.net/Documentos/631/04316510274/6310431651027409092023151224.jpg</v>
      </c>
      <c r="F1875" s="5" t="str">
        <f>HYPERLINK("https://dpmzos25m8ivg.cloudfront.net/Documentos/631/04316510274/6310431651027409092023151247.jpg","https://dpmzos25m8ivg.cloudfront.net/Documentos/631/04316510274/6310431651027409092023151247.jpg")</f>
        <v>https://dpmzos25m8ivg.cloudfront.net/Documentos/631/04316510274/6310431651027409092023151247.jpg</v>
      </c>
      <c r="G1875" s="5" t="str">
        <f>HYPERLINK("https://dpmzos25m8ivg.cloudfront.net/Documentos/631/04316510274/6310431651027409092023151306.jpg","https://dpmzos25m8ivg.cloudfront.net/Documentos/631/04316510274/6310431651027409092023151306.jpg")</f>
        <v>https://dpmzos25m8ivg.cloudfront.net/Documentos/631/04316510274/6310431651027409092023151306.jpg</v>
      </c>
      <c r="H1875" s="4" t="s">
        <v>10455</v>
      </c>
    </row>
    <row r="1876" spans="1:8" x14ac:dyDescent="0.25">
      <c r="A1876" s="2" t="s">
        <v>1890</v>
      </c>
      <c r="B1876" s="3"/>
      <c r="C1876" s="3"/>
      <c r="D1876" s="3"/>
      <c r="E1876" s="4" t="str">
        <f>HYPERLINK("https://dpmzos25m8ivg.cloudfront.net/Documentos/631/04316645285/6310431664528505092023161913.pdf","https://dpmzos25m8ivg.cloudfront.net/Documentos/631/04316645285/6310431664528505092023161913.pdf")</f>
        <v>https://dpmzos25m8ivg.cloudfront.net/Documentos/631/04316645285/6310431664528505092023161913.pdf</v>
      </c>
      <c r="F1876" s="5" t="str">
        <f>HYPERLINK("https://dpmzos25m8ivg.cloudfront.net/Documentos/631/04316645285/6310431664528505092023161918.pdf","https://dpmzos25m8ivg.cloudfront.net/Documentos/631/04316645285/6310431664528505092023161918.pdf")</f>
        <v>https://dpmzos25m8ivg.cloudfront.net/Documentos/631/04316645285/6310431664528505092023161918.pdf</v>
      </c>
      <c r="G1876" s="5" t="str">
        <f>HYPERLINK("https://dpmzos25m8ivg.cloudfront.net/Documentos/631/04316645285/6310431664528505092023161925.pdf","https://dpmzos25m8ivg.cloudfront.net/Documentos/631/04316645285/6310431664528505092023161925.pdf")</f>
        <v>https://dpmzos25m8ivg.cloudfront.net/Documentos/631/04316645285/6310431664528505092023161925.pdf</v>
      </c>
      <c r="H1876" s="4" t="s">
        <v>10456</v>
      </c>
    </row>
    <row r="1877" spans="1:8" x14ac:dyDescent="0.25">
      <c r="A1877" s="2" t="s">
        <v>1891</v>
      </c>
      <c r="B1877" s="3" t="s">
        <v>90</v>
      </c>
      <c r="C1877" s="3"/>
      <c r="D1877" s="3"/>
      <c r="E1877" s="4" t="str">
        <f>HYPERLINK("https://dpmzos25m8ivg.cloudfront.net/Documentos/631/04317135027/6310431713502714092023012418.pdf","https://dpmzos25m8ivg.cloudfront.net/Documentos/631/04317135027/6310431713502714092023012418.pdf")</f>
        <v>https://dpmzos25m8ivg.cloudfront.net/Documentos/631/04317135027/6310431713502714092023012418.pdf</v>
      </c>
      <c r="F1877" s="5" t="str">
        <f>HYPERLINK("https://dpmzos25m8ivg.cloudfront.net/Documentos/631/04317135027/6310431713502714092023012425.pdf","https://dpmzos25m8ivg.cloudfront.net/Documentos/631/04317135027/6310431713502714092023012425.pdf")</f>
        <v>https://dpmzos25m8ivg.cloudfront.net/Documentos/631/04317135027/6310431713502714092023012425.pdf</v>
      </c>
      <c r="G1877" s="5" t="str">
        <f>HYPERLINK("https://dpmzos25m8ivg.cloudfront.net/Documentos/631/04317135027/6310431713502714092023012431.pdf","https://dpmzos25m8ivg.cloudfront.net/Documentos/631/04317135027/6310431713502714092023012431.pdf")</f>
        <v>https://dpmzos25m8ivg.cloudfront.net/Documentos/631/04317135027/6310431713502714092023012431.pdf</v>
      </c>
      <c r="H1877" s="4" t="s">
        <v>10457</v>
      </c>
    </row>
    <row r="1878" spans="1:8" x14ac:dyDescent="0.25">
      <c r="A1878" s="2" t="s">
        <v>1892</v>
      </c>
      <c r="B1878" s="3"/>
      <c r="C1878" s="3"/>
      <c r="D1878" s="3"/>
      <c r="E1878" s="4" t="str">
        <f>HYPERLINK("https://dpmzos25m8ivg.cloudfront.net/Documentos/631/04320314565/6310432031456511092023141209.pdf","https://dpmzos25m8ivg.cloudfront.net/Documentos/631/04320314565/6310432031456511092023141209.pdf")</f>
        <v>https://dpmzos25m8ivg.cloudfront.net/Documentos/631/04320314565/6310432031456511092023141209.pdf</v>
      </c>
      <c r="F1878" s="5" t="str">
        <f>HYPERLINK("https://dpmzos25m8ivg.cloudfront.net/Documentos/631/04320314565/6310432031456511092023141233.pdf","https://dpmzos25m8ivg.cloudfront.net/Documentos/631/04320314565/6310432031456511092023141233.pdf")</f>
        <v>https://dpmzos25m8ivg.cloudfront.net/Documentos/631/04320314565/6310432031456511092023141233.pdf</v>
      </c>
      <c r="G1878" s="5" t="str">
        <f>HYPERLINK("https://dpmzos25m8ivg.cloudfront.net/Documentos/631/04320314565/6310432031456511092023141247.pdf","https://dpmzos25m8ivg.cloudfront.net/Documentos/631/04320314565/6310432031456511092023141247.pdf")</f>
        <v>https://dpmzos25m8ivg.cloudfront.net/Documentos/631/04320314565/6310432031456511092023141247.pdf</v>
      </c>
      <c r="H1878" s="4" t="s">
        <v>10458</v>
      </c>
    </row>
    <row r="1879" spans="1:8" x14ac:dyDescent="0.25">
      <c r="A1879" s="2" t="s">
        <v>1893</v>
      </c>
      <c r="B1879" s="3"/>
      <c r="C1879" s="3"/>
      <c r="D1879" s="3"/>
      <c r="E1879" s="4" t="str">
        <f>HYPERLINK("https://dpmzos25m8ivg.cloudfront.net/Documentos/631/04322076270/6310432207627005092023171451.jpeg","https://dpmzos25m8ivg.cloudfront.net/Documentos/631/04322076270/6310432207627005092023171451.jpeg")</f>
        <v>https://dpmzos25m8ivg.cloudfront.net/Documentos/631/04322076270/6310432207627005092023171451.jpeg</v>
      </c>
      <c r="F1879" s="5" t="str">
        <f>HYPERLINK("https://dpmzos25m8ivg.cloudfront.net/Documentos/631/04322076270/6310432207627005092023171505.jpeg","https://dpmzos25m8ivg.cloudfront.net/Documentos/631/04322076270/6310432207627005092023171505.jpeg")</f>
        <v>https://dpmzos25m8ivg.cloudfront.net/Documentos/631/04322076270/6310432207627005092023171505.jpeg</v>
      </c>
      <c r="G1879" s="5" t="str">
        <f>HYPERLINK("https://dpmzos25m8ivg.cloudfront.net/Documentos/631/04322076270/6310432207627005092023171525.jpeg","https://dpmzos25m8ivg.cloudfront.net/Documentos/631/04322076270/6310432207627005092023171525.jpeg")</f>
        <v>https://dpmzos25m8ivg.cloudfront.net/Documentos/631/04322076270/6310432207627005092023171525.jpeg</v>
      </c>
      <c r="H1879" s="4" t="s">
        <v>10459</v>
      </c>
    </row>
    <row r="1880" spans="1:8" x14ac:dyDescent="0.25">
      <c r="A1880" s="2" t="s">
        <v>1894</v>
      </c>
      <c r="B1880" s="3"/>
      <c r="C1880" s="3"/>
      <c r="D1880" s="3"/>
      <c r="E1880" s="4" t="str">
        <f>HYPERLINK("https://dpmzos25m8ivg.cloudfront.net/Documentos/631/04324545430/6310432454543011092023151351.pdf","https://dpmzos25m8ivg.cloudfront.net/Documentos/631/04324545430/6310432454543011092023151351.pdf")</f>
        <v>https://dpmzos25m8ivg.cloudfront.net/Documentos/631/04324545430/6310432454543011092023151351.pdf</v>
      </c>
      <c r="F1880" s="5" t="str">
        <f>HYPERLINK("https://dpmzos25m8ivg.cloudfront.net/Documentos/631/04324545430/6310432454543011092023151415.pdf","https://dpmzos25m8ivg.cloudfront.net/Documentos/631/04324545430/6310432454543011092023151415.pdf")</f>
        <v>https://dpmzos25m8ivg.cloudfront.net/Documentos/631/04324545430/6310432454543011092023151415.pdf</v>
      </c>
      <c r="G1880" s="5" t="str">
        <f>HYPERLINK("https://dpmzos25m8ivg.cloudfront.net/Documentos/631/04324545430/6310432454543011092023151441.pdf","https://dpmzos25m8ivg.cloudfront.net/Documentos/631/04324545430/6310432454543011092023151441.pdf")</f>
        <v>https://dpmzos25m8ivg.cloudfront.net/Documentos/631/04324545430/6310432454543011092023151441.pdf</v>
      </c>
      <c r="H1880" s="4" t="s">
        <v>10460</v>
      </c>
    </row>
    <row r="1881" spans="1:8" x14ac:dyDescent="0.25">
      <c r="A1881" s="2" t="s">
        <v>1895</v>
      </c>
      <c r="B1881" s="3"/>
      <c r="C1881" s="3"/>
      <c r="D1881" s="3"/>
      <c r="E1881" s="4" t="str">
        <f>HYPERLINK("https://dpmzos25m8ivg.cloudfront.net/Documentos/631/04324863059/6310432486305914092023152001.pdf","https://dpmzos25m8ivg.cloudfront.net/Documentos/631/04324863059/6310432486305914092023152001.pdf")</f>
        <v>https://dpmzos25m8ivg.cloudfront.net/Documentos/631/04324863059/6310432486305914092023152001.pdf</v>
      </c>
      <c r="F1881" s="5" t="str">
        <f>HYPERLINK("https://dpmzos25m8ivg.cloudfront.net/Documentos/631/04324863059/6310432486305914092023152017.pdf","https://dpmzos25m8ivg.cloudfront.net/Documentos/631/04324863059/6310432486305914092023152017.pdf")</f>
        <v>https://dpmzos25m8ivg.cloudfront.net/Documentos/631/04324863059/6310432486305914092023152017.pdf</v>
      </c>
      <c r="G1881" s="5" t="str">
        <f>HYPERLINK("https://dpmzos25m8ivg.cloudfront.net/Documentos/631/04324863059/6310432486305914092023152028.pdf","https://dpmzos25m8ivg.cloudfront.net/Documentos/631/04324863059/6310432486305914092023152028.pdf")</f>
        <v>https://dpmzos25m8ivg.cloudfront.net/Documentos/631/04324863059/6310432486305914092023152028.pdf</v>
      </c>
      <c r="H1881" s="4" t="s">
        <v>10461</v>
      </c>
    </row>
    <row r="1882" spans="1:8" x14ac:dyDescent="0.25">
      <c r="A1882" s="2" t="s">
        <v>1896</v>
      </c>
      <c r="B1882" s="3"/>
      <c r="C1882" s="3"/>
      <c r="D1882" s="3"/>
      <c r="E1882" s="4" t="str">
        <f>HYPERLINK("https://dpmzos25m8ivg.cloudfront.net/Documentos/631/04325283188/6310432528318813092023130249.pdf","https://dpmzos25m8ivg.cloudfront.net/Documentos/631/04325283188/6310432528318813092023130249.pdf")</f>
        <v>https://dpmzos25m8ivg.cloudfront.net/Documentos/631/04325283188/6310432528318813092023130249.pdf</v>
      </c>
      <c r="F1882" s="5" t="str">
        <f>HYPERLINK("https://dpmzos25m8ivg.cloudfront.net/Documentos/631/04325283188/6310432528318813092023130257.pdf","https://dpmzos25m8ivg.cloudfront.net/Documentos/631/04325283188/6310432528318813092023130257.pdf")</f>
        <v>https://dpmzos25m8ivg.cloudfront.net/Documentos/631/04325283188/6310432528318813092023130257.pdf</v>
      </c>
      <c r="G1882" s="5" t="str">
        <f>HYPERLINK("https://dpmzos25m8ivg.cloudfront.net/Documentos/631/04325283188/6310432528318813092023130311.pdf","https://dpmzos25m8ivg.cloudfront.net/Documentos/631/04325283188/6310432528318813092023130311.pdf")</f>
        <v>https://dpmzos25m8ivg.cloudfront.net/Documentos/631/04325283188/6310432528318813092023130311.pdf</v>
      </c>
      <c r="H1882" s="4" t="s">
        <v>10462</v>
      </c>
    </row>
    <row r="1883" spans="1:8" x14ac:dyDescent="0.25">
      <c r="A1883" s="2" t="s">
        <v>1897</v>
      </c>
      <c r="B1883" s="3" t="s">
        <v>312</v>
      </c>
      <c r="C1883" s="3"/>
      <c r="D1883" s="3"/>
      <c r="E1883" s="4" t="str">
        <f>HYPERLINK("https://dpmzos25m8ivg.cloudfront.net/Documentos/631/04327097462/6310432709746205092023222349.jpeg","https://dpmzos25m8ivg.cloudfront.net/Documentos/631/04327097462/6310432709746205092023222349.jpeg")</f>
        <v>https://dpmzos25m8ivg.cloudfront.net/Documentos/631/04327097462/6310432709746205092023222349.jpeg</v>
      </c>
      <c r="F1883" s="5" t="str">
        <f>HYPERLINK("https://dpmzos25m8ivg.cloudfront.net/Documentos/631/04327097462/6310432709746205092023222407.jpeg","https://dpmzos25m8ivg.cloudfront.net/Documentos/631/04327097462/6310432709746205092023222407.jpeg")</f>
        <v>https://dpmzos25m8ivg.cloudfront.net/Documentos/631/04327097462/6310432709746205092023222407.jpeg</v>
      </c>
      <c r="G1883" s="5" t="str">
        <f>HYPERLINK("https://dpmzos25m8ivg.cloudfront.net/Documentos/631/04327097462/6310432709746205092023222427.jpeg","https://dpmzos25m8ivg.cloudfront.net/Documentos/631/04327097462/6310432709746205092023222427.jpeg")</f>
        <v>https://dpmzos25m8ivg.cloudfront.net/Documentos/631/04327097462/6310432709746205092023222427.jpeg</v>
      </c>
      <c r="H1883" s="4" t="s">
        <v>10463</v>
      </c>
    </row>
    <row r="1884" spans="1:8" x14ac:dyDescent="0.25">
      <c r="A1884" s="2" t="s">
        <v>1898</v>
      </c>
      <c r="B1884" s="3"/>
      <c r="C1884" s="3"/>
      <c r="D1884" s="3"/>
      <c r="E1884" s="4" t="str">
        <f>HYPERLINK("https://dpmzos25m8ivg.cloudfront.net/Documentos/631/04327673471/6310432767347111092023153633.jpg","https://dpmzos25m8ivg.cloudfront.net/Documentos/631/04327673471/6310432767347111092023153633.jpg")</f>
        <v>https://dpmzos25m8ivg.cloudfront.net/Documentos/631/04327673471/6310432767347111092023153633.jpg</v>
      </c>
      <c r="F1884" s="5" t="str">
        <f>HYPERLINK("https://dpmzos25m8ivg.cloudfront.net/Documentos/631/04327673471/6310432767347111092023153708.jpg","https://dpmzos25m8ivg.cloudfront.net/Documentos/631/04327673471/6310432767347111092023153708.jpg")</f>
        <v>https://dpmzos25m8ivg.cloudfront.net/Documentos/631/04327673471/6310432767347111092023153708.jpg</v>
      </c>
      <c r="G1884" s="5" t="str">
        <f>HYPERLINK("https://dpmzos25m8ivg.cloudfront.net/Documentos/631/04327673471/6310432767347111092023153738.jpg","https://dpmzos25m8ivg.cloudfront.net/Documentos/631/04327673471/6310432767347111092023153738.jpg")</f>
        <v>https://dpmzos25m8ivg.cloudfront.net/Documentos/631/04327673471/6310432767347111092023153738.jpg</v>
      </c>
      <c r="H1884" s="4" t="s">
        <v>10464</v>
      </c>
    </row>
    <row r="1885" spans="1:8" x14ac:dyDescent="0.25">
      <c r="A1885" s="2" t="s">
        <v>1899</v>
      </c>
      <c r="B1885" s="3"/>
      <c r="C1885" s="3"/>
      <c r="D1885" s="3"/>
      <c r="E1885" s="4" t="str">
        <f>HYPERLINK("https://dpmzos25m8ivg.cloudfront.net/Documentos/631/04329983060/6310432998306005092023133705.pdf","https://dpmzos25m8ivg.cloudfront.net/Documentos/631/04329983060/6310432998306005092023133705.pdf")</f>
        <v>https://dpmzos25m8ivg.cloudfront.net/Documentos/631/04329983060/6310432998306005092023133705.pdf</v>
      </c>
      <c r="F1885" s="5" t="str">
        <f>HYPERLINK("https://dpmzos25m8ivg.cloudfront.net/Documentos/631/04329983060/6310432998306005092023133817.pdf","https://dpmzos25m8ivg.cloudfront.net/Documentos/631/04329983060/6310432998306005092023133817.pdf")</f>
        <v>https://dpmzos25m8ivg.cloudfront.net/Documentos/631/04329983060/6310432998306005092023133817.pdf</v>
      </c>
      <c r="G1885" s="5" t="str">
        <f>HYPERLINK("https://dpmzos25m8ivg.cloudfront.net/Documentos/631/04329983060/6310432998306005092023133859.pdf","https://dpmzos25m8ivg.cloudfront.net/Documentos/631/04329983060/6310432998306005092023133859.pdf")</f>
        <v>https://dpmzos25m8ivg.cloudfront.net/Documentos/631/04329983060/6310432998306005092023133859.pdf</v>
      </c>
      <c r="H1885" s="4" t="s">
        <v>10465</v>
      </c>
    </row>
    <row r="1886" spans="1:8" x14ac:dyDescent="0.25">
      <c r="A1886" s="2" t="s">
        <v>1900</v>
      </c>
      <c r="B1886" s="3"/>
      <c r="C1886" s="3"/>
      <c r="D1886" s="3"/>
      <c r="E1886" s="4" t="str">
        <f>HYPERLINK("https://dpmzos25m8ivg.cloudfront.net/Documentos/631/04330173174/6310433017317411092023094258.jpg","https://dpmzos25m8ivg.cloudfront.net/Documentos/631/04330173174/6310433017317411092023094258.jpg")</f>
        <v>https://dpmzos25m8ivg.cloudfront.net/Documentos/631/04330173174/6310433017317411092023094258.jpg</v>
      </c>
      <c r="F1886" s="5" t="str">
        <f>HYPERLINK("https://dpmzos25m8ivg.cloudfront.net/Documentos/631/04330173174/6310433017317411092023094325.jpg","https://dpmzos25m8ivg.cloudfront.net/Documentos/631/04330173174/6310433017317411092023094325.jpg")</f>
        <v>https://dpmzos25m8ivg.cloudfront.net/Documentos/631/04330173174/6310433017317411092023094325.jpg</v>
      </c>
      <c r="G1886" s="5" t="str">
        <f>HYPERLINK("https://dpmzos25m8ivg.cloudfront.net/Documentos/631/04330173174/6310433017317411092023094343.jpg","https://dpmzos25m8ivg.cloudfront.net/Documentos/631/04330173174/6310433017317411092023094343.jpg")</f>
        <v>https://dpmzos25m8ivg.cloudfront.net/Documentos/631/04330173174/6310433017317411092023094343.jpg</v>
      </c>
      <c r="H1886" s="4" t="s">
        <v>10466</v>
      </c>
    </row>
    <row r="1887" spans="1:8" x14ac:dyDescent="0.25">
      <c r="A1887" s="2" t="s">
        <v>1901</v>
      </c>
      <c r="B1887" s="3" t="s">
        <v>90</v>
      </c>
      <c r="C1887" s="3"/>
      <c r="D1887" s="3"/>
      <c r="E1887" s="4" t="str">
        <f>HYPERLINK("https://dpmzos25m8ivg.cloudfront.net/Documentos/631/04331911128/6310433191112806092023205916.pdf","https://dpmzos25m8ivg.cloudfront.net/Documentos/631/04331911128/6310433191112806092023205916.pdf")</f>
        <v>https://dpmzos25m8ivg.cloudfront.net/Documentos/631/04331911128/6310433191112806092023205916.pdf</v>
      </c>
      <c r="F1887" s="5" t="str">
        <f>HYPERLINK("https://dpmzos25m8ivg.cloudfront.net/Documentos/631/04331911128/6310433191112806092023205929.pdf","https://dpmzos25m8ivg.cloudfront.net/Documentos/631/04331911128/6310433191112806092023205929.pdf")</f>
        <v>https://dpmzos25m8ivg.cloudfront.net/Documentos/631/04331911128/6310433191112806092023205929.pdf</v>
      </c>
      <c r="G1887" s="5" t="str">
        <f>HYPERLINK("https://dpmzos25m8ivg.cloudfront.net/Documentos/631/04331911128/6310433191112806092023205950.pdf","https://dpmzos25m8ivg.cloudfront.net/Documentos/631/04331911128/6310433191112806092023205950.pdf")</f>
        <v>https://dpmzos25m8ivg.cloudfront.net/Documentos/631/04331911128/6310433191112806092023205950.pdf</v>
      </c>
      <c r="H1887" s="4" t="s">
        <v>10467</v>
      </c>
    </row>
    <row r="1888" spans="1:8" x14ac:dyDescent="0.25">
      <c r="A1888" s="2" t="s">
        <v>1902</v>
      </c>
      <c r="B1888" s="3"/>
      <c r="C1888" s="3"/>
      <c r="D1888" s="3"/>
      <c r="E1888" s="4" t="str">
        <f>HYPERLINK("https://dpmzos25m8ivg.cloudfront.net/Documentos/631/04334111475/6310433411147512092023221856.pdf","https://dpmzos25m8ivg.cloudfront.net/Documentos/631/04334111475/6310433411147512092023221856.pdf")</f>
        <v>https://dpmzos25m8ivg.cloudfront.net/Documentos/631/04334111475/6310433411147512092023221856.pdf</v>
      </c>
      <c r="F1888" s="5" t="str">
        <f>HYPERLINK("https://dpmzos25m8ivg.cloudfront.net/Documentos/631/04334111475/6310433411147512092023221912.pdf","https://dpmzos25m8ivg.cloudfront.net/Documentos/631/04334111475/6310433411147512092023221912.pdf")</f>
        <v>https://dpmzos25m8ivg.cloudfront.net/Documentos/631/04334111475/6310433411147512092023221912.pdf</v>
      </c>
      <c r="G1888" s="5" t="str">
        <f>HYPERLINK("https://dpmzos25m8ivg.cloudfront.net/Documentos/631/04334111475/6310433411147512092023225020.pdf","https://dpmzos25m8ivg.cloudfront.net/Documentos/631/04334111475/6310433411147512092023225020.pdf")</f>
        <v>https://dpmzos25m8ivg.cloudfront.net/Documentos/631/04334111475/6310433411147512092023225020.pdf</v>
      </c>
      <c r="H1888" s="4" t="s">
        <v>10468</v>
      </c>
    </row>
    <row r="1889" spans="1:8" x14ac:dyDescent="0.25">
      <c r="A1889" s="2" t="s">
        <v>1903</v>
      </c>
      <c r="B1889" s="3"/>
      <c r="C1889" s="3"/>
      <c r="D1889" s="3"/>
      <c r="E1889" s="4" t="str">
        <f>HYPERLINK("https://dpmzos25m8ivg.cloudfront.net/Documentos/631/04335001150/6310433500115009092023204901.pdf","https://dpmzos25m8ivg.cloudfront.net/Documentos/631/04335001150/6310433500115009092023204901.pdf")</f>
        <v>https://dpmzos25m8ivg.cloudfront.net/Documentos/631/04335001150/6310433500115009092023204901.pdf</v>
      </c>
      <c r="F1889" s="5" t="str">
        <f>HYPERLINK("https://dpmzos25m8ivg.cloudfront.net/Documentos/631/04335001150/6310433500115009092023210002.pdf","https://dpmzos25m8ivg.cloudfront.net/Documentos/631/04335001150/6310433500115009092023210002.pdf")</f>
        <v>https://dpmzos25m8ivg.cloudfront.net/Documentos/631/04335001150/6310433500115009092023210002.pdf</v>
      </c>
      <c r="G1889" s="5" t="str">
        <f>HYPERLINK("https://dpmzos25m8ivg.cloudfront.net/Documentos/631/04335001150/6310433500115009092023210016.pdf","https://dpmzos25m8ivg.cloudfront.net/Documentos/631/04335001150/6310433500115009092023210016.pdf")</f>
        <v>https://dpmzos25m8ivg.cloudfront.net/Documentos/631/04335001150/6310433500115009092023210016.pdf</v>
      </c>
      <c r="H1889" s="4" t="s">
        <v>10469</v>
      </c>
    </row>
    <row r="1890" spans="1:8" x14ac:dyDescent="0.25">
      <c r="A1890" s="2" t="s">
        <v>1904</v>
      </c>
      <c r="B1890" s="3"/>
      <c r="C1890" s="3"/>
      <c r="D1890" s="3"/>
      <c r="E1890" s="4" t="str">
        <f>HYPERLINK("https://dpmzos25m8ivg.cloudfront.net/Documentos/631/04338998598/6310433899859810092023232818.pdf","https://dpmzos25m8ivg.cloudfront.net/Documentos/631/04338998598/6310433899859810092023232818.pdf")</f>
        <v>https://dpmzos25m8ivg.cloudfront.net/Documentos/631/04338998598/6310433899859810092023232818.pdf</v>
      </c>
      <c r="F1890" s="5" t="str">
        <f>HYPERLINK("https://dpmzos25m8ivg.cloudfront.net/Documentos/631/04338998598/6310433899859810092023234043.pdf","https://dpmzos25m8ivg.cloudfront.net/Documentos/631/04338998598/6310433899859810092023234043.pdf")</f>
        <v>https://dpmzos25m8ivg.cloudfront.net/Documentos/631/04338998598/6310433899859810092023234043.pdf</v>
      </c>
      <c r="G1890" s="5" t="str">
        <f>HYPERLINK("https://dpmzos25m8ivg.cloudfront.net/Documentos/631/04338998598/6310433899859810092023235314.pdf","https://dpmzos25m8ivg.cloudfront.net/Documentos/631/04338998598/6310433899859810092023235314.pdf")</f>
        <v>https://dpmzos25m8ivg.cloudfront.net/Documentos/631/04338998598/6310433899859810092023235314.pdf</v>
      </c>
      <c r="H1890" s="4" t="s">
        <v>10470</v>
      </c>
    </row>
    <row r="1891" spans="1:8" x14ac:dyDescent="0.25">
      <c r="A1891" s="2" t="s">
        <v>1905</v>
      </c>
      <c r="B1891" s="3"/>
      <c r="C1891" s="3"/>
      <c r="D1891" s="3"/>
      <c r="E1891" s="4" t="str">
        <f>HYPERLINK("https://dpmzos25m8ivg.cloudfront.net/Documentos/631/04339786276/6310433978627606092023163814.pdf","https://dpmzos25m8ivg.cloudfront.net/Documentos/631/04339786276/6310433978627606092023163814.pdf")</f>
        <v>https://dpmzos25m8ivg.cloudfront.net/Documentos/631/04339786276/6310433978627606092023163814.pdf</v>
      </c>
      <c r="F1891" s="5" t="str">
        <f>HYPERLINK("https://dpmzos25m8ivg.cloudfront.net/Documentos/631/04339786276/6310433978627606092023163830.pdf","https://dpmzos25m8ivg.cloudfront.net/Documentos/631/04339786276/6310433978627606092023163830.pdf")</f>
        <v>https://dpmzos25m8ivg.cloudfront.net/Documentos/631/04339786276/6310433978627606092023163830.pdf</v>
      </c>
      <c r="G1891" s="5" t="str">
        <f>HYPERLINK("https://dpmzos25m8ivg.cloudfront.net/Documentos/631/04339786276/6310433978627606092023163901.pdf","https://dpmzos25m8ivg.cloudfront.net/Documentos/631/04339786276/6310433978627606092023163901.pdf")</f>
        <v>https://dpmzos25m8ivg.cloudfront.net/Documentos/631/04339786276/6310433978627606092023163901.pdf</v>
      </c>
      <c r="H1891" s="4" t="s">
        <v>10471</v>
      </c>
    </row>
    <row r="1892" spans="1:8" x14ac:dyDescent="0.25">
      <c r="A1892" s="2" t="s">
        <v>1906</v>
      </c>
      <c r="B1892" s="3"/>
      <c r="C1892" s="3"/>
      <c r="D1892" s="3"/>
      <c r="E1892" s="4" t="str">
        <f>HYPERLINK("https://dpmzos25m8ivg.cloudfront.net/Documentos/631/04343130177/6310434313017707092023104736.pdf","https://dpmzos25m8ivg.cloudfront.net/Documentos/631/04343130177/6310434313017707092023104736.pdf")</f>
        <v>https://dpmzos25m8ivg.cloudfront.net/Documentos/631/04343130177/6310434313017707092023104736.pdf</v>
      </c>
      <c r="F1892" s="5" t="str">
        <f>HYPERLINK("https://dpmzos25m8ivg.cloudfront.net/Documentos/631/04343130177/6310434313017707092023104750.pdf","https://dpmzos25m8ivg.cloudfront.net/Documentos/631/04343130177/6310434313017707092023104750.pdf")</f>
        <v>https://dpmzos25m8ivg.cloudfront.net/Documentos/631/04343130177/6310434313017707092023104750.pdf</v>
      </c>
      <c r="G1892" s="5" t="str">
        <f>HYPERLINK("https://dpmzos25m8ivg.cloudfront.net/Documentos/631/04343130177/6310434313017707092023104804.pdf","https://dpmzos25m8ivg.cloudfront.net/Documentos/631/04343130177/6310434313017707092023104804.pdf")</f>
        <v>https://dpmzos25m8ivg.cloudfront.net/Documentos/631/04343130177/6310434313017707092023104804.pdf</v>
      </c>
      <c r="H1892" s="4" t="s">
        <v>10472</v>
      </c>
    </row>
    <row r="1893" spans="1:8" x14ac:dyDescent="0.25">
      <c r="A1893" s="2" t="s">
        <v>1907</v>
      </c>
      <c r="B1893" s="3"/>
      <c r="C1893" s="3"/>
      <c r="D1893" s="3"/>
      <c r="E1893" s="4" t="str">
        <f>HYPERLINK("https://dpmzos25m8ivg.cloudfront.net/Documentos/631/04353059300/6310435305930009092023110008.pdf","https://dpmzos25m8ivg.cloudfront.net/Documentos/631/04353059300/6310435305930009092023110008.pdf")</f>
        <v>https://dpmzos25m8ivg.cloudfront.net/Documentos/631/04353059300/6310435305930009092023110008.pdf</v>
      </c>
      <c r="F1893" s="5" t="str">
        <f>HYPERLINK("https://dpmzos25m8ivg.cloudfront.net/Documentos/631/04353059300/6310435305930009092023110021.pdf","https://dpmzos25m8ivg.cloudfront.net/Documentos/631/04353059300/6310435305930009092023110021.pdf")</f>
        <v>https://dpmzos25m8ivg.cloudfront.net/Documentos/631/04353059300/6310435305930009092023110021.pdf</v>
      </c>
      <c r="G1893" s="5" t="str">
        <f>HYPERLINK("https://dpmzos25m8ivg.cloudfront.net/Documentos/631/04353059300/6310435305930009092023110047.pdf","https://dpmzos25m8ivg.cloudfront.net/Documentos/631/04353059300/6310435305930009092023110047.pdf")</f>
        <v>https://dpmzos25m8ivg.cloudfront.net/Documentos/631/04353059300/6310435305930009092023110047.pdf</v>
      </c>
      <c r="H1893" s="4" t="s">
        <v>10473</v>
      </c>
    </row>
    <row r="1894" spans="1:8" x14ac:dyDescent="0.25">
      <c r="A1894" s="2" t="s">
        <v>1908</v>
      </c>
      <c r="B1894" s="3"/>
      <c r="C1894" s="3"/>
      <c r="D1894" s="3"/>
      <c r="E1894" s="4" t="str">
        <f>HYPERLINK("https://dpmzos25m8ivg.cloudfront.net/Documentos/631/04358020895/6310435802089507092023222537.jpg","https://dpmzos25m8ivg.cloudfront.net/Documentos/631/04358020895/6310435802089507092023222537.jpg")</f>
        <v>https://dpmzos25m8ivg.cloudfront.net/Documentos/631/04358020895/6310435802089507092023222537.jpg</v>
      </c>
      <c r="F1894" s="5" t="str">
        <f>HYPERLINK("https://dpmzos25m8ivg.cloudfront.net/Documentos/631/04358020895/6310435802089507092023222633.jpg","https://dpmzos25m8ivg.cloudfront.net/Documentos/631/04358020895/6310435802089507092023222633.jpg")</f>
        <v>https://dpmzos25m8ivg.cloudfront.net/Documentos/631/04358020895/6310435802089507092023222633.jpg</v>
      </c>
      <c r="G1894" s="5" t="str">
        <f>HYPERLINK("https://dpmzos25m8ivg.cloudfront.net/Documentos/631/04358020895/6310435802089507092023222718.jpg","https://dpmzos25m8ivg.cloudfront.net/Documentos/631/04358020895/6310435802089507092023222718.jpg")</f>
        <v>https://dpmzos25m8ivg.cloudfront.net/Documentos/631/04358020895/6310435802089507092023222718.jpg</v>
      </c>
      <c r="H1894" s="4" t="s">
        <v>10474</v>
      </c>
    </row>
    <row r="1895" spans="1:8" x14ac:dyDescent="0.25">
      <c r="A1895" s="2" t="s">
        <v>1909</v>
      </c>
      <c r="B1895" s="3"/>
      <c r="C1895" s="3"/>
      <c r="D1895" s="3"/>
      <c r="E1895" s="4" t="str">
        <f>HYPERLINK("https://dpmzos25m8ivg.cloudfront.net/Documentos/631/04358889433/6310435888943310092023203800.pdf","https://dpmzos25m8ivg.cloudfront.net/Documentos/631/04358889433/6310435888943310092023203800.pdf")</f>
        <v>https://dpmzos25m8ivg.cloudfront.net/Documentos/631/04358889433/6310435888943310092023203800.pdf</v>
      </c>
      <c r="F1895" s="5" t="str">
        <f>HYPERLINK("https://dpmzos25m8ivg.cloudfront.net/Documentos/631/04358889433/6310435888943310092023204105.pdf","https://dpmzos25m8ivg.cloudfront.net/Documentos/631/04358889433/6310435888943310092023204105.pdf")</f>
        <v>https://dpmzos25m8ivg.cloudfront.net/Documentos/631/04358889433/6310435888943310092023204105.pdf</v>
      </c>
      <c r="G1895" s="5" t="str">
        <f>HYPERLINK("https://dpmzos25m8ivg.cloudfront.net/Documentos/631/04358889433/6310435888943310092023204138.pdf","https://dpmzos25m8ivg.cloudfront.net/Documentos/631/04358889433/6310435888943310092023204138.pdf")</f>
        <v>https://dpmzos25m8ivg.cloudfront.net/Documentos/631/04358889433/6310435888943310092023204138.pdf</v>
      </c>
      <c r="H1895" s="4" t="s">
        <v>10475</v>
      </c>
    </row>
    <row r="1896" spans="1:8" x14ac:dyDescent="0.25">
      <c r="A1896" s="2" t="s">
        <v>1910</v>
      </c>
      <c r="B1896" s="3" t="s">
        <v>308</v>
      </c>
      <c r="C1896" s="3"/>
      <c r="D1896" s="3"/>
      <c r="E1896" s="4" t="str">
        <f>HYPERLINK("https://dpmzos25m8ivg.cloudfront.net/Documentos/631/04359409532/6310435940953211092023164901.pdf","https://dpmzos25m8ivg.cloudfront.net/Documentos/631/04359409532/6310435940953211092023164901.pdf")</f>
        <v>https://dpmzos25m8ivg.cloudfront.net/Documentos/631/04359409532/6310435940953211092023164901.pdf</v>
      </c>
      <c r="F1896" s="5" t="str">
        <f>HYPERLINK("https://dpmzos25m8ivg.cloudfront.net/Documentos/631/04359409532/6310435940953211092023164927.pdf","https://dpmzos25m8ivg.cloudfront.net/Documentos/631/04359409532/6310435940953211092023164927.pdf")</f>
        <v>https://dpmzos25m8ivg.cloudfront.net/Documentos/631/04359409532/6310435940953211092023164927.pdf</v>
      </c>
      <c r="G1896" s="5" t="str">
        <f>HYPERLINK("https://dpmzos25m8ivg.cloudfront.net/Documentos/631/04359409532/6310435940953211092023164952.pdf","https://dpmzos25m8ivg.cloudfront.net/Documentos/631/04359409532/6310435940953211092023164952.pdf")</f>
        <v>https://dpmzos25m8ivg.cloudfront.net/Documentos/631/04359409532/6310435940953211092023164952.pdf</v>
      </c>
      <c r="H1896" s="4" t="s">
        <v>10476</v>
      </c>
    </row>
    <row r="1897" spans="1:8" x14ac:dyDescent="0.25">
      <c r="A1897" s="2" t="s">
        <v>1911</v>
      </c>
      <c r="B1897" s="3"/>
      <c r="C1897" s="3"/>
      <c r="D1897" s="3"/>
      <c r="E1897" s="4" t="str">
        <f>HYPERLINK("https://dpmzos25m8ivg.cloudfront.net/Documentos/631/04360679602/6310436067960209092023183639.pdf","https://dpmzos25m8ivg.cloudfront.net/Documentos/631/04360679602/6310436067960209092023183639.pdf")</f>
        <v>https://dpmzos25m8ivg.cloudfront.net/Documentos/631/04360679602/6310436067960209092023183639.pdf</v>
      </c>
      <c r="F1897" s="5" t="str">
        <f>HYPERLINK("https://dpmzos25m8ivg.cloudfront.net/Documentos/631/04360679602/6310436067960209092023183648.pdf","https://dpmzos25m8ivg.cloudfront.net/Documentos/631/04360679602/6310436067960209092023183648.pdf")</f>
        <v>https://dpmzos25m8ivg.cloudfront.net/Documentos/631/04360679602/6310436067960209092023183648.pdf</v>
      </c>
      <c r="G1897" s="5" t="str">
        <f>HYPERLINK("https://dpmzos25m8ivg.cloudfront.net/Documentos/631/04360679602/6310436067960209092023183657.pdf","https://dpmzos25m8ivg.cloudfront.net/Documentos/631/04360679602/6310436067960209092023183657.pdf")</f>
        <v>https://dpmzos25m8ivg.cloudfront.net/Documentos/631/04360679602/6310436067960209092023183657.pdf</v>
      </c>
      <c r="H1897" s="4" t="s">
        <v>10477</v>
      </c>
    </row>
    <row r="1898" spans="1:8" x14ac:dyDescent="0.25">
      <c r="A1898" s="2" t="s">
        <v>1912</v>
      </c>
      <c r="B1898" s="3" t="s">
        <v>308</v>
      </c>
      <c r="C1898" s="3"/>
      <c r="D1898" s="3"/>
      <c r="E1898" s="4" t="str">
        <f>HYPERLINK("https://dpmzos25m8ivg.cloudfront.net/Documentos/631/04364048186/6310436404818612092023193631.pdf","https://dpmzos25m8ivg.cloudfront.net/Documentos/631/04364048186/6310436404818612092023193631.pdf")</f>
        <v>https://dpmzos25m8ivg.cloudfront.net/Documentos/631/04364048186/6310436404818612092023193631.pdf</v>
      </c>
      <c r="F1898" s="5" t="str">
        <f>HYPERLINK("https://dpmzos25m8ivg.cloudfront.net/Documentos/631/04364048186/6310436404818612092023193638.pdf","https://dpmzos25m8ivg.cloudfront.net/Documentos/631/04364048186/6310436404818612092023193638.pdf")</f>
        <v>https://dpmzos25m8ivg.cloudfront.net/Documentos/631/04364048186/6310436404818612092023193638.pdf</v>
      </c>
      <c r="G1898" s="5" t="str">
        <f>HYPERLINK("https://dpmzos25m8ivg.cloudfront.net/Documentos/631/04364048186/6310436404818612092023193645.pdf","https://dpmzos25m8ivg.cloudfront.net/Documentos/631/04364048186/6310436404818612092023193645.pdf")</f>
        <v>https://dpmzos25m8ivg.cloudfront.net/Documentos/631/04364048186/6310436404818612092023193645.pdf</v>
      </c>
      <c r="H1898" s="4" t="s">
        <v>10478</v>
      </c>
    </row>
    <row r="1899" spans="1:8" x14ac:dyDescent="0.25">
      <c r="A1899" s="2" t="s">
        <v>1913</v>
      </c>
      <c r="B1899" s="3"/>
      <c r="C1899" s="3"/>
      <c r="D1899" s="3"/>
      <c r="E1899" s="4" t="str">
        <f>HYPERLINK("https://dpmzos25m8ivg.cloudfront.net/Documentos/631/04367884384/6310436788438411092023170030.jpg","https://dpmzos25m8ivg.cloudfront.net/Documentos/631/04367884384/6310436788438411092023170030.jpg")</f>
        <v>https://dpmzos25m8ivg.cloudfront.net/Documentos/631/04367884384/6310436788438411092023170030.jpg</v>
      </c>
      <c r="F1899" s="5" t="str">
        <f>HYPERLINK("https://dpmzos25m8ivg.cloudfront.net/Documentos/631/04367884384/6310436788438411092023170108.jpg","https://dpmzos25m8ivg.cloudfront.net/Documentos/631/04367884384/6310436788438411092023170108.jpg")</f>
        <v>https://dpmzos25m8ivg.cloudfront.net/Documentos/631/04367884384/6310436788438411092023170108.jpg</v>
      </c>
      <c r="G1899" s="5" t="str">
        <f>HYPERLINK("https://dpmzos25m8ivg.cloudfront.net/Documentos/631/04367884384/6310436788438411092023170132.jpg","https://dpmzos25m8ivg.cloudfront.net/Documentos/631/04367884384/6310436788438411092023170132.jpg")</f>
        <v>https://dpmzos25m8ivg.cloudfront.net/Documentos/631/04367884384/6310436788438411092023170132.jpg</v>
      </c>
      <c r="H1899" s="4" t="s">
        <v>10479</v>
      </c>
    </row>
    <row r="1900" spans="1:8" x14ac:dyDescent="0.25">
      <c r="A1900" s="2" t="s">
        <v>1914</v>
      </c>
      <c r="B1900" s="3"/>
      <c r="C1900" s="3"/>
      <c r="D1900" s="3"/>
      <c r="E1900" s="4" t="str">
        <f>HYPERLINK("https://dpmzos25m8ivg.cloudfront.net/Documentos/631/04369185521/6310436918552106092023120552.pdf","https://dpmzos25m8ivg.cloudfront.net/Documentos/631/04369185521/6310436918552106092023120552.pdf")</f>
        <v>https://dpmzos25m8ivg.cloudfront.net/Documentos/631/04369185521/6310436918552106092023120552.pdf</v>
      </c>
      <c r="F1900" s="5" t="str">
        <f>HYPERLINK("https://dpmzos25m8ivg.cloudfront.net/Documentos/631/04369185521/6310436918552106092023120649.pdf","https://dpmzos25m8ivg.cloudfront.net/Documentos/631/04369185521/6310436918552106092023120649.pdf")</f>
        <v>https://dpmzos25m8ivg.cloudfront.net/Documentos/631/04369185521/6310436918552106092023120649.pdf</v>
      </c>
      <c r="G1900" s="5" t="str">
        <f>HYPERLINK("https://dpmzos25m8ivg.cloudfront.net/Documentos/631/04369185521/6310436918552106092023120703.pdf","https://dpmzos25m8ivg.cloudfront.net/Documentos/631/04369185521/6310436918552106092023120703.pdf")</f>
        <v>https://dpmzos25m8ivg.cloudfront.net/Documentos/631/04369185521/6310436918552106092023120703.pdf</v>
      </c>
      <c r="H1900" s="4" t="s">
        <v>10480</v>
      </c>
    </row>
    <row r="1901" spans="1:8" x14ac:dyDescent="0.25">
      <c r="A1901" s="2" t="s">
        <v>1915</v>
      </c>
      <c r="B1901" s="3" t="s">
        <v>308</v>
      </c>
      <c r="C1901" s="3"/>
      <c r="D1901" s="3"/>
      <c r="E1901" s="4" t="str">
        <f>HYPERLINK("https://dpmzos25m8ivg.cloudfront.net/Documentos/631/04369728592/6310436972859204092023193002.pdf","https://dpmzos25m8ivg.cloudfront.net/Documentos/631/04369728592/6310436972859204092023193002.pdf")</f>
        <v>https://dpmzos25m8ivg.cloudfront.net/Documentos/631/04369728592/6310436972859204092023193002.pdf</v>
      </c>
      <c r="F1901" s="5" t="str">
        <f>HYPERLINK("https://dpmzos25m8ivg.cloudfront.net/Documentos/631/04369728592/6310436972859204092023193049.pdf","https://dpmzos25m8ivg.cloudfront.net/Documentos/631/04369728592/6310436972859204092023193049.pdf")</f>
        <v>https://dpmzos25m8ivg.cloudfront.net/Documentos/631/04369728592/6310436972859204092023193049.pdf</v>
      </c>
      <c r="G1901" s="5" t="str">
        <f>HYPERLINK("https://dpmzos25m8ivg.cloudfront.net/Documentos/631/04369728592/6310436972859204092023193311.pdf","https://dpmzos25m8ivg.cloudfront.net/Documentos/631/04369728592/6310436972859204092023193311.pdf")</f>
        <v>https://dpmzos25m8ivg.cloudfront.net/Documentos/631/04369728592/6310436972859204092023193311.pdf</v>
      </c>
      <c r="H1901" s="4" t="s">
        <v>10481</v>
      </c>
    </row>
    <row r="1902" spans="1:8" x14ac:dyDescent="0.25">
      <c r="A1902" s="2" t="s">
        <v>1916</v>
      </c>
      <c r="B1902" s="3"/>
      <c r="C1902" s="3"/>
      <c r="D1902" s="3"/>
      <c r="E1902" s="4" t="str">
        <f>HYPERLINK("https://dpmzos25m8ivg.cloudfront.net/Documentos/631/04374957103/6310437495710305092023173030.jpeg","https://dpmzos25m8ivg.cloudfront.net/Documentos/631/04374957103/6310437495710305092023173030.jpeg")</f>
        <v>https://dpmzos25m8ivg.cloudfront.net/Documentos/631/04374957103/6310437495710305092023173030.jpeg</v>
      </c>
      <c r="F1902" s="5" t="str">
        <f>HYPERLINK("https://dpmzos25m8ivg.cloudfront.net/Documentos/631/04374957103/6310437495710305092023173059.jpeg","https://dpmzos25m8ivg.cloudfront.net/Documentos/631/04374957103/6310437495710305092023173059.jpeg")</f>
        <v>https://dpmzos25m8ivg.cloudfront.net/Documentos/631/04374957103/6310437495710305092023173059.jpeg</v>
      </c>
      <c r="G1902" s="5" t="str">
        <f>HYPERLINK("https://dpmzos25m8ivg.cloudfront.net/Documentos/631/04374957103/6310437495710305092023173121.jpeg","https://dpmzos25m8ivg.cloudfront.net/Documentos/631/04374957103/6310437495710305092023173121.jpeg")</f>
        <v>https://dpmzos25m8ivg.cloudfront.net/Documentos/631/04374957103/6310437495710305092023173121.jpeg</v>
      </c>
      <c r="H1902" s="4" t="s">
        <v>10482</v>
      </c>
    </row>
    <row r="1903" spans="1:8" x14ac:dyDescent="0.25">
      <c r="A1903" s="2" t="s">
        <v>1917</v>
      </c>
      <c r="B1903" s="3" t="s">
        <v>312</v>
      </c>
      <c r="C1903" s="3"/>
      <c r="D1903" s="3"/>
      <c r="E1903" s="4" t="str">
        <f>HYPERLINK("https://dpmzos25m8ivg.cloudfront.net/Documentos/631/04375723319/6310437572331911092023093803.pdf","https://dpmzos25m8ivg.cloudfront.net/Documentos/631/04375723319/6310437572331911092023093803.pdf")</f>
        <v>https://dpmzos25m8ivg.cloudfront.net/Documentos/631/04375723319/6310437572331911092023093803.pdf</v>
      </c>
      <c r="F1903" s="5" t="str">
        <f>HYPERLINK("https://dpmzos25m8ivg.cloudfront.net/Documentos/631/04375723319/6310437572331911092023093820.pdf","https://dpmzos25m8ivg.cloudfront.net/Documentos/631/04375723319/6310437572331911092023093820.pdf")</f>
        <v>https://dpmzos25m8ivg.cloudfront.net/Documentos/631/04375723319/6310437572331911092023093820.pdf</v>
      </c>
      <c r="G1903" s="5" t="str">
        <f>HYPERLINK("https://dpmzos25m8ivg.cloudfront.net/Documentos/631/04375723319/6310437572331911092023093836.pdf","https://dpmzos25m8ivg.cloudfront.net/Documentos/631/04375723319/6310437572331911092023093836.pdf")</f>
        <v>https://dpmzos25m8ivg.cloudfront.net/Documentos/631/04375723319/6310437572331911092023093836.pdf</v>
      </c>
      <c r="H1903" s="4" t="s">
        <v>10483</v>
      </c>
    </row>
    <row r="1904" spans="1:8" x14ac:dyDescent="0.25">
      <c r="A1904" s="2" t="s">
        <v>1918</v>
      </c>
      <c r="B1904" s="3"/>
      <c r="C1904" s="3"/>
      <c r="D1904" s="3"/>
      <c r="E1904" s="4" t="str">
        <f>HYPERLINK("https://dpmzos25m8ivg.cloudfront.net/Documentos/631/04377307274/6310437730727408092023170235.pdf","https://dpmzos25m8ivg.cloudfront.net/Documentos/631/04377307274/6310437730727408092023170235.pdf")</f>
        <v>https://dpmzos25m8ivg.cloudfront.net/Documentos/631/04377307274/6310437730727408092023170235.pdf</v>
      </c>
      <c r="F1904" s="5" t="str">
        <f>HYPERLINK("https://dpmzos25m8ivg.cloudfront.net/Documentos/631/04377307274/6310437730727408092023170251.pdf","https://dpmzos25m8ivg.cloudfront.net/Documentos/631/04377307274/6310437730727408092023170251.pdf")</f>
        <v>https://dpmzos25m8ivg.cloudfront.net/Documentos/631/04377307274/6310437730727408092023170251.pdf</v>
      </c>
      <c r="G1904" s="5" t="str">
        <f>HYPERLINK("https://dpmzos25m8ivg.cloudfront.net/Documentos/631/04377307274/6310437730727408092023170300.pdf","https://dpmzos25m8ivg.cloudfront.net/Documentos/631/04377307274/6310437730727408092023170300.pdf")</f>
        <v>https://dpmzos25m8ivg.cloudfront.net/Documentos/631/04377307274/6310437730727408092023170300.pdf</v>
      </c>
      <c r="H1904" s="4" t="s">
        <v>10484</v>
      </c>
    </row>
    <row r="1905" spans="1:8" x14ac:dyDescent="0.25">
      <c r="A1905" s="2" t="s">
        <v>1919</v>
      </c>
      <c r="B1905" s="3"/>
      <c r="C1905" s="3"/>
      <c r="D1905" s="3"/>
      <c r="E1905" s="4" t="str">
        <f>HYPERLINK("https://dpmzos25m8ivg.cloudfront.net/Documentos/631/04379029603/6310437902960305092023193327.pdf","https://dpmzos25m8ivg.cloudfront.net/Documentos/631/04379029603/6310437902960305092023193327.pdf")</f>
        <v>https://dpmzos25m8ivg.cloudfront.net/Documentos/631/04379029603/6310437902960305092023193327.pdf</v>
      </c>
      <c r="F1905" s="5" t="str">
        <f>HYPERLINK("https://dpmzos25m8ivg.cloudfront.net/Documentos/631/04379029603/6310437902960305092023193340.pdf","https://dpmzos25m8ivg.cloudfront.net/Documentos/631/04379029603/6310437902960305092023193340.pdf")</f>
        <v>https://dpmzos25m8ivg.cloudfront.net/Documentos/631/04379029603/6310437902960305092023193340.pdf</v>
      </c>
      <c r="G1905" s="5" t="str">
        <f>HYPERLINK("https://dpmzos25m8ivg.cloudfront.net/Documentos/631/04379029603/6310437902960305092023193352.pdf","https://dpmzos25m8ivg.cloudfront.net/Documentos/631/04379029603/6310437902960305092023193352.pdf")</f>
        <v>https://dpmzos25m8ivg.cloudfront.net/Documentos/631/04379029603/6310437902960305092023193352.pdf</v>
      </c>
      <c r="H1905" s="4" t="s">
        <v>10485</v>
      </c>
    </row>
    <row r="1906" spans="1:8" x14ac:dyDescent="0.25">
      <c r="A1906" s="2" t="s">
        <v>1920</v>
      </c>
      <c r="B1906" s="3"/>
      <c r="C1906" s="3"/>
      <c r="D1906" s="3"/>
      <c r="E1906" s="4" t="str">
        <f>HYPERLINK("https://dpmzos25m8ivg.cloudfront.net/Documentos/631/04381642538/6310438164253806092023154926.pdf","https://dpmzos25m8ivg.cloudfront.net/Documentos/631/04381642538/6310438164253806092023154926.pdf")</f>
        <v>https://dpmzos25m8ivg.cloudfront.net/Documentos/631/04381642538/6310438164253806092023154926.pdf</v>
      </c>
      <c r="F1906" s="5" t="str">
        <f>HYPERLINK("https://dpmzos25m8ivg.cloudfront.net/Documentos/631/04381642538/6310438164253806092023154941.pdf","https://dpmzos25m8ivg.cloudfront.net/Documentos/631/04381642538/6310438164253806092023154941.pdf")</f>
        <v>https://dpmzos25m8ivg.cloudfront.net/Documentos/631/04381642538/6310438164253806092023154941.pdf</v>
      </c>
      <c r="G1906" s="5" t="str">
        <f>HYPERLINK("https://dpmzos25m8ivg.cloudfront.net/Documentos/631/04381642538/6310438164253806092023154952.pdf","https://dpmzos25m8ivg.cloudfront.net/Documentos/631/04381642538/6310438164253806092023154952.pdf")</f>
        <v>https://dpmzos25m8ivg.cloudfront.net/Documentos/631/04381642538/6310438164253806092023154952.pdf</v>
      </c>
      <c r="H1906" s="4" t="s">
        <v>10486</v>
      </c>
    </row>
    <row r="1907" spans="1:8" x14ac:dyDescent="0.25">
      <c r="A1907" s="2" t="s">
        <v>1921</v>
      </c>
      <c r="B1907" s="3"/>
      <c r="C1907" s="3"/>
      <c r="D1907" s="3"/>
      <c r="E1907" s="4" t="str">
        <f>HYPERLINK("https://dpmzos25m8ivg.cloudfront.net/Documentos/631/04382314062/6310438231406210092023163321.pdf","https://dpmzos25m8ivg.cloudfront.net/Documentos/631/04382314062/6310438231406210092023163321.pdf")</f>
        <v>https://dpmzos25m8ivg.cloudfront.net/Documentos/631/04382314062/6310438231406210092023163321.pdf</v>
      </c>
      <c r="F1907" s="5" t="str">
        <f>HYPERLINK("https://dpmzos25m8ivg.cloudfront.net/Documentos/631/04382314062/6310438231406210092023163343.pdf","https://dpmzos25m8ivg.cloudfront.net/Documentos/631/04382314062/6310438231406210092023163343.pdf")</f>
        <v>https://dpmzos25m8ivg.cloudfront.net/Documentos/631/04382314062/6310438231406210092023163343.pdf</v>
      </c>
      <c r="G1907" s="5" t="str">
        <f>HYPERLINK("https://dpmzos25m8ivg.cloudfront.net/Documentos/631/04382314062/6310438231406210092023163404.pdf","https://dpmzos25m8ivg.cloudfront.net/Documentos/631/04382314062/6310438231406210092023163404.pdf")</f>
        <v>https://dpmzos25m8ivg.cloudfront.net/Documentos/631/04382314062/6310438231406210092023163404.pdf</v>
      </c>
      <c r="H1907" s="4" t="s">
        <v>10487</v>
      </c>
    </row>
    <row r="1908" spans="1:8" x14ac:dyDescent="0.25">
      <c r="A1908" s="2" t="s">
        <v>1922</v>
      </c>
      <c r="B1908" s="3"/>
      <c r="C1908" s="3"/>
      <c r="D1908" s="3"/>
      <c r="E1908" s="4" t="str">
        <f>HYPERLINK("https://dpmzos25m8ivg.cloudfront.net/Documentos/631/04386821651/6310438682165105092023185028.pdf","https://dpmzos25m8ivg.cloudfront.net/Documentos/631/04386821651/6310438682165105092023185028.pdf")</f>
        <v>https://dpmzos25m8ivg.cloudfront.net/Documentos/631/04386821651/6310438682165105092023185028.pdf</v>
      </c>
      <c r="F1908" s="5" t="str">
        <f>HYPERLINK("https://dpmzos25m8ivg.cloudfront.net/Documentos/631/04386821651/6310438682165105092023185128.pdf","https://dpmzos25m8ivg.cloudfront.net/Documentos/631/04386821651/6310438682165105092023185128.pdf")</f>
        <v>https://dpmzos25m8ivg.cloudfront.net/Documentos/631/04386821651/6310438682165105092023185128.pdf</v>
      </c>
      <c r="G1908" s="5" t="str">
        <f>HYPERLINK("https://dpmzos25m8ivg.cloudfront.net/Documentos/631/04386821651/6310438682165105092023185210.pdf","https://dpmzos25m8ivg.cloudfront.net/Documentos/631/04386821651/6310438682165105092023185210.pdf")</f>
        <v>https://dpmzos25m8ivg.cloudfront.net/Documentos/631/04386821651/6310438682165105092023185210.pdf</v>
      </c>
      <c r="H1908" s="4" t="s">
        <v>10488</v>
      </c>
    </row>
    <row r="1909" spans="1:8" x14ac:dyDescent="0.25">
      <c r="A1909" s="2" t="s">
        <v>1923</v>
      </c>
      <c r="B1909" s="3"/>
      <c r="C1909" s="3"/>
      <c r="D1909" s="3"/>
      <c r="E1909" s="4" t="str">
        <f>HYPERLINK("https://dpmzos25m8ivg.cloudfront.net/Documentos/631/04389856138/6310438985613809092023202759.pdf","https://dpmzos25m8ivg.cloudfront.net/Documentos/631/04389856138/6310438985613809092023202759.pdf")</f>
        <v>https://dpmzos25m8ivg.cloudfront.net/Documentos/631/04389856138/6310438985613809092023202759.pdf</v>
      </c>
      <c r="F1909" s="5" t="str">
        <f>HYPERLINK("https://dpmzos25m8ivg.cloudfront.net/Documentos/631/04389856138/6310438985613809092023202824.pdf","https://dpmzos25m8ivg.cloudfront.net/Documentos/631/04389856138/6310438985613809092023202824.pdf")</f>
        <v>https://dpmzos25m8ivg.cloudfront.net/Documentos/631/04389856138/6310438985613809092023202824.pdf</v>
      </c>
      <c r="G1909" s="5" t="str">
        <f>HYPERLINK("https://dpmzos25m8ivg.cloudfront.net/Documentos/631/04389856138/6310438985613809092023202843.pdf","https://dpmzos25m8ivg.cloudfront.net/Documentos/631/04389856138/6310438985613809092023202843.pdf")</f>
        <v>https://dpmzos25m8ivg.cloudfront.net/Documentos/631/04389856138/6310438985613809092023202843.pdf</v>
      </c>
      <c r="H1909" s="4" t="s">
        <v>10489</v>
      </c>
    </row>
    <row r="1910" spans="1:8" x14ac:dyDescent="0.25">
      <c r="A1910" s="2" t="s">
        <v>1924</v>
      </c>
      <c r="B1910" s="3"/>
      <c r="C1910" s="3"/>
      <c r="D1910" s="3"/>
      <c r="E1910" s="4" t="str">
        <f>HYPERLINK("https://dpmzos25m8ivg.cloudfront.net/Documentos/631/04390613340/6310439061334011092023100429.pdf","https://dpmzos25m8ivg.cloudfront.net/Documentos/631/04390613340/6310439061334011092023100429.pdf")</f>
        <v>https://dpmzos25m8ivg.cloudfront.net/Documentos/631/04390613340/6310439061334011092023100429.pdf</v>
      </c>
      <c r="F1910" s="5" t="str">
        <f>HYPERLINK("https://dpmzos25m8ivg.cloudfront.net/Documentos/631/04390613340/6310439061334011092023100521.pdf","https://dpmzos25m8ivg.cloudfront.net/Documentos/631/04390613340/6310439061334011092023100521.pdf")</f>
        <v>https://dpmzos25m8ivg.cloudfront.net/Documentos/631/04390613340/6310439061334011092023100521.pdf</v>
      </c>
      <c r="G1910" s="5" t="str">
        <f>HYPERLINK("https://dpmzos25m8ivg.cloudfront.net/Documentos/631/04390613340/6310439061334011092023100529.pdf","https://dpmzos25m8ivg.cloudfront.net/Documentos/631/04390613340/6310439061334011092023100529.pdf")</f>
        <v>https://dpmzos25m8ivg.cloudfront.net/Documentos/631/04390613340/6310439061334011092023100529.pdf</v>
      </c>
      <c r="H1910" s="4" t="s">
        <v>10490</v>
      </c>
    </row>
    <row r="1911" spans="1:8" x14ac:dyDescent="0.25">
      <c r="A1911" s="2" t="s">
        <v>1925</v>
      </c>
      <c r="B1911" s="3" t="s">
        <v>312</v>
      </c>
      <c r="C1911" s="3"/>
      <c r="D1911" s="3"/>
      <c r="E1911" s="4" t="str">
        <f>HYPERLINK("https://dpmzos25m8ivg.cloudfront.net/Documentos/631/04391395975/6310439139597509092023142114.pdf","https://dpmzos25m8ivg.cloudfront.net/Documentos/631/04391395975/6310439139597509092023142114.pdf")</f>
        <v>https://dpmzos25m8ivg.cloudfront.net/Documentos/631/04391395975/6310439139597509092023142114.pdf</v>
      </c>
      <c r="F1911" s="5" t="str">
        <f>HYPERLINK("https://dpmzos25m8ivg.cloudfront.net/Documentos/631/04391395975/6310439139597509092023142126.pdf","https://dpmzos25m8ivg.cloudfront.net/Documentos/631/04391395975/6310439139597509092023142126.pdf")</f>
        <v>https://dpmzos25m8ivg.cloudfront.net/Documentos/631/04391395975/6310439139597509092023142126.pdf</v>
      </c>
      <c r="G1911" s="5" t="str">
        <f>HYPERLINK("https://dpmzos25m8ivg.cloudfront.net/Documentos/631/04391395975/6310439139597509092023142145.pdf","https://dpmzos25m8ivg.cloudfront.net/Documentos/631/04391395975/6310439139597509092023142145.pdf")</f>
        <v>https://dpmzos25m8ivg.cloudfront.net/Documentos/631/04391395975/6310439139597509092023142145.pdf</v>
      </c>
      <c r="H1911" s="4" t="s">
        <v>10491</v>
      </c>
    </row>
    <row r="1912" spans="1:8" x14ac:dyDescent="0.25">
      <c r="A1912" s="2" t="s">
        <v>1926</v>
      </c>
      <c r="B1912" s="3"/>
      <c r="C1912" s="3"/>
      <c r="D1912" s="3"/>
      <c r="E1912" s="4" t="str">
        <f>HYPERLINK("https://dpmzos25m8ivg.cloudfront.net/Documentos/631/04394363110/6310439436311011092023083306.pdf","https://dpmzos25m8ivg.cloudfront.net/Documentos/631/04394363110/6310439436311011092023083306.pdf")</f>
        <v>https://dpmzos25m8ivg.cloudfront.net/Documentos/631/04394363110/6310439436311011092023083306.pdf</v>
      </c>
      <c r="F1912" s="5" t="str">
        <f>HYPERLINK("https://dpmzos25m8ivg.cloudfront.net/Documentos/631/04394363110/6310439436311011092023083320.pdf","https://dpmzos25m8ivg.cloudfront.net/Documentos/631/04394363110/6310439436311011092023083320.pdf")</f>
        <v>https://dpmzos25m8ivg.cloudfront.net/Documentos/631/04394363110/6310439436311011092023083320.pdf</v>
      </c>
      <c r="G1912" s="5" t="str">
        <f>HYPERLINK("https://dpmzos25m8ivg.cloudfront.net/Documentos/631/04394363110/6310439436311011092023083334.pdf","https://dpmzos25m8ivg.cloudfront.net/Documentos/631/04394363110/6310439436311011092023083334.pdf")</f>
        <v>https://dpmzos25m8ivg.cloudfront.net/Documentos/631/04394363110/6310439436311011092023083334.pdf</v>
      </c>
      <c r="H1912" s="4" t="s">
        <v>10492</v>
      </c>
    </row>
    <row r="1913" spans="1:8" x14ac:dyDescent="0.25">
      <c r="A1913" s="2" t="s">
        <v>1927</v>
      </c>
      <c r="B1913" s="3"/>
      <c r="C1913" s="3"/>
      <c r="D1913" s="3"/>
      <c r="E1913" s="4" t="str">
        <f>HYPERLINK("https://dpmzos25m8ivg.cloudfront.net/Documentos/631/04397553360/6310439755336013092023094627.pdf","https://dpmzos25m8ivg.cloudfront.net/Documentos/631/04397553360/6310439755336013092023094627.pdf")</f>
        <v>https://dpmzos25m8ivg.cloudfront.net/Documentos/631/04397553360/6310439755336013092023094627.pdf</v>
      </c>
      <c r="F1913" s="5" t="str">
        <f>HYPERLINK("https://dpmzos25m8ivg.cloudfront.net/Documentos/631/04397553360/6310439755336013092023094642.pdf","https://dpmzos25m8ivg.cloudfront.net/Documentos/631/04397553360/6310439755336013092023094642.pdf")</f>
        <v>https://dpmzos25m8ivg.cloudfront.net/Documentos/631/04397553360/6310439755336013092023094642.pdf</v>
      </c>
      <c r="G1913" s="5" t="str">
        <f>HYPERLINK("https://dpmzos25m8ivg.cloudfront.net/Documentos/631/04397553360/6310439755336013092023094654.pdf","https://dpmzos25m8ivg.cloudfront.net/Documentos/631/04397553360/6310439755336013092023094654.pdf")</f>
        <v>https://dpmzos25m8ivg.cloudfront.net/Documentos/631/04397553360/6310439755336013092023094654.pdf</v>
      </c>
      <c r="H1913" s="4" t="s">
        <v>10493</v>
      </c>
    </row>
    <row r="1914" spans="1:8" x14ac:dyDescent="0.25">
      <c r="A1914" s="2" t="s">
        <v>1928</v>
      </c>
      <c r="B1914" s="3"/>
      <c r="C1914" s="3"/>
      <c r="D1914" s="3"/>
      <c r="E1914" s="4" t="str">
        <f>HYPERLINK("https://dpmzos25m8ivg.cloudfront.net/Documentos/631/04400832570/6310440083257006092023214904.pdf","https://dpmzos25m8ivg.cloudfront.net/Documentos/631/04400832570/6310440083257006092023214904.pdf")</f>
        <v>https://dpmzos25m8ivg.cloudfront.net/Documentos/631/04400832570/6310440083257006092023214904.pdf</v>
      </c>
      <c r="F1914" s="5" t="str">
        <f>HYPERLINK("https://dpmzos25m8ivg.cloudfront.net/Documentos/631/04400832570/6310440083257006092023214919.pdf","https://dpmzos25m8ivg.cloudfront.net/Documentos/631/04400832570/6310440083257006092023214919.pdf")</f>
        <v>https://dpmzos25m8ivg.cloudfront.net/Documentos/631/04400832570/6310440083257006092023214919.pdf</v>
      </c>
      <c r="G1914" s="5" t="str">
        <f>HYPERLINK("https://dpmzos25m8ivg.cloudfront.net/Documentos/631/04400832570/6310440083257006092023214937.pdf","https://dpmzos25m8ivg.cloudfront.net/Documentos/631/04400832570/6310440083257006092023214937.pdf")</f>
        <v>https://dpmzos25m8ivg.cloudfront.net/Documentos/631/04400832570/6310440083257006092023214937.pdf</v>
      </c>
      <c r="H1914" s="4" t="s">
        <v>10494</v>
      </c>
    </row>
    <row r="1915" spans="1:8" x14ac:dyDescent="0.25">
      <c r="A1915" s="2" t="s">
        <v>1929</v>
      </c>
      <c r="B1915" s="3"/>
      <c r="C1915" s="3"/>
      <c r="D1915" s="3"/>
      <c r="E1915" s="4" t="str">
        <f>HYPERLINK("https://dpmzos25m8ivg.cloudfront.net/Documentos/631/04403466303/6310440346630306092023122008.jpeg","https://dpmzos25m8ivg.cloudfront.net/Documentos/631/04403466303/6310440346630306092023122008.jpeg")</f>
        <v>https://dpmzos25m8ivg.cloudfront.net/Documentos/631/04403466303/6310440346630306092023122008.jpeg</v>
      </c>
      <c r="F1915" s="5" t="str">
        <f>HYPERLINK("https://dpmzos25m8ivg.cloudfront.net/Documentos/631/04403466303/6310440346630306092023122020.jpeg","https://dpmzos25m8ivg.cloudfront.net/Documentos/631/04403466303/6310440346630306092023122020.jpeg")</f>
        <v>https://dpmzos25m8ivg.cloudfront.net/Documentos/631/04403466303/6310440346630306092023122020.jpeg</v>
      </c>
      <c r="G1915" s="5" t="str">
        <f>HYPERLINK("https://dpmzos25m8ivg.cloudfront.net/Documentos/631/04403466303/6310440346630306092023122033.jpeg","https://dpmzos25m8ivg.cloudfront.net/Documentos/631/04403466303/6310440346630306092023122033.jpeg")</f>
        <v>https://dpmzos25m8ivg.cloudfront.net/Documentos/631/04403466303/6310440346630306092023122033.jpeg</v>
      </c>
      <c r="H1915" s="4" t="s">
        <v>10495</v>
      </c>
    </row>
    <row r="1916" spans="1:8" x14ac:dyDescent="0.25">
      <c r="A1916" s="2" t="s">
        <v>1930</v>
      </c>
      <c r="B1916" s="3"/>
      <c r="C1916" s="3"/>
      <c r="D1916" s="3"/>
      <c r="E1916" s="4" t="str">
        <f>HYPERLINK("https://dpmzos25m8ivg.cloudfront.net/Documentos/631/04403747663/6310440374766311092023160801.jpg","https://dpmzos25m8ivg.cloudfront.net/Documentos/631/04403747663/6310440374766311092023160801.jpg")</f>
        <v>https://dpmzos25m8ivg.cloudfront.net/Documentos/631/04403747663/6310440374766311092023160801.jpg</v>
      </c>
      <c r="F1916" s="5" t="str">
        <f>HYPERLINK("https://dpmzos25m8ivg.cloudfront.net/Documentos/631/04403747663/6310440374766311092023160837.jpg","https://dpmzos25m8ivg.cloudfront.net/Documentos/631/04403747663/6310440374766311092023160837.jpg")</f>
        <v>https://dpmzos25m8ivg.cloudfront.net/Documentos/631/04403747663/6310440374766311092023160837.jpg</v>
      </c>
      <c r="G1916" s="5" t="str">
        <f>HYPERLINK("https://dpmzos25m8ivg.cloudfront.net/Documentos/631/04403747663/6310440374766311092023160920.jpg","https://dpmzos25m8ivg.cloudfront.net/Documentos/631/04403747663/6310440374766311092023160920.jpg")</f>
        <v>https://dpmzos25m8ivg.cloudfront.net/Documentos/631/04403747663/6310440374766311092023160920.jpg</v>
      </c>
      <c r="H1916" s="4" t="s">
        <v>10496</v>
      </c>
    </row>
    <row r="1917" spans="1:8" x14ac:dyDescent="0.25">
      <c r="A1917" s="2" t="s">
        <v>1931</v>
      </c>
      <c r="B1917" s="3" t="s">
        <v>308</v>
      </c>
      <c r="C1917" s="3"/>
      <c r="D1917" s="3"/>
      <c r="E1917" s="4" t="str">
        <f>HYPERLINK("https://dpmzos25m8ivg.cloudfront.net/Documentos/631/04405169438/6310440516943811092023134314.pdf","https://dpmzos25m8ivg.cloudfront.net/Documentos/631/04405169438/6310440516943811092023134314.pdf")</f>
        <v>https://dpmzos25m8ivg.cloudfront.net/Documentos/631/04405169438/6310440516943811092023134314.pdf</v>
      </c>
      <c r="F1917" s="5" t="str">
        <f>HYPERLINK("https://dpmzos25m8ivg.cloudfront.net/Documentos/631/04405169438/6310440516943811092023134332.pdf","https://dpmzos25m8ivg.cloudfront.net/Documentos/631/04405169438/6310440516943811092023134332.pdf")</f>
        <v>https://dpmzos25m8ivg.cloudfront.net/Documentos/631/04405169438/6310440516943811092023134332.pdf</v>
      </c>
      <c r="G1917" s="5" t="str">
        <f>HYPERLINK("https://dpmzos25m8ivg.cloudfront.net/Documentos/631/04405169438/6310440516943811092023134345.pdf","https://dpmzos25m8ivg.cloudfront.net/Documentos/631/04405169438/6310440516943811092023134345.pdf")</f>
        <v>https://dpmzos25m8ivg.cloudfront.net/Documentos/631/04405169438/6310440516943811092023134345.pdf</v>
      </c>
      <c r="H1917" s="4" t="s">
        <v>10497</v>
      </c>
    </row>
    <row r="1918" spans="1:8" x14ac:dyDescent="0.25">
      <c r="A1918" s="2" t="s">
        <v>1932</v>
      </c>
      <c r="B1918" s="3"/>
      <c r="C1918" s="3"/>
      <c r="D1918" s="3"/>
      <c r="E1918" s="4" t="str">
        <f>HYPERLINK("https://dpmzos25m8ivg.cloudfront.net/Documentos/631/04406151192/6310440615119211092023103805.pdf","https://dpmzos25m8ivg.cloudfront.net/Documentos/631/04406151192/6310440615119211092023103805.pdf")</f>
        <v>https://dpmzos25m8ivg.cloudfront.net/Documentos/631/04406151192/6310440615119211092023103805.pdf</v>
      </c>
      <c r="F1918" s="5" t="str">
        <f>HYPERLINK("https://dpmzos25m8ivg.cloudfront.net/Documentos/631/04406151192/6310440615119211092023103812.pdf","https://dpmzos25m8ivg.cloudfront.net/Documentos/631/04406151192/6310440615119211092023103812.pdf")</f>
        <v>https://dpmzos25m8ivg.cloudfront.net/Documentos/631/04406151192/6310440615119211092023103812.pdf</v>
      </c>
      <c r="G1918" s="5" t="str">
        <f>HYPERLINK("https://dpmzos25m8ivg.cloudfront.net/Documentos/631/04406151192/6310440615119211092023103820.pdf","https://dpmzos25m8ivg.cloudfront.net/Documentos/631/04406151192/6310440615119211092023103820.pdf")</f>
        <v>https://dpmzos25m8ivg.cloudfront.net/Documentos/631/04406151192/6310440615119211092023103820.pdf</v>
      </c>
      <c r="H1918" s="4" t="s">
        <v>10498</v>
      </c>
    </row>
    <row r="1919" spans="1:8" x14ac:dyDescent="0.25">
      <c r="A1919" s="2" t="s">
        <v>1933</v>
      </c>
      <c r="B1919" s="3"/>
      <c r="C1919" s="3"/>
      <c r="D1919" s="3"/>
      <c r="E1919" s="4" t="str">
        <f>HYPERLINK("https://dpmzos25m8ivg.cloudfront.net/Documentos/631/04408140570/6310440814057011092023113500.jpg","https://dpmzos25m8ivg.cloudfront.net/Documentos/631/04408140570/6310440814057011092023113500.jpg")</f>
        <v>https://dpmzos25m8ivg.cloudfront.net/Documentos/631/04408140570/6310440814057011092023113500.jpg</v>
      </c>
      <c r="F1919" s="5" t="str">
        <f>HYPERLINK("https://dpmzos25m8ivg.cloudfront.net/Documentos/631/04408140570/6310440814057011092023113516.jpg","https://dpmzos25m8ivg.cloudfront.net/Documentos/631/04408140570/6310440814057011092023113516.jpg")</f>
        <v>https://dpmzos25m8ivg.cloudfront.net/Documentos/631/04408140570/6310440814057011092023113516.jpg</v>
      </c>
      <c r="G1919" s="5" t="str">
        <f>HYPERLINK("https://dpmzos25m8ivg.cloudfront.net/Documentos/631/04408140570/6310440814057011092023113530.jpg","https://dpmzos25m8ivg.cloudfront.net/Documentos/631/04408140570/6310440814057011092023113530.jpg")</f>
        <v>https://dpmzos25m8ivg.cloudfront.net/Documentos/631/04408140570/6310440814057011092023113530.jpg</v>
      </c>
      <c r="H1919" s="4" t="s">
        <v>10499</v>
      </c>
    </row>
    <row r="1920" spans="1:8" x14ac:dyDescent="0.25">
      <c r="A1920" s="2" t="s">
        <v>1934</v>
      </c>
      <c r="B1920" s="3"/>
      <c r="C1920" s="3"/>
      <c r="D1920" s="3"/>
      <c r="E1920" s="4" t="str">
        <f>HYPERLINK("https://dpmzos25m8ivg.cloudfront.net/Documentos/631/04408196363/6310440819636310092023201407.pdf","https://dpmzos25m8ivg.cloudfront.net/Documentos/631/04408196363/6310440819636310092023201407.pdf")</f>
        <v>https://dpmzos25m8ivg.cloudfront.net/Documentos/631/04408196363/6310440819636310092023201407.pdf</v>
      </c>
      <c r="F1920" s="5" t="str">
        <f>HYPERLINK("https://dpmzos25m8ivg.cloudfront.net/Documentos/631/04408196363/6310440819636310092023201510.pdf","https://dpmzos25m8ivg.cloudfront.net/Documentos/631/04408196363/6310440819636310092023201510.pdf")</f>
        <v>https://dpmzos25m8ivg.cloudfront.net/Documentos/631/04408196363/6310440819636310092023201510.pdf</v>
      </c>
      <c r="G1920" s="5" t="str">
        <f>HYPERLINK("https://dpmzos25m8ivg.cloudfront.net/Documentos/631/04408196363/6310440819636310092023201530.pdf","https://dpmzos25m8ivg.cloudfront.net/Documentos/631/04408196363/6310440819636310092023201530.pdf")</f>
        <v>https://dpmzos25m8ivg.cloudfront.net/Documentos/631/04408196363/6310440819636310092023201530.pdf</v>
      </c>
      <c r="H1920" s="4" t="s">
        <v>10500</v>
      </c>
    </row>
    <row r="1921" spans="1:8" x14ac:dyDescent="0.25">
      <c r="A1921" s="2" t="s">
        <v>1935</v>
      </c>
      <c r="B1921" s="3"/>
      <c r="C1921" s="3"/>
      <c r="D1921" s="3"/>
      <c r="E1921" s="4" t="str">
        <f>HYPERLINK("https://dpmzos25m8ivg.cloudfront.net/Documentos/631/04409488198/6310440948819814092023162640.pdf","https://dpmzos25m8ivg.cloudfront.net/Documentos/631/04409488198/6310440948819814092023162640.pdf")</f>
        <v>https://dpmzos25m8ivg.cloudfront.net/Documentos/631/04409488198/6310440948819814092023162640.pdf</v>
      </c>
      <c r="F1921" s="5" t="str">
        <f>HYPERLINK("https://dpmzos25m8ivg.cloudfront.net/Documentos/631/04409488198/6310440948819814092023162653.pdf","https://dpmzos25m8ivg.cloudfront.net/Documentos/631/04409488198/6310440948819814092023162653.pdf")</f>
        <v>https://dpmzos25m8ivg.cloudfront.net/Documentos/631/04409488198/6310440948819814092023162653.pdf</v>
      </c>
      <c r="G1921" s="5" t="str">
        <f>HYPERLINK("https://dpmzos25m8ivg.cloudfront.net/Documentos/631/04409488198/6310440948819814092023162708.pdf","https://dpmzos25m8ivg.cloudfront.net/Documentos/631/04409488198/6310440948819814092023162708.pdf")</f>
        <v>https://dpmzos25m8ivg.cloudfront.net/Documentos/631/04409488198/6310440948819814092023162708.pdf</v>
      </c>
      <c r="H1921" s="4" t="s">
        <v>10501</v>
      </c>
    </row>
    <row r="1922" spans="1:8" x14ac:dyDescent="0.25">
      <c r="A1922" s="2" t="s">
        <v>1936</v>
      </c>
      <c r="B1922" s="3"/>
      <c r="C1922" s="3"/>
      <c r="D1922" s="3"/>
      <c r="E1922" s="4" t="str">
        <f>HYPERLINK("https://dpmzos25m8ivg.cloudfront.net/Documentos/631/04413981383/6310441398138311092023122740.jpg","https://dpmzos25m8ivg.cloudfront.net/Documentos/631/04413981383/6310441398138311092023122740.jpg")</f>
        <v>https://dpmzos25m8ivg.cloudfront.net/Documentos/631/04413981383/6310441398138311092023122740.jpg</v>
      </c>
      <c r="F1922" s="5" t="str">
        <f>HYPERLINK("https://dpmzos25m8ivg.cloudfront.net/Documentos/631/04413981383/6310441398138311092023122758.jpg","https://dpmzos25m8ivg.cloudfront.net/Documentos/631/04413981383/6310441398138311092023122758.jpg")</f>
        <v>https://dpmzos25m8ivg.cloudfront.net/Documentos/631/04413981383/6310441398138311092023122758.jpg</v>
      </c>
      <c r="G1922" s="5" t="str">
        <f>HYPERLINK("https://dpmzos25m8ivg.cloudfront.net/Documentos/631/04413981383/6310441398138311092023122816.jpg","https://dpmzos25m8ivg.cloudfront.net/Documentos/631/04413981383/6310441398138311092023122816.jpg")</f>
        <v>https://dpmzos25m8ivg.cloudfront.net/Documentos/631/04413981383/6310441398138311092023122816.jpg</v>
      </c>
      <c r="H1922" s="4" t="s">
        <v>10502</v>
      </c>
    </row>
    <row r="1923" spans="1:8" x14ac:dyDescent="0.25">
      <c r="A1923" s="2" t="s">
        <v>1937</v>
      </c>
      <c r="B1923" s="3"/>
      <c r="C1923" s="3"/>
      <c r="D1923" s="3"/>
      <c r="E1923" s="4" t="str">
        <f>HYPERLINK("https://dpmzos25m8ivg.cloudfront.net/Documentos/631/04414678226/6310441467822610092023170045.pdf","https://dpmzos25m8ivg.cloudfront.net/Documentos/631/04414678226/6310441467822610092023170045.pdf")</f>
        <v>https://dpmzos25m8ivg.cloudfront.net/Documentos/631/04414678226/6310441467822610092023170045.pdf</v>
      </c>
      <c r="F1923" s="5" t="str">
        <f>HYPERLINK("https://dpmzos25m8ivg.cloudfront.net/Documentos/631/04414678226/6310441467822610092023170333.pdf","https://dpmzos25m8ivg.cloudfront.net/Documentos/631/04414678226/6310441467822610092023170333.pdf")</f>
        <v>https://dpmzos25m8ivg.cloudfront.net/Documentos/631/04414678226/6310441467822610092023170333.pdf</v>
      </c>
      <c r="G1923" s="5" t="str">
        <f>HYPERLINK("https://dpmzos25m8ivg.cloudfront.net/Documentos/631/04414678226/6310441467822610092023170445.pdf","https://dpmzos25m8ivg.cloudfront.net/Documentos/631/04414678226/6310441467822610092023170445.pdf")</f>
        <v>https://dpmzos25m8ivg.cloudfront.net/Documentos/631/04414678226/6310441467822610092023170445.pdf</v>
      </c>
      <c r="H1923" s="4" t="s">
        <v>10503</v>
      </c>
    </row>
    <row r="1924" spans="1:8" x14ac:dyDescent="0.25">
      <c r="A1924" s="2" t="s">
        <v>1938</v>
      </c>
      <c r="B1924" s="3"/>
      <c r="C1924" s="3"/>
      <c r="D1924" s="3"/>
      <c r="E1924" s="4" t="str">
        <f>HYPERLINK("https://dpmzos25m8ivg.cloudfront.net/Documentos/631/04415343503/6310441534350310092023202318.pdf","https://dpmzos25m8ivg.cloudfront.net/Documentos/631/04415343503/6310441534350310092023202318.pdf")</f>
        <v>https://dpmzos25m8ivg.cloudfront.net/Documentos/631/04415343503/6310441534350310092023202318.pdf</v>
      </c>
      <c r="F1924" s="5" t="str">
        <f>HYPERLINK("https://dpmzos25m8ivg.cloudfront.net/Documentos/631/04415343503/6310441534350310092023202326.pdf","https://dpmzos25m8ivg.cloudfront.net/Documentos/631/04415343503/6310441534350310092023202326.pdf")</f>
        <v>https://dpmzos25m8ivg.cloudfront.net/Documentos/631/04415343503/6310441534350310092023202326.pdf</v>
      </c>
      <c r="G1924" s="5" t="str">
        <f>HYPERLINK("https://dpmzos25m8ivg.cloudfront.net/Documentos/631/04415343503/6310441534350310092023202334.pdf","https://dpmzos25m8ivg.cloudfront.net/Documentos/631/04415343503/6310441534350310092023202334.pdf")</f>
        <v>https://dpmzos25m8ivg.cloudfront.net/Documentos/631/04415343503/6310441534350310092023202334.pdf</v>
      </c>
      <c r="H1924" s="4" t="s">
        <v>10504</v>
      </c>
    </row>
    <row r="1925" spans="1:8" x14ac:dyDescent="0.25">
      <c r="A1925" s="2" t="s">
        <v>1939</v>
      </c>
      <c r="B1925" s="3"/>
      <c r="C1925" s="3"/>
      <c r="D1925" s="3"/>
      <c r="E1925" s="4" t="str">
        <f>HYPERLINK("https://dpmzos25m8ivg.cloudfront.net/Documentos/631/04415592554/6310441559255405092023164853.pdf","https://dpmzos25m8ivg.cloudfront.net/Documentos/631/04415592554/6310441559255405092023164853.pdf")</f>
        <v>https://dpmzos25m8ivg.cloudfront.net/Documentos/631/04415592554/6310441559255405092023164853.pdf</v>
      </c>
      <c r="F1925" s="5" t="str">
        <f>HYPERLINK("https://dpmzos25m8ivg.cloudfront.net/Documentos/631/04415592554/6310441559255405092023164955.pdf","https://dpmzos25m8ivg.cloudfront.net/Documentos/631/04415592554/6310441559255405092023164955.pdf")</f>
        <v>https://dpmzos25m8ivg.cloudfront.net/Documentos/631/04415592554/6310441559255405092023164955.pdf</v>
      </c>
      <c r="G1925" s="5" t="str">
        <f>HYPERLINK("https://dpmzos25m8ivg.cloudfront.net/Documentos/631/04415592554/6310441559255405092023165118.pdf","https://dpmzos25m8ivg.cloudfront.net/Documentos/631/04415592554/6310441559255405092023165118.pdf")</f>
        <v>https://dpmzos25m8ivg.cloudfront.net/Documentos/631/04415592554/6310441559255405092023165118.pdf</v>
      </c>
      <c r="H1925" s="4" t="s">
        <v>10505</v>
      </c>
    </row>
    <row r="1926" spans="1:8" x14ac:dyDescent="0.25">
      <c r="A1926" s="2" t="s">
        <v>1940</v>
      </c>
      <c r="B1926" s="3"/>
      <c r="C1926" s="3"/>
      <c r="D1926" s="3"/>
      <c r="E1926" s="4" t="str">
        <f>HYPERLINK("https://dpmzos25m8ivg.cloudfront.net/Documentos/631/04416282222/6310441628222214092023163011.pdf","https://dpmzos25m8ivg.cloudfront.net/Documentos/631/04416282222/6310441628222214092023163011.pdf")</f>
        <v>https://dpmzos25m8ivg.cloudfront.net/Documentos/631/04416282222/6310441628222214092023163011.pdf</v>
      </c>
      <c r="F1926" s="5" t="str">
        <f>HYPERLINK("https://dpmzos25m8ivg.cloudfront.net/Documentos/631/04416282222/6310441628222214092023163026.pdf","https://dpmzos25m8ivg.cloudfront.net/Documentos/631/04416282222/6310441628222214092023163026.pdf")</f>
        <v>https://dpmzos25m8ivg.cloudfront.net/Documentos/631/04416282222/6310441628222214092023163026.pdf</v>
      </c>
      <c r="G1926" s="5" t="str">
        <f>HYPERLINK("https://dpmzos25m8ivg.cloudfront.net/Documentos/631/04416282222/6310441628222214092023163039.pdf","https://dpmzos25m8ivg.cloudfront.net/Documentos/631/04416282222/6310441628222214092023163039.pdf")</f>
        <v>https://dpmzos25m8ivg.cloudfront.net/Documentos/631/04416282222/6310441628222214092023163039.pdf</v>
      </c>
      <c r="H1926" s="4" t="s">
        <v>10506</v>
      </c>
    </row>
    <row r="1927" spans="1:8" x14ac:dyDescent="0.25">
      <c r="A1927" s="2" t="s">
        <v>1941</v>
      </c>
      <c r="B1927" s="3"/>
      <c r="C1927" s="3"/>
      <c r="D1927" s="3"/>
      <c r="E1927" s="4" t="str">
        <f>HYPERLINK("https://dpmzos25m8ivg.cloudfront.net/Documentos/631/04419198559/6310441919855911092023170811.pdf","https://dpmzos25m8ivg.cloudfront.net/Documentos/631/04419198559/6310441919855911092023170811.pdf")</f>
        <v>https://dpmzos25m8ivg.cloudfront.net/Documentos/631/04419198559/6310441919855911092023170811.pdf</v>
      </c>
      <c r="F1927" s="5" t="str">
        <f>HYPERLINK("https://dpmzos25m8ivg.cloudfront.net/Documentos/631/04419198559/6310441919855911092023170821.pdf","https://dpmzos25m8ivg.cloudfront.net/Documentos/631/04419198559/6310441919855911092023170821.pdf")</f>
        <v>https://dpmzos25m8ivg.cloudfront.net/Documentos/631/04419198559/6310441919855911092023170821.pdf</v>
      </c>
      <c r="G1927" s="5" t="str">
        <f>HYPERLINK("https://dpmzos25m8ivg.cloudfront.net/Documentos/631/04419198559/6310441919855911092023170949.pdf","https://dpmzos25m8ivg.cloudfront.net/Documentos/631/04419198559/6310441919855911092023170949.pdf")</f>
        <v>https://dpmzos25m8ivg.cloudfront.net/Documentos/631/04419198559/6310441919855911092023170949.pdf</v>
      </c>
      <c r="H1927" s="4" t="s">
        <v>10507</v>
      </c>
    </row>
    <row r="1928" spans="1:8" x14ac:dyDescent="0.25">
      <c r="A1928" s="2" t="s">
        <v>1942</v>
      </c>
      <c r="B1928" s="3"/>
      <c r="C1928" s="3"/>
      <c r="D1928" s="3"/>
      <c r="E1928" s="4" t="str">
        <f>HYPERLINK("https://dpmzos25m8ivg.cloudfront.net/Documentos/631/04423109271/6310442310927111092023163824.pdf","https://dpmzos25m8ivg.cloudfront.net/Documentos/631/04423109271/6310442310927111092023163824.pdf")</f>
        <v>https://dpmzos25m8ivg.cloudfront.net/Documentos/631/04423109271/6310442310927111092023163824.pdf</v>
      </c>
      <c r="F1928" s="5" t="str">
        <f>HYPERLINK("https://dpmzos25m8ivg.cloudfront.net/Documentos/631/04423109271/6310442310927111092023163833.pdf","https://dpmzos25m8ivg.cloudfront.net/Documentos/631/04423109271/6310442310927111092023163833.pdf")</f>
        <v>https://dpmzos25m8ivg.cloudfront.net/Documentos/631/04423109271/6310442310927111092023163833.pdf</v>
      </c>
      <c r="G1928" s="5" t="str">
        <f>HYPERLINK("https://dpmzos25m8ivg.cloudfront.net/Documentos/631/04423109271/6310442310927111092023163847.pdf","https://dpmzos25m8ivg.cloudfront.net/Documentos/631/04423109271/6310442310927111092023163847.pdf")</f>
        <v>https://dpmzos25m8ivg.cloudfront.net/Documentos/631/04423109271/6310442310927111092023163847.pdf</v>
      </c>
      <c r="H1928" s="4" t="s">
        <v>10508</v>
      </c>
    </row>
    <row r="1929" spans="1:8" x14ac:dyDescent="0.25">
      <c r="A1929" s="2" t="s">
        <v>1943</v>
      </c>
      <c r="B1929" s="3"/>
      <c r="C1929" s="3"/>
      <c r="D1929" s="3"/>
      <c r="E1929" s="4" t="str">
        <f>HYPERLINK("https://dpmzos25m8ivg.cloudfront.net/Documentos/631/04423404940/6310442340494011092023103601.pdf","https://dpmzos25m8ivg.cloudfront.net/Documentos/631/04423404940/6310442340494011092023103601.pdf")</f>
        <v>https://dpmzos25m8ivg.cloudfront.net/Documentos/631/04423404940/6310442340494011092023103601.pdf</v>
      </c>
      <c r="F1929" s="5" t="str">
        <f>HYPERLINK("https://dpmzos25m8ivg.cloudfront.net/Documentos/631/04423404940/6310442340494011092023103616.pdf","https://dpmzos25m8ivg.cloudfront.net/Documentos/631/04423404940/6310442340494011092023103616.pdf")</f>
        <v>https://dpmzos25m8ivg.cloudfront.net/Documentos/631/04423404940/6310442340494011092023103616.pdf</v>
      </c>
      <c r="G1929" s="5" t="str">
        <f>HYPERLINK("https://dpmzos25m8ivg.cloudfront.net/Documentos/631/04423404940/6310442340494011092023103628.pdf","https://dpmzos25m8ivg.cloudfront.net/Documentos/631/04423404940/6310442340494011092023103628.pdf")</f>
        <v>https://dpmzos25m8ivg.cloudfront.net/Documentos/631/04423404940/6310442340494011092023103628.pdf</v>
      </c>
      <c r="H1929" s="4" t="s">
        <v>10509</v>
      </c>
    </row>
    <row r="1930" spans="1:8" x14ac:dyDescent="0.25">
      <c r="A1930" s="2" t="s">
        <v>1944</v>
      </c>
      <c r="B1930" s="3" t="s">
        <v>308</v>
      </c>
      <c r="C1930" s="3"/>
      <c r="D1930" s="3"/>
      <c r="E1930" s="4" t="str">
        <f>HYPERLINK("https://dpmzos25m8ivg.cloudfront.net/Documentos/631/04423499126/6310442349912614092023142422.pdf","https://dpmzos25m8ivg.cloudfront.net/Documentos/631/04423499126/6310442349912614092023142422.pdf")</f>
        <v>https://dpmzos25m8ivg.cloudfront.net/Documentos/631/04423499126/6310442349912614092023142422.pdf</v>
      </c>
      <c r="F1930" s="5" t="str">
        <f>HYPERLINK("https://dpmzos25m8ivg.cloudfront.net/Documentos/631/04423499126/6310442349912614092023142540.pdf","https://dpmzos25m8ivg.cloudfront.net/Documentos/631/04423499126/6310442349912614092023142540.pdf")</f>
        <v>https://dpmzos25m8ivg.cloudfront.net/Documentos/631/04423499126/6310442349912614092023142540.pdf</v>
      </c>
      <c r="G1930" s="5" t="str">
        <f>HYPERLINK("https://dpmzos25m8ivg.cloudfront.net/Documentos/631/04423499126/6310442349912614092023142607.pdf","https://dpmzos25m8ivg.cloudfront.net/Documentos/631/04423499126/6310442349912614092023142607.pdf")</f>
        <v>https://dpmzos25m8ivg.cloudfront.net/Documentos/631/04423499126/6310442349912614092023142607.pdf</v>
      </c>
      <c r="H1930" s="4" t="s">
        <v>10510</v>
      </c>
    </row>
    <row r="1931" spans="1:8" x14ac:dyDescent="0.25">
      <c r="A1931" s="2" t="s">
        <v>1945</v>
      </c>
      <c r="B1931" s="3" t="s">
        <v>312</v>
      </c>
      <c r="C1931" s="3"/>
      <c r="D1931" s="3"/>
      <c r="E1931" s="4" t="str">
        <f>HYPERLINK("https://dpmzos25m8ivg.cloudfront.net/Documentos/631/04426233135/6310442623313514092023104522.pdf","https://dpmzos25m8ivg.cloudfront.net/Documentos/631/04426233135/6310442623313514092023104522.pdf")</f>
        <v>https://dpmzos25m8ivg.cloudfront.net/Documentos/631/04426233135/6310442623313514092023104522.pdf</v>
      </c>
      <c r="F1931" s="5" t="str">
        <f>HYPERLINK("https://dpmzos25m8ivg.cloudfront.net/Documentos/631/04426233135/6310442623313514092023104535.pdf","https://dpmzos25m8ivg.cloudfront.net/Documentos/631/04426233135/6310442623313514092023104535.pdf")</f>
        <v>https://dpmzos25m8ivg.cloudfront.net/Documentos/631/04426233135/6310442623313514092023104535.pdf</v>
      </c>
      <c r="G1931" s="5" t="str">
        <f>HYPERLINK("https://dpmzos25m8ivg.cloudfront.net/Documentos/631/04426233135/6310442623313514092023104546.pdf","https://dpmzos25m8ivg.cloudfront.net/Documentos/631/04426233135/6310442623313514092023104546.pdf")</f>
        <v>https://dpmzos25m8ivg.cloudfront.net/Documentos/631/04426233135/6310442623313514092023104546.pdf</v>
      </c>
      <c r="H1931" s="4" t="s">
        <v>10511</v>
      </c>
    </row>
    <row r="1932" spans="1:8" x14ac:dyDescent="0.25">
      <c r="A1932" s="2" t="s">
        <v>1946</v>
      </c>
      <c r="B1932" s="3"/>
      <c r="C1932" s="3"/>
      <c r="D1932" s="3"/>
      <c r="E1932" s="4" t="str">
        <f>HYPERLINK("https://dpmzos25m8ivg.cloudfront.net/Documentos/631/04426846579/6310442684657911092023102945.jpeg","https://dpmzos25m8ivg.cloudfront.net/Documentos/631/04426846579/6310442684657911092023102945.jpeg")</f>
        <v>https://dpmzos25m8ivg.cloudfront.net/Documentos/631/04426846579/6310442684657911092023102945.jpeg</v>
      </c>
      <c r="F1932" s="5" t="str">
        <f>HYPERLINK("https://dpmzos25m8ivg.cloudfront.net/Documentos/631/04426846579/6310442684657911092023102957.jpeg","https://dpmzos25m8ivg.cloudfront.net/Documentos/631/04426846579/6310442684657911092023102957.jpeg")</f>
        <v>https://dpmzos25m8ivg.cloudfront.net/Documentos/631/04426846579/6310442684657911092023102957.jpeg</v>
      </c>
      <c r="G1932" s="5" t="str">
        <f>HYPERLINK("https://dpmzos25m8ivg.cloudfront.net/Documentos/631/04426846579/6310442684657911092023103006.jpeg","https://dpmzos25m8ivg.cloudfront.net/Documentos/631/04426846579/6310442684657911092023103006.jpeg")</f>
        <v>https://dpmzos25m8ivg.cloudfront.net/Documentos/631/04426846579/6310442684657911092023103006.jpeg</v>
      </c>
      <c r="H1932" s="4" t="s">
        <v>10512</v>
      </c>
    </row>
    <row r="1933" spans="1:8" x14ac:dyDescent="0.25">
      <c r="A1933" s="2" t="s">
        <v>1947</v>
      </c>
      <c r="B1933" s="3"/>
      <c r="C1933" s="3"/>
      <c r="D1933" s="3"/>
      <c r="E1933" s="4" t="str">
        <f>HYPERLINK("https://dpmzos25m8ivg.cloudfront.net/Documentos/631/04427265383/6310442726538311092023164618.pdf","https://dpmzos25m8ivg.cloudfront.net/Documentos/631/04427265383/6310442726538311092023164618.pdf")</f>
        <v>https://dpmzos25m8ivg.cloudfront.net/Documentos/631/04427265383/6310442726538311092023164618.pdf</v>
      </c>
      <c r="F1933" s="5" t="str">
        <f>HYPERLINK("https://dpmzos25m8ivg.cloudfront.net/Documentos/631/04427265383/6310442726538311092023164631.pdf","https://dpmzos25m8ivg.cloudfront.net/Documentos/631/04427265383/6310442726538311092023164631.pdf")</f>
        <v>https://dpmzos25m8ivg.cloudfront.net/Documentos/631/04427265383/6310442726538311092023164631.pdf</v>
      </c>
      <c r="G1933" s="5" t="str">
        <f>HYPERLINK("https://dpmzos25m8ivg.cloudfront.net/Documentos/631/04427265383/6310442726538311092023164643.pdf","https://dpmzos25m8ivg.cloudfront.net/Documentos/631/04427265383/6310442726538311092023164643.pdf")</f>
        <v>https://dpmzos25m8ivg.cloudfront.net/Documentos/631/04427265383/6310442726538311092023164643.pdf</v>
      </c>
      <c r="H1933" s="4" t="s">
        <v>10513</v>
      </c>
    </row>
    <row r="1934" spans="1:8" x14ac:dyDescent="0.25">
      <c r="A1934" s="2" t="s">
        <v>1948</v>
      </c>
      <c r="B1934" s="3" t="s">
        <v>23</v>
      </c>
      <c r="C1934" s="3"/>
      <c r="D1934" s="3"/>
      <c r="E1934" s="4" t="str">
        <f>HYPERLINK("https://dpmzos25m8ivg.cloudfront.net/Documentos/631/04431445323/6310443144532311092023033304.pdf","https://dpmzos25m8ivg.cloudfront.net/Documentos/631/04431445323/6310443144532311092023033304.pdf")</f>
        <v>https://dpmzos25m8ivg.cloudfront.net/Documentos/631/04431445323/6310443144532311092023033304.pdf</v>
      </c>
      <c r="F1934" s="5" t="str">
        <f>HYPERLINK("https://dpmzos25m8ivg.cloudfront.net/Documentos/631/04431445323/6310443144532311092023033327.pdf","https://dpmzos25m8ivg.cloudfront.net/Documentos/631/04431445323/6310443144532311092023033327.pdf")</f>
        <v>https://dpmzos25m8ivg.cloudfront.net/Documentos/631/04431445323/6310443144532311092023033327.pdf</v>
      </c>
      <c r="G1934" s="5" t="str">
        <f>HYPERLINK("https://dpmzos25m8ivg.cloudfront.net/Documentos/631/04431445323/6310443144532311092023033355.pdf","https://dpmzos25m8ivg.cloudfront.net/Documentos/631/04431445323/6310443144532311092023033355.pdf")</f>
        <v>https://dpmzos25m8ivg.cloudfront.net/Documentos/631/04431445323/6310443144532311092023033355.pdf</v>
      </c>
      <c r="H1934" s="4" t="s">
        <v>10514</v>
      </c>
    </row>
    <row r="1935" spans="1:8" x14ac:dyDescent="0.25">
      <c r="A1935" s="2" t="s">
        <v>1949</v>
      </c>
      <c r="B1935" s="3"/>
      <c r="C1935" s="3"/>
      <c r="D1935" s="3"/>
      <c r="E1935" s="4" t="str">
        <f>HYPERLINK("https://dpmzos25m8ivg.cloudfront.net/Documentos/631/04431678182/6310443167818205092023161624.pdf","https://dpmzos25m8ivg.cloudfront.net/Documentos/631/04431678182/6310443167818205092023161624.pdf")</f>
        <v>https://dpmzos25m8ivg.cloudfront.net/Documentos/631/04431678182/6310443167818205092023161624.pdf</v>
      </c>
      <c r="F1935" s="5" t="str">
        <f>HYPERLINK("https://dpmzos25m8ivg.cloudfront.net/Documentos/631/04431678182/6310443167818205092023161635.pdf","https://dpmzos25m8ivg.cloudfront.net/Documentos/631/04431678182/6310443167818205092023161635.pdf")</f>
        <v>https://dpmzos25m8ivg.cloudfront.net/Documentos/631/04431678182/6310443167818205092023161635.pdf</v>
      </c>
      <c r="G1935" s="5" t="str">
        <f>HYPERLINK("https://dpmzos25m8ivg.cloudfront.net/Documentos/631/04431678182/6310443167818205092023161643.pdf","https://dpmzos25m8ivg.cloudfront.net/Documentos/631/04431678182/6310443167818205092023161643.pdf")</f>
        <v>https://dpmzos25m8ivg.cloudfront.net/Documentos/631/04431678182/6310443167818205092023161643.pdf</v>
      </c>
      <c r="H1935" s="4" t="s">
        <v>10515</v>
      </c>
    </row>
    <row r="1936" spans="1:8" x14ac:dyDescent="0.25">
      <c r="A1936" s="2" t="s">
        <v>1950</v>
      </c>
      <c r="B1936" s="3" t="s">
        <v>312</v>
      </c>
      <c r="C1936" s="3"/>
      <c r="D1936" s="3"/>
      <c r="E1936" s="4" t="str">
        <f>HYPERLINK("https://dpmzos25m8ivg.cloudfront.net/Documentos/631/04438628180/6310443862818005092023181703.pdf","https://dpmzos25m8ivg.cloudfront.net/Documentos/631/04438628180/6310443862818005092023181703.pdf")</f>
        <v>https://dpmzos25m8ivg.cloudfront.net/Documentos/631/04438628180/6310443862818005092023181703.pdf</v>
      </c>
      <c r="F1936" s="5" t="str">
        <f>HYPERLINK("https://dpmzos25m8ivg.cloudfront.net/Documentos/631/04438628180/6310443862818005092023181722.pdf","https://dpmzos25m8ivg.cloudfront.net/Documentos/631/04438628180/6310443862818005092023181722.pdf")</f>
        <v>https://dpmzos25m8ivg.cloudfront.net/Documentos/631/04438628180/6310443862818005092023181722.pdf</v>
      </c>
      <c r="G1936" s="5" t="str">
        <f>HYPERLINK("https://dpmzos25m8ivg.cloudfront.net/Documentos/631/04438628180/6310443862818005092023181748.pdf","https://dpmzos25m8ivg.cloudfront.net/Documentos/631/04438628180/6310443862818005092023181748.pdf")</f>
        <v>https://dpmzos25m8ivg.cloudfront.net/Documentos/631/04438628180/6310443862818005092023181748.pdf</v>
      </c>
      <c r="H1936" s="4" t="s">
        <v>10516</v>
      </c>
    </row>
    <row r="1937" spans="1:8" x14ac:dyDescent="0.25">
      <c r="A1937" s="2" t="s">
        <v>1951</v>
      </c>
      <c r="B1937" s="3"/>
      <c r="C1937" s="3"/>
      <c r="D1937" s="3"/>
      <c r="E1937" s="4" t="str">
        <f>HYPERLINK("https://dpmzos25m8ivg.cloudfront.net/Documentos/631/04440260373/6310444026037310092023231325.pdf","https://dpmzos25m8ivg.cloudfront.net/Documentos/631/04440260373/6310444026037310092023231325.pdf")</f>
        <v>https://dpmzos25m8ivg.cloudfront.net/Documentos/631/04440260373/6310444026037310092023231325.pdf</v>
      </c>
      <c r="F1937" s="5" t="str">
        <f>HYPERLINK("https://dpmzos25m8ivg.cloudfront.net/Documentos/631/04440260373/6310444026037310092023231335.pdf","https://dpmzos25m8ivg.cloudfront.net/Documentos/631/04440260373/6310444026037310092023231335.pdf")</f>
        <v>https://dpmzos25m8ivg.cloudfront.net/Documentos/631/04440260373/6310444026037310092023231335.pdf</v>
      </c>
      <c r="G1937" s="5" t="str">
        <f>HYPERLINK("https://dpmzos25m8ivg.cloudfront.net/Documentos/631/04440260373/6310444026037310092023231344.pdf","https://dpmzos25m8ivg.cloudfront.net/Documentos/631/04440260373/6310444026037310092023231344.pdf")</f>
        <v>https://dpmzos25m8ivg.cloudfront.net/Documentos/631/04440260373/6310444026037310092023231344.pdf</v>
      </c>
      <c r="H1937" s="4" t="s">
        <v>10517</v>
      </c>
    </row>
    <row r="1938" spans="1:8" x14ac:dyDescent="0.25">
      <c r="A1938" s="2" t="s">
        <v>1952</v>
      </c>
      <c r="B1938" s="3"/>
      <c r="C1938" s="3"/>
      <c r="D1938" s="3"/>
      <c r="E1938" s="4" t="str">
        <f>HYPERLINK("https://dpmzos25m8ivg.cloudfront.net/Documentos/631/04443503145/6310444350314511092023154513.pdf","https://dpmzos25m8ivg.cloudfront.net/Documentos/631/04443503145/6310444350314511092023154513.pdf")</f>
        <v>https://dpmzos25m8ivg.cloudfront.net/Documentos/631/04443503145/6310444350314511092023154513.pdf</v>
      </c>
      <c r="F1938" s="5" t="str">
        <f>HYPERLINK("https://dpmzos25m8ivg.cloudfront.net/Documentos/631/04443503145/6310444350314511092023154523.pdf","https://dpmzos25m8ivg.cloudfront.net/Documentos/631/04443503145/6310444350314511092023154523.pdf")</f>
        <v>https://dpmzos25m8ivg.cloudfront.net/Documentos/631/04443503145/6310444350314511092023154523.pdf</v>
      </c>
      <c r="G1938" s="5" t="str">
        <f>HYPERLINK("https://dpmzos25m8ivg.cloudfront.net/Documentos/631/04443503145/6310444350314511092023154536.pdf","https://dpmzos25m8ivg.cloudfront.net/Documentos/631/04443503145/6310444350314511092023154536.pdf")</f>
        <v>https://dpmzos25m8ivg.cloudfront.net/Documentos/631/04443503145/6310444350314511092023154536.pdf</v>
      </c>
      <c r="H1938" s="4" t="s">
        <v>10518</v>
      </c>
    </row>
    <row r="1939" spans="1:8" x14ac:dyDescent="0.25">
      <c r="A1939" s="2" t="s">
        <v>1953</v>
      </c>
      <c r="B1939" s="3"/>
      <c r="C1939" s="3"/>
      <c r="D1939" s="3"/>
      <c r="E1939" s="4" t="str">
        <f>HYPERLINK("https://dpmzos25m8ivg.cloudfront.net/Documentos/631/04444223588/6310444422358810092023122603.jpg","https://dpmzos25m8ivg.cloudfront.net/Documentos/631/04444223588/6310444422358810092023122603.jpg")</f>
        <v>https://dpmzos25m8ivg.cloudfront.net/Documentos/631/04444223588/6310444422358810092023122603.jpg</v>
      </c>
      <c r="F1939" s="5" t="str">
        <f>HYPERLINK("https://dpmzos25m8ivg.cloudfront.net/Documentos/631/04444223588/6310444422358810092023122618.jpg","https://dpmzos25m8ivg.cloudfront.net/Documentos/631/04444223588/6310444422358810092023122618.jpg")</f>
        <v>https://dpmzos25m8ivg.cloudfront.net/Documentos/631/04444223588/6310444422358810092023122618.jpg</v>
      </c>
      <c r="G1939" s="5" t="str">
        <f>HYPERLINK("https://dpmzos25m8ivg.cloudfront.net/Documentos/631/04444223588/6310444422358810092023122631.jpg","https://dpmzos25m8ivg.cloudfront.net/Documentos/631/04444223588/6310444422358810092023122631.jpg")</f>
        <v>https://dpmzos25m8ivg.cloudfront.net/Documentos/631/04444223588/6310444422358810092023122631.jpg</v>
      </c>
      <c r="H1939" s="4" t="s">
        <v>10519</v>
      </c>
    </row>
    <row r="1940" spans="1:8" x14ac:dyDescent="0.25">
      <c r="A1940" s="2" t="s">
        <v>1954</v>
      </c>
      <c r="B1940" s="3"/>
      <c r="C1940" s="3"/>
      <c r="D1940" s="3"/>
      <c r="E1940" s="4" t="str">
        <f>HYPERLINK("https://dpmzos25m8ivg.cloudfront.net/Documentos/631/04445445185/6310444544518509092023140849.pdf","https://dpmzos25m8ivg.cloudfront.net/Documentos/631/04445445185/6310444544518509092023140849.pdf")</f>
        <v>https://dpmzos25m8ivg.cloudfront.net/Documentos/631/04445445185/6310444544518509092023140849.pdf</v>
      </c>
      <c r="F1940" s="5" t="str">
        <f>HYPERLINK("https://dpmzos25m8ivg.cloudfront.net/Documentos/631/04445445185/6310444544518509092023141210.pdf","https://dpmzos25m8ivg.cloudfront.net/Documentos/631/04445445185/6310444544518509092023141210.pdf")</f>
        <v>https://dpmzos25m8ivg.cloudfront.net/Documentos/631/04445445185/6310444544518509092023141210.pdf</v>
      </c>
      <c r="G1940" s="5" t="str">
        <f>HYPERLINK("https://dpmzos25m8ivg.cloudfront.net/Documentos/631/04445445185/6310444544518509092023140447.pdf","https://dpmzos25m8ivg.cloudfront.net/Documentos/631/04445445185/6310444544518509092023140447.pdf")</f>
        <v>https://dpmzos25m8ivg.cloudfront.net/Documentos/631/04445445185/6310444544518509092023140447.pdf</v>
      </c>
      <c r="H1940" s="4" t="s">
        <v>10520</v>
      </c>
    </row>
    <row r="1941" spans="1:8" x14ac:dyDescent="0.25">
      <c r="A1941" s="2" t="s">
        <v>1955</v>
      </c>
      <c r="B1941" s="3"/>
      <c r="C1941" s="3"/>
      <c r="D1941" s="3"/>
      <c r="E1941" s="4" t="str">
        <f>HYPERLINK("https://dpmzos25m8ivg.cloudfront.net/Documentos/631/04446627317/6310444662731711092023151843.jpeg","https://dpmzos25m8ivg.cloudfront.net/Documentos/631/04446627317/6310444662731711092023151843.jpeg")</f>
        <v>https://dpmzos25m8ivg.cloudfront.net/Documentos/631/04446627317/6310444662731711092023151843.jpeg</v>
      </c>
      <c r="F1941" s="5" t="str">
        <f>HYPERLINK("https://dpmzos25m8ivg.cloudfront.net/Documentos/631/04446627317/6310444662731711092023151900.jpeg","https://dpmzos25m8ivg.cloudfront.net/Documentos/631/04446627317/6310444662731711092023151900.jpeg")</f>
        <v>https://dpmzos25m8ivg.cloudfront.net/Documentos/631/04446627317/6310444662731711092023151900.jpeg</v>
      </c>
      <c r="G1941" s="5" t="str">
        <f>HYPERLINK("https://dpmzos25m8ivg.cloudfront.net/Documentos/631/04446627317/6310444662731711092023151910.jpeg","https://dpmzos25m8ivg.cloudfront.net/Documentos/631/04446627317/6310444662731711092023151910.jpeg")</f>
        <v>https://dpmzos25m8ivg.cloudfront.net/Documentos/631/04446627317/6310444662731711092023151910.jpeg</v>
      </c>
      <c r="H1941" s="4" t="s">
        <v>10521</v>
      </c>
    </row>
    <row r="1942" spans="1:8" x14ac:dyDescent="0.25">
      <c r="A1942" s="2" t="s">
        <v>1956</v>
      </c>
      <c r="B1942" s="3"/>
      <c r="C1942" s="3"/>
      <c r="D1942" s="3"/>
      <c r="E1942" s="4" t="str">
        <f>HYPERLINK("https://dpmzos25m8ivg.cloudfront.net/Documentos/631/04448801276/6310444880127613092023174835.pdf","https://dpmzos25m8ivg.cloudfront.net/Documentos/631/04448801276/6310444880127613092023174835.pdf")</f>
        <v>https://dpmzos25m8ivg.cloudfront.net/Documentos/631/04448801276/6310444880127613092023174835.pdf</v>
      </c>
      <c r="F1942" s="5" t="str">
        <f>HYPERLINK("https://dpmzos25m8ivg.cloudfront.net/Documentos/631/04448801276/6310444880127613092023174852.pdf","https://dpmzos25m8ivg.cloudfront.net/Documentos/631/04448801276/6310444880127613092023174852.pdf")</f>
        <v>https://dpmzos25m8ivg.cloudfront.net/Documentos/631/04448801276/6310444880127613092023174852.pdf</v>
      </c>
      <c r="G1942" s="5" t="str">
        <f>HYPERLINK("https://dpmzos25m8ivg.cloudfront.net/Documentos/631/04448801276/6310444880127613092023174901.pdf","https://dpmzos25m8ivg.cloudfront.net/Documentos/631/04448801276/6310444880127613092023174901.pdf")</f>
        <v>https://dpmzos25m8ivg.cloudfront.net/Documentos/631/04448801276/6310444880127613092023174901.pdf</v>
      </c>
      <c r="H1942" s="4" t="s">
        <v>10522</v>
      </c>
    </row>
    <row r="1943" spans="1:8" x14ac:dyDescent="0.25">
      <c r="A1943" s="2" t="s">
        <v>1957</v>
      </c>
      <c r="B1943" s="3"/>
      <c r="C1943" s="3"/>
      <c r="D1943" s="3"/>
      <c r="E1943" s="4" t="str">
        <f>HYPERLINK("https://dpmzos25m8ivg.cloudfront.net/Documentos/631/04452910360/6310445291036011092023150337.jpg","https://dpmzos25m8ivg.cloudfront.net/Documentos/631/04452910360/6310445291036011092023150337.jpg")</f>
        <v>https://dpmzos25m8ivg.cloudfront.net/Documentos/631/04452910360/6310445291036011092023150337.jpg</v>
      </c>
      <c r="F1943" s="5" t="str">
        <f>HYPERLINK("https://dpmzos25m8ivg.cloudfront.net/Documentos/631/04452910360/6310445291036011092023150355.jpg","https://dpmzos25m8ivg.cloudfront.net/Documentos/631/04452910360/6310445291036011092023150355.jpg")</f>
        <v>https://dpmzos25m8ivg.cloudfront.net/Documentos/631/04452910360/6310445291036011092023150355.jpg</v>
      </c>
      <c r="G1943" s="5" t="str">
        <f>HYPERLINK("https://dpmzos25m8ivg.cloudfront.net/Documentos/631/04452910360/6310445291036011092023150408.jpg","https://dpmzos25m8ivg.cloudfront.net/Documentos/631/04452910360/6310445291036011092023150408.jpg")</f>
        <v>https://dpmzos25m8ivg.cloudfront.net/Documentos/631/04452910360/6310445291036011092023150408.jpg</v>
      </c>
      <c r="H1943" s="4" t="s">
        <v>10523</v>
      </c>
    </row>
    <row r="1944" spans="1:8" x14ac:dyDescent="0.25">
      <c r="A1944" s="2" t="s">
        <v>1958</v>
      </c>
      <c r="B1944" s="3"/>
      <c r="C1944" s="3"/>
      <c r="D1944" s="3"/>
      <c r="E1944" s="4" t="str">
        <f>HYPERLINK("https://dpmzos25m8ivg.cloudfront.net/Documentos/631/04453971109/6310445397110911092023132032.pdf","https://dpmzos25m8ivg.cloudfront.net/Documentos/631/04453971109/6310445397110911092023132032.pdf")</f>
        <v>https://dpmzos25m8ivg.cloudfront.net/Documentos/631/04453971109/6310445397110911092023132032.pdf</v>
      </c>
      <c r="F1944" s="5" t="str">
        <f>HYPERLINK("https://dpmzos25m8ivg.cloudfront.net/Documentos/631/04453971109/6310445397110911092023132050.pdf","https://dpmzos25m8ivg.cloudfront.net/Documentos/631/04453971109/6310445397110911092023132050.pdf")</f>
        <v>https://dpmzos25m8ivg.cloudfront.net/Documentos/631/04453971109/6310445397110911092023132050.pdf</v>
      </c>
      <c r="G1944" s="5" t="str">
        <f>HYPERLINK("https://dpmzos25m8ivg.cloudfront.net/Documentos/631/04453971109/6310445397110911092023132105.pdf","https://dpmzos25m8ivg.cloudfront.net/Documentos/631/04453971109/6310445397110911092023132105.pdf")</f>
        <v>https://dpmzos25m8ivg.cloudfront.net/Documentos/631/04453971109/6310445397110911092023132105.pdf</v>
      </c>
      <c r="H1944" s="4" t="s">
        <v>10524</v>
      </c>
    </row>
    <row r="1945" spans="1:8" x14ac:dyDescent="0.25">
      <c r="A1945" s="2" t="s">
        <v>1959</v>
      </c>
      <c r="B1945" s="3"/>
      <c r="C1945" s="3"/>
      <c r="D1945" s="3"/>
      <c r="E1945" s="4" t="str">
        <f>HYPERLINK("https://dpmzos25m8ivg.cloudfront.net/Documentos/631/04454012571/6310445401257106092023091745.pdf","https://dpmzos25m8ivg.cloudfront.net/Documentos/631/04454012571/6310445401257106092023091745.pdf")</f>
        <v>https://dpmzos25m8ivg.cloudfront.net/Documentos/631/04454012571/6310445401257106092023091745.pdf</v>
      </c>
      <c r="F1945" s="5" t="str">
        <f>HYPERLINK("https://dpmzos25m8ivg.cloudfront.net/Documentos/631/04454012571/6310445401257106092023091758.pdf","https://dpmzos25m8ivg.cloudfront.net/Documentos/631/04454012571/6310445401257106092023091758.pdf")</f>
        <v>https://dpmzos25m8ivg.cloudfront.net/Documentos/631/04454012571/6310445401257106092023091758.pdf</v>
      </c>
      <c r="G1945" s="5" t="str">
        <f>HYPERLINK("https://dpmzos25m8ivg.cloudfront.net/Documentos/631/04454012571/6310445401257106092023091822.pdf","https://dpmzos25m8ivg.cloudfront.net/Documentos/631/04454012571/6310445401257106092023091822.pdf")</f>
        <v>https://dpmzos25m8ivg.cloudfront.net/Documentos/631/04454012571/6310445401257106092023091822.pdf</v>
      </c>
      <c r="H1945" s="4" t="s">
        <v>10525</v>
      </c>
    </row>
    <row r="1946" spans="1:8" x14ac:dyDescent="0.25">
      <c r="A1946" s="2" t="s">
        <v>1960</v>
      </c>
      <c r="B1946" s="3"/>
      <c r="C1946" s="3"/>
      <c r="D1946" s="3"/>
      <c r="E1946" s="4" t="str">
        <f>HYPERLINK("https://dpmzos25m8ivg.cloudfront.net/Documentos/631/04455417508/6310445541750805092023151326.pdf","https://dpmzos25m8ivg.cloudfront.net/Documentos/631/04455417508/6310445541750805092023151326.pdf")</f>
        <v>https://dpmzos25m8ivg.cloudfront.net/Documentos/631/04455417508/6310445541750805092023151326.pdf</v>
      </c>
      <c r="F1946" s="5" t="str">
        <f>HYPERLINK("https://dpmzos25m8ivg.cloudfront.net/Documentos/631/04455417508/6310445541750805092023151351.pdf","https://dpmzos25m8ivg.cloudfront.net/Documentos/631/04455417508/6310445541750805092023151351.pdf")</f>
        <v>https://dpmzos25m8ivg.cloudfront.net/Documentos/631/04455417508/6310445541750805092023151351.pdf</v>
      </c>
      <c r="G1946" s="5" t="str">
        <f>HYPERLINK("https://dpmzos25m8ivg.cloudfront.net/Documentos/631/04455417508/6310445541750806092023102608.pdf","https://dpmzos25m8ivg.cloudfront.net/Documentos/631/04455417508/6310445541750806092023102608.pdf")</f>
        <v>https://dpmzos25m8ivg.cloudfront.net/Documentos/631/04455417508/6310445541750806092023102608.pdf</v>
      </c>
      <c r="H1946" s="4" t="s">
        <v>10526</v>
      </c>
    </row>
    <row r="1947" spans="1:8" x14ac:dyDescent="0.25">
      <c r="A1947" s="2" t="s">
        <v>1961</v>
      </c>
      <c r="B1947" s="3"/>
      <c r="C1947" s="3"/>
      <c r="D1947" s="3"/>
      <c r="E1947" s="4" t="str">
        <f>HYPERLINK("https://dpmzos25m8ivg.cloudfront.net/Documentos/631/04459097656/6310445909765608092023185603.pdf","https://dpmzos25m8ivg.cloudfront.net/Documentos/631/04459097656/6310445909765608092023185603.pdf")</f>
        <v>https://dpmzos25m8ivg.cloudfront.net/Documentos/631/04459097656/6310445909765608092023185603.pdf</v>
      </c>
      <c r="F1947" s="5" t="str">
        <f>HYPERLINK("https://dpmzos25m8ivg.cloudfront.net/Documentos/631/04459097656/6310445909765608092023185615.pdf","https://dpmzos25m8ivg.cloudfront.net/Documentos/631/04459097656/6310445909765608092023185615.pdf")</f>
        <v>https://dpmzos25m8ivg.cloudfront.net/Documentos/631/04459097656/6310445909765608092023185615.pdf</v>
      </c>
      <c r="G1947" s="5" t="str">
        <f>HYPERLINK("https://dpmzos25m8ivg.cloudfront.net/Documentos/631/04459097656/6310445909765608092023185626.pdf","https://dpmzos25m8ivg.cloudfront.net/Documentos/631/04459097656/6310445909765608092023185626.pdf")</f>
        <v>https://dpmzos25m8ivg.cloudfront.net/Documentos/631/04459097656/6310445909765608092023185626.pdf</v>
      </c>
      <c r="H1947" s="4" t="s">
        <v>10527</v>
      </c>
    </row>
    <row r="1948" spans="1:8" x14ac:dyDescent="0.25">
      <c r="A1948" s="2" t="s">
        <v>1962</v>
      </c>
      <c r="B1948" s="3" t="s">
        <v>308</v>
      </c>
      <c r="C1948" s="3"/>
      <c r="D1948" s="3"/>
      <c r="E1948" s="4" t="str">
        <f>HYPERLINK("https://dpmzos25m8ivg.cloudfront.net/Documentos/631/04461179516/6310446117951606092023090305.jpeg","https://dpmzos25m8ivg.cloudfront.net/Documentos/631/04461179516/6310446117951606092023090305.jpeg")</f>
        <v>https://dpmzos25m8ivg.cloudfront.net/Documentos/631/04461179516/6310446117951606092023090305.jpeg</v>
      </c>
      <c r="F1948" s="5" t="str">
        <f>HYPERLINK("https://dpmzos25m8ivg.cloudfront.net/Documentos/631/04461179516/6310446117951606092023090322.jpeg","https://dpmzos25m8ivg.cloudfront.net/Documentos/631/04461179516/6310446117951606092023090322.jpeg")</f>
        <v>https://dpmzos25m8ivg.cloudfront.net/Documentos/631/04461179516/6310446117951606092023090322.jpeg</v>
      </c>
      <c r="G1948" s="5" t="str">
        <f>HYPERLINK("https://dpmzos25m8ivg.cloudfront.net/Documentos/631/04461179516/6310446117951606092023090333.jpeg","https://dpmzos25m8ivg.cloudfront.net/Documentos/631/04461179516/6310446117951606092023090333.jpeg")</f>
        <v>https://dpmzos25m8ivg.cloudfront.net/Documentos/631/04461179516/6310446117951606092023090333.jpeg</v>
      </c>
      <c r="H1948" s="4" t="s">
        <v>10528</v>
      </c>
    </row>
    <row r="1949" spans="1:8" x14ac:dyDescent="0.25">
      <c r="A1949" s="2" t="s">
        <v>1963</v>
      </c>
      <c r="B1949" s="3" t="s">
        <v>308</v>
      </c>
      <c r="C1949" s="3"/>
      <c r="D1949" s="3"/>
      <c r="E1949" s="4" t="str">
        <f>HYPERLINK("https://dpmzos25m8ivg.cloudfront.net/Documentos/631/04465231199/6310446523119908092023115841.jpg","https://dpmzos25m8ivg.cloudfront.net/Documentos/631/04465231199/6310446523119908092023115841.jpg")</f>
        <v>https://dpmzos25m8ivg.cloudfront.net/Documentos/631/04465231199/6310446523119908092023115841.jpg</v>
      </c>
      <c r="F1949" s="5" t="str">
        <f>HYPERLINK("https://dpmzos25m8ivg.cloudfront.net/Documentos/631/04465231199/6310446523119908092023115904.jpg","https://dpmzos25m8ivg.cloudfront.net/Documentos/631/04465231199/6310446523119908092023115904.jpg")</f>
        <v>https://dpmzos25m8ivg.cloudfront.net/Documentos/631/04465231199/6310446523119908092023115904.jpg</v>
      </c>
      <c r="G1949" s="5" t="str">
        <f>HYPERLINK("https://dpmzos25m8ivg.cloudfront.net/Documentos/631/04465231199/6310446523119908092023115923.jpg","https://dpmzos25m8ivg.cloudfront.net/Documentos/631/04465231199/6310446523119908092023115923.jpg")</f>
        <v>https://dpmzos25m8ivg.cloudfront.net/Documentos/631/04465231199/6310446523119908092023115923.jpg</v>
      </c>
      <c r="H1949" s="4" t="s">
        <v>10529</v>
      </c>
    </row>
    <row r="1950" spans="1:8" x14ac:dyDescent="0.25">
      <c r="A1950" s="2" t="s">
        <v>1964</v>
      </c>
      <c r="B1950" s="3"/>
      <c r="C1950" s="3"/>
      <c r="D1950" s="3"/>
      <c r="E1950" s="4" t="str">
        <f>HYPERLINK("https://dpmzos25m8ivg.cloudfront.net/Documentos/631/04466975400/6310446697540005092023094548.jpg","https://dpmzos25m8ivg.cloudfront.net/Documentos/631/04466975400/6310446697540005092023094548.jpg")</f>
        <v>https://dpmzos25m8ivg.cloudfront.net/Documentos/631/04466975400/6310446697540005092023094548.jpg</v>
      </c>
      <c r="F1950" s="5" t="str">
        <f>HYPERLINK("https://dpmzos25m8ivg.cloudfront.net/Documentos/631/04466975400/6310446697540005092023094601.jpg","https://dpmzos25m8ivg.cloudfront.net/Documentos/631/04466975400/6310446697540005092023094601.jpg")</f>
        <v>https://dpmzos25m8ivg.cloudfront.net/Documentos/631/04466975400/6310446697540005092023094601.jpg</v>
      </c>
      <c r="G1950" s="5" t="str">
        <f>HYPERLINK("https://dpmzos25m8ivg.cloudfront.net/Documentos/631/04466975400/6310446697540005092023094613.jpg","https://dpmzos25m8ivg.cloudfront.net/Documentos/631/04466975400/6310446697540005092023094613.jpg")</f>
        <v>https://dpmzos25m8ivg.cloudfront.net/Documentos/631/04466975400/6310446697540005092023094613.jpg</v>
      </c>
      <c r="H1950" s="4" t="s">
        <v>10530</v>
      </c>
    </row>
    <row r="1951" spans="1:8" x14ac:dyDescent="0.25">
      <c r="A1951" s="2" t="s">
        <v>1965</v>
      </c>
      <c r="B1951" s="3"/>
      <c r="C1951" s="3"/>
      <c r="D1951" s="3"/>
      <c r="E1951" s="4" t="str">
        <f>HYPERLINK("https://dpmzos25m8ivg.cloudfront.net/Documentos/631/04467629386/6310446762938611092023121344.pdf","https://dpmzos25m8ivg.cloudfront.net/Documentos/631/04467629386/6310446762938611092023121344.pdf")</f>
        <v>https://dpmzos25m8ivg.cloudfront.net/Documentos/631/04467629386/6310446762938611092023121344.pdf</v>
      </c>
      <c r="F1951" s="5" t="str">
        <f>HYPERLINK("https://dpmzos25m8ivg.cloudfront.net/Documentos/631/04467629386/6310446762938611092023121449.pdf","https://dpmzos25m8ivg.cloudfront.net/Documentos/631/04467629386/6310446762938611092023121449.pdf")</f>
        <v>https://dpmzos25m8ivg.cloudfront.net/Documentos/631/04467629386/6310446762938611092023121449.pdf</v>
      </c>
      <c r="G1951" s="5" t="str">
        <f>HYPERLINK("https://dpmzos25m8ivg.cloudfront.net/Documentos/631/04467629386/6310446762938611092023121636.pdf","https://dpmzos25m8ivg.cloudfront.net/Documentos/631/04467629386/6310446762938611092023121636.pdf")</f>
        <v>https://dpmzos25m8ivg.cloudfront.net/Documentos/631/04467629386/6310446762938611092023121636.pdf</v>
      </c>
      <c r="H1951" s="4" t="s">
        <v>10531</v>
      </c>
    </row>
    <row r="1952" spans="1:8" x14ac:dyDescent="0.25">
      <c r="A1952" s="2" t="s">
        <v>1966</v>
      </c>
      <c r="B1952" s="3"/>
      <c r="C1952" s="3"/>
      <c r="D1952" s="3"/>
      <c r="E1952" s="4" t="str">
        <f>HYPERLINK("https://dpmzos25m8ivg.cloudfront.net/Documentos/631/04468842512/6310446884251206092023130842.pdf","https://dpmzos25m8ivg.cloudfront.net/Documentos/631/04468842512/6310446884251206092023130842.pdf")</f>
        <v>https://dpmzos25m8ivg.cloudfront.net/Documentos/631/04468842512/6310446884251206092023130842.pdf</v>
      </c>
      <c r="F1952" s="5" t="str">
        <f>HYPERLINK("https://dpmzos25m8ivg.cloudfront.net/Documentos/631/04468842512/6310446884251206092023130904.pdf","https://dpmzos25m8ivg.cloudfront.net/Documentos/631/04468842512/6310446884251206092023130904.pdf")</f>
        <v>https://dpmzos25m8ivg.cloudfront.net/Documentos/631/04468842512/6310446884251206092023130904.pdf</v>
      </c>
      <c r="G1952" s="5" t="str">
        <f>HYPERLINK("https://dpmzos25m8ivg.cloudfront.net/Documentos/631/04468842512/6310446884251206092023130927.pdf","https://dpmzos25m8ivg.cloudfront.net/Documentos/631/04468842512/6310446884251206092023130927.pdf")</f>
        <v>https://dpmzos25m8ivg.cloudfront.net/Documentos/631/04468842512/6310446884251206092023130927.pdf</v>
      </c>
      <c r="H1952" s="4" t="s">
        <v>10532</v>
      </c>
    </row>
    <row r="1953" spans="1:8" x14ac:dyDescent="0.25">
      <c r="A1953" s="2" t="s">
        <v>1967</v>
      </c>
      <c r="B1953" s="3"/>
      <c r="C1953" s="3"/>
      <c r="D1953" s="3"/>
      <c r="E1953" s="4" t="str">
        <f>HYPERLINK("https://dpmzos25m8ivg.cloudfront.net/Documentos/631/04474482000/6310447448200014092023165346.pdf","https://dpmzos25m8ivg.cloudfront.net/Documentos/631/04474482000/6310447448200014092023165346.pdf")</f>
        <v>https://dpmzos25m8ivg.cloudfront.net/Documentos/631/04474482000/6310447448200014092023165346.pdf</v>
      </c>
      <c r="F1953" s="5" t="str">
        <f>HYPERLINK("https://dpmzos25m8ivg.cloudfront.net/Documentos/631/04474482000/6310447448200014092023165259.pdf","https://dpmzos25m8ivg.cloudfront.net/Documentos/631/04474482000/6310447448200014092023165259.pdf")</f>
        <v>https://dpmzos25m8ivg.cloudfront.net/Documentos/631/04474482000/6310447448200014092023165259.pdf</v>
      </c>
      <c r="G1953" s="5" t="str">
        <f>HYPERLINK("https://dpmzos25m8ivg.cloudfront.net/Documentos/631/04474482000/6310447448200014092023165306.pdf","https://dpmzos25m8ivg.cloudfront.net/Documentos/631/04474482000/6310447448200014092023165306.pdf")</f>
        <v>https://dpmzos25m8ivg.cloudfront.net/Documentos/631/04474482000/6310447448200014092023165306.pdf</v>
      </c>
      <c r="H1953" s="4" t="s">
        <v>10533</v>
      </c>
    </row>
    <row r="1954" spans="1:8" x14ac:dyDescent="0.25">
      <c r="A1954" s="2" t="s">
        <v>1968</v>
      </c>
      <c r="B1954" s="3"/>
      <c r="C1954" s="3"/>
      <c r="D1954" s="3"/>
      <c r="E1954" s="4" t="str">
        <f>HYPERLINK("https://dpmzos25m8ivg.cloudfront.net/Documentos/631/04478175314/6310447817531408092023193323.pdf","https://dpmzos25m8ivg.cloudfront.net/Documentos/631/04478175314/6310447817531408092023193323.pdf")</f>
        <v>https://dpmzos25m8ivg.cloudfront.net/Documentos/631/04478175314/6310447817531408092023193323.pdf</v>
      </c>
      <c r="F1954" s="5" t="str">
        <f>HYPERLINK("https://dpmzos25m8ivg.cloudfront.net/Documentos/631/04478175314/6310447817531408092023193342.pdf","https://dpmzos25m8ivg.cloudfront.net/Documentos/631/04478175314/6310447817531408092023193342.pdf")</f>
        <v>https://dpmzos25m8ivg.cloudfront.net/Documentos/631/04478175314/6310447817531408092023193342.pdf</v>
      </c>
      <c r="G1954" s="5" t="str">
        <f>HYPERLINK("https://dpmzos25m8ivg.cloudfront.net/Documentos/631/04478175314/6310447817531408092023193403.pdf","https://dpmzos25m8ivg.cloudfront.net/Documentos/631/04478175314/6310447817531408092023193403.pdf")</f>
        <v>https://dpmzos25m8ivg.cloudfront.net/Documentos/631/04478175314/6310447817531408092023193403.pdf</v>
      </c>
      <c r="H1954" s="4" t="s">
        <v>10534</v>
      </c>
    </row>
    <row r="1955" spans="1:8" x14ac:dyDescent="0.25">
      <c r="A1955" s="2" t="s">
        <v>1969</v>
      </c>
      <c r="B1955" s="3"/>
      <c r="C1955" s="3"/>
      <c r="D1955" s="3"/>
      <c r="E1955" s="4" t="str">
        <f>HYPERLINK("https://dpmzos25m8ivg.cloudfront.net/Documentos/631/04482886300/6310448288630011092023140356.pdf","https://dpmzos25m8ivg.cloudfront.net/Documentos/631/04482886300/6310448288630011092023140356.pdf")</f>
        <v>https://dpmzos25m8ivg.cloudfront.net/Documentos/631/04482886300/6310448288630011092023140356.pdf</v>
      </c>
      <c r="F1955" s="5" t="str">
        <f>HYPERLINK("https://dpmzos25m8ivg.cloudfront.net/Documentos/631/04482886300/6310448288630011092023140407.pdf","https://dpmzos25m8ivg.cloudfront.net/Documentos/631/04482886300/6310448288630011092023140407.pdf")</f>
        <v>https://dpmzos25m8ivg.cloudfront.net/Documentos/631/04482886300/6310448288630011092023140407.pdf</v>
      </c>
      <c r="G1955" s="5" t="str">
        <f>HYPERLINK("https://dpmzos25m8ivg.cloudfront.net/Documentos/631/04482886300/6310448288630011092023140418.pdf","https://dpmzos25m8ivg.cloudfront.net/Documentos/631/04482886300/6310448288630011092023140418.pdf")</f>
        <v>https://dpmzos25m8ivg.cloudfront.net/Documentos/631/04482886300/6310448288630011092023140418.pdf</v>
      </c>
      <c r="H1955" s="4" t="s">
        <v>10535</v>
      </c>
    </row>
    <row r="1956" spans="1:8" x14ac:dyDescent="0.25">
      <c r="A1956" s="2" t="s">
        <v>1970</v>
      </c>
      <c r="B1956" s="3" t="s">
        <v>90</v>
      </c>
      <c r="C1956" s="3"/>
      <c r="D1956" s="3"/>
      <c r="E1956" s="4" t="str">
        <f>HYPERLINK("https://dpmzos25m8ivg.cloudfront.net/Documentos/631/04483392859/6310448339285909092023124543.jpg","https://dpmzos25m8ivg.cloudfront.net/Documentos/631/04483392859/6310448339285909092023124543.jpg")</f>
        <v>https://dpmzos25m8ivg.cloudfront.net/Documentos/631/04483392859/6310448339285909092023124543.jpg</v>
      </c>
      <c r="F1956" s="5" t="str">
        <f>HYPERLINK("https://dpmzos25m8ivg.cloudfront.net/Documentos/631/04483392859/6310448339285909092023124604.jpg","https://dpmzos25m8ivg.cloudfront.net/Documentos/631/04483392859/6310448339285909092023124604.jpg")</f>
        <v>https://dpmzos25m8ivg.cloudfront.net/Documentos/631/04483392859/6310448339285909092023124604.jpg</v>
      </c>
      <c r="G1956" s="5" t="str">
        <f>HYPERLINK("https://dpmzos25m8ivg.cloudfront.net/Documentos/631/04483392859/6310448339285909092023124626.jpg","https://dpmzos25m8ivg.cloudfront.net/Documentos/631/04483392859/6310448339285909092023124626.jpg")</f>
        <v>https://dpmzos25m8ivg.cloudfront.net/Documentos/631/04483392859/6310448339285909092023124626.jpg</v>
      </c>
      <c r="H1956" s="4" t="s">
        <v>10536</v>
      </c>
    </row>
    <row r="1957" spans="1:8" x14ac:dyDescent="0.25">
      <c r="A1957" s="2" t="s">
        <v>1971</v>
      </c>
      <c r="B1957" s="3"/>
      <c r="C1957" s="3"/>
      <c r="D1957" s="3"/>
      <c r="E1957" s="4" t="str">
        <f>HYPERLINK("https://dpmzos25m8ivg.cloudfront.net/Documentos/631/04483658395/6310448365839506092023203352.jpeg","https://dpmzos25m8ivg.cloudfront.net/Documentos/631/04483658395/6310448365839506092023203352.jpeg")</f>
        <v>https://dpmzos25m8ivg.cloudfront.net/Documentos/631/04483658395/6310448365839506092023203352.jpeg</v>
      </c>
      <c r="F1957" s="5" t="str">
        <f>HYPERLINK("https://dpmzos25m8ivg.cloudfront.net/Documentos/631/04483658395/6310448365839506092023203405.jpeg","https://dpmzos25m8ivg.cloudfront.net/Documentos/631/04483658395/6310448365839506092023203405.jpeg")</f>
        <v>https://dpmzos25m8ivg.cloudfront.net/Documentos/631/04483658395/6310448365839506092023203405.jpeg</v>
      </c>
      <c r="G1957" s="5" t="str">
        <f>HYPERLINK("https://dpmzos25m8ivg.cloudfront.net/Documentos/631/04483658395/6310448365839506092023203419.jpeg","https://dpmzos25m8ivg.cloudfront.net/Documentos/631/04483658395/6310448365839506092023203419.jpeg")</f>
        <v>https://dpmzos25m8ivg.cloudfront.net/Documentos/631/04483658395/6310448365839506092023203419.jpeg</v>
      </c>
      <c r="H1957" s="4" t="s">
        <v>10537</v>
      </c>
    </row>
    <row r="1958" spans="1:8" x14ac:dyDescent="0.25">
      <c r="A1958" s="2" t="s">
        <v>1972</v>
      </c>
      <c r="B1958" s="3"/>
      <c r="C1958" s="3"/>
      <c r="D1958" s="3"/>
      <c r="E1958" s="4" t="str">
        <f>HYPERLINK("https://dpmzos25m8ivg.cloudfront.net/Documentos/631/04484009366/6310448400936611092023165337.jpeg","https://dpmzos25m8ivg.cloudfront.net/Documentos/631/04484009366/6310448400936611092023165337.jpeg")</f>
        <v>https://dpmzos25m8ivg.cloudfront.net/Documentos/631/04484009366/6310448400936611092023165337.jpeg</v>
      </c>
      <c r="F1958" s="5" t="str">
        <f>HYPERLINK("https://dpmzos25m8ivg.cloudfront.net/Documentos/631/04484009366/6310448400936611092023165746.jpeg","https://dpmzos25m8ivg.cloudfront.net/Documentos/631/04484009366/6310448400936611092023165746.jpeg")</f>
        <v>https://dpmzos25m8ivg.cloudfront.net/Documentos/631/04484009366/6310448400936611092023165746.jpeg</v>
      </c>
      <c r="G1958" s="5" t="str">
        <f>HYPERLINK("https://dpmzos25m8ivg.cloudfront.net/Documentos/631/04484009366/6310448400936611092023165822.jpeg","https://dpmzos25m8ivg.cloudfront.net/Documentos/631/04484009366/6310448400936611092023165822.jpeg")</f>
        <v>https://dpmzos25m8ivg.cloudfront.net/Documentos/631/04484009366/6310448400936611092023165822.jpeg</v>
      </c>
      <c r="H1958" s="4" t="s">
        <v>10538</v>
      </c>
    </row>
    <row r="1959" spans="1:8" x14ac:dyDescent="0.25">
      <c r="A1959" s="2" t="s">
        <v>1973</v>
      </c>
      <c r="B1959" s="3"/>
      <c r="C1959" s="3"/>
      <c r="D1959" s="3"/>
      <c r="E1959" s="4" t="str">
        <f>HYPERLINK("https://dpmzos25m8ivg.cloudfront.net/Documentos/631/04484613409/6310448461340911092023141432.pdf","https://dpmzos25m8ivg.cloudfront.net/Documentos/631/04484613409/6310448461340911092023141432.pdf")</f>
        <v>https://dpmzos25m8ivg.cloudfront.net/Documentos/631/04484613409/6310448461340911092023141432.pdf</v>
      </c>
      <c r="F1959" s="5" t="str">
        <f>HYPERLINK("https://dpmzos25m8ivg.cloudfront.net/Documentos/631/04484613409/6310448461340911092023141455.pdf","https://dpmzos25m8ivg.cloudfront.net/Documentos/631/04484613409/6310448461340911092023141455.pdf")</f>
        <v>https://dpmzos25m8ivg.cloudfront.net/Documentos/631/04484613409/6310448461340911092023141455.pdf</v>
      </c>
      <c r="G1959" s="5" t="str">
        <f>HYPERLINK("https://dpmzos25m8ivg.cloudfront.net/Documentos/631/04484613409/6310448461340911092023141509.pdf","https://dpmzos25m8ivg.cloudfront.net/Documentos/631/04484613409/6310448461340911092023141509.pdf")</f>
        <v>https://dpmzos25m8ivg.cloudfront.net/Documentos/631/04484613409/6310448461340911092023141509.pdf</v>
      </c>
      <c r="H1959" s="4" t="s">
        <v>10539</v>
      </c>
    </row>
    <row r="1960" spans="1:8" x14ac:dyDescent="0.25">
      <c r="A1960" s="2" t="s">
        <v>1974</v>
      </c>
      <c r="B1960" s="3"/>
      <c r="C1960" s="3"/>
      <c r="D1960" s="3"/>
      <c r="E1960" s="4" t="str">
        <f>HYPERLINK("https://dpmzos25m8ivg.cloudfront.net/Documentos/631/04486247531/6310448624753111092023164216.pdf","https://dpmzos25m8ivg.cloudfront.net/Documentos/631/04486247531/6310448624753111092023164216.pdf")</f>
        <v>https://dpmzos25m8ivg.cloudfront.net/Documentos/631/04486247531/6310448624753111092023164216.pdf</v>
      </c>
      <c r="F1960" s="5" t="str">
        <f>HYPERLINK("https://dpmzos25m8ivg.cloudfront.net/Documentos/631/04486247531/6310448624753111092023164227.pdf","https://dpmzos25m8ivg.cloudfront.net/Documentos/631/04486247531/6310448624753111092023164227.pdf")</f>
        <v>https://dpmzos25m8ivg.cloudfront.net/Documentos/631/04486247531/6310448624753111092023164227.pdf</v>
      </c>
      <c r="G1960" s="5" t="str">
        <f>HYPERLINK("https://dpmzos25m8ivg.cloudfront.net/Documentos/631/04486247531/6310448624753111092023164236.pdf","https://dpmzos25m8ivg.cloudfront.net/Documentos/631/04486247531/6310448624753111092023164236.pdf")</f>
        <v>https://dpmzos25m8ivg.cloudfront.net/Documentos/631/04486247531/6310448624753111092023164236.pdf</v>
      </c>
      <c r="H1960" s="4" t="s">
        <v>10540</v>
      </c>
    </row>
    <row r="1961" spans="1:8" x14ac:dyDescent="0.25">
      <c r="A1961" s="2" t="s">
        <v>1975</v>
      </c>
      <c r="B1961" s="3"/>
      <c r="C1961" s="3"/>
      <c r="D1961" s="3"/>
      <c r="E1961" s="4" t="str">
        <f>HYPERLINK("https://dpmzos25m8ivg.cloudfront.net/Documentos/631/04486538501/6310448653850110092023155629.pdf","https://dpmzos25m8ivg.cloudfront.net/Documentos/631/04486538501/6310448653850110092023155629.pdf")</f>
        <v>https://dpmzos25m8ivg.cloudfront.net/Documentos/631/04486538501/6310448653850110092023155629.pdf</v>
      </c>
      <c r="F1961" s="5" t="str">
        <f>HYPERLINK("https://dpmzos25m8ivg.cloudfront.net/Documentos/631/04486538501/6310448653850110092023155645.pdf","https://dpmzos25m8ivg.cloudfront.net/Documentos/631/04486538501/6310448653850110092023155645.pdf")</f>
        <v>https://dpmzos25m8ivg.cloudfront.net/Documentos/631/04486538501/6310448653850110092023155645.pdf</v>
      </c>
      <c r="G1961" s="5" t="str">
        <f>HYPERLINK("https://dpmzos25m8ivg.cloudfront.net/Documentos/631/04486538501/6310448653850110092023155720.pdf","https://dpmzos25m8ivg.cloudfront.net/Documentos/631/04486538501/6310448653850110092023155720.pdf")</f>
        <v>https://dpmzos25m8ivg.cloudfront.net/Documentos/631/04486538501/6310448653850110092023155720.pdf</v>
      </c>
      <c r="H1961" s="4" t="s">
        <v>10541</v>
      </c>
    </row>
    <row r="1962" spans="1:8" x14ac:dyDescent="0.25">
      <c r="A1962" s="2" t="s">
        <v>1976</v>
      </c>
      <c r="B1962" s="3"/>
      <c r="C1962" s="3"/>
      <c r="D1962" s="3"/>
      <c r="E1962" s="4" t="str">
        <f>HYPERLINK("https://dpmzos25m8ivg.cloudfront.net/Documentos/631/04491292507/6310449129250714092023123424.pdf","https://dpmzos25m8ivg.cloudfront.net/Documentos/631/04491292507/6310449129250714092023123424.pdf")</f>
        <v>https://dpmzos25m8ivg.cloudfront.net/Documentos/631/04491292507/6310449129250714092023123424.pdf</v>
      </c>
      <c r="F1962" s="5" t="str">
        <f>HYPERLINK("https://dpmzos25m8ivg.cloudfront.net/Documentos/631/04491292507/6310449129250714092023123450.pdf","https://dpmzos25m8ivg.cloudfront.net/Documentos/631/04491292507/6310449129250714092023123450.pdf")</f>
        <v>https://dpmzos25m8ivg.cloudfront.net/Documentos/631/04491292507/6310449129250714092023123450.pdf</v>
      </c>
      <c r="G1962" s="5" t="str">
        <f>HYPERLINK("https://dpmzos25m8ivg.cloudfront.net/Documentos/631/04491292507/6310449129250714092023123505.pdf","https://dpmzos25m8ivg.cloudfront.net/Documentos/631/04491292507/6310449129250714092023123505.pdf")</f>
        <v>https://dpmzos25m8ivg.cloudfront.net/Documentos/631/04491292507/6310449129250714092023123505.pdf</v>
      </c>
      <c r="H1962" s="4" t="s">
        <v>10542</v>
      </c>
    </row>
    <row r="1963" spans="1:8" x14ac:dyDescent="0.25">
      <c r="A1963" s="2" t="s">
        <v>1977</v>
      </c>
      <c r="B1963" s="3"/>
      <c r="C1963" s="3"/>
      <c r="D1963" s="3"/>
      <c r="E1963" s="4" t="str">
        <f>HYPERLINK("https://dpmzos25m8ivg.cloudfront.net/Documentos/631/04496123177/6310449612317706092023112721.pdf","https://dpmzos25m8ivg.cloudfront.net/Documentos/631/04496123177/6310449612317706092023112721.pdf")</f>
        <v>https://dpmzos25m8ivg.cloudfront.net/Documentos/631/04496123177/6310449612317706092023112721.pdf</v>
      </c>
      <c r="F1963" s="5" t="str">
        <f>HYPERLINK("https://dpmzos25m8ivg.cloudfront.net/Documentos/631/04496123177/6310449612317706092023112741.pdf","https://dpmzos25m8ivg.cloudfront.net/Documentos/631/04496123177/6310449612317706092023112741.pdf")</f>
        <v>https://dpmzos25m8ivg.cloudfront.net/Documentos/631/04496123177/6310449612317706092023112741.pdf</v>
      </c>
      <c r="G1963" s="5" t="str">
        <f>HYPERLINK("https://dpmzos25m8ivg.cloudfront.net/Documentos/631/04496123177/6310449612317706092023112757.pdf","https://dpmzos25m8ivg.cloudfront.net/Documentos/631/04496123177/6310449612317706092023112757.pdf")</f>
        <v>https://dpmzos25m8ivg.cloudfront.net/Documentos/631/04496123177/6310449612317706092023112757.pdf</v>
      </c>
      <c r="H1963" s="4" t="s">
        <v>10543</v>
      </c>
    </row>
    <row r="1964" spans="1:8" x14ac:dyDescent="0.25">
      <c r="A1964" s="2" t="s">
        <v>1978</v>
      </c>
      <c r="B1964" s="3" t="s">
        <v>308</v>
      </c>
      <c r="C1964" s="3"/>
      <c r="D1964" s="3"/>
      <c r="E1964" s="4" t="str">
        <f>HYPERLINK("https://dpmzos25m8ivg.cloudfront.net/Documentos/631/04496143526/6310449614352611092023105601.pdf","https://dpmzos25m8ivg.cloudfront.net/Documentos/631/04496143526/6310449614352611092023105601.pdf")</f>
        <v>https://dpmzos25m8ivg.cloudfront.net/Documentos/631/04496143526/6310449614352611092023105601.pdf</v>
      </c>
      <c r="F1964" s="5" t="str">
        <f>HYPERLINK("https://dpmzos25m8ivg.cloudfront.net/Documentos/631/04496143526/6310449614352611092023105611.pdf","https://dpmzos25m8ivg.cloudfront.net/Documentos/631/04496143526/6310449614352611092023105611.pdf")</f>
        <v>https://dpmzos25m8ivg.cloudfront.net/Documentos/631/04496143526/6310449614352611092023105611.pdf</v>
      </c>
      <c r="G1964" s="5" t="str">
        <f>HYPERLINK("https://dpmzos25m8ivg.cloudfront.net/Documentos/631/04496143526/6310449614352611092023105621.pdf","https://dpmzos25m8ivg.cloudfront.net/Documentos/631/04496143526/6310449614352611092023105621.pdf")</f>
        <v>https://dpmzos25m8ivg.cloudfront.net/Documentos/631/04496143526/6310449614352611092023105621.pdf</v>
      </c>
      <c r="H1964" s="4" t="s">
        <v>10544</v>
      </c>
    </row>
    <row r="1965" spans="1:8" x14ac:dyDescent="0.25">
      <c r="A1965" s="2" t="s">
        <v>1979</v>
      </c>
      <c r="B1965" s="3"/>
      <c r="C1965" s="3"/>
      <c r="D1965" s="3"/>
      <c r="E1965" s="4" t="str">
        <f>HYPERLINK("https://dpmzos25m8ivg.cloudfront.net/Documentos/631/04496328143/6310449632814311092023153309.pdf","https://dpmzos25m8ivg.cloudfront.net/Documentos/631/04496328143/6310449632814311092023153309.pdf")</f>
        <v>https://dpmzos25m8ivg.cloudfront.net/Documentos/631/04496328143/6310449632814311092023153309.pdf</v>
      </c>
      <c r="F1965" s="5" t="str">
        <f>HYPERLINK("https://dpmzos25m8ivg.cloudfront.net/Documentos/631/04496328143/6310449632814311092023160409.pdf","https://dpmzos25m8ivg.cloudfront.net/Documentos/631/04496328143/6310449632814311092023160409.pdf")</f>
        <v>https://dpmzos25m8ivg.cloudfront.net/Documentos/631/04496328143/6310449632814311092023160409.pdf</v>
      </c>
      <c r="G1965" s="5" t="str">
        <f>HYPERLINK("https://dpmzos25m8ivg.cloudfront.net/Documentos/631/04496328143/6310449632814311092023153333.pdf","https://dpmzos25m8ivg.cloudfront.net/Documentos/631/04496328143/6310449632814311092023153333.pdf")</f>
        <v>https://dpmzos25m8ivg.cloudfront.net/Documentos/631/04496328143/6310449632814311092023153333.pdf</v>
      </c>
      <c r="H1965" s="4" t="s">
        <v>10545</v>
      </c>
    </row>
    <row r="1966" spans="1:8" x14ac:dyDescent="0.25">
      <c r="A1966" s="2" t="s">
        <v>1980</v>
      </c>
      <c r="B1966" s="3"/>
      <c r="C1966" s="3"/>
      <c r="D1966" s="3"/>
      <c r="E1966" s="4" t="str">
        <f>HYPERLINK("https://dpmzos25m8ivg.cloudfront.net/Documentos/631/04497118118/6310449711811811092023160721.jpeg","https://dpmzos25m8ivg.cloudfront.net/Documentos/631/04497118118/6310449711811811092023160721.jpeg")</f>
        <v>https://dpmzos25m8ivg.cloudfront.net/Documentos/631/04497118118/6310449711811811092023160721.jpeg</v>
      </c>
      <c r="F1966" s="5" t="str">
        <f>HYPERLINK("https://dpmzos25m8ivg.cloudfront.net/Documentos/631/04497118118/6310449711811811092023160739.jpeg","https://dpmzos25m8ivg.cloudfront.net/Documentos/631/04497118118/6310449711811811092023160739.jpeg")</f>
        <v>https://dpmzos25m8ivg.cloudfront.net/Documentos/631/04497118118/6310449711811811092023160739.jpeg</v>
      </c>
      <c r="G1966" s="5" t="str">
        <f>HYPERLINK("https://dpmzos25m8ivg.cloudfront.net/Documentos/631/04497118118/6310449711811811092023160754.jpeg","https://dpmzos25m8ivg.cloudfront.net/Documentos/631/04497118118/6310449711811811092023160754.jpeg")</f>
        <v>https://dpmzos25m8ivg.cloudfront.net/Documentos/631/04497118118/6310449711811811092023160754.jpeg</v>
      </c>
      <c r="H1966" s="4" t="s">
        <v>10546</v>
      </c>
    </row>
    <row r="1967" spans="1:8" x14ac:dyDescent="0.25">
      <c r="A1967" s="2" t="s">
        <v>1981</v>
      </c>
      <c r="B1967" s="3"/>
      <c r="C1967" s="3"/>
      <c r="D1967" s="3"/>
      <c r="E1967" s="4" t="str">
        <f>HYPERLINK("https://dpmzos25m8ivg.cloudfront.net/Documentos/631/04502018562/6310450201856210092023174800.pdf","https://dpmzos25m8ivg.cloudfront.net/Documentos/631/04502018562/6310450201856210092023174800.pdf")</f>
        <v>https://dpmzos25m8ivg.cloudfront.net/Documentos/631/04502018562/6310450201856210092023174800.pdf</v>
      </c>
      <c r="F1967" s="5" t="str">
        <f>HYPERLINK("https://dpmzos25m8ivg.cloudfront.net/Documentos/631/04502018562/6310450201856210092023174809.pdf","https://dpmzos25m8ivg.cloudfront.net/Documentos/631/04502018562/6310450201856210092023174809.pdf")</f>
        <v>https://dpmzos25m8ivg.cloudfront.net/Documentos/631/04502018562/6310450201856210092023174809.pdf</v>
      </c>
      <c r="G1967" s="5" t="str">
        <f>HYPERLINK("https://dpmzos25m8ivg.cloudfront.net/Documentos/631/04502018562/6310450201856210092023174857.pdf","https://dpmzos25m8ivg.cloudfront.net/Documentos/631/04502018562/6310450201856210092023174857.pdf")</f>
        <v>https://dpmzos25m8ivg.cloudfront.net/Documentos/631/04502018562/6310450201856210092023174857.pdf</v>
      </c>
      <c r="H1967" s="4" t="s">
        <v>10547</v>
      </c>
    </row>
    <row r="1968" spans="1:8" x14ac:dyDescent="0.25">
      <c r="A1968" s="2" t="s">
        <v>1982</v>
      </c>
      <c r="B1968" s="3"/>
      <c r="C1968" s="3"/>
      <c r="D1968" s="3"/>
      <c r="E1968" s="4" t="str">
        <f>HYPERLINK("https://dpmzos25m8ivg.cloudfront.net/Documentos/631/04502844250/6310450284425011092023135503.pdf","https://dpmzos25m8ivg.cloudfront.net/Documentos/631/04502844250/6310450284425011092023135503.pdf")</f>
        <v>https://dpmzos25m8ivg.cloudfront.net/Documentos/631/04502844250/6310450284425011092023135503.pdf</v>
      </c>
      <c r="F1968" s="5" t="str">
        <f>HYPERLINK("https://dpmzos25m8ivg.cloudfront.net/Documentos/631/04502844250/6310450284425011092023135518.pdf","https://dpmzos25m8ivg.cloudfront.net/Documentos/631/04502844250/6310450284425011092023135518.pdf")</f>
        <v>https://dpmzos25m8ivg.cloudfront.net/Documentos/631/04502844250/6310450284425011092023135518.pdf</v>
      </c>
      <c r="G1968" s="5" t="str">
        <f>HYPERLINK("https://dpmzos25m8ivg.cloudfront.net/Documentos/631/04502844250/6310450284425011092023135539.pdf","https://dpmzos25m8ivg.cloudfront.net/Documentos/631/04502844250/6310450284425011092023135539.pdf")</f>
        <v>https://dpmzos25m8ivg.cloudfront.net/Documentos/631/04502844250/6310450284425011092023135539.pdf</v>
      </c>
      <c r="H1968" s="4" t="s">
        <v>10548</v>
      </c>
    </row>
    <row r="1969" spans="1:8" x14ac:dyDescent="0.25">
      <c r="A1969" s="2" t="s">
        <v>1983</v>
      </c>
      <c r="B1969" s="3"/>
      <c r="C1969" s="3"/>
      <c r="D1969" s="3"/>
      <c r="E1969" s="4" t="str">
        <f>HYPERLINK("https://dpmzos25m8ivg.cloudfront.net/Documentos/631/04504459507/6310450445950705092023211618.pdf","https://dpmzos25m8ivg.cloudfront.net/Documentos/631/04504459507/6310450445950705092023211618.pdf")</f>
        <v>https://dpmzos25m8ivg.cloudfront.net/Documentos/631/04504459507/6310450445950705092023211618.pdf</v>
      </c>
      <c r="F1969" s="5" t="str">
        <f>HYPERLINK("https://dpmzos25m8ivg.cloudfront.net/Documentos/631/04504459507/6310450445950705092023211738.pdf","https://dpmzos25m8ivg.cloudfront.net/Documentos/631/04504459507/6310450445950705092023211738.pdf")</f>
        <v>https://dpmzos25m8ivg.cloudfront.net/Documentos/631/04504459507/6310450445950705092023211738.pdf</v>
      </c>
      <c r="G1969" s="5" t="str">
        <f>HYPERLINK("https://dpmzos25m8ivg.cloudfront.net/Documentos/631/04504459507/6310450445950705092023152827.pdf","https://dpmzos25m8ivg.cloudfront.net/Documentos/631/04504459507/6310450445950705092023152827.pdf")</f>
        <v>https://dpmzos25m8ivg.cloudfront.net/Documentos/631/04504459507/6310450445950705092023152827.pdf</v>
      </c>
      <c r="H1969" s="4" t="s">
        <v>10549</v>
      </c>
    </row>
    <row r="1970" spans="1:8" x14ac:dyDescent="0.25">
      <c r="A1970" s="2" t="s">
        <v>1984</v>
      </c>
      <c r="B1970" s="3"/>
      <c r="C1970" s="3"/>
      <c r="D1970" s="3"/>
      <c r="E1970" s="4" t="str">
        <f>HYPERLINK("https://dpmzos25m8ivg.cloudfront.net/Documentos/631/04512800247/6310451280024711092023163839.pdf","https://dpmzos25m8ivg.cloudfront.net/Documentos/631/04512800247/6310451280024711092023163839.pdf")</f>
        <v>https://dpmzos25m8ivg.cloudfront.net/Documentos/631/04512800247/6310451280024711092023163839.pdf</v>
      </c>
      <c r="F1970" s="5" t="str">
        <f>HYPERLINK("https://dpmzos25m8ivg.cloudfront.net/Documentos/631/04512800247/6310451280024711092023163852.pdf","https://dpmzos25m8ivg.cloudfront.net/Documentos/631/04512800247/6310451280024711092023163852.pdf")</f>
        <v>https://dpmzos25m8ivg.cloudfront.net/Documentos/631/04512800247/6310451280024711092023163852.pdf</v>
      </c>
      <c r="G1970" s="5" t="str">
        <f>HYPERLINK("https://dpmzos25m8ivg.cloudfront.net/Documentos/631/04512800247/6310451280024711092023163908.pdf","https://dpmzos25m8ivg.cloudfront.net/Documentos/631/04512800247/6310451280024711092023163908.pdf")</f>
        <v>https://dpmzos25m8ivg.cloudfront.net/Documentos/631/04512800247/6310451280024711092023163908.pdf</v>
      </c>
      <c r="H1970" s="4" t="s">
        <v>10550</v>
      </c>
    </row>
    <row r="1971" spans="1:8" x14ac:dyDescent="0.25">
      <c r="A1971" s="2" t="s">
        <v>1985</v>
      </c>
      <c r="B1971" s="3" t="s">
        <v>308</v>
      </c>
      <c r="C1971" s="3"/>
      <c r="D1971" s="3"/>
      <c r="E1971" s="4" t="str">
        <f>HYPERLINK("https://dpmzos25m8ivg.cloudfront.net/Documentos/631/04518083636/6310451808363605092023041940.pdf","https://dpmzos25m8ivg.cloudfront.net/Documentos/631/04518083636/6310451808363605092023041940.pdf")</f>
        <v>https://dpmzos25m8ivg.cloudfront.net/Documentos/631/04518083636/6310451808363605092023041940.pdf</v>
      </c>
      <c r="F1971" s="5" t="str">
        <f>HYPERLINK("https://dpmzos25m8ivg.cloudfront.net/Documentos/631/04518083636/6310451808363605092023042028.pdf","https://dpmzos25m8ivg.cloudfront.net/Documentos/631/04518083636/6310451808363605092023042028.pdf")</f>
        <v>https://dpmzos25m8ivg.cloudfront.net/Documentos/631/04518083636/6310451808363605092023042028.pdf</v>
      </c>
      <c r="G1971" s="5" t="str">
        <f>HYPERLINK("https://dpmzos25m8ivg.cloudfront.net/Documentos/631/04518083636/6310451808363605092023044738.pdf","https://dpmzos25m8ivg.cloudfront.net/Documentos/631/04518083636/6310451808363605092023044738.pdf")</f>
        <v>https://dpmzos25m8ivg.cloudfront.net/Documentos/631/04518083636/6310451808363605092023044738.pdf</v>
      </c>
      <c r="H1971" s="4" t="s">
        <v>10551</v>
      </c>
    </row>
    <row r="1972" spans="1:8" x14ac:dyDescent="0.25">
      <c r="A1972" s="2" t="s">
        <v>1986</v>
      </c>
      <c r="B1972" s="3" t="s">
        <v>23</v>
      </c>
      <c r="C1972" s="3"/>
      <c r="D1972" s="3"/>
      <c r="E1972" s="4" t="str">
        <f>HYPERLINK("https://dpmzos25m8ivg.cloudfront.net/Documentos/631/04520433525/6310452043352514092023153151.pdf","https://dpmzos25m8ivg.cloudfront.net/Documentos/631/04520433525/6310452043352514092023153151.pdf")</f>
        <v>https://dpmzos25m8ivg.cloudfront.net/Documentos/631/04520433525/6310452043352514092023153151.pdf</v>
      </c>
      <c r="F1972" s="5" t="str">
        <f>HYPERLINK("https://dpmzos25m8ivg.cloudfront.net/Documentos/631/04520433525/6310452043352514092023153203.pdf","https://dpmzos25m8ivg.cloudfront.net/Documentos/631/04520433525/6310452043352514092023153203.pdf")</f>
        <v>https://dpmzos25m8ivg.cloudfront.net/Documentos/631/04520433525/6310452043352514092023153203.pdf</v>
      </c>
      <c r="G1972" s="5" t="str">
        <f>HYPERLINK("https://dpmzos25m8ivg.cloudfront.net/Documentos/631/04520433525/6310452043352514092023153214.pdf","https://dpmzos25m8ivg.cloudfront.net/Documentos/631/04520433525/6310452043352514092023153214.pdf")</f>
        <v>https://dpmzos25m8ivg.cloudfront.net/Documentos/631/04520433525/6310452043352514092023153214.pdf</v>
      </c>
      <c r="H1972" s="4" t="s">
        <v>10552</v>
      </c>
    </row>
    <row r="1973" spans="1:8" x14ac:dyDescent="0.25">
      <c r="A1973" s="2" t="s">
        <v>1987</v>
      </c>
      <c r="B1973" s="3"/>
      <c r="C1973" s="3"/>
      <c r="D1973" s="3"/>
      <c r="E1973" s="4" t="str">
        <f>HYPERLINK("https://dpmzos25m8ivg.cloudfront.net/Documentos/631/04522022212/6310452202221207092023150304.pdf","https://dpmzos25m8ivg.cloudfront.net/Documentos/631/04522022212/6310452202221207092023150304.pdf")</f>
        <v>https://dpmzos25m8ivg.cloudfront.net/Documentos/631/04522022212/6310452202221207092023150304.pdf</v>
      </c>
      <c r="F1973" s="5" t="str">
        <f>HYPERLINK("https://dpmzos25m8ivg.cloudfront.net/Documentos/631/04522022212/6310452202221207092023150318.pdf","https://dpmzos25m8ivg.cloudfront.net/Documentos/631/04522022212/6310452202221207092023150318.pdf")</f>
        <v>https://dpmzos25m8ivg.cloudfront.net/Documentos/631/04522022212/6310452202221207092023150318.pdf</v>
      </c>
      <c r="G1973" s="5" t="str">
        <f>HYPERLINK("https://dpmzos25m8ivg.cloudfront.net/Documentos/631/04522022212/6310452202221207092023150333.pdf","https://dpmzos25m8ivg.cloudfront.net/Documentos/631/04522022212/6310452202221207092023150333.pdf")</f>
        <v>https://dpmzos25m8ivg.cloudfront.net/Documentos/631/04522022212/6310452202221207092023150333.pdf</v>
      </c>
      <c r="H1973" s="4" t="s">
        <v>10553</v>
      </c>
    </row>
    <row r="1974" spans="1:8" x14ac:dyDescent="0.25">
      <c r="A1974" s="2" t="s">
        <v>1988</v>
      </c>
      <c r="B1974" s="3"/>
      <c r="C1974" s="3"/>
      <c r="D1974" s="3"/>
      <c r="E1974" s="4" t="str">
        <f>HYPERLINK("https://dpmzos25m8ivg.cloudfront.net/Documentos/631/04523424306/6310452342430611092023145706.pdf","https://dpmzos25m8ivg.cloudfront.net/Documentos/631/04523424306/6310452342430611092023145706.pdf")</f>
        <v>https://dpmzos25m8ivg.cloudfront.net/Documentos/631/04523424306/6310452342430611092023145706.pdf</v>
      </c>
      <c r="F1974" s="5" t="str">
        <f>HYPERLINK("https://dpmzos25m8ivg.cloudfront.net/Documentos/631/04523424306/6310452342430611092023145724.pdf","https://dpmzos25m8ivg.cloudfront.net/Documentos/631/04523424306/6310452342430611092023145724.pdf")</f>
        <v>https://dpmzos25m8ivg.cloudfront.net/Documentos/631/04523424306/6310452342430611092023145724.pdf</v>
      </c>
      <c r="G1974" s="5" t="str">
        <f>HYPERLINK("https://dpmzos25m8ivg.cloudfront.net/Documentos/631/04523424306/6310452342430611092023145743.pdf","https://dpmzos25m8ivg.cloudfront.net/Documentos/631/04523424306/6310452342430611092023145743.pdf")</f>
        <v>https://dpmzos25m8ivg.cloudfront.net/Documentos/631/04523424306/6310452342430611092023145743.pdf</v>
      </c>
      <c r="H1974" s="4" t="s">
        <v>10554</v>
      </c>
    </row>
    <row r="1975" spans="1:8" x14ac:dyDescent="0.25">
      <c r="A1975" s="2" t="s">
        <v>1989</v>
      </c>
      <c r="B1975" s="3"/>
      <c r="C1975" s="3"/>
      <c r="D1975" s="3"/>
      <c r="E1975" s="4" t="str">
        <f>HYPERLINK("https://dpmzos25m8ivg.cloudfront.net/Documentos/631/04524621504/6310452462150406092023173834.jpg","https://dpmzos25m8ivg.cloudfront.net/Documentos/631/04524621504/6310452462150406092023173834.jpg")</f>
        <v>https://dpmzos25m8ivg.cloudfront.net/Documentos/631/04524621504/6310452462150406092023173834.jpg</v>
      </c>
      <c r="F1975" s="5" t="str">
        <f>HYPERLINK("https://dpmzos25m8ivg.cloudfront.net/Documentos/631/04524621504/6310452462150406092023173855.jpg","https://dpmzos25m8ivg.cloudfront.net/Documentos/631/04524621504/6310452462150406092023173855.jpg")</f>
        <v>https://dpmzos25m8ivg.cloudfront.net/Documentos/631/04524621504/6310452462150406092023173855.jpg</v>
      </c>
      <c r="G1975" s="5" t="str">
        <f>HYPERLINK("https://dpmzos25m8ivg.cloudfront.net/Documentos/631/04524621504/6310452462150406092023173916.jpg","https://dpmzos25m8ivg.cloudfront.net/Documentos/631/04524621504/6310452462150406092023173916.jpg")</f>
        <v>https://dpmzos25m8ivg.cloudfront.net/Documentos/631/04524621504/6310452462150406092023173916.jpg</v>
      </c>
      <c r="H1975" s="4" t="s">
        <v>10555</v>
      </c>
    </row>
    <row r="1976" spans="1:8" x14ac:dyDescent="0.25">
      <c r="A1976" s="2" t="s">
        <v>1990</v>
      </c>
      <c r="B1976" s="3" t="s">
        <v>312</v>
      </c>
      <c r="C1976" s="3"/>
      <c r="D1976" s="3"/>
      <c r="E1976" s="4" t="str">
        <f>HYPERLINK("https://dpmzos25m8ivg.cloudfront.net/Documentos/631/04525660457/6310452566045705092023112406.jpeg","https://dpmzos25m8ivg.cloudfront.net/Documentos/631/04525660457/6310452566045705092023112406.jpeg")</f>
        <v>https://dpmzos25m8ivg.cloudfront.net/Documentos/631/04525660457/6310452566045705092023112406.jpeg</v>
      </c>
      <c r="F1976" s="5" t="str">
        <f>HYPERLINK("https://dpmzos25m8ivg.cloudfront.net/Documentos/631/04525660457/6310452566045705092023112440.jpeg","https://dpmzos25m8ivg.cloudfront.net/Documentos/631/04525660457/6310452566045705092023112440.jpeg")</f>
        <v>https://dpmzos25m8ivg.cloudfront.net/Documentos/631/04525660457/6310452566045705092023112440.jpeg</v>
      </c>
      <c r="G1976" s="5" t="str">
        <f>HYPERLINK("https://dpmzos25m8ivg.cloudfront.net/Documentos/631/04525660457/6310452566045705092023112456.jpeg","https://dpmzos25m8ivg.cloudfront.net/Documentos/631/04525660457/6310452566045705092023112456.jpeg")</f>
        <v>https://dpmzos25m8ivg.cloudfront.net/Documentos/631/04525660457/6310452566045705092023112456.jpeg</v>
      </c>
      <c r="H1976" s="4" t="s">
        <v>10556</v>
      </c>
    </row>
    <row r="1977" spans="1:8" x14ac:dyDescent="0.25">
      <c r="A1977" s="2" t="s">
        <v>1991</v>
      </c>
      <c r="B1977" s="3" t="s">
        <v>23</v>
      </c>
      <c r="C1977" s="3"/>
      <c r="D1977" s="3"/>
      <c r="E1977" s="4" t="str">
        <f>HYPERLINK("https://dpmzos25m8ivg.cloudfront.net/Documentos/631/04525858567/6310452585856713092023114522.jpeg","https://dpmzos25m8ivg.cloudfront.net/Documentos/631/04525858567/6310452585856713092023114522.jpeg")</f>
        <v>https://dpmzos25m8ivg.cloudfront.net/Documentos/631/04525858567/6310452585856713092023114522.jpeg</v>
      </c>
      <c r="F1977" s="5" t="str">
        <f>HYPERLINK("https://dpmzos25m8ivg.cloudfront.net/Documentos/631/04525858567/6310452585856713092023114529.jpeg","https://dpmzos25m8ivg.cloudfront.net/Documentos/631/04525858567/6310452585856713092023114529.jpeg")</f>
        <v>https://dpmzos25m8ivg.cloudfront.net/Documentos/631/04525858567/6310452585856713092023114529.jpeg</v>
      </c>
      <c r="G1977" s="5" t="str">
        <f>HYPERLINK("https://dpmzos25m8ivg.cloudfront.net/Documentos/631/04525858567/6310452585856713092023114539.jpeg","https://dpmzos25m8ivg.cloudfront.net/Documentos/631/04525858567/6310452585856713092023114539.jpeg")</f>
        <v>https://dpmzos25m8ivg.cloudfront.net/Documentos/631/04525858567/6310452585856713092023114539.jpeg</v>
      </c>
      <c r="H1977" s="4" t="s">
        <v>10557</v>
      </c>
    </row>
    <row r="1978" spans="1:8" x14ac:dyDescent="0.25">
      <c r="A1978" s="2" t="s">
        <v>1992</v>
      </c>
      <c r="B1978" s="3" t="s">
        <v>312</v>
      </c>
      <c r="C1978" s="3"/>
      <c r="D1978" s="3"/>
      <c r="E1978" s="4" t="str">
        <f>HYPERLINK("https://dpmzos25m8ivg.cloudfront.net/Documentos/631/04527221523/6310452722152311092023162739.pdf","https://dpmzos25m8ivg.cloudfront.net/Documentos/631/04527221523/6310452722152311092023162739.pdf")</f>
        <v>https://dpmzos25m8ivg.cloudfront.net/Documentos/631/04527221523/6310452722152311092023162739.pdf</v>
      </c>
      <c r="F1978" s="5" t="str">
        <f>HYPERLINK("https://dpmzos25m8ivg.cloudfront.net/Documentos/631/04527221523/6310452722152311092023162803.pdf","https://dpmzos25m8ivg.cloudfront.net/Documentos/631/04527221523/6310452722152311092023162803.pdf")</f>
        <v>https://dpmzos25m8ivg.cloudfront.net/Documentos/631/04527221523/6310452722152311092023162803.pdf</v>
      </c>
      <c r="G1978" s="5" t="str">
        <f>HYPERLINK("https://dpmzos25m8ivg.cloudfront.net/Documentos/631/04527221523/6310452722152311092023162817.pdf","https://dpmzos25m8ivg.cloudfront.net/Documentos/631/04527221523/6310452722152311092023162817.pdf")</f>
        <v>https://dpmzos25m8ivg.cloudfront.net/Documentos/631/04527221523/6310452722152311092023162817.pdf</v>
      </c>
      <c r="H1978" s="4" t="s">
        <v>10558</v>
      </c>
    </row>
    <row r="1979" spans="1:8" x14ac:dyDescent="0.25">
      <c r="A1979" s="2" t="s">
        <v>1993</v>
      </c>
      <c r="B1979" s="3"/>
      <c r="C1979" s="3"/>
      <c r="D1979" s="3"/>
      <c r="E1979" s="4" t="str">
        <f>HYPERLINK("https://dpmzos25m8ivg.cloudfront.net/Documentos/631/04527825623/6310452782562305092023181152.pdf","https://dpmzos25m8ivg.cloudfront.net/Documentos/631/04527825623/6310452782562305092023181152.pdf")</f>
        <v>https://dpmzos25m8ivg.cloudfront.net/Documentos/631/04527825623/6310452782562305092023181152.pdf</v>
      </c>
      <c r="F1979" s="5" t="str">
        <f>HYPERLINK("https://dpmzos25m8ivg.cloudfront.net/Documentos/631/04527825623/6310452782562305092023181208.pdf","https://dpmzos25m8ivg.cloudfront.net/Documentos/631/04527825623/6310452782562305092023181208.pdf")</f>
        <v>https://dpmzos25m8ivg.cloudfront.net/Documentos/631/04527825623/6310452782562305092023181208.pdf</v>
      </c>
      <c r="G1979" s="5" t="str">
        <f>HYPERLINK("https://dpmzos25m8ivg.cloudfront.net/Documentos/631/04527825623/6310452782562305092023181225.pdf","https://dpmzos25m8ivg.cloudfront.net/Documentos/631/04527825623/6310452782562305092023181225.pdf")</f>
        <v>https://dpmzos25m8ivg.cloudfront.net/Documentos/631/04527825623/6310452782562305092023181225.pdf</v>
      </c>
      <c r="H1979" s="4" t="s">
        <v>10559</v>
      </c>
    </row>
    <row r="1980" spans="1:8" x14ac:dyDescent="0.25">
      <c r="A1980" s="2" t="s">
        <v>1994</v>
      </c>
      <c r="B1980" s="3"/>
      <c r="C1980" s="3"/>
      <c r="D1980" s="3"/>
      <c r="E1980" s="4" t="str">
        <f>HYPERLINK("https://dpmzos25m8ivg.cloudfront.net/Documentos/631/04529194523/6310452919452311092023155044.pdf","https://dpmzos25m8ivg.cloudfront.net/Documentos/631/04529194523/6310452919452311092023155044.pdf")</f>
        <v>https://dpmzos25m8ivg.cloudfront.net/Documentos/631/04529194523/6310452919452311092023155044.pdf</v>
      </c>
      <c r="F1980" s="5" t="str">
        <f>HYPERLINK("https://dpmzos25m8ivg.cloudfront.net/Documentos/631/04529194523/6310452919452311092023155053.pdf","https://dpmzos25m8ivg.cloudfront.net/Documentos/631/04529194523/6310452919452311092023155053.pdf")</f>
        <v>https://dpmzos25m8ivg.cloudfront.net/Documentos/631/04529194523/6310452919452311092023155053.pdf</v>
      </c>
      <c r="G1980" s="5" t="str">
        <f>HYPERLINK("https://dpmzos25m8ivg.cloudfront.net/Documentos/631/04529194523/6310452919452311092023155114.pdf","https://dpmzos25m8ivg.cloudfront.net/Documentos/631/04529194523/6310452919452311092023155114.pdf")</f>
        <v>https://dpmzos25m8ivg.cloudfront.net/Documentos/631/04529194523/6310452919452311092023155114.pdf</v>
      </c>
      <c r="H1980" s="4" t="s">
        <v>10560</v>
      </c>
    </row>
    <row r="1981" spans="1:8" x14ac:dyDescent="0.25">
      <c r="A1981" s="2" t="s">
        <v>1995</v>
      </c>
      <c r="B1981" s="3" t="s">
        <v>308</v>
      </c>
      <c r="C1981" s="3"/>
      <c r="D1981" s="3"/>
      <c r="E1981" s="4" t="str">
        <f>HYPERLINK("https://dpmzos25m8ivg.cloudfront.net/Documentos/631/04530548546/6310453054854611092023101207.jpeg","https://dpmzos25m8ivg.cloudfront.net/Documentos/631/04530548546/6310453054854611092023101207.jpeg")</f>
        <v>https://dpmzos25m8ivg.cloudfront.net/Documentos/631/04530548546/6310453054854611092023101207.jpeg</v>
      </c>
      <c r="F1981" s="5" t="str">
        <f>HYPERLINK("https://dpmzos25m8ivg.cloudfront.net/Documentos/631/04530548546/6310453054854611092023101216.jpeg","https://dpmzos25m8ivg.cloudfront.net/Documentos/631/04530548546/6310453054854611092023101216.jpeg")</f>
        <v>https://dpmzos25m8ivg.cloudfront.net/Documentos/631/04530548546/6310453054854611092023101216.jpeg</v>
      </c>
      <c r="G1981" s="5" t="str">
        <f>HYPERLINK("https://dpmzos25m8ivg.cloudfront.net/Documentos/631/04530548546/6310453054854611092023101226.jpeg","https://dpmzos25m8ivg.cloudfront.net/Documentos/631/04530548546/6310453054854611092023101226.jpeg")</f>
        <v>https://dpmzos25m8ivg.cloudfront.net/Documentos/631/04530548546/6310453054854611092023101226.jpeg</v>
      </c>
      <c r="H1981" s="4" t="s">
        <v>10561</v>
      </c>
    </row>
    <row r="1982" spans="1:8" x14ac:dyDescent="0.25">
      <c r="A1982" s="2" t="s">
        <v>1996</v>
      </c>
      <c r="B1982" s="3"/>
      <c r="C1982" s="3"/>
      <c r="D1982" s="3"/>
      <c r="E1982" s="4" t="str">
        <f>HYPERLINK("https://dpmzos25m8ivg.cloudfront.net/Documentos/631/04530567176/6310453056717613092023001323.pdf","https://dpmzos25m8ivg.cloudfront.net/Documentos/631/04530567176/6310453056717613092023001323.pdf")</f>
        <v>https://dpmzos25m8ivg.cloudfront.net/Documentos/631/04530567176/6310453056717613092023001323.pdf</v>
      </c>
      <c r="F1982" s="5" t="str">
        <f>HYPERLINK("https://dpmzos25m8ivg.cloudfront.net/Documentos/631/04530567176/6310453056717613092023001331.pdf","https://dpmzos25m8ivg.cloudfront.net/Documentos/631/04530567176/6310453056717613092023001331.pdf")</f>
        <v>https://dpmzos25m8ivg.cloudfront.net/Documentos/631/04530567176/6310453056717613092023001331.pdf</v>
      </c>
      <c r="G1982" s="5" t="str">
        <f>HYPERLINK("https://dpmzos25m8ivg.cloudfront.net/Documentos/631/04530567176/6310453056717613092023001352.pdf","https://dpmzos25m8ivg.cloudfront.net/Documentos/631/04530567176/6310453056717613092023001352.pdf")</f>
        <v>https://dpmzos25m8ivg.cloudfront.net/Documentos/631/04530567176/6310453056717613092023001352.pdf</v>
      </c>
      <c r="H1982" s="4" t="s">
        <v>10562</v>
      </c>
    </row>
    <row r="1983" spans="1:8" x14ac:dyDescent="0.25">
      <c r="A1983" s="2" t="s">
        <v>1997</v>
      </c>
      <c r="B1983" s="3"/>
      <c r="C1983" s="3"/>
      <c r="D1983" s="3"/>
      <c r="E1983" s="4" t="str">
        <f>HYPERLINK("https://dpmzos25m8ivg.cloudfront.net/Documentos/631/04530855392/6310453085539211092023151614.pdf","https://dpmzos25m8ivg.cloudfront.net/Documentos/631/04530855392/6310453085539211092023151614.pdf")</f>
        <v>https://dpmzos25m8ivg.cloudfront.net/Documentos/631/04530855392/6310453085539211092023151614.pdf</v>
      </c>
      <c r="F1983" s="5" t="str">
        <f>HYPERLINK("https://dpmzos25m8ivg.cloudfront.net/Documentos/631/04530855392/6310453085539211092023151636.pdf","https://dpmzos25m8ivg.cloudfront.net/Documentos/631/04530855392/6310453085539211092023151636.pdf")</f>
        <v>https://dpmzos25m8ivg.cloudfront.net/Documentos/631/04530855392/6310453085539211092023151636.pdf</v>
      </c>
      <c r="G1983" s="5" t="str">
        <f>HYPERLINK("https://dpmzos25m8ivg.cloudfront.net/Documentos/631/04530855392/6310453085539211092023151730.pdf","https://dpmzos25m8ivg.cloudfront.net/Documentos/631/04530855392/6310453085539211092023151730.pdf")</f>
        <v>https://dpmzos25m8ivg.cloudfront.net/Documentos/631/04530855392/6310453085539211092023151730.pdf</v>
      </c>
      <c r="H1983" s="4" t="s">
        <v>10563</v>
      </c>
    </row>
    <row r="1984" spans="1:8" x14ac:dyDescent="0.25">
      <c r="A1984" s="2" t="s">
        <v>1998</v>
      </c>
      <c r="B1984" s="3"/>
      <c r="C1984" s="3"/>
      <c r="D1984" s="3"/>
      <c r="E1984" s="4" t="str">
        <f>HYPERLINK("https://dpmzos25m8ivg.cloudfront.net/Documentos/631/04531163290/6310453116329014092023150011.pdf","https://dpmzos25m8ivg.cloudfront.net/Documentos/631/04531163290/6310453116329014092023150011.pdf")</f>
        <v>https://dpmzos25m8ivg.cloudfront.net/Documentos/631/04531163290/6310453116329014092023150011.pdf</v>
      </c>
      <c r="F1984" s="5" t="str">
        <f>HYPERLINK("https://dpmzos25m8ivg.cloudfront.net/Documentos/631/04531163290/6310453116329014092023150018.pdf","https://dpmzos25m8ivg.cloudfront.net/Documentos/631/04531163290/6310453116329014092023150018.pdf")</f>
        <v>https://dpmzos25m8ivg.cloudfront.net/Documentos/631/04531163290/6310453116329014092023150018.pdf</v>
      </c>
      <c r="G1984" s="5" t="str">
        <f>HYPERLINK("https://dpmzos25m8ivg.cloudfront.net/Documentos/631/04531163290/6310453116329014092023150024.pdf","https://dpmzos25m8ivg.cloudfront.net/Documentos/631/04531163290/6310453116329014092023150024.pdf")</f>
        <v>https://dpmzos25m8ivg.cloudfront.net/Documentos/631/04531163290/6310453116329014092023150024.pdf</v>
      </c>
      <c r="H1984" s="4" t="s">
        <v>10564</v>
      </c>
    </row>
    <row r="1985" spans="1:8" x14ac:dyDescent="0.25">
      <c r="A1985" s="2" t="s">
        <v>1999</v>
      </c>
      <c r="B1985" s="3" t="s">
        <v>90</v>
      </c>
      <c r="C1985" s="3"/>
      <c r="D1985" s="3"/>
      <c r="E1985" s="4" t="str">
        <f>HYPERLINK("https://dpmzos25m8ivg.cloudfront.net/Documentos/631/04531502507/6310453150250711092023114004.pdf","https://dpmzos25m8ivg.cloudfront.net/Documentos/631/04531502507/6310453150250711092023114004.pdf")</f>
        <v>https://dpmzos25m8ivg.cloudfront.net/Documentos/631/04531502507/6310453150250711092023114004.pdf</v>
      </c>
      <c r="F1985" s="5" t="str">
        <f>HYPERLINK("https://dpmzos25m8ivg.cloudfront.net/Documentos/631/04531502507/6310453150250711092023114027.pdf","https://dpmzos25m8ivg.cloudfront.net/Documentos/631/04531502507/6310453150250711092023114027.pdf")</f>
        <v>https://dpmzos25m8ivg.cloudfront.net/Documentos/631/04531502507/6310453150250711092023114027.pdf</v>
      </c>
      <c r="G1985" s="5" t="str">
        <f>HYPERLINK("https://dpmzos25m8ivg.cloudfront.net/Documentos/631/04531502507/6310453150250711092023114055.pdf","https://dpmzos25m8ivg.cloudfront.net/Documentos/631/04531502507/6310453150250711092023114055.pdf")</f>
        <v>https://dpmzos25m8ivg.cloudfront.net/Documentos/631/04531502507/6310453150250711092023114055.pdf</v>
      </c>
      <c r="H1985" s="4" t="s">
        <v>10565</v>
      </c>
    </row>
    <row r="1986" spans="1:8" x14ac:dyDescent="0.25">
      <c r="A1986" s="2" t="s">
        <v>2000</v>
      </c>
      <c r="B1986" s="3"/>
      <c r="C1986" s="3"/>
      <c r="D1986" s="3"/>
      <c r="E1986" s="4" t="str">
        <f>HYPERLINK("https://dpmzos25m8ivg.cloudfront.net/Documentos/631/04531673220/6310453167322008092023164154.pdf","https://dpmzos25m8ivg.cloudfront.net/Documentos/631/04531673220/6310453167322008092023164154.pdf")</f>
        <v>https://dpmzos25m8ivg.cloudfront.net/Documentos/631/04531673220/6310453167322008092023164154.pdf</v>
      </c>
      <c r="F1986" s="5" t="str">
        <f>HYPERLINK("https://dpmzos25m8ivg.cloudfront.net/Documentos/631/04531673220/6310453167322008092023164453.pdf","https://dpmzos25m8ivg.cloudfront.net/Documentos/631/04531673220/6310453167322008092023164453.pdf")</f>
        <v>https://dpmzos25m8ivg.cloudfront.net/Documentos/631/04531673220/6310453167322008092023164453.pdf</v>
      </c>
      <c r="G1986" s="5" t="str">
        <f>HYPERLINK("https://dpmzos25m8ivg.cloudfront.net/Documentos/631/04531673220/6310453167322008092023165200.pdf","https://dpmzos25m8ivg.cloudfront.net/Documentos/631/04531673220/6310453167322008092023165200.pdf")</f>
        <v>https://dpmzos25m8ivg.cloudfront.net/Documentos/631/04531673220/6310453167322008092023165200.pdf</v>
      </c>
      <c r="H1986" s="4" t="s">
        <v>10566</v>
      </c>
    </row>
    <row r="1987" spans="1:8" x14ac:dyDescent="0.25">
      <c r="A1987" s="2" t="s">
        <v>2001</v>
      </c>
      <c r="B1987" s="3" t="s">
        <v>90</v>
      </c>
      <c r="C1987" s="3"/>
      <c r="D1987" s="3"/>
      <c r="E1987" s="4" t="str">
        <f>HYPERLINK("https://dpmzos25m8ivg.cloudfront.net/Documentos/631/04532048567/6310453204856711092023085203.pdf","https://dpmzos25m8ivg.cloudfront.net/Documentos/631/04532048567/6310453204856711092023085203.pdf")</f>
        <v>https://dpmzos25m8ivg.cloudfront.net/Documentos/631/04532048567/6310453204856711092023085203.pdf</v>
      </c>
      <c r="F1987" s="5" t="str">
        <f>HYPERLINK("https://dpmzos25m8ivg.cloudfront.net/Documentos/631/04532048567/6310453204856711092023085217.pdf","https://dpmzos25m8ivg.cloudfront.net/Documentos/631/04532048567/6310453204856711092023085217.pdf")</f>
        <v>https://dpmzos25m8ivg.cloudfront.net/Documentos/631/04532048567/6310453204856711092023085217.pdf</v>
      </c>
      <c r="G1987" s="5" t="str">
        <f>HYPERLINK("https://dpmzos25m8ivg.cloudfront.net/Documentos/631/04532048567/6310453204856711092023085227.pdf","https://dpmzos25m8ivg.cloudfront.net/Documentos/631/04532048567/6310453204856711092023085227.pdf")</f>
        <v>https://dpmzos25m8ivg.cloudfront.net/Documentos/631/04532048567/6310453204856711092023085227.pdf</v>
      </c>
      <c r="H1987" s="4" t="s">
        <v>10567</v>
      </c>
    </row>
    <row r="1988" spans="1:8" x14ac:dyDescent="0.25">
      <c r="A1988" s="2" t="s">
        <v>2002</v>
      </c>
      <c r="B1988" s="3"/>
      <c r="C1988" s="3"/>
      <c r="D1988" s="3"/>
      <c r="E1988" s="4" t="str">
        <f>HYPERLINK("https://dpmzos25m8ivg.cloudfront.net/Documentos/631/04533192203/6310453319220310092023124323.pdf","https://dpmzos25m8ivg.cloudfront.net/Documentos/631/04533192203/6310453319220310092023124323.pdf")</f>
        <v>https://dpmzos25m8ivg.cloudfront.net/Documentos/631/04533192203/6310453319220310092023124323.pdf</v>
      </c>
      <c r="F1988" s="5" t="str">
        <f>HYPERLINK("https://dpmzos25m8ivg.cloudfront.net/Documentos/631/04533192203/6310453319220310092023124459.pdf","https://dpmzos25m8ivg.cloudfront.net/Documentos/631/04533192203/6310453319220310092023124459.pdf")</f>
        <v>https://dpmzos25m8ivg.cloudfront.net/Documentos/631/04533192203/6310453319220310092023124459.pdf</v>
      </c>
      <c r="G1988" s="5" t="str">
        <f>HYPERLINK("https://dpmzos25m8ivg.cloudfront.net/Documentos/631/04533192203/6310453319220310092023124522.pdf","https://dpmzos25m8ivg.cloudfront.net/Documentos/631/04533192203/6310453319220310092023124522.pdf")</f>
        <v>https://dpmzos25m8ivg.cloudfront.net/Documentos/631/04533192203/6310453319220310092023124522.pdf</v>
      </c>
      <c r="H1988" s="4" t="s">
        <v>10568</v>
      </c>
    </row>
    <row r="1989" spans="1:8" x14ac:dyDescent="0.25">
      <c r="A1989" s="2" t="s">
        <v>2003</v>
      </c>
      <c r="B1989" s="3"/>
      <c r="C1989" s="3"/>
      <c r="D1989" s="3"/>
      <c r="E1989" s="4" t="str">
        <f>HYPERLINK("https://dpmzos25m8ivg.cloudfront.net/Documentos/631/04534744382/6310453474438211092023154153.jpg","https://dpmzos25m8ivg.cloudfront.net/Documentos/631/04534744382/6310453474438211092023154153.jpg")</f>
        <v>https://dpmzos25m8ivg.cloudfront.net/Documentos/631/04534744382/6310453474438211092023154153.jpg</v>
      </c>
      <c r="F1989" s="5" t="str">
        <f>HYPERLINK("https://dpmzos25m8ivg.cloudfront.net/Documentos/631/04534744382/6310453474438211092023154223.jpg","https://dpmzos25m8ivg.cloudfront.net/Documentos/631/04534744382/6310453474438211092023154223.jpg")</f>
        <v>https://dpmzos25m8ivg.cloudfront.net/Documentos/631/04534744382/6310453474438211092023154223.jpg</v>
      </c>
      <c r="G1989" s="5" t="str">
        <f>HYPERLINK("https://dpmzos25m8ivg.cloudfront.net/Documentos/631/04534744382/6310453474438211092023154247.jpg","https://dpmzos25m8ivg.cloudfront.net/Documentos/631/04534744382/6310453474438211092023154247.jpg")</f>
        <v>https://dpmzos25m8ivg.cloudfront.net/Documentos/631/04534744382/6310453474438211092023154247.jpg</v>
      </c>
      <c r="H1989" s="4" t="s">
        <v>10569</v>
      </c>
    </row>
    <row r="1990" spans="1:8" x14ac:dyDescent="0.25">
      <c r="A1990" s="2" t="s">
        <v>2004</v>
      </c>
      <c r="B1990" s="3"/>
      <c r="C1990" s="3"/>
      <c r="D1990" s="3"/>
      <c r="E1990" s="4" t="str">
        <f>HYPERLINK("https://dpmzos25m8ivg.cloudfront.net/Documentos/631/04534755317/6310453475531706092023203836.pdf","https://dpmzos25m8ivg.cloudfront.net/Documentos/631/04534755317/6310453475531706092023203836.pdf")</f>
        <v>https://dpmzos25m8ivg.cloudfront.net/Documentos/631/04534755317/6310453475531706092023203836.pdf</v>
      </c>
      <c r="F1990" s="5" t="str">
        <f>HYPERLINK("https://dpmzos25m8ivg.cloudfront.net/Documentos/631/04534755317/6310453475531706092023203850.pdf","https://dpmzos25m8ivg.cloudfront.net/Documentos/631/04534755317/6310453475531706092023203850.pdf")</f>
        <v>https://dpmzos25m8ivg.cloudfront.net/Documentos/631/04534755317/6310453475531706092023203850.pdf</v>
      </c>
      <c r="G1990" s="5" t="str">
        <f>HYPERLINK("https://dpmzos25m8ivg.cloudfront.net/Documentos/631/04534755317/6310453475531706092023203909.pdf","https://dpmzos25m8ivg.cloudfront.net/Documentos/631/04534755317/6310453475531706092023203909.pdf")</f>
        <v>https://dpmzos25m8ivg.cloudfront.net/Documentos/631/04534755317/6310453475531706092023203909.pdf</v>
      </c>
      <c r="H1990" s="4" t="s">
        <v>10570</v>
      </c>
    </row>
    <row r="1991" spans="1:8" x14ac:dyDescent="0.25">
      <c r="A1991" s="2" t="s">
        <v>2005</v>
      </c>
      <c r="B1991" s="3" t="s">
        <v>312</v>
      </c>
      <c r="C1991" s="3"/>
      <c r="D1991" s="3"/>
      <c r="E1991" s="4" t="str">
        <f>HYPERLINK("https://dpmzos25m8ivg.cloudfront.net/Documentos/631/04535884250/6310453588425010092023141228.pdf","https://dpmzos25m8ivg.cloudfront.net/Documentos/631/04535884250/6310453588425010092023141228.pdf")</f>
        <v>https://dpmzos25m8ivg.cloudfront.net/Documentos/631/04535884250/6310453588425010092023141228.pdf</v>
      </c>
      <c r="F1991" s="5" t="str">
        <f>HYPERLINK("https://dpmzos25m8ivg.cloudfront.net/Documentos/631/04535884250/6310453588425010092023141239.pdf","https://dpmzos25m8ivg.cloudfront.net/Documentos/631/04535884250/6310453588425010092023141239.pdf")</f>
        <v>https://dpmzos25m8ivg.cloudfront.net/Documentos/631/04535884250/6310453588425010092023141239.pdf</v>
      </c>
      <c r="G1991" s="5" t="str">
        <f>HYPERLINK("https://dpmzos25m8ivg.cloudfront.net/Documentos/631/04535884250/6310453588425010092023141249.pdf","https://dpmzos25m8ivg.cloudfront.net/Documentos/631/04535884250/6310453588425010092023141249.pdf")</f>
        <v>https://dpmzos25m8ivg.cloudfront.net/Documentos/631/04535884250/6310453588425010092023141249.pdf</v>
      </c>
      <c r="H1991" s="4" t="s">
        <v>10571</v>
      </c>
    </row>
    <row r="1992" spans="1:8" x14ac:dyDescent="0.25">
      <c r="A1992" s="2" t="s">
        <v>2006</v>
      </c>
      <c r="B1992" s="3"/>
      <c r="C1992" s="3"/>
      <c r="D1992" s="3"/>
      <c r="E1992" s="4" t="str">
        <f>HYPERLINK("https://dpmzos25m8ivg.cloudfront.net/Documentos/631/04538209210/6310453820921009092023155440.jpeg","https://dpmzos25m8ivg.cloudfront.net/Documentos/631/04538209210/6310453820921009092023155440.jpeg")</f>
        <v>https://dpmzos25m8ivg.cloudfront.net/Documentos/631/04538209210/6310453820921009092023155440.jpeg</v>
      </c>
      <c r="F1992" s="5" t="str">
        <f>HYPERLINK("https://dpmzos25m8ivg.cloudfront.net/Documentos/631/04538209210/6310453820921009092023155459.jpeg","https://dpmzos25m8ivg.cloudfront.net/Documentos/631/04538209210/6310453820921009092023155459.jpeg")</f>
        <v>https://dpmzos25m8ivg.cloudfront.net/Documentos/631/04538209210/6310453820921009092023155459.jpeg</v>
      </c>
      <c r="G1992" s="5" t="str">
        <f>HYPERLINK("https://dpmzos25m8ivg.cloudfront.net/Documentos/631/04538209210/6310453820921009092023155517.jpeg","https://dpmzos25m8ivg.cloudfront.net/Documentos/631/04538209210/6310453820921009092023155517.jpeg")</f>
        <v>https://dpmzos25m8ivg.cloudfront.net/Documentos/631/04538209210/6310453820921009092023155517.jpeg</v>
      </c>
      <c r="H1992" s="4" t="s">
        <v>10572</v>
      </c>
    </row>
    <row r="1993" spans="1:8" x14ac:dyDescent="0.25">
      <c r="A1993" s="2" t="s">
        <v>2007</v>
      </c>
      <c r="B1993" s="3"/>
      <c r="C1993" s="3"/>
      <c r="D1993" s="3"/>
      <c r="E1993" s="4" t="str">
        <f>HYPERLINK("https://dpmzos25m8ivg.cloudfront.net/Documentos/631/04540945580/6310454094558008092023145151.pdf","https://dpmzos25m8ivg.cloudfront.net/Documentos/631/04540945580/6310454094558008092023145151.pdf")</f>
        <v>https://dpmzos25m8ivg.cloudfront.net/Documentos/631/04540945580/6310454094558008092023145151.pdf</v>
      </c>
      <c r="F1993" s="5" t="str">
        <f>HYPERLINK("https://dpmzos25m8ivg.cloudfront.net/Documentos/631/04540945580/6310454094558008092023145203.pdf","https://dpmzos25m8ivg.cloudfront.net/Documentos/631/04540945580/6310454094558008092023145203.pdf")</f>
        <v>https://dpmzos25m8ivg.cloudfront.net/Documentos/631/04540945580/6310454094558008092023145203.pdf</v>
      </c>
      <c r="G1993" s="5" t="str">
        <f>HYPERLINK("https://dpmzos25m8ivg.cloudfront.net/Documentos/631/04540945580/6310454094558008092023145213.pdf","https://dpmzos25m8ivg.cloudfront.net/Documentos/631/04540945580/6310454094558008092023145213.pdf")</f>
        <v>https://dpmzos25m8ivg.cloudfront.net/Documentos/631/04540945580/6310454094558008092023145213.pdf</v>
      </c>
      <c r="H1993" s="4" t="s">
        <v>10573</v>
      </c>
    </row>
    <row r="1994" spans="1:8" x14ac:dyDescent="0.25">
      <c r="A1994" s="2" t="s">
        <v>2008</v>
      </c>
      <c r="B1994" s="3"/>
      <c r="C1994" s="3"/>
      <c r="D1994" s="3"/>
      <c r="E1994" s="4" t="str">
        <f>HYPERLINK("https://dpmzos25m8ivg.cloudfront.net/Documentos/631/04541042355/6310454104235505092023100514.pdf","https://dpmzos25m8ivg.cloudfront.net/Documentos/631/04541042355/6310454104235505092023100514.pdf")</f>
        <v>https://dpmzos25m8ivg.cloudfront.net/Documentos/631/04541042355/6310454104235505092023100514.pdf</v>
      </c>
      <c r="F1994" s="5" t="str">
        <f>HYPERLINK("https://dpmzos25m8ivg.cloudfront.net/Documentos/631/04541042355/6310454104235505092023100533.pdf","https://dpmzos25m8ivg.cloudfront.net/Documentos/631/04541042355/6310454104235505092023100533.pdf")</f>
        <v>https://dpmzos25m8ivg.cloudfront.net/Documentos/631/04541042355/6310454104235505092023100533.pdf</v>
      </c>
      <c r="G1994" s="5" t="str">
        <f>HYPERLINK("https://dpmzos25m8ivg.cloudfront.net/Documentos/631/04541042355/6310454104235505092023100554.pdf","https://dpmzos25m8ivg.cloudfront.net/Documentos/631/04541042355/6310454104235505092023100554.pdf")</f>
        <v>https://dpmzos25m8ivg.cloudfront.net/Documentos/631/04541042355/6310454104235505092023100554.pdf</v>
      </c>
      <c r="H1994" s="4" t="s">
        <v>10574</v>
      </c>
    </row>
    <row r="1995" spans="1:8" x14ac:dyDescent="0.25">
      <c r="A1995" s="2" t="s">
        <v>2009</v>
      </c>
      <c r="B1995" s="3"/>
      <c r="C1995" s="3"/>
      <c r="D1995" s="3"/>
      <c r="E1995" s="4" t="str">
        <f>HYPERLINK("https://dpmzos25m8ivg.cloudfront.net/Documentos/631/04542385175/6310454238517511092023121406.pdf","https://dpmzos25m8ivg.cloudfront.net/Documentos/631/04542385175/6310454238517511092023121406.pdf")</f>
        <v>https://dpmzos25m8ivg.cloudfront.net/Documentos/631/04542385175/6310454238517511092023121406.pdf</v>
      </c>
      <c r="F1995" s="5" t="str">
        <f>HYPERLINK("https://dpmzos25m8ivg.cloudfront.net/Documentos/631/04542385175/6310454238517511092023121418.pdf","https://dpmzos25m8ivg.cloudfront.net/Documentos/631/04542385175/6310454238517511092023121418.pdf")</f>
        <v>https://dpmzos25m8ivg.cloudfront.net/Documentos/631/04542385175/6310454238517511092023121418.pdf</v>
      </c>
      <c r="G1995" s="5" t="str">
        <f>HYPERLINK("https://dpmzos25m8ivg.cloudfront.net/Documentos/631/04542385175/6310454238517511092023121437.pdf","https://dpmzos25m8ivg.cloudfront.net/Documentos/631/04542385175/6310454238517511092023121437.pdf")</f>
        <v>https://dpmzos25m8ivg.cloudfront.net/Documentos/631/04542385175/6310454238517511092023121437.pdf</v>
      </c>
      <c r="H1995" s="4" t="s">
        <v>10575</v>
      </c>
    </row>
    <row r="1996" spans="1:8" x14ac:dyDescent="0.25">
      <c r="A1996" s="2" t="s">
        <v>2010</v>
      </c>
      <c r="B1996" s="3"/>
      <c r="C1996" s="3"/>
      <c r="D1996" s="3"/>
      <c r="E1996" s="4" t="str">
        <f>HYPERLINK("https://dpmzos25m8ivg.cloudfront.net/Documentos/631/04542634140/6310454263414005092023164215.jpeg","https://dpmzos25m8ivg.cloudfront.net/Documentos/631/04542634140/6310454263414005092023164215.jpeg")</f>
        <v>https://dpmzos25m8ivg.cloudfront.net/Documentos/631/04542634140/6310454263414005092023164215.jpeg</v>
      </c>
      <c r="F1996" s="5" t="str">
        <f>HYPERLINK("https://dpmzos25m8ivg.cloudfront.net/Documentos/631/04542634140/6310454263414005092023164226.jpeg","https://dpmzos25m8ivg.cloudfront.net/Documentos/631/04542634140/6310454263414005092023164226.jpeg")</f>
        <v>https://dpmzos25m8ivg.cloudfront.net/Documentos/631/04542634140/6310454263414005092023164226.jpeg</v>
      </c>
      <c r="G1996" s="5" t="str">
        <f>HYPERLINK("https://dpmzos25m8ivg.cloudfront.net/Documentos/631/04542634140/6310454263414005092023164241.jpeg","https://dpmzos25m8ivg.cloudfront.net/Documentos/631/04542634140/6310454263414005092023164241.jpeg")</f>
        <v>https://dpmzos25m8ivg.cloudfront.net/Documentos/631/04542634140/6310454263414005092023164241.jpeg</v>
      </c>
      <c r="H1996" s="4" t="s">
        <v>10576</v>
      </c>
    </row>
    <row r="1997" spans="1:8" x14ac:dyDescent="0.25">
      <c r="A1997" s="2" t="s">
        <v>2011</v>
      </c>
      <c r="B1997" s="3"/>
      <c r="C1997" s="3"/>
      <c r="D1997" s="3"/>
      <c r="E1997" s="4" t="str">
        <f>HYPERLINK("https://dpmzos25m8ivg.cloudfront.net/Documentos/631/04545487297/6310454548729708092023103944.pdf","https://dpmzos25m8ivg.cloudfront.net/Documentos/631/04545487297/6310454548729708092023103944.pdf")</f>
        <v>https://dpmzos25m8ivg.cloudfront.net/Documentos/631/04545487297/6310454548729708092023103944.pdf</v>
      </c>
      <c r="F1997" s="5" t="str">
        <f>HYPERLINK("https://dpmzos25m8ivg.cloudfront.net/Documentos/631/04545487297/6310454548729708092023104003.pdf","https://dpmzos25m8ivg.cloudfront.net/Documentos/631/04545487297/6310454548729708092023104003.pdf")</f>
        <v>https://dpmzos25m8ivg.cloudfront.net/Documentos/631/04545487297/6310454548729708092023104003.pdf</v>
      </c>
      <c r="G1997" s="5" t="str">
        <f>HYPERLINK("https://dpmzos25m8ivg.cloudfront.net/Documentos/631/04545487297/6310454548729708092023104029.pdf","https://dpmzos25m8ivg.cloudfront.net/Documentos/631/04545487297/6310454548729708092023104029.pdf")</f>
        <v>https://dpmzos25m8ivg.cloudfront.net/Documentos/631/04545487297/6310454548729708092023104029.pdf</v>
      </c>
      <c r="H1997" s="4" t="s">
        <v>10577</v>
      </c>
    </row>
    <row r="1998" spans="1:8" x14ac:dyDescent="0.25">
      <c r="A1998" s="2" t="s">
        <v>2012</v>
      </c>
      <c r="B1998" s="3"/>
      <c r="C1998" s="3"/>
      <c r="D1998" s="3"/>
      <c r="E1998" s="4" t="str">
        <f>HYPERLINK("https://dpmzos25m8ivg.cloudfront.net/Documentos/631/04545683550/6310454568355006092023181922.pdf","https://dpmzos25m8ivg.cloudfront.net/Documentos/631/04545683550/6310454568355006092023181922.pdf")</f>
        <v>https://dpmzos25m8ivg.cloudfront.net/Documentos/631/04545683550/6310454568355006092023181922.pdf</v>
      </c>
      <c r="F1998" s="5" t="str">
        <f>HYPERLINK("https://dpmzos25m8ivg.cloudfront.net/Documentos/631/04545683550/6310454568355006092023181950.pdf","https://dpmzos25m8ivg.cloudfront.net/Documentos/631/04545683550/6310454568355006092023181950.pdf")</f>
        <v>https://dpmzos25m8ivg.cloudfront.net/Documentos/631/04545683550/6310454568355006092023181950.pdf</v>
      </c>
      <c r="G1998" s="5" t="str">
        <f>HYPERLINK("https://dpmzos25m8ivg.cloudfront.net/Documentos/631/04545683550/6310454568355006092023182132.pdf","https://dpmzos25m8ivg.cloudfront.net/Documentos/631/04545683550/6310454568355006092023182132.pdf")</f>
        <v>https://dpmzos25m8ivg.cloudfront.net/Documentos/631/04545683550/6310454568355006092023182132.pdf</v>
      </c>
      <c r="H1998" s="4" t="s">
        <v>10578</v>
      </c>
    </row>
    <row r="1999" spans="1:8" x14ac:dyDescent="0.25">
      <c r="A1999" s="2" t="s">
        <v>2013</v>
      </c>
      <c r="B1999" s="3"/>
      <c r="C1999" s="3"/>
      <c r="D1999" s="3"/>
      <c r="E1999" s="4" t="str">
        <f>HYPERLINK("https://dpmzos25m8ivg.cloudfront.net/Documentos/631/04545712240/6310454571224008092023110727.pdf","https://dpmzos25m8ivg.cloudfront.net/Documentos/631/04545712240/6310454571224008092023110727.pdf")</f>
        <v>https://dpmzos25m8ivg.cloudfront.net/Documentos/631/04545712240/6310454571224008092023110727.pdf</v>
      </c>
      <c r="F1999" s="5" t="str">
        <f>HYPERLINK("https://dpmzos25m8ivg.cloudfront.net/Documentos/631/04545712240/6310454571224008092023115556.pdf","https://dpmzos25m8ivg.cloudfront.net/Documentos/631/04545712240/6310454571224008092023115556.pdf")</f>
        <v>https://dpmzos25m8ivg.cloudfront.net/Documentos/631/04545712240/6310454571224008092023115556.pdf</v>
      </c>
      <c r="G1999" s="5" t="str">
        <f>HYPERLINK("https://dpmzos25m8ivg.cloudfront.net/Documentos/631/04545712240/6310454571224008092023115611.pdf","https://dpmzos25m8ivg.cloudfront.net/Documentos/631/04545712240/6310454571224008092023115611.pdf")</f>
        <v>https://dpmzos25m8ivg.cloudfront.net/Documentos/631/04545712240/6310454571224008092023115611.pdf</v>
      </c>
      <c r="H1999" s="4" t="s">
        <v>10579</v>
      </c>
    </row>
    <row r="2000" spans="1:8" x14ac:dyDescent="0.25">
      <c r="A2000" s="2" t="s">
        <v>2014</v>
      </c>
      <c r="B2000" s="3"/>
      <c r="C2000" s="3"/>
      <c r="D2000" s="3"/>
      <c r="E2000" s="4" t="str">
        <f>HYPERLINK("https://dpmzos25m8ivg.cloudfront.net/Documentos/631/04545987850/6310454598785011092023153047.jpg","https://dpmzos25m8ivg.cloudfront.net/Documentos/631/04545987850/6310454598785011092023153047.jpg")</f>
        <v>https://dpmzos25m8ivg.cloudfront.net/Documentos/631/04545987850/6310454598785011092023153047.jpg</v>
      </c>
      <c r="F2000" s="5" t="str">
        <f>HYPERLINK("https://dpmzos25m8ivg.cloudfront.net/Documentos/631/04545987850/6310454598785011092023153058.jpg","https://dpmzos25m8ivg.cloudfront.net/Documentos/631/04545987850/6310454598785011092023153058.jpg")</f>
        <v>https://dpmzos25m8ivg.cloudfront.net/Documentos/631/04545987850/6310454598785011092023153058.jpg</v>
      </c>
      <c r="G2000" s="5" t="str">
        <f>HYPERLINK("https://dpmzos25m8ivg.cloudfront.net/Documentos/631/04545987850/6310454598785011092023153107.jpg","https://dpmzos25m8ivg.cloudfront.net/Documentos/631/04545987850/6310454598785011092023153107.jpg")</f>
        <v>https://dpmzos25m8ivg.cloudfront.net/Documentos/631/04545987850/6310454598785011092023153107.jpg</v>
      </c>
      <c r="H2000" s="4" t="s">
        <v>10580</v>
      </c>
    </row>
    <row r="2001" spans="1:8" x14ac:dyDescent="0.25">
      <c r="A2001" s="2" t="s">
        <v>2015</v>
      </c>
      <c r="B2001" s="3"/>
      <c r="C2001" s="3"/>
      <c r="D2001" s="3"/>
      <c r="E2001" s="4" t="str">
        <f>HYPERLINK("https://dpmzos25m8ivg.cloudfront.net/Documentos/631/04546525001/6310454652500114092023161451.pdf","https://dpmzos25m8ivg.cloudfront.net/Documentos/631/04546525001/6310454652500114092023161451.pdf")</f>
        <v>https://dpmzos25m8ivg.cloudfront.net/Documentos/631/04546525001/6310454652500114092023161451.pdf</v>
      </c>
      <c r="F2001" s="5" t="str">
        <f>HYPERLINK("https://dpmzos25m8ivg.cloudfront.net/Documentos/631/04546525001/6310454652500114092023161505.pdf","https://dpmzos25m8ivg.cloudfront.net/Documentos/631/04546525001/6310454652500114092023161505.pdf")</f>
        <v>https://dpmzos25m8ivg.cloudfront.net/Documentos/631/04546525001/6310454652500114092023161505.pdf</v>
      </c>
      <c r="G2001" s="5" t="str">
        <f>HYPERLINK("https://dpmzos25m8ivg.cloudfront.net/Documentos/631/04546525001/6310454652500114092023162044.pdf","https://dpmzos25m8ivg.cloudfront.net/Documentos/631/04546525001/6310454652500114092023162044.pdf")</f>
        <v>https://dpmzos25m8ivg.cloudfront.net/Documentos/631/04546525001/6310454652500114092023162044.pdf</v>
      </c>
      <c r="H2001" s="4" t="s">
        <v>10581</v>
      </c>
    </row>
    <row r="2002" spans="1:8" x14ac:dyDescent="0.25">
      <c r="A2002" s="2" t="s">
        <v>2016</v>
      </c>
      <c r="B2002" s="3"/>
      <c r="C2002" s="3"/>
      <c r="D2002" s="3"/>
      <c r="E2002" s="4" t="str">
        <f>HYPERLINK("https://dpmzos25m8ivg.cloudfront.net/Documentos/631/04549300388/6310454930038814092023165505.pdf","https://dpmzos25m8ivg.cloudfront.net/Documentos/631/04549300388/6310454930038814092023165505.pdf")</f>
        <v>https://dpmzos25m8ivg.cloudfront.net/Documentos/631/04549300388/6310454930038814092023165505.pdf</v>
      </c>
      <c r="F2002" s="5" t="str">
        <f>HYPERLINK("https://dpmzos25m8ivg.cloudfront.net/Documentos/631/04549300388/6310454930038814092023165515.pdf","https://dpmzos25m8ivg.cloudfront.net/Documentos/631/04549300388/6310454930038814092023165515.pdf")</f>
        <v>https://dpmzos25m8ivg.cloudfront.net/Documentos/631/04549300388/6310454930038814092023165515.pdf</v>
      </c>
      <c r="G2002" s="5" t="str">
        <f>HYPERLINK("https://dpmzos25m8ivg.cloudfront.net/Documentos/631/04549300388/6310454930038814092023165525.pdf","https://dpmzos25m8ivg.cloudfront.net/Documentos/631/04549300388/6310454930038814092023165525.pdf")</f>
        <v>https://dpmzos25m8ivg.cloudfront.net/Documentos/631/04549300388/6310454930038814092023165525.pdf</v>
      </c>
      <c r="H2002" s="4" t="s">
        <v>10582</v>
      </c>
    </row>
    <row r="2003" spans="1:8" x14ac:dyDescent="0.25">
      <c r="A2003" s="2" t="s">
        <v>2017</v>
      </c>
      <c r="B2003" s="3"/>
      <c r="C2003" s="3"/>
      <c r="D2003" s="3"/>
      <c r="E2003" s="4" t="str">
        <f>HYPERLINK("https://dpmzos25m8ivg.cloudfront.net/Documentos/631/04551806790/6310455180679007092023145810.jpg","https://dpmzos25m8ivg.cloudfront.net/Documentos/631/04551806790/6310455180679007092023145810.jpg")</f>
        <v>https://dpmzos25m8ivg.cloudfront.net/Documentos/631/04551806790/6310455180679007092023145810.jpg</v>
      </c>
      <c r="F2003" s="5" t="str">
        <f>HYPERLINK("https://dpmzos25m8ivg.cloudfront.net/Documentos/631/04551806790/6310455180679007092023145825.jpg","https://dpmzos25m8ivg.cloudfront.net/Documentos/631/04551806790/6310455180679007092023145825.jpg")</f>
        <v>https://dpmzos25m8ivg.cloudfront.net/Documentos/631/04551806790/6310455180679007092023145825.jpg</v>
      </c>
      <c r="G2003" s="5" t="str">
        <f>HYPERLINK("https://dpmzos25m8ivg.cloudfront.net/Documentos/631/04551806790/6310455180679007092023145831.jpg","https://dpmzos25m8ivg.cloudfront.net/Documentos/631/04551806790/6310455180679007092023145831.jpg")</f>
        <v>https://dpmzos25m8ivg.cloudfront.net/Documentos/631/04551806790/6310455180679007092023145831.jpg</v>
      </c>
      <c r="H2003" s="4" t="s">
        <v>10583</v>
      </c>
    </row>
    <row r="2004" spans="1:8" x14ac:dyDescent="0.25">
      <c r="A2004" s="2" t="s">
        <v>2018</v>
      </c>
      <c r="B2004" s="3"/>
      <c r="C2004" s="3"/>
      <c r="D2004" s="3"/>
      <c r="E2004" s="4" t="str">
        <f>HYPERLINK("https://dpmzos25m8ivg.cloudfront.net/Documentos/631/04553593696/6310455359369605092023161751.pdf","https://dpmzos25m8ivg.cloudfront.net/Documentos/631/04553593696/6310455359369605092023161751.pdf")</f>
        <v>https://dpmzos25m8ivg.cloudfront.net/Documentos/631/04553593696/6310455359369605092023161751.pdf</v>
      </c>
      <c r="F2004" s="5" t="str">
        <f>HYPERLINK("https://dpmzos25m8ivg.cloudfront.net/Documentos/631/04553593696/6310455359369605092023161830.pdf","https://dpmzos25m8ivg.cloudfront.net/Documentos/631/04553593696/6310455359369605092023161830.pdf")</f>
        <v>https://dpmzos25m8ivg.cloudfront.net/Documentos/631/04553593696/6310455359369605092023161830.pdf</v>
      </c>
      <c r="G2004" s="5" t="str">
        <f>HYPERLINK("https://dpmzos25m8ivg.cloudfront.net/Documentos/631/04553593696/6310455359369605092023161813.pdf","https://dpmzos25m8ivg.cloudfront.net/Documentos/631/04553593696/6310455359369605092023161813.pdf")</f>
        <v>https://dpmzos25m8ivg.cloudfront.net/Documentos/631/04553593696/6310455359369605092023161813.pdf</v>
      </c>
      <c r="H2004" s="4" t="s">
        <v>10584</v>
      </c>
    </row>
    <row r="2005" spans="1:8" x14ac:dyDescent="0.25">
      <c r="A2005" s="2" t="s">
        <v>2019</v>
      </c>
      <c r="B2005" s="3"/>
      <c r="C2005" s="3"/>
      <c r="D2005" s="3"/>
      <c r="E2005" s="4" t="str">
        <f>HYPERLINK("https://dpmzos25m8ivg.cloudfront.net/Documentos/631/04555922174/6310455592217411092023105409.pdf","https://dpmzos25m8ivg.cloudfront.net/Documentos/631/04555922174/6310455592217411092023105409.pdf")</f>
        <v>https://dpmzos25m8ivg.cloudfront.net/Documentos/631/04555922174/6310455592217411092023105409.pdf</v>
      </c>
      <c r="F2005" s="5" t="str">
        <f>HYPERLINK("https://dpmzos25m8ivg.cloudfront.net/Documentos/631/04555922174/6310455592217411092023105430.pdf","https://dpmzos25m8ivg.cloudfront.net/Documentos/631/04555922174/6310455592217411092023105430.pdf")</f>
        <v>https://dpmzos25m8ivg.cloudfront.net/Documentos/631/04555922174/6310455592217411092023105430.pdf</v>
      </c>
      <c r="G2005" s="5" t="str">
        <f>HYPERLINK("https://dpmzos25m8ivg.cloudfront.net/Documentos/631/04555922174/6310455592217411092023105442.pdf","https://dpmzos25m8ivg.cloudfront.net/Documentos/631/04555922174/6310455592217411092023105442.pdf")</f>
        <v>https://dpmzos25m8ivg.cloudfront.net/Documentos/631/04555922174/6310455592217411092023105442.pdf</v>
      </c>
      <c r="H2005" s="4" t="s">
        <v>10585</v>
      </c>
    </row>
    <row r="2006" spans="1:8" x14ac:dyDescent="0.25">
      <c r="A2006" s="2" t="s">
        <v>2020</v>
      </c>
      <c r="B2006" s="3"/>
      <c r="C2006" s="3"/>
      <c r="D2006" s="3"/>
      <c r="E2006" s="4" t="str">
        <f>HYPERLINK("https://dpmzos25m8ivg.cloudfront.net/Documentos/631/04566381641/6310456638164111092023094933.pdf","https://dpmzos25m8ivg.cloudfront.net/Documentos/631/04566381641/6310456638164111092023094933.pdf")</f>
        <v>https://dpmzos25m8ivg.cloudfront.net/Documentos/631/04566381641/6310456638164111092023094933.pdf</v>
      </c>
      <c r="F2006" s="5" t="str">
        <f>HYPERLINK("https://dpmzos25m8ivg.cloudfront.net/Documentos/631/04566381641/6310456638164111092023095008.pdf","https://dpmzos25m8ivg.cloudfront.net/Documentos/631/04566381641/6310456638164111092023095008.pdf")</f>
        <v>https://dpmzos25m8ivg.cloudfront.net/Documentos/631/04566381641/6310456638164111092023095008.pdf</v>
      </c>
      <c r="G2006" s="5" t="str">
        <f>HYPERLINK("https://dpmzos25m8ivg.cloudfront.net/Documentos/631/04566381641/6310456638164111092023095030.pdf","https://dpmzos25m8ivg.cloudfront.net/Documentos/631/04566381641/6310456638164111092023095030.pdf")</f>
        <v>https://dpmzos25m8ivg.cloudfront.net/Documentos/631/04566381641/6310456638164111092023095030.pdf</v>
      </c>
      <c r="H2006" s="4" t="s">
        <v>10586</v>
      </c>
    </row>
    <row r="2007" spans="1:8" x14ac:dyDescent="0.25">
      <c r="A2007" s="2" t="s">
        <v>2021</v>
      </c>
      <c r="B2007" s="3"/>
      <c r="C2007" s="3"/>
      <c r="D2007" s="3"/>
      <c r="E2007" s="4" t="str">
        <f>HYPERLINK("https://dpmzos25m8ivg.cloudfront.net/Documentos/631/04570192394/6310457019239411092023161950.pdf","https://dpmzos25m8ivg.cloudfront.net/Documentos/631/04570192394/6310457019239411092023161950.pdf")</f>
        <v>https://dpmzos25m8ivg.cloudfront.net/Documentos/631/04570192394/6310457019239411092023161950.pdf</v>
      </c>
      <c r="F2007" s="5" t="str">
        <f>HYPERLINK("https://dpmzos25m8ivg.cloudfront.net/Documentos/631/04570192394/6310457019239411092023162024.pdf","https://dpmzos25m8ivg.cloudfront.net/Documentos/631/04570192394/6310457019239411092023162024.pdf")</f>
        <v>https://dpmzos25m8ivg.cloudfront.net/Documentos/631/04570192394/6310457019239411092023162024.pdf</v>
      </c>
      <c r="G2007" s="5" t="str">
        <f>HYPERLINK("https://dpmzos25m8ivg.cloudfront.net/Documentos/631/04570192394/6310457019239411092023162044.pdf","https://dpmzos25m8ivg.cloudfront.net/Documentos/631/04570192394/6310457019239411092023162044.pdf")</f>
        <v>https://dpmzos25m8ivg.cloudfront.net/Documentos/631/04570192394/6310457019239411092023162044.pdf</v>
      </c>
      <c r="H2007" s="4" t="s">
        <v>10587</v>
      </c>
    </row>
    <row r="2008" spans="1:8" x14ac:dyDescent="0.25">
      <c r="A2008" s="2" t="s">
        <v>2022</v>
      </c>
      <c r="B2008" s="3"/>
      <c r="C2008" s="3"/>
      <c r="D2008" s="3"/>
      <c r="E2008" s="4" t="str">
        <f>HYPERLINK("https://dpmzos25m8ivg.cloudfront.net/Documentos/631/04572325529/6310457232552906092023101127.pdf","https://dpmzos25m8ivg.cloudfront.net/Documentos/631/04572325529/6310457232552906092023101127.pdf")</f>
        <v>https://dpmzos25m8ivg.cloudfront.net/Documentos/631/04572325529/6310457232552906092023101127.pdf</v>
      </c>
      <c r="F2008" s="5" t="str">
        <f>HYPERLINK("https://dpmzos25m8ivg.cloudfront.net/Documentos/631/04572325529/6310457232552906092023101133.pdf","https://dpmzos25m8ivg.cloudfront.net/Documentos/631/04572325529/6310457232552906092023101133.pdf")</f>
        <v>https://dpmzos25m8ivg.cloudfront.net/Documentos/631/04572325529/6310457232552906092023101133.pdf</v>
      </c>
      <c r="G2008" s="5" t="str">
        <f>HYPERLINK("https://dpmzos25m8ivg.cloudfront.net/Documentos/631/04572325529/6310457232552906092023101144.pdf","https://dpmzos25m8ivg.cloudfront.net/Documentos/631/04572325529/6310457232552906092023101144.pdf")</f>
        <v>https://dpmzos25m8ivg.cloudfront.net/Documentos/631/04572325529/6310457232552906092023101144.pdf</v>
      </c>
      <c r="H2008" s="4" t="s">
        <v>10588</v>
      </c>
    </row>
    <row r="2009" spans="1:8" x14ac:dyDescent="0.25">
      <c r="A2009" s="2" t="s">
        <v>2023</v>
      </c>
      <c r="B2009" s="3"/>
      <c r="C2009" s="3"/>
      <c r="D2009" s="3"/>
      <c r="E2009" s="4" t="str">
        <f>HYPERLINK("https://dpmzos25m8ivg.cloudfront.net/Documentos/631/04579494229/6310457949422911092023153701.jpeg","https://dpmzos25m8ivg.cloudfront.net/Documentos/631/04579494229/6310457949422911092023153701.jpeg")</f>
        <v>https://dpmzos25m8ivg.cloudfront.net/Documentos/631/04579494229/6310457949422911092023153701.jpeg</v>
      </c>
      <c r="F2009" s="5" t="str">
        <f>HYPERLINK("https://dpmzos25m8ivg.cloudfront.net/Documentos/631/04579494229/6310457949422911092023153715.jpeg","https://dpmzos25m8ivg.cloudfront.net/Documentos/631/04579494229/6310457949422911092023153715.jpeg")</f>
        <v>https://dpmzos25m8ivg.cloudfront.net/Documentos/631/04579494229/6310457949422911092023153715.jpeg</v>
      </c>
      <c r="G2009" s="5" t="str">
        <f>HYPERLINK("https://dpmzos25m8ivg.cloudfront.net/Documentos/631/04579494229/6310457949422911092023153726.jpeg","https://dpmzos25m8ivg.cloudfront.net/Documentos/631/04579494229/6310457949422911092023153726.jpeg")</f>
        <v>https://dpmzos25m8ivg.cloudfront.net/Documentos/631/04579494229/6310457949422911092023153726.jpeg</v>
      </c>
      <c r="H2009" s="4" t="s">
        <v>10589</v>
      </c>
    </row>
    <row r="2010" spans="1:8" x14ac:dyDescent="0.25">
      <c r="A2010" s="2" t="s">
        <v>2024</v>
      </c>
      <c r="B2010" s="3"/>
      <c r="C2010" s="3"/>
      <c r="D2010" s="3"/>
      <c r="E2010" s="4" t="str">
        <f>HYPERLINK("https://dpmzos25m8ivg.cloudfront.net/Documentos/631/04580434943/6310458043494306092023203345.pdf","https://dpmzos25m8ivg.cloudfront.net/Documentos/631/04580434943/6310458043494306092023203345.pdf")</f>
        <v>https://dpmzos25m8ivg.cloudfront.net/Documentos/631/04580434943/6310458043494306092023203345.pdf</v>
      </c>
      <c r="F2010" s="5" t="str">
        <f>HYPERLINK("https://dpmzos25m8ivg.cloudfront.net/Documentos/631/04580434943/6310458043494306092023203844.pdf","https://dpmzos25m8ivg.cloudfront.net/Documentos/631/04580434943/6310458043494306092023203844.pdf")</f>
        <v>https://dpmzos25m8ivg.cloudfront.net/Documentos/631/04580434943/6310458043494306092023203844.pdf</v>
      </c>
      <c r="G2010" s="5" t="str">
        <f>HYPERLINK("https://dpmzos25m8ivg.cloudfront.net/Documentos/631/04580434943/6310458043494306092023203919.pdf","https://dpmzos25m8ivg.cloudfront.net/Documentos/631/04580434943/6310458043494306092023203919.pdf")</f>
        <v>https://dpmzos25m8ivg.cloudfront.net/Documentos/631/04580434943/6310458043494306092023203919.pdf</v>
      </c>
      <c r="H2010" s="4" t="s">
        <v>10590</v>
      </c>
    </row>
    <row r="2011" spans="1:8" x14ac:dyDescent="0.25">
      <c r="A2011" s="2" t="s">
        <v>2025</v>
      </c>
      <c r="B2011" s="3"/>
      <c r="C2011" s="3"/>
      <c r="D2011" s="3"/>
      <c r="E2011" s="4" t="str">
        <f>HYPERLINK("https://dpmzos25m8ivg.cloudfront.net/Documentos/631/04581383129/6310458138312914092023161013.pdf","https://dpmzos25m8ivg.cloudfront.net/Documentos/631/04581383129/6310458138312914092023161013.pdf")</f>
        <v>https://dpmzos25m8ivg.cloudfront.net/Documentos/631/04581383129/6310458138312914092023161013.pdf</v>
      </c>
      <c r="F2011" s="5" t="str">
        <f>HYPERLINK("https://dpmzos25m8ivg.cloudfront.net/Documentos/631/04581383129/6310458138312914092023161034.pdf","https://dpmzos25m8ivg.cloudfront.net/Documentos/631/04581383129/6310458138312914092023161034.pdf")</f>
        <v>https://dpmzos25m8ivg.cloudfront.net/Documentos/631/04581383129/6310458138312914092023161034.pdf</v>
      </c>
      <c r="G2011" s="5" t="str">
        <f>HYPERLINK("https://dpmzos25m8ivg.cloudfront.net/Documentos/631/04581383129/6310458138312914092023161107.pdf","https://dpmzos25m8ivg.cloudfront.net/Documentos/631/04581383129/6310458138312914092023161107.pdf")</f>
        <v>https://dpmzos25m8ivg.cloudfront.net/Documentos/631/04581383129/6310458138312914092023161107.pdf</v>
      </c>
      <c r="H2011" s="4" t="s">
        <v>10591</v>
      </c>
    </row>
    <row r="2012" spans="1:8" x14ac:dyDescent="0.25">
      <c r="A2012" s="2" t="s">
        <v>2026</v>
      </c>
      <c r="B2012" s="3"/>
      <c r="C2012" s="3"/>
      <c r="D2012" s="3"/>
      <c r="E2012" s="4" t="str">
        <f>HYPERLINK("https://dpmzos25m8ivg.cloudfront.net/Documentos/631/04582593143/6310458259314305092023114129.jpeg","https://dpmzos25m8ivg.cloudfront.net/Documentos/631/04582593143/6310458259314305092023114129.jpeg")</f>
        <v>https://dpmzos25m8ivg.cloudfront.net/Documentos/631/04582593143/6310458259314305092023114129.jpeg</v>
      </c>
      <c r="F2012" s="5" t="str">
        <f>HYPERLINK("https://dpmzos25m8ivg.cloudfront.net/Documentos/631/04582593143/6310458259314305092023114201.jpeg","https://dpmzos25m8ivg.cloudfront.net/Documentos/631/04582593143/6310458259314305092023114201.jpeg")</f>
        <v>https://dpmzos25m8ivg.cloudfront.net/Documentos/631/04582593143/6310458259314305092023114201.jpeg</v>
      </c>
      <c r="G2012" s="5" t="str">
        <f>HYPERLINK("https://dpmzos25m8ivg.cloudfront.net/Documentos/631/04582593143/6310458259314305092023114221.jpeg","https://dpmzos25m8ivg.cloudfront.net/Documentos/631/04582593143/6310458259314305092023114221.jpeg")</f>
        <v>https://dpmzos25m8ivg.cloudfront.net/Documentos/631/04582593143/6310458259314305092023114221.jpeg</v>
      </c>
      <c r="H2012" s="4" t="s">
        <v>10592</v>
      </c>
    </row>
    <row r="2013" spans="1:8" x14ac:dyDescent="0.25">
      <c r="A2013" s="2" t="s">
        <v>2027</v>
      </c>
      <c r="B2013" s="3"/>
      <c r="C2013" s="3"/>
      <c r="D2013" s="3"/>
      <c r="E2013" s="4" t="str">
        <f>HYPERLINK("https://dpmzos25m8ivg.cloudfront.net/Documentos/631/04592744578/6310459274457810092023001731.jpg","https://dpmzos25m8ivg.cloudfront.net/Documentos/631/04592744578/6310459274457810092023001731.jpg")</f>
        <v>https://dpmzos25m8ivg.cloudfront.net/Documentos/631/04592744578/6310459274457810092023001731.jpg</v>
      </c>
      <c r="F2013" s="5" t="str">
        <f>HYPERLINK("https://dpmzos25m8ivg.cloudfront.net/Documentos/631/04592744578/6310459274457810092023001837.jpg","https://dpmzos25m8ivg.cloudfront.net/Documentos/631/04592744578/6310459274457810092023001837.jpg")</f>
        <v>https://dpmzos25m8ivg.cloudfront.net/Documentos/631/04592744578/6310459274457810092023001837.jpg</v>
      </c>
      <c r="G2013" s="5" t="str">
        <f>HYPERLINK("https://dpmzos25m8ivg.cloudfront.net/Documentos/631/04592744578/6310459274457810092023001910.jpg","https://dpmzos25m8ivg.cloudfront.net/Documentos/631/04592744578/6310459274457810092023001910.jpg")</f>
        <v>https://dpmzos25m8ivg.cloudfront.net/Documentos/631/04592744578/6310459274457810092023001910.jpg</v>
      </c>
      <c r="H2013" s="4" t="s">
        <v>10593</v>
      </c>
    </row>
    <row r="2014" spans="1:8" x14ac:dyDescent="0.25">
      <c r="A2014" s="2" t="s">
        <v>2028</v>
      </c>
      <c r="B2014" s="3" t="s">
        <v>312</v>
      </c>
      <c r="C2014" s="3"/>
      <c r="D2014" s="3"/>
      <c r="E2014" s="4" t="str">
        <f>HYPERLINK("https://dpmzos25m8ivg.cloudfront.net/Documentos/631/04593619106/6310459361910608092023132408.jpg","https://dpmzos25m8ivg.cloudfront.net/Documentos/631/04593619106/6310459361910608092023132408.jpg")</f>
        <v>https://dpmzos25m8ivg.cloudfront.net/Documentos/631/04593619106/6310459361910608092023132408.jpg</v>
      </c>
      <c r="F2014" s="5" t="str">
        <f>HYPERLINK("https://dpmzos25m8ivg.cloudfront.net/Documentos/631/04593619106/6310459361910608092023132424.jpg","https://dpmzos25m8ivg.cloudfront.net/Documentos/631/04593619106/6310459361910608092023132424.jpg")</f>
        <v>https://dpmzos25m8ivg.cloudfront.net/Documentos/631/04593619106/6310459361910608092023132424.jpg</v>
      </c>
      <c r="G2014" s="5" t="str">
        <f>HYPERLINK("https://dpmzos25m8ivg.cloudfront.net/Documentos/631/04593619106/6310459361910608092023132437.jpg","https://dpmzos25m8ivg.cloudfront.net/Documentos/631/04593619106/6310459361910608092023132437.jpg")</f>
        <v>https://dpmzos25m8ivg.cloudfront.net/Documentos/631/04593619106/6310459361910608092023132437.jpg</v>
      </c>
      <c r="H2014" s="4" t="s">
        <v>10594</v>
      </c>
    </row>
    <row r="2015" spans="1:8" x14ac:dyDescent="0.25">
      <c r="A2015" s="2" t="s">
        <v>2029</v>
      </c>
      <c r="B2015" s="3"/>
      <c r="C2015" s="3"/>
      <c r="D2015" s="3"/>
      <c r="E2015" s="4" t="str">
        <f>HYPERLINK("https://dpmzos25m8ivg.cloudfront.net/Documentos/631/04594296980/6310459429698011092023162614.pdf","https://dpmzos25m8ivg.cloudfront.net/Documentos/631/04594296980/6310459429698011092023162614.pdf")</f>
        <v>https://dpmzos25m8ivg.cloudfront.net/Documentos/631/04594296980/6310459429698011092023162614.pdf</v>
      </c>
      <c r="F2015" s="5" t="str">
        <f>HYPERLINK("https://dpmzos25m8ivg.cloudfront.net/Documentos/631/04594296980/6310459429698011092023162626.pdf","https://dpmzos25m8ivg.cloudfront.net/Documentos/631/04594296980/6310459429698011092023162626.pdf")</f>
        <v>https://dpmzos25m8ivg.cloudfront.net/Documentos/631/04594296980/6310459429698011092023162626.pdf</v>
      </c>
      <c r="G2015" s="5" t="str">
        <f>HYPERLINK("https://dpmzos25m8ivg.cloudfront.net/Documentos/631/04594296980/6310459429698011092023162637.pdf","https://dpmzos25m8ivg.cloudfront.net/Documentos/631/04594296980/6310459429698011092023162637.pdf")</f>
        <v>https://dpmzos25m8ivg.cloudfront.net/Documentos/631/04594296980/6310459429698011092023162637.pdf</v>
      </c>
      <c r="H2015" s="4" t="s">
        <v>10595</v>
      </c>
    </row>
    <row r="2016" spans="1:8" x14ac:dyDescent="0.25">
      <c r="A2016" s="2" t="s">
        <v>2030</v>
      </c>
      <c r="B2016" s="3"/>
      <c r="C2016" s="3"/>
      <c r="D2016" s="3"/>
      <c r="E2016" s="4" t="str">
        <f>HYPERLINK("https://dpmzos25m8ivg.cloudfront.net/Documentos/631/04597548319/6310459754831907092023100334.jpg","https://dpmzos25m8ivg.cloudfront.net/Documentos/631/04597548319/6310459754831907092023100334.jpg")</f>
        <v>https://dpmzos25m8ivg.cloudfront.net/Documentos/631/04597548319/6310459754831907092023100334.jpg</v>
      </c>
      <c r="F2016" s="5" t="str">
        <f>HYPERLINK("https://dpmzos25m8ivg.cloudfront.net/Documentos/631/04597548319/6310459754831907092023100420.jpg","https://dpmzos25m8ivg.cloudfront.net/Documentos/631/04597548319/6310459754831907092023100420.jpg")</f>
        <v>https://dpmzos25m8ivg.cloudfront.net/Documentos/631/04597548319/6310459754831907092023100420.jpg</v>
      </c>
      <c r="G2016" s="5" t="str">
        <f>HYPERLINK("https://dpmzos25m8ivg.cloudfront.net/Documentos/631/04597548319/6310459754831907092023100639.jpg","https://dpmzos25m8ivg.cloudfront.net/Documentos/631/04597548319/6310459754831907092023100639.jpg")</f>
        <v>https://dpmzos25m8ivg.cloudfront.net/Documentos/631/04597548319/6310459754831907092023100639.jpg</v>
      </c>
      <c r="H2016" s="4" t="s">
        <v>10596</v>
      </c>
    </row>
    <row r="2017" spans="1:8" x14ac:dyDescent="0.25">
      <c r="A2017" s="2" t="s">
        <v>2031</v>
      </c>
      <c r="B2017" s="3"/>
      <c r="C2017" s="3"/>
      <c r="D2017" s="3"/>
      <c r="E2017" s="4" t="str">
        <f>HYPERLINK("https://dpmzos25m8ivg.cloudfront.net/Documentos/631/04599827100/6310459982710011092023103718.pdf","https://dpmzos25m8ivg.cloudfront.net/Documentos/631/04599827100/6310459982710011092023103718.pdf")</f>
        <v>https://dpmzos25m8ivg.cloudfront.net/Documentos/631/04599827100/6310459982710011092023103718.pdf</v>
      </c>
      <c r="F2017" s="5" t="str">
        <f>HYPERLINK("https://dpmzos25m8ivg.cloudfront.net/Documentos/631/04599827100/6310459982710011092023104841.pdf","https://dpmzos25m8ivg.cloudfront.net/Documentos/631/04599827100/6310459982710011092023104841.pdf")</f>
        <v>https://dpmzos25m8ivg.cloudfront.net/Documentos/631/04599827100/6310459982710011092023104841.pdf</v>
      </c>
      <c r="G2017" s="5" t="str">
        <f>HYPERLINK("https://dpmzos25m8ivg.cloudfront.net/Documentos/631/04599827100/6310459982710011092023104858.pdf","https://dpmzos25m8ivg.cloudfront.net/Documentos/631/04599827100/6310459982710011092023104858.pdf")</f>
        <v>https://dpmzos25m8ivg.cloudfront.net/Documentos/631/04599827100/6310459982710011092023104858.pdf</v>
      </c>
      <c r="H2017" s="4" t="s">
        <v>10597</v>
      </c>
    </row>
    <row r="2018" spans="1:8" x14ac:dyDescent="0.25">
      <c r="A2018" s="2" t="s">
        <v>2032</v>
      </c>
      <c r="B2018" s="3"/>
      <c r="C2018" s="3"/>
      <c r="D2018" s="3"/>
      <c r="E2018" s="4" t="str">
        <f>HYPERLINK("https://dpmzos25m8ivg.cloudfront.net/Documentos/631/04604529590/6310460452959008092023185324.jpg","https://dpmzos25m8ivg.cloudfront.net/Documentos/631/04604529590/6310460452959008092023185324.jpg")</f>
        <v>https://dpmzos25m8ivg.cloudfront.net/Documentos/631/04604529590/6310460452959008092023185324.jpg</v>
      </c>
      <c r="F2018" s="5" t="str">
        <f>HYPERLINK("https://dpmzos25m8ivg.cloudfront.net/Documentos/631/04604529590/6310460452959008092023185332.jpg","https://dpmzos25m8ivg.cloudfront.net/Documentos/631/04604529590/6310460452959008092023185332.jpg")</f>
        <v>https://dpmzos25m8ivg.cloudfront.net/Documentos/631/04604529590/6310460452959008092023185332.jpg</v>
      </c>
      <c r="G2018" s="5" t="str">
        <f>HYPERLINK("https://dpmzos25m8ivg.cloudfront.net/Documentos/631/04604529590/6310460452959008092023185341.jpg","https://dpmzos25m8ivg.cloudfront.net/Documentos/631/04604529590/6310460452959008092023185341.jpg")</f>
        <v>https://dpmzos25m8ivg.cloudfront.net/Documentos/631/04604529590/6310460452959008092023185341.jpg</v>
      </c>
      <c r="H2018" s="4" t="s">
        <v>10598</v>
      </c>
    </row>
    <row r="2019" spans="1:8" x14ac:dyDescent="0.25">
      <c r="A2019" s="2" t="s">
        <v>2033</v>
      </c>
      <c r="B2019" s="3"/>
      <c r="C2019" s="3"/>
      <c r="D2019" s="3"/>
      <c r="E2019" s="4" t="str">
        <f>HYPERLINK("https://dpmzos25m8ivg.cloudfront.net/Documentos/631/04606155566/6310460615556611092023150036.pdf","https://dpmzos25m8ivg.cloudfront.net/Documentos/631/04606155566/6310460615556611092023150036.pdf")</f>
        <v>https://dpmzos25m8ivg.cloudfront.net/Documentos/631/04606155566/6310460615556611092023150036.pdf</v>
      </c>
      <c r="F2019" s="5" t="str">
        <f>HYPERLINK("https://dpmzos25m8ivg.cloudfront.net/Documentos/631/04606155566/6310460615556611092023150048.pdf","https://dpmzos25m8ivg.cloudfront.net/Documentos/631/04606155566/6310460615556611092023150048.pdf")</f>
        <v>https://dpmzos25m8ivg.cloudfront.net/Documentos/631/04606155566/6310460615556611092023150048.pdf</v>
      </c>
      <c r="G2019" s="5" t="str">
        <f>HYPERLINK("https://dpmzos25m8ivg.cloudfront.net/Documentos/631/04606155566/6310460615556611092023150102.pdf","https://dpmzos25m8ivg.cloudfront.net/Documentos/631/04606155566/6310460615556611092023150102.pdf")</f>
        <v>https://dpmzos25m8ivg.cloudfront.net/Documentos/631/04606155566/6310460615556611092023150102.pdf</v>
      </c>
      <c r="H2019" s="4" t="s">
        <v>10599</v>
      </c>
    </row>
    <row r="2020" spans="1:8" x14ac:dyDescent="0.25">
      <c r="A2020" s="2" t="s">
        <v>2034</v>
      </c>
      <c r="B2020" s="3" t="s">
        <v>312</v>
      </c>
      <c r="C2020" s="3"/>
      <c r="D2020" s="3"/>
      <c r="E2020" s="4" t="str">
        <f>HYPERLINK("https://dpmzos25m8ivg.cloudfront.net/Documentos/631/04610410575/6310461041057510092023210003.pdf","https://dpmzos25m8ivg.cloudfront.net/Documentos/631/04610410575/6310461041057510092023210003.pdf")</f>
        <v>https://dpmzos25m8ivg.cloudfront.net/Documentos/631/04610410575/6310461041057510092023210003.pdf</v>
      </c>
      <c r="F2020" s="5" t="str">
        <f>HYPERLINK("https://dpmzos25m8ivg.cloudfront.net/Documentos/631/04610410575/6310461041057510092023210019.pdf","https://dpmzos25m8ivg.cloudfront.net/Documentos/631/04610410575/6310461041057510092023210019.pdf")</f>
        <v>https://dpmzos25m8ivg.cloudfront.net/Documentos/631/04610410575/6310461041057510092023210019.pdf</v>
      </c>
      <c r="G2020" s="5" t="str">
        <f>HYPERLINK("https://dpmzos25m8ivg.cloudfront.net/Documentos/631/04610410575/6310461041057510092023210034.pdf","https://dpmzos25m8ivg.cloudfront.net/Documentos/631/04610410575/6310461041057510092023210034.pdf")</f>
        <v>https://dpmzos25m8ivg.cloudfront.net/Documentos/631/04610410575/6310461041057510092023210034.pdf</v>
      </c>
      <c r="H2020" s="4" t="s">
        <v>10600</v>
      </c>
    </row>
    <row r="2021" spans="1:8" x14ac:dyDescent="0.25">
      <c r="A2021" s="2" t="s">
        <v>2035</v>
      </c>
      <c r="B2021" s="3"/>
      <c r="C2021" s="3"/>
      <c r="D2021" s="3"/>
      <c r="E2021" s="4" t="str">
        <f>HYPERLINK("https://dpmzos25m8ivg.cloudfront.net/Documentos/631/04611416127/6310461141612705092023183848.pdf","https://dpmzos25m8ivg.cloudfront.net/Documentos/631/04611416127/6310461141612705092023183848.pdf")</f>
        <v>https://dpmzos25m8ivg.cloudfront.net/Documentos/631/04611416127/6310461141612705092023183848.pdf</v>
      </c>
      <c r="F2021" s="5" t="str">
        <f>HYPERLINK("https://dpmzos25m8ivg.cloudfront.net/Documentos/631/04611416127/6310461141612705092023183905.pdf","https://dpmzos25m8ivg.cloudfront.net/Documentos/631/04611416127/6310461141612705092023183905.pdf")</f>
        <v>https://dpmzos25m8ivg.cloudfront.net/Documentos/631/04611416127/6310461141612705092023183905.pdf</v>
      </c>
      <c r="G2021" s="5" t="str">
        <f>HYPERLINK("https://dpmzos25m8ivg.cloudfront.net/Documentos/631/04611416127/6310461141612705092023183912.pdf","https://dpmzos25m8ivg.cloudfront.net/Documentos/631/04611416127/6310461141612705092023183912.pdf")</f>
        <v>https://dpmzos25m8ivg.cloudfront.net/Documentos/631/04611416127/6310461141612705092023183912.pdf</v>
      </c>
      <c r="H2021" s="4" t="s">
        <v>10601</v>
      </c>
    </row>
    <row r="2022" spans="1:8" x14ac:dyDescent="0.25">
      <c r="A2022" s="2" t="s">
        <v>2036</v>
      </c>
      <c r="B2022" s="3"/>
      <c r="C2022" s="3"/>
      <c r="D2022" s="3"/>
      <c r="E2022" s="4" t="str">
        <f>HYPERLINK("https://dpmzos25m8ivg.cloudfront.net/Documentos/631/04612061101/6310461206110114092023162557.pdf","https://dpmzos25m8ivg.cloudfront.net/Documentos/631/04612061101/6310461206110114092023162557.pdf")</f>
        <v>https://dpmzos25m8ivg.cloudfront.net/Documentos/631/04612061101/6310461206110114092023162557.pdf</v>
      </c>
      <c r="F2022" s="5" t="str">
        <f>HYPERLINK("https://dpmzos25m8ivg.cloudfront.net/Documentos/631/04612061101/6310461206110114092023162604.pdf","https://dpmzos25m8ivg.cloudfront.net/Documentos/631/04612061101/6310461206110114092023162604.pdf")</f>
        <v>https://dpmzos25m8ivg.cloudfront.net/Documentos/631/04612061101/6310461206110114092023162604.pdf</v>
      </c>
      <c r="G2022" s="5" t="str">
        <f>HYPERLINK("https://dpmzos25m8ivg.cloudfront.net/Documentos/631/04612061101/6310461206110114092023162612.pdf","https://dpmzos25m8ivg.cloudfront.net/Documentos/631/04612061101/6310461206110114092023162612.pdf")</f>
        <v>https://dpmzos25m8ivg.cloudfront.net/Documentos/631/04612061101/6310461206110114092023162612.pdf</v>
      </c>
      <c r="H2022" s="4" t="s">
        <v>10602</v>
      </c>
    </row>
    <row r="2023" spans="1:8" x14ac:dyDescent="0.25">
      <c r="A2023" s="2" t="s">
        <v>2037</v>
      </c>
      <c r="B2023" s="3"/>
      <c r="C2023" s="3"/>
      <c r="D2023" s="3"/>
      <c r="E2023" s="4" t="str">
        <f>HYPERLINK("https://dpmzos25m8ivg.cloudfront.net/Documentos/631/04612516478/6310461251647811092023140734.pdf","https://dpmzos25m8ivg.cloudfront.net/Documentos/631/04612516478/6310461251647811092023140734.pdf")</f>
        <v>https://dpmzos25m8ivg.cloudfront.net/Documentos/631/04612516478/6310461251647811092023140734.pdf</v>
      </c>
      <c r="F2023" s="5" t="str">
        <f>HYPERLINK("https://dpmzos25m8ivg.cloudfront.net/Documentos/631/04612516478/6310461251647811092023141858.pdf","https://dpmzos25m8ivg.cloudfront.net/Documentos/631/04612516478/6310461251647811092023141858.pdf")</f>
        <v>https://dpmzos25m8ivg.cloudfront.net/Documentos/631/04612516478/6310461251647811092023141858.pdf</v>
      </c>
      <c r="G2023" s="5" t="str">
        <f>HYPERLINK("https://dpmzos25m8ivg.cloudfront.net/Documentos/631/04612516478/6310461251647811092023164242.pdf","https://dpmzos25m8ivg.cloudfront.net/Documentos/631/04612516478/6310461251647811092023164242.pdf")</f>
        <v>https://dpmzos25m8ivg.cloudfront.net/Documentos/631/04612516478/6310461251647811092023164242.pdf</v>
      </c>
      <c r="H2023" s="4" t="s">
        <v>10603</v>
      </c>
    </row>
    <row r="2024" spans="1:8" x14ac:dyDescent="0.25">
      <c r="A2024" s="2" t="s">
        <v>2038</v>
      </c>
      <c r="B2024" s="3"/>
      <c r="C2024" s="3"/>
      <c r="D2024" s="3"/>
      <c r="E2024" s="4" t="str">
        <f>HYPERLINK("https://dpmzos25m8ivg.cloudfront.net/Documentos/631/04614932177/6310461493217714092023075829.pdf","https://dpmzos25m8ivg.cloudfront.net/Documentos/631/04614932177/6310461493217714092023075829.pdf")</f>
        <v>https://dpmzos25m8ivg.cloudfront.net/Documentos/631/04614932177/6310461493217714092023075829.pdf</v>
      </c>
      <c r="F2024" s="5" t="str">
        <f>HYPERLINK("https://dpmzos25m8ivg.cloudfront.net/Documentos/631/04614932177/6310461493217714092023075840.pdf","https://dpmzos25m8ivg.cloudfront.net/Documentos/631/04614932177/6310461493217714092023075840.pdf")</f>
        <v>https://dpmzos25m8ivg.cloudfront.net/Documentos/631/04614932177/6310461493217714092023075840.pdf</v>
      </c>
      <c r="G2024" s="5" t="str">
        <f>HYPERLINK("https://dpmzos25m8ivg.cloudfront.net/Documentos/631/04614932177/6310461493217714092023075849.pdf","https://dpmzos25m8ivg.cloudfront.net/Documentos/631/04614932177/6310461493217714092023075849.pdf")</f>
        <v>https://dpmzos25m8ivg.cloudfront.net/Documentos/631/04614932177/6310461493217714092023075849.pdf</v>
      </c>
      <c r="H2024" s="4" t="s">
        <v>10604</v>
      </c>
    </row>
    <row r="2025" spans="1:8" x14ac:dyDescent="0.25">
      <c r="A2025" s="2" t="s">
        <v>2039</v>
      </c>
      <c r="B2025" s="3"/>
      <c r="C2025" s="3"/>
      <c r="D2025" s="3"/>
      <c r="E2025" s="4" t="str">
        <f>HYPERLINK("https://dpmzos25m8ivg.cloudfront.net/Documentos/631/04615401345/6310461540134513092023231323.pdf","https://dpmzos25m8ivg.cloudfront.net/Documentos/631/04615401345/6310461540134513092023231323.pdf")</f>
        <v>https://dpmzos25m8ivg.cloudfront.net/Documentos/631/04615401345/6310461540134513092023231323.pdf</v>
      </c>
      <c r="F2025" s="5" t="str">
        <f>HYPERLINK("https://dpmzos25m8ivg.cloudfront.net/Documentos/631/04615401345/6310461540134513092023231334.pdf","https://dpmzos25m8ivg.cloudfront.net/Documentos/631/04615401345/6310461540134513092023231334.pdf")</f>
        <v>https://dpmzos25m8ivg.cloudfront.net/Documentos/631/04615401345/6310461540134513092023231334.pdf</v>
      </c>
      <c r="G2025" s="5" t="str">
        <f>HYPERLINK("https://dpmzos25m8ivg.cloudfront.net/Documentos/631/04615401345/6310461540134513092023231342.pdf","https://dpmzos25m8ivg.cloudfront.net/Documentos/631/04615401345/6310461540134513092023231342.pdf")</f>
        <v>https://dpmzos25m8ivg.cloudfront.net/Documentos/631/04615401345/6310461540134513092023231342.pdf</v>
      </c>
      <c r="H2025" s="4" t="s">
        <v>10605</v>
      </c>
    </row>
    <row r="2026" spans="1:8" x14ac:dyDescent="0.25">
      <c r="A2026" s="2" t="s">
        <v>2040</v>
      </c>
      <c r="B2026" s="3"/>
      <c r="C2026" s="3"/>
      <c r="D2026" s="3"/>
      <c r="E2026" s="4" t="str">
        <f>HYPERLINK("https://dpmzos25m8ivg.cloudfront.net/Documentos/631/04615838360/6310461583836007092023213236.pdf","https://dpmzos25m8ivg.cloudfront.net/Documentos/631/04615838360/6310461583836007092023213236.pdf")</f>
        <v>https://dpmzos25m8ivg.cloudfront.net/Documentos/631/04615838360/6310461583836007092023213236.pdf</v>
      </c>
      <c r="F2026" s="5" t="str">
        <f>HYPERLINK("https://dpmzos25m8ivg.cloudfront.net/Documentos/631/04615838360/6310461583836007092023213249.pdf","https://dpmzos25m8ivg.cloudfront.net/Documentos/631/04615838360/6310461583836007092023213249.pdf")</f>
        <v>https://dpmzos25m8ivg.cloudfront.net/Documentos/631/04615838360/6310461583836007092023213249.pdf</v>
      </c>
      <c r="G2026" s="5" t="str">
        <f>HYPERLINK("https://dpmzos25m8ivg.cloudfront.net/Documentos/631/04615838360/6310461583836007092023213302.pdf","https://dpmzos25m8ivg.cloudfront.net/Documentos/631/04615838360/6310461583836007092023213302.pdf")</f>
        <v>https://dpmzos25m8ivg.cloudfront.net/Documentos/631/04615838360/6310461583836007092023213302.pdf</v>
      </c>
      <c r="H2026" s="4" t="s">
        <v>10606</v>
      </c>
    </row>
    <row r="2027" spans="1:8" x14ac:dyDescent="0.25">
      <c r="A2027" s="2" t="s">
        <v>2041</v>
      </c>
      <c r="B2027" s="3"/>
      <c r="C2027" s="3"/>
      <c r="D2027" s="3"/>
      <c r="E2027" s="4" t="str">
        <f>HYPERLINK("https://dpmzos25m8ivg.cloudfront.net/Documentos/631/04616889139/6310461688913911092023135359.jpeg","https://dpmzos25m8ivg.cloudfront.net/Documentos/631/04616889139/6310461688913911092023135359.jpeg")</f>
        <v>https://dpmzos25m8ivg.cloudfront.net/Documentos/631/04616889139/6310461688913911092023135359.jpeg</v>
      </c>
      <c r="F2027" s="5" t="str">
        <f>HYPERLINK("https://dpmzos25m8ivg.cloudfront.net/Documentos/631/04616889139/6310461688913911092023135416.jpeg","https://dpmzos25m8ivg.cloudfront.net/Documentos/631/04616889139/6310461688913911092023135416.jpeg")</f>
        <v>https://dpmzos25m8ivg.cloudfront.net/Documentos/631/04616889139/6310461688913911092023135416.jpeg</v>
      </c>
      <c r="G2027" s="5" t="str">
        <f>HYPERLINK("https://dpmzos25m8ivg.cloudfront.net/Documentos/631/04616889139/6310461688913911092023135535.jpeg","https://dpmzos25m8ivg.cloudfront.net/Documentos/631/04616889139/6310461688913911092023135535.jpeg")</f>
        <v>https://dpmzos25m8ivg.cloudfront.net/Documentos/631/04616889139/6310461688913911092023135535.jpeg</v>
      </c>
      <c r="H2027" s="4" t="s">
        <v>10607</v>
      </c>
    </row>
    <row r="2028" spans="1:8" x14ac:dyDescent="0.25">
      <c r="A2028" s="2" t="s">
        <v>2042</v>
      </c>
      <c r="B2028" s="3"/>
      <c r="C2028" s="3"/>
      <c r="D2028" s="3"/>
      <c r="E2028" s="4" t="str">
        <f>HYPERLINK("https://dpmzos25m8ivg.cloudfront.net/Documentos/631/04617920528/6310461792052811092023100003.pdf","https://dpmzos25m8ivg.cloudfront.net/Documentos/631/04617920528/6310461792052811092023100003.pdf")</f>
        <v>https://dpmzos25m8ivg.cloudfront.net/Documentos/631/04617920528/6310461792052811092023100003.pdf</v>
      </c>
      <c r="F2028" s="5" t="str">
        <f>HYPERLINK("https://dpmzos25m8ivg.cloudfront.net/Documentos/631/04617920528/6310461792052811092023100016.pdf","https://dpmzos25m8ivg.cloudfront.net/Documentos/631/04617920528/6310461792052811092023100016.pdf")</f>
        <v>https://dpmzos25m8ivg.cloudfront.net/Documentos/631/04617920528/6310461792052811092023100016.pdf</v>
      </c>
      <c r="G2028" s="5" t="str">
        <f>HYPERLINK("https://dpmzos25m8ivg.cloudfront.net/Documentos/631/04617920528/6310461792052811092023100031.pdf","https://dpmzos25m8ivg.cloudfront.net/Documentos/631/04617920528/6310461792052811092023100031.pdf")</f>
        <v>https://dpmzos25m8ivg.cloudfront.net/Documentos/631/04617920528/6310461792052811092023100031.pdf</v>
      </c>
      <c r="H2028" s="4" t="s">
        <v>10608</v>
      </c>
    </row>
    <row r="2029" spans="1:8" x14ac:dyDescent="0.25">
      <c r="A2029" s="2" t="s">
        <v>2043</v>
      </c>
      <c r="B2029" s="3"/>
      <c r="C2029" s="3"/>
      <c r="D2029" s="3"/>
      <c r="E2029" s="4" t="str">
        <f>HYPERLINK("https://dpmzos25m8ivg.cloudfront.net/Documentos/631/04618624175/6310461862417505092023155609.pdf","https://dpmzos25m8ivg.cloudfront.net/Documentos/631/04618624175/6310461862417505092023155609.pdf")</f>
        <v>https://dpmzos25m8ivg.cloudfront.net/Documentos/631/04618624175/6310461862417505092023155609.pdf</v>
      </c>
      <c r="F2029" s="5" t="str">
        <f>HYPERLINK("https://dpmzos25m8ivg.cloudfront.net/Documentos/631/04618624175/6310461862417505092023155617.pdf","https://dpmzos25m8ivg.cloudfront.net/Documentos/631/04618624175/6310461862417505092023155617.pdf")</f>
        <v>https://dpmzos25m8ivg.cloudfront.net/Documentos/631/04618624175/6310461862417505092023155617.pdf</v>
      </c>
      <c r="G2029" s="5" t="str">
        <f>HYPERLINK("https://dpmzos25m8ivg.cloudfront.net/Documentos/631/04618624175/6310461862417505092023155624.pdf","https://dpmzos25m8ivg.cloudfront.net/Documentos/631/04618624175/6310461862417505092023155624.pdf")</f>
        <v>https://dpmzos25m8ivg.cloudfront.net/Documentos/631/04618624175/6310461862417505092023155624.pdf</v>
      </c>
      <c r="H2029" s="4" t="s">
        <v>10609</v>
      </c>
    </row>
    <row r="2030" spans="1:8" x14ac:dyDescent="0.25">
      <c r="A2030" s="2" t="s">
        <v>2044</v>
      </c>
      <c r="B2030" s="3"/>
      <c r="C2030" s="3"/>
      <c r="D2030" s="3"/>
      <c r="E2030" s="4" t="str">
        <f>HYPERLINK("https://dpmzos25m8ivg.cloudfront.net/Documentos/631/04623816338/6310462381633811092023101439.jpg","https://dpmzos25m8ivg.cloudfront.net/Documentos/631/04623816338/6310462381633811092023101439.jpg")</f>
        <v>https://dpmzos25m8ivg.cloudfront.net/Documentos/631/04623816338/6310462381633811092023101439.jpg</v>
      </c>
      <c r="F2030" s="5" t="str">
        <f>HYPERLINK("https://dpmzos25m8ivg.cloudfront.net/Documentos/631/04623816338/6310462381633811092023101450.jpg","https://dpmzos25m8ivg.cloudfront.net/Documentos/631/04623816338/6310462381633811092023101450.jpg")</f>
        <v>https://dpmzos25m8ivg.cloudfront.net/Documentos/631/04623816338/6310462381633811092023101450.jpg</v>
      </c>
      <c r="G2030" s="5" t="str">
        <f>HYPERLINK("https://dpmzos25m8ivg.cloudfront.net/Documentos/631/04623816338/6310462381633811092023101509.jpg","https://dpmzos25m8ivg.cloudfront.net/Documentos/631/04623816338/6310462381633811092023101509.jpg")</f>
        <v>https://dpmzos25m8ivg.cloudfront.net/Documentos/631/04623816338/6310462381633811092023101509.jpg</v>
      </c>
      <c r="H2030" s="4" t="s">
        <v>10610</v>
      </c>
    </row>
    <row r="2031" spans="1:8" x14ac:dyDescent="0.25">
      <c r="A2031" s="2" t="s">
        <v>2045</v>
      </c>
      <c r="B2031" s="3"/>
      <c r="C2031" s="3"/>
      <c r="D2031" s="3"/>
      <c r="E2031" s="4" t="str">
        <f>HYPERLINK("https://dpmzos25m8ivg.cloudfront.net/Documentos/631/04623850510/6310462385051011092023083712.pdf","https://dpmzos25m8ivg.cloudfront.net/Documentos/631/04623850510/6310462385051011092023083712.pdf")</f>
        <v>https://dpmzos25m8ivg.cloudfront.net/Documentos/631/04623850510/6310462385051011092023083712.pdf</v>
      </c>
      <c r="F2031" s="5" t="str">
        <f>HYPERLINK("https://dpmzos25m8ivg.cloudfront.net/Documentos/631/04623850510/6310462385051011092023083726.pdf","https://dpmzos25m8ivg.cloudfront.net/Documentos/631/04623850510/6310462385051011092023083726.pdf")</f>
        <v>https://dpmzos25m8ivg.cloudfront.net/Documentos/631/04623850510/6310462385051011092023083726.pdf</v>
      </c>
      <c r="G2031" s="5" t="str">
        <f>HYPERLINK("https://dpmzos25m8ivg.cloudfront.net/Documentos/631/04623850510/6310462385051011092023083738.pdf","https://dpmzos25m8ivg.cloudfront.net/Documentos/631/04623850510/6310462385051011092023083738.pdf")</f>
        <v>https://dpmzos25m8ivg.cloudfront.net/Documentos/631/04623850510/6310462385051011092023083738.pdf</v>
      </c>
      <c r="H2031" s="4" t="s">
        <v>10611</v>
      </c>
    </row>
    <row r="2032" spans="1:8" x14ac:dyDescent="0.25">
      <c r="A2032" s="2" t="s">
        <v>2046</v>
      </c>
      <c r="B2032" s="3"/>
      <c r="C2032" s="3"/>
      <c r="D2032" s="3"/>
      <c r="E2032" s="4" t="str">
        <f>HYPERLINK("https://dpmzos25m8ivg.cloudfront.net/Documentos/631/04628532338/6310462853233807092023215548.pdf","https://dpmzos25m8ivg.cloudfront.net/Documentos/631/04628532338/6310462853233807092023215548.pdf")</f>
        <v>https://dpmzos25m8ivg.cloudfront.net/Documentos/631/04628532338/6310462853233807092023215548.pdf</v>
      </c>
      <c r="F2032" s="5" t="str">
        <f>HYPERLINK("https://dpmzos25m8ivg.cloudfront.net/Documentos/631/04628532338/6310462853233807092023215621.pdf","https://dpmzos25m8ivg.cloudfront.net/Documentos/631/04628532338/6310462853233807092023215621.pdf")</f>
        <v>https://dpmzos25m8ivg.cloudfront.net/Documentos/631/04628532338/6310462853233807092023215621.pdf</v>
      </c>
      <c r="G2032" s="5" t="str">
        <f>HYPERLINK("https://dpmzos25m8ivg.cloudfront.net/Documentos/631/04628532338/6310462853233807092023215640.pdf","https://dpmzos25m8ivg.cloudfront.net/Documentos/631/04628532338/6310462853233807092023215640.pdf")</f>
        <v>https://dpmzos25m8ivg.cloudfront.net/Documentos/631/04628532338/6310462853233807092023215640.pdf</v>
      </c>
      <c r="H2032" s="4" t="s">
        <v>10612</v>
      </c>
    </row>
    <row r="2033" spans="1:8" x14ac:dyDescent="0.25">
      <c r="A2033" s="2" t="s">
        <v>2047</v>
      </c>
      <c r="B2033" s="3"/>
      <c r="C2033" s="3"/>
      <c r="D2033" s="3"/>
      <c r="E2033" s="4" t="str">
        <f>HYPERLINK("https://dpmzos25m8ivg.cloudfront.net/Documentos/631/04629568573/6310462956857307092023213058.pdf","https://dpmzos25m8ivg.cloudfront.net/Documentos/631/04629568573/6310462956857307092023213058.pdf")</f>
        <v>https://dpmzos25m8ivg.cloudfront.net/Documentos/631/04629568573/6310462956857307092023213058.pdf</v>
      </c>
      <c r="F2033" s="5" t="str">
        <f>HYPERLINK("https://dpmzos25m8ivg.cloudfront.net/Documentos/631/04629568573/6310462956857307092023213128.pdf","https://dpmzos25m8ivg.cloudfront.net/Documentos/631/04629568573/6310462956857307092023213128.pdf")</f>
        <v>https://dpmzos25m8ivg.cloudfront.net/Documentos/631/04629568573/6310462956857307092023213128.pdf</v>
      </c>
      <c r="G2033" s="5" t="str">
        <f>HYPERLINK("https://dpmzos25m8ivg.cloudfront.net/Documentos/631/04629568573/6310462956857307092023213137.pdf","https://dpmzos25m8ivg.cloudfront.net/Documentos/631/04629568573/6310462956857307092023213137.pdf")</f>
        <v>https://dpmzos25m8ivg.cloudfront.net/Documentos/631/04629568573/6310462956857307092023213137.pdf</v>
      </c>
      <c r="H2033" s="4" t="s">
        <v>10613</v>
      </c>
    </row>
    <row r="2034" spans="1:8" x14ac:dyDescent="0.25">
      <c r="A2034" s="2" t="s">
        <v>2048</v>
      </c>
      <c r="B2034" s="3"/>
      <c r="C2034" s="3"/>
      <c r="D2034" s="3"/>
      <c r="E2034" s="4" t="str">
        <f>HYPERLINK("https://dpmzos25m8ivg.cloudfront.net/Documentos/631/04629970576/6310462997057607092023103321.pdf","https://dpmzos25m8ivg.cloudfront.net/Documentos/631/04629970576/6310462997057607092023103321.pdf")</f>
        <v>https://dpmzos25m8ivg.cloudfront.net/Documentos/631/04629970576/6310462997057607092023103321.pdf</v>
      </c>
      <c r="F2034" s="5" t="str">
        <f>HYPERLINK("https://dpmzos25m8ivg.cloudfront.net/Documentos/631/04629970576/6310462997057607092023103328.pdf","https://dpmzos25m8ivg.cloudfront.net/Documentos/631/04629970576/6310462997057607092023103328.pdf")</f>
        <v>https://dpmzos25m8ivg.cloudfront.net/Documentos/631/04629970576/6310462997057607092023103328.pdf</v>
      </c>
      <c r="G2034" s="5" t="str">
        <f>HYPERLINK("https://dpmzos25m8ivg.cloudfront.net/Documentos/631/04629970576/6310462997057607092023103336.pdf","https://dpmzos25m8ivg.cloudfront.net/Documentos/631/04629970576/6310462997057607092023103336.pdf")</f>
        <v>https://dpmzos25m8ivg.cloudfront.net/Documentos/631/04629970576/6310462997057607092023103336.pdf</v>
      </c>
      <c r="H2034" s="4" t="s">
        <v>10614</v>
      </c>
    </row>
    <row r="2035" spans="1:8" x14ac:dyDescent="0.25">
      <c r="A2035" s="2" t="s">
        <v>2049</v>
      </c>
      <c r="B2035" s="3"/>
      <c r="C2035" s="3"/>
      <c r="D2035" s="3"/>
      <c r="E2035" s="4" t="str">
        <f>HYPERLINK("https://dpmzos25m8ivg.cloudfront.net/Documentos/631/04631586109/6310463158610911092023154043.pdf","https://dpmzos25m8ivg.cloudfront.net/Documentos/631/04631586109/6310463158610911092023154043.pdf")</f>
        <v>https://dpmzos25m8ivg.cloudfront.net/Documentos/631/04631586109/6310463158610911092023154043.pdf</v>
      </c>
      <c r="F2035" s="5" t="str">
        <f>HYPERLINK("https://dpmzos25m8ivg.cloudfront.net/Documentos/631/04631586109/6310463158610911092023154057.pdf","https://dpmzos25m8ivg.cloudfront.net/Documentos/631/04631586109/6310463158610911092023154057.pdf")</f>
        <v>https://dpmzos25m8ivg.cloudfront.net/Documentos/631/04631586109/6310463158610911092023154057.pdf</v>
      </c>
      <c r="G2035" s="5" t="str">
        <f>HYPERLINK("https://dpmzos25m8ivg.cloudfront.net/Documentos/631/04631586109/6310463158610911092023154111.pdf","https://dpmzos25m8ivg.cloudfront.net/Documentos/631/04631586109/6310463158610911092023154111.pdf")</f>
        <v>https://dpmzos25m8ivg.cloudfront.net/Documentos/631/04631586109/6310463158610911092023154111.pdf</v>
      </c>
      <c r="H2035" s="4" t="s">
        <v>10615</v>
      </c>
    </row>
    <row r="2036" spans="1:8" x14ac:dyDescent="0.25">
      <c r="A2036" s="2" t="s">
        <v>2050</v>
      </c>
      <c r="B2036" s="3"/>
      <c r="C2036" s="3"/>
      <c r="D2036" s="3"/>
      <c r="E2036" s="4" t="str">
        <f>HYPERLINK("https://dpmzos25m8ivg.cloudfront.net/Documentos/631/04634194562/6310463419456211092023164833.pdf","https://dpmzos25m8ivg.cloudfront.net/Documentos/631/04634194562/6310463419456211092023164833.pdf")</f>
        <v>https://dpmzos25m8ivg.cloudfront.net/Documentos/631/04634194562/6310463419456211092023164833.pdf</v>
      </c>
      <c r="F2036" s="5" t="str">
        <f>HYPERLINK("https://dpmzos25m8ivg.cloudfront.net/Documentos/631/04634194562/6310463419456211092023164851.pdf","https://dpmzos25m8ivg.cloudfront.net/Documentos/631/04634194562/6310463419456211092023164851.pdf")</f>
        <v>https://dpmzos25m8ivg.cloudfront.net/Documentos/631/04634194562/6310463419456211092023164851.pdf</v>
      </c>
      <c r="G2036" s="5" t="str">
        <f>HYPERLINK("https://dpmzos25m8ivg.cloudfront.net/Documentos/631/04634194562/6310463419456211092023164910.pdf","https://dpmzos25m8ivg.cloudfront.net/Documentos/631/04634194562/6310463419456211092023164910.pdf")</f>
        <v>https://dpmzos25m8ivg.cloudfront.net/Documentos/631/04634194562/6310463419456211092023164910.pdf</v>
      </c>
      <c r="H2036" s="4" t="s">
        <v>10616</v>
      </c>
    </row>
    <row r="2037" spans="1:8" x14ac:dyDescent="0.25">
      <c r="A2037" s="2" t="s">
        <v>2051</v>
      </c>
      <c r="B2037" s="3"/>
      <c r="C2037" s="3"/>
      <c r="D2037" s="3"/>
      <c r="E2037" s="4" t="str">
        <f>HYPERLINK("https://dpmzos25m8ivg.cloudfront.net/Documentos/631/04637901111/6310463790111110092023224132.pdf","https://dpmzos25m8ivg.cloudfront.net/Documentos/631/04637901111/6310463790111110092023224132.pdf")</f>
        <v>https://dpmzos25m8ivg.cloudfront.net/Documentos/631/04637901111/6310463790111110092023224132.pdf</v>
      </c>
      <c r="F2037" s="5" t="str">
        <f>HYPERLINK("https://dpmzos25m8ivg.cloudfront.net/Documentos/631/04637901111/6310463790111110092023224201.pdf","https://dpmzos25m8ivg.cloudfront.net/Documentos/631/04637901111/6310463790111110092023224201.pdf")</f>
        <v>https://dpmzos25m8ivg.cloudfront.net/Documentos/631/04637901111/6310463790111110092023224201.pdf</v>
      </c>
      <c r="G2037" s="5" t="str">
        <f>HYPERLINK("https://dpmzos25m8ivg.cloudfront.net/Documentos/631/04637901111/6310463790111110092023224331.pdf","https://dpmzos25m8ivg.cloudfront.net/Documentos/631/04637901111/6310463790111110092023224331.pdf")</f>
        <v>https://dpmzos25m8ivg.cloudfront.net/Documentos/631/04637901111/6310463790111110092023224331.pdf</v>
      </c>
      <c r="H2037" s="4" t="s">
        <v>10617</v>
      </c>
    </row>
    <row r="2038" spans="1:8" x14ac:dyDescent="0.25">
      <c r="A2038" s="2" t="s">
        <v>2052</v>
      </c>
      <c r="B2038" s="3"/>
      <c r="C2038" s="3"/>
      <c r="D2038" s="3"/>
      <c r="E2038" s="4" t="str">
        <f>HYPERLINK("https://dpmzos25m8ivg.cloudfront.net/Documentos/631/04640734131/6310464073413105092023185608.pdf","https://dpmzos25m8ivg.cloudfront.net/Documentos/631/04640734131/6310464073413105092023185608.pdf")</f>
        <v>https://dpmzos25m8ivg.cloudfront.net/Documentos/631/04640734131/6310464073413105092023185608.pdf</v>
      </c>
      <c r="F2038" s="5" t="str">
        <f>HYPERLINK("https://dpmzos25m8ivg.cloudfront.net/Documentos/631/04640734131/6310464073413105092023185633.pdf","https://dpmzos25m8ivg.cloudfront.net/Documentos/631/04640734131/6310464073413105092023185633.pdf")</f>
        <v>https://dpmzos25m8ivg.cloudfront.net/Documentos/631/04640734131/6310464073413105092023185633.pdf</v>
      </c>
      <c r="G2038" s="5" t="str">
        <f>HYPERLINK("https://dpmzos25m8ivg.cloudfront.net/Documentos/631/04640734131/6310464073413105092023185648.pdf","https://dpmzos25m8ivg.cloudfront.net/Documentos/631/04640734131/6310464073413105092023185648.pdf")</f>
        <v>https://dpmzos25m8ivg.cloudfront.net/Documentos/631/04640734131/6310464073413105092023185648.pdf</v>
      </c>
      <c r="H2038" s="4" t="s">
        <v>10618</v>
      </c>
    </row>
    <row r="2039" spans="1:8" x14ac:dyDescent="0.25">
      <c r="A2039" s="2" t="s">
        <v>2053</v>
      </c>
      <c r="B2039" s="3"/>
      <c r="C2039" s="3"/>
      <c r="D2039" s="3"/>
      <c r="E2039" s="4" t="str">
        <f>HYPERLINK("https://dpmzos25m8ivg.cloudfront.net/Documentos/631/04641255105/6310464125510511092023155402.pdf","https://dpmzos25m8ivg.cloudfront.net/Documentos/631/04641255105/6310464125510511092023155402.pdf")</f>
        <v>https://dpmzos25m8ivg.cloudfront.net/Documentos/631/04641255105/6310464125510511092023155402.pdf</v>
      </c>
      <c r="F2039" s="5" t="str">
        <f>HYPERLINK("https://dpmzos25m8ivg.cloudfront.net/Documentos/631/04641255105/6310464125510511092023155412.pdf","https://dpmzos25m8ivg.cloudfront.net/Documentos/631/04641255105/6310464125510511092023155412.pdf")</f>
        <v>https://dpmzos25m8ivg.cloudfront.net/Documentos/631/04641255105/6310464125510511092023155412.pdf</v>
      </c>
      <c r="G2039" s="5" t="str">
        <f>HYPERLINK("https://dpmzos25m8ivg.cloudfront.net/Documentos/631/04641255105/6310464125510511092023155424.pdf","https://dpmzos25m8ivg.cloudfront.net/Documentos/631/04641255105/6310464125510511092023155424.pdf")</f>
        <v>https://dpmzos25m8ivg.cloudfront.net/Documentos/631/04641255105/6310464125510511092023155424.pdf</v>
      </c>
      <c r="H2039" s="4" t="s">
        <v>10619</v>
      </c>
    </row>
    <row r="2040" spans="1:8" x14ac:dyDescent="0.25">
      <c r="A2040" s="2" t="s">
        <v>2054</v>
      </c>
      <c r="B2040" s="3"/>
      <c r="C2040" s="3"/>
      <c r="D2040" s="3"/>
      <c r="E2040" s="4" t="str">
        <f>HYPERLINK("https://dpmzos25m8ivg.cloudfront.net/Documentos/631/04644899461/6310464489946110092023181134.jpg","https://dpmzos25m8ivg.cloudfront.net/Documentos/631/04644899461/6310464489946110092023181134.jpg")</f>
        <v>https://dpmzos25m8ivg.cloudfront.net/Documentos/631/04644899461/6310464489946110092023181134.jpg</v>
      </c>
      <c r="F2040" s="5" t="str">
        <f>HYPERLINK("https://dpmzos25m8ivg.cloudfront.net/Documentos/631/04644899461/6310464489946110092023181434.jpg","https://dpmzos25m8ivg.cloudfront.net/Documentos/631/04644899461/6310464489946110092023181434.jpg")</f>
        <v>https://dpmzos25m8ivg.cloudfront.net/Documentos/631/04644899461/6310464489946110092023181434.jpg</v>
      </c>
      <c r="G2040" s="5" t="str">
        <f>HYPERLINK("https://dpmzos25m8ivg.cloudfront.net/Documentos/631/04644899461/6310464489946111092023100928.jpg","https://dpmzos25m8ivg.cloudfront.net/Documentos/631/04644899461/6310464489946111092023100928.jpg")</f>
        <v>https://dpmzos25m8ivg.cloudfront.net/Documentos/631/04644899461/6310464489946111092023100928.jpg</v>
      </c>
      <c r="H2040" s="4" t="s">
        <v>10620</v>
      </c>
    </row>
    <row r="2041" spans="1:8" x14ac:dyDescent="0.25">
      <c r="A2041" s="2" t="s">
        <v>2055</v>
      </c>
      <c r="B2041" s="3"/>
      <c r="C2041" s="3"/>
      <c r="D2041" s="3"/>
      <c r="E2041" s="4" t="str">
        <f>HYPERLINK("https://dpmzos25m8ivg.cloudfront.net/Documentos/631/04646492008/6310464649200811092023173411.pdf","https://dpmzos25m8ivg.cloudfront.net/Documentos/631/04646492008/6310464649200811092023173411.pdf")</f>
        <v>https://dpmzos25m8ivg.cloudfront.net/Documentos/631/04646492008/6310464649200811092023173411.pdf</v>
      </c>
      <c r="F2041" s="5" t="str">
        <f>HYPERLINK("https://dpmzos25m8ivg.cloudfront.net/Documentos/631/04646492008/6310464649200811092023173418.pdf","https://dpmzos25m8ivg.cloudfront.net/Documentos/631/04646492008/6310464649200811092023173418.pdf")</f>
        <v>https://dpmzos25m8ivg.cloudfront.net/Documentos/631/04646492008/6310464649200811092023173418.pdf</v>
      </c>
      <c r="G2041" s="5" t="str">
        <f>HYPERLINK("https://dpmzos25m8ivg.cloudfront.net/Documentos/631/04646492008/6310464649200811092023173424.pdf","https://dpmzos25m8ivg.cloudfront.net/Documentos/631/04646492008/6310464649200811092023173424.pdf")</f>
        <v>https://dpmzos25m8ivg.cloudfront.net/Documentos/631/04646492008/6310464649200811092023173424.pdf</v>
      </c>
      <c r="H2041" s="4" t="s">
        <v>10621</v>
      </c>
    </row>
    <row r="2042" spans="1:8" x14ac:dyDescent="0.25">
      <c r="A2042" s="2" t="s">
        <v>2056</v>
      </c>
      <c r="B2042" s="3" t="s">
        <v>312</v>
      </c>
      <c r="C2042" s="3"/>
      <c r="D2042" s="3"/>
      <c r="E2042" s="4" t="str">
        <f>HYPERLINK("https://dpmzos25m8ivg.cloudfront.net/Documentos/631/04646881160/6310464688116011092023173416.jpeg","https://dpmzos25m8ivg.cloudfront.net/Documentos/631/04646881160/6310464688116011092023173416.jpeg")</f>
        <v>https://dpmzos25m8ivg.cloudfront.net/Documentos/631/04646881160/6310464688116011092023173416.jpeg</v>
      </c>
      <c r="F2042" s="5" t="str">
        <f>HYPERLINK("https://dpmzos25m8ivg.cloudfront.net/Documentos/631/04646881160/6310464688116011092023173439.jpeg","https://dpmzos25m8ivg.cloudfront.net/Documentos/631/04646881160/6310464688116011092023173439.jpeg")</f>
        <v>https://dpmzos25m8ivg.cloudfront.net/Documentos/631/04646881160/6310464688116011092023173439.jpeg</v>
      </c>
      <c r="G2042" s="5" t="str">
        <f>HYPERLINK("https://dpmzos25m8ivg.cloudfront.net/Documentos/631/04646881160/6310464688116011092023173454.jpeg","https://dpmzos25m8ivg.cloudfront.net/Documentos/631/04646881160/6310464688116011092023173454.jpeg")</f>
        <v>https://dpmzos25m8ivg.cloudfront.net/Documentos/631/04646881160/6310464688116011092023173454.jpeg</v>
      </c>
      <c r="H2042" s="4" t="s">
        <v>10622</v>
      </c>
    </row>
    <row r="2043" spans="1:8" x14ac:dyDescent="0.25">
      <c r="A2043" s="2" t="s">
        <v>2057</v>
      </c>
      <c r="B2043" s="3" t="s">
        <v>312</v>
      </c>
      <c r="C2043" s="3"/>
      <c r="D2043" s="3"/>
      <c r="E2043" s="4" t="str">
        <f>HYPERLINK("https://dpmzos25m8ivg.cloudfront.net/Documentos/631/04646906503/6310464690650305092023215001.pdf","https://dpmzos25m8ivg.cloudfront.net/Documentos/631/04646906503/6310464690650305092023215001.pdf")</f>
        <v>https://dpmzos25m8ivg.cloudfront.net/Documentos/631/04646906503/6310464690650305092023215001.pdf</v>
      </c>
      <c r="F2043" s="5" t="str">
        <f>HYPERLINK("https://dpmzos25m8ivg.cloudfront.net/Documentos/631/04646906503/6310464690650305092023215022.pdf","https://dpmzos25m8ivg.cloudfront.net/Documentos/631/04646906503/6310464690650305092023215022.pdf")</f>
        <v>https://dpmzos25m8ivg.cloudfront.net/Documentos/631/04646906503/6310464690650305092023215022.pdf</v>
      </c>
      <c r="G2043" s="5" t="str">
        <f>HYPERLINK("https://dpmzos25m8ivg.cloudfront.net/Documentos/631/04646906503/6310464690650305092023215214.pdf","https://dpmzos25m8ivg.cloudfront.net/Documentos/631/04646906503/6310464690650305092023215214.pdf")</f>
        <v>https://dpmzos25m8ivg.cloudfront.net/Documentos/631/04646906503/6310464690650305092023215214.pdf</v>
      </c>
      <c r="H2043" s="4" t="s">
        <v>10623</v>
      </c>
    </row>
    <row r="2044" spans="1:8" x14ac:dyDescent="0.25">
      <c r="A2044" s="2" t="s">
        <v>2058</v>
      </c>
      <c r="B2044" s="3"/>
      <c r="C2044" s="3"/>
      <c r="D2044" s="3"/>
      <c r="E2044" s="4" t="str">
        <f>HYPERLINK("https://dpmzos25m8ivg.cloudfront.net/Documentos/631/04647205240/6310464720524011092023104922.jpeg","https://dpmzos25m8ivg.cloudfront.net/Documentos/631/04647205240/6310464720524011092023104922.jpeg")</f>
        <v>https://dpmzos25m8ivg.cloudfront.net/Documentos/631/04647205240/6310464720524011092023104922.jpeg</v>
      </c>
      <c r="F2044" s="5" t="str">
        <f>HYPERLINK("https://dpmzos25m8ivg.cloudfront.net/Documentos/631/04647205240/6310464720524011092023104934.jpeg","https://dpmzos25m8ivg.cloudfront.net/Documentos/631/04647205240/6310464720524011092023104934.jpeg")</f>
        <v>https://dpmzos25m8ivg.cloudfront.net/Documentos/631/04647205240/6310464720524011092023104934.jpeg</v>
      </c>
      <c r="G2044" s="5" t="str">
        <f>HYPERLINK("https://dpmzos25m8ivg.cloudfront.net/Documentos/631/04647205240/6310464720524011092023104948.jpeg","https://dpmzos25m8ivg.cloudfront.net/Documentos/631/04647205240/6310464720524011092023104948.jpeg")</f>
        <v>https://dpmzos25m8ivg.cloudfront.net/Documentos/631/04647205240/6310464720524011092023104948.jpeg</v>
      </c>
      <c r="H2044" s="4" t="s">
        <v>10624</v>
      </c>
    </row>
    <row r="2045" spans="1:8" x14ac:dyDescent="0.25">
      <c r="A2045" s="2" t="s">
        <v>2059</v>
      </c>
      <c r="B2045" s="3"/>
      <c r="C2045" s="3"/>
      <c r="D2045" s="3"/>
      <c r="E2045" s="4" t="str">
        <f>HYPERLINK("https://dpmzos25m8ivg.cloudfront.net/Documentos/631/04647315185/6310464731518505092023150046.jpeg","https://dpmzos25m8ivg.cloudfront.net/Documentos/631/04647315185/6310464731518505092023150046.jpeg")</f>
        <v>https://dpmzos25m8ivg.cloudfront.net/Documentos/631/04647315185/6310464731518505092023150046.jpeg</v>
      </c>
      <c r="F2045" s="5" t="str">
        <f>HYPERLINK("https://dpmzos25m8ivg.cloudfront.net/Documentos/631/04647315185/6310464731518505092023150113.jpeg","https://dpmzos25m8ivg.cloudfront.net/Documentos/631/04647315185/6310464731518505092023150113.jpeg")</f>
        <v>https://dpmzos25m8ivg.cloudfront.net/Documentos/631/04647315185/6310464731518505092023150113.jpeg</v>
      </c>
      <c r="G2045" s="5" t="str">
        <f>HYPERLINK("https://dpmzos25m8ivg.cloudfront.net/Documentos/631/04647315185/6310464731518505092023150124.jpeg","https://dpmzos25m8ivg.cloudfront.net/Documentos/631/04647315185/6310464731518505092023150124.jpeg")</f>
        <v>https://dpmzos25m8ivg.cloudfront.net/Documentos/631/04647315185/6310464731518505092023150124.jpeg</v>
      </c>
      <c r="H2045" s="4" t="s">
        <v>10625</v>
      </c>
    </row>
    <row r="2046" spans="1:8" x14ac:dyDescent="0.25">
      <c r="A2046" s="2" t="s">
        <v>2060</v>
      </c>
      <c r="B2046" s="3"/>
      <c r="C2046" s="3"/>
      <c r="D2046" s="3"/>
      <c r="E2046" s="4" t="str">
        <f>HYPERLINK("https://dpmzos25m8ivg.cloudfront.net/Documentos/631/04647871142/6310464787114211092023161737.pdf","https://dpmzos25m8ivg.cloudfront.net/Documentos/631/04647871142/6310464787114211092023161737.pdf")</f>
        <v>https://dpmzos25m8ivg.cloudfront.net/Documentos/631/04647871142/6310464787114211092023161737.pdf</v>
      </c>
      <c r="F2046" s="5" t="str">
        <f>HYPERLINK("https://dpmzos25m8ivg.cloudfront.net/Documentos/631/04647871142/6310464787114211092023161747.pdf","https://dpmzos25m8ivg.cloudfront.net/Documentos/631/04647871142/6310464787114211092023161747.pdf")</f>
        <v>https://dpmzos25m8ivg.cloudfront.net/Documentos/631/04647871142/6310464787114211092023161747.pdf</v>
      </c>
      <c r="G2046" s="5" t="str">
        <f>HYPERLINK("https://dpmzos25m8ivg.cloudfront.net/Documentos/631/04647871142/6310464787114211092023161759.pdf","https://dpmzos25m8ivg.cloudfront.net/Documentos/631/04647871142/6310464787114211092023161759.pdf")</f>
        <v>https://dpmzos25m8ivg.cloudfront.net/Documentos/631/04647871142/6310464787114211092023161759.pdf</v>
      </c>
      <c r="H2046" s="4" t="s">
        <v>10626</v>
      </c>
    </row>
    <row r="2047" spans="1:8" x14ac:dyDescent="0.25">
      <c r="A2047" s="2" t="s">
        <v>2061</v>
      </c>
      <c r="B2047" s="3" t="s">
        <v>308</v>
      </c>
      <c r="C2047" s="3"/>
      <c r="D2047" s="3"/>
      <c r="E2047" s="4" t="str">
        <f>HYPERLINK("https://dpmzos25m8ivg.cloudfront.net/Documentos/631/04649112494/6310464911249407092023133018.jpg","https://dpmzos25m8ivg.cloudfront.net/Documentos/631/04649112494/6310464911249407092023133018.jpg")</f>
        <v>https://dpmzos25m8ivg.cloudfront.net/Documentos/631/04649112494/6310464911249407092023133018.jpg</v>
      </c>
      <c r="F2047" s="5" t="str">
        <f>HYPERLINK("https://dpmzos25m8ivg.cloudfront.net/Documentos/631/04649112494/6310464911249407092023133033.jpg","https://dpmzos25m8ivg.cloudfront.net/Documentos/631/04649112494/6310464911249407092023133033.jpg")</f>
        <v>https://dpmzos25m8ivg.cloudfront.net/Documentos/631/04649112494/6310464911249407092023133033.jpg</v>
      </c>
      <c r="G2047" s="5" t="str">
        <f>HYPERLINK("https://dpmzos25m8ivg.cloudfront.net/Documentos/631/04649112494/6310464911249407092023133127.jpg","https://dpmzos25m8ivg.cloudfront.net/Documentos/631/04649112494/6310464911249407092023133127.jpg")</f>
        <v>https://dpmzos25m8ivg.cloudfront.net/Documentos/631/04649112494/6310464911249407092023133127.jpg</v>
      </c>
      <c r="H2047" s="4" t="s">
        <v>10627</v>
      </c>
    </row>
    <row r="2048" spans="1:8" x14ac:dyDescent="0.25">
      <c r="A2048" s="2" t="s">
        <v>2062</v>
      </c>
      <c r="B2048" s="3"/>
      <c r="C2048" s="3"/>
      <c r="D2048" s="3"/>
      <c r="E2048" s="4" t="str">
        <f>HYPERLINK("https://dpmzos25m8ivg.cloudfront.net/Documentos/631/04650945119/6310465094511906092023142114.pdf","https://dpmzos25m8ivg.cloudfront.net/Documentos/631/04650945119/6310465094511906092023142114.pdf")</f>
        <v>https://dpmzos25m8ivg.cloudfront.net/Documentos/631/04650945119/6310465094511906092023142114.pdf</v>
      </c>
      <c r="F2048" s="5" t="str">
        <f>HYPERLINK("https://dpmzos25m8ivg.cloudfront.net/Documentos/631/04650945119/6310465094511906092023142140.pdf","https://dpmzos25m8ivg.cloudfront.net/Documentos/631/04650945119/6310465094511906092023142140.pdf")</f>
        <v>https://dpmzos25m8ivg.cloudfront.net/Documentos/631/04650945119/6310465094511906092023142140.pdf</v>
      </c>
      <c r="G2048" s="5" t="str">
        <f>HYPERLINK("https://dpmzos25m8ivg.cloudfront.net/Documentos/631/04650945119/6310465094511906092023142158.pdf","https://dpmzos25m8ivg.cloudfront.net/Documentos/631/04650945119/6310465094511906092023142158.pdf")</f>
        <v>https://dpmzos25m8ivg.cloudfront.net/Documentos/631/04650945119/6310465094511906092023142158.pdf</v>
      </c>
      <c r="H2048" s="4" t="s">
        <v>10628</v>
      </c>
    </row>
    <row r="2049" spans="1:8" x14ac:dyDescent="0.25">
      <c r="A2049" s="2" t="s">
        <v>2063</v>
      </c>
      <c r="B2049" s="3" t="s">
        <v>312</v>
      </c>
      <c r="C2049" s="3"/>
      <c r="D2049" s="3"/>
      <c r="E2049" s="4" t="str">
        <f>HYPERLINK("https://dpmzos25m8ivg.cloudfront.net/Documentos/631/04652850409/6310465285040911092023102755.pdf","https://dpmzos25m8ivg.cloudfront.net/Documentos/631/04652850409/6310465285040911092023102755.pdf")</f>
        <v>https://dpmzos25m8ivg.cloudfront.net/Documentos/631/04652850409/6310465285040911092023102755.pdf</v>
      </c>
      <c r="F2049" s="5" t="str">
        <f>HYPERLINK("https://dpmzos25m8ivg.cloudfront.net/Documentos/631/04652850409/6310465285040911092023102813.pdf","https://dpmzos25m8ivg.cloudfront.net/Documentos/631/04652850409/6310465285040911092023102813.pdf")</f>
        <v>https://dpmzos25m8ivg.cloudfront.net/Documentos/631/04652850409/6310465285040911092023102813.pdf</v>
      </c>
      <c r="G2049" s="5" t="str">
        <f>HYPERLINK("https://dpmzos25m8ivg.cloudfront.net/Documentos/631/04652850409/6310465285040911092023102830.pdf","https://dpmzos25m8ivg.cloudfront.net/Documentos/631/04652850409/6310465285040911092023102830.pdf")</f>
        <v>https://dpmzos25m8ivg.cloudfront.net/Documentos/631/04652850409/6310465285040911092023102830.pdf</v>
      </c>
      <c r="H2049" s="4" t="s">
        <v>10629</v>
      </c>
    </row>
    <row r="2050" spans="1:8" x14ac:dyDescent="0.25">
      <c r="A2050" s="2" t="s">
        <v>2064</v>
      </c>
      <c r="B2050" s="3" t="s">
        <v>308</v>
      </c>
      <c r="C2050" s="3"/>
      <c r="D2050" s="3"/>
      <c r="E2050" s="4" t="str">
        <f>HYPERLINK("https://dpmzos25m8ivg.cloudfront.net/Documentos/631/04654979182/6310465497918211092023154355.pdf","https://dpmzos25m8ivg.cloudfront.net/Documentos/631/04654979182/6310465497918211092023154355.pdf")</f>
        <v>https://dpmzos25m8ivg.cloudfront.net/Documentos/631/04654979182/6310465497918211092023154355.pdf</v>
      </c>
      <c r="F2050" s="5" t="str">
        <f>HYPERLINK("https://dpmzos25m8ivg.cloudfront.net/Documentos/631/04654979182/6310465497918211092023154428.pdf","https://dpmzos25m8ivg.cloudfront.net/Documentos/631/04654979182/6310465497918211092023154428.pdf")</f>
        <v>https://dpmzos25m8ivg.cloudfront.net/Documentos/631/04654979182/6310465497918211092023154428.pdf</v>
      </c>
      <c r="G2050" s="5" t="str">
        <f>HYPERLINK("https://dpmzos25m8ivg.cloudfront.net/Documentos/631/04654979182/6310465497918211092023154436.pdf","https://dpmzos25m8ivg.cloudfront.net/Documentos/631/04654979182/6310465497918211092023154436.pdf")</f>
        <v>https://dpmzos25m8ivg.cloudfront.net/Documentos/631/04654979182/6310465497918211092023154436.pdf</v>
      </c>
      <c r="H2050" s="4" t="s">
        <v>10630</v>
      </c>
    </row>
    <row r="2051" spans="1:8" x14ac:dyDescent="0.25">
      <c r="A2051" s="2" t="s">
        <v>2065</v>
      </c>
      <c r="B2051" s="3"/>
      <c r="C2051" s="3"/>
      <c r="D2051" s="3"/>
      <c r="E2051" s="4" t="str">
        <f>HYPERLINK("https://dpmzos25m8ivg.cloudfront.net/Documentos/631/04657825666/6310465782566611092023162341.pdf","https://dpmzos25m8ivg.cloudfront.net/Documentos/631/04657825666/6310465782566611092023162341.pdf")</f>
        <v>https://dpmzos25m8ivg.cloudfront.net/Documentos/631/04657825666/6310465782566611092023162341.pdf</v>
      </c>
      <c r="F2051" s="5" t="str">
        <f>HYPERLINK("https://dpmzos25m8ivg.cloudfront.net/Documentos/631/04657825666/6310465782566611092023162357.pdf","https://dpmzos25m8ivg.cloudfront.net/Documentos/631/04657825666/6310465782566611092023162357.pdf")</f>
        <v>https://dpmzos25m8ivg.cloudfront.net/Documentos/631/04657825666/6310465782566611092023162357.pdf</v>
      </c>
      <c r="G2051" s="5" t="str">
        <f>HYPERLINK("https://dpmzos25m8ivg.cloudfront.net/Documentos/631/04657825666/6310465782566611092023162415.pdf","https://dpmzos25m8ivg.cloudfront.net/Documentos/631/04657825666/6310465782566611092023162415.pdf")</f>
        <v>https://dpmzos25m8ivg.cloudfront.net/Documentos/631/04657825666/6310465782566611092023162415.pdf</v>
      </c>
      <c r="H2051" s="4" t="s">
        <v>10631</v>
      </c>
    </row>
    <row r="2052" spans="1:8" x14ac:dyDescent="0.25">
      <c r="A2052" s="2" t="s">
        <v>2066</v>
      </c>
      <c r="B2052" s="3" t="s">
        <v>90</v>
      </c>
      <c r="C2052" s="3"/>
      <c r="D2052" s="3"/>
      <c r="E2052" s="4" t="str">
        <f>HYPERLINK("https://dpmzos25m8ivg.cloudfront.net/Documentos/631/04657939599/6310465793959910092023202327.pdf","https://dpmzos25m8ivg.cloudfront.net/Documentos/631/04657939599/6310465793959910092023202327.pdf")</f>
        <v>https://dpmzos25m8ivg.cloudfront.net/Documentos/631/04657939599/6310465793959910092023202327.pdf</v>
      </c>
      <c r="F2052" s="5" t="str">
        <f>HYPERLINK("https://dpmzos25m8ivg.cloudfront.net/Documentos/631/04657939599/6310465793959910092023202337.pdf","https://dpmzos25m8ivg.cloudfront.net/Documentos/631/04657939599/6310465793959910092023202337.pdf")</f>
        <v>https://dpmzos25m8ivg.cloudfront.net/Documentos/631/04657939599/6310465793959910092023202337.pdf</v>
      </c>
      <c r="G2052" s="5" t="str">
        <f>HYPERLINK("https://dpmzos25m8ivg.cloudfront.net/Documentos/631/04657939599/6310465793959910092023202348.pdf","https://dpmzos25m8ivg.cloudfront.net/Documentos/631/04657939599/6310465793959910092023202348.pdf")</f>
        <v>https://dpmzos25m8ivg.cloudfront.net/Documentos/631/04657939599/6310465793959910092023202348.pdf</v>
      </c>
      <c r="H2052" s="4" t="s">
        <v>10632</v>
      </c>
    </row>
    <row r="2053" spans="1:8" x14ac:dyDescent="0.25">
      <c r="A2053" s="2" t="s">
        <v>2067</v>
      </c>
      <c r="B2053" s="3" t="s">
        <v>308</v>
      </c>
      <c r="C2053" s="3"/>
      <c r="D2053" s="3"/>
      <c r="E2053" s="4" t="str">
        <f>HYPERLINK("https://dpmzos25m8ivg.cloudfront.net/Documentos/631/04658324156/6310465832415607092023094701.pdf","https://dpmzos25m8ivg.cloudfront.net/Documentos/631/04658324156/6310465832415607092023094701.pdf")</f>
        <v>https://dpmzos25m8ivg.cloudfront.net/Documentos/631/04658324156/6310465832415607092023094701.pdf</v>
      </c>
      <c r="F2053" s="5" t="str">
        <f>HYPERLINK("https://dpmzos25m8ivg.cloudfront.net/Documentos/631/04658324156/6310465832415607092023094713.pdf","https://dpmzos25m8ivg.cloudfront.net/Documentos/631/04658324156/6310465832415607092023094713.pdf")</f>
        <v>https://dpmzos25m8ivg.cloudfront.net/Documentos/631/04658324156/6310465832415607092023094713.pdf</v>
      </c>
      <c r="G2053" s="5" t="str">
        <f>HYPERLINK("https://dpmzos25m8ivg.cloudfront.net/Documentos/631/04658324156/6310465832415607092023094724.pdf","https://dpmzos25m8ivg.cloudfront.net/Documentos/631/04658324156/6310465832415607092023094724.pdf")</f>
        <v>https://dpmzos25m8ivg.cloudfront.net/Documentos/631/04658324156/6310465832415607092023094724.pdf</v>
      </c>
      <c r="H2053" s="4" t="s">
        <v>10633</v>
      </c>
    </row>
    <row r="2054" spans="1:8" x14ac:dyDescent="0.25">
      <c r="A2054" s="2" t="s">
        <v>2068</v>
      </c>
      <c r="B2054" s="3" t="s">
        <v>197</v>
      </c>
      <c r="C2054" s="3"/>
      <c r="D2054" s="3"/>
      <c r="E2054" s="4" t="str">
        <f>HYPERLINK("https://dpmzos25m8ivg.cloudfront.net/Documentos/631/04659541118/6310465954111808092023113813.pdf","https://dpmzos25m8ivg.cloudfront.net/Documentos/631/04659541118/6310465954111808092023113813.pdf")</f>
        <v>https://dpmzos25m8ivg.cloudfront.net/Documentos/631/04659541118/6310465954111808092023113813.pdf</v>
      </c>
      <c r="F2054" s="5" t="str">
        <f>HYPERLINK("https://dpmzos25m8ivg.cloudfront.net/Documentos/631/04659541118/6310465954111808092023113837.pdf","https://dpmzos25m8ivg.cloudfront.net/Documentos/631/04659541118/6310465954111808092023113837.pdf")</f>
        <v>https://dpmzos25m8ivg.cloudfront.net/Documentos/631/04659541118/6310465954111808092023113837.pdf</v>
      </c>
      <c r="G2054" s="5" t="str">
        <f>HYPERLINK("https://dpmzos25m8ivg.cloudfront.net/Documentos/631/04659541118/6310465954111808092023113859.pdf","https://dpmzos25m8ivg.cloudfront.net/Documentos/631/04659541118/6310465954111808092023113859.pdf")</f>
        <v>https://dpmzos25m8ivg.cloudfront.net/Documentos/631/04659541118/6310465954111808092023113859.pdf</v>
      </c>
      <c r="H2054" s="4" t="s">
        <v>10634</v>
      </c>
    </row>
    <row r="2055" spans="1:8" x14ac:dyDescent="0.25">
      <c r="A2055" s="2" t="s">
        <v>2069</v>
      </c>
      <c r="B2055" s="3"/>
      <c r="C2055" s="3"/>
      <c r="D2055" s="3"/>
      <c r="E2055" s="4" t="str">
        <f>HYPERLINK("https://dpmzos25m8ivg.cloudfront.net/Documentos/631/04661236394/6310466123639405092023143720.pdf","https://dpmzos25m8ivg.cloudfront.net/Documentos/631/04661236394/6310466123639405092023143720.pdf")</f>
        <v>https://dpmzos25m8ivg.cloudfront.net/Documentos/631/04661236394/6310466123639405092023143720.pdf</v>
      </c>
      <c r="F2055" s="5" t="str">
        <f>HYPERLINK("https://dpmzos25m8ivg.cloudfront.net/Documentos/631/04661236394/6310466123639405092023143753.pdf","https://dpmzos25m8ivg.cloudfront.net/Documentos/631/04661236394/6310466123639405092023143753.pdf")</f>
        <v>https://dpmzos25m8ivg.cloudfront.net/Documentos/631/04661236394/6310466123639405092023143753.pdf</v>
      </c>
      <c r="G2055" s="5" t="str">
        <f>HYPERLINK("https://dpmzos25m8ivg.cloudfront.net/Documentos/631/04661236394/6310466123639405092023143810.pdf","https://dpmzos25m8ivg.cloudfront.net/Documentos/631/04661236394/6310466123639405092023143810.pdf")</f>
        <v>https://dpmzos25m8ivg.cloudfront.net/Documentos/631/04661236394/6310466123639405092023143810.pdf</v>
      </c>
      <c r="H2055" s="4" t="s">
        <v>10635</v>
      </c>
    </row>
    <row r="2056" spans="1:8" x14ac:dyDescent="0.25">
      <c r="A2056" s="2" t="s">
        <v>2070</v>
      </c>
      <c r="B2056" s="3" t="s">
        <v>90</v>
      </c>
      <c r="C2056" s="3"/>
      <c r="D2056" s="3"/>
      <c r="E2056" s="4" t="str">
        <f>HYPERLINK("https://dpmzos25m8ivg.cloudfront.net/Documentos/631/04664128355/6310466412835509092023170052.jpeg","https://dpmzos25m8ivg.cloudfront.net/Documentos/631/04664128355/6310466412835509092023170052.jpeg")</f>
        <v>https://dpmzos25m8ivg.cloudfront.net/Documentos/631/04664128355/6310466412835509092023170052.jpeg</v>
      </c>
      <c r="F2056" s="5" t="str">
        <f>HYPERLINK("https://dpmzos25m8ivg.cloudfront.net/Documentos/631/04664128355/6310466412835509092023170104.jpeg","https://dpmzos25m8ivg.cloudfront.net/Documentos/631/04664128355/6310466412835509092023170104.jpeg")</f>
        <v>https://dpmzos25m8ivg.cloudfront.net/Documentos/631/04664128355/6310466412835509092023170104.jpeg</v>
      </c>
      <c r="G2056" s="5" t="str">
        <f>HYPERLINK("https://dpmzos25m8ivg.cloudfront.net/Documentos/631/04664128355/6310466412835509092023170144.jpeg","https://dpmzos25m8ivg.cloudfront.net/Documentos/631/04664128355/6310466412835509092023170144.jpeg")</f>
        <v>https://dpmzos25m8ivg.cloudfront.net/Documentos/631/04664128355/6310466412835509092023170144.jpeg</v>
      </c>
      <c r="H2056" s="4" t="s">
        <v>10636</v>
      </c>
    </row>
    <row r="2057" spans="1:8" x14ac:dyDescent="0.25">
      <c r="A2057" s="2" t="s">
        <v>2071</v>
      </c>
      <c r="B2057" s="3"/>
      <c r="C2057" s="3"/>
      <c r="D2057" s="3"/>
      <c r="E2057" s="4" t="str">
        <f>HYPERLINK("https://dpmzos25m8ivg.cloudfront.net/Documentos/631/04665711780/6310466571178005092023150105.jpeg","https://dpmzos25m8ivg.cloudfront.net/Documentos/631/04665711780/6310466571178005092023150105.jpeg")</f>
        <v>https://dpmzos25m8ivg.cloudfront.net/Documentos/631/04665711780/6310466571178005092023150105.jpeg</v>
      </c>
      <c r="F2057" s="5" t="str">
        <f>HYPERLINK("https://dpmzos25m8ivg.cloudfront.net/Documentos/631/04665711780/6310466571178005092023150135.jpeg","https://dpmzos25m8ivg.cloudfront.net/Documentos/631/04665711780/6310466571178005092023150135.jpeg")</f>
        <v>https://dpmzos25m8ivg.cloudfront.net/Documentos/631/04665711780/6310466571178005092023150135.jpeg</v>
      </c>
      <c r="G2057" s="5" t="str">
        <f>HYPERLINK("https://dpmzos25m8ivg.cloudfront.net/Documentos/631/04665711780/6310466571178005092023150152.jpeg","https://dpmzos25m8ivg.cloudfront.net/Documentos/631/04665711780/6310466571178005092023150152.jpeg")</f>
        <v>https://dpmzos25m8ivg.cloudfront.net/Documentos/631/04665711780/6310466571178005092023150152.jpeg</v>
      </c>
      <c r="H2057" s="4" t="s">
        <v>10637</v>
      </c>
    </row>
    <row r="2058" spans="1:8" x14ac:dyDescent="0.25">
      <c r="A2058" s="2" t="s">
        <v>2072</v>
      </c>
      <c r="B2058" s="3"/>
      <c r="C2058" s="3"/>
      <c r="D2058" s="3"/>
      <c r="E2058" s="4" t="str">
        <f>HYPERLINK("https://dpmzos25m8ivg.cloudfront.net/Documentos/631/04667256397/6310466725639711092023160025.pdf","https://dpmzos25m8ivg.cloudfront.net/Documentos/631/04667256397/6310466725639711092023160025.pdf")</f>
        <v>https://dpmzos25m8ivg.cloudfront.net/Documentos/631/04667256397/6310466725639711092023160025.pdf</v>
      </c>
      <c r="F2058" s="5" t="str">
        <f>HYPERLINK("https://dpmzos25m8ivg.cloudfront.net/Documentos/631/04667256397/6310466725639711092023160052.pdf","https://dpmzos25m8ivg.cloudfront.net/Documentos/631/04667256397/6310466725639711092023160052.pdf")</f>
        <v>https://dpmzos25m8ivg.cloudfront.net/Documentos/631/04667256397/6310466725639711092023160052.pdf</v>
      </c>
      <c r="G2058" s="5" t="str">
        <f>HYPERLINK("https://dpmzos25m8ivg.cloudfront.net/Documentos/631/04667256397/6310466725639711092023160104.pdf","https://dpmzos25m8ivg.cloudfront.net/Documentos/631/04667256397/6310466725639711092023160104.pdf")</f>
        <v>https://dpmzos25m8ivg.cloudfront.net/Documentos/631/04667256397/6310466725639711092023160104.pdf</v>
      </c>
      <c r="H2058" s="4" t="s">
        <v>10638</v>
      </c>
    </row>
    <row r="2059" spans="1:8" x14ac:dyDescent="0.25">
      <c r="A2059" s="2" t="s">
        <v>2073</v>
      </c>
      <c r="B2059" s="3"/>
      <c r="C2059" s="3"/>
      <c r="D2059" s="3"/>
      <c r="E2059" s="4" t="str">
        <f>HYPERLINK("https://dpmzos25m8ivg.cloudfront.net/Documentos/631/04667647159/6310466764715911092023132603.pdf","https://dpmzos25m8ivg.cloudfront.net/Documentos/631/04667647159/6310466764715911092023132603.pdf")</f>
        <v>https://dpmzos25m8ivg.cloudfront.net/Documentos/631/04667647159/6310466764715911092023132603.pdf</v>
      </c>
      <c r="F2059" s="5" t="str">
        <f>HYPERLINK("https://dpmzos25m8ivg.cloudfront.net/Documentos/631/04667647159/6310466764715911092023132626.pdf","https://dpmzos25m8ivg.cloudfront.net/Documentos/631/04667647159/6310466764715911092023132626.pdf")</f>
        <v>https://dpmzos25m8ivg.cloudfront.net/Documentos/631/04667647159/6310466764715911092023132626.pdf</v>
      </c>
      <c r="G2059" s="5" t="str">
        <f>HYPERLINK("https://dpmzos25m8ivg.cloudfront.net/Documentos/631/04667647159/6310466764715911092023132644.pdf","https://dpmzos25m8ivg.cloudfront.net/Documentos/631/04667647159/6310466764715911092023132644.pdf")</f>
        <v>https://dpmzos25m8ivg.cloudfront.net/Documentos/631/04667647159/6310466764715911092023132644.pdf</v>
      </c>
      <c r="H2059" s="4" t="s">
        <v>10639</v>
      </c>
    </row>
    <row r="2060" spans="1:8" x14ac:dyDescent="0.25">
      <c r="A2060" s="2" t="s">
        <v>2074</v>
      </c>
      <c r="B2060" s="3"/>
      <c r="C2060" s="3"/>
      <c r="D2060" s="3"/>
      <c r="E2060" s="4" t="str">
        <f>HYPERLINK("https://dpmzos25m8ivg.cloudfront.net/Documentos/631/04669435558/6310466943555811092023144514.pdf","https://dpmzos25m8ivg.cloudfront.net/Documentos/631/04669435558/6310466943555811092023144514.pdf")</f>
        <v>https://dpmzos25m8ivg.cloudfront.net/Documentos/631/04669435558/6310466943555811092023144514.pdf</v>
      </c>
      <c r="F2060" s="5" t="str">
        <f>HYPERLINK("https://dpmzos25m8ivg.cloudfront.net/Documentos/631/04669435558/6310466943555811092023144545.pdf","https://dpmzos25m8ivg.cloudfront.net/Documentos/631/04669435558/6310466943555811092023144545.pdf")</f>
        <v>https://dpmzos25m8ivg.cloudfront.net/Documentos/631/04669435558/6310466943555811092023144545.pdf</v>
      </c>
      <c r="G2060" s="5" t="str">
        <f>HYPERLINK("https://dpmzos25m8ivg.cloudfront.net/Documentos/631/04669435558/6310466943555811092023144555.pdf","https://dpmzos25m8ivg.cloudfront.net/Documentos/631/04669435558/6310466943555811092023144555.pdf")</f>
        <v>https://dpmzos25m8ivg.cloudfront.net/Documentos/631/04669435558/6310466943555811092023144555.pdf</v>
      </c>
      <c r="H2060" s="4" t="s">
        <v>10640</v>
      </c>
    </row>
    <row r="2061" spans="1:8" x14ac:dyDescent="0.25">
      <c r="A2061" s="2" t="s">
        <v>2075</v>
      </c>
      <c r="B2061" s="3"/>
      <c r="C2061" s="3"/>
      <c r="D2061" s="3"/>
      <c r="E2061" s="4" t="str">
        <f>HYPERLINK("https://dpmzos25m8ivg.cloudfront.net/Documentos/631/04675111874/6310467511187408092023113238.pdf","https://dpmzos25m8ivg.cloudfront.net/Documentos/631/04675111874/6310467511187408092023113238.pdf")</f>
        <v>https://dpmzos25m8ivg.cloudfront.net/Documentos/631/04675111874/6310467511187408092023113238.pdf</v>
      </c>
      <c r="F2061" s="5" t="str">
        <f>HYPERLINK("https://dpmzos25m8ivg.cloudfront.net/Documentos/631/04675111874/6310467511187408092023113252.pdf","https://dpmzos25m8ivg.cloudfront.net/Documentos/631/04675111874/6310467511187408092023113252.pdf")</f>
        <v>https://dpmzos25m8ivg.cloudfront.net/Documentos/631/04675111874/6310467511187408092023113252.pdf</v>
      </c>
      <c r="G2061" s="5" t="str">
        <f>HYPERLINK("https://dpmzos25m8ivg.cloudfront.net/Documentos/631/04675111874/6310467511187408092023113305.pdf","https://dpmzos25m8ivg.cloudfront.net/Documentos/631/04675111874/6310467511187408092023113305.pdf")</f>
        <v>https://dpmzos25m8ivg.cloudfront.net/Documentos/631/04675111874/6310467511187408092023113305.pdf</v>
      </c>
      <c r="H2061" s="4" t="s">
        <v>10641</v>
      </c>
    </row>
    <row r="2062" spans="1:8" x14ac:dyDescent="0.25">
      <c r="A2062" s="2" t="s">
        <v>2076</v>
      </c>
      <c r="B2062" s="3"/>
      <c r="C2062" s="3"/>
      <c r="D2062" s="3"/>
      <c r="E2062" s="4" t="str">
        <f>HYPERLINK("https://dpmzos25m8ivg.cloudfront.net/Documentos/631/04678551379/6310467855137905092023114634.pdf","https://dpmzos25m8ivg.cloudfront.net/Documentos/631/04678551379/6310467855137905092023114634.pdf")</f>
        <v>https://dpmzos25m8ivg.cloudfront.net/Documentos/631/04678551379/6310467855137905092023114634.pdf</v>
      </c>
      <c r="F2062" s="5" t="str">
        <f>HYPERLINK("https://dpmzos25m8ivg.cloudfront.net/Documentos/631/04678551379/6310467855137905092023114653.pdf","https://dpmzos25m8ivg.cloudfront.net/Documentos/631/04678551379/6310467855137905092023114653.pdf")</f>
        <v>https://dpmzos25m8ivg.cloudfront.net/Documentos/631/04678551379/6310467855137905092023114653.pdf</v>
      </c>
      <c r="G2062" s="5" t="str">
        <f>HYPERLINK("https://dpmzos25m8ivg.cloudfront.net/Documentos/631/04678551379/6310467855137905092023114703.pdf","https://dpmzos25m8ivg.cloudfront.net/Documentos/631/04678551379/6310467855137905092023114703.pdf")</f>
        <v>https://dpmzos25m8ivg.cloudfront.net/Documentos/631/04678551379/6310467855137905092023114703.pdf</v>
      </c>
      <c r="H2062" s="4" t="s">
        <v>10642</v>
      </c>
    </row>
    <row r="2063" spans="1:8" x14ac:dyDescent="0.25">
      <c r="A2063" s="2" t="s">
        <v>2077</v>
      </c>
      <c r="B2063" s="3" t="s">
        <v>8</v>
      </c>
      <c r="C2063" s="3"/>
      <c r="D2063" s="3"/>
      <c r="E2063" s="4" t="str">
        <f>HYPERLINK("https://dpmzos25m8ivg.cloudfront.net/Documentos/631/04679817364/6310467981736410092023143137.pdf","https://dpmzos25m8ivg.cloudfront.net/Documentos/631/04679817364/6310467981736410092023143137.pdf")</f>
        <v>https://dpmzos25m8ivg.cloudfront.net/Documentos/631/04679817364/6310467981736410092023143137.pdf</v>
      </c>
      <c r="F2063" s="5" t="str">
        <f>HYPERLINK("https://dpmzos25m8ivg.cloudfront.net/Documentos/631/04679817364/6310467981736410092023143149.pdf","https://dpmzos25m8ivg.cloudfront.net/Documentos/631/04679817364/6310467981736410092023143149.pdf")</f>
        <v>https://dpmzos25m8ivg.cloudfront.net/Documentos/631/04679817364/6310467981736410092023143149.pdf</v>
      </c>
      <c r="G2063" s="5" t="str">
        <f>HYPERLINK("https://dpmzos25m8ivg.cloudfront.net/Documentos/631/04679817364/6310467981736410092023143202.pdf","https://dpmzos25m8ivg.cloudfront.net/Documentos/631/04679817364/6310467981736410092023143202.pdf")</f>
        <v>https://dpmzos25m8ivg.cloudfront.net/Documentos/631/04679817364/6310467981736410092023143202.pdf</v>
      </c>
      <c r="H2063" s="4" t="s">
        <v>10643</v>
      </c>
    </row>
    <row r="2064" spans="1:8" x14ac:dyDescent="0.25">
      <c r="A2064" s="2" t="s">
        <v>2078</v>
      </c>
      <c r="B2064" s="3"/>
      <c r="C2064" s="3"/>
      <c r="D2064" s="3"/>
      <c r="E2064" s="4" t="str">
        <f>HYPERLINK("https://dpmzos25m8ivg.cloudfront.net/Documentos/631/04680009500/6310468000950011092023134201.pdf","https://dpmzos25m8ivg.cloudfront.net/Documentos/631/04680009500/6310468000950011092023134201.pdf")</f>
        <v>https://dpmzos25m8ivg.cloudfront.net/Documentos/631/04680009500/6310468000950011092023134201.pdf</v>
      </c>
      <c r="F2064" s="5" t="str">
        <f>HYPERLINK("https://dpmzos25m8ivg.cloudfront.net/Documentos/631/04680009500/6310468000950011092023134213.pdf","https://dpmzos25m8ivg.cloudfront.net/Documentos/631/04680009500/6310468000950011092023134213.pdf")</f>
        <v>https://dpmzos25m8ivg.cloudfront.net/Documentos/631/04680009500/6310468000950011092023134213.pdf</v>
      </c>
      <c r="G2064" s="5" t="str">
        <f>HYPERLINK("https://dpmzos25m8ivg.cloudfront.net/Documentos/631/04680009500/6310468000950011092023134227.pdf","https://dpmzos25m8ivg.cloudfront.net/Documentos/631/04680009500/6310468000950011092023134227.pdf")</f>
        <v>https://dpmzos25m8ivg.cloudfront.net/Documentos/631/04680009500/6310468000950011092023134227.pdf</v>
      </c>
      <c r="H2064" s="4" t="s">
        <v>10644</v>
      </c>
    </row>
    <row r="2065" spans="1:8" x14ac:dyDescent="0.25">
      <c r="A2065" s="2" t="s">
        <v>2079</v>
      </c>
      <c r="B2065" s="3"/>
      <c r="C2065" s="3"/>
      <c r="D2065" s="3"/>
      <c r="E2065" s="4" t="str">
        <f>HYPERLINK("https://dpmzos25m8ivg.cloudfront.net/Documentos/631/04681813346/6310468181334614092023144728.pdf","https://dpmzos25m8ivg.cloudfront.net/Documentos/631/04681813346/6310468181334614092023144728.pdf")</f>
        <v>https://dpmzos25m8ivg.cloudfront.net/Documentos/631/04681813346/6310468181334614092023144728.pdf</v>
      </c>
      <c r="F2065" s="5" t="str">
        <f>HYPERLINK("https://dpmzos25m8ivg.cloudfront.net/Documentos/631/04681813346/6310468181334614092023144804.pdf","https://dpmzos25m8ivg.cloudfront.net/Documentos/631/04681813346/6310468181334614092023144804.pdf")</f>
        <v>https://dpmzos25m8ivg.cloudfront.net/Documentos/631/04681813346/6310468181334614092023144804.pdf</v>
      </c>
      <c r="G2065" s="5" t="str">
        <f>HYPERLINK("https://dpmzos25m8ivg.cloudfront.net/Documentos/631/04681813346/6310468181334614092023144820.pdf","https://dpmzos25m8ivg.cloudfront.net/Documentos/631/04681813346/6310468181334614092023144820.pdf")</f>
        <v>https://dpmzos25m8ivg.cloudfront.net/Documentos/631/04681813346/6310468181334614092023144820.pdf</v>
      </c>
      <c r="H2065" s="4" t="s">
        <v>10645</v>
      </c>
    </row>
    <row r="2066" spans="1:8" x14ac:dyDescent="0.25">
      <c r="A2066" s="2" t="s">
        <v>2080</v>
      </c>
      <c r="B2066" s="3"/>
      <c r="C2066" s="3"/>
      <c r="D2066" s="3"/>
      <c r="E2066" s="4" t="str">
        <f>HYPERLINK("https://dpmzos25m8ivg.cloudfront.net/Documentos/631/04683850370/6310468385037006092023113134.jpeg","https://dpmzos25m8ivg.cloudfront.net/Documentos/631/04683850370/6310468385037006092023113134.jpeg")</f>
        <v>https://dpmzos25m8ivg.cloudfront.net/Documentos/631/04683850370/6310468385037006092023113134.jpeg</v>
      </c>
      <c r="F2066" s="5" t="str">
        <f>HYPERLINK("https://dpmzos25m8ivg.cloudfront.net/Documentos/631/04683850370/6310468385037006092023113144.jpeg","https://dpmzos25m8ivg.cloudfront.net/Documentos/631/04683850370/6310468385037006092023113144.jpeg")</f>
        <v>https://dpmzos25m8ivg.cloudfront.net/Documentos/631/04683850370/6310468385037006092023113144.jpeg</v>
      </c>
      <c r="G2066" s="5" t="str">
        <f>HYPERLINK("https://dpmzos25m8ivg.cloudfront.net/Documentos/631/04683850370/6310468385037006092023113155.jpeg","https://dpmzos25m8ivg.cloudfront.net/Documentos/631/04683850370/6310468385037006092023113155.jpeg")</f>
        <v>https://dpmzos25m8ivg.cloudfront.net/Documentos/631/04683850370/6310468385037006092023113155.jpeg</v>
      </c>
      <c r="H2066" s="4" t="s">
        <v>10646</v>
      </c>
    </row>
    <row r="2067" spans="1:8" x14ac:dyDescent="0.25">
      <c r="A2067" s="2" t="s">
        <v>2081</v>
      </c>
      <c r="B2067" s="3"/>
      <c r="C2067" s="3"/>
      <c r="D2067" s="3"/>
      <c r="E2067" s="4" t="str">
        <f>HYPERLINK("https://dpmzos25m8ivg.cloudfront.net/Documentos/631/04684309207/6310468430920705092023111249.pdf","https://dpmzos25m8ivg.cloudfront.net/Documentos/631/04684309207/6310468430920705092023111249.pdf")</f>
        <v>https://dpmzos25m8ivg.cloudfront.net/Documentos/631/04684309207/6310468430920705092023111249.pdf</v>
      </c>
      <c r="F2067" s="5" t="str">
        <f>HYPERLINK("https://dpmzos25m8ivg.cloudfront.net/Documentos/631/04684309207/6310468430920705092023111303.pdf","https://dpmzos25m8ivg.cloudfront.net/Documentos/631/04684309207/6310468430920705092023111303.pdf")</f>
        <v>https://dpmzos25m8ivg.cloudfront.net/Documentos/631/04684309207/6310468430920705092023111303.pdf</v>
      </c>
      <c r="G2067" s="5" t="str">
        <f>HYPERLINK("https://dpmzos25m8ivg.cloudfront.net/Documentos/631/04684309207/6310468430920705092023111316.pdf","https://dpmzos25m8ivg.cloudfront.net/Documentos/631/04684309207/6310468430920705092023111316.pdf")</f>
        <v>https://dpmzos25m8ivg.cloudfront.net/Documentos/631/04684309207/6310468430920705092023111316.pdf</v>
      </c>
      <c r="H2067" s="4" t="s">
        <v>10647</v>
      </c>
    </row>
    <row r="2068" spans="1:8" x14ac:dyDescent="0.25">
      <c r="A2068" s="2" t="s">
        <v>2082</v>
      </c>
      <c r="B2068" s="3"/>
      <c r="C2068" s="3"/>
      <c r="D2068" s="3"/>
      <c r="E2068" s="4" t="str">
        <f>HYPERLINK("https://dpmzos25m8ivg.cloudfront.net/Documentos/631/04687076548/6310468707654805092023173312.pdf","https://dpmzos25m8ivg.cloudfront.net/Documentos/631/04687076548/6310468707654805092023173312.pdf")</f>
        <v>https://dpmzos25m8ivg.cloudfront.net/Documentos/631/04687076548/6310468707654805092023173312.pdf</v>
      </c>
      <c r="F2068" s="5" t="str">
        <f>HYPERLINK("https://dpmzos25m8ivg.cloudfront.net/Documentos/631/04687076548/6310468707654805092023173350.pdf","https://dpmzos25m8ivg.cloudfront.net/Documentos/631/04687076548/6310468707654805092023173350.pdf")</f>
        <v>https://dpmzos25m8ivg.cloudfront.net/Documentos/631/04687076548/6310468707654805092023173350.pdf</v>
      </c>
      <c r="G2068" s="5" t="str">
        <f>HYPERLINK("https://dpmzos25m8ivg.cloudfront.net/Documentos/631/04687076548/6310468707654805092023173416.pdf","https://dpmzos25m8ivg.cloudfront.net/Documentos/631/04687076548/6310468707654805092023173416.pdf")</f>
        <v>https://dpmzos25m8ivg.cloudfront.net/Documentos/631/04687076548/6310468707654805092023173416.pdf</v>
      </c>
      <c r="H2068" s="4" t="s">
        <v>10648</v>
      </c>
    </row>
    <row r="2069" spans="1:8" x14ac:dyDescent="0.25">
      <c r="A2069" s="2" t="s">
        <v>2083</v>
      </c>
      <c r="B2069" s="3"/>
      <c r="C2069" s="3"/>
      <c r="D2069" s="3"/>
      <c r="E2069" s="4" t="str">
        <f>HYPERLINK("https://dpmzos25m8ivg.cloudfront.net/Documentos/631/04690791341/6310469079134111092023140824.jpg","https://dpmzos25m8ivg.cloudfront.net/Documentos/631/04690791341/6310469079134111092023140824.jpg")</f>
        <v>https://dpmzos25m8ivg.cloudfront.net/Documentos/631/04690791341/6310469079134111092023140824.jpg</v>
      </c>
      <c r="F2069" s="5" t="str">
        <f>HYPERLINK("https://dpmzos25m8ivg.cloudfront.net/Documentos/631/04690791341/6310469079134111092023140859.jpg","https://dpmzos25m8ivg.cloudfront.net/Documentos/631/04690791341/6310469079134111092023140859.jpg")</f>
        <v>https://dpmzos25m8ivg.cloudfront.net/Documentos/631/04690791341/6310469079134111092023140859.jpg</v>
      </c>
      <c r="G2069" s="5" t="str">
        <f>HYPERLINK("https://dpmzos25m8ivg.cloudfront.net/Documentos/631/04690791341/6310469079134111092023140919.jpg","https://dpmzos25m8ivg.cloudfront.net/Documentos/631/04690791341/6310469079134111092023140919.jpg")</f>
        <v>https://dpmzos25m8ivg.cloudfront.net/Documentos/631/04690791341/6310469079134111092023140919.jpg</v>
      </c>
      <c r="H2069" s="4" t="s">
        <v>10649</v>
      </c>
    </row>
    <row r="2070" spans="1:8" x14ac:dyDescent="0.25">
      <c r="A2070" s="2" t="s">
        <v>2084</v>
      </c>
      <c r="B2070" s="3"/>
      <c r="C2070" s="3"/>
      <c r="D2070" s="3"/>
      <c r="E2070" s="4" t="str">
        <f>HYPERLINK("https://dpmzos25m8ivg.cloudfront.net/Documentos/631/04691340548/6310469134054811092023163728.jpg","https://dpmzos25m8ivg.cloudfront.net/Documentos/631/04691340548/6310469134054811092023163728.jpg")</f>
        <v>https://dpmzos25m8ivg.cloudfront.net/Documentos/631/04691340548/6310469134054811092023163728.jpg</v>
      </c>
      <c r="F2070" s="5" t="str">
        <f>HYPERLINK("https://dpmzos25m8ivg.cloudfront.net/Documentos/631/04691340548/6310469134054811092023163742.jpg","https://dpmzos25m8ivg.cloudfront.net/Documentos/631/04691340548/6310469134054811092023163742.jpg")</f>
        <v>https://dpmzos25m8ivg.cloudfront.net/Documentos/631/04691340548/6310469134054811092023163742.jpg</v>
      </c>
      <c r="G2070" s="5" t="str">
        <f>HYPERLINK("https://dpmzos25m8ivg.cloudfront.net/Documentos/631/04691340548/6310469134054811092023163804.jpg","https://dpmzos25m8ivg.cloudfront.net/Documentos/631/04691340548/6310469134054811092023163804.jpg")</f>
        <v>https://dpmzos25m8ivg.cloudfront.net/Documentos/631/04691340548/6310469134054811092023163804.jpg</v>
      </c>
      <c r="H2070" s="4" t="s">
        <v>10650</v>
      </c>
    </row>
    <row r="2071" spans="1:8" x14ac:dyDescent="0.25">
      <c r="A2071" s="2" t="s">
        <v>2085</v>
      </c>
      <c r="B2071" s="3"/>
      <c r="C2071" s="3"/>
      <c r="D2071" s="3"/>
      <c r="E2071" s="4" t="str">
        <f>HYPERLINK("https://dpmzos25m8ivg.cloudfront.net/Documentos/631/04693791113/6310469379111314092023084242.pdf","https://dpmzos25m8ivg.cloudfront.net/Documentos/631/04693791113/6310469379111314092023084242.pdf")</f>
        <v>https://dpmzos25m8ivg.cloudfront.net/Documentos/631/04693791113/6310469379111314092023084242.pdf</v>
      </c>
      <c r="F2071" s="5" t="str">
        <f>HYPERLINK("https://dpmzos25m8ivg.cloudfront.net/Documentos/631/04693791113/6310469379111314092023084252.pdf","https://dpmzos25m8ivg.cloudfront.net/Documentos/631/04693791113/6310469379111314092023084252.pdf")</f>
        <v>https://dpmzos25m8ivg.cloudfront.net/Documentos/631/04693791113/6310469379111314092023084252.pdf</v>
      </c>
      <c r="G2071" s="5" t="str">
        <f>HYPERLINK("https://dpmzos25m8ivg.cloudfront.net/Documentos/631/04693791113/6310469379111314092023084301.pdf","https://dpmzos25m8ivg.cloudfront.net/Documentos/631/04693791113/6310469379111314092023084301.pdf")</f>
        <v>https://dpmzos25m8ivg.cloudfront.net/Documentos/631/04693791113/6310469379111314092023084301.pdf</v>
      </c>
      <c r="H2071" s="4" t="s">
        <v>10651</v>
      </c>
    </row>
    <row r="2072" spans="1:8" x14ac:dyDescent="0.25">
      <c r="A2072" s="2" t="s">
        <v>2086</v>
      </c>
      <c r="B2072" s="3"/>
      <c r="C2072" s="3"/>
      <c r="D2072" s="3"/>
      <c r="E2072" s="4" t="str">
        <f>HYPERLINK("https://dpmzos25m8ivg.cloudfront.net/Documentos/631/04696393500/6310469639350011092023133254.jpg","https://dpmzos25m8ivg.cloudfront.net/Documentos/631/04696393500/6310469639350011092023133254.jpg")</f>
        <v>https://dpmzos25m8ivg.cloudfront.net/Documentos/631/04696393500/6310469639350011092023133254.jpg</v>
      </c>
      <c r="F2072" s="5" t="str">
        <f>HYPERLINK("https://dpmzos25m8ivg.cloudfront.net/Documentos/631/04696393500/6310469639350011092023133331.jpg","https://dpmzos25m8ivg.cloudfront.net/Documentos/631/04696393500/6310469639350011092023133331.jpg")</f>
        <v>https://dpmzos25m8ivg.cloudfront.net/Documentos/631/04696393500/6310469639350011092023133331.jpg</v>
      </c>
      <c r="G2072" s="5" t="str">
        <f>HYPERLINK("https://dpmzos25m8ivg.cloudfront.net/Documentos/631/04696393500/6310469639350011092023133347.jpg","https://dpmzos25m8ivg.cloudfront.net/Documentos/631/04696393500/6310469639350011092023133347.jpg")</f>
        <v>https://dpmzos25m8ivg.cloudfront.net/Documentos/631/04696393500/6310469639350011092023133347.jpg</v>
      </c>
      <c r="H2072" s="4" t="s">
        <v>10652</v>
      </c>
    </row>
    <row r="2073" spans="1:8" x14ac:dyDescent="0.25">
      <c r="A2073" s="2" t="s">
        <v>2087</v>
      </c>
      <c r="B2073" s="3"/>
      <c r="C2073" s="3"/>
      <c r="D2073" s="3"/>
      <c r="E2073" s="4" t="str">
        <f>HYPERLINK("https://dpmzos25m8ivg.cloudfront.net/Documentos/631/04697287363/6310469728736310092023031841.pdf","https://dpmzos25m8ivg.cloudfront.net/Documentos/631/04697287363/6310469728736310092023031841.pdf")</f>
        <v>https://dpmzos25m8ivg.cloudfront.net/Documentos/631/04697287363/6310469728736310092023031841.pdf</v>
      </c>
      <c r="F2073" s="5" t="str">
        <f>HYPERLINK("https://dpmzos25m8ivg.cloudfront.net/Documentos/631/04697287363/6310469728736310092023031906.pdf","https://dpmzos25m8ivg.cloudfront.net/Documentos/631/04697287363/6310469728736310092023031906.pdf")</f>
        <v>https://dpmzos25m8ivg.cloudfront.net/Documentos/631/04697287363/6310469728736310092023031906.pdf</v>
      </c>
      <c r="G2073" s="5" t="str">
        <f>HYPERLINK("https://dpmzos25m8ivg.cloudfront.net/Documentos/631/04697287363/6310469728736310092023031936.pdf","https://dpmzos25m8ivg.cloudfront.net/Documentos/631/04697287363/6310469728736310092023031936.pdf")</f>
        <v>https://dpmzos25m8ivg.cloudfront.net/Documentos/631/04697287363/6310469728736310092023031936.pdf</v>
      </c>
      <c r="H2073" s="4" t="s">
        <v>10653</v>
      </c>
    </row>
    <row r="2074" spans="1:8" x14ac:dyDescent="0.25">
      <c r="A2074" s="2" t="s">
        <v>2088</v>
      </c>
      <c r="B2074" s="3"/>
      <c r="C2074" s="3"/>
      <c r="D2074" s="3"/>
      <c r="E2074" s="4" t="str">
        <f>HYPERLINK("https://dpmzos25m8ivg.cloudfront.net/Documentos/631/04698852110/6310469885211011092023113218.jpeg","https://dpmzos25m8ivg.cloudfront.net/Documentos/631/04698852110/6310469885211011092023113218.jpeg")</f>
        <v>https://dpmzos25m8ivg.cloudfront.net/Documentos/631/04698852110/6310469885211011092023113218.jpeg</v>
      </c>
      <c r="F2074" s="5" t="str">
        <f>HYPERLINK("https://dpmzos25m8ivg.cloudfront.net/Documentos/631/04698852110/6310469885211011092023113243.jpeg","https://dpmzos25m8ivg.cloudfront.net/Documentos/631/04698852110/6310469885211011092023113243.jpeg")</f>
        <v>https://dpmzos25m8ivg.cloudfront.net/Documentos/631/04698852110/6310469885211011092023113243.jpeg</v>
      </c>
      <c r="G2074" s="5" t="str">
        <f>HYPERLINK("https://dpmzos25m8ivg.cloudfront.net/Documentos/631/04698852110/6310469885211011092023113300.jpeg","https://dpmzos25m8ivg.cloudfront.net/Documentos/631/04698852110/6310469885211011092023113300.jpeg")</f>
        <v>https://dpmzos25m8ivg.cloudfront.net/Documentos/631/04698852110/6310469885211011092023113300.jpeg</v>
      </c>
      <c r="H2074" s="4" t="s">
        <v>10654</v>
      </c>
    </row>
    <row r="2075" spans="1:8" x14ac:dyDescent="0.25">
      <c r="A2075" s="2" t="s">
        <v>2089</v>
      </c>
      <c r="B2075" s="3"/>
      <c r="C2075" s="3"/>
      <c r="D2075" s="3"/>
      <c r="E2075" s="4" t="str">
        <f>HYPERLINK("https://dpmzos25m8ivg.cloudfront.net/Documentos/631/04705903358/6310470590335810092023161029.pdf","https://dpmzos25m8ivg.cloudfront.net/Documentos/631/04705903358/6310470590335810092023161029.pdf")</f>
        <v>https://dpmzos25m8ivg.cloudfront.net/Documentos/631/04705903358/6310470590335810092023161029.pdf</v>
      </c>
      <c r="F2075" s="5" t="str">
        <f>HYPERLINK("https://dpmzos25m8ivg.cloudfront.net/Documentos/631/04705903358/6310470590335810092023161050.pdf","https://dpmzos25m8ivg.cloudfront.net/Documentos/631/04705903358/6310470590335810092023161050.pdf")</f>
        <v>https://dpmzos25m8ivg.cloudfront.net/Documentos/631/04705903358/6310470590335810092023161050.pdf</v>
      </c>
      <c r="G2075" s="5" t="str">
        <f>HYPERLINK("https://dpmzos25m8ivg.cloudfront.net/Documentos/631/04705903358/6310470590335810092023161106.pdf","https://dpmzos25m8ivg.cloudfront.net/Documentos/631/04705903358/6310470590335810092023161106.pdf")</f>
        <v>https://dpmzos25m8ivg.cloudfront.net/Documentos/631/04705903358/6310470590335810092023161106.pdf</v>
      </c>
      <c r="H2075" s="4" t="s">
        <v>10655</v>
      </c>
    </row>
    <row r="2076" spans="1:8" x14ac:dyDescent="0.25">
      <c r="A2076" s="2" t="s">
        <v>2090</v>
      </c>
      <c r="B2076" s="3"/>
      <c r="C2076" s="3"/>
      <c r="D2076" s="3"/>
      <c r="E2076" s="4" t="str">
        <f>HYPERLINK("https://dpmzos25m8ivg.cloudfront.net/Documentos/631/04709744190/6310470974419006092023133057.jpeg","https://dpmzos25m8ivg.cloudfront.net/Documentos/631/04709744190/6310470974419006092023133057.jpeg")</f>
        <v>https://dpmzos25m8ivg.cloudfront.net/Documentos/631/04709744190/6310470974419006092023133057.jpeg</v>
      </c>
      <c r="F2076" s="5" t="str">
        <f>HYPERLINK("https://dpmzos25m8ivg.cloudfront.net/Documentos/631/04709744190/6310470974419006092023133123.jpeg","https://dpmzos25m8ivg.cloudfront.net/Documentos/631/04709744190/6310470974419006092023133123.jpeg")</f>
        <v>https://dpmzos25m8ivg.cloudfront.net/Documentos/631/04709744190/6310470974419006092023133123.jpeg</v>
      </c>
      <c r="G2076" s="5" t="str">
        <f>HYPERLINK("https://dpmzos25m8ivg.cloudfront.net/Documentos/631/04709744190/6310470974419006092023133155.jpeg","https://dpmzos25m8ivg.cloudfront.net/Documentos/631/04709744190/6310470974419006092023133155.jpeg")</f>
        <v>https://dpmzos25m8ivg.cloudfront.net/Documentos/631/04709744190/6310470974419006092023133155.jpeg</v>
      </c>
      <c r="H2076" s="4" t="s">
        <v>10656</v>
      </c>
    </row>
    <row r="2077" spans="1:8" x14ac:dyDescent="0.25">
      <c r="A2077" s="2" t="s">
        <v>2091</v>
      </c>
      <c r="B2077" s="3"/>
      <c r="C2077" s="3"/>
      <c r="D2077" s="3"/>
      <c r="E2077" s="4" t="str">
        <f>HYPERLINK("https://dpmzos25m8ivg.cloudfront.net/Documentos/631/04709763143/6310470976314310092023123441.pdf","https://dpmzos25m8ivg.cloudfront.net/Documentos/631/04709763143/6310470976314310092023123441.pdf")</f>
        <v>https://dpmzos25m8ivg.cloudfront.net/Documentos/631/04709763143/6310470976314310092023123441.pdf</v>
      </c>
      <c r="F2077" s="5" t="str">
        <f>HYPERLINK("https://dpmzos25m8ivg.cloudfront.net/Documentos/631/04709763143/6310470976314310092023123508.pdf","https://dpmzos25m8ivg.cloudfront.net/Documentos/631/04709763143/6310470976314310092023123508.pdf")</f>
        <v>https://dpmzos25m8ivg.cloudfront.net/Documentos/631/04709763143/6310470976314310092023123508.pdf</v>
      </c>
      <c r="G2077" s="5" t="str">
        <f>HYPERLINK("https://dpmzos25m8ivg.cloudfront.net/Documentos/631/04709763143/6310470976314310092023123537.pdf","https://dpmzos25m8ivg.cloudfront.net/Documentos/631/04709763143/6310470976314310092023123537.pdf")</f>
        <v>https://dpmzos25m8ivg.cloudfront.net/Documentos/631/04709763143/6310470976314310092023123537.pdf</v>
      </c>
      <c r="H2077" s="4" t="s">
        <v>10657</v>
      </c>
    </row>
    <row r="2078" spans="1:8" x14ac:dyDescent="0.25">
      <c r="A2078" s="2" t="s">
        <v>2092</v>
      </c>
      <c r="B2078" s="3"/>
      <c r="C2078" s="3"/>
      <c r="D2078" s="3"/>
      <c r="E2078" s="4" t="str">
        <f>HYPERLINK("https://dpmzos25m8ivg.cloudfront.net/Documentos/631/04710731306/6310471073130608092023145236.pdf","https://dpmzos25m8ivg.cloudfront.net/Documentos/631/04710731306/6310471073130608092023145236.pdf")</f>
        <v>https://dpmzos25m8ivg.cloudfront.net/Documentos/631/04710731306/6310471073130608092023145236.pdf</v>
      </c>
      <c r="F2078" s="5" t="str">
        <f>HYPERLINK("https://dpmzos25m8ivg.cloudfront.net/Documentos/631/04710731306/6310471073130608092023145300.pdf","https://dpmzos25m8ivg.cloudfront.net/Documentos/631/04710731306/6310471073130608092023145300.pdf")</f>
        <v>https://dpmzos25m8ivg.cloudfront.net/Documentos/631/04710731306/6310471073130608092023145300.pdf</v>
      </c>
      <c r="G2078" s="5" t="str">
        <f>HYPERLINK("https://dpmzos25m8ivg.cloudfront.net/Documentos/631/04710731306/6310471073130608092023145323.pdf","https://dpmzos25m8ivg.cloudfront.net/Documentos/631/04710731306/6310471073130608092023145323.pdf")</f>
        <v>https://dpmzos25m8ivg.cloudfront.net/Documentos/631/04710731306/6310471073130608092023145323.pdf</v>
      </c>
      <c r="H2078" s="4" t="s">
        <v>10658</v>
      </c>
    </row>
    <row r="2079" spans="1:8" x14ac:dyDescent="0.25">
      <c r="A2079" s="2" t="s">
        <v>2093</v>
      </c>
      <c r="B2079" s="3"/>
      <c r="C2079" s="3"/>
      <c r="D2079" s="3"/>
      <c r="E2079" s="4" t="str">
        <f>HYPERLINK("https://dpmzos25m8ivg.cloudfront.net/Documentos/631/04710888205/6310471088820511092023163028.pdf","https://dpmzos25m8ivg.cloudfront.net/Documentos/631/04710888205/6310471088820511092023163028.pdf")</f>
        <v>https://dpmzos25m8ivg.cloudfront.net/Documentos/631/04710888205/6310471088820511092023163028.pdf</v>
      </c>
      <c r="F2079" s="5" t="str">
        <f>HYPERLINK("https://dpmzos25m8ivg.cloudfront.net/Documentos/631/04710888205/6310471088820511092023163040.pdf","https://dpmzos25m8ivg.cloudfront.net/Documentos/631/04710888205/6310471088820511092023163040.pdf")</f>
        <v>https://dpmzos25m8ivg.cloudfront.net/Documentos/631/04710888205/6310471088820511092023163040.pdf</v>
      </c>
      <c r="G2079" s="5" t="str">
        <f>HYPERLINK("https://dpmzos25m8ivg.cloudfront.net/Documentos/631/04710888205/6310471088820511092023163057.pdf","https://dpmzos25m8ivg.cloudfront.net/Documentos/631/04710888205/6310471088820511092023163057.pdf")</f>
        <v>https://dpmzos25m8ivg.cloudfront.net/Documentos/631/04710888205/6310471088820511092023163057.pdf</v>
      </c>
      <c r="H2079" s="4" t="s">
        <v>10659</v>
      </c>
    </row>
    <row r="2080" spans="1:8" x14ac:dyDescent="0.25">
      <c r="A2080" s="2" t="s">
        <v>2094</v>
      </c>
      <c r="B2080" s="3"/>
      <c r="C2080" s="3"/>
      <c r="D2080" s="3"/>
      <c r="E2080" s="4" t="str">
        <f>HYPERLINK("https://dpmzos25m8ivg.cloudfront.net/Documentos/631/04711264116/6310471126411605092023163817.pdf","https://dpmzos25m8ivg.cloudfront.net/Documentos/631/04711264116/6310471126411605092023163817.pdf")</f>
        <v>https://dpmzos25m8ivg.cloudfront.net/Documentos/631/04711264116/6310471126411605092023163817.pdf</v>
      </c>
      <c r="F2080" s="5" t="str">
        <f>HYPERLINK("https://dpmzos25m8ivg.cloudfront.net/Documentos/631/04711264116/6310471126411605092023163827.pdf","https://dpmzos25m8ivg.cloudfront.net/Documentos/631/04711264116/6310471126411605092023163827.pdf")</f>
        <v>https://dpmzos25m8ivg.cloudfront.net/Documentos/631/04711264116/6310471126411605092023163827.pdf</v>
      </c>
      <c r="G2080" s="5" t="str">
        <f>HYPERLINK("https://dpmzos25m8ivg.cloudfront.net/Documentos/631/04711264116/6310471126411605092023163836.pdf","https://dpmzos25m8ivg.cloudfront.net/Documentos/631/04711264116/6310471126411605092023163836.pdf")</f>
        <v>https://dpmzos25m8ivg.cloudfront.net/Documentos/631/04711264116/6310471126411605092023163836.pdf</v>
      </c>
      <c r="H2080" s="4" t="s">
        <v>10660</v>
      </c>
    </row>
    <row r="2081" spans="1:8" x14ac:dyDescent="0.25">
      <c r="A2081" s="2" t="s">
        <v>2095</v>
      </c>
      <c r="B2081" s="3"/>
      <c r="C2081" s="3"/>
      <c r="D2081" s="3"/>
      <c r="E2081" s="4" t="str">
        <f>HYPERLINK("https://dpmzos25m8ivg.cloudfront.net/Documentos/631/04712159537/6310471215953711092023170813.pdf","https://dpmzos25m8ivg.cloudfront.net/Documentos/631/04712159537/6310471215953711092023170813.pdf")</f>
        <v>https://dpmzos25m8ivg.cloudfront.net/Documentos/631/04712159537/6310471215953711092023170813.pdf</v>
      </c>
      <c r="F2081" s="5" t="str">
        <f>HYPERLINK("https://dpmzos25m8ivg.cloudfront.net/Documentos/631/04712159537/6310471215953711092023171730.pdf","https://dpmzos25m8ivg.cloudfront.net/Documentos/631/04712159537/6310471215953711092023171730.pdf")</f>
        <v>https://dpmzos25m8ivg.cloudfront.net/Documentos/631/04712159537/6310471215953711092023171730.pdf</v>
      </c>
      <c r="G2081" s="5" t="str">
        <f>HYPERLINK("https://dpmzos25m8ivg.cloudfront.net/Documentos/631/04712159537/6310471215953711092023170934.pdf","https://dpmzos25m8ivg.cloudfront.net/Documentos/631/04712159537/6310471215953711092023170934.pdf")</f>
        <v>https://dpmzos25m8ivg.cloudfront.net/Documentos/631/04712159537/6310471215953711092023170934.pdf</v>
      </c>
      <c r="H2081" s="4" t="s">
        <v>10661</v>
      </c>
    </row>
    <row r="2082" spans="1:8" x14ac:dyDescent="0.25">
      <c r="A2082" s="2" t="s">
        <v>2096</v>
      </c>
      <c r="B2082" s="3"/>
      <c r="C2082" s="3"/>
      <c r="D2082" s="3"/>
      <c r="E2082" s="4" t="str">
        <f>HYPERLINK("https://dpmzos25m8ivg.cloudfront.net/Documentos/631/04712857307/6310471285730706092023125954.pdf","https://dpmzos25m8ivg.cloudfront.net/Documentos/631/04712857307/6310471285730706092023125954.pdf")</f>
        <v>https://dpmzos25m8ivg.cloudfront.net/Documentos/631/04712857307/6310471285730706092023125954.pdf</v>
      </c>
      <c r="F2082" s="5" t="str">
        <f>HYPERLINK("https://dpmzos25m8ivg.cloudfront.net/Documentos/631/04712857307/6310471285730706092023130005.pdf","https://dpmzos25m8ivg.cloudfront.net/Documentos/631/04712857307/6310471285730706092023130005.pdf")</f>
        <v>https://dpmzos25m8ivg.cloudfront.net/Documentos/631/04712857307/6310471285730706092023130005.pdf</v>
      </c>
      <c r="G2082" s="5" t="str">
        <f>HYPERLINK("https://dpmzos25m8ivg.cloudfront.net/Documentos/631/04712857307/6310471285730706092023130016.pdf","https://dpmzos25m8ivg.cloudfront.net/Documentos/631/04712857307/6310471285730706092023130016.pdf")</f>
        <v>https://dpmzos25m8ivg.cloudfront.net/Documentos/631/04712857307/6310471285730706092023130016.pdf</v>
      </c>
      <c r="H2082" s="4" t="s">
        <v>10662</v>
      </c>
    </row>
    <row r="2083" spans="1:8" x14ac:dyDescent="0.25">
      <c r="A2083" s="2" t="s">
        <v>2097</v>
      </c>
      <c r="B2083" s="3"/>
      <c r="C2083" s="3"/>
      <c r="D2083" s="3"/>
      <c r="E2083" s="4" t="str">
        <f>HYPERLINK("https://dpmzos25m8ivg.cloudfront.net/Documentos/631/04714545167/6310471454516709092023030931.jpg","https://dpmzos25m8ivg.cloudfront.net/Documentos/631/04714545167/6310471454516709092023030931.jpg")</f>
        <v>https://dpmzos25m8ivg.cloudfront.net/Documentos/631/04714545167/6310471454516709092023030931.jpg</v>
      </c>
      <c r="F2083" s="5" t="str">
        <f>HYPERLINK("https://dpmzos25m8ivg.cloudfront.net/Documentos/631/04714545167/6310471454516709092023030945.jpg","https://dpmzos25m8ivg.cloudfront.net/Documentos/631/04714545167/6310471454516709092023030945.jpg")</f>
        <v>https://dpmzos25m8ivg.cloudfront.net/Documentos/631/04714545167/6310471454516709092023030945.jpg</v>
      </c>
      <c r="G2083" s="5" t="str">
        <f>HYPERLINK("https://dpmzos25m8ivg.cloudfront.net/Documentos/631/04714545167/6310471454516709092023031000.jpg","https://dpmzos25m8ivg.cloudfront.net/Documentos/631/04714545167/6310471454516709092023031000.jpg")</f>
        <v>https://dpmzos25m8ivg.cloudfront.net/Documentos/631/04714545167/6310471454516709092023031000.jpg</v>
      </c>
      <c r="H2083" s="4" t="s">
        <v>10663</v>
      </c>
    </row>
    <row r="2084" spans="1:8" x14ac:dyDescent="0.25">
      <c r="A2084" s="2" t="s">
        <v>2098</v>
      </c>
      <c r="B2084" s="3" t="s">
        <v>8</v>
      </c>
      <c r="C2084" s="3"/>
      <c r="D2084" s="3"/>
      <c r="E2084" s="4" t="str">
        <f>HYPERLINK("https://dpmzos25m8ivg.cloudfront.net/Documentos/631/04718489130/6310471848913006092023124611.jpg","https://dpmzos25m8ivg.cloudfront.net/Documentos/631/04718489130/6310471848913006092023124611.jpg")</f>
        <v>https://dpmzos25m8ivg.cloudfront.net/Documentos/631/04718489130/6310471848913006092023124611.jpg</v>
      </c>
      <c r="F2084" s="5" t="str">
        <f>HYPERLINK("https://dpmzos25m8ivg.cloudfront.net/Documentos/631/04718489130/6310471848913006092023124646.jpg","https://dpmzos25m8ivg.cloudfront.net/Documentos/631/04718489130/6310471848913006092023124646.jpg")</f>
        <v>https://dpmzos25m8ivg.cloudfront.net/Documentos/631/04718489130/6310471848913006092023124646.jpg</v>
      </c>
      <c r="G2084" s="5" t="str">
        <f>HYPERLINK("https://dpmzos25m8ivg.cloudfront.net/Documentos/631/04718489130/6310471848913006092023124658.jpg","https://dpmzos25m8ivg.cloudfront.net/Documentos/631/04718489130/6310471848913006092023124658.jpg")</f>
        <v>https://dpmzos25m8ivg.cloudfront.net/Documentos/631/04718489130/6310471848913006092023124658.jpg</v>
      </c>
      <c r="H2084" s="4" t="s">
        <v>10664</v>
      </c>
    </row>
    <row r="2085" spans="1:8" x14ac:dyDescent="0.25">
      <c r="A2085" s="2" t="s">
        <v>2099</v>
      </c>
      <c r="B2085" s="3"/>
      <c r="C2085" s="3"/>
      <c r="D2085" s="3"/>
      <c r="E2085" s="4" t="str">
        <f>HYPERLINK("https://dpmzos25m8ivg.cloudfront.net/Documentos/631/04718947103/6310471894710311092023101008.jpg","https://dpmzos25m8ivg.cloudfront.net/Documentos/631/04718947103/6310471894710311092023101008.jpg")</f>
        <v>https://dpmzos25m8ivg.cloudfront.net/Documentos/631/04718947103/6310471894710311092023101008.jpg</v>
      </c>
      <c r="F2085" s="5" t="str">
        <f>HYPERLINK("https://dpmzos25m8ivg.cloudfront.net/Documentos/631/04718947103/6310471894710311092023101030.jpg","https://dpmzos25m8ivg.cloudfront.net/Documentos/631/04718947103/6310471894710311092023101030.jpg")</f>
        <v>https://dpmzos25m8ivg.cloudfront.net/Documentos/631/04718947103/6310471894710311092023101030.jpg</v>
      </c>
      <c r="G2085" s="5" t="str">
        <f>HYPERLINK("https://dpmzos25m8ivg.cloudfront.net/Documentos/631/04718947103/6310471894710311092023101048.jpg","https://dpmzos25m8ivg.cloudfront.net/Documentos/631/04718947103/6310471894710311092023101048.jpg")</f>
        <v>https://dpmzos25m8ivg.cloudfront.net/Documentos/631/04718947103/6310471894710311092023101048.jpg</v>
      </c>
      <c r="H2085" s="4" t="s">
        <v>10665</v>
      </c>
    </row>
    <row r="2086" spans="1:8" x14ac:dyDescent="0.25">
      <c r="A2086" s="2" t="s">
        <v>2100</v>
      </c>
      <c r="B2086" s="3"/>
      <c r="C2086" s="3"/>
      <c r="D2086" s="3"/>
      <c r="E2086" s="4" t="str">
        <f>HYPERLINK("https://dpmzos25m8ivg.cloudfront.net/Documentos/631/04727888173/6310472788817311092023143638.pdf","https://dpmzos25m8ivg.cloudfront.net/Documentos/631/04727888173/6310472788817311092023143638.pdf")</f>
        <v>https://dpmzos25m8ivg.cloudfront.net/Documentos/631/04727888173/6310472788817311092023143638.pdf</v>
      </c>
      <c r="F2086" s="5" t="str">
        <f>HYPERLINK("https://dpmzos25m8ivg.cloudfront.net/Documentos/631/04727888173/6310472788817311092023143652.pdf","https://dpmzos25m8ivg.cloudfront.net/Documentos/631/04727888173/6310472788817311092023143652.pdf")</f>
        <v>https://dpmzos25m8ivg.cloudfront.net/Documentos/631/04727888173/6310472788817311092023143652.pdf</v>
      </c>
      <c r="G2086" s="5" t="str">
        <f>HYPERLINK("https://dpmzos25m8ivg.cloudfront.net/Documentos/631/04727888173/6310472788817311092023143701.pdf","https://dpmzos25m8ivg.cloudfront.net/Documentos/631/04727888173/6310472788817311092023143701.pdf")</f>
        <v>https://dpmzos25m8ivg.cloudfront.net/Documentos/631/04727888173/6310472788817311092023143701.pdf</v>
      </c>
      <c r="H2086" s="4" t="s">
        <v>10666</v>
      </c>
    </row>
    <row r="2087" spans="1:8" x14ac:dyDescent="0.25">
      <c r="A2087" s="2" t="s">
        <v>2101</v>
      </c>
      <c r="B2087" s="3"/>
      <c r="C2087" s="3"/>
      <c r="D2087" s="3"/>
      <c r="E2087" s="4" t="str">
        <f>HYPERLINK("https://dpmzos25m8ivg.cloudfront.net/Documentos/631/04730251164/6310473025116407092023151501.jpg","https://dpmzos25m8ivg.cloudfront.net/Documentos/631/04730251164/6310473025116407092023151501.jpg")</f>
        <v>https://dpmzos25m8ivg.cloudfront.net/Documentos/631/04730251164/6310473025116407092023151501.jpg</v>
      </c>
      <c r="F2087" s="5" t="str">
        <f>HYPERLINK("https://dpmzos25m8ivg.cloudfront.net/Documentos/631/04730251164/6310473025116407092023151514.jpg","https://dpmzos25m8ivg.cloudfront.net/Documentos/631/04730251164/6310473025116407092023151514.jpg")</f>
        <v>https://dpmzos25m8ivg.cloudfront.net/Documentos/631/04730251164/6310473025116407092023151514.jpg</v>
      </c>
      <c r="G2087" s="5" t="str">
        <f>HYPERLINK("https://dpmzos25m8ivg.cloudfront.net/Documentos/631/04730251164/6310473025116407092023151526.jpg","https://dpmzos25m8ivg.cloudfront.net/Documentos/631/04730251164/6310473025116407092023151526.jpg")</f>
        <v>https://dpmzos25m8ivg.cloudfront.net/Documentos/631/04730251164/6310473025116407092023151526.jpg</v>
      </c>
      <c r="H2087" s="4" t="s">
        <v>10667</v>
      </c>
    </row>
    <row r="2088" spans="1:8" x14ac:dyDescent="0.25">
      <c r="A2088" s="2" t="s">
        <v>2102</v>
      </c>
      <c r="B2088" s="3"/>
      <c r="C2088" s="3"/>
      <c r="D2088" s="3"/>
      <c r="E2088" s="4" t="str">
        <f>HYPERLINK("https://dpmzos25m8ivg.cloudfront.net/Documentos/631/04730785541/6310473078554110092023232803.jpeg","https://dpmzos25m8ivg.cloudfront.net/Documentos/631/04730785541/6310473078554110092023232803.jpeg")</f>
        <v>https://dpmzos25m8ivg.cloudfront.net/Documentos/631/04730785541/6310473078554110092023232803.jpeg</v>
      </c>
      <c r="F2088" s="5" t="str">
        <f>HYPERLINK("https://dpmzos25m8ivg.cloudfront.net/Documentos/631/04730785541/6310473078554110092023232815.jpeg","https://dpmzos25m8ivg.cloudfront.net/Documentos/631/04730785541/6310473078554110092023232815.jpeg")</f>
        <v>https://dpmzos25m8ivg.cloudfront.net/Documentos/631/04730785541/6310473078554110092023232815.jpeg</v>
      </c>
      <c r="G2088" s="5" t="str">
        <f>HYPERLINK("https://dpmzos25m8ivg.cloudfront.net/Documentos/631/04730785541/6310473078554110092023232825.jpeg","https://dpmzos25m8ivg.cloudfront.net/Documentos/631/04730785541/6310473078554110092023232825.jpeg")</f>
        <v>https://dpmzos25m8ivg.cloudfront.net/Documentos/631/04730785541/6310473078554110092023232825.jpeg</v>
      </c>
      <c r="H2088" s="4" t="s">
        <v>10668</v>
      </c>
    </row>
    <row r="2089" spans="1:8" x14ac:dyDescent="0.25">
      <c r="A2089" s="2" t="s">
        <v>2103</v>
      </c>
      <c r="B2089" s="3"/>
      <c r="C2089" s="3"/>
      <c r="D2089" s="3"/>
      <c r="E2089" s="4" t="str">
        <f>HYPERLINK("https://dpmzos25m8ivg.cloudfront.net/Documentos/631/04732495290/6310473249529011092023165450.pdf","https://dpmzos25m8ivg.cloudfront.net/Documentos/631/04732495290/6310473249529011092023165450.pdf")</f>
        <v>https://dpmzos25m8ivg.cloudfront.net/Documentos/631/04732495290/6310473249529011092023165450.pdf</v>
      </c>
      <c r="F2089" s="5" t="str">
        <f>HYPERLINK("https://dpmzos25m8ivg.cloudfront.net/Documentos/631/04732495290/6310473249529011092023165500.pdf","https://dpmzos25m8ivg.cloudfront.net/Documentos/631/04732495290/6310473249529011092023165500.pdf")</f>
        <v>https://dpmzos25m8ivg.cloudfront.net/Documentos/631/04732495290/6310473249529011092023165500.pdf</v>
      </c>
      <c r="G2089" s="5" t="str">
        <f>HYPERLINK("https://dpmzos25m8ivg.cloudfront.net/Documentos/631/04732495290/6310473249529011092023165510.pdf","https://dpmzos25m8ivg.cloudfront.net/Documentos/631/04732495290/6310473249529011092023165510.pdf")</f>
        <v>https://dpmzos25m8ivg.cloudfront.net/Documentos/631/04732495290/6310473249529011092023165510.pdf</v>
      </c>
      <c r="H2089" s="4" t="s">
        <v>10669</v>
      </c>
    </row>
    <row r="2090" spans="1:8" x14ac:dyDescent="0.25">
      <c r="A2090" s="2" t="s">
        <v>2104</v>
      </c>
      <c r="B2090" s="3"/>
      <c r="C2090" s="3"/>
      <c r="D2090" s="3"/>
      <c r="E2090" s="4" t="str">
        <f>HYPERLINK("https://dpmzos25m8ivg.cloudfront.net/Documentos/631/04734559511/6310473455951107092023143806.pdf","https://dpmzos25m8ivg.cloudfront.net/Documentos/631/04734559511/6310473455951107092023143806.pdf")</f>
        <v>https://dpmzos25m8ivg.cloudfront.net/Documentos/631/04734559511/6310473455951107092023143806.pdf</v>
      </c>
      <c r="F2090" s="5" t="str">
        <f>HYPERLINK("https://dpmzos25m8ivg.cloudfront.net/Documentos/631/04734559511/6310473455951107092023143820.pdf","https://dpmzos25m8ivg.cloudfront.net/Documentos/631/04734559511/6310473455951107092023143820.pdf")</f>
        <v>https://dpmzos25m8ivg.cloudfront.net/Documentos/631/04734559511/6310473455951107092023143820.pdf</v>
      </c>
      <c r="G2090" s="5" t="str">
        <f>HYPERLINK("https://dpmzos25m8ivg.cloudfront.net/Documentos/631/04734559511/6310473455951107092023143832.pdf","https://dpmzos25m8ivg.cloudfront.net/Documentos/631/04734559511/6310473455951107092023143832.pdf")</f>
        <v>https://dpmzos25m8ivg.cloudfront.net/Documentos/631/04734559511/6310473455951107092023143832.pdf</v>
      </c>
      <c r="H2090" s="4" t="s">
        <v>10670</v>
      </c>
    </row>
    <row r="2091" spans="1:8" x14ac:dyDescent="0.25">
      <c r="A2091" s="2" t="s">
        <v>2105</v>
      </c>
      <c r="B2091" s="3" t="s">
        <v>312</v>
      </c>
      <c r="C2091" s="3"/>
      <c r="D2091" s="3"/>
      <c r="E2091" s="4" t="str">
        <f>HYPERLINK("https://dpmzos25m8ivg.cloudfront.net/Documentos/631/04734712131/6310473471213105092023091937.pdf","https://dpmzos25m8ivg.cloudfront.net/Documentos/631/04734712131/6310473471213105092023091937.pdf")</f>
        <v>https://dpmzos25m8ivg.cloudfront.net/Documentos/631/04734712131/6310473471213105092023091937.pdf</v>
      </c>
      <c r="F2091" s="5" t="str">
        <f>HYPERLINK("https://dpmzos25m8ivg.cloudfront.net/Documentos/631/04734712131/6310473471213105092023091952.pdf","https://dpmzos25m8ivg.cloudfront.net/Documentos/631/04734712131/6310473471213105092023091952.pdf")</f>
        <v>https://dpmzos25m8ivg.cloudfront.net/Documentos/631/04734712131/6310473471213105092023091952.pdf</v>
      </c>
      <c r="G2091" s="5" t="str">
        <f>HYPERLINK("https://dpmzos25m8ivg.cloudfront.net/Documentos/631/04734712131/6310473471213105092023092005.pdf","https://dpmzos25m8ivg.cloudfront.net/Documentos/631/04734712131/6310473471213105092023092005.pdf")</f>
        <v>https://dpmzos25m8ivg.cloudfront.net/Documentos/631/04734712131/6310473471213105092023092005.pdf</v>
      </c>
      <c r="H2091" s="4" t="s">
        <v>10671</v>
      </c>
    </row>
    <row r="2092" spans="1:8" x14ac:dyDescent="0.25">
      <c r="A2092" s="2" t="s">
        <v>2106</v>
      </c>
      <c r="B2092" s="3"/>
      <c r="C2092" s="3"/>
      <c r="D2092" s="3"/>
      <c r="E2092" s="4" t="str">
        <f>HYPERLINK("https://dpmzos25m8ivg.cloudfront.net/Documentos/631/04735426175/6310473542617511092023121113.pdf","https://dpmzos25m8ivg.cloudfront.net/Documentos/631/04735426175/6310473542617511092023121113.pdf")</f>
        <v>https://dpmzos25m8ivg.cloudfront.net/Documentos/631/04735426175/6310473542617511092023121113.pdf</v>
      </c>
      <c r="F2092" s="5" t="str">
        <f>HYPERLINK("https://dpmzos25m8ivg.cloudfront.net/Documentos/631/04735426175/6310473542617511092023121122.pdf","https://dpmzos25m8ivg.cloudfront.net/Documentos/631/04735426175/6310473542617511092023121122.pdf")</f>
        <v>https://dpmzos25m8ivg.cloudfront.net/Documentos/631/04735426175/6310473542617511092023121122.pdf</v>
      </c>
      <c r="G2092" s="5" t="str">
        <f>HYPERLINK("https://dpmzos25m8ivg.cloudfront.net/Documentos/631/04735426175/6310473542617511092023121130.pdf","https://dpmzos25m8ivg.cloudfront.net/Documentos/631/04735426175/6310473542617511092023121130.pdf")</f>
        <v>https://dpmzos25m8ivg.cloudfront.net/Documentos/631/04735426175/6310473542617511092023121130.pdf</v>
      </c>
      <c r="H2092" s="4" t="s">
        <v>10672</v>
      </c>
    </row>
    <row r="2093" spans="1:8" x14ac:dyDescent="0.25">
      <c r="A2093" s="2" t="s">
        <v>2107</v>
      </c>
      <c r="B2093" s="3"/>
      <c r="C2093" s="3"/>
      <c r="D2093" s="3"/>
      <c r="E2093" s="4" t="str">
        <f>HYPERLINK("https://dpmzos25m8ivg.cloudfront.net/Documentos/631/04739704579/6310473970457911092023140653.pdf","https://dpmzos25m8ivg.cloudfront.net/Documentos/631/04739704579/6310473970457911092023140653.pdf")</f>
        <v>https://dpmzos25m8ivg.cloudfront.net/Documentos/631/04739704579/6310473970457911092023140653.pdf</v>
      </c>
      <c r="F2093" s="5" t="str">
        <f>HYPERLINK("https://dpmzos25m8ivg.cloudfront.net/Documentos/631/04739704579/6310473970457911092023140737.pdf","https://dpmzos25m8ivg.cloudfront.net/Documentos/631/04739704579/6310473970457911092023140737.pdf")</f>
        <v>https://dpmzos25m8ivg.cloudfront.net/Documentos/631/04739704579/6310473970457911092023140737.pdf</v>
      </c>
      <c r="G2093" s="5" t="str">
        <f>HYPERLINK("https://dpmzos25m8ivg.cloudfront.net/Documentos/631/04739704579/6310473970457911092023140751.pdf","https://dpmzos25m8ivg.cloudfront.net/Documentos/631/04739704579/6310473970457911092023140751.pdf")</f>
        <v>https://dpmzos25m8ivg.cloudfront.net/Documentos/631/04739704579/6310473970457911092023140751.pdf</v>
      </c>
      <c r="H2093" s="4" t="s">
        <v>10673</v>
      </c>
    </row>
    <row r="2094" spans="1:8" x14ac:dyDescent="0.25">
      <c r="A2094" s="2" t="s">
        <v>2108</v>
      </c>
      <c r="B2094" s="3"/>
      <c r="C2094" s="3"/>
      <c r="D2094" s="3"/>
      <c r="E2094" s="4" t="str">
        <f>HYPERLINK("https://dpmzos25m8ivg.cloudfront.net/Documentos/631/04748233184/6310474823318413092023222216.pdf","https://dpmzos25m8ivg.cloudfront.net/Documentos/631/04748233184/6310474823318413092023222216.pdf")</f>
        <v>https://dpmzos25m8ivg.cloudfront.net/Documentos/631/04748233184/6310474823318413092023222216.pdf</v>
      </c>
      <c r="F2094" s="5" t="str">
        <f>HYPERLINK("https://dpmzos25m8ivg.cloudfront.net/Documentos/631/04748233184/6310474823318413092023222232.pdf","https://dpmzos25m8ivg.cloudfront.net/Documentos/631/04748233184/6310474823318413092023222232.pdf")</f>
        <v>https://dpmzos25m8ivg.cloudfront.net/Documentos/631/04748233184/6310474823318413092023222232.pdf</v>
      </c>
      <c r="G2094" s="5" t="str">
        <f>HYPERLINK("https://dpmzos25m8ivg.cloudfront.net/Documentos/631/04748233184/6310474823318413092023222242.pdf","https://dpmzos25m8ivg.cloudfront.net/Documentos/631/04748233184/6310474823318413092023222242.pdf")</f>
        <v>https://dpmzos25m8ivg.cloudfront.net/Documentos/631/04748233184/6310474823318413092023222242.pdf</v>
      </c>
      <c r="H2094" s="4" t="s">
        <v>10674</v>
      </c>
    </row>
    <row r="2095" spans="1:8" x14ac:dyDescent="0.25">
      <c r="A2095" s="2" t="s">
        <v>2109</v>
      </c>
      <c r="B2095" s="3"/>
      <c r="C2095" s="3"/>
      <c r="D2095" s="3"/>
      <c r="E2095" s="4" t="str">
        <f>HYPERLINK("https://dpmzos25m8ivg.cloudfront.net/Documentos/631/04748950501/6310474895050106092023114624.pdf","https://dpmzos25m8ivg.cloudfront.net/Documentos/631/04748950501/6310474895050106092023114624.pdf")</f>
        <v>https://dpmzos25m8ivg.cloudfront.net/Documentos/631/04748950501/6310474895050106092023114624.pdf</v>
      </c>
      <c r="F2095" s="5" t="str">
        <f>HYPERLINK("https://dpmzos25m8ivg.cloudfront.net/Documentos/631/04748950501/6310474895050106092023114633.pdf","https://dpmzos25m8ivg.cloudfront.net/Documentos/631/04748950501/6310474895050106092023114633.pdf")</f>
        <v>https://dpmzos25m8ivg.cloudfront.net/Documentos/631/04748950501/6310474895050106092023114633.pdf</v>
      </c>
      <c r="G2095" s="5" t="str">
        <f>HYPERLINK("https://dpmzos25m8ivg.cloudfront.net/Documentos/631/04748950501/6310474895050106092023114641.pdf","https://dpmzos25m8ivg.cloudfront.net/Documentos/631/04748950501/6310474895050106092023114641.pdf")</f>
        <v>https://dpmzos25m8ivg.cloudfront.net/Documentos/631/04748950501/6310474895050106092023114641.pdf</v>
      </c>
      <c r="H2095" s="4" t="s">
        <v>10675</v>
      </c>
    </row>
    <row r="2096" spans="1:8" x14ac:dyDescent="0.25">
      <c r="A2096" s="2" t="s">
        <v>2110</v>
      </c>
      <c r="B2096" s="3"/>
      <c r="C2096" s="3"/>
      <c r="D2096" s="3"/>
      <c r="E2096" s="4" t="str">
        <f>HYPERLINK("https://dpmzos25m8ivg.cloudfront.net/Documentos/631/04753702367/6310475370236711092023142315.pdf","https://dpmzos25m8ivg.cloudfront.net/Documentos/631/04753702367/6310475370236711092023142315.pdf")</f>
        <v>https://dpmzos25m8ivg.cloudfront.net/Documentos/631/04753702367/6310475370236711092023142315.pdf</v>
      </c>
      <c r="F2096" s="5" t="str">
        <f>HYPERLINK("https://dpmzos25m8ivg.cloudfront.net/Documentos/631/04753702367/6310475370236711092023142333.pdf","https://dpmzos25m8ivg.cloudfront.net/Documentos/631/04753702367/6310475370236711092023142333.pdf")</f>
        <v>https://dpmzos25m8ivg.cloudfront.net/Documentos/631/04753702367/6310475370236711092023142333.pdf</v>
      </c>
      <c r="G2096" s="5" t="str">
        <f>HYPERLINK("https://dpmzos25m8ivg.cloudfront.net/Documentos/631/04753702367/6310475370236711092023142403.pdf","https://dpmzos25m8ivg.cloudfront.net/Documentos/631/04753702367/6310475370236711092023142403.pdf")</f>
        <v>https://dpmzos25m8ivg.cloudfront.net/Documentos/631/04753702367/6310475370236711092023142403.pdf</v>
      </c>
      <c r="H2096" s="4" t="s">
        <v>10676</v>
      </c>
    </row>
    <row r="2097" spans="1:8" x14ac:dyDescent="0.25">
      <c r="A2097" s="2" t="s">
        <v>2111</v>
      </c>
      <c r="B2097" s="3"/>
      <c r="C2097" s="3"/>
      <c r="D2097" s="3"/>
      <c r="E2097" s="4" t="str">
        <f>HYPERLINK("https://dpmzos25m8ivg.cloudfront.net/Documentos/631/04756486509/6310475648650910092023182532.jpg","https://dpmzos25m8ivg.cloudfront.net/Documentos/631/04756486509/6310475648650910092023182532.jpg")</f>
        <v>https://dpmzos25m8ivg.cloudfront.net/Documentos/631/04756486509/6310475648650910092023182532.jpg</v>
      </c>
      <c r="F2097" s="5" t="str">
        <f>HYPERLINK("https://dpmzos25m8ivg.cloudfront.net/Documentos/631/04756486509/6310475648650910092023182608.jpg","https://dpmzos25m8ivg.cloudfront.net/Documentos/631/04756486509/6310475648650910092023182608.jpg")</f>
        <v>https://dpmzos25m8ivg.cloudfront.net/Documentos/631/04756486509/6310475648650910092023182608.jpg</v>
      </c>
      <c r="G2097" s="5" t="str">
        <f>HYPERLINK("https://dpmzos25m8ivg.cloudfront.net/Documentos/631/04756486509/6310475648650910092023182617.jpg","https://dpmzos25m8ivg.cloudfront.net/Documentos/631/04756486509/6310475648650910092023182617.jpg")</f>
        <v>https://dpmzos25m8ivg.cloudfront.net/Documentos/631/04756486509/6310475648650910092023182617.jpg</v>
      </c>
      <c r="H2097" s="4" t="s">
        <v>10677</v>
      </c>
    </row>
    <row r="2098" spans="1:8" x14ac:dyDescent="0.25">
      <c r="A2098" s="2" t="s">
        <v>2112</v>
      </c>
      <c r="B2098" s="3"/>
      <c r="C2098" s="3"/>
      <c r="D2098" s="3"/>
      <c r="E2098" s="4" t="str">
        <f>HYPERLINK("https://dpmzos25m8ivg.cloudfront.net/Documentos/631/04759797106/6310475979710614092023123007.pdf","https://dpmzos25m8ivg.cloudfront.net/Documentos/631/04759797106/6310475979710614092023123007.pdf")</f>
        <v>https://dpmzos25m8ivg.cloudfront.net/Documentos/631/04759797106/6310475979710614092023123007.pdf</v>
      </c>
      <c r="F2098" s="5" t="str">
        <f>HYPERLINK("https://dpmzos25m8ivg.cloudfront.net/Documentos/631/04759797106/6310475979710614092023123019.pdf","https://dpmzos25m8ivg.cloudfront.net/Documentos/631/04759797106/6310475979710614092023123019.pdf")</f>
        <v>https://dpmzos25m8ivg.cloudfront.net/Documentos/631/04759797106/6310475979710614092023123019.pdf</v>
      </c>
      <c r="G2098" s="5" t="str">
        <f>HYPERLINK("https://dpmzos25m8ivg.cloudfront.net/Documentos/631/04759797106/6310475979710614092023123032.pdf","https://dpmzos25m8ivg.cloudfront.net/Documentos/631/04759797106/6310475979710614092023123032.pdf")</f>
        <v>https://dpmzos25m8ivg.cloudfront.net/Documentos/631/04759797106/6310475979710614092023123032.pdf</v>
      </c>
      <c r="H2098" s="4" t="s">
        <v>10678</v>
      </c>
    </row>
    <row r="2099" spans="1:8" x14ac:dyDescent="0.25">
      <c r="A2099" s="2" t="s">
        <v>2113</v>
      </c>
      <c r="B2099" s="3"/>
      <c r="C2099" s="3"/>
      <c r="D2099" s="3"/>
      <c r="E2099" s="4" t="str">
        <f>HYPERLINK("https://dpmzos25m8ivg.cloudfront.net/Documentos/631/04761435194/6310476143519411092023141312.pdf","https://dpmzos25m8ivg.cloudfront.net/Documentos/631/04761435194/6310476143519411092023141312.pdf")</f>
        <v>https://dpmzos25m8ivg.cloudfront.net/Documentos/631/04761435194/6310476143519411092023141312.pdf</v>
      </c>
      <c r="F2099" s="5" t="str">
        <f>HYPERLINK("https://dpmzos25m8ivg.cloudfront.net/Documentos/631/04761435194/6310476143519411092023141319.pdf","https://dpmzos25m8ivg.cloudfront.net/Documentos/631/04761435194/6310476143519411092023141319.pdf")</f>
        <v>https://dpmzos25m8ivg.cloudfront.net/Documentos/631/04761435194/6310476143519411092023141319.pdf</v>
      </c>
      <c r="G2099" s="5" t="str">
        <f>HYPERLINK("https://dpmzos25m8ivg.cloudfront.net/Documentos/631/04761435194/6310476143519411092023141326.pdf","https://dpmzos25m8ivg.cloudfront.net/Documentos/631/04761435194/6310476143519411092023141326.pdf")</f>
        <v>https://dpmzos25m8ivg.cloudfront.net/Documentos/631/04761435194/6310476143519411092023141326.pdf</v>
      </c>
      <c r="H2099" s="4" t="s">
        <v>10679</v>
      </c>
    </row>
    <row r="2100" spans="1:8" x14ac:dyDescent="0.25">
      <c r="A2100" s="2" t="s">
        <v>2114</v>
      </c>
      <c r="B2100" s="3"/>
      <c r="C2100" s="3"/>
      <c r="D2100" s="3"/>
      <c r="E2100" s="4" t="str">
        <f>HYPERLINK("https://dpmzos25m8ivg.cloudfront.net/Documentos/631/04761584270/6310476158427011092023103424.jpg","https://dpmzos25m8ivg.cloudfront.net/Documentos/631/04761584270/6310476158427011092023103424.jpg")</f>
        <v>https://dpmzos25m8ivg.cloudfront.net/Documentos/631/04761584270/6310476158427011092023103424.jpg</v>
      </c>
      <c r="F2100" s="5" t="str">
        <f>HYPERLINK("https://dpmzos25m8ivg.cloudfront.net/Documentos/631/04761584270/6310476158427011092023103432.jpg","https://dpmzos25m8ivg.cloudfront.net/Documentos/631/04761584270/6310476158427011092023103432.jpg")</f>
        <v>https://dpmzos25m8ivg.cloudfront.net/Documentos/631/04761584270/6310476158427011092023103432.jpg</v>
      </c>
      <c r="G2100" s="5" t="str">
        <f>HYPERLINK("https://dpmzos25m8ivg.cloudfront.net/Documentos/631/04761584270/6310476158427011092023103441.jpg","https://dpmzos25m8ivg.cloudfront.net/Documentos/631/04761584270/6310476158427011092023103441.jpg")</f>
        <v>https://dpmzos25m8ivg.cloudfront.net/Documentos/631/04761584270/6310476158427011092023103441.jpg</v>
      </c>
      <c r="H2100" s="4" t="s">
        <v>10680</v>
      </c>
    </row>
    <row r="2101" spans="1:8" x14ac:dyDescent="0.25">
      <c r="A2101" s="2" t="s">
        <v>2115</v>
      </c>
      <c r="B2101" s="3" t="s">
        <v>312</v>
      </c>
      <c r="C2101" s="3"/>
      <c r="D2101" s="3"/>
      <c r="E2101" s="4" t="str">
        <f>HYPERLINK("https://dpmzos25m8ivg.cloudfront.net/Documentos/631/04761597178/6310476159717811092023165332.pdf","https://dpmzos25m8ivg.cloudfront.net/Documentos/631/04761597178/6310476159717811092023165332.pdf")</f>
        <v>https://dpmzos25m8ivg.cloudfront.net/Documentos/631/04761597178/6310476159717811092023165332.pdf</v>
      </c>
      <c r="F2101" s="5" t="str">
        <f>HYPERLINK("https://dpmzos25m8ivg.cloudfront.net/Documentos/631/04761597178/6310476159717811092023165342.pdf","https://dpmzos25m8ivg.cloudfront.net/Documentos/631/04761597178/6310476159717811092023165342.pdf")</f>
        <v>https://dpmzos25m8ivg.cloudfront.net/Documentos/631/04761597178/6310476159717811092023165342.pdf</v>
      </c>
      <c r="G2101" s="5" t="str">
        <f>HYPERLINK("https://dpmzos25m8ivg.cloudfront.net/Documentos/631/04761597178/6310476159717811092023165352.pdf","https://dpmzos25m8ivg.cloudfront.net/Documentos/631/04761597178/6310476159717811092023165352.pdf")</f>
        <v>https://dpmzos25m8ivg.cloudfront.net/Documentos/631/04761597178/6310476159717811092023165352.pdf</v>
      </c>
      <c r="H2101" s="4" t="s">
        <v>10681</v>
      </c>
    </row>
    <row r="2102" spans="1:8" x14ac:dyDescent="0.25">
      <c r="A2102" s="2" t="s">
        <v>2116</v>
      </c>
      <c r="B2102" s="3" t="s">
        <v>8</v>
      </c>
      <c r="C2102" s="3"/>
      <c r="D2102" s="3"/>
      <c r="E2102" s="4" t="str">
        <f>HYPERLINK("https://dpmzos25m8ivg.cloudfront.net/Documentos/631/04762600512/6310476260051205092023084231.pdf","https://dpmzos25m8ivg.cloudfront.net/Documentos/631/04762600512/6310476260051205092023084231.pdf")</f>
        <v>https://dpmzos25m8ivg.cloudfront.net/Documentos/631/04762600512/6310476260051205092023084231.pdf</v>
      </c>
      <c r="F2102" s="5" t="str">
        <f>HYPERLINK("https://dpmzos25m8ivg.cloudfront.net/Documentos/631/04762600512/6310476260051205092023084240.pdf","https://dpmzos25m8ivg.cloudfront.net/Documentos/631/04762600512/6310476260051205092023084240.pdf")</f>
        <v>https://dpmzos25m8ivg.cloudfront.net/Documentos/631/04762600512/6310476260051205092023084240.pdf</v>
      </c>
      <c r="G2102" s="5" t="str">
        <f>HYPERLINK("https://dpmzos25m8ivg.cloudfront.net/Documentos/631/04762600512/6310476260051205092023084249.pdf","https://dpmzos25m8ivg.cloudfront.net/Documentos/631/04762600512/6310476260051205092023084249.pdf")</f>
        <v>https://dpmzos25m8ivg.cloudfront.net/Documentos/631/04762600512/6310476260051205092023084249.pdf</v>
      </c>
      <c r="H2102" s="4" t="s">
        <v>10682</v>
      </c>
    </row>
    <row r="2103" spans="1:8" x14ac:dyDescent="0.25">
      <c r="A2103" s="2" t="s">
        <v>2117</v>
      </c>
      <c r="B2103" s="3" t="s">
        <v>90</v>
      </c>
      <c r="C2103" s="3"/>
      <c r="D2103" s="3"/>
      <c r="E2103" s="4" t="str">
        <f>HYPERLINK("https://dpmzos25m8ivg.cloudfront.net/Documentos/631/04763965140/6310476396514009092023200028.pdf","https://dpmzos25m8ivg.cloudfront.net/Documentos/631/04763965140/6310476396514009092023200028.pdf")</f>
        <v>https://dpmzos25m8ivg.cloudfront.net/Documentos/631/04763965140/6310476396514009092023200028.pdf</v>
      </c>
      <c r="F2103" s="5" t="str">
        <f>HYPERLINK("https://dpmzos25m8ivg.cloudfront.net/Documentos/631/04763965140/6310476396514009092023200041.pdf","https://dpmzos25m8ivg.cloudfront.net/Documentos/631/04763965140/6310476396514009092023200041.pdf")</f>
        <v>https://dpmzos25m8ivg.cloudfront.net/Documentos/631/04763965140/6310476396514009092023200041.pdf</v>
      </c>
      <c r="G2103" s="5" t="str">
        <f>HYPERLINK("https://dpmzos25m8ivg.cloudfront.net/Documentos/631/04763965140/6310476396514009092023200050.pdf","https://dpmzos25m8ivg.cloudfront.net/Documentos/631/04763965140/6310476396514009092023200050.pdf")</f>
        <v>https://dpmzos25m8ivg.cloudfront.net/Documentos/631/04763965140/6310476396514009092023200050.pdf</v>
      </c>
      <c r="H2103" s="4" t="s">
        <v>10683</v>
      </c>
    </row>
    <row r="2104" spans="1:8" x14ac:dyDescent="0.25">
      <c r="A2104" s="2" t="s">
        <v>2118</v>
      </c>
      <c r="B2104" s="3" t="s">
        <v>312</v>
      </c>
      <c r="C2104" s="3"/>
      <c r="D2104" s="3"/>
      <c r="E2104" s="4" t="str">
        <f>HYPERLINK("https://dpmzos25m8ivg.cloudfront.net/Documentos/631/04765115186/6310476511518611092023150925.jpg","https://dpmzos25m8ivg.cloudfront.net/Documentos/631/04765115186/6310476511518611092023150925.jpg")</f>
        <v>https://dpmzos25m8ivg.cloudfront.net/Documentos/631/04765115186/6310476511518611092023150925.jpg</v>
      </c>
      <c r="F2104" s="5" t="str">
        <f>HYPERLINK("https://dpmzos25m8ivg.cloudfront.net/Documentos/631/04765115186/6310476511518611092023150946.jpg","https://dpmzos25m8ivg.cloudfront.net/Documentos/631/04765115186/6310476511518611092023150946.jpg")</f>
        <v>https://dpmzos25m8ivg.cloudfront.net/Documentos/631/04765115186/6310476511518611092023150946.jpg</v>
      </c>
      <c r="G2104" s="5" t="str">
        <f>HYPERLINK("https://dpmzos25m8ivg.cloudfront.net/Documentos/631/04765115186/6310476511518611092023151008.jpg","https://dpmzos25m8ivg.cloudfront.net/Documentos/631/04765115186/6310476511518611092023151008.jpg")</f>
        <v>https://dpmzos25m8ivg.cloudfront.net/Documentos/631/04765115186/6310476511518611092023151008.jpg</v>
      </c>
      <c r="H2104" s="4" t="s">
        <v>10684</v>
      </c>
    </row>
    <row r="2105" spans="1:8" x14ac:dyDescent="0.25">
      <c r="A2105" s="2" t="s">
        <v>2119</v>
      </c>
      <c r="B2105" s="3" t="s">
        <v>23</v>
      </c>
      <c r="C2105" s="3"/>
      <c r="D2105" s="3"/>
      <c r="E2105" s="4" t="str">
        <f>HYPERLINK("https://dpmzos25m8ivg.cloudfront.net/Documentos/631/04767329132/6310476732913211092023085158.jpg","https://dpmzos25m8ivg.cloudfront.net/Documentos/631/04767329132/6310476732913211092023085158.jpg")</f>
        <v>https://dpmzos25m8ivg.cloudfront.net/Documentos/631/04767329132/6310476732913211092023085158.jpg</v>
      </c>
      <c r="F2105" s="5" t="str">
        <f>HYPERLINK("https://dpmzos25m8ivg.cloudfront.net/Documentos/631/04767329132/6310476732913211092023085212.jpg","https://dpmzos25m8ivg.cloudfront.net/Documentos/631/04767329132/6310476732913211092023085212.jpg")</f>
        <v>https://dpmzos25m8ivg.cloudfront.net/Documentos/631/04767329132/6310476732913211092023085212.jpg</v>
      </c>
      <c r="G2105" s="5" t="str">
        <f>HYPERLINK("https://dpmzos25m8ivg.cloudfront.net/Documentos/631/04767329132/6310476732913211092023085222.jpg","https://dpmzos25m8ivg.cloudfront.net/Documentos/631/04767329132/6310476732913211092023085222.jpg")</f>
        <v>https://dpmzos25m8ivg.cloudfront.net/Documentos/631/04767329132/6310476732913211092023085222.jpg</v>
      </c>
      <c r="H2105" s="4" t="s">
        <v>10685</v>
      </c>
    </row>
    <row r="2106" spans="1:8" x14ac:dyDescent="0.25">
      <c r="A2106" s="2" t="s">
        <v>2120</v>
      </c>
      <c r="B2106" s="3"/>
      <c r="C2106" s="3"/>
      <c r="D2106" s="3"/>
      <c r="E2106" s="4" t="str">
        <f>HYPERLINK("https://dpmzos25m8ivg.cloudfront.net/Documentos/631/04768853374/6310476885337405092023143729.jpg","https://dpmzos25m8ivg.cloudfront.net/Documentos/631/04768853374/6310476885337405092023143729.jpg")</f>
        <v>https://dpmzos25m8ivg.cloudfront.net/Documentos/631/04768853374/6310476885337405092023143729.jpg</v>
      </c>
      <c r="F2106" s="5" t="str">
        <f>HYPERLINK("https://dpmzos25m8ivg.cloudfront.net/Documentos/631/04768853374/6310476885337405092023143744.jpg","https://dpmzos25m8ivg.cloudfront.net/Documentos/631/04768853374/6310476885337405092023143744.jpg")</f>
        <v>https://dpmzos25m8ivg.cloudfront.net/Documentos/631/04768853374/6310476885337405092023143744.jpg</v>
      </c>
      <c r="G2106" s="5" t="str">
        <f>HYPERLINK("https://dpmzos25m8ivg.cloudfront.net/Documentos/631/04768853374/6310476885337405092023143759.jpg","https://dpmzos25m8ivg.cloudfront.net/Documentos/631/04768853374/6310476885337405092023143759.jpg")</f>
        <v>https://dpmzos25m8ivg.cloudfront.net/Documentos/631/04768853374/6310476885337405092023143759.jpg</v>
      </c>
      <c r="H2106" s="4" t="s">
        <v>10686</v>
      </c>
    </row>
    <row r="2107" spans="1:8" x14ac:dyDescent="0.25">
      <c r="A2107" s="2" t="s">
        <v>2121</v>
      </c>
      <c r="B2107" s="3"/>
      <c r="C2107" s="3"/>
      <c r="D2107" s="3"/>
      <c r="E2107" s="4" t="str">
        <f>HYPERLINK("https://dpmzos25m8ivg.cloudfront.net/Documentos/631/04771055300/6310477105530010092023154316.pdf","https://dpmzos25m8ivg.cloudfront.net/Documentos/631/04771055300/6310477105530010092023154316.pdf")</f>
        <v>https://dpmzos25m8ivg.cloudfront.net/Documentos/631/04771055300/6310477105530010092023154316.pdf</v>
      </c>
      <c r="F2107" s="5" t="str">
        <f>HYPERLINK("https://dpmzos25m8ivg.cloudfront.net/Documentos/631/04771055300/6310477105530010092023154338.pdf","https://dpmzos25m8ivg.cloudfront.net/Documentos/631/04771055300/6310477105530010092023154338.pdf")</f>
        <v>https://dpmzos25m8ivg.cloudfront.net/Documentos/631/04771055300/6310477105530010092023154338.pdf</v>
      </c>
      <c r="G2107" s="5" t="str">
        <f>HYPERLINK("https://dpmzos25m8ivg.cloudfront.net/Documentos/631/04771055300/6310477105530010092023154355.pdf","https://dpmzos25m8ivg.cloudfront.net/Documentos/631/04771055300/6310477105530010092023154355.pdf")</f>
        <v>https://dpmzos25m8ivg.cloudfront.net/Documentos/631/04771055300/6310477105530010092023154355.pdf</v>
      </c>
      <c r="H2107" s="4" t="s">
        <v>10687</v>
      </c>
    </row>
    <row r="2108" spans="1:8" x14ac:dyDescent="0.25">
      <c r="A2108" s="2" t="s">
        <v>2122</v>
      </c>
      <c r="B2108" s="3"/>
      <c r="C2108" s="3"/>
      <c r="D2108" s="3"/>
      <c r="E2108" s="4" t="str">
        <f>HYPERLINK("https://dpmzos25m8ivg.cloudfront.net/Documentos/631/04771937141/6310477193714111092023163157.pdf","https://dpmzos25m8ivg.cloudfront.net/Documentos/631/04771937141/6310477193714111092023163157.pdf")</f>
        <v>https://dpmzos25m8ivg.cloudfront.net/Documentos/631/04771937141/6310477193714111092023163157.pdf</v>
      </c>
      <c r="F2108" s="5" t="str">
        <f>HYPERLINK("https://dpmzos25m8ivg.cloudfront.net/Documentos/631/04771937141/6310477193714111092023163202.pdf","https://dpmzos25m8ivg.cloudfront.net/Documentos/631/04771937141/6310477193714111092023163202.pdf")</f>
        <v>https://dpmzos25m8ivg.cloudfront.net/Documentos/631/04771937141/6310477193714111092023163202.pdf</v>
      </c>
      <c r="G2108" s="5" t="str">
        <f>HYPERLINK("https://dpmzos25m8ivg.cloudfront.net/Documentos/631/04771937141/6310477193714111092023163209.pdf","https://dpmzos25m8ivg.cloudfront.net/Documentos/631/04771937141/6310477193714111092023163209.pdf")</f>
        <v>https://dpmzos25m8ivg.cloudfront.net/Documentos/631/04771937141/6310477193714111092023163209.pdf</v>
      </c>
      <c r="H2108" s="4" t="s">
        <v>10688</v>
      </c>
    </row>
    <row r="2109" spans="1:8" x14ac:dyDescent="0.25">
      <c r="A2109" s="2" t="s">
        <v>2123</v>
      </c>
      <c r="B2109" s="3"/>
      <c r="C2109" s="3"/>
      <c r="D2109" s="3"/>
      <c r="E2109" s="4" t="str">
        <f>HYPERLINK("https://dpmzos25m8ivg.cloudfront.net/Documentos/631/04774156523/6310477415652311092023095643.pdf","https://dpmzos25m8ivg.cloudfront.net/Documentos/631/04774156523/6310477415652311092023095643.pdf")</f>
        <v>https://dpmzos25m8ivg.cloudfront.net/Documentos/631/04774156523/6310477415652311092023095643.pdf</v>
      </c>
      <c r="F2109" s="5" t="str">
        <f>HYPERLINK("https://dpmzos25m8ivg.cloudfront.net/Documentos/631/04774156523/6310477415652311092023093900.pdf","https://dpmzos25m8ivg.cloudfront.net/Documentos/631/04774156523/6310477415652311092023093900.pdf")</f>
        <v>https://dpmzos25m8ivg.cloudfront.net/Documentos/631/04774156523/6310477415652311092023093900.pdf</v>
      </c>
      <c r="G2109" s="5" t="str">
        <f>HYPERLINK("https://dpmzos25m8ivg.cloudfront.net/Documentos/631/04774156523/6310477415652311092023094813.pdf","https://dpmzos25m8ivg.cloudfront.net/Documentos/631/04774156523/6310477415652311092023094813.pdf")</f>
        <v>https://dpmzos25m8ivg.cloudfront.net/Documentos/631/04774156523/6310477415652311092023094813.pdf</v>
      </c>
      <c r="H2109" s="4" t="s">
        <v>10689</v>
      </c>
    </row>
    <row r="2110" spans="1:8" x14ac:dyDescent="0.25">
      <c r="A2110" s="2" t="s">
        <v>2124</v>
      </c>
      <c r="B2110" s="3"/>
      <c r="C2110" s="3"/>
      <c r="D2110" s="3"/>
      <c r="E2110" s="4" t="str">
        <f>HYPERLINK("https://dpmzos25m8ivg.cloudfront.net/Documentos/631/04774453498/6310477445349808092023234510.pdf","https://dpmzos25m8ivg.cloudfront.net/Documentos/631/04774453498/6310477445349808092023234510.pdf")</f>
        <v>https://dpmzos25m8ivg.cloudfront.net/Documentos/631/04774453498/6310477445349808092023234510.pdf</v>
      </c>
      <c r="F2110" s="5" t="str">
        <f>HYPERLINK("https://dpmzos25m8ivg.cloudfront.net/Documentos/631/04774453498/6310477445349808092023234552.pdf","https://dpmzos25m8ivg.cloudfront.net/Documentos/631/04774453498/6310477445349808092023234552.pdf")</f>
        <v>https://dpmzos25m8ivg.cloudfront.net/Documentos/631/04774453498/6310477445349808092023234552.pdf</v>
      </c>
      <c r="G2110" s="5" t="str">
        <f>HYPERLINK("https://dpmzos25m8ivg.cloudfront.net/Documentos/631/04774453498/6310477445349808092023234642.pdf","https://dpmzos25m8ivg.cloudfront.net/Documentos/631/04774453498/6310477445349808092023234642.pdf")</f>
        <v>https://dpmzos25m8ivg.cloudfront.net/Documentos/631/04774453498/6310477445349808092023234642.pdf</v>
      </c>
      <c r="H2110" s="4" t="s">
        <v>10690</v>
      </c>
    </row>
    <row r="2111" spans="1:8" x14ac:dyDescent="0.25">
      <c r="A2111" s="2" t="s">
        <v>2125</v>
      </c>
      <c r="B2111" s="3"/>
      <c r="C2111" s="3"/>
      <c r="D2111" s="3"/>
      <c r="E2111" s="4" t="str">
        <f>HYPERLINK("https://dpmzos25m8ivg.cloudfront.net/Documentos/631/04780403340/6310478040334011092023115304.pdf","https://dpmzos25m8ivg.cloudfront.net/Documentos/631/04780403340/6310478040334011092023115304.pdf")</f>
        <v>https://dpmzos25m8ivg.cloudfront.net/Documentos/631/04780403340/6310478040334011092023115304.pdf</v>
      </c>
      <c r="F2111" s="5" t="str">
        <f>HYPERLINK("https://dpmzos25m8ivg.cloudfront.net/Documentos/631/04780403340/6310478040334011092023115315.pdf","https://dpmzos25m8ivg.cloudfront.net/Documentos/631/04780403340/6310478040334011092023115315.pdf")</f>
        <v>https://dpmzos25m8ivg.cloudfront.net/Documentos/631/04780403340/6310478040334011092023115315.pdf</v>
      </c>
      <c r="G2111" s="5" t="str">
        <f>HYPERLINK("https://dpmzos25m8ivg.cloudfront.net/Documentos/631/04780403340/6310478040334011092023115324.pdf","https://dpmzos25m8ivg.cloudfront.net/Documentos/631/04780403340/6310478040334011092023115324.pdf")</f>
        <v>https://dpmzos25m8ivg.cloudfront.net/Documentos/631/04780403340/6310478040334011092023115324.pdf</v>
      </c>
      <c r="H2111" s="4" t="s">
        <v>10691</v>
      </c>
    </row>
    <row r="2112" spans="1:8" x14ac:dyDescent="0.25">
      <c r="A2112" s="2" t="s">
        <v>2126</v>
      </c>
      <c r="B2112" s="3"/>
      <c r="C2112" s="3"/>
      <c r="D2112" s="3"/>
      <c r="E2112" s="4" t="str">
        <f>HYPERLINK("https://dpmzos25m8ivg.cloudfront.net/Documentos/631/04781231241/6310478123124109092023221207.pdf","https://dpmzos25m8ivg.cloudfront.net/Documentos/631/04781231241/6310478123124109092023221207.pdf")</f>
        <v>https://dpmzos25m8ivg.cloudfront.net/Documentos/631/04781231241/6310478123124109092023221207.pdf</v>
      </c>
      <c r="F2112" s="5" t="str">
        <f>HYPERLINK("https://dpmzos25m8ivg.cloudfront.net/Documentos/631/04781231241/6310478123124109092023221222.pdf","https://dpmzos25m8ivg.cloudfront.net/Documentos/631/04781231241/6310478123124109092023221222.pdf")</f>
        <v>https://dpmzos25m8ivg.cloudfront.net/Documentos/631/04781231241/6310478123124109092023221222.pdf</v>
      </c>
      <c r="G2112" s="5" t="str">
        <f>HYPERLINK("https://dpmzos25m8ivg.cloudfront.net/Documentos/631/04781231241/6310478123124109092023221233.pdf","https://dpmzos25m8ivg.cloudfront.net/Documentos/631/04781231241/6310478123124109092023221233.pdf")</f>
        <v>https://dpmzos25m8ivg.cloudfront.net/Documentos/631/04781231241/6310478123124109092023221233.pdf</v>
      </c>
      <c r="H2112" s="4" t="s">
        <v>10692</v>
      </c>
    </row>
    <row r="2113" spans="1:8" x14ac:dyDescent="0.25">
      <c r="A2113" s="2" t="s">
        <v>2127</v>
      </c>
      <c r="B2113" s="3"/>
      <c r="C2113" s="3"/>
      <c r="D2113" s="3"/>
      <c r="E2113" s="4" t="str">
        <f>HYPERLINK("https://dpmzos25m8ivg.cloudfront.net/Documentos/631/04782841108/6310478284110805092023102639.pdf","https://dpmzos25m8ivg.cloudfront.net/Documentos/631/04782841108/6310478284110805092023102639.pdf")</f>
        <v>https://dpmzos25m8ivg.cloudfront.net/Documentos/631/04782841108/6310478284110805092023102639.pdf</v>
      </c>
      <c r="F2113" s="5" t="str">
        <f>HYPERLINK("https://dpmzos25m8ivg.cloudfront.net/Documentos/631/04782841108/6310478284110805092023102705.pdf","https://dpmzos25m8ivg.cloudfront.net/Documentos/631/04782841108/6310478284110805092023102705.pdf")</f>
        <v>https://dpmzos25m8ivg.cloudfront.net/Documentos/631/04782841108/6310478284110805092023102705.pdf</v>
      </c>
      <c r="G2113" s="5" t="str">
        <f>HYPERLINK("https://dpmzos25m8ivg.cloudfront.net/Documentos/631/04782841108/6310478284110805092023102721.pdf","https://dpmzos25m8ivg.cloudfront.net/Documentos/631/04782841108/6310478284110805092023102721.pdf")</f>
        <v>https://dpmzos25m8ivg.cloudfront.net/Documentos/631/04782841108/6310478284110805092023102721.pdf</v>
      </c>
      <c r="H2113" s="4" t="s">
        <v>10693</v>
      </c>
    </row>
    <row r="2114" spans="1:8" x14ac:dyDescent="0.25">
      <c r="A2114" s="2" t="s">
        <v>2128</v>
      </c>
      <c r="B2114" s="3"/>
      <c r="C2114" s="3"/>
      <c r="D2114" s="3"/>
      <c r="E2114" s="4" t="str">
        <f>HYPERLINK("https://dpmzos25m8ivg.cloudfront.net/Documentos/631/04783667284/6310478366728409092023154045.pdf","https://dpmzos25m8ivg.cloudfront.net/Documentos/631/04783667284/6310478366728409092023154045.pdf")</f>
        <v>https://dpmzos25m8ivg.cloudfront.net/Documentos/631/04783667284/6310478366728409092023154045.pdf</v>
      </c>
      <c r="F2114" s="5" t="str">
        <f>HYPERLINK("https://dpmzos25m8ivg.cloudfront.net/Documentos/631/04783667284/6310478366728409092023154118.pdf","https://dpmzos25m8ivg.cloudfront.net/Documentos/631/04783667284/6310478366728409092023154118.pdf")</f>
        <v>https://dpmzos25m8ivg.cloudfront.net/Documentos/631/04783667284/6310478366728409092023154118.pdf</v>
      </c>
      <c r="G2114" s="5" t="str">
        <f>HYPERLINK("https://dpmzos25m8ivg.cloudfront.net/Documentos/631/04783667284/6310478366728409092023154133.pdf","https://dpmzos25m8ivg.cloudfront.net/Documentos/631/04783667284/6310478366728409092023154133.pdf")</f>
        <v>https://dpmzos25m8ivg.cloudfront.net/Documentos/631/04783667284/6310478366728409092023154133.pdf</v>
      </c>
      <c r="H2114" s="4" t="s">
        <v>10694</v>
      </c>
    </row>
    <row r="2115" spans="1:8" x14ac:dyDescent="0.25">
      <c r="A2115" s="2" t="s">
        <v>2129</v>
      </c>
      <c r="B2115" s="3"/>
      <c r="C2115" s="3"/>
      <c r="D2115" s="3"/>
      <c r="E2115" s="4" t="str">
        <f>HYPERLINK("https://dpmzos25m8ivg.cloudfront.net/Documentos/631/04784228225/6310478422822510092023165804.pdf","https://dpmzos25m8ivg.cloudfront.net/Documentos/631/04784228225/6310478422822510092023165804.pdf")</f>
        <v>https://dpmzos25m8ivg.cloudfront.net/Documentos/631/04784228225/6310478422822510092023165804.pdf</v>
      </c>
      <c r="F2115" s="5" t="str">
        <f>HYPERLINK("https://dpmzos25m8ivg.cloudfront.net/Documentos/631/04784228225/6310478422822510092023165826.pdf","https://dpmzos25m8ivg.cloudfront.net/Documentos/631/04784228225/6310478422822510092023165826.pdf")</f>
        <v>https://dpmzos25m8ivg.cloudfront.net/Documentos/631/04784228225/6310478422822510092023165826.pdf</v>
      </c>
      <c r="G2115" s="5" t="str">
        <f>HYPERLINK("https://dpmzos25m8ivg.cloudfront.net/Documentos/631/04784228225/6310478422822510092023165837.pdf","https://dpmzos25m8ivg.cloudfront.net/Documentos/631/04784228225/6310478422822510092023165837.pdf")</f>
        <v>https://dpmzos25m8ivg.cloudfront.net/Documentos/631/04784228225/6310478422822510092023165837.pdf</v>
      </c>
      <c r="H2115" s="4" t="s">
        <v>10695</v>
      </c>
    </row>
    <row r="2116" spans="1:8" x14ac:dyDescent="0.25">
      <c r="A2116" s="2" t="s">
        <v>2130</v>
      </c>
      <c r="B2116" s="3"/>
      <c r="C2116" s="3"/>
      <c r="D2116" s="3"/>
      <c r="E2116" s="4" t="str">
        <f>HYPERLINK("https://dpmzos25m8ivg.cloudfront.net/Documentos/631/04785006455/6310478500645510092023135235.pdf","https://dpmzos25m8ivg.cloudfront.net/Documentos/631/04785006455/6310478500645510092023135235.pdf")</f>
        <v>https://dpmzos25m8ivg.cloudfront.net/Documentos/631/04785006455/6310478500645510092023135235.pdf</v>
      </c>
      <c r="F2116" s="5" t="str">
        <f>HYPERLINK("https://dpmzos25m8ivg.cloudfront.net/Documentos/631/04785006455/6310478500645510092023135247.pdf","https://dpmzos25m8ivg.cloudfront.net/Documentos/631/04785006455/6310478500645510092023135247.pdf")</f>
        <v>https://dpmzos25m8ivg.cloudfront.net/Documentos/631/04785006455/6310478500645510092023135247.pdf</v>
      </c>
      <c r="G2116" s="5" t="str">
        <f>HYPERLINK("https://dpmzos25m8ivg.cloudfront.net/Documentos/631/04785006455/6310478500645510092023135258.pdf","https://dpmzos25m8ivg.cloudfront.net/Documentos/631/04785006455/6310478500645510092023135258.pdf")</f>
        <v>https://dpmzos25m8ivg.cloudfront.net/Documentos/631/04785006455/6310478500645510092023135258.pdf</v>
      </c>
      <c r="H2116" s="4" t="s">
        <v>10696</v>
      </c>
    </row>
    <row r="2117" spans="1:8" x14ac:dyDescent="0.25">
      <c r="A2117" s="2" t="s">
        <v>2131</v>
      </c>
      <c r="B2117" s="3"/>
      <c r="C2117" s="3"/>
      <c r="D2117" s="3"/>
      <c r="E2117" s="4" t="str">
        <f>HYPERLINK("https://dpmzos25m8ivg.cloudfront.net/Documentos/631/04787355295/6310478735529512092023204658.pdf","https://dpmzos25m8ivg.cloudfront.net/Documentos/631/04787355295/6310478735529512092023204658.pdf")</f>
        <v>https://dpmzos25m8ivg.cloudfront.net/Documentos/631/04787355295/6310478735529512092023204658.pdf</v>
      </c>
      <c r="F2117" s="5" t="str">
        <f>HYPERLINK("https://dpmzos25m8ivg.cloudfront.net/Documentos/631/04787355295/6310478735529512092023204738.pdf","https://dpmzos25m8ivg.cloudfront.net/Documentos/631/04787355295/6310478735529512092023204738.pdf")</f>
        <v>https://dpmzos25m8ivg.cloudfront.net/Documentos/631/04787355295/6310478735529512092023204738.pdf</v>
      </c>
      <c r="G2117" s="5" t="str">
        <f>HYPERLINK("https://dpmzos25m8ivg.cloudfront.net/Documentos/631/04787355295/6310478735529512092023204754.pdf","https://dpmzos25m8ivg.cloudfront.net/Documentos/631/04787355295/6310478735529512092023204754.pdf")</f>
        <v>https://dpmzos25m8ivg.cloudfront.net/Documentos/631/04787355295/6310478735529512092023204754.pdf</v>
      </c>
      <c r="H2117" s="4" t="s">
        <v>10697</v>
      </c>
    </row>
    <row r="2118" spans="1:8" x14ac:dyDescent="0.25">
      <c r="A2118" s="2" t="s">
        <v>2132</v>
      </c>
      <c r="B2118" s="3"/>
      <c r="C2118" s="3"/>
      <c r="D2118" s="3"/>
      <c r="E2118" s="4" t="str">
        <f>HYPERLINK("https://dpmzos25m8ivg.cloudfront.net/Documentos/631/04792773113/6310479277311314092023160048.pdf","https://dpmzos25m8ivg.cloudfront.net/Documentos/631/04792773113/6310479277311314092023160048.pdf")</f>
        <v>https://dpmzos25m8ivg.cloudfront.net/Documentos/631/04792773113/6310479277311314092023160048.pdf</v>
      </c>
      <c r="F2118" s="5" t="str">
        <f>HYPERLINK("https://dpmzos25m8ivg.cloudfront.net/Documentos/631/04792773113/6310479277311314092023160056.pdf","https://dpmzos25m8ivg.cloudfront.net/Documentos/631/04792773113/6310479277311314092023160056.pdf")</f>
        <v>https://dpmzos25m8ivg.cloudfront.net/Documentos/631/04792773113/6310479277311314092023160056.pdf</v>
      </c>
      <c r="G2118" s="5" t="str">
        <f>HYPERLINK("https://dpmzos25m8ivg.cloudfront.net/Documentos/631/04792773113/6310479277311314092023160104.pdf","https://dpmzos25m8ivg.cloudfront.net/Documentos/631/04792773113/6310479277311314092023160104.pdf")</f>
        <v>https://dpmzos25m8ivg.cloudfront.net/Documentos/631/04792773113/6310479277311314092023160104.pdf</v>
      </c>
      <c r="H2118" s="4" t="s">
        <v>10698</v>
      </c>
    </row>
    <row r="2119" spans="1:8" x14ac:dyDescent="0.25">
      <c r="A2119" s="2" t="s">
        <v>2133</v>
      </c>
      <c r="B2119" s="3"/>
      <c r="C2119" s="3"/>
      <c r="D2119" s="3"/>
      <c r="E2119" s="4" t="str">
        <f>HYPERLINK("https://dpmzos25m8ivg.cloudfront.net/Documentos/631/04792854890/6310479285489008092023152911.pdf","https://dpmzos25m8ivg.cloudfront.net/Documentos/631/04792854890/6310479285489008092023152911.pdf")</f>
        <v>https://dpmzos25m8ivg.cloudfront.net/Documentos/631/04792854890/6310479285489008092023152911.pdf</v>
      </c>
      <c r="F2119" s="5" t="str">
        <f>HYPERLINK("https://dpmzos25m8ivg.cloudfront.net/Documentos/631/04792854890/6310479285489008092023152935.pdf","https://dpmzos25m8ivg.cloudfront.net/Documentos/631/04792854890/6310479285489008092023152935.pdf")</f>
        <v>https://dpmzos25m8ivg.cloudfront.net/Documentos/631/04792854890/6310479285489008092023152935.pdf</v>
      </c>
      <c r="G2119" s="5" t="str">
        <f>HYPERLINK("https://dpmzos25m8ivg.cloudfront.net/Documentos/631/04792854890/6310479285489008092023152956.pdf","https://dpmzos25m8ivg.cloudfront.net/Documentos/631/04792854890/6310479285489008092023152956.pdf")</f>
        <v>https://dpmzos25m8ivg.cloudfront.net/Documentos/631/04792854890/6310479285489008092023152956.pdf</v>
      </c>
      <c r="H2119" s="4" t="s">
        <v>10699</v>
      </c>
    </row>
    <row r="2120" spans="1:8" x14ac:dyDescent="0.25">
      <c r="A2120" s="2" t="s">
        <v>2134</v>
      </c>
      <c r="B2120" s="3"/>
      <c r="C2120" s="3"/>
      <c r="D2120" s="3"/>
      <c r="E2120" s="4" t="str">
        <f>HYPERLINK("https://dpmzos25m8ivg.cloudfront.net/Documentos/631/04792897513/6310479289751311092023134444.pdf","https://dpmzos25m8ivg.cloudfront.net/Documentos/631/04792897513/6310479289751311092023134444.pdf")</f>
        <v>https://dpmzos25m8ivg.cloudfront.net/Documentos/631/04792897513/6310479289751311092023134444.pdf</v>
      </c>
      <c r="F2120" s="5" t="str">
        <f>HYPERLINK("https://dpmzos25m8ivg.cloudfront.net/Documentos/631/04792897513/6310479289751311092023134454.pdf","https://dpmzos25m8ivg.cloudfront.net/Documentos/631/04792897513/6310479289751311092023134454.pdf")</f>
        <v>https://dpmzos25m8ivg.cloudfront.net/Documentos/631/04792897513/6310479289751311092023134454.pdf</v>
      </c>
      <c r="G2120" s="5" t="str">
        <f>HYPERLINK("https://dpmzos25m8ivg.cloudfront.net/Documentos/631/04792897513/6310479289751311092023134501.pdf","https://dpmzos25m8ivg.cloudfront.net/Documentos/631/04792897513/6310479289751311092023134501.pdf")</f>
        <v>https://dpmzos25m8ivg.cloudfront.net/Documentos/631/04792897513/6310479289751311092023134501.pdf</v>
      </c>
      <c r="H2120" s="4" t="s">
        <v>10700</v>
      </c>
    </row>
    <row r="2121" spans="1:8" x14ac:dyDescent="0.25">
      <c r="A2121" s="2" t="s">
        <v>2135</v>
      </c>
      <c r="B2121" s="3"/>
      <c r="C2121" s="3"/>
      <c r="D2121" s="3"/>
      <c r="E2121" s="4" t="str">
        <f>HYPERLINK("https://dpmzos25m8ivg.cloudfront.net/Documentos/631/04795573301/6310479557330105092023102824.pdf","https://dpmzos25m8ivg.cloudfront.net/Documentos/631/04795573301/6310479557330105092023102824.pdf")</f>
        <v>https://dpmzos25m8ivg.cloudfront.net/Documentos/631/04795573301/6310479557330105092023102824.pdf</v>
      </c>
      <c r="F2121" s="5" t="str">
        <f>HYPERLINK("https://dpmzos25m8ivg.cloudfront.net/Documentos/631/04795573301/6310479557330105092023102929.pdf","https://dpmzos25m8ivg.cloudfront.net/Documentos/631/04795573301/6310479557330105092023102929.pdf")</f>
        <v>https://dpmzos25m8ivg.cloudfront.net/Documentos/631/04795573301/6310479557330105092023102929.pdf</v>
      </c>
      <c r="G2121" s="5" t="str">
        <f>HYPERLINK("https://dpmzos25m8ivg.cloudfront.net/Documentos/631/04795573301/6310479557330105092023103223.pdf","https://dpmzos25m8ivg.cloudfront.net/Documentos/631/04795573301/6310479557330105092023103223.pdf")</f>
        <v>https://dpmzos25m8ivg.cloudfront.net/Documentos/631/04795573301/6310479557330105092023103223.pdf</v>
      </c>
      <c r="H2121" s="4" t="s">
        <v>10701</v>
      </c>
    </row>
    <row r="2122" spans="1:8" x14ac:dyDescent="0.25">
      <c r="A2122" s="2" t="s">
        <v>2136</v>
      </c>
      <c r="B2122" s="3"/>
      <c r="C2122" s="3"/>
      <c r="D2122" s="3"/>
      <c r="E2122" s="4" t="str">
        <f>HYPERLINK("https://dpmzos25m8ivg.cloudfront.net/Documentos/631/04796613161/6310479661316111092023152721.jpeg","https://dpmzos25m8ivg.cloudfront.net/Documentos/631/04796613161/6310479661316111092023152721.jpeg")</f>
        <v>https://dpmzos25m8ivg.cloudfront.net/Documentos/631/04796613161/6310479661316111092023152721.jpeg</v>
      </c>
      <c r="F2122" s="5" t="str">
        <f>HYPERLINK("https://dpmzos25m8ivg.cloudfront.net/Documentos/631/04796613161/6310479661316111092023152741.jpeg","https://dpmzos25m8ivg.cloudfront.net/Documentos/631/04796613161/6310479661316111092023152741.jpeg")</f>
        <v>https://dpmzos25m8ivg.cloudfront.net/Documentos/631/04796613161/6310479661316111092023152741.jpeg</v>
      </c>
      <c r="G2122" s="5" t="str">
        <f>HYPERLINK("https://dpmzos25m8ivg.cloudfront.net/Documentos/631/04796613161/6310479661316111092023152756.jpeg","https://dpmzos25m8ivg.cloudfront.net/Documentos/631/04796613161/6310479661316111092023152756.jpeg")</f>
        <v>https://dpmzos25m8ivg.cloudfront.net/Documentos/631/04796613161/6310479661316111092023152756.jpeg</v>
      </c>
      <c r="H2122" s="4" t="s">
        <v>10702</v>
      </c>
    </row>
    <row r="2123" spans="1:8" x14ac:dyDescent="0.25">
      <c r="A2123" s="2" t="s">
        <v>2137</v>
      </c>
      <c r="B2123" s="3"/>
      <c r="C2123" s="3"/>
      <c r="D2123" s="3"/>
      <c r="E2123" s="4" t="str">
        <f>HYPERLINK("https://dpmzos25m8ivg.cloudfront.net/Documentos/631/04799181122/6310479918112206092023144746.pdf","https://dpmzos25m8ivg.cloudfront.net/Documentos/631/04799181122/6310479918112206092023144746.pdf")</f>
        <v>https://dpmzos25m8ivg.cloudfront.net/Documentos/631/04799181122/6310479918112206092023144746.pdf</v>
      </c>
      <c r="F2123" s="5" t="str">
        <f>HYPERLINK("https://dpmzos25m8ivg.cloudfront.net/Documentos/631/04799181122/6310479918112206092023144808.pdf","https://dpmzos25m8ivg.cloudfront.net/Documentos/631/04799181122/6310479918112206092023144808.pdf")</f>
        <v>https://dpmzos25m8ivg.cloudfront.net/Documentos/631/04799181122/6310479918112206092023144808.pdf</v>
      </c>
      <c r="G2123" s="5" t="str">
        <f>HYPERLINK("https://dpmzos25m8ivg.cloudfront.net/Documentos/631/04799181122/6310479918112206092023144830.pdf","https://dpmzos25m8ivg.cloudfront.net/Documentos/631/04799181122/6310479918112206092023144830.pdf")</f>
        <v>https://dpmzos25m8ivg.cloudfront.net/Documentos/631/04799181122/6310479918112206092023144830.pdf</v>
      </c>
      <c r="H2123" s="4" t="s">
        <v>10703</v>
      </c>
    </row>
    <row r="2124" spans="1:8" x14ac:dyDescent="0.25">
      <c r="A2124" s="2" t="s">
        <v>2138</v>
      </c>
      <c r="B2124" s="3" t="s">
        <v>23</v>
      </c>
      <c r="C2124" s="3"/>
      <c r="D2124" s="3"/>
      <c r="E2124" s="4" t="str">
        <f>HYPERLINK("https://dpmzos25m8ivg.cloudfront.net/Documentos/631/04801411509/6310480141150911092023160449.pdf","https://dpmzos25m8ivg.cloudfront.net/Documentos/631/04801411509/6310480141150911092023160449.pdf")</f>
        <v>https://dpmzos25m8ivg.cloudfront.net/Documentos/631/04801411509/6310480141150911092023160449.pdf</v>
      </c>
      <c r="F2124" s="5" t="str">
        <f>HYPERLINK("https://dpmzos25m8ivg.cloudfront.net/Documentos/631/04801411509/6310480141150911092023160516.pdf","https://dpmzos25m8ivg.cloudfront.net/Documentos/631/04801411509/6310480141150911092023160516.pdf")</f>
        <v>https://dpmzos25m8ivg.cloudfront.net/Documentos/631/04801411509/6310480141150911092023160516.pdf</v>
      </c>
      <c r="G2124" s="5" t="str">
        <f>HYPERLINK("https://dpmzos25m8ivg.cloudfront.net/Documentos/631/04801411509/6310480141150911092023160534.pdf","https://dpmzos25m8ivg.cloudfront.net/Documentos/631/04801411509/6310480141150911092023160534.pdf")</f>
        <v>https://dpmzos25m8ivg.cloudfront.net/Documentos/631/04801411509/6310480141150911092023160534.pdf</v>
      </c>
      <c r="H2124" s="4" t="s">
        <v>10704</v>
      </c>
    </row>
    <row r="2125" spans="1:8" x14ac:dyDescent="0.25">
      <c r="A2125" s="2" t="s">
        <v>2139</v>
      </c>
      <c r="B2125" s="3"/>
      <c r="C2125" s="3"/>
      <c r="D2125" s="3"/>
      <c r="E2125" s="4" t="str">
        <f>HYPERLINK("https://dpmzos25m8ivg.cloudfront.net/Documentos/631/04802759207/6310480275920707092023171824.pdf","https://dpmzos25m8ivg.cloudfront.net/Documentos/631/04802759207/6310480275920707092023171824.pdf")</f>
        <v>https://dpmzos25m8ivg.cloudfront.net/Documentos/631/04802759207/6310480275920707092023171824.pdf</v>
      </c>
      <c r="F2125" s="5" t="str">
        <f>HYPERLINK("https://dpmzos25m8ivg.cloudfront.net/Documentos/631/04802759207/6310480275920707092023171941.pdf","https://dpmzos25m8ivg.cloudfront.net/Documentos/631/04802759207/6310480275920707092023171941.pdf")</f>
        <v>https://dpmzos25m8ivg.cloudfront.net/Documentos/631/04802759207/6310480275920707092023171941.pdf</v>
      </c>
      <c r="G2125" s="5" t="str">
        <f>HYPERLINK("https://dpmzos25m8ivg.cloudfront.net/Documentos/631/04802759207/6310480275920707092023171952.pdf","https://dpmzos25m8ivg.cloudfront.net/Documentos/631/04802759207/6310480275920707092023171952.pdf")</f>
        <v>https://dpmzos25m8ivg.cloudfront.net/Documentos/631/04802759207/6310480275920707092023171952.pdf</v>
      </c>
      <c r="H2125" s="4" t="s">
        <v>10705</v>
      </c>
    </row>
    <row r="2126" spans="1:8" x14ac:dyDescent="0.25">
      <c r="A2126" s="2" t="s">
        <v>2140</v>
      </c>
      <c r="B2126" s="3"/>
      <c r="C2126" s="3"/>
      <c r="D2126" s="3"/>
      <c r="E2126" s="4" t="str">
        <f>HYPERLINK("https://dpmzos25m8ivg.cloudfront.net/Documentos/631/04805159642/6310480515964209092023145840.jpg","https://dpmzos25m8ivg.cloudfront.net/Documentos/631/04805159642/6310480515964209092023145840.jpg")</f>
        <v>https://dpmzos25m8ivg.cloudfront.net/Documentos/631/04805159642/6310480515964209092023145840.jpg</v>
      </c>
      <c r="F2126" s="5" t="str">
        <f>HYPERLINK("https://dpmzos25m8ivg.cloudfront.net/Documentos/631/04805159642/6310480515964209092023145928.jpg","https://dpmzos25m8ivg.cloudfront.net/Documentos/631/04805159642/6310480515964209092023145928.jpg")</f>
        <v>https://dpmzos25m8ivg.cloudfront.net/Documentos/631/04805159642/6310480515964209092023145928.jpg</v>
      </c>
      <c r="G2126" s="5" t="str">
        <f>HYPERLINK("https://dpmzos25m8ivg.cloudfront.net/Documentos/631/04805159642/6310480515964209092023145959.jpg","https://dpmzos25m8ivg.cloudfront.net/Documentos/631/04805159642/6310480515964209092023145959.jpg")</f>
        <v>https://dpmzos25m8ivg.cloudfront.net/Documentos/631/04805159642/6310480515964209092023145959.jpg</v>
      </c>
      <c r="H2126" s="4" t="s">
        <v>10706</v>
      </c>
    </row>
    <row r="2127" spans="1:8" x14ac:dyDescent="0.25">
      <c r="A2127" s="2" t="s">
        <v>2141</v>
      </c>
      <c r="B2127" s="3"/>
      <c r="C2127" s="3"/>
      <c r="D2127" s="3"/>
      <c r="E2127" s="4" t="str">
        <f>HYPERLINK("https://dpmzos25m8ivg.cloudfront.net/Documentos/631/04805987200/6310480598720011092023163914.jpeg","https://dpmzos25m8ivg.cloudfront.net/Documentos/631/04805987200/6310480598720011092023163914.jpeg")</f>
        <v>https://dpmzos25m8ivg.cloudfront.net/Documentos/631/04805987200/6310480598720011092023163914.jpeg</v>
      </c>
      <c r="F2127" s="5" t="str">
        <f>HYPERLINK("https://dpmzos25m8ivg.cloudfront.net/Documentos/631/04805987200/6310480598720011092023163923.jpeg","https://dpmzos25m8ivg.cloudfront.net/Documentos/631/04805987200/6310480598720011092023163923.jpeg")</f>
        <v>https://dpmzos25m8ivg.cloudfront.net/Documentos/631/04805987200/6310480598720011092023163923.jpeg</v>
      </c>
      <c r="G2127" s="5" t="str">
        <f>HYPERLINK("https://dpmzos25m8ivg.cloudfront.net/Documentos/631/04805987200/6310480598720011092023163930.jpeg","https://dpmzos25m8ivg.cloudfront.net/Documentos/631/04805987200/6310480598720011092023163930.jpeg")</f>
        <v>https://dpmzos25m8ivg.cloudfront.net/Documentos/631/04805987200/6310480598720011092023163930.jpeg</v>
      </c>
      <c r="H2127" s="4" t="s">
        <v>10707</v>
      </c>
    </row>
    <row r="2128" spans="1:8" x14ac:dyDescent="0.25">
      <c r="A2128" s="2" t="s">
        <v>2142</v>
      </c>
      <c r="B2128" s="3" t="s">
        <v>23</v>
      </c>
      <c r="C2128" s="3"/>
      <c r="D2128" s="3"/>
      <c r="E2128" s="4" t="str">
        <f>HYPERLINK("https://dpmzos25m8ivg.cloudfront.net/Documentos/631/04806231207/6310480623120705092023130438.pdf","https://dpmzos25m8ivg.cloudfront.net/Documentos/631/04806231207/6310480623120705092023130438.pdf")</f>
        <v>https://dpmzos25m8ivg.cloudfront.net/Documentos/631/04806231207/6310480623120705092023130438.pdf</v>
      </c>
      <c r="F2128" s="5" t="str">
        <f>HYPERLINK("https://dpmzos25m8ivg.cloudfront.net/Documentos/631/04806231207/6310480623120705092023130450.pdf","https://dpmzos25m8ivg.cloudfront.net/Documentos/631/04806231207/6310480623120705092023130450.pdf")</f>
        <v>https://dpmzos25m8ivg.cloudfront.net/Documentos/631/04806231207/6310480623120705092023130450.pdf</v>
      </c>
      <c r="G2128" s="5" t="str">
        <f>HYPERLINK("https://dpmzos25m8ivg.cloudfront.net/Documentos/631/04806231207/6310480623120705092023130503.pdf","https://dpmzos25m8ivg.cloudfront.net/Documentos/631/04806231207/6310480623120705092023130503.pdf")</f>
        <v>https://dpmzos25m8ivg.cloudfront.net/Documentos/631/04806231207/6310480623120705092023130503.pdf</v>
      </c>
      <c r="H2128" s="4" t="s">
        <v>10708</v>
      </c>
    </row>
    <row r="2129" spans="1:8" x14ac:dyDescent="0.25">
      <c r="A2129" s="2" t="s">
        <v>2143</v>
      </c>
      <c r="B2129" s="3"/>
      <c r="C2129" s="3"/>
      <c r="D2129" s="3"/>
      <c r="E2129" s="4" t="str">
        <f>HYPERLINK("https://dpmzos25m8ivg.cloudfront.net/Documentos/631/04810064190/6310481006419011092023154317.jpeg","https://dpmzos25m8ivg.cloudfront.net/Documentos/631/04810064190/6310481006419011092023154317.jpeg")</f>
        <v>https://dpmzos25m8ivg.cloudfront.net/Documentos/631/04810064190/6310481006419011092023154317.jpeg</v>
      </c>
      <c r="F2129" s="5" t="str">
        <f>HYPERLINK("https://dpmzos25m8ivg.cloudfront.net/Documentos/631/04810064190/6310481006419011092023153146.jpeg","https://dpmzos25m8ivg.cloudfront.net/Documentos/631/04810064190/6310481006419011092023153146.jpeg")</f>
        <v>https://dpmzos25m8ivg.cloudfront.net/Documentos/631/04810064190/6310481006419011092023153146.jpeg</v>
      </c>
      <c r="G2129" s="5" t="str">
        <f>HYPERLINK("https://dpmzos25m8ivg.cloudfront.net/Documentos/631/04810064190/6310481006419011092023153154.jpeg","https://dpmzos25m8ivg.cloudfront.net/Documentos/631/04810064190/6310481006419011092023153154.jpeg")</f>
        <v>https://dpmzos25m8ivg.cloudfront.net/Documentos/631/04810064190/6310481006419011092023153154.jpeg</v>
      </c>
      <c r="H2129" s="4" t="s">
        <v>10709</v>
      </c>
    </row>
    <row r="2130" spans="1:8" x14ac:dyDescent="0.25">
      <c r="A2130" s="2" t="s">
        <v>2144</v>
      </c>
      <c r="B2130" s="3"/>
      <c r="C2130" s="3"/>
      <c r="D2130" s="3"/>
      <c r="E2130" s="4" t="str">
        <f>HYPERLINK("https://dpmzos25m8ivg.cloudfront.net/Documentos/631/04811927273/6310481192727311092023161829.pdf","https://dpmzos25m8ivg.cloudfront.net/Documentos/631/04811927273/6310481192727311092023161829.pdf")</f>
        <v>https://dpmzos25m8ivg.cloudfront.net/Documentos/631/04811927273/6310481192727311092023161829.pdf</v>
      </c>
      <c r="F2130" s="5" t="str">
        <f>HYPERLINK("https://dpmzos25m8ivg.cloudfront.net/Documentos/631/04811927273/6310481192727311092023162004.pdf","https://dpmzos25m8ivg.cloudfront.net/Documentos/631/04811927273/6310481192727311092023162004.pdf")</f>
        <v>https://dpmzos25m8ivg.cloudfront.net/Documentos/631/04811927273/6310481192727311092023162004.pdf</v>
      </c>
      <c r="G2130" s="5" t="str">
        <f>HYPERLINK("https://dpmzos25m8ivg.cloudfront.net/Documentos/631/04811927273/6310481192727311092023162023.pdf","https://dpmzos25m8ivg.cloudfront.net/Documentos/631/04811927273/6310481192727311092023162023.pdf")</f>
        <v>https://dpmzos25m8ivg.cloudfront.net/Documentos/631/04811927273/6310481192727311092023162023.pdf</v>
      </c>
      <c r="H2130" s="4" t="s">
        <v>10710</v>
      </c>
    </row>
    <row r="2131" spans="1:8" x14ac:dyDescent="0.25">
      <c r="A2131" s="2" t="s">
        <v>2145</v>
      </c>
      <c r="B2131" s="3"/>
      <c r="C2131" s="3"/>
      <c r="D2131" s="3"/>
      <c r="E2131" s="4" t="str">
        <f>HYPERLINK("https://dpmzos25m8ivg.cloudfront.net/Documentos/631/04813703232/6310481370323210092023233513.pdf","https://dpmzos25m8ivg.cloudfront.net/Documentos/631/04813703232/6310481370323210092023233513.pdf")</f>
        <v>https://dpmzos25m8ivg.cloudfront.net/Documentos/631/04813703232/6310481370323210092023233513.pdf</v>
      </c>
      <c r="F2131" s="5" t="str">
        <f>HYPERLINK("https://dpmzos25m8ivg.cloudfront.net/Documentos/631/04813703232/6310481370323210092023233438.pdf","https://dpmzos25m8ivg.cloudfront.net/Documentos/631/04813703232/6310481370323210092023233438.pdf")</f>
        <v>https://dpmzos25m8ivg.cloudfront.net/Documentos/631/04813703232/6310481370323210092023233438.pdf</v>
      </c>
      <c r="G2131" s="5" t="str">
        <f>HYPERLINK("https://dpmzos25m8ivg.cloudfront.net/Documentos/631/04813703232/6310481370323210092023233416.pdf","https://dpmzos25m8ivg.cloudfront.net/Documentos/631/04813703232/6310481370323210092023233416.pdf")</f>
        <v>https://dpmzos25m8ivg.cloudfront.net/Documentos/631/04813703232/6310481370323210092023233416.pdf</v>
      </c>
      <c r="H2131" s="4" t="s">
        <v>10711</v>
      </c>
    </row>
    <row r="2132" spans="1:8" x14ac:dyDescent="0.25">
      <c r="A2132" s="2" t="s">
        <v>2146</v>
      </c>
      <c r="B2132" s="3" t="s">
        <v>90</v>
      </c>
      <c r="C2132" s="3"/>
      <c r="D2132" s="3"/>
      <c r="E2132" s="4" t="str">
        <f>HYPERLINK("https://dpmzos25m8ivg.cloudfront.net/Documentos/631/04816909133/6310481690913311092023104633.pdf","https://dpmzos25m8ivg.cloudfront.net/Documentos/631/04816909133/6310481690913311092023104633.pdf")</f>
        <v>https://dpmzos25m8ivg.cloudfront.net/Documentos/631/04816909133/6310481690913311092023104633.pdf</v>
      </c>
      <c r="F2132" s="5" t="str">
        <f>HYPERLINK("https://dpmzos25m8ivg.cloudfront.net/Documentos/631/04816909133/6310481690913311092023104659.pdf","https://dpmzos25m8ivg.cloudfront.net/Documentos/631/04816909133/6310481690913311092023104659.pdf")</f>
        <v>https://dpmzos25m8ivg.cloudfront.net/Documentos/631/04816909133/6310481690913311092023104659.pdf</v>
      </c>
      <c r="G2132" s="5" t="str">
        <f>HYPERLINK("https://dpmzos25m8ivg.cloudfront.net/Documentos/631/04816909133/6310481690913311092023104718.pdf","https://dpmzos25m8ivg.cloudfront.net/Documentos/631/04816909133/6310481690913311092023104718.pdf")</f>
        <v>https://dpmzos25m8ivg.cloudfront.net/Documentos/631/04816909133/6310481690913311092023104718.pdf</v>
      </c>
      <c r="H2132" s="4" t="s">
        <v>10712</v>
      </c>
    </row>
    <row r="2133" spans="1:8" x14ac:dyDescent="0.25">
      <c r="A2133" s="2" t="s">
        <v>2147</v>
      </c>
      <c r="B2133" s="3"/>
      <c r="C2133" s="3"/>
      <c r="D2133" s="3"/>
      <c r="E2133" s="4" t="str">
        <f>HYPERLINK("https://dpmzos25m8ivg.cloudfront.net/Documentos/631/04821281350/6310482128135005092023085933.pdf","https://dpmzos25m8ivg.cloudfront.net/Documentos/631/04821281350/6310482128135005092023085933.pdf")</f>
        <v>https://dpmzos25m8ivg.cloudfront.net/Documentos/631/04821281350/6310482128135005092023085933.pdf</v>
      </c>
      <c r="F2133" s="5" t="str">
        <f>HYPERLINK("https://dpmzos25m8ivg.cloudfront.net/Documentos/631/04821281350/6310482128135005092023085940.pdf","https://dpmzos25m8ivg.cloudfront.net/Documentos/631/04821281350/6310482128135005092023085940.pdf")</f>
        <v>https://dpmzos25m8ivg.cloudfront.net/Documentos/631/04821281350/6310482128135005092023085940.pdf</v>
      </c>
      <c r="G2133" s="5" t="str">
        <f>HYPERLINK("https://dpmzos25m8ivg.cloudfront.net/Documentos/631/04821281350/6310482128135005092023085949.pdf","https://dpmzos25m8ivg.cloudfront.net/Documentos/631/04821281350/6310482128135005092023085949.pdf")</f>
        <v>https://dpmzos25m8ivg.cloudfront.net/Documentos/631/04821281350/6310482128135005092023085949.pdf</v>
      </c>
      <c r="H2133" s="4" t="s">
        <v>10713</v>
      </c>
    </row>
    <row r="2134" spans="1:8" x14ac:dyDescent="0.25">
      <c r="A2134" s="2" t="s">
        <v>2148</v>
      </c>
      <c r="B2134" s="3"/>
      <c r="C2134" s="3"/>
      <c r="D2134" s="3"/>
      <c r="E2134" s="4" t="str">
        <f>HYPERLINK("https://dpmzos25m8ivg.cloudfront.net/Documentos/631/04821302373/6310482130237305092023160650.pdf","https://dpmzos25m8ivg.cloudfront.net/Documentos/631/04821302373/6310482130237305092023160650.pdf")</f>
        <v>https://dpmzos25m8ivg.cloudfront.net/Documentos/631/04821302373/6310482130237305092023160650.pdf</v>
      </c>
      <c r="F2134" s="5" t="str">
        <f>HYPERLINK("https://dpmzos25m8ivg.cloudfront.net/Documentos/631/04821302373/6310482130237305092023160704.pdf","https://dpmzos25m8ivg.cloudfront.net/Documentos/631/04821302373/6310482130237305092023160704.pdf")</f>
        <v>https://dpmzos25m8ivg.cloudfront.net/Documentos/631/04821302373/6310482130237305092023160704.pdf</v>
      </c>
      <c r="G2134" s="5" t="str">
        <f>HYPERLINK("https://dpmzos25m8ivg.cloudfront.net/Documentos/631/04821302373/6310482130237305092023160719.pdf","https://dpmzos25m8ivg.cloudfront.net/Documentos/631/04821302373/6310482130237305092023160719.pdf")</f>
        <v>https://dpmzos25m8ivg.cloudfront.net/Documentos/631/04821302373/6310482130237305092023160719.pdf</v>
      </c>
      <c r="H2134" s="4" t="s">
        <v>10714</v>
      </c>
    </row>
    <row r="2135" spans="1:8" x14ac:dyDescent="0.25">
      <c r="A2135" s="2" t="s">
        <v>2149</v>
      </c>
      <c r="B2135" s="3"/>
      <c r="C2135" s="3"/>
      <c r="D2135" s="3"/>
      <c r="E2135" s="4" t="str">
        <f>HYPERLINK("https://dpmzos25m8ivg.cloudfront.net/Documentos/631/04822591590/6310482259159011092023154733.pdf","https://dpmzos25m8ivg.cloudfront.net/Documentos/631/04822591590/6310482259159011092023154733.pdf")</f>
        <v>https://dpmzos25m8ivg.cloudfront.net/Documentos/631/04822591590/6310482259159011092023154733.pdf</v>
      </c>
      <c r="F2135" s="5" t="str">
        <f>HYPERLINK("https://dpmzos25m8ivg.cloudfront.net/Documentos/631/04822591590/6310482259159011092023154743.pdf","https://dpmzos25m8ivg.cloudfront.net/Documentos/631/04822591590/6310482259159011092023154743.pdf")</f>
        <v>https://dpmzos25m8ivg.cloudfront.net/Documentos/631/04822591590/6310482259159011092023154743.pdf</v>
      </c>
      <c r="G2135" s="5" t="str">
        <f>HYPERLINK("https://dpmzos25m8ivg.cloudfront.net/Documentos/631/04822591590/6310482259159011092023154755.pdf","https://dpmzos25m8ivg.cloudfront.net/Documentos/631/04822591590/6310482259159011092023154755.pdf")</f>
        <v>https://dpmzos25m8ivg.cloudfront.net/Documentos/631/04822591590/6310482259159011092023154755.pdf</v>
      </c>
      <c r="H2135" s="4" t="s">
        <v>10715</v>
      </c>
    </row>
    <row r="2136" spans="1:8" x14ac:dyDescent="0.25">
      <c r="A2136" s="2" t="s">
        <v>2150</v>
      </c>
      <c r="B2136" s="3"/>
      <c r="C2136" s="3"/>
      <c r="D2136" s="3"/>
      <c r="E2136" s="4" t="str">
        <f>HYPERLINK("https://dpmzos25m8ivg.cloudfront.net/Documentos/631/04824491100/6310482449110011092023134458.pdf","https://dpmzos25m8ivg.cloudfront.net/Documentos/631/04824491100/6310482449110011092023134458.pdf")</f>
        <v>https://dpmzos25m8ivg.cloudfront.net/Documentos/631/04824491100/6310482449110011092023134458.pdf</v>
      </c>
      <c r="F2136" s="5" t="str">
        <f>HYPERLINK("https://dpmzos25m8ivg.cloudfront.net/Documentos/631/04824491100/6310482449110011092023134509.pdf","https://dpmzos25m8ivg.cloudfront.net/Documentos/631/04824491100/6310482449110011092023134509.pdf")</f>
        <v>https://dpmzos25m8ivg.cloudfront.net/Documentos/631/04824491100/6310482449110011092023134509.pdf</v>
      </c>
      <c r="G2136" s="5" t="str">
        <f>HYPERLINK("https://dpmzos25m8ivg.cloudfront.net/Documentos/631/04824491100/6310482449110011092023134519.pdf","https://dpmzos25m8ivg.cloudfront.net/Documentos/631/04824491100/6310482449110011092023134519.pdf")</f>
        <v>https://dpmzos25m8ivg.cloudfront.net/Documentos/631/04824491100/6310482449110011092023134519.pdf</v>
      </c>
      <c r="H2136" s="4" t="s">
        <v>10716</v>
      </c>
    </row>
    <row r="2137" spans="1:8" x14ac:dyDescent="0.25">
      <c r="A2137" s="2" t="s">
        <v>2151</v>
      </c>
      <c r="B2137" s="3"/>
      <c r="C2137" s="3"/>
      <c r="D2137" s="3"/>
      <c r="E2137" s="4" t="str">
        <f>HYPERLINK("https://dpmzos25m8ivg.cloudfront.net/Documentos/631/04829375302/6310482937530214092023144531.pdf","https://dpmzos25m8ivg.cloudfront.net/Documentos/631/04829375302/6310482937530214092023144531.pdf")</f>
        <v>https://dpmzos25m8ivg.cloudfront.net/Documentos/631/04829375302/6310482937530214092023144531.pdf</v>
      </c>
      <c r="F2137" s="5" t="str">
        <f>HYPERLINK("https://dpmzos25m8ivg.cloudfront.net/Documentos/631/04829375302/6310482937530214092023144802.pdf","https://dpmzos25m8ivg.cloudfront.net/Documentos/631/04829375302/6310482937530214092023144802.pdf")</f>
        <v>https://dpmzos25m8ivg.cloudfront.net/Documentos/631/04829375302/6310482937530214092023144802.pdf</v>
      </c>
      <c r="G2137" s="5" t="str">
        <f>HYPERLINK("https://dpmzos25m8ivg.cloudfront.net/Documentos/631/04829375302/6310482937530214092023144730.pdf","https://dpmzos25m8ivg.cloudfront.net/Documentos/631/04829375302/6310482937530214092023144730.pdf")</f>
        <v>https://dpmzos25m8ivg.cloudfront.net/Documentos/631/04829375302/6310482937530214092023144730.pdf</v>
      </c>
      <c r="H2137" s="4" t="s">
        <v>10717</v>
      </c>
    </row>
    <row r="2138" spans="1:8" x14ac:dyDescent="0.25">
      <c r="A2138" s="2" t="s">
        <v>2152</v>
      </c>
      <c r="B2138" s="3" t="s">
        <v>312</v>
      </c>
      <c r="C2138" s="3"/>
      <c r="D2138" s="3"/>
      <c r="E2138" s="4" t="str">
        <f>HYPERLINK("https://dpmzos25m8ivg.cloudfront.net/Documentos/631/04830110457/6310483011045710092023132431.pdf","https://dpmzos25m8ivg.cloudfront.net/Documentos/631/04830110457/6310483011045710092023132431.pdf")</f>
        <v>https://dpmzos25m8ivg.cloudfront.net/Documentos/631/04830110457/6310483011045710092023132431.pdf</v>
      </c>
      <c r="F2138" s="5" t="str">
        <f>HYPERLINK("https://dpmzos25m8ivg.cloudfront.net/Documentos/631/04830110457/6310483011045710092023132509.pdf","https://dpmzos25m8ivg.cloudfront.net/Documentos/631/04830110457/6310483011045710092023132509.pdf")</f>
        <v>https://dpmzos25m8ivg.cloudfront.net/Documentos/631/04830110457/6310483011045710092023132509.pdf</v>
      </c>
      <c r="G2138" s="5" t="str">
        <f>HYPERLINK("https://dpmzos25m8ivg.cloudfront.net/Documentos/631/04830110457/6310483011045710092023132532.pdf","https://dpmzos25m8ivg.cloudfront.net/Documentos/631/04830110457/6310483011045710092023132532.pdf")</f>
        <v>https://dpmzos25m8ivg.cloudfront.net/Documentos/631/04830110457/6310483011045710092023132532.pdf</v>
      </c>
      <c r="H2138" s="4" t="s">
        <v>10718</v>
      </c>
    </row>
    <row r="2139" spans="1:8" x14ac:dyDescent="0.25">
      <c r="A2139" s="2" t="s">
        <v>2153</v>
      </c>
      <c r="B2139" s="3"/>
      <c r="C2139" s="3"/>
      <c r="D2139" s="3"/>
      <c r="E2139" s="4" t="str">
        <f>HYPERLINK("https://dpmzos25m8ivg.cloudfront.net/Documentos/631/04831688150/6310483168815013092023145047.jpeg","https://dpmzos25m8ivg.cloudfront.net/Documentos/631/04831688150/6310483168815013092023145047.jpeg")</f>
        <v>https://dpmzos25m8ivg.cloudfront.net/Documentos/631/04831688150/6310483168815013092023145047.jpeg</v>
      </c>
      <c r="F2139" s="5" t="str">
        <f>HYPERLINK("https://dpmzos25m8ivg.cloudfront.net/Documentos/631/04831688150/6310483168815013092023145104.jpeg","https://dpmzos25m8ivg.cloudfront.net/Documentos/631/04831688150/6310483168815013092023145104.jpeg")</f>
        <v>https://dpmzos25m8ivg.cloudfront.net/Documentos/631/04831688150/6310483168815013092023145104.jpeg</v>
      </c>
      <c r="G2139" s="5" t="str">
        <f>HYPERLINK("https://dpmzos25m8ivg.cloudfront.net/Documentos/631/04831688150/6310483168815013092023145126.jpeg","https://dpmzos25m8ivg.cloudfront.net/Documentos/631/04831688150/6310483168815013092023145126.jpeg")</f>
        <v>https://dpmzos25m8ivg.cloudfront.net/Documentos/631/04831688150/6310483168815013092023145126.jpeg</v>
      </c>
      <c r="H2139" s="4" t="s">
        <v>10719</v>
      </c>
    </row>
    <row r="2140" spans="1:8" x14ac:dyDescent="0.25">
      <c r="A2140" s="2" t="s">
        <v>2154</v>
      </c>
      <c r="B2140" s="3"/>
      <c r="C2140" s="3"/>
      <c r="D2140" s="3"/>
      <c r="E2140" s="4" t="str">
        <f>HYPERLINK("https://dpmzos25m8ivg.cloudfront.net/Documentos/631/04839719365/6310483971936505092023232757.pdf","https://dpmzos25m8ivg.cloudfront.net/Documentos/631/04839719365/6310483971936505092023232757.pdf")</f>
        <v>https://dpmzos25m8ivg.cloudfront.net/Documentos/631/04839719365/6310483971936505092023232757.pdf</v>
      </c>
      <c r="F2140" s="5" t="str">
        <f>HYPERLINK("https://dpmzos25m8ivg.cloudfront.net/Documentos/631/04839719365/6310483971936505092023232819.pdf","https://dpmzos25m8ivg.cloudfront.net/Documentos/631/04839719365/6310483971936505092023232819.pdf")</f>
        <v>https://dpmzos25m8ivg.cloudfront.net/Documentos/631/04839719365/6310483971936505092023232819.pdf</v>
      </c>
      <c r="G2140" s="5" t="str">
        <f>HYPERLINK("https://dpmzos25m8ivg.cloudfront.net/Documentos/631/04839719365/6310483971936505092023232829.pdf","https://dpmzos25m8ivg.cloudfront.net/Documentos/631/04839719365/6310483971936505092023232829.pdf")</f>
        <v>https://dpmzos25m8ivg.cloudfront.net/Documentos/631/04839719365/6310483971936505092023232829.pdf</v>
      </c>
      <c r="H2140" s="4" t="s">
        <v>10720</v>
      </c>
    </row>
    <row r="2141" spans="1:8" x14ac:dyDescent="0.25">
      <c r="A2141" s="2" t="s">
        <v>2155</v>
      </c>
      <c r="B2141" s="3"/>
      <c r="C2141" s="3"/>
      <c r="D2141" s="3"/>
      <c r="E2141" s="4" t="str">
        <f>HYPERLINK("https://dpmzos25m8ivg.cloudfront.net/Documentos/631/04846274578/6310484627457810092023225355.pdf","https://dpmzos25m8ivg.cloudfront.net/Documentos/631/04846274578/6310484627457810092023225355.pdf")</f>
        <v>https://dpmzos25m8ivg.cloudfront.net/Documentos/631/04846274578/6310484627457810092023225355.pdf</v>
      </c>
      <c r="F2141" s="5" t="str">
        <f>HYPERLINK("https://dpmzos25m8ivg.cloudfront.net/Documentos/631/04846274578/6310484627457810092023225415.pdf","https://dpmzos25m8ivg.cloudfront.net/Documentos/631/04846274578/6310484627457810092023225415.pdf")</f>
        <v>https://dpmzos25m8ivg.cloudfront.net/Documentos/631/04846274578/6310484627457810092023225415.pdf</v>
      </c>
      <c r="G2141" s="5" t="str">
        <f>HYPERLINK("https://dpmzos25m8ivg.cloudfront.net/Documentos/631/04846274578/6310484627457810092023225435.pdf","https://dpmzos25m8ivg.cloudfront.net/Documentos/631/04846274578/6310484627457810092023225435.pdf")</f>
        <v>https://dpmzos25m8ivg.cloudfront.net/Documentos/631/04846274578/6310484627457810092023225435.pdf</v>
      </c>
      <c r="H2141" s="4" t="s">
        <v>10721</v>
      </c>
    </row>
    <row r="2142" spans="1:8" x14ac:dyDescent="0.25">
      <c r="A2142" s="2" t="s">
        <v>2156</v>
      </c>
      <c r="B2142" s="3"/>
      <c r="C2142" s="3"/>
      <c r="D2142" s="3"/>
      <c r="E2142" s="4" t="str">
        <f>HYPERLINK("https://dpmzos25m8ivg.cloudfront.net/Documentos/631/04856460137/6310485646013710092023203253.pdf","https://dpmzos25m8ivg.cloudfront.net/Documentos/631/04856460137/6310485646013710092023203253.pdf")</f>
        <v>https://dpmzos25m8ivg.cloudfront.net/Documentos/631/04856460137/6310485646013710092023203253.pdf</v>
      </c>
      <c r="F2142" s="5" t="str">
        <f>HYPERLINK("https://dpmzos25m8ivg.cloudfront.net/Documentos/631/04856460137/6310485646013710092023203321.pdf","https://dpmzos25m8ivg.cloudfront.net/Documentos/631/04856460137/6310485646013710092023203321.pdf")</f>
        <v>https://dpmzos25m8ivg.cloudfront.net/Documentos/631/04856460137/6310485646013710092023203321.pdf</v>
      </c>
      <c r="G2142" s="5" t="str">
        <f>HYPERLINK("https://dpmzos25m8ivg.cloudfront.net/Documentos/631/04856460137/6310485646013710092023203345.pdf","https://dpmzos25m8ivg.cloudfront.net/Documentos/631/04856460137/6310485646013710092023203345.pdf")</f>
        <v>https://dpmzos25m8ivg.cloudfront.net/Documentos/631/04856460137/6310485646013710092023203345.pdf</v>
      </c>
      <c r="H2142" s="4" t="s">
        <v>10722</v>
      </c>
    </row>
    <row r="2143" spans="1:8" x14ac:dyDescent="0.25">
      <c r="A2143" s="2" t="s">
        <v>2157</v>
      </c>
      <c r="B2143" s="3"/>
      <c r="C2143" s="3"/>
      <c r="D2143" s="3"/>
      <c r="E2143" s="4" t="str">
        <f>HYPERLINK("https://dpmzos25m8ivg.cloudfront.net/Documentos/631/04862469140/6310486246914012092023215104.pdf","https://dpmzos25m8ivg.cloudfront.net/Documentos/631/04862469140/6310486246914012092023215104.pdf")</f>
        <v>https://dpmzos25m8ivg.cloudfront.net/Documentos/631/04862469140/6310486246914012092023215104.pdf</v>
      </c>
      <c r="F2143" s="5" t="str">
        <f>HYPERLINK("https://dpmzos25m8ivg.cloudfront.net/Documentos/631/04862469140/6310486246914012092023215133.pdf","https://dpmzos25m8ivg.cloudfront.net/Documentos/631/04862469140/6310486246914012092023215133.pdf")</f>
        <v>https://dpmzos25m8ivg.cloudfront.net/Documentos/631/04862469140/6310486246914012092023215133.pdf</v>
      </c>
      <c r="G2143" s="5" t="str">
        <f>HYPERLINK("https://dpmzos25m8ivg.cloudfront.net/Documentos/631/04862469140/6310486246914012092023215145.pdf","https://dpmzos25m8ivg.cloudfront.net/Documentos/631/04862469140/6310486246914012092023215145.pdf")</f>
        <v>https://dpmzos25m8ivg.cloudfront.net/Documentos/631/04862469140/6310486246914012092023215145.pdf</v>
      </c>
      <c r="H2143" s="4" t="s">
        <v>10723</v>
      </c>
    </row>
    <row r="2144" spans="1:8" x14ac:dyDescent="0.25">
      <c r="A2144" s="2" t="s">
        <v>2158</v>
      </c>
      <c r="B2144" s="3"/>
      <c r="C2144" s="3"/>
      <c r="D2144" s="3"/>
      <c r="E2144" s="4" t="str">
        <f>HYPERLINK("https://dpmzos25m8ivg.cloudfront.net/Documentos/631/04863057164/6310486305716411092023120514.pdf","https://dpmzos25m8ivg.cloudfront.net/Documentos/631/04863057164/6310486305716411092023120514.pdf")</f>
        <v>https://dpmzos25m8ivg.cloudfront.net/Documentos/631/04863057164/6310486305716411092023120514.pdf</v>
      </c>
      <c r="F2144" s="5" t="str">
        <f>HYPERLINK("https://dpmzos25m8ivg.cloudfront.net/Documentos/631/04863057164/6310486305716411092023120533.pdf","https://dpmzos25m8ivg.cloudfront.net/Documentos/631/04863057164/6310486305716411092023120533.pdf")</f>
        <v>https://dpmzos25m8ivg.cloudfront.net/Documentos/631/04863057164/6310486305716411092023120533.pdf</v>
      </c>
      <c r="G2144" s="5" t="str">
        <f>HYPERLINK("https://dpmzos25m8ivg.cloudfront.net/Documentos/631/04863057164/6310486305716411092023120551.pdf","https://dpmzos25m8ivg.cloudfront.net/Documentos/631/04863057164/6310486305716411092023120551.pdf")</f>
        <v>https://dpmzos25m8ivg.cloudfront.net/Documentos/631/04863057164/6310486305716411092023120551.pdf</v>
      </c>
      <c r="H2144" s="4" t="s">
        <v>10724</v>
      </c>
    </row>
    <row r="2145" spans="1:8" x14ac:dyDescent="0.25">
      <c r="A2145" s="2" t="s">
        <v>2159</v>
      </c>
      <c r="B2145" s="3"/>
      <c r="C2145" s="3"/>
      <c r="D2145" s="3"/>
      <c r="E2145" s="4" t="str">
        <f>HYPERLINK("https://dpmzos25m8ivg.cloudfront.net/Documentos/631/04868164511/6310486816451110092023163038.pdf","https://dpmzos25m8ivg.cloudfront.net/Documentos/631/04868164511/6310486816451110092023163038.pdf")</f>
        <v>https://dpmzos25m8ivg.cloudfront.net/Documentos/631/04868164511/6310486816451110092023163038.pdf</v>
      </c>
      <c r="F2145" s="5" t="str">
        <f>HYPERLINK("https://dpmzos25m8ivg.cloudfront.net/Documentos/631/04868164511/6310486816451110092023163051.pdf","https://dpmzos25m8ivg.cloudfront.net/Documentos/631/04868164511/6310486816451110092023163051.pdf")</f>
        <v>https://dpmzos25m8ivg.cloudfront.net/Documentos/631/04868164511/6310486816451110092023163051.pdf</v>
      </c>
      <c r="G2145" s="5" t="str">
        <f>HYPERLINK("https://dpmzos25m8ivg.cloudfront.net/Documentos/631/04868164511/6310486816451110092023163101.pdf","https://dpmzos25m8ivg.cloudfront.net/Documentos/631/04868164511/6310486816451110092023163101.pdf")</f>
        <v>https://dpmzos25m8ivg.cloudfront.net/Documentos/631/04868164511/6310486816451110092023163101.pdf</v>
      </c>
      <c r="H2145" s="4" t="s">
        <v>10725</v>
      </c>
    </row>
    <row r="2146" spans="1:8" x14ac:dyDescent="0.25">
      <c r="A2146" s="2" t="s">
        <v>2160</v>
      </c>
      <c r="B2146" s="3"/>
      <c r="C2146" s="3"/>
      <c r="D2146" s="3"/>
      <c r="E2146" s="4" t="str">
        <f>HYPERLINK("https://dpmzos25m8ivg.cloudfront.net/Documentos/631/04871994309/6310487199430906092023105103.pdf","https://dpmzos25m8ivg.cloudfront.net/Documentos/631/04871994309/6310487199430906092023105103.pdf")</f>
        <v>https://dpmzos25m8ivg.cloudfront.net/Documentos/631/04871994309/6310487199430906092023105103.pdf</v>
      </c>
      <c r="F2146" s="5" t="str">
        <f>HYPERLINK("https://dpmzos25m8ivg.cloudfront.net/Documentos/631/04871994309/6310487199430906092023105118.pdf","https://dpmzos25m8ivg.cloudfront.net/Documentos/631/04871994309/6310487199430906092023105118.pdf")</f>
        <v>https://dpmzos25m8ivg.cloudfront.net/Documentos/631/04871994309/6310487199430906092023105118.pdf</v>
      </c>
      <c r="G2146" s="5" t="str">
        <f>HYPERLINK("https://dpmzos25m8ivg.cloudfront.net/Documentos/631/04871994309/6310487199430906092023105131.pdf","https://dpmzos25m8ivg.cloudfront.net/Documentos/631/04871994309/6310487199430906092023105131.pdf")</f>
        <v>https://dpmzos25m8ivg.cloudfront.net/Documentos/631/04871994309/6310487199430906092023105131.pdf</v>
      </c>
      <c r="H2146" s="4" t="s">
        <v>10726</v>
      </c>
    </row>
    <row r="2147" spans="1:8" x14ac:dyDescent="0.25">
      <c r="A2147" s="2" t="s">
        <v>2161</v>
      </c>
      <c r="B2147" s="3"/>
      <c r="C2147" s="3"/>
      <c r="D2147" s="3"/>
      <c r="E2147" s="4" t="str">
        <f>HYPERLINK("https://dpmzos25m8ivg.cloudfront.net/Documentos/631/04874246389/6310487424638908092023163410.pdf","https://dpmzos25m8ivg.cloudfront.net/Documentos/631/04874246389/6310487424638908092023163410.pdf")</f>
        <v>https://dpmzos25m8ivg.cloudfront.net/Documentos/631/04874246389/6310487424638908092023163410.pdf</v>
      </c>
      <c r="F2147" s="5" t="str">
        <f>HYPERLINK("https://dpmzos25m8ivg.cloudfront.net/Documentos/631/04874246389/6310487424638908092023163422.pdf","https://dpmzos25m8ivg.cloudfront.net/Documentos/631/04874246389/6310487424638908092023163422.pdf")</f>
        <v>https://dpmzos25m8ivg.cloudfront.net/Documentos/631/04874246389/6310487424638908092023163422.pdf</v>
      </c>
      <c r="G2147" s="5" t="str">
        <f>HYPERLINK("https://dpmzos25m8ivg.cloudfront.net/Documentos/631/04874246389/6310487424638908092023163432.pdf","https://dpmzos25m8ivg.cloudfront.net/Documentos/631/04874246389/6310487424638908092023163432.pdf")</f>
        <v>https://dpmzos25m8ivg.cloudfront.net/Documentos/631/04874246389/6310487424638908092023163432.pdf</v>
      </c>
      <c r="H2147" s="4" t="s">
        <v>10727</v>
      </c>
    </row>
    <row r="2148" spans="1:8" x14ac:dyDescent="0.25">
      <c r="A2148" s="2" t="s">
        <v>2162</v>
      </c>
      <c r="B2148" s="3"/>
      <c r="C2148" s="3"/>
      <c r="D2148" s="3"/>
      <c r="E2148" s="4" t="str">
        <f>HYPERLINK("https://dpmzos25m8ivg.cloudfront.net/Documentos/631/04875349211/6310487534921106092023212258.pdf","https://dpmzos25m8ivg.cloudfront.net/Documentos/631/04875349211/6310487534921106092023212258.pdf")</f>
        <v>https://dpmzos25m8ivg.cloudfront.net/Documentos/631/04875349211/6310487534921106092023212258.pdf</v>
      </c>
      <c r="F2148" s="5" t="str">
        <f>HYPERLINK("https://dpmzos25m8ivg.cloudfront.net/Documentos/631/04875349211/6310487534921106092023212240.pdf","https://dpmzos25m8ivg.cloudfront.net/Documentos/631/04875349211/6310487534921106092023212240.pdf")</f>
        <v>https://dpmzos25m8ivg.cloudfront.net/Documentos/631/04875349211/6310487534921106092023212240.pdf</v>
      </c>
      <c r="G2148" s="5" t="str">
        <f>HYPERLINK("https://dpmzos25m8ivg.cloudfront.net/Documentos/631/04875349211/6310487534921106092023212214.pdf","https://dpmzos25m8ivg.cloudfront.net/Documentos/631/04875349211/6310487534921106092023212214.pdf")</f>
        <v>https://dpmzos25m8ivg.cloudfront.net/Documentos/631/04875349211/6310487534921106092023212214.pdf</v>
      </c>
      <c r="H2148" s="4" t="s">
        <v>10728</v>
      </c>
    </row>
    <row r="2149" spans="1:8" x14ac:dyDescent="0.25">
      <c r="A2149" s="2" t="s">
        <v>2163</v>
      </c>
      <c r="B2149" s="3" t="s">
        <v>8</v>
      </c>
      <c r="C2149" s="3"/>
      <c r="D2149" s="3"/>
      <c r="E2149" s="4" t="str">
        <f>HYPERLINK("https://dpmzos25m8ivg.cloudfront.net/Documentos/631/04875545150/6310487554515010092023101025.pdf","https://dpmzos25m8ivg.cloudfront.net/Documentos/631/04875545150/6310487554515010092023101025.pdf")</f>
        <v>https://dpmzos25m8ivg.cloudfront.net/Documentos/631/04875545150/6310487554515010092023101025.pdf</v>
      </c>
      <c r="F2149" s="5" t="str">
        <f>HYPERLINK("https://dpmzos25m8ivg.cloudfront.net/Documentos/631/04875545150/6310487554515010092023101117.pdf","https://dpmzos25m8ivg.cloudfront.net/Documentos/631/04875545150/6310487554515010092023101117.pdf")</f>
        <v>https://dpmzos25m8ivg.cloudfront.net/Documentos/631/04875545150/6310487554515010092023101117.pdf</v>
      </c>
      <c r="G2149" s="5" t="str">
        <f>HYPERLINK("https://dpmzos25m8ivg.cloudfront.net/Documentos/631/04875545150/6310487554515010092023101131.pdf","https://dpmzos25m8ivg.cloudfront.net/Documentos/631/04875545150/6310487554515010092023101131.pdf")</f>
        <v>https://dpmzos25m8ivg.cloudfront.net/Documentos/631/04875545150/6310487554515010092023101131.pdf</v>
      </c>
      <c r="H2149" s="4" t="s">
        <v>10729</v>
      </c>
    </row>
    <row r="2150" spans="1:8" x14ac:dyDescent="0.25">
      <c r="A2150" s="2" t="s">
        <v>2164</v>
      </c>
      <c r="B2150" s="3" t="s">
        <v>312</v>
      </c>
      <c r="C2150" s="3"/>
      <c r="D2150" s="3"/>
      <c r="E2150" s="4" t="str">
        <f>HYPERLINK("https://dpmzos25m8ivg.cloudfront.net/Documentos/631/04877549480/6310487754948005092023094332.pdf","https://dpmzos25m8ivg.cloudfront.net/Documentos/631/04877549480/6310487754948005092023094332.pdf")</f>
        <v>https://dpmzos25m8ivg.cloudfront.net/Documentos/631/04877549480/6310487754948005092023094332.pdf</v>
      </c>
      <c r="F2150" s="5" t="str">
        <f>HYPERLINK("https://dpmzos25m8ivg.cloudfront.net/Documentos/631/04877549480/6310487754948005092023094506.pdf","https://dpmzos25m8ivg.cloudfront.net/Documentos/631/04877549480/6310487754948005092023094506.pdf")</f>
        <v>https://dpmzos25m8ivg.cloudfront.net/Documentos/631/04877549480/6310487754948005092023094506.pdf</v>
      </c>
      <c r="G2150" s="5" t="str">
        <f>HYPERLINK("https://dpmzos25m8ivg.cloudfront.net/Documentos/631/04877549480/6310487754948005092023094530.pdf","https://dpmzos25m8ivg.cloudfront.net/Documentos/631/04877549480/6310487754948005092023094530.pdf")</f>
        <v>https://dpmzos25m8ivg.cloudfront.net/Documentos/631/04877549480/6310487754948005092023094530.pdf</v>
      </c>
      <c r="H2150" s="4" t="s">
        <v>10730</v>
      </c>
    </row>
    <row r="2151" spans="1:8" x14ac:dyDescent="0.25">
      <c r="A2151" s="2" t="s">
        <v>2165</v>
      </c>
      <c r="B2151" s="3"/>
      <c r="C2151" s="3"/>
      <c r="D2151" s="3"/>
      <c r="E2151" s="4" t="str">
        <f>HYPERLINK("https://dpmzos25m8ivg.cloudfront.net/Documentos/631/04880882593/6310488088259309092023135711.jpg","https://dpmzos25m8ivg.cloudfront.net/Documentos/631/04880882593/6310488088259309092023135711.jpg")</f>
        <v>https://dpmzos25m8ivg.cloudfront.net/Documentos/631/04880882593/6310488088259309092023135711.jpg</v>
      </c>
      <c r="F2151" s="5" t="str">
        <f>HYPERLINK("https://dpmzos25m8ivg.cloudfront.net/Documentos/631/04880882593/6310488088259309092023135746.jpg","https://dpmzos25m8ivg.cloudfront.net/Documentos/631/04880882593/6310488088259309092023135746.jpg")</f>
        <v>https://dpmzos25m8ivg.cloudfront.net/Documentos/631/04880882593/6310488088259309092023135746.jpg</v>
      </c>
      <c r="G2151" s="5" t="str">
        <f>HYPERLINK("https://dpmzos25m8ivg.cloudfront.net/Documentos/631/04880882593/6310488088259309092023135818.jpg","https://dpmzos25m8ivg.cloudfront.net/Documentos/631/04880882593/6310488088259309092023135818.jpg")</f>
        <v>https://dpmzos25m8ivg.cloudfront.net/Documentos/631/04880882593/6310488088259309092023135818.jpg</v>
      </c>
      <c r="H2151" s="4" t="s">
        <v>10731</v>
      </c>
    </row>
    <row r="2152" spans="1:8" x14ac:dyDescent="0.25">
      <c r="A2152" s="2" t="s">
        <v>2166</v>
      </c>
      <c r="B2152" s="3"/>
      <c r="C2152" s="3"/>
      <c r="D2152" s="3"/>
      <c r="E2152" s="4" t="str">
        <f>HYPERLINK("https://dpmzos25m8ivg.cloudfront.net/Documentos/631/04881349511/6310488134951105092023195617.pdf","https://dpmzos25m8ivg.cloudfront.net/Documentos/631/04881349511/6310488134951105092023195617.pdf")</f>
        <v>https://dpmzos25m8ivg.cloudfront.net/Documentos/631/04881349511/6310488134951105092023195617.pdf</v>
      </c>
      <c r="F2152" s="5" t="str">
        <f>HYPERLINK("https://dpmzos25m8ivg.cloudfront.net/Documentos/631/04881349511/6310488134951105092023195700.pdf","https://dpmzos25m8ivg.cloudfront.net/Documentos/631/04881349511/6310488134951105092023195700.pdf")</f>
        <v>https://dpmzos25m8ivg.cloudfront.net/Documentos/631/04881349511/6310488134951105092023195700.pdf</v>
      </c>
      <c r="G2152" s="5" t="str">
        <f>HYPERLINK("https://dpmzos25m8ivg.cloudfront.net/Documentos/631/04881349511/6310488134951105092023195745.pdf","https://dpmzos25m8ivg.cloudfront.net/Documentos/631/04881349511/6310488134951105092023195745.pdf")</f>
        <v>https://dpmzos25m8ivg.cloudfront.net/Documentos/631/04881349511/6310488134951105092023195745.pdf</v>
      </c>
      <c r="H2152" s="4" t="s">
        <v>10732</v>
      </c>
    </row>
    <row r="2153" spans="1:8" x14ac:dyDescent="0.25">
      <c r="A2153" s="2" t="s">
        <v>2167</v>
      </c>
      <c r="B2153" s="3"/>
      <c r="C2153" s="3"/>
      <c r="D2153" s="3"/>
      <c r="E2153" s="4" t="str">
        <f>HYPERLINK("https://dpmzos25m8ivg.cloudfront.net/Documentos/631/04883727122/6310488372712211092023164727.pdf","https://dpmzos25m8ivg.cloudfront.net/Documentos/631/04883727122/6310488372712211092023164727.pdf")</f>
        <v>https://dpmzos25m8ivg.cloudfront.net/Documentos/631/04883727122/6310488372712211092023164727.pdf</v>
      </c>
      <c r="F2153" s="5" t="str">
        <f>HYPERLINK("https://dpmzos25m8ivg.cloudfront.net/Documentos/631/04883727122/6310488372712211092023164737.pdf","https://dpmzos25m8ivg.cloudfront.net/Documentos/631/04883727122/6310488372712211092023164737.pdf")</f>
        <v>https://dpmzos25m8ivg.cloudfront.net/Documentos/631/04883727122/6310488372712211092023164737.pdf</v>
      </c>
      <c r="G2153" s="5" t="str">
        <f>HYPERLINK("https://dpmzos25m8ivg.cloudfront.net/Documentos/631/04883727122/6310488372712211092023164747.pdf","https://dpmzos25m8ivg.cloudfront.net/Documentos/631/04883727122/6310488372712211092023164747.pdf")</f>
        <v>https://dpmzos25m8ivg.cloudfront.net/Documentos/631/04883727122/6310488372712211092023164747.pdf</v>
      </c>
      <c r="H2153" s="4" t="s">
        <v>10733</v>
      </c>
    </row>
    <row r="2154" spans="1:8" x14ac:dyDescent="0.25">
      <c r="A2154" s="2" t="s">
        <v>2168</v>
      </c>
      <c r="B2154" s="3"/>
      <c r="C2154" s="3"/>
      <c r="D2154" s="3"/>
      <c r="E2154" s="4" t="str">
        <f>HYPERLINK("https://dpmzos25m8ivg.cloudfront.net/Documentos/631/04885508231/6310488550823107092023193419.pdf","https://dpmzos25m8ivg.cloudfront.net/Documentos/631/04885508231/6310488550823107092023193419.pdf")</f>
        <v>https://dpmzos25m8ivg.cloudfront.net/Documentos/631/04885508231/6310488550823107092023193419.pdf</v>
      </c>
      <c r="F2154" s="5" t="str">
        <f>HYPERLINK("https://dpmzos25m8ivg.cloudfront.net/Documentos/631/04885508231/6310488550823107092023193432.pdf","https://dpmzos25m8ivg.cloudfront.net/Documentos/631/04885508231/6310488550823107092023193432.pdf")</f>
        <v>https://dpmzos25m8ivg.cloudfront.net/Documentos/631/04885508231/6310488550823107092023193432.pdf</v>
      </c>
      <c r="G2154" s="5" t="str">
        <f>HYPERLINK("https://dpmzos25m8ivg.cloudfront.net/Documentos/631/04885508231/6310488550823107092023193445.pdf","https://dpmzos25m8ivg.cloudfront.net/Documentos/631/04885508231/6310488550823107092023193445.pdf")</f>
        <v>https://dpmzos25m8ivg.cloudfront.net/Documentos/631/04885508231/6310488550823107092023193445.pdf</v>
      </c>
      <c r="H2154" s="4" t="s">
        <v>10734</v>
      </c>
    </row>
    <row r="2155" spans="1:8" x14ac:dyDescent="0.25">
      <c r="A2155" s="2" t="s">
        <v>2169</v>
      </c>
      <c r="B2155" s="3" t="s">
        <v>312</v>
      </c>
      <c r="C2155" s="3"/>
      <c r="D2155" s="3"/>
      <c r="E2155" s="4" t="str">
        <f>HYPERLINK("https://dpmzos25m8ivg.cloudfront.net/Documentos/631/04885885370/6310488588537005092023122715.pdf","https://dpmzos25m8ivg.cloudfront.net/Documentos/631/04885885370/6310488588537005092023122715.pdf")</f>
        <v>https://dpmzos25m8ivg.cloudfront.net/Documentos/631/04885885370/6310488588537005092023122715.pdf</v>
      </c>
      <c r="F2155" s="5" t="str">
        <f>HYPERLINK("https://dpmzos25m8ivg.cloudfront.net/Documentos/631/04885885370/6310488588537005092023122727.pdf","https://dpmzos25m8ivg.cloudfront.net/Documentos/631/04885885370/6310488588537005092023122727.pdf")</f>
        <v>https://dpmzos25m8ivg.cloudfront.net/Documentos/631/04885885370/6310488588537005092023122727.pdf</v>
      </c>
      <c r="G2155" s="5" t="str">
        <f>HYPERLINK("https://dpmzos25m8ivg.cloudfront.net/Documentos/631/04885885370/6310488588537005092023122742.pdf","https://dpmzos25m8ivg.cloudfront.net/Documentos/631/04885885370/6310488588537005092023122742.pdf")</f>
        <v>https://dpmzos25m8ivg.cloudfront.net/Documentos/631/04885885370/6310488588537005092023122742.pdf</v>
      </c>
      <c r="H2155" s="4" t="s">
        <v>10735</v>
      </c>
    </row>
    <row r="2156" spans="1:8" x14ac:dyDescent="0.25">
      <c r="A2156" s="2" t="s">
        <v>2170</v>
      </c>
      <c r="B2156" s="3" t="s">
        <v>90</v>
      </c>
      <c r="C2156" s="3"/>
      <c r="D2156" s="3"/>
      <c r="E2156" s="4" t="str">
        <f>HYPERLINK("https://dpmzos25m8ivg.cloudfront.net/Documentos/631/04888263221/6310488826322111092023140542.pdf","https://dpmzos25m8ivg.cloudfront.net/Documentos/631/04888263221/6310488826322111092023140542.pdf")</f>
        <v>https://dpmzos25m8ivg.cloudfront.net/Documentos/631/04888263221/6310488826322111092023140542.pdf</v>
      </c>
      <c r="F2156" s="5" t="str">
        <f>HYPERLINK("https://dpmzos25m8ivg.cloudfront.net/Documentos/631/04888263221/6310488826322111092023140606.pdf","https://dpmzos25m8ivg.cloudfront.net/Documentos/631/04888263221/6310488826322111092023140606.pdf")</f>
        <v>https://dpmzos25m8ivg.cloudfront.net/Documentos/631/04888263221/6310488826322111092023140606.pdf</v>
      </c>
      <c r="G2156" s="5" t="str">
        <f>HYPERLINK("https://dpmzos25m8ivg.cloudfront.net/Documentos/631/04888263221/6310488826322111092023140611.pdf","https://dpmzos25m8ivg.cloudfront.net/Documentos/631/04888263221/6310488826322111092023140611.pdf")</f>
        <v>https://dpmzos25m8ivg.cloudfront.net/Documentos/631/04888263221/6310488826322111092023140611.pdf</v>
      </c>
      <c r="H2156" s="4" t="s">
        <v>10736</v>
      </c>
    </row>
    <row r="2157" spans="1:8" x14ac:dyDescent="0.25">
      <c r="A2157" s="2" t="s">
        <v>2171</v>
      </c>
      <c r="B2157" s="3" t="s">
        <v>90</v>
      </c>
      <c r="C2157" s="3"/>
      <c r="D2157" s="3"/>
      <c r="E2157" s="4" t="str">
        <f>HYPERLINK("https://dpmzos25m8ivg.cloudfront.net/Documentos/631/04889836497/6310488983649710092023132952.pdf","https://dpmzos25m8ivg.cloudfront.net/Documentos/631/04889836497/6310488983649710092023132952.pdf")</f>
        <v>https://dpmzos25m8ivg.cloudfront.net/Documentos/631/04889836497/6310488983649710092023132952.pdf</v>
      </c>
      <c r="F2157" s="5" t="str">
        <f>HYPERLINK("https://dpmzos25m8ivg.cloudfront.net/Documentos/631/04889836497/6310488983649710092023133018.pdf","https://dpmzos25m8ivg.cloudfront.net/Documentos/631/04889836497/6310488983649710092023133018.pdf")</f>
        <v>https://dpmzos25m8ivg.cloudfront.net/Documentos/631/04889836497/6310488983649710092023133018.pdf</v>
      </c>
      <c r="G2157" s="5" t="str">
        <f>HYPERLINK("https://dpmzos25m8ivg.cloudfront.net/Documentos/631/04889836497/6310488983649710092023133028.pdf","https://dpmzos25m8ivg.cloudfront.net/Documentos/631/04889836497/6310488983649710092023133028.pdf")</f>
        <v>https://dpmzos25m8ivg.cloudfront.net/Documentos/631/04889836497/6310488983649710092023133028.pdf</v>
      </c>
      <c r="H2157" s="4" t="s">
        <v>10737</v>
      </c>
    </row>
    <row r="2158" spans="1:8" x14ac:dyDescent="0.25">
      <c r="A2158" s="2" t="s">
        <v>2172</v>
      </c>
      <c r="B2158" s="3"/>
      <c r="C2158" s="3"/>
      <c r="D2158" s="3"/>
      <c r="E2158" s="4" t="str">
        <f>HYPERLINK("https://dpmzos25m8ivg.cloudfront.net/Documentos/631/04900249122/6310490024912210092023224717.jpg","https://dpmzos25m8ivg.cloudfront.net/Documentos/631/04900249122/6310490024912210092023224717.jpg")</f>
        <v>https://dpmzos25m8ivg.cloudfront.net/Documentos/631/04900249122/6310490024912210092023224717.jpg</v>
      </c>
      <c r="F2158" s="5" t="str">
        <f>HYPERLINK("https://dpmzos25m8ivg.cloudfront.net/Documentos/631/04900249122/6310490024912210092023224729.jpg","https://dpmzos25m8ivg.cloudfront.net/Documentos/631/04900249122/6310490024912210092023224729.jpg")</f>
        <v>https://dpmzos25m8ivg.cloudfront.net/Documentos/631/04900249122/6310490024912210092023224729.jpg</v>
      </c>
      <c r="G2158" s="5" t="str">
        <f>HYPERLINK("https://dpmzos25m8ivg.cloudfront.net/Documentos/631/04900249122/6310490024912210092023224740.jpg","https://dpmzos25m8ivg.cloudfront.net/Documentos/631/04900249122/6310490024912210092023224740.jpg")</f>
        <v>https://dpmzos25m8ivg.cloudfront.net/Documentos/631/04900249122/6310490024912210092023224740.jpg</v>
      </c>
      <c r="H2158" s="4" t="s">
        <v>10738</v>
      </c>
    </row>
    <row r="2159" spans="1:8" x14ac:dyDescent="0.25">
      <c r="A2159" s="2" t="s">
        <v>2173</v>
      </c>
      <c r="B2159" s="3"/>
      <c r="C2159" s="3"/>
      <c r="D2159" s="3"/>
      <c r="E2159" s="4" t="str">
        <f>HYPERLINK("https://dpmzos25m8ivg.cloudfront.net/Documentos/631/04904368460/6310490436846011092023130019.pdf","https://dpmzos25m8ivg.cloudfront.net/Documentos/631/04904368460/6310490436846011092023130019.pdf")</f>
        <v>https://dpmzos25m8ivg.cloudfront.net/Documentos/631/04904368460/6310490436846011092023130019.pdf</v>
      </c>
      <c r="F2159" s="5" t="str">
        <f>HYPERLINK("https://dpmzos25m8ivg.cloudfront.net/Documentos/631/04904368460/6310490436846011092023130006.pdf","https://dpmzos25m8ivg.cloudfront.net/Documentos/631/04904368460/6310490436846011092023130006.pdf")</f>
        <v>https://dpmzos25m8ivg.cloudfront.net/Documentos/631/04904368460/6310490436846011092023130006.pdf</v>
      </c>
      <c r="G2159" s="5" t="str">
        <f>HYPERLINK("https://dpmzos25m8ivg.cloudfront.net/Documentos/631/04904368460/6310490436846011092023125952.pdf","https://dpmzos25m8ivg.cloudfront.net/Documentos/631/04904368460/6310490436846011092023125952.pdf")</f>
        <v>https://dpmzos25m8ivg.cloudfront.net/Documentos/631/04904368460/6310490436846011092023125952.pdf</v>
      </c>
      <c r="H2159" s="4" t="s">
        <v>10739</v>
      </c>
    </row>
    <row r="2160" spans="1:8" x14ac:dyDescent="0.25">
      <c r="A2160" s="2" t="s">
        <v>2174</v>
      </c>
      <c r="B2160" s="3"/>
      <c r="C2160" s="3"/>
      <c r="D2160" s="3"/>
      <c r="E2160" s="4" t="str">
        <f>HYPERLINK("https://dpmzos25m8ivg.cloudfront.net/Documentos/631/04904997247/6310490499724711092023151206.pdf","https://dpmzos25m8ivg.cloudfront.net/Documentos/631/04904997247/6310490499724711092023151206.pdf")</f>
        <v>https://dpmzos25m8ivg.cloudfront.net/Documentos/631/04904997247/6310490499724711092023151206.pdf</v>
      </c>
      <c r="F2160" s="5" t="str">
        <f>HYPERLINK("https://dpmzos25m8ivg.cloudfront.net/Documentos/631/04904997247/6310490499724711092023151216.pdf","https://dpmzos25m8ivg.cloudfront.net/Documentos/631/04904997247/6310490499724711092023151216.pdf")</f>
        <v>https://dpmzos25m8ivg.cloudfront.net/Documentos/631/04904997247/6310490499724711092023151216.pdf</v>
      </c>
      <c r="G2160" s="5" t="str">
        <f>HYPERLINK("https://dpmzos25m8ivg.cloudfront.net/Documentos/631/04904997247/6310490499724711092023151225.pdf","https://dpmzos25m8ivg.cloudfront.net/Documentos/631/04904997247/6310490499724711092023151225.pdf")</f>
        <v>https://dpmzos25m8ivg.cloudfront.net/Documentos/631/04904997247/6310490499724711092023151225.pdf</v>
      </c>
      <c r="H2160" s="4" t="s">
        <v>10740</v>
      </c>
    </row>
    <row r="2161" spans="1:8" x14ac:dyDescent="0.25">
      <c r="A2161" s="2" t="s">
        <v>2175</v>
      </c>
      <c r="B2161" s="3"/>
      <c r="C2161" s="3"/>
      <c r="D2161" s="3"/>
      <c r="E2161" s="4" t="str">
        <f>HYPERLINK("https://dpmzos25m8ivg.cloudfront.net/Documentos/631/04907360177/6310490736017706092023204038.pdf","https://dpmzos25m8ivg.cloudfront.net/Documentos/631/04907360177/6310490736017706092023204038.pdf")</f>
        <v>https://dpmzos25m8ivg.cloudfront.net/Documentos/631/04907360177/6310490736017706092023204038.pdf</v>
      </c>
      <c r="F2161" s="5" t="str">
        <f>HYPERLINK("https://dpmzos25m8ivg.cloudfront.net/Documentos/631/04907360177/6310490736017706092023204106.pdf","https://dpmzos25m8ivg.cloudfront.net/Documentos/631/04907360177/6310490736017706092023204106.pdf")</f>
        <v>https://dpmzos25m8ivg.cloudfront.net/Documentos/631/04907360177/6310490736017706092023204106.pdf</v>
      </c>
      <c r="G2161" s="5" t="str">
        <f>HYPERLINK("https://dpmzos25m8ivg.cloudfront.net/Documentos/631/04907360177/6310490736017706092023204130.pdf","https://dpmzos25m8ivg.cloudfront.net/Documentos/631/04907360177/6310490736017706092023204130.pdf")</f>
        <v>https://dpmzos25m8ivg.cloudfront.net/Documentos/631/04907360177/6310490736017706092023204130.pdf</v>
      </c>
      <c r="H2161" s="4" t="s">
        <v>10741</v>
      </c>
    </row>
    <row r="2162" spans="1:8" x14ac:dyDescent="0.25">
      <c r="A2162" s="2" t="s">
        <v>2176</v>
      </c>
      <c r="B2162" s="3"/>
      <c r="C2162" s="3"/>
      <c r="D2162" s="3"/>
      <c r="E2162" s="4" t="str">
        <f>HYPERLINK("https://dpmzos25m8ivg.cloudfront.net/Documentos/631/04909707379/6310490970737914092023152342.pdf","https://dpmzos25m8ivg.cloudfront.net/Documentos/631/04909707379/6310490970737914092023152342.pdf")</f>
        <v>https://dpmzos25m8ivg.cloudfront.net/Documentos/631/04909707379/6310490970737914092023152342.pdf</v>
      </c>
      <c r="F2162" s="5" t="str">
        <f>HYPERLINK("https://dpmzos25m8ivg.cloudfront.net/Documentos/631/04909707379/6310490970737914092023152447.pdf","https://dpmzos25m8ivg.cloudfront.net/Documentos/631/04909707379/6310490970737914092023152447.pdf")</f>
        <v>https://dpmzos25m8ivg.cloudfront.net/Documentos/631/04909707379/6310490970737914092023152447.pdf</v>
      </c>
      <c r="G2162" s="5" t="str">
        <f>HYPERLINK("https://dpmzos25m8ivg.cloudfront.net/Documentos/631/04909707379/6310490970737914092023152546.pdf","https://dpmzos25m8ivg.cloudfront.net/Documentos/631/04909707379/6310490970737914092023152546.pdf")</f>
        <v>https://dpmzos25m8ivg.cloudfront.net/Documentos/631/04909707379/6310490970737914092023152546.pdf</v>
      </c>
      <c r="H2162" s="4" t="s">
        <v>10742</v>
      </c>
    </row>
    <row r="2163" spans="1:8" x14ac:dyDescent="0.25">
      <c r="A2163" s="2" t="s">
        <v>2177</v>
      </c>
      <c r="B2163" s="3"/>
      <c r="C2163" s="3"/>
      <c r="D2163" s="3"/>
      <c r="E2163" s="4" t="str">
        <f>HYPERLINK("https://dpmzos25m8ivg.cloudfront.net/Documentos/631/04913340107/6310491334010714092023155752.pdf","https://dpmzos25m8ivg.cloudfront.net/Documentos/631/04913340107/6310491334010714092023155752.pdf")</f>
        <v>https://dpmzos25m8ivg.cloudfront.net/Documentos/631/04913340107/6310491334010714092023155752.pdf</v>
      </c>
      <c r="F2163" s="5" t="str">
        <f>HYPERLINK("https://dpmzos25m8ivg.cloudfront.net/Documentos/631/04913340107/6310491334010714092023155901.pdf","https://dpmzos25m8ivg.cloudfront.net/Documentos/631/04913340107/6310491334010714092023155901.pdf")</f>
        <v>https://dpmzos25m8ivg.cloudfront.net/Documentos/631/04913340107/6310491334010714092023155901.pdf</v>
      </c>
      <c r="G2163" s="5" t="str">
        <f>HYPERLINK("https://dpmzos25m8ivg.cloudfront.net/Documentos/631/04913340107/6310491334010714092023155928.pdf","https://dpmzos25m8ivg.cloudfront.net/Documentos/631/04913340107/6310491334010714092023155928.pdf")</f>
        <v>https://dpmzos25m8ivg.cloudfront.net/Documentos/631/04913340107/6310491334010714092023155928.pdf</v>
      </c>
      <c r="H2163" s="4" t="s">
        <v>10743</v>
      </c>
    </row>
    <row r="2164" spans="1:8" x14ac:dyDescent="0.25">
      <c r="A2164" s="2" t="s">
        <v>2178</v>
      </c>
      <c r="B2164" s="3" t="s">
        <v>8</v>
      </c>
      <c r="C2164" s="3"/>
      <c r="D2164" s="3"/>
      <c r="E2164" s="4" t="str">
        <f>HYPERLINK("https://dpmzos25m8ivg.cloudfront.net/Documentos/631/04914085526/6310491408552613092023201231.pdf","https://dpmzos25m8ivg.cloudfront.net/Documentos/631/04914085526/6310491408552613092023201231.pdf")</f>
        <v>https://dpmzos25m8ivg.cloudfront.net/Documentos/631/04914085526/6310491408552613092023201231.pdf</v>
      </c>
      <c r="F2164" s="5" t="str">
        <f>HYPERLINK("https://dpmzos25m8ivg.cloudfront.net/Documentos/631/04914085526/6310491408552613092023201247.pdf","https://dpmzos25m8ivg.cloudfront.net/Documentos/631/04914085526/6310491408552613092023201247.pdf")</f>
        <v>https://dpmzos25m8ivg.cloudfront.net/Documentos/631/04914085526/6310491408552613092023201247.pdf</v>
      </c>
      <c r="G2164" s="5" t="str">
        <f>HYPERLINK("https://dpmzos25m8ivg.cloudfront.net/Documentos/631/04914085526/6310491408552613092023201302.pdf","https://dpmzos25m8ivg.cloudfront.net/Documentos/631/04914085526/6310491408552613092023201302.pdf")</f>
        <v>https://dpmzos25m8ivg.cloudfront.net/Documentos/631/04914085526/6310491408552613092023201302.pdf</v>
      </c>
      <c r="H2164" s="4" t="s">
        <v>10744</v>
      </c>
    </row>
    <row r="2165" spans="1:8" x14ac:dyDescent="0.25">
      <c r="A2165" s="2" t="s">
        <v>2179</v>
      </c>
      <c r="B2165" s="3"/>
      <c r="C2165" s="3"/>
      <c r="D2165" s="3"/>
      <c r="E2165" s="4" t="str">
        <f>HYPERLINK("https://dpmzos25m8ivg.cloudfront.net/Documentos/631/04918188150/6310491818815011092023134042.pdf","https://dpmzos25m8ivg.cloudfront.net/Documentos/631/04918188150/6310491818815011092023134042.pdf")</f>
        <v>https://dpmzos25m8ivg.cloudfront.net/Documentos/631/04918188150/6310491818815011092023134042.pdf</v>
      </c>
      <c r="F2165" s="5" t="str">
        <f>HYPERLINK("https://dpmzos25m8ivg.cloudfront.net/Documentos/631/04918188150/6310491818815011092023140031.pdf","https://dpmzos25m8ivg.cloudfront.net/Documentos/631/04918188150/6310491818815011092023140031.pdf")</f>
        <v>https://dpmzos25m8ivg.cloudfront.net/Documentos/631/04918188150/6310491818815011092023140031.pdf</v>
      </c>
      <c r="G2165" s="5" t="str">
        <f>HYPERLINK("https://dpmzos25m8ivg.cloudfront.net/Documentos/631/04918188150/6310491818815011092023140045.pdf","https://dpmzos25m8ivg.cloudfront.net/Documentos/631/04918188150/6310491818815011092023140045.pdf")</f>
        <v>https://dpmzos25m8ivg.cloudfront.net/Documentos/631/04918188150/6310491818815011092023140045.pdf</v>
      </c>
      <c r="H2165" s="4" t="s">
        <v>10745</v>
      </c>
    </row>
    <row r="2166" spans="1:8" x14ac:dyDescent="0.25">
      <c r="A2166" s="2" t="s">
        <v>2180</v>
      </c>
      <c r="B2166" s="3"/>
      <c r="C2166" s="3"/>
      <c r="D2166" s="3"/>
      <c r="E2166" s="4" t="str">
        <f>HYPERLINK("https://dpmzos25m8ivg.cloudfront.net/Documentos/631/04919337116/6310491933711609092023175410.jpg","https://dpmzos25m8ivg.cloudfront.net/Documentos/631/04919337116/6310491933711609092023175410.jpg")</f>
        <v>https://dpmzos25m8ivg.cloudfront.net/Documentos/631/04919337116/6310491933711609092023175410.jpg</v>
      </c>
      <c r="F2166" s="5" t="str">
        <f>HYPERLINK("https://dpmzos25m8ivg.cloudfront.net/Documentos/631/04919337116/6310491933711609092023175442.jpg","https://dpmzos25m8ivg.cloudfront.net/Documentos/631/04919337116/6310491933711609092023175442.jpg")</f>
        <v>https://dpmzos25m8ivg.cloudfront.net/Documentos/631/04919337116/6310491933711609092023175442.jpg</v>
      </c>
      <c r="G2166" s="5" t="str">
        <f>HYPERLINK("https://dpmzos25m8ivg.cloudfront.net/Documentos/631/04919337116/6310491933711609092023175502.jpg","https://dpmzos25m8ivg.cloudfront.net/Documentos/631/04919337116/6310491933711609092023175502.jpg")</f>
        <v>https://dpmzos25m8ivg.cloudfront.net/Documentos/631/04919337116/6310491933711609092023175502.jpg</v>
      </c>
      <c r="H2166" s="4" t="s">
        <v>10746</v>
      </c>
    </row>
    <row r="2167" spans="1:8" x14ac:dyDescent="0.25">
      <c r="A2167" s="2" t="s">
        <v>2181</v>
      </c>
      <c r="B2167" s="3" t="s">
        <v>8</v>
      </c>
      <c r="C2167" s="3"/>
      <c r="D2167" s="3"/>
      <c r="E2167" s="4" t="str">
        <f>HYPERLINK("https://dpmzos25m8ivg.cloudfront.net/Documentos/631/04930472121/6310493047212111092023161125.pdf","https://dpmzos25m8ivg.cloudfront.net/Documentos/631/04930472121/6310493047212111092023161125.pdf")</f>
        <v>https://dpmzos25m8ivg.cloudfront.net/Documentos/631/04930472121/6310493047212111092023161125.pdf</v>
      </c>
      <c r="F2167" s="5" t="str">
        <f>HYPERLINK("https://dpmzos25m8ivg.cloudfront.net/Documentos/631/04930472121/6310493047212111092023161138.pdf","https://dpmzos25m8ivg.cloudfront.net/Documentos/631/04930472121/6310493047212111092023161138.pdf")</f>
        <v>https://dpmzos25m8ivg.cloudfront.net/Documentos/631/04930472121/6310493047212111092023161138.pdf</v>
      </c>
      <c r="G2167" s="5" t="str">
        <f>HYPERLINK("https://dpmzos25m8ivg.cloudfront.net/Documentos/631/04930472121/6310493047212111092023161148.pdf","https://dpmzos25m8ivg.cloudfront.net/Documentos/631/04930472121/6310493047212111092023161148.pdf")</f>
        <v>https://dpmzos25m8ivg.cloudfront.net/Documentos/631/04930472121/6310493047212111092023161148.pdf</v>
      </c>
      <c r="H2167" s="4" t="s">
        <v>10747</v>
      </c>
    </row>
    <row r="2168" spans="1:8" x14ac:dyDescent="0.25">
      <c r="A2168" s="2" t="s">
        <v>2182</v>
      </c>
      <c r="B2168" s="3"/>
      <c r="C2168" s="3"/>
      <c r="D2168" s="3"/>
      <c r="E2168" s="4" t="str">
        <f>HYPERLINK("https://dpmzos25m8ivg.cloudfront.net/Documentos/631/04934888551/6310493488855110092023223643.pdf","https://dpmzos25m8ivg.cloudfront.net/Documentos/631/04934888551/6310493488855110092023223643.pdf")</f>
        <v>https://dpmzos25m8ivg.cloudfront.net/Documentos/631/04934888551/6310493488855110092023223643.pdf</v>
      </c>
      <c r="F2168" s="5" t="str">
        <f>HYPERLINK("https://dpmzos25m8ivg.cloudfront.net/Documentos/631/04934888551/6310493488855110092023223834.pdf","https://dpmzos25m8ivg.cloudfront.net/Documentos/631/04934888551/6310493488855110092023223834.pdf")</f>
        <v>https://dpmzos25m8ivg.cloudfront.net/Documentos/631/04934888551/6310493488855110092023223834.pdf</v>
      </c>
      <c r="G2168" s="5" t="str">
        <f>HYPERLINK("https://dpmzos25m8ivg.cloudfront.net/Documentos/631/04934888551/6310493488855110092023223849.pdf","https://dpmzos25m8ivg.cloudfront.net/Documentos/631/04934888551/6310493488855110092023223849.pdf")</f>
        <v>https://dpmzos25m8ivg.cloudfront.net/Documentos/631/04934888551/6310493488855110092023223849.pdf</v>
      </c>
      <c r="H2168" s="4" t="s">
        <v>10748</v>
      </c>
    </row>
    <row r="2169" spans="1:8" x14ac:dyDescent="0.25">
      <c r="A2169" s="2" t="s">
        <v>2183</v>
      </c>
      <c r="B2169" s="3"/>
      <c r="C2169" s="3"/>
      <c r="D2169" s="3"/>
      <c r="E2169" s="4" t="str">
        <f>HYPERLINK("https://dpmzos25m8ivg.cloudfront.net/Documentos/631/04935928573/6310493592857311092023152548.pdf","https://dpmzos25m8ivg.cloudfront.net/Documentos/631/04935928573/6310493592857311092023152548.pdf")</f>
        <v>https://dpmzos25m8ivg.cloudfront.net/Documentos/631/04935928573/6310493592857311092023152548.pdf</v>
      </c>
      <c r="F2169" s="5" t="str">
        <f>HYPERLINK("https://dpmzos25m8ivg.cloudfront.net/Documentos/631/04935928573/6310493592857311092023152559.pdf","https://dpmzos25m8ivg.cloudfront.net/Documentos/631/04935928573/6310493592857311092023152559.pdf")</f>
        <v>https://dpmzos25m8ivg.cloudfront.net/Documentos/631/04935928573/6310493592857311092023152559.pdf</v>
      </c>
      <c r="G2169" s="5" t="str">
        <f>HYPERLINK("https://dpmzos25m8ivg.cloudfront.net/Documentos/631/04935928573/6310493592857311092023152617.pdf","https://dpmzos25m8ivg.cloudfront.net/Documentos/631/04935928573/6310493592857311092023152617.pdf")</f>
        <v>https://dpmzos25m8ivg.cloudfront.net/Documentos/631/04935928573/6310493592857311092023152617.pdf</v>
      </c>
      <c r="H2169" s="4" t="s">
        <v>10749</v>
      </c>
    </row>
    <row r="2170" spans="1:8" x14ac:dyDescent="0.25">
      <c r="A2170" s="2" t="s">
        <v>2184</v>
      </c>
      <c r="B2170" s="3"/>
      <c r="C2170" s="3"/>
      <c r="D2170" s="3"/>
      <c r="E2170" s="4" t="str">
        <f>HYPERLINK("https://dpmzos25m8ivg.cloudfront.net/Documentos/631/04941670337/6310494167033711092023150655.pdf","https://dpmzos25m8ivg.cloudfront.net/Documentos/631/04941670337/6310494167033711092023150655.pdf")</f>
        <v>https://dpmzos25m8ivg.cloudfront.net/Documentos/631/04941670337/6310494167033711092023150655.pdf</v>
      </c>
      <c r="F2170" s="5" t="str">
        <f>HYPERLINK("https://dpmzos25m8ivg.cloudfront.net/Documentos/631/04941670337/6310494167033711092023150708.pdf","https://dpmzos25m8ivg.cloudfront.net/Documentos/631/04941670337/6310494167033711092023150708.pdf")</f>
        <v>https://dpmzos25m8ivg.cloudfront.net/Documentos/631/04941670337/6310494167033711092023150708.pdf</v>
      </c>
      <c r="G2170" s="5" t="str">
        <f>HYPERLINK("https://dpmzos25m8ivg.cloudfront.net/Documentos/631/04941670337/6310494167033711092023150724.pdf","https://dpmzos25m8ivg.cloudfront.net/Documentos/631/04941670337/6310494167033711092023150724.pdf")</f>
        <v>https://dpmzos25m8ivg.cloudfront.net/Documentos/631/04941670337/6310494167033711092023150724.pdf</v>
      </c>
      <c r="H2170" s="4" t="s">
        <v>10750</v>
      </c>
    </row>
    <row r="2171" spans="1:8" x14ac:dyDescent="0.25">
      <c r="A2171" s="2" t="s">
        <v>2185</v>
      </c>
      <c r="B2171" s="3"/>
      <c r="C2171" s="3"/>
      <c r="D2171" s="3"/>
      <c r="E2171" s="4" t="str">
        <f>HYPERLINK("https://dpmzos25m8ivg.cloudfront.net/Documentos/631/04943984185/6310494398418511092023150855.pdf","https://dpmzos25m8ivg.cloudfront.net/Documentos/631/04943984185/6310494398418511092023150855.pdf")</f>
        <v>https://dpmzos25m8ivg.cloudfront.net/Documentos/631/04943984185/6310494398418511092023150855.pdf</v>
      </c>
      <c r="F2171" s="5" t="str">
        <f>HYPERLINK("https://dpmzos25m8ivg.cloudfront.net/Documentos/631/04943984185/6310494398418511092023150955.pdf","https://dpmzos25m8ivg.cloudfront.net/Documentos/631/04943984185/6310494398418511092023150955.pdf")</f>
        <v>https://dpmzos25m8ivg.cloudfront.net/Documentos/631/04943984185/6310494398418511092023150955.pdf</v>
      </c>
      <c r="G2171" s="5" t="str">
        <f>HYPERLINK("https://dpmzos25m8ivg.cloudfront.net/Documentos/631/04943984185/6310494398418511092023151044.pdf","https://dpmzos25m8ivg.cloudfront.net/Documentos/631/04943984185/6310494398418511092023151044.pdf")</f>
        <v>https://dpmzos25m8ivg.cloudfront.net/Documentos/631/04943984185/6310494398418511092023151044.pdf</v>
      </c>
      <c r="H2171" s="4" t="s">
        <v>10751</v>
      </c>
    </row>
    <row r="2172" spans="1:8" x14ac:dyDescent="0.25">
      <c r="A2172" s="2" t="s">
        <v>2186</v>
      </c>
      <c r="B2172" s="3" t="s">
        <v>23</v>
      </c>
      <c r="C2172" s="3"/>
      <c r="D2172" s="3"/>
      <c r="E2172" s="4" t="str">
        <f>HYPERLINK("https://dpmzos25m8ivg.cloudfront.net/Documentos/631/04945221510/6310494522151006092023215932.pdf","https://dpmzos25m8ivg.cloudfront.net/Documentos/631/04945221510/6310494522151006092023215932.pdf")</f>
        <v>https://dpmzos25m8ivg.cloudfront.net/Documentos/631/04945221510/6310494522151006092023215932.pdf</v>
      </c>
      <c r="F2172" s="5" t="str">
        <f>HYPERLINK("https://dpmzos25m8ivg.cloudfront.net/Documentos/631/04945221510/6310494522151006092023220138.pdf","https://dpmzos25m8ivg.cloudfront.net/Documentos/631/04945221510/6310494522151006092023220138.pdf")</f>
        <v>https://dpmzos25m8ivg.cloudfront.net/Documentos/631/04945221510/6310494522151006092023220138.pdf</v>
      </c>
      <c r="G2172" s="5" t="str">
        <f>HYPERLINK("https://dpmzos25m8ivg.cloudfront.net/Documentos/631/04945221510/6310494522151006092023220232.pdf","https://dpmzos25m8ivg.cloudfront.net/Documentos/631/04945221510/6310494522151006092023220232.pdf")</f>
        <v>https://dpmzos25m8ivg.cloudfront.net/Documentos/631/04945221510/6310494522151006092023220232.pdf</v>
      </c>
      <c r="H2172" s="4" t="s">
        <v>10752</v>
      </c>
    </row>
    <row r="2173" spans="1:8" x14ac:dyDescent="0.25">
      <c r="A2173" s="2" t="s">
        <v>2187</v>
      </c>
      <c r="B2173" s="3"/>
      <c r="C2173" s="3"/>
      <c r="D2173" s="3"/>
      <c r="E2173" s="4" t="str">
        <f>HYPERLINK("https://dpmzos25m8ivg.cloudfront.net/Documentos/631/04949554573/6310494955457306092023113120.pdf","https://dpmzos25m8ivg.cloudfront.net/Documentos/631/04949554573/6310494955457306092023113120.pdf")</f>
        <v>https://dpmzos25m8ivg.cloudfront.net/Documentos/631/04949554573/6310494955457306092023113120.pdf</v>
      </c>
      <c r="F2173" s="5" t="str">
        <f>HYPERLINK("https://dpmzos25m8ivg.cloudfront.net/Documentos/631/04949554573/6310494955457306092023113141.pdf","https://dpmzos25m8ivg.cloudfront.net/Documentos/631/04949554573/6310494955457306092023113141.pdf")</f>
        <v>https://dpmzos25m8ivg.cloudfront.net/Documentos/631/04949554573/6310494955457306092023113141.pdf</v>
      </c>
      <c r="G2173" s="5" t="str">
        <f>HYPERLINK("https://dpmzos25m8ivg.cloudfront.net/Documentos/631/04949554573/6310494955457306092023113159.pdf","https://dpmzos25m8ivg.cloudfront.net/Documentos/631/04949554573/6310494955457306092023113159.pdf")</f>
        <v>https://dpmzos25m8ivg.cloudfront.net/Documentos/631/04949554573/6310494955457306092023113159.pdf</v>
      </c>
      <c r="H2173" s="4" t="s">
        <v>10753</v>
      </c>
    </row>
    <row r="2174" spans="1:8" x14ac:dyDescent="0.25">
      <c r="A2174" s="2" t="s">
        <v>2188</v>
      </c>
      <c r="B2174" s="3"/>
      <c r="C2174" s="3"/>
      <c r="D2174" s="3"/>
      <c r="E2174" s="4" t="str">
        <f>HYPERLINK("https://dpmzos25m8ivg.cloudfront.net/Documentos/631/04953899199/6310495389919910092023220220.pdf","https://dpmzos25m8ivg.cloudfront.net/Documentos/631/04953899199/6310495389919910092023220220.pdf")</f>
        <v>https://dpmzos25m8ivg.cloudfront.net/Documentos/631/04953899199/6310495389919910092023220220.pdf</v>
      </c>
      <c r="F2174" s="5" t="str">
        <f>HYPERLINK("https://dpmzos25m8ivg.cloudfront.net/Documentos/631/04953899199/6310495389919910092023220233.pdf","https://dpmzos25m8ivg.cloudfront.net/Documentos/631/04953899199/6310495389919910092023220233.pdf")</f>
        <v>https://dpmzos25m8ivg.cloudfront.net/Documentos/631/04953899199/6310495389919910092023220233.pdf</v>
      </c>
      <c r="G2174" s="5" t="str">
        <f>HYPERLINK("https://dpmzos25m8ivg.cloudfront.net/Documentos/631/04953899199/6310495389919910092023220240.pdf","https://dpmzos25m8ivg.cloudfront.net/Documentos/631/04953899199/6310495389919910092023220240.pdf")</f>
        <v>https://dpmzos25m8ivg.cloudfront.net/Documentos/631/04953899199/6310495389919910092023220240.pdf</v>
      </c>
      <c r="H2174" s="4" t="s">
        <v>10754</v>
      </c>
    </row>
    <row r="2175" spans="1:8" x14ac:dyDescent="0.25">
      <c r="A2175" s="2" t="s">
        <v>2189</v>
      </c>
      <c r="B2175" s="3" t="s">
        <v>42</v>
      </c>
      <c r="C2175" s="3"/>
      <c r="D2175" s="3"/>
      <c r="E2175" s="4" t="str">
        <f>HYPERLINK("https://dpmzos25m8ivg.cloudfront.net/Documentos/631/04955227406/6310495522740610092023115457.pdf","https://dpmzos25m8ivg.cloudfront.net/Documentos/631/04955227406/6310495522740610092023115457.pdf")</f>
        <v>https://dpmzos25m8ivg.cloudfront.net/Documentos/631/04955227406/6310495522740610092023115457.pdf</v>
      </c>
      <c r="F2175" s="5" t="str">
        <f>HYPERLINK("https://dpmzos25m8ivg.cloudfront.net/Documentos/631/04955227406/6310495522740610092023115520.pdf","https://dpmzos25m8ivg.cloudfront.net/Documentos/631/04955227406/6310495522740610092023115520.pdf")</f>
        <v>https://dpmzos25m8ivg.cloudfront.net/Documentos/631/04955227406/6310495522740610092023115520.pdf</v>
      </c>
      <c r="G2175" s="5" t="str">
        <f>HYPERLINK("https://dpmzos25m8ivg.cloudfront.net/Documentos/631/04955227406/6310495522740610092023115508.pdf","https://dpmzos25m8ivg.cloudfront.net/Documentos/631/04955227406/6310495522740610092023115508.pdf")</f>
        <v>https://dpmzos25m8ivg.cloudfront.net/Documentos/631/04955227406/6310495522740610092023115508.pdf</v>
      </c>
      <c r="H2175" s="4" t="s">
        <v>10755</v>
      </c>
    </row>
    <row r="2176" spans="1:8" x14ac:dyDescent="0.25">
      <c r="A2176" s="2" t="s">
        <v>2190</v>
      </c>
      <c r="B2176" s="3"/>
      <c r="C2176" s="3"/>
      <c r="D2176" s="3"/>
      <c r="E2176" s="4" t="str">
        <f>HYPERLINK("https://dpmzos25m8ivg.cloudfront.net/Documentos/631/04958018107/6310495801810711092023143309.pdf","https://dpmzos25m8ivg.cloudfront.net/Documentos/631/04958018107/6310495801810711092023143309.pdf")</f>
        <v>https://dpmzos25m8ivg.cloudfront.net/Documentos/631/04958018107/6310495801810711092023143309.pdf</v>
      </c>
      <c r="F2176" s="5" t="str">
        <f>HYPERLINK("https://dpmzos25m8ivg.cloudfront.net/Documentos/631/04958018107/6310495801810711092023143318.pdf","https://dpmzos25m8ivg.cloudfront.net/Documentos/631/04958018107/6310495801810711092023143318.pdf")</f>
        <v>https://dpmzos25m8ivg.cloudfront.net/Documentos/631/04958018107/6310495801810711092023143318.pdf</v>
      </c>
      <c r="G2176" s="5" t="str">
        <f>HYPERLINK("https://dpmzos25m8ivg.cloudfront.net/Documentos/631/04958018107/6310495801810711092023143327.pdf","https://dpmzos25m8ivg.cloudfront.net/Documentos/631/04958018107/6310495801810711092023143327.pdf")</f>
        <v>https://dpmzos25m8ivg.cloudfront.net/Documentos/631/04958018107/6310495801810711092023143327.pdf</v>
      </c>
      <c r="H2176" s="4" t="s">
        <v>10756</v>
      </c>
    </row>
    <row r="2177" spans="1:8" x14ac:dyDescent="0.25">
      <c r="A2177" s="2" t="s">
        <v>2191</v>
      </c>
      <c r="B2177" s="3"/>
      <c r="C2177" s="3"/>
      <c r="D2177" s="3"/>
      <c r="E2177" s="4" t="str">
        <f>HYPERLINK("https://dpmzos25m8ivg.cloudfront.net/Documentos/631/04960417110/6310496041711010092023160729.jpeg","https://dpmzos25m8ivg.cloudfront.net/Documentos/631/04960417110/6310496041711010092023160729.jpeg")</f>
        <v>https://dpmzos25m8ivg.cloudfront.net/Documentos/631/04960417110/6310496041711010092023160729.jpeg</v>
      </c>
      <c r="F2177" s="5" t="str">
        <f>HYPERLINK("https://dpmzos25m8ivg.cloudfront.net/Documentos/631/04960417110/6310496041711010092023160742.jpeg","https://dpmzos25m8ivg.cloudfront.net/Documentos/631/04960417110/6310496041711010092023160742.jpeg")</f>
        <v>https://dpmzos25m8ivg.cloudfront.net/Documentos/631/04960417110/6310496041711010092023160742.jpeg</v>
      </c>
      <c r="G2177" s="5" t="str">
        <f>HYPERLINK("https://dpmzos25m8ivg.cloudfront.net/Documentos/631/04960417110/6310496041711010092023160755.jpeg","https://dpmzos25m8ivg.cloudfront.net/Documentos/631/04960417110/6310496041711010092023160755.jpeg")</f>
        <v>https://dpmzos25m8ivg.cloudfront.net/Documentos/631/04960417110/6310496041711010092023160755.jpeg</v>
      </c>
      <c r="H2177" s="4" t="s">
        <v>10757</v>
      </c>
    </row>
    <row r="2178" spans="1:8" x14ac:dyDescent="0.25">
      <c r="A2178" s="2" t="s">
        <v>2192</v>
      </c>
      <c r="B2178" s="3"/>
      <c r="C2178" s="3"/>
      <c r="D2178" s="3"/>
      <c r="E2178" s="4" t="str">
        <f>HYPERLINK("https://dpmzos25m8ivg.cloudfront.net/Documentos/631/04961167380/6310496116738011092023113407.jpg","https://dpmzos25m8ivg.cloudfront.net/Documentos/631/04961167380/6310496116738011092023113407.jpg")</f>
        <v>https://dpmzos25m8ivg.cloudfront.net/Documentos/631/04961167380/6310496116738011092023113407.jpg</v>
      </c>
      <c r="F2178" s="5" t="str">
        <f>HYPERLINK("https://dpmzos25m8ivg.cloudfront.net/Documentos/631/04961167380/6310496116738011092023113433.jpg","https://dpmzos25m8ivg.cloudfront.net/Documentos/631/04961167380/6310496116738011092023113433.jpg")</f>
        <v>https://dpmzos25m8ivg.cloudfront.net/Documentos/631/04961167380/6310496116738011092023113433.jpg</v>
      </c>
      <c r="G2178" s="5" t="str">
        <f>HYPERLINK("https://dpmzos25m8ivg.cloudfront.net/Documentos/631/04961167380/6310496116738011092023113447.jpg","https://dpmzos25m8ivg.cloudfront.net/Documentos/631/04961167380/6310496116738011092023113447.jpg")</f>
        <v>https://dpmzos25m8ivg.cloudfront.net/Documentos/631/04961167380/6310496116738011092023113447.jpg</v>
      </c>
      <c r="H2178" s="4" t="s">
        <v>10758</v>
      </c>
    </row>
    <row r="2179" spans="1:8" x14ac:dyDescent="0.25">
      <c r="A2179" s="2" t="s">
        <v>2193</v>
      </c>
      <c r="B2179" s="3"/>
      <c r="C2179" s="3"/>
      <c r="D2179" s="3"/>
      <c r="E2179" s="4" t="str">
        <f>HYPERLINK("https://dpmzos25m8ivg.cloudfront.net/Documentos/631/04961273651/6310496127365114092023144739.pdf","https://dpmzos25m8ivg.cloudfront.net/Documentos/631/04961273651/6310496127365114092023144739.pdf")</f>
        <v>https://dpmzos25m8ivg.cloudfront.net/Documentos/631/04961273651/6310496127365114092023144739.pdf</v>
      </c>
      <c r="F2179" s="5" t="str">
        <f>HYPERLINK("https://dpmzos25m8ivg.cloudfront.net/Documentos/631/04961273651/6310496127365114092023144850.pdf","https://dpmzos25m8ivg.cloudfront.net/Documentos/631/04961273651/6310496127365114092023144850.pdf")</f>
        <v>https://dpmzos25m8ivg.cloudfront.net/Documentos/631/04961273651/6310496127365114092023144850.pdf</v>
      </c>
      <c r="G2179" s="5" t="str">
        <f>HYPERLINK("https://dpmzos25m8ivg.cloudfront.net/Documentos/631/04961273651/6310496127365114092023144926.pdf","https://dpmzos25m8ivg.cloudfront.net/Documentos/631/04961273651/6310496127365114092023144926.pdf")</f>
        <v>https://dpmzos25m8ivg.cloudfront.net/Documentos/631/04961273651/6310496127365114092023144926.pdf</v>
      </c>
      <c r="H2179" s="4" t="s">
        <v>10759</v>
      </c>
    </row>
    <row r="2180" spans="1:8" x14ac:dyDescent="0.25">
      <c r="A2180" s="2" t="s">
        <v>2194</v>
      </c>
      <c r="B2180" s="3"/>
      <c r="C2180" s="3"/>
      <c r="D2180" s="3"/>
      <c r="E2180" s="4" t="str">
        <f>HYPERLINK("https://dpmzos25m8ivg.cloudfront.net/Documentos/631/04962193163/6310496219316310092023161433.pdf","https://dpmzos25m8ivg.cloudfront.net/Documentos/631/04962193163/6310496219316310092023161433.pdf")</f>
        <v>https://dpmzos25m8ivg.cloudfront.net/Documentos/631/04962193163/6310496219316310092023161433.pdf</v>
      </c>
      <c r="F2180" s="5" t="str">
        <f>HYPERLINK("https://dpmzos25m8ivg.cloudfront.net/Documentos/631/04962193163/6310496219316310092023161455.pdf","https://dpmzos25m8ivg.cloudfront.net/Documentos/631/04962193163/6310496219316310092023161455.pdf")</f>
        <v>https://dpmzos25m8ivg.cloudfront.net/Documentos/631/04962193163/6310496219316310092023161455.pdf</v>
      </c>
      <c r="G2180" s="5" t="str">
        <f>HYPERLINK("https://dpmzos25m8ivg.cloudfront.net/Documentos/631/04962193163/6310496219316310092023161513.pdf","https://dpmzos25m8ivg.cloudfront.net/Documentos/631/04962193163/6310496219316310092023161513.pdf")</f>
        <v>https://dpmzos25m8ivg.cloudfront.net/Documentos/631/04962193163/6310496219316310092023161513.pdf</v>
      </c>
      <c r="H2180" s="4" t="s">
        <v>10760</v>
      </c>
    </row>
    <row r="2181" spans="1:8" x14ac:dyDescent="0.25">
      <c r="A2181" s="2" t="s">
        <v>2195</v>
      </c>
      <c r="B2181" s="3"/>
      <c r="C2181" s="3"/>
      <c r="D2181" s="3"/>
      <c r="E2181" s="4" t="str">
        <f>HYPERLINK("https://dpmzos25m8ivg.cloudfront.net/Documentos/631/04963508389/6310496350838911092023113925.pdf","https://dpmzos25m8ivg.cloudfront.net/Documentos/631/04963508389/6310496350838911092023113925.pdf")</f>
        <v>https://dpmzos25m8ivg.cloudfront.net/Documentos/631/04963508389/6310496350838911092023113925.pdf</v>
      </c>
      <c r="F2181" s="5" t="str">
        <f>HYPERLINK("https://dpmzos25m8ivg.cloudfront.net/Documentos/631/04963508389/6310496350838911092023114005.pdf","https://dpmzos25m8ivg.cloudfront.net/Documentos/631/04963508389/6310496350838911092023114005.pdf")</f>
        <v>https://dpmzos25m8ivg.cloudfront.net/Documentos/631/04963508389/6310496350838911092023114005.pdf</v>
      </c>
      <c r="G2181" s="5" t="str">
        <f>HYPERLINK("https://dpmzos25m8ivg.cloudfront.net/Documentos/631/04963508389/6310496350838911092023114036.pdf","https://dpmzos25m8ivg.cloudfront.net/Documentos/631/04963508389/6310496350838911092023114036.pdf")</f>
        <v>https://dpmzos25m8ivg.cloudfront.net/Documentos/631/04963508389/6310496350838911092023114036.pdf</v>
      </c>
      <c r="H2181" s="4" t="s">
        <v>10761</v>
      </c>
    </row>
    <row r="2182" spans="1:8" x14ac:dyDescent="0.25">
      <c r="A2182" s="2" t="s">
        <v>2196</v>
      </c>
      <c r="B2182" s="3"/>
      <c r="C2182" s="3"/>
      <c r="D2182" s="3"/>
      <c r="E2182" s="4" t="str">
        <f>HYPERLINK("https://dpmzos25m8ivg.cloudfront.net/Documentos/631/04966081343/6310496608134310092023103839.jpg","https://dpmzos25m8ivg.cloudfront.net/Documentos/631/04966081343/6310496608134310092023103839.jpg")</f>
        <v>https://dpmzos25m8ivg.cloudfront.net/Documentos/631/04966081343/6310496608134310092023103839.jpg</v>
      </c>
      <c r="F2182" s="5" t="str">
        <f>HYPERLINK("https://dpmzos25m8ivg.cloudfront.net/Documentos/631/04966081343/6310496608134310092023103904.jpg","https://dpmzos25m8ivg.cloudfront.net/Documentos/631/04966081343/6310496608134310092023103904.jpg")</f>
        <v>https://dpmzos25m8ivg.cloudfront.net/Documentos/631/04966081343/6310496608134310092023103904.jpg</v>
      </c>
      <c r="G2182" s="5" t="str">
        <f>HYPERLINK("https://dpmzos25m8ivg.cloudfront.net/Documentos/631/04966081343/6310496608134310092023103933.jpg","https://dpmzos25m8ivg.cloudfront.net/Documentos/631/04966081343/6310496608134310092023103933.jpg")</f>
        <v>https://dpmzos25m8ivg.cloudfront.net/Documentos/631/04966081343/6310496608134310092023103933.jpg</v>
      </c>
      <c r="H2182" s="4" t="s">
        <v>10762</v>
      </c>
    </row>
    <row r="2183" spans="1:8" x14ac:dyDescent="0.25">
      <c r="A2183" s="2" t="s">
        <v>2197</v>
      </c>
      <c r="B2183" s="3"/>
      <c r="C2183" s="3"/>
      <c r="D2183" s="3"/>
      <c r="E2183" s="4" t="str">
        <f>HYPERLINK("https://dpmzos25m8ivg.cloudfront.net/Documentos/631/04966184231/6310496618423106092023111314.pdf","https://dpmzos25m8ivg.cloudfront.net/Documentos/631/04966184231/6310496618423106092023111314.pdf")</f>
        <v>https://dpmzos25m8ivg.cloudfront.net/Documentos/631/04966184231/6310496618423106092023111314.pdf</v>
      </c>
      <c r="F2183" s="5" t="str">
        <f>HYPERLINK("https://dpmzos25m8ivg.cloudfront.net/Documentos/631/04966184231/6310496618423106092023111332.pdf","https://dpmzos25m8ivg.cloudfront.net/Documentos/631/04966184231/6310496618423106092023111332.pdf")</f>
        <v>https://dpmzos25m8ivg.cloudfront.net/Documentos/631/04966184231/6310496618423106092023111332.pdf</v>
      </c>
      <c r="G2183" s="5" t="str">
        <f>HYPERLINK("https://dpmzos25m8ivg.cloudfront.net/Documentos/631/04966184231/6310496618423106092023111355.pdf","https://dpmzos25m8ivg.cloudfront.net/Documentos/631/04966184231/6310496618423106092023111355.pdf")</f>
        <v>https://dpmzos25m8ivg.cloudfront.net/Documentos/631/04966184231/6310496618423106092023111355.pdf</v>
      </c>
      <c r="H2183" s="4" t="s">
        <v>10763</v>
      </c>
    </row>
    <row r="2184" spans="1:8" x14ac:dyDescent="0.25">
      <c r="A2184" s="2" t="s">
        <v>2198</v>
      </c>
      <c r="B2184" s="3"/>
      <c r="C2184" s="3"/>
      <c r="D2184" s="3"/>
      <c r="E2184" s="4" t="str">
        <f>HYPERLINK("https://dpmzos25m8ivg.cloudfront.net/Documentos/631/04966729165/6310496672916511092023140031.pdf","https://dpmzos25m8ivg.cloudfront.net/Documentos/631/04966729165/6310496672916511092023140031.pdf")</f>
        <v>https://dpmzos25m8ivg.cloudfront.net/Documentos/631/04966729165/6310496672916511092023140031.pdf</v>
      </c>
      <c r="F2184" s="5" t="str">
        <f>HYPERLINK("https://dpmzos25m8ivg.cloudfront.net/Documentos/631/04966729165/6310496672916511092023140050.pdf","https://dpmzos25m8ivg.cloudfront.net/Documentos/631/04966729165/6310496672916511092023140050.pdf")</f>
        <v>https://dpmzos25m8ivg.cloudfront.net/Documentos/631/04966729165/6310496672916511092023140050.pdf</v>
      </c>
      <c r="G2184" s="5" t="str">
        <f>HYPERLINK("https://dpmzos25m8ivg.cloudfront.net/Documentos/631/04966729165/6310496672916511092023140112.pdf","https://dpmzos25m8ivg.cloudfront.net/Documentos/631/04966729165/6310496672916511092023140112.pdf")</f>
        <v>https://dpmzos25m8ivg.cloudfront.net/Documentos/631/04966729165/6310496672916511092023140112.pdf</v>
      </c>
      <c r="H2184" s="4" t="s">
        <v>10764</v>
      </c>
    </row>
    <row r="2185" spans="1:8" x14ac:dyDescent="0.25">
      <c r="A2185" s="2" t="s">
        <v>2199</v>
      </c>
      <c r="B2185" s="3"/>
      <c r="C2185" s="3"/>
      <c r="D2185" s="3"/>
      <c r="E2185" s="4" t="str">
        <f>HYPERLINK("https://dpmzos25m8ivg.cloudfront.net/Documentos/631/04972586095/6310497258609505092023101218.pdf","https://dpmzos25m8ivg.cloudfront.net/Documentos/631/04972586095/6310497258609505092023101218.pdf")</f>
        <v>https://dpmzos25m8ivg.cloudfront.net/Documentos/631/04972586095/6310497258609505092023101218.pdf</v>
      </c>
      <c r="F2185" s="5" t="str">
        <f>HYPERLINK("https://dpmzos25m8ivg.cloudfront.net/Documentos/631/04972586095/6310497258609505092023101238.pdf","https://dpmzos25m8ivg.cloudfront.net/Documentos/631/04972586095/6310497258609505092023101238.pdf")</f>
        <v>https://dpmzos25m8ivg.cloudfront.net/Documentos/631/04972586095/6310497258609505092023101238.pdf</v>
      </c>
      <c r="G2185" s="5" t="str">
        <f>HYPERLINK("https://dpmzos25m8ivg.cloudfront.net/Documentos/631/04972586095/6310497258609505092023101252.pdf","https://dpmzos25m8ivg.cloudfront.net/Documentos/631/04972586095/6310497258609505092023101252.pdf")</f>
        <v>https://dpmzos25m8ivg.cloudfront.net/Documentos/631/04972586095/6310497258609505092023101252.pdf</v>
      </c>
      <c r="H2185" s="4" t="s">
        <v>10765</v>
      </c>
    </row>
    <row r="2186" spans="1:8" x14ac:dyDescent="0.25">
      <c r="A2186" s="2" t="s">
        <v>2200</v>
      </c>
      <c r="B2186" s="3"/>
      <c r="C2186" s="3"/>
      <c r="D2186" s="3"/>
      <c r="E2186" s="4" t="str">
        <f>HYPERLINK("https://dpmzos25m8ivg.cloudfront.net/Documentos/631/04972850370/6310497285037011092023124912.pdf","https://dpmzos25m8ivg.cloudfront.net/Documentos/631/04972850370/6310497285037011092023124912.pdf")</f>
        <v>https://dpmzos25m8ivg.cloudfront.net/Documentos/631/04972850370/6310497285037011092023124912.pdf</v>
      </c>
      <c r="F2186" s="5" t="str">
        <f>HYPERLINK("https://dpmzos25m8ivg.cloudfront.net/Documentos/631/04972850370/6310497285037011092023124926.pdf","https://dpmzos25m8ivg.cloudfront.net/Documentos/631/04972850370/6310497285037011092023124926.pdf")</f>
        <v>https://dpmzos25m8ivg.cloudfront.net/Documentos/631/04972850370/6310497285037011092023124926.pdf</v>
      </c>
      <c r="G2186" s="5" t="str">
        <f>HYPERLINK("https://dpmzos25m8ivg.cloudfront.net/Documentos/631/04972850370/6310497285037011092023124938.pdf","https://dpmzos25m8ivg.cloudfront.net/Documentos/631/04972850370/6310497285037011092023124938.pdf")</f>
        <v>https://dpmzos25m8ivg.cloudfront.net/Documentos/631/04972850370/6310497285037011092023124938.pdf</v>
      </c>
      <c r="H2186" s="4" t="s">
        <v>10766</v>
      </c>
    </row>
    <row r="2187" spans="1:8" x14ac:dyDescent="0.25">
      <c r="A2187" s="2" t="s">
        <v>2201</v>
      </c>
      <c r="B2187" s="3" t="s">
        <v>8</v>
      </c>
      <c r="C2187" s="3"/>
      <c r="D2187" s="3"/>
      <c r="E2187" s="4" t="str">
        <f>HYPERLINK("https://dpmzos25m8ivg.cloudfront.net/Documentos/631/04977717139/6310497771713905092023163026.pdf","https://dpmzos25m8ivg.cloudfront.net/Documentos/631/04977717139/6310497771713905092023163026.pdf")</f>
        <v>https://dpmzos25m8ivg.cloudfront.net/Documentos/631/04977717139/6310497771713905092023163026.pdf</v>
      </c>
      <c r="F2187" s="5" t="str">
        <f>HYPERLINK("https://dpmzos25m8ivg.cloudfront.net/Documentos/631/04977717139/6310497771713905092023163038.pdf","https://dpmzos25m8ivg.cloudfront.net/Documentos/631/04977717139/6310497771713905092023163038.pdf")</f>
        <v>https://dpmzos25m8ivg.cloudfront.net/Documentos/631/04977717139/6310497771713905092023163038.pdf</v>
      </c>
      <c r="G2187" s="5" t="str">
        <f>HYPERLINK("https://dpmzos25m8ivg.cloudfront.net/Documentos/631/04977717139/6310497771713905092023163051.pdf","https://dpmzos25m8ivg.cloudfront.net/Documentos/631/04977717139/6310497771713905092023163051.pdf")</f>
        <v>https://dpmzos25m8ivg.cloudfront.net/Documentos/631/04977717139/6310497771713905092023163051.pdf</v>
      </c>
      <c r="H2187" s="4" t="s">
        <v>10767</v>
      </c>
    </row>
    <row r="2188" spans="1:8" x14ac:dyDescent="0.25">
      <c r="A2188" s="2" t="s">
        <v>2202</v>
      </c>
      <c r="B2188" s="3" t="s">
        <v>42</v>
      </c>
      <c r="C2188" s="3"/>
      <c r="D2188" s="3"/>
      <c r="E2188" s="4" t="str">
        <f>HYPERLINK("https://dpmzos25m8ivg.cloudfront.net/Documentos/631/04978564506/6310497856450611092023153233.jpg","https://dpmzos25m8ivg.cloudfront.net/Documentos/631/04978564506/6310497856450611092023153233.jpg")</f>
        <v>https://dpmzos25m8ivg.cloudfront.net/Documentos/631/04978564506/6310497856450611092023153233.jpg</v>
      </c>
      <c r="F2188" s="5" t="str">
        <f>HYPERLINK("https://dpmzos25m8ivg.cloudfront.net/Documentos/631/04978564506/6310497856450611092023153247.jpg","https://dpmzos25m8ivg.cloudfront.net/Documentos/631/04978564506/6310497856450611092023153247.jpg")</f>
        <v>https://dpmzos25m8ivg.cloudfront.net/Documentos/631/04978564506/6310497856450611092023153247.jpg</v>
      </c>
      <c r="G2188" s="5" t="str">
        <f>HYPERLINK("https://dpmzos25m8ivg.cloudfront.net/Documentos/631/04978564506/6310497856450611092023153304.jpg","https://dpmzos25m8ivg.cloudfront.net/Documentos/631/04978564506/6310497856450611092023153304.jpg")</f>
        <v>https://dpmzos25m8ivg.cloudfront.net/Documentos/631/04978564506/6310497856450611092023153304.jpg</v>
      </c>
      <c r="H2188" s="4" t="s">
        <v>10768</v>
      </c>
    </row>
    <row r="2189" spans="1:8" x14ac:dyDescent="0.25">
      <c r="A2189" s="2" t="s">
        <v>2203</v>
      </c>
      <c r="B2189" s="3"/>
      <c r="C2189" s="3"/>
      <c r="D2189" s="3"/>
      <c r="E2189" s="4" t="str">
        <f>HYPERLINK("https://dpmzos25m8ivg.cloudfront.net/Documentos/631/04981449178/6310498144917810092023151415.pdf","https://dpmzos25m8ivg.cloudfront.net/Documentos/631/04981449178/6310498144917810092023151415.pdf")</f>
        <v>https://dpmzos25m8ivg.cloudfront.net/Documentos/631/04981449178/6310498144917810092023151415.pdf</v>
      </c>
      <c r="F2189" s="5" t="str">
        <f>HYPERLINK("https://dpmzos25m8ivg.cloudfront.net/Documentos/631/04981449178/6310498144917810092023151427.pdf","https://dpmzos25m8ivg.cloudfront.net/Documentos/631/04981449178/6310498144917810092023151427.pdf")</f>
        <v>https://dpmzos25m8ivg.cloudfront.net/Documentos/631/04981449178/6310498144917810092023151427.pdf</v>
      </c>
      <c r="G2189" s="5" t="str">
        <f>HYPERLINK("https://dpmzos25m8ivg.cloudfront.net/Documentos/631/04981449178/6310498144917810092023151440.pdf","https://dpmzos25m8ivg.cloudfront.net/Documentos/631/04981449178/6310498144917810092023151440.pdf")</f>
        <v>https://dpmzos25m8ivg.cloudfront.net/Documentos/631/04981449178/6310498144917810092023151440.pdf</v>
      </c>
      <c r="H2189" s="4" t="s">
        <v>10769</v>
      </c>
    </row>
    <row r="2190" spans="1:8" x14ac:dyDescent="0.25">
      <c r="A2190" s="2" t="s">
        <v>2204</v>
      </c>
      <c r="B2190" s="3"/>
      <c r="C2190" s="3"/>
      <c r="D2190" s="3"/>
      <c r="E2190" s="4" t="str">
        <f>HYPERLINK("https://dpmzos25m8ivg.cloudfront.net/Documentos/631/04990219325/6310499021932506092023225213.pdf","https://dpmzos25m8ivg.cloudfront.net/Documentos/631/04990219325/6310499021932506092023225213.pdf")</f>
        <v>https://dpmzos25m8ivg.cloudfront.net/Documentos/631/04990219325/6310499021932506092023225213.pdf</v>
      </c>
      <c r="F2190" s="5" t="str">
        <f>HYPERLINK("https://dpmzos25m8ivg.cloudfront.net/Documentos/631/04990219325/6310499021932506092023225232.pdf","https://dpmzos25m8ivg.cloudfront.net/Documentos/631/04990219325/6310499021932506092023225232.pdf")</f>
        <v>https://dpmzos25m8ivg.cloudfront.net/Documentos/631/04990219325/6310499021932506092023225232.pdf</v>
      </c>
      <c r="G2190" s="5" t="str">
        <f>HYPERLINK("https://dpmzos25m8ivg.cloudfront.net/Documentos/631/04990219325/6310499021932506092023225251.pdf","https://dpmzos25m8ivg.cloudfront.net/Documentos/631/04990219325/6310499021932506092023225251.pdf")</f>
        <v>https://dpmzos25m8ivg.cloudfront.net/Documentos/631/04990219325/6310499021932506092023225251.pdf</v>
      </c>
      <c r="H2190" s="4" t="s">
        <v>10770</v>
      </c>
    </row>
    <row r="2191" spans="1:8" x14ac:dyDescent="0.25">
      <c r="A2191" s="2" t="s">
        <v>2205</v>
      </c>
      <c r="B2191" s="3"/>
      <c r="C2191" s="3"/>
      <c r="D2191" s="3"/>
      <c r="E2191" s="4" t="str">
        <f>HYPERLINK("https://dpmzos25m8ivg.cloudfront.net/Documentos/631/04991726204/6310499172620410092023142906.pdf","https://dpmzos25m8ivg.cloudfront.net/Documentos/631/04991726204/6310499172620410092023142906.pdf")</f>
        <v>https://dpmzos25m8ivg.cloudfront.net/Documentos/631/04991726204/6310499172620410092023142906.pdf</v>
      </c>
      <c r="F2191" s="5" t="str">
        <f>HYPERLINK("https://dpmzos25m8ivg.cloudfront.net/Documentos/631/04991726204/6310499172620410092023142917.pdf","https://dpmzos25m8ivg.cloudfront.net/Documentos/631/04991726204/6310499172620410092023142917.pdf")</f>
        <v>https://dpmzos25m8ivg.cloudfront.net/Documentos/631/04991726204/6310499172620410092023142917.pdf</v>
      </c>
      <c r="G2191" s="5" t="str">
        <f>HYPERLINK("https://dpmzos25m8ivg.cloudfront.net/Documentos/631/04991726204/6310499172620410092023142930.pdf","https://dpmzos25m8ivg.cloudfront.net/Documentos/631/04991726204/6310499172620410092023142930.pdf")</f>
        <v>https://dpmzos25m8ivg.cloudfront.net/Documentos/631/04991726204/6310499172620410092023142930.pdf</v>
      </c>
      <c r="H2191" s="4" t="s">
        <v>10771</v>
      </c>
    </row>
    <row r="2192" spans="1:8" x14ac:dyDescent="0.25">
      <c r="A2192" s="2" t="s">
        <v>2206</v>
      </c>
      <c r="B2192" s="3"/>
      <c r="C2192" s="3"/>
      <c r="D2192" s="3"/>
      <c r="E2192" s="4" t="str">
        <f>HYPERLINK("https://dpmzos25m8ivg.cloudfront.net/Documentos/631/04994621497/6310499462149713092023110452.pdf","https://dpmzos25m8ivg.cloudfront.net/Documentos/631/04994621497/6310499462149713092023110452.pdf")</f>
        <v>https://dpmzos25m8ivg.cloudfront.net/Documentos/631/04994621497/6310499462149713092023110452.pdf</v>
      </c>
      <c r="F2192" s="5" t="str">
        <f>HYPERLINK("https://dpmzos25m8ivg.cloudfront.net/Documentos/631/04994621497/6310499462149713092023110512.pdf","https://dpmzos25m8ivg.cloudfront.net/Documentos/631/04994621497/6310499462149713092023110512.pdf")</f>
        <v>https://dpmzos25m8ivg.cloudfront.net/Documentos/631/04994621497/6310499462149713092023110512.pdf</v>
      </c>
      <c r="G2192" s="5" t="str">
        <f>HYPERLINK("https://dpmzos25m8ivg.cloudfront.net/Documentos/631/04994621497/6310499462149713092023110524.pdf","https://dpmzos25m8ivg.cloudfront.net/Documentos/631/04994621497/6310499462149713092023110524.pdf")</f>
        <v>https://dpmzos25m8ivg.cloudfront.net/Documentos/631/04994621497/6310499462149713092023110524.pdf</v>
      </c>
      <c r="H2192" s="4" t="s">
        <v>10772</v>
      </c>
    </row>
    <row r="2193" spans="1:8" x14ac:dyDescent="0.25">
      <c r="A2193" s="2" t="s">
        <v>2207</v>
      </c>
      <c r="B2193" s="3" t="s">
        <v>42</v>
      </c>
      <c r="C2193" s="3"/>
      <c r="D2193" s="3"/>
      <c r="E2193" s="4" t="str">
        <f>HYPERLINK("https://dpmzos25m8ivg.cloudfront.net/Documentos/631/05003450150/6310500345015011092023141435.jpeg","https://dpmzos25m8ivg.cloudfront.net/Documentos/631/05003450150/6310500345015011092023141435.jpeg")</f>
        <v>https://dpmzos25m8ivg.cloudfront.net/Documentos/631/05003450150/6310500345015011092023141435.jpeg</v>
      </c>
      <c r="F2193" s="5" t="str">
        <f>HYPERLINK("https://dpmzos25m8ivg.cloudfront.net/Documentos/631/05003450150/6310500345015011092023141441.jpeg","https://dpmzos25m8ivg.cloudfront.net/Documentos/631/05003450150/6310500345015011092023141441.jpeg")</f>
        <v>https://dpmzos25m8ivg.cloudfront.net/Documentos/631/05003450150/6310500345015011092023141441.jpeg</v>
      </c>
      <c r="G2193" s="5" t="str">
        <f>HYPERLINK("https://dpmzos25m8ivg.cloudfront.net/Documentos/631/05003450150/6310500345015011092023141447.jpeg","https://dpmzos25m8ivg.cloudfront.net/Documentos/631/05003450150/6310500345015011092023141447.jpeg")</f>
        <v>https://dpmzos25m8ivg.cloudfront.net/Documentos/631/05003450150/6310500345015011092023141447.jpeg</v>
      </c>
      <c r="H2193" s="4" t="s">
        <v>10773</v>
      </c>
    </row>
    <row r="2194" spans="1:8" x14ac:dyDescent="0.25">
      <c r="A2194" s="2" t="s">
        <v>2208</v>
      </c>
      <c r="B2194" s="3" t="s">
        <v>23</v>
      </c>
      <c r="C2194" s="3"/>
      <c r="D2194" s="3"/>
      <c r="E2194" s="4" t="str">
        <f>HYPERLINK("https://dpmzos25m8ivg.cloudfront.net/Documentos/631/05006954400/6310500695440011092023094533.pdf","https://dpmzos25m8ivg.cloudfront.net/Documentos/631/05006954400/6310500695440011092023094533.pdf")</f>
        <v>https://dpmzos25m8ivg.cloudfront.net/Documentos/631/05006954400/6310500695440011092023094533.pdf</v>
      </c>
      <c r="F2194" s="5" t="str">
        <f>HYPERLINK("https://dpmzos25m8ivg.cloudfront.net/Documentos/631/05006954400/6310500695440011092023094547.pdf","https://dpmzos25m8ivg.cloudfront.net/Documentos/631/05006954400/6310500695440011092023094547.pdf")</f>
        <v>https://dpmzos25m8ivg.cloudfront.net/Documentos/631/05006954400/6310500695440011092023094547.pdf</v>
      </c>
      <c r="G2194" s="5" t="str">
        <f>HYPERLINK("https://dpmzos25m8ivg.cloudfront.net/Documentos/631/05006954400/6310500695440011092023094603.pdf","https://dpmzos25m8ivg.cloudfront.net/Documentos/631/05006954400/6310500695440011092023094603.pdf")</f>
        <v>https://dpmzos25m8ivg.cloudfront.net/Documentos/631/05006954400/6310500695440011092023094603.pdf</v>
      </c>
      <c r="H2194" s="4" t="s">
        <v>10774</v>
      </c>
    </row>
    <row r="2195" spans="1:8" x14ac:dyDescent="0.25">
      <c r="A2195" s="2" t="s">
        <v>2209</v>
      </c>
      <c r="B2195" s="3" t="s">
        <v>42</v>
      </c>
      <c r="C2195" s="3"/>
      <c r="D2195" s="3"/>
      <c r="E2195" s="4" t="str">
        <f>HYPERLINK("https://dpmzos25m8ivg.cloudfront.net/Documentos/631/05008192620/6310500819262011092023152806.jpg","https://dpmzos25m8ivg.cloudfront.net/Documentos/631/05008192620/6310500819262011092023152806.jpg")</f>
        <v>https://dpmzos25m8ivg.cloudfront.net/Documentos/631/05008192620/6310500819262011092023152806.jpg</v>
      </c>
      <c r="F2195" s="5" t="str">
        <f>HYPERLINK("https://dpmzos25m8ivg.cloudfront.net/Documentos/631/05008192620/6310500819262011092023152826.jpg","https://dpmzos25m8ivg.cloudfront.net/Documentos/631/05008192620/6310500819262011092023152826.jpg")</f>
        <v>https://dpmzos25m8ivg.cloudfront.net/Documentos/631/05008192620/6310500819262011092023152826.jpg</v>
      </c>
      <c r="G2195" s="5" t="str">
        <f>HYPERLINK("https://dpmzos25m8ivg.cloudfront.net/Documentos/631/05008192620/6310500819262011092023152847.jpg","https://dpmzos25m8ivg.cloudfront.net/Documentos/631/05008192620/6310500819262011092023152847.jpg")</f>
        <v>https://dpmzos25m8ivg.cloudfront.net/Documentos/631/05008192620/6310500819262011092023152847.jpg</v>
      </c>
      <c r="H2195" s="4" t="s">
        <v>10775</v>
      </c>
    </row>
    <row r="2196" spans="1:8" x14ac:dyDescent="0.25">
      <c r="A2196" s="2" t="s">
        <v>2210</v>
      </c>
      <c r="B2196" s="3"/>
      <c r="C2196" s="3"/>
      <c r="D2196" s="3"/>
      <c r="E2196" s="4" t="str">
        <f>HYPERLINK("https://dpmzos25m8ivg.cloudfront.net/Documentos/631/05008257340/6310500825734011092023153056.pdf","https://dpmzos25m8ivg.cloudfront.net/Documentos/631/05008257340/6310500825734011092023153056.pdf")</f>
        <v>https://dpmzos25m8ivg.cloudfront.net/Documentos/631/05008257340/6310500825734011092023153056.pdf</v>
      </c>
      <c r="F2196" s="5" t="str">
        <f>HYPERLINK("https://dpmzos25m8ivg.cloudfront.net/Documentos/631/05008257340/6310500825734011092023153109.pdf","https://dpmzos25m8ivg.cloudfront.net/Documentos/631/05008257340/6310500825734011092023153109.pdf")</f>
        <v>https://dpmzos25m8ivg.cloudfront.net/Documentos/631/05008257340/6310500825734011092023153109.pdf</v>
      </c>
      <c r="G2196" s="5" t="str">
        <f>HYPERLINK("https://dpmzos25m8ivg.cloudfront.net/Documentos/631/05008257340/6310500825734011092023153123.pdf","https://dpmzos25m8ivg.cloudfront.net/Documentos/631/05008257340/6310500825734011092023153123.pdf")</f>
        <v>https://dpmzos25m8ivg.cloudfront.net/Documentos/631/05008257340/6310500825734011092023153123.pdf</v>
      </c>
      <c r="H2196" s="4" t="s">
        <v>10776</v>
      </c>
    </row>
    <row r="2197" spans="1:8" x14ac:dyDescent="0.25">
      <c r="A2197" s="2" t="s">
        <v>2211</v>
      </c>
      <c r="B2197" s="3"/>
      <c r="C2197" s="3"/>
      <c r="D2197" s="3"/>
      <c r="E2197" s="4" t="str">
        <f>HYPERLINK("https://dpmzos25m8ivg.cloudfront.net/Documentos/631/05011184463/6310501118446307092023125519.jpg","https://dpmzos25m8ivg.cloudfront.net/Documentos/631/05011184463/6310501118446307092023125519.jpg")</f>
        <v>https://dpmzos25m8ivg.cloudfront.net/Documentos/631/05011184463/6310501118446307092023125519.jpg</v>
      </c>
      <c r="F2197" s="5" t="str">
        <f>HYPERLINK("https://dpmzos25m8ivg.cloudfront.net/Documentos/631/05011184463/6310501118446307092023125529.jpg","https://dpmzos25m8ivg.cloudfront.net/Documentos/631/05011184463/6310501118446307092023125529.jpg")</f>
        <v>https://dpmzos25m8ivg.cloudfront.net/Documentos/631/05011184463/6310501118446307092023125529.jpg</v>
      </c>
      <c r="G2197" s="5" t="str">
        <f>HYPERLINK("https://dpmzos25m8ivg.cloudfront.net/Documentos/631/05011184463/6310501118446307092023125539.jpg","https://dpmzos25m8ivg.cloudfront.net/Documentos/631/05011184463/6310501118446307092023125539.jpg")</f>
        <v>https://dpmzos25m8ivg.cloudfront.net/Documentos/631/05011184463/6310501118446307092023125539.jpg</v>
      </c>
      <c r="H2197" s="4" t="s">
        <v>10777</v>
      </c>
    </row>
    <row r="2198" spans="1:8" x14ac:dyDescent="0.25">
      <c r="A2198" s="2" t="s">
        <v>2212</v>
      </c>
      <c r="B2198" s="3"/>
      <c r="C2198" s="3"/>
      <c r="D2198" s="3"/>
      <c r="E2198" s="4" t="str">
        <f>HYPERLINK("https://dpmzos25m8ivg.cloudfront.net/Documentos/631/05012620160/6310501262016011092023161920.pdf","https://dpmzos25m8ivg.cloudfront.net/Documentos/631/05012620160/6310501262016011092023161920.pdf")</f>
        <v>https://dpmzos25m8ivg.cloudfront.net/Documentos/631/05012620160/6310501262016011092023161920.pdf</v>
      </c>
      <c r="F2198" s="5" t="str">
        <f>HYPERLINK("https://dpmzos25m8ivg.cloudfront.net/Documentos/631/05012620160/6310501262016011092023161932.pdf","https://dpmzos25m8ivg.cloudfront.net/Documentos/631/05012620160/6310501262016011092023161932.pdf")</f>
        <v>https://dpmzos25m8ivg.cloudfront.net/Documentos/631/05012620160/6310501262016011092023161932.pdf</v>
      </c>
      <c r="G2198" s="5" t="str">
        <f>HYPERLINK("https://dpmzos25m8ivg.cloudfront.net/Documentos/631/05012620160/6310501262016011092023161938.pdf","https://dpmzos25m8ivg.cloudfront.net/Documentos/631/05012620160/6310501262016011092023161938.pdf")</f>
        <v>https://dpmzos25m8ivg.cloudfront.net/Documentos/631/05012620160/6310501262016011092023161938.pdf</v>
      </c>
      <c r="H2198" s="4" t="s">
        <v>10778</v>
      </c>
    </row>
    <row r="2199" spans="1:8" x14ac:dyDescent="0.25">
      <c r="A2199" s="2" t="s">
        <v>2213</v>
      </c>
      <c r="B2199" s="3"/>
      <c r="C2199" s="3"/>
      <c r="D2199" s="3"/>
      <c r="E2199" s="4" t="str">
        <f>HYPERLINK("https://dpmzos25m8ivg.cloudfront.net/Documentos/631/05017654330/6310501765433008092023184559.jpeg","https://dpmzos25m8ivg.cloudfront.net/Documentos/631/05017654330/6310501765433008092023184559.jpeg")</f>
        <v>https://dpmzos25m8ivg.cloudfront.net/Documentos/631/05017654330/6310501765433008092023184559.jpeg</v>
      </c>
      <c r="F2199" s="5" t="str">
        <f>HYPERLINK("https://dpmzos25m8ivg.cloudfront.net/Documentos/631/05017654330/6310501765433008092023184622.jpeg","https://dpmzos25m8ivg.cloudfront.net/Documentos/631/05017654330/6310501765433008092023184622.jpeg")</f>
        <v>https://dpmzos25m8ivg.cloudfront.net/Documentos/631/05017654330/6310501765433008092023184622.jpeg</v>
      </c>
      <c r="G2199" s="5" t="str">
        <f>HYPERLINK("https://dpmzos25m8ivg.cloudfront.net/Documentos/631/05017654330/6310501765433008092023184634.jpeg","https://dpmzos25m8ivg.cloudfront.net/Documentos/631/05017654330/6310501765433008092023184634.jpeg")</f>
        <v>https://dpmzos25m8ivg.cloudfront.net/Documentos/631/05017654330/6310501765433008092023184634.jpeg</v>
      </c>
      <c r="H2199" s="4" t="s">
        <v>10779</v>
      </c>
    </row>
    <row r="2200" spans="1:8" x14ac:dyDescent="0.25">
      <c r="A2200" s="2" t="s">
        <v>2214</v>
      </c>
      <c r="B2200" s="3"/>
      <c r="C2200" s="3"/>
      <c r="D2200" s="3"/>
      <c r="E2200" s="4" t="str">
        <f>HYPERLINK("https://dpmzos25m8ivg.cloudfront.net/Documentos/631/05020879193/6310502087919306092023102407.pdf","https://dpmzos25m8ivg.cloudfront.net/Documentos/631/05020879193/6310502087919306092023102407.pdf")</f>
        <v>https://dpmzos25m8ivg.cloudfront.net/Documentos/631/05020879193/6310502087919306092023102407.pdf</v>
      </c>
      <c r="F2200" s="5" t="str">
        <f>HYPERLINK("https://dpmzos25m8ivg.cloudfront.net/Documentos/631/05020879193/6310502087919306092023102416.pdf","https://dpmzos25m8ivg.cloudfront.net/Documentos/631/05020879193/6310502087919306092023102416.pdf")</f>
        <v>https://dpmzos25m8ivg.cloudfront.net/Documentos/631/05020879193/6310502087919306092023102416.pdf</v>
      </c>
      <c r="G2200" s="5" t="str">
        <f>HYPERLINK("https://dpmzos25m8ivg.cloudfront.net/Documentos/631/05020879193/6310502087919306092023102428.pdf","https://dpmzos25m8ivg.cloudfront.net/Documentos/631/05020879193/6310502087919306092023102428.pdf")</f>
        <v>https://dpmzos25m8ivg.cloudfront.net/Documentos/631/05020879193/6310502087919306092023102428.pdf</v>
      </c>
      <c r="H2200" s="4" t="s">
        <v>10780</v>
      </c>
    </row>
    <row r="2201" spans="1:8" x14ac:dyDescent="0.25">
      <c r="A2201" s="2" t="s">
        <v>2215</v>
      </c>
      <c r="B2201" s="3"/>
      <c r="C2201" s="3"/>
      <c r="D2201" s="3"/>
      <c r="E2201" s="4" t="str">
        <f>HYPERLINK("https://dpmzos25m8ivg.cloudfront.net/Documentos/631/05022317508/6310502231750811092023100829.jpg","https://dpmzos25m8ivg.cloudfront.net/Documentos/631/05022317508/6310502231750811092023100829.jpg")</f>
        <v>https://dpmzos25m8ivg.cloudfront.net/Documentos/631/05022317508/6310502231750811092023100829.jpg</v>
      </c>
      <c r="F2201" s="5" t="str">
        <f>HYPERLINK("https://dpmzos25m8ivg.cloudfront.net/Documentos/631/05022317508/6310502231750811092023100906.jpg","https://dpmzos25m8ivg.cloudfront.net/Documentos/631/05022317508/6310502231750811092023100906.jpg")</f>
        <v>https://dpmzos25m8ivg.cloudfront.net/Documentos/631/05022317508/6310502231750811092023100906.jpg</v>
      </c>
      <c r="G2201" s="5" t="str">
        <f>HYPERLINK("https://dpmzos25m8ivg.cloudfront.net/Documentos/631/05022317508/6310502231750811092023100923.jpg","https://dpmzos25m8ivg.cloudfront.net/Documentos/631/05022317508/6310502231750811092023100923.jpg")</f>
        <v>https://dpmzos25m8ivg.cloudfront.net/Documentos/631/05022317508/6310502231750811092023100923.jpg</v>
      </c>
      <c r="H2201" s="4" t="s">
        <v>10781</v>
      </c>
    </row>
    <row r="2202" spans="1:8" x14ac:dyDescent="0.25">
      <c r="A2202" s="2" t="s">
        <v>2216</v>
      </c>
      <c r="B2202" s="3"/>
      <c r="C2202" s="3"/>
      <c r="D2202" s="3"/>
      <c r="E2202" s="4" t="str">
        <f>HYPERLINK("https://dpmzos25m8ivg.cloudfront.net/Documentos/631/05024212312/6310502421231209092023193629.jpeg","https://dpmzos25m8ivg.cloudfront.net/Documentos/631/05024212312/6310502421231209092023193629.jpeg")</f>
        <v>https://dpmzos25m8ivg.cloudfront.net/Documentos/631/05024212312/6310502421231209092023193629.jpeg</v>
      </c>
      <c r="F2202" s="5" t="str">
        <f>HYPERLINK("https://dpmzos25m8ivg.cloudfront.net/Documentos/631/05024212312/6310502421231209092023193652.jpeg","https://dpmzos25m8ivg.cloudfront.net/Documentos/631/05024212312/6310502421231209092023193652.jpeg")</f>
        <v>https://dpmzos25m8ivg.cloudfront.net/Documentos/631/05024212312/6310502421231209092023193652.jpeg</v>
      </c>
      <c r="G2202" s="5" t="str">
        <f>HYPERLINK("https://dpmzos25m8ivg.cloudfront.net/Documentos/631/05024212312/6310502421231211092023115053.jpeg","https://dpmzos25m8ivg.cloudfront.net/Documentos/631/05024212312/6310502421231211092023115053.jpeg")</f>
        <v>https://dpmzos25m8ivg.cloudfront.net/Documentos/631/05024212312/6310502421231211092023115053.jpeg</v>
      </c>
      <c r="H2202" s="4" t="s">
        <v>10782</v>
      </c>
    </row>
    <row r="2203" spans="1:8" x14ac:dyDescent="0.25">
      <c r="A2203" s="2" t="s">
        <v>2217</v>
      </c>
      <c r="B2203" s="3" t="s">
        <v>42</v>
      </c>
      <c r="C2203" s="3"/>
      <c r="D2203" s="3"/>
      <c r="E2203" s="4" t="str">
        <f>HYPERLINK("https://dpmzos25m8ivg.cloudfront.net/Documentos/631/05024372433/6310502437243311092023130338.jpg","https://dpmzos25m8ivg.cloudfront.net/Documentos/631/05024372433/6310502437243311092023130338.jpg")</f>
        <v>https://dpmzos25m8ivg.cloudfront.net/Documentos/631/05024372433/6310502437243311092023130338.jpg</v>
      </c>
      <c r="F2203" s="5" t="str">
        <f>HYPERLINK("https://dpmzos25m8ivg.cloudfront.net/Documentos/631/05024372433/6310502437243311092023130349.jpg","https://dpmzos25m8ivg.cloudfront.net/Documentos/631/05024372433/6310502437243311092023130349.jpg")</f>
        <v>https://dpmzos25m8ivg.cloudfront.net/Documentos/631/05024372433/6310502437243311092023130349.jpg</v>
      </c>
      <c r="G2203" s="5" t="str">
        <f>HYPERLINK("https://dpmzos25m8ivg.cloudfront.net/Documentos/631/05024372433/6310502437243311092023130402.jpg","https://dpmzos25m8ivg.cloudfront.net/Documentos/631/05024372433/6310502437243311092023130402.jpg")</f>
        <v>https://dpmzos25m8ivg.cloudfront.net/Documentos/631/05024372433/6310502437243311092023130402.jpg</v>
      </c>
      <c r="H2203" s="4" t="s">
        <v>10783</v>
      </c>
    </row>
    <row r="2204" spans="1:8" x14ac:dyDescent="0.25">
      <c r="A2204" s="2" t="s">
        <v>2218</v>
      </c>
      <c r="B2204" s="3"/>
      <c r="C2204" s="3"/>
      <c r="D2204" s="3"/>
      <c r="E2204" s="4" t="str">
        <f>HYPERLINK("https://dpmzos25m8ivg.cloudfront.net/Documentos/631/05024421159/6310502442115910092023085057.pdf","https://dpmzos25m8ivg.cloudfront.net/Documentos/631/05024421159/6310502442115910092023085057.pdf")</f>
        <v>https://dpmzos25m8ivg.cloudfront.net/Documentos/631/05024421159/6310502442115910092023085057.pdf</v>
      </c>
      <c r="F2204" s="5" t="str">
        <f>HYPERLINK("https://dpmzos25m8ivg.cloudfront.net/Documentos/631/05024421159/6310502442115910092023085139.pdf","https://dpmzos25m8ivg.cloudfront.net/Documentos/631/05024421159/6310502442115910092023085139.pdf")</f>
        <v>https://dpmzos25m8ivg.cloudfront.net/Documentos/631/05024421159/6310502442115910092023085139.pdf</v>
      </c>
      <c r="G2204" s="5" t="str">
        <f>HYPERLINK("https://dpmzos25m8ivg.cloudfront.net/Documentos/631/05024421159/6310502442115910092023085238.pdf","https://dpmzos25m8ivg.cloudfront.net/Documentos/631/05024421159/6310502442115910092023085238.pdf")</f>
        <v>https://dpmzos25m8ivg.cloudfront.net/Documentos/631/05024421159/6310502442115910092023085238.pdf</v>
      </c>
      <c r="H2204" s="4" t="s">
        <v>10784</v>
      </c>
    </row>
    <row r="2205" spans="1:8" x14ac:dyDescent="0.25">
      <c r="A2205" s="2" t="s">
        <v>2219</v>
      </c>
      <c r="B2205" s="3"/>
      <c r="C2205" s="3"/>
      <c r="D2205" s="3"/>
      <c r="E2205" s="4" t="str">
        <f>HYPERLINK("https://dpmzos25m8ivg.cloudfront.net/Documentos/631/05032641308/6310503264130810092023184323.pdf","https://dpmzos25m8ivg.cloudfront.net/Documentos/631/05032641308/6310503264130810092023184323.pdf")</f>
        <v>https://dpmzos25m8ivg.cloudfront.net/Documentos/631/05032641308/6310503264130810092023184323.pdf</v>
      </c>
      <c r="F2205" s="5" t="str">
        <f>HYPERLINK("https://dpmzos25m8ivg.cloudfront.net/Documentos/631/05032641308/6310503264130810092023184343.pdf","https://dpmzos25m8ivg.cloudfront.net/Documentos/631/05032641308/6310503264130810092023184343.pdf")</f>
        <v>https://dpmzos25m8ivg.cloudfront.net/Documentos/631/05032641308/6310503264130810092023184343.pdf</v>
      </c>
      <c r="G2205" s="5" t="str">
        <f>HYPERLINK("https://dpmzos25m8ivg.cloudfront.net/Documentos/631/05032641308/6310503264130810092023184351.pdf","https://dpmzos25m8ivg.cloudfront.net/Documentos/631/05032641308/6310503264130810092023184351.pdf")</f>
        <v>https://dpmzos25m8ivg.cloudfront.net/Documentos/631/05032641308/6310503264130810092023184351.pdf</v>
      </c>
      <c r="H2205" s="4" t="s">
        <v>10785</v>
      </c>
    </row>
    <row r="2206" spans="1:8" x14ac:dyDescent="0.25">
      <c r="A2206" s="2" t="s">
        <v>2220</v>
      </c>
      <c r="B2206" s="3"/>
      <c r="C2206" s="3"/>
      <c r="D2206" s="3"/>
      <c r="E2206" s="4" t="str">
        <f>HYPERLINK("https://dpmzos25m8ivg.cloudfront.net/Documentos/631/05032922145/6310503292214514092023104225.pdf","https://dpmzos25m8ivg.cloudfront.net/Documentos/631/05032922145/6310503292214514092023104225.pdf")</f>
        <v>https://dpmzos25m8ivg.cloudfront.net/Documentos/631/05032922145/6310503292214514092023104225.pdf</v>
      </c>
      <c r="F2206" s="5" t="str">
        <f>HYPERLINK("https://dpmzos25m8ivg.cloudfront.net/Documentos/631/05032922145/6310503292214514092023104234.pdf","https://dpmzos25m8ivg.cloudfront.net/Documentos/631/05032922145/6310503292214514092023104234.pdf")</f>
        <v>https://dpmzos25m8ivg.cloudfront.net/Documentos/631/05032922145/6310503292214514092023104234.pdf</v>
      </c>
      <c r="G2206" s="5" t="str">
        <f>HYPERLINK("https://dpmzos25m8ivg.cloudfront.net/Documentos/631/05032922145/6310503292214514092023104245.pdf","https://dpmzos25m8ivg.cloudfront.net/Documentos/631/05032922145/6310503292214514092023104245.pdf")</f>
        <v>https://dpmzos25m8ivg.cloudfront.net/Documentos/631/05032922145/6310503292214514092023104245.pdf</v>
      </c>
      <c r="H2206" s="4" t="s">
        <v>10786</v>
      </c>
    </row>
    <row r="2207" spans="1:8" x14ac:dyDescent="0.25">
      <c r="A2207" s="2" t="s">
        <v>2221</v>
      </c>
      <c r="B2207" s="3"/>
      <c r="C2207" s="3"/>
      <c r="D2207" s="3"/>
      <c r="E2207" s="4" t="str">
        <f>HYPERLINK("https://dpmzos25m8ivg.cloudfront.net/Documentos/631/05033809113/6310503380911311092023144739.pdf","https://dpmzos25m8ivg.cloudfront.net/Documentos/631/05033809113/6310503380911311092023144739.pdf")</f>
        <v>https://dpmzos25m8ivg.cloudfront.net/Documentos/631/05033809113/6310503380911311092023144739.pdf</v>
      </c>
      <c r="F2207" s="5" t="str">
        <f>HYPERLINK("https://dpmzos25m8ivg.cloudfront.net/Documentos/631/05033809113/6310503380911311092023144753.pdf","https://dpmzos25m8ivg.cloudfront.net/Documentos/631/05033809113/6310503380911311092023144753.pdf")</f>
        <v>https://dpmzos25m8ivg.cloudfront.net/Documentos/631/05033809113/6310503380911311092023144753.pdf</v>
      </c>
      <c r="G2207" s="5" t="str">
        <f>HYPERLINK("https://dpmzos25m8ivg.cloudfront.net/Documentos/631/05033809113/6310503380911311092023144804.pdf","https://dpmzos25m8ivg.cloudfront.net/Documentos/631/05033809113/6310503380911311092023144804.pdf")</f>
        <v>https://dpmzos25m8ivg.cloudfront.net/Documentos/631/05033809113/6310503380911311092023144804.pdf</v>
      </c>
      <c r="H2207" s="4" t="s">
        <v>10787</v>
      </c>
    </row>
    <row r="2208" spans="1:8" x14ac:dyDescent="0.25">
      <c r="A2208" s="2" t="s">
        <v>2222</v>
      </c>
      <c r="B2208" s="3"/>
      <c r="C2208" s="3"/>
      <c r="D2208" s="3"/>
      <c r="E2208" s="4" t="str">
        <f>HYPERLINK("https://dpmzos25m8ivg.cloudfront.net/Documentos/631/05037432162/6310503743216211092023155224.pdf","https://dpmzos25m8ivg.cloudfront.net/Documentos/631/05037432162/6310503743216211092023155224.pdf")</f>
        <v>https://dpmzos25m8ivg.cloudfront.net/Documentos/631/05037432162/6310503743216211092023155224.pdf</v>
      </c>
      <c r="F2208" s="5" t="str">
        <f>HYPERLINK("https://dpmzos25m8ivg.cloudfront.net/Documentos/631/05037432162/6310503743216211092023155236.pdf","https://dpmzos25m8ivg.cloudfront.net/Documentos/631/05037432162/6310503743216211092023155236.pdf")</f>
        <v>https://dpmzos25m8ivg.cloudfront.net/Documentos/631/05037432162/6310503743216211092023155236.pdf</v>
      </c>
      <c r="G2208" s="5" t="str">
        <f>HYPERLINK("https://dpmzos25m8ivg.cloudfront.net/Documentos/631/05037432162/6310503743216211092023155257.pdf","https://dpmzos25m8ivg.cloudfront.net/Documentos/631/05037432162/6310503743216211092023155257.pdf")</f>
        <v>https://dpmzos25m8ivg.cloudfront.net/Documentos/631/05037432162/6310503743216211092023155257.pdf</v>
      </c>
      <c r="H2208" s="4" t="s">
        <v>10788</v>
      </c>
    </row>
    <row r="2209" spans="1:8" x14ac:dyDescent="0.25">
      <c r="A2209" s="2" t="s">
        <v>2223</v>
      </c>
      <c r="B2209" s="3"/>
      <c r="C2209" s="3"/>
      <c r="D2209" s="3"/>
      <c r="E2209" s="4" t="str">
        <f>HYPERLINK("https://dpmzos25m8ivg.cloudfront.net/Documentos/631/05049669103/6310504966910308092023164947.pdf","https://dpmzos25m8ivg.cloudfront.net/Documentos/631/05049669103/6310504966910308092023164947.pdf")</f>
        <v>https://dpmzos25m8ivg.cloudfront.net/Documentos/631/05049669103/6310504966910308092023164947.pdf</v>
      </c>
      <c r="F2209" s="5" t="str">
        <f>HYPERLINK("https://dpmzos25m8ivg.cloudfront.net/Documentos/631/05049669103/6310504966910308092023164954.pdf","https://dpmzos25m8ivg.cloudfront.net/Documentos/631/05049669103/6310504966910308092023164954.pdf")</f>
        <v>https://dpmzos25m8ivg.cloudfront.net/Documentos/631/05049669103/6310504966910308092023164954.pdf</v>
      </c>
      <c r="G2209" s="5" t="str">
        <f>HYPERLINK("https://dpmzos25m8ivg.cloudfront.net/Documentos/631/05049669103/6310504966910308092023165004.pdf","https://dpmzos25m8ivg.cloudfront.net/Documentos/631/05049669103/6310504966910308092023165004.pdf")</f>
        <v>https://dpmzos25m8ivg.cloudfront.net/Documentos/631/05049669103/6310504966910308092023165004.pdf</v>
      </c>
      <c r="H2209" s="4" t="s">
        <v>10789</v>
      </c>
    </row>
    <row r="2210" spans="1:8" x14ac:dyDescent="0.25">
      <c r="A2210" s="2" t="s">
        <v>2224</v>
      </c>
      <c r="B2210" s="3"/>
      <c r="C2210" s="3"/>
      <c r="D2210" s="3"/>
      <c r="E2210" s="4" t="str">
        <f>HYPERLINK("https://dpmzos25m8ivg.cloudfront.net/Documentos/631/05049977185/6310504997718513092023211102.jpeg","https://dpmzos25m8ivg.cloudfront.net/Documentos/631/05049977185/6310504997718513092023211102.jpeg")</f>
        <v>https://dpmzos25m8ivg.cloudfront.net/Documentos/631/05049977185/6310504997718513092023211102.jpeg</v>
      </c>
      <c r="F2210" s="5" t="str">
        <f>HYPERLINK("https://dpmzos25m8ivg.cloudfront.net/Documentos/631/05049977185/6310504997718513092023211248.jpeg","https://dpmzos25m8ivg.cloudfront.net/Documentos/631/05049977185/6310504997718513092023211248.jpeg")</f>
        <v>https://dpmzos25m8ivg.cloudfront.net/Documentos/631/05049977185/6310504997718513092023211248.jpeg</v>
      </c>
      <c r="G2210" s="5" t="str">
        <f>HYPERLINK("https://dpmzos25m8ivg.cloudfront.net/Documentos/631/05049977185/6310504997718513092023211406.jpeg","https://dpmzos25m8ivg.cloudfront.net/Documentos/631/05049977185/6310504997718513092023211406.jpeg")</f>
        <v>https://dpmzos25m8ivg.cloudfront.net/Documentos/631/05049977185/6310504997718513092023211406.jpeg</v>
      </c>
      <c r="H2210" s="4" t="s">
        <v>10790</v>
      </c>
    </row>
    <row r="2211" spans="1:8" x14ac:dyDescent="0.25">
      <c r="A2211" s="2" t="s">
        <v>2225</v>
      </c>
      <c r="B2211" s="3"/>
      <c r="C2211" s="3"/>
      <c r="D2211" s="3"/>
      <c r="E2211" s="4" t="str">
        <f>HYPERLINK("https://dpmzos25m8ivg.cloudfront.net/Documentos/631/05051621210/6310505162121011092023164523.pdf","https://dpmzos25m8ivg.cloudfront.net/Documentos/631/05051621210/6310505162121011092023164523.pdf")</f>
        <v>https://dpmzos25m8ivg.cloudfront.net/Documentos/631/05051621210/6310505162121011092023164523.pdf</v>
      </c>
      <c r="F2211" s="5" t="str">
        <f>HYPERLINK("https://dpmzos25m8ivg.cloudfront.net/Documentos/631/05051621210/6310505162121011092023164535.pdf","https://dpmzos25m8ivg.cloudfront.net/Documentos/631/05051621210/6310505162121011092023164535.pdf")</f>
        <v>https://dpmzos25m8ivg.cloudfront.net/Documentos/631/05051621210/6310505162121011092023164535.pdf</v>
      </c>
      <c r="G2211" s="5" t="str">
        <f>HYPERLINK("https://dpmzos25m8ivg.cloudfront.net/Documentos/631/05051621210/6310505162121011092023164603.pdf","https://dpmzos25m8ivg.cloudfront.net/Documentos/631/05051621210/6310505162121011092023164603.pdf")</f>
        <v>https://dpmzos25m8ivg.cloudfront.net/Documentos/631/05051621210/6310505162121011092023164603.pdf</v>
      </c>
      <c r="H2211" s="4" t="s">
        <v>10791</v>
      </c>
    </row>
    <row r="2212" spans="1:8" x14ac:dyDescent="0.25">
      <c r="A2212" s="2" t="s">
        <v>2226</v>
      </c>
      <c r="B2212" s="3"/>
      <c r="C2212" s="3"/>
      <c r="D2212" s="3"/>
      <c r="E2212" s="4" t="str">
        <f>HYPERLINK("https://dpmzos25m8ivg.cloudfront.net/Documentos/631/05052555296/6310505255529611092023110131.pdf","https://dpmzos25m8ivg.cloudfront.net/Documentos/631/05052555296/6310505255529611092023110131.pdf")</f>
        <v>https://dpmzos25m8ivg.cloudfront.net/Documentos/631/05052555296/6310505255529611092023110131.pdf</v>
      </c>
      <c r="F2212" s="5" t="str">
        <f>HYPERLINK("https://dpmzos25m8ivg.cloudfront.net/Documentos/631/05052555296/6310505255529611092023154457.pdf","https://dpmzos25m8ivg.cloudfront.net/Documentos/631/05052555296/6310505255529611092023154457.pdf")</f>
        <v>https://dpmzos25m8ivg.cloudfront.net/Documentos/631/05052555296/6310505255529611092023154457.pdf</v>
      </c>
      <c r="G2212" s="5" t="str">
        <f>HYPERLINK("https://dpmzos25m8ivg.cloudfront.net/Documentos/631/05052555296/6310505255529611092023154507.pdf","https://dpmzos25m8ivg.cloudfront.net/Documentos/631/05052555296/6310505255529611092023154507.pdf")</f>
        <v>https://dpmzos25m8ivg.cloudfront.net/Documentos/631/05052555296/6310505255529611092023154507.pdf</v>
      </c>
      <c r="H2212" s="4" t="s">
        <v>10792</v>
      </c>
    </row>
    <row r="2213" spans="1:8" x14ac:dyDescent="0.25">
      <c r="A2213" s="2" t="s">
        <v>2227</v>
      </c>
      <c r="B2213" s="3"/>
      <c r="C2213" s="3"/>
      <c r="D2213" s="3"/>
      <c r="E2213" s="4" t="str">
        <f>HYPERLINK("https://dpmzos25m8ivg.cloudfront.net/Documentos/631/05056387541/6310505638754114092023161143.jpg","https://dpmzos25m8ivg.cloudfront.net/Documentos/631/05056387541/6310505638754114092023161143.jpg")</f>
        <v>https://dpmzos25m8ivg.cloudfront.net/Documentos/631/05056387541/6310505638754114092023161143.jpg</v>
      </c>
      <c r="F2213" s="5" t="str">
        <f>HYPERLINK("https://dpmzos25m8ivg.cloudfront.net/Documentos/631/05056387541/6310505638754114092023161201.jpg","https://dpmzos25m8ivg.cloudfront.net/Documentos/631/05056387541/6310505638754114092023161201.jpg")</f>
        <v>https://dpmzos25m8ivg.cloudfront.net/Documentos/631/05056387541/6310505638754114092023161201.jpg</v>
      </c>
      <c r="G2213" s="5" t="str">
        <f>HYPERLINK("https://dpmzos25m8ivg.cloudfront.net/Documentos/631/05056387541/6310505638754114092023162405.jpg","https://dpmzos25m8ivg.cloudfront.net/Documentos/631/05056387541/6310505638754114092023162405.jpg")</f>
        <v>https://dpmzos25m8ivg.cloudfront.net/Documentos/631/05056387541/6310505638754114092023162405.jpg</v>
      </c>
      <c r="H2213" s="4" t="s">
        <v>10793</v>
      </c>
    </row>
    <row r="2214" spans="1:8" x14ac:dyDescent="0.25">
      <c r="A2214" s="2" t="s">
        <v>2228</v>
      </c>
      <c r="B2214" s="3"/>
      <c r="C2214" s="3"/>
      <c r="D2214" s="3"/>
      <c r="E2214" s="4" t="str">
        <f>HYPERLINK("https://dpmzos25m8ivg.cloudfront.net/Documentos/631/05059043142/6310505904314206092023095104.pdf","https://dpmzos25m8ivg.cloudfront.net/Documentos/631/05059043142/6310505904314206092023095104.pdf")</f>
        <v>https://dpmzos25m8ivg.cloudfront.net/Documentos/631/05059043142/6310505904314206092023095104.pdf</v>
      </c>
      <c r="F2214" s="5" t="str">
        <f>HYPERLINK("https://dpmzos25m8ivg.cloudfront.net/Documentos/631/05059043142/6310505904314206092023095112.pdf","https://dpmzos25m8ivg.cloudfront.net/Documentos/631/05059043142/6310505904314206092023095112.pdf")</f>
        <v>https://dpmzos25m8ivg.cloudfront.net/Documentos/631/05059043142/6310505904314206092023095112.pdf</v>
      </c>
      <c r="G2214" s="5" t="str">
        <f>HYPERLINK("https://dpmzos25m8ivg.cloudfront.net/Documentos/631/05059043142/6310505904314206092023095120.pdf","https://dpmzos25m8ivg.cloudfront.net/Documentos/631/05059043142/6310505904314206092023095120.pdf")</f>
        <v>https://dpmzos25m8ivg.cloudfront.net/Documentos/631/05059043142/6310505904314206092023095120.pdf</v>
      </c>
      <c r="H2214" s="4" t="s">
        <v>10794</v>
      </c>
    </row>
    <row r="2215" spans="1:8" x14ac:dyDescent="0.25">
      <c r="A2215" s="2" t="s">
        <v>2229</v>
      </c>
      <c r="B2215" s="3"/>
      <c r="C2215" s="3"/>
      <c r="D2215" s="3"/>
      <c r="E2215" s="4" t="str">
        <f>HYPERLINK("https://dpmzos25m8ivg.cloudfront.net/Documentos/631/05059132595/6310505913259511092023141541.jpg","https://dpmzos25m8ivg.cloudfront.net/Documentos/631/05059132595/6310505913259511092023141541.jpg")</f>
        <v>https://dpmzos25m8ivg.cloudfront.net/Documentos/631/05059132595/6310505913259511092023141541.jpg</v>
      </c>
      <c r="F2215" s="5" t="str">
        <f>HYPERLINK("https://dpmzos25m8ivg.cloudfront.net/Documentos/631/05059132595/6310505913259511092023141550.jpg","https://dpmzos25m8ivg.cloudfront.net/Documentos/631/05059132595/6310505913259511092023141550.jpg")</f>
        <v>https://dpmzos25m8ivg.cloudfront.net/Documentos/631/05059132595/6310505913259511092023141550.jpg</v>
      </c>
      <c r="G2215" s="5" t="str">
        <f>HYPERLINK("https://dpmzos25m8ivg.cloudfront.net/Documentos/631/05059132595/6310505913259511092023141558.jpg","https://dpmzos25m8ivg.cloudfront.net/Documentos/631/05059132595/6310505913259511092023141558.jpg")</f>
        <v>https://dpmzos25m8ivg.cloudfront.net/Documentos/631/05059132595/6310505913259511092023141558.jpg</v>
      </c>
      <c r="H2215" s="4" t="s">
        <v>10795</v>
      </c>
    </row>
    <row r="2216" spans="1:8" x14ac:dyDescent="0.25">
      <c r="A2216" s="2" t="s">
        <v>2230</v>
      </c>
      <c r="B2216" s="3"/>
      <c r="C2216" s="3"/>
      <c r="D2216" s="3"/>
      <c r="E2216" s="4" t="str">
        <f>HYPERLINK("https://dpmzos25m8ivg.cloudfront.net/Documentos/631/05063989195/6310506398919511092023140915.pdf","https://dpmzos25m8ivg.cloudfront.net/Documentos/631/05063989195/6310506398919511092023140915.pdf")</f>
        <v>https://dpmzos25m8ivg.cloudfront.net/Documentos/631/05063989195/6310506398919511092023140915.pdf</v>
      </c>
      <c r="F2216" s="5" t="str">
        <f>HYPERLINK("https://dpmzos25m8ivg.cloudfront.net/Documentos/631/05063989195/6310506398919511092023140926.pdf","https://dpmzos25m8ivg.cloudfront.net/Documentos/631/05063989195/6310506398919511092023140926.pdf")</f>
        <v>https://dpmzos25m8ivg.cloudfront.net/Documentos/631/05063989195/6310506398919511092023140926.pdf</v>
      </c>
      <c r="G2216" s="5" t="str">
        <f>HYPERLINK("https://dpmzos25m8ivg.cloudfront.net/Documentos/631/05063989195/6310506398919511092023140936.pdf","https://dpmzos25m8ivg.cloudfront.net/Documentos/631/05063989195/6310506398919511092023140936.pdf")</f>
        <v>https://dpmzos25m8ivg.cloudfront.net/Documentos/631/05063989195/6310506398919511092023140936.pdf</v>
      </c>
      <c r="H2216" s="4" t="s">
        <v>10796</v>
      </c>
    </row>
    <row r="2217" spans="1:8" x14ac:dyDescent="0.25">
      <c r="A2217" s="2" t="s">
        <v>2231</v>
      </c>
      <c r="B2217" s="3" t="s">
        <v>90</v>
      </c>
      <c r="C2217" s="3"/>
      <c r="D2217" s="3"/>
      <c r="E2217" s="4" t="str">
        <f>HYPERLINK("https://dpmzos25m8ivg.cloudfront.net/Documentos/631/05067228300/6310506722830011092023135931.jpg","https://dpmzos25m8ivg.cloudfront.net/Documentos/631/05067228300/6310506722830011092023135931.jpg")</f>
        <v>https://dpmzos25m8ivg.cloudfront.net/Documentos/631/05067228300/6310506722830011092023135931.jpg</v>
      </c>
      <c r="F2217" s="5" t="str">
        <f>HYPERLINK("https://dpmzos25m8ivg.cloudfront.net/Documentos/631/05067228300/6310506722830011092023135945.jpg","https://dpmzos25m8ivg.cloudfront.net/Documentos/631/05067228300/6310506722830011092023135945.jpg")</f>
        <v>https://dpmzos25m8ivg.cloudfront.net/Documentos/631/05067228300/6310506722830011092023135945.jpg</v>
      </c>
      <c r="G2217" s="5" t="str">
        <f>HYPERLINK("https://dpmzos25m8ivg.cloudfront.net/Documentos/631/05067228300/6310506722830011092023135958.jpg","https://dpmzos25m8ivg.cloudfront.net/Documentos/631/05067228300/6310506722830011092023135958.jpg")</f>
        <v>https://dpmzos25m8ivg.cloudfront.net/Documentos/631/05067228300/6310506722830011092023135958.jpg</v>
      </c>
      <c r="H2217" s="4" t="s">
        <v>10797</v>
      </c>
    </row>
    <row r="2218" spans="1:8" x14ac:dyDescent="0.25">
      <c r="A2218" s="2" t="s">
        <v>2232</v>
      </c>
      <c r="B2218" s="3"/>
      <c r="C2218" s="3"/>
      <c r="D2218" s="3"/>
      <c r="E2218" s="4" t="str">
        <f>HYPERLINK("https://dpmzos25m8ivg.cloudfront.net/Documentos/631/05068958310/6310506895831009092023192747.jpeg","https://dpmzos25m8ivg.cloudfront.net/Documentos/631/05068958310/6310506895831009092023192747.jpeg")</f>
        <v>https://dpmzos25m8ivg.cloudfront.net/Documentos/631/05068958310/6310506895831009092023192747.jpeg</v>
      </c>
      <c r="F2218" s="5" t="str">
        <f>HYPERLINK("https://dpmzos25m8ivg.cloudfront.net/Documentos/631/05068958310/6310506895831009092023192848.jpeg","https://dpmzos25m8ivg.cloudfront.net/Documentos/631/05068958310/6310506895831009092023192848.jpeg")</f>
        <v>https://dpmzos25m8ivg.cloudfront.net/Documentos/631/05068958310/6310506895831009092023192848.jpeg</v>
      </c>
      <c r="G2218" s="5" t="str">
        <f>HYPERLINK("https://dpmzos25m8ivg.cloudfront.net/Documentos/631/05068958310/6310506895831009092023193141.jpeg","https://dpmzos25m8ivg.cloudfront.net/Documentos/631/05068958310/6310506895831009092023193141.jpeg")</f>
        <v>https://dpmzos25m8ivg.cloudfront.net/Documentos/631/05068958310/6310506895831009092023193141.jpeg</v>
      </c>
      <c r="H2218" s="4" t="s">
        <v>10798</v>
      </c>
    </row>
    <row r="2219" spans="1:8" x14ac:dyDescent="0.25">
      <c r="A2219" s="2" t="s">
        <v>2233</v>
      </c>
      <c r="B2219" s="3"/>
      <c r="C2219" s="3"/>
      <c r="D2219" s="3"/>
      <c r="E2219" s="4" t="str">
        <f>HYPERLINK("https://dpmzos25m8ivg.cloudfront.net/Documentos/631/05071877503/6310507187750313092023004237.pdf","https://dpmzos25m8ivg.cloudfront.net/Documentos/631/05071877503/6310507187750313092023004237.pdf")</f>
        <v>https://dpmzos25m8ivg.cloudfront.net/Documentos/631/05071877503/6310507187750313092023004237.pdf</v>
      </c>
      <c r="F2219" s="5" t="str">
        <f>HYPERLINK("https://dpmzos25m8ivg.cloudfront.net/Documentos/631/05071877503/6310507187750313092023004208.pdf","https://dpmzos25m8ivg.cloudfront.net/Documentos/631/05071877503/6310507187750313092023004208.pdf")</f>
        <v>https://dpmzos25m8ivg.cloudfront.net/Documentos/631/05071877503/6310507187750313092023004208.pdf</v>
      </c>
      <c r="G2219" s="5" t="str">
        <f>HYPERLINK("https://dpmzos25m8ivg.cloudfront.net/Documentos/631/05071877503/6310507187750313092023004153.pdf","https://dpmzos25m8ivg.cloudfront.net/Documentos/631/05071877503/6310507187750313092023004153.pdf")</f>
        <v>https://dpmzos25m8ivg.cloudfront.net/Documentos/631/05071877503/6310507187750313092023004153.pdf</v>
      </c>
      <c r="H2219" s="4" t="s">
        <v>10799</v>
      </c>
    </row>
    <row r="2220" spans="1:8" x14ac:dyDescent="0.25">
      <c r="A2220" s="2" t="s">
        <v>2234</v>
      </c>
      <c r="B2220" s="3"/>
      <c r="C2220" s="3"/>
      <c r="D2220" s="3"/>
      <c r="E2220" s="4" t="str">
        <f>HYPERLINK("https://dpmzos25m8ivg.cloudfront.net/Documentos/631/05072206505/6310507220650511092023145917.pdf","https://dpmzos25m8ivg.cloudfront.net/Documentos/631/05072206505/6310507220650511092023145917.pdf")</f>
        <v>https://dpmzos25m8ivg.cloudfront.net/Documentos/631/05072206505/6310507220650511092023145917.pdf</v>
      </c>
      <c r="F2220" s="5" t="str">
        <f>HYPERLINK("https://dpmzos25m8ivg.cloudfront.net/Documentos/631/05072206505/6310507220650511092023150011.pdf","https://dpmzos25m8ivg.cloudfront.net/Documentos/631/05072206505/6310507220650511092023150011.pdf")</f>
        <v>https://dpmzos25m8ivg.cloudfront.net/Documentos/631/05072206505/6310507220650511092023150011.pdf</v>
      </c>
      <c r="G2220" s="5" t="str">
        <f>HYPERLINK("https://dpmzos25m8ivg.cloudfront.net/Documentos/631/05072206505/6310507220650511092023150020.pdf","https://dpmzos25m8ivg.cloudfront.net/Documentos/631/05072206505/6310507220650511092023150020.pdf")</f>
        <v>https://dpmzos25m8ivg.cloudfront.net/Documentos/631/05072206505/6310507220650511092023150020.pdf</v>
      </c>
      <c r="H2220" s="4" t="s">
        <v>10800</v>
      </c>
    </row>
    <row r="2221" spans="1:8" x14ac:dyDescent="0.25">
      <c r="A2221" s="2" t="s">
        <v>2235</v>
      </c>
      <c r="B2221" s="3" t="s">
        <v>90</v>
      </c>
      <c r="C2221" s="3"/>
      <c r="D2221" s="3"/>
      <c r="E2221" s="4" t="str">
        <f>HYPERLINK("https://dpmzos25m8ivg.cloudfront.net/Documentos/631/05072323218/6310507232321811092023134746.jpeg","https://dpmzos25m8ivg.cloudfront.net/Documentos/631/05072323218/6310507232321811092023134746.jpeg")</f>
        <v>https://dpmzos25m8ivg.cloudfront.net/Documentos/631/05072323218/6310507232321811092023134746.jpeg</v>
      </c>
      <c r="F2221" s="5" t="str">
        <f>HYPERLINK("https://dpmzos25m8ivg.cloudfront.net/Documentos/631/05072323218/6310507232321811092023134808.jpeg","https://dpmzos25m8ivg.cloudfront.net/Documentos/631/05072323218/6310507232321811092023134808.jpeg")</f>
        <v>https://dpmzos25m8ivg.cloudfront.net/Documentos/631/05072323218/6310507232321811092023134808.jpeg</v>
      </c>
      <c r="G2221" s="5" t="str">
        <f>HYPERLINK("https://dpmzos25m8ivg.cloudfront.net/Documentos/631/05072323218/6310507232321811092023134823.jpeg","https://dpmzos25m8ivg.cloudfront.net/Documentos/631/05072323218/6310507232321811092023134823.jpeg")</f>
        <v>https://dpmzos25m8ivg.cloudfront.net/Documentos/631/05072323218/6310507232321811092023134823.jpeg</v>
      </c>
      <c r="H2221" s="4" t="s">
        <v>10801</v>
      </c>
    </row>
    <row r="2222" spans="1:8" x14ac:dyDescent="0.25">
      <c r="A2222" s="2" t="s">
        <v>2236</v>
      </c>
      <c r="B2222" s="3"/>
      <c r="C2222" s="3"/>
      <c r="D2222" s="3"/>
      <c r="E2222" s="4" t="str">
        <f>HYPERLINK("https://dpmzos25m8ivg.cloudfront.net/Documentos/631/05074588260/6310507458826009092023200309.pdf","https://dpmzos25m8ivg.cloudfront.net/Documentos/631/05074588260/6310507458826009092023200309.pdf")</f>
        <v>https://dpmzos25m8ivg.cloudfront.net/Documentos/631/05074588260/6310507458826009092023200309.pdf</v>
      </c>
      <c r="F2222" s="5" t="str">
        <f>HYPERLINK("https://dpmzos25m8ivg.cloudfront.net/Documentos/631/05074588260/6310507458826009092023200329.pdf","https://dpmzos25m8ivg.cloudfront.net/Documentos/631/05074588260/6310507458826009092023200329.pdf")</f>
        <v>https://dpmzos25m8ivg.cloudfront.net/Documentos/631/05074588260/6310507458826009092023200329.pdf</v>
      </c>
      <c r="G2222" s="5" t="str">
        <f>HYPERLINK("https://dpmzos25m8ivg.cloudfront.net/Documentos/631/05074588260/6310507458826009092023200351.pdf","https://dpmzos25m8ivg.cloudfront.net/Documentos/631/05074588260/6310507458826009092023200351.pdf")</f>
        <v>https://dpmzos25m8ivg.cloudfront.net/Documentos/631/05074588260/6310507458826009092023200351.pdf</v>
      </c>
      <c r="H2222" s="4" t="s">
        <v>10802</v>
      </c>
    </row>
    <row r="2223" spans="1:8" x14ac:dyDescent="0.25">
      <c r="A2223" s="2" t="s">
        <v>2237</v>
      </c>
      <c r="B2223" s="3"/>
      <c r="C2223" s="3"/>
      <c r="D2223" s="3"/>
      <c r="E2223" s="4" t="str">
        <f>HYPERLINK("https://dpmzos25m8ivg.cloudfront.net/Documentos/631/05074646138/6310507464613811092023112331.pdf","https://dpmzos25m8ivg.cloudfront.net/Documentos/631/05074646138/6310507464613811092023112331.pdf")</f>
        <v>https://dpmzos25m8ivg.cloudfront.net/Documentos/631/05074646138/6310507464613811092023112331.pdf</v>
      </c>
      <c r="F2223" s="5" t="str">
        <f>HYPERLINK("https://dpmzos25m8ivg.cloudfront.net/Documentos/631/05074646138/6310507464613811092023112344.pdf","https://dpmzos25m8ivg.cloudfront.net/Documentos/631/05074646138/6310507464613811092023112344.pdf")</f>
        <v>https://dpmzos25m8ivg.cloudfront.net/Documentos/631/05074646138/6310507464613811092023112344.pdf</v>
      </c>
      <c r="G2223" s="5" t="str">
        <f>HYPERLINK("https://dpmzos25m8ivg.cloudfront.net/Documentos/631/05074646138/6310507464613811092023112354.pdf","https://dpmzos25m8ivg.cloudfront.net/Documentos/631/05074646138/6310507464613811092023112354.pdf")</f>
        <v>https://dpmzos25m8ivg.cloudfront.net/Documentos/631/05074646138/6310507464613811092023112354.pdf</v>
      </c>
      <c r="H2223" s="4" t="s">
        <v>10803</v>
      </c>
    </row>
    <row r="2224" spans="1:8" x14ac:dyDescent="0.25">
      <c r="A2224" s="2" t="s">
        <v>2238</v>
      </c>
      <c r="B2224" s="3"/>
      <c r="C2224" s="3"/>
      <c r="D2224" s="3"/>
      <c r="E2224" s="4" t="str">
        <f>HYPERLINK("https://dpmzos25m8ivg.cloudfront.net/Documentos/631/05076774125/6310507677412511092023161428.pdf","https://dpmzos25m8ivg.cloudfront.net/Documentos/631/05076774125/6310507677412511092023161428.pdf")</f>
        <v>https://dpmzos25m8ivg.cloudfront.net/Documentos/631/05076774125/6310507677412511092023161428.pdf</v>
      </c>
      <c r="F2224" s="5" t="str">
        <f>HYPERLINK("https://dpmzos25m8ivg.cloudfront.net/Documentos/631/05076774125/6310507677412511092023161556.pdf","https://dpmzos25m8ivg.cloudfront.net/Documentos/631/05076774125/6310507677412511092023161556.pdf")</f>
        <v>https://dpmzos25m8ivg.cloudfront.net/Documentos/631/05076774125/6310507677412511092023161556.pdf</v>
      </c>
      <c r="G2224" s="5" t="str">
        <f>HYPERLINK("https://dpmzos25m8ivg.cloudfront.net/Documentos/631/05076774125/6310507677412511092023161251.pdf","https://dpmzos25m8ivg.cloudfront.net/Documentos/631/05076774125/6310507677412511092023161251.pdf")</f>
        <v>https://dpmzos25m8ivg.cloudfront.net/Documentos/631/05076774125/6310507677412511092023161251.pdf</v>
      </c>
      <c r="H2224" s="4" t="s">
        <v>10804</v>
      </c>
    </row>
    <row r="2225" spans="1:8" x14ac:dyDescent="0.25">
      <c r="A2225" s="2" t="s">
        <v>2239</v>
      </c>
      <c r="B2225" s="3"/>
      <c r="C2225" s="3"/>
      <c r="D2225" s="3"/>
      <c r="E2225" s="4" t="str">
        <f>HYPERLINK("https://dpmzos25m8ivg.cloudfront.net/Documentos/631/05077652147/6310507765214711092023091359.pdf","https://dpmzos25m8ivg.cloudfront.net/Documentos/631/05077652147/6310507765214711092023091359.pdf")</f>
        <v>https://dpmzos25m8ivg.cloudfront.net/Documentos/631/05077652147/6310507765214711092023091359.pdf</v>
      </c>
      <c r="F2225" s="5" t="str">
        <f>HYPERLINK("https://dpmzos25m8ivg.cloudfront.net/Documentos/631/05077652147/6310507765214711092023091418.pdf","https://dpmzos25m8ivg.cloudfront.net/Documentos/631/05077652147/6310507765214711092023091418.pdf")</f>
        <v>https://dpmzos25m8ivg.cloudfront.net/Documentos/631/05077652147/6310507765214711092023091418.pdf</v>
      </c>
      <c r="G2225" s="5" t="str">
        <f>HYPERLINK("https://dpmzos25m8ivg.cloudfront.net/Documentos/631/05077652147/6310507765214711092023091437.pdf","https://dpmzos25m8ivg.cloudfront.net/Documentos/631/05077652147/6310507765214711092023091437.pdf")</f>
        <v>https://dpmzos25m8ivg.cloudfront.net/Documentos/631/05077652147/6310507765214711092023091437.pdf</v>
      </c>
      <c r="H2225" s="4" t="s">
        <v>10805</v>
      </c>
    </row>
    <row r="2226" spans="1:8" x14ac:dyDescent="0.25">
      <c r="A2226" s="2" t="s">
        <v>2240</v>
      </c>
      <c r="B2226" s="3"/>
      <c r="C2226" s="3"/>
      <c r="D2226" s="3"/>
      <c r="E2226" s="4" t="str">
        <f>HYPERLINK("https://dpmzos25m8ivg.cloudfront.net/Documentos/631/05078535551/6310507853555110092023141202.pdf","https://dpmzos25m8ivg.cloudfront.net/Documentos/631/05078535551/6310507853555110092023141202.pdf")</f>
        <v>https://dpmzos25m8ivg.cloudfront.net/Documentos/631/05078535551/6310507853555110092023141202.pdf</v>
      </c>
      <c r="F2226" s="5" t="str">
        <f>HYPERLINK("https://dpmzos25m8ivg.cloudfront.net/Documentos/631/05078535551/6310507853555110092023141143.pdf","https://dpmzos25m8ivg.cloudfront.net/Documentos/631/05078535551/6310507853555110092023141143.pdf")</f>
        <v>https://dpmzos25m8ivg.cloudfront.net/Documentos/631/05078535551/6310507853555110092023141143.pdf</v>
      </c>
      <c r="G2226" s="5" t="str">
        <f>HYPERLINK("https://dpmzos25m8ivg.cloudfront.net/Documentos/631/05078535551/6310507853555110092023141022.pdf","https://dpmzos25m8ivg.cloudfront.net/Documentos/631/05078535551/6310507853555110092023141022.pdf")</f>
        <v>https://dpmzos25m8ivg.cloudfront.net/Documentos/631/05078535551/6310507853555110092023141022.pdf</v>
      </c>
      <c r="H2226" s="4" t="s">
        <v>10806</v>
      </c>
    </row>
    <row r="2227" spans="1:8" x14ac:dyDescent="0.25">
      <c r="A2227" s="2" t="s">
        <v>2241</v>
      </c>
      <c r="B2227" s="3"/>
      <c r="C2227" s="3"/>
      <c r="D2227" s="3"/>
      <c r="E2227" s="4" t="str">
        <f>HYPERLINK("https://dpmzos25m8ivg.cloudfront.net/Documentos/631/05079510188/6310507951018807092023173834.pdf","https://dpmzos25m8ivg.cloudfront.net/Documentos/631/05079510188/6310507951018807092023173834.pdf")</f>
        <v>https://dpmzos25m8ivg.cloudfront.net/Documentos/631/05079510188/6310507951018807092023173834.pdf</v>
      </c>
      <c r="F2227" s="5" t="str">
        <f>HYPERLINK("https://dpmzos25m8ivg.cloudfront.net/Documentos/631/05079510188/6310507951018807092023173846.pdf","https://dpmzos25m8ivg.cloudfront.net/Documentos/631/05079510188/6310507951018807092023173846.pdf")</f>
        <v>https://dpmzos25m8ivg.cloudfront.net/Documentos/631/05079510188/6310507951018807092023173846.pdf</v>
      </c>
      <c r="G2227" s="5" t="str">
        <f>HYPERLINK("https://dpmzos25m8ivg.cloudfront.net/Documentos/631/05079510188/6310507951018807092023173900.pdf","https://dpmzos25m8ivg.cloudfront.net/Documentos/631/05079510188/6310507951018807092023173900.pdf")</f>
        <v>https://dpmzos25m8ivg.cloudfront.net/Documentos/631/05079510188/6310507951018807092023173900.pdf</v>
      </c>
      <c r="H2227" s="4" t="s">
        <v>10807</v>
      </c>
    </row>
    <row r="2228" spans="1:8" x14ac:dyDescent="0.25">
      <c r="A2228" s="2" t="s">
        <v>2242</v>
      </c>
      <c r="B2228" s="3" t="s">
        <v>8</v>
      </c>
      <c r="C2228" s="3"/>
      <c r="D2228" s="3"/>
      <c r="E2228" s="4" t="str">
        <f>HYPERLINK("https://dpmzos25m8ivg.cloudfront.net/Documentos/631/05081634557/6310508163455709092023110710.jpg","https://dpmzos25m8ivg.cloudfront.net/Documentos/631/05081634557/6310508163455709092023110710.jpg")</f>
        <v>https://dpmzos25m8ivg.cloudfront.net/Documentos/631/05081634557/6310508163455709092023110710.jpg</v>
      </c>
      <c r="F2228" s="5" t="str">
        <f>HYPERLINK("https://dpmzos25m8ivg.cloudfront.net/Documentos/631/05081634557/6310508163455709092023110726.jpg","https://dpmzos25m8ivg.cloudfront.net/Documentos/631/05081634557/6310508163455709092023110726.jpg")</f>
        <v>https://dpmzos25m8ivg.cloudfront.net/Documentos/631/05081634557/6310508163455709092023110726.jpg</v>
      </c>
      <c r="G2228" s="5" t="str">
        <f>HYPERLINK("https://dpmzos25m8ivg.cloudfront.net/Documentos/631/05081634557/6310508163455709092023110746.jpg","https://dpmzos25m8ivg.cloudfront.net/Documentos/631/05081634557/6310508163455709092023110746.jpg")</f>
        <v>https://dpmzos25m8ivg.cloudfront.net/Documentos/631/05081634557/6310508163455709092023110746.jpg</v>
      </c>
      <c r="H2228" s="4" t="s">
        <v>10808</v>
      </c>
    </row>
    <row r="2229" spans="1:8" x14ac:dyDescent="0.25">
      <c r="A2229" s="2" t="s">
        <v>2243</v>
      </c>
      <c r="B2229" s="3"/>
      <c r="C2229" s="3"/>
      <c r="D2229" s="3"/>
      <c r="E2229" s="4" t="str">
        <f>HYPERLINK("https://dpmzos25m8ivg.cloudfront.net/Documentos/631/05083760509/6310508376050911092023131130.pdf","https://dpmzos25m8ivg.cloudfront.net/Documentos/631/05083760509/6310508376050911092023131130.pdf")</f>
        <v>https://dpmzos25m8ivg.cloudfront.net/Documentos/631/05083760509/6310508376050911092023131130.pdf</v>
      </c>
      <c r="F2229" s="5" t="str">
        <f>HYPERLINK("https://dpmzos25m8ivg.cloudfront.net/Documentos/631/05083760509/6310508376050911092023131549.pdf","https://dpmzos25m8ivg.cloudfront.net/Documentos/631/05083760509/6310508376050911092023131549.pdf")</f>
        <v>https://dpmzos25m8ivg.cloudfront.net/Documentos/631/05083760509/6310508376050911092023131549.pdf</v>
      </c>
      <c r="G2229" s="5" t="str">
        <f>HYPERLINK("https://dpmzos25m8ivg.cloudfront.net/Documentos/631/05083760509/6310508376050911092023132029.pdf","https://dpmzos25m8ivg.cloudfront.net/Documentos/631/05083760509/6310508376050911092023132029.pdf")</f>
        <v>https://dpmzos25m8ivg.cloudfront.net/Documentos/631/05083760509/6310508376050911092023132029.pdf</v>
      </c>
      <c r="H2229" s="4" t="s">
        <v>10809</v>
      </c>
    </row>
    <row r="2230" spans="1:8" x14ac:dyDescent="0.25">
      <c r="A2230" s="2" t="s">
        <v>2244</v>
      </c>
      <c r="B2230" s="3"/>
      <c r="C2230" s="3"/>
      <c r="D2230" s="3"/>
      <c r="E2230" s="4" t="str">
        <f>HYPERLINK("https://dpmzos25m8ivg.cloudfront.net/Documentos/631/05083797178/6310508379717804092023193105.pdf","https://dpmzos25m8ivg.cloudfront.net/Documentos/631/05083797178/6310508379717804092023193105.pdf")</f>
        <v>https://dpmzos25m8ivg.cloudfront.net/Documentos/631/05083797178/6310508379717804092023193105.pdf</v>
      </c>
      <c r="F2230" s="5" t="str">
        <f>HYPERLINK("https://dpmzos25m8ivg.cloudfront.net/Documentos/631/05083797178/6310508379717804092023193616.pdf","https://dpmzos25m8ivg.cloudfront.net/Documentos/631/05083797178/6310508379717804092023193616.pdf")</f>
        <v>https://dpmzos25m8ivg.cloudfront.net/Documentos/631/05083797178/6310508379717804092023193616.pdf</v>
      </c>
      <c r="G2230" s="5" t="str">
        <f>HYPERLINK("https://dpmzos25m8ivg.cloudfront.net/Documentos/631/05083797178/6310508379717804092023185944.pdf","https://dpmzos25m8ivg.cloudfront.net/Documentos/631/05083797178/6310508379717804092023185944.pdf")</f>
        <v>https://dpmzos25m8ivg.cloudfront.net/Documentos/631/05083797178/6310508379717804092023185944.pdf</v>
      </c>
      <c r="H2230" s="4" t="s">
        <v>10810</v>
      </c>
    </row>
    <row r="2231" spans="1:8" x14ac:dyDescent="0.25">
      <c r="A2231" s="2" t="s">
        <v>2245</v>
      </c>
      <c r="B2231" s="3"/>
      <c r="C2231" s="3"/>
      <c r="D2231" s="3"/>
      <c r="E2231" s="4" t="str">
        <f>HYPERLINK("https://dpmzos25m8ivg.cloudfront.net/Documentos/631/05085660102/6310508566010214092023081438.pdf","https://dpmzos25m8ivg.cloudfront.net/Documentos/631/05085660102/6310508566010214092023081438.pdf")</f>
        <v>https://dpmzos25m8ivg.cloudfront.net/Documentos/631/05085660102/6310508566010214092023081438.pdf</v>
      </c>
      <c r="F2231" s="5" t="str">
        <f>HYPERLINK("https://dpmzos25m8ivg.cloudfront.net/Documentos/631/05085660102/6310508566010214092023081458.pdf","https://dpmzos25m8ivg.cloudfront.net/Documentos/631/05085660102/6310508566010214092023081458.pdf")</f>
        <v>https://dpmzos25m8ivg.cloudfront.net/Documentos/631/05085660102/6310508566010214092023081458.pdf</v>
      </c>
      <c r="G2231" s="5" t="str">
        <f>HYPERLINK("https://dpmzos25m8ivg.cloudfront.net/Documentos/631/05085660102/6310508566010214092023081520.pdf","https://dpmzos25m8ivg.cloudfront.net/Documentos/631/05085660102/6310508566010214092023081520.pdf")</f>
        <v>https://dpmzos25m8ivg.cloudfront.net/Documentos/631/05085660102/6310508566010214092023081520.pdf</v>
      </c>
      <c r="H2231" s="4" t="s">
        <v>10811</v>
      </c>
    </row>
    <row r="2232" spans="1:8" x14ac:dyDescent="0.25">
      <c r="A2232" s="2" t="s">
        <v>2246</v>
      </c>
      <c r="B2232" s="3" t="s">
        <v>42</v>
      </c>
      <c r="C2232" s="3"/>
      <c r="D2232" s="3"/>
      <c r="E2232" s="4" t="str">
        <f>HYPERLINK("https://dpmzos25m8ivg.cloudfront.net/Documentos/631/05087803300/6310508780330010092023143627.jpg","https://dpmzos25m8ivg.cloudfront.net/Documentos/631/05087803300/6310508780330010092023143627.jpg")</f>
        <v>https://dpmzos25m8ivg.cloudfront.net/Documentos/631/05087803300/6310508780330010092023143627.jpg</v>
      </c>
      <c r="F2232" s="5" t="str">
        <f>HYPERLINK("https://dpmzos25m8ivg.cloudfront.net/Documentos/631/05087803300/6310508780330010092023144144.jpg","https://dpmzos25m8ivg.cloudfront.net/Documentos/631/05087803300/6310508780330010092023144144.jpg")</f>
        <v>https://dpmzos25m8ivg.cloudfront.net/Documentos/631/05087803300/6310508780330010092023144144.jpg</v>
      </c>
      <c r="G2232" s="5" t="str">
        <f>HYPERLINK("https://dpmzos25m8ivg.cloudfront.net/Documentos/631/05087803300/6310508780330010092023143233.jpg","https://dpmzos25m8ivg.cloudfront.net/Documentos/631/05087803300/6310508780330010092023143233.jpg")</f>
        <v>https://dpmzos25m8ivg.cloudfront.net/Documentos/631/05087803300/6310508780330010092023143233.jpg</v>
      </c>
      <c r="H2232" s="4" t="s">
        <v>10812</v>
      </c>
    </row>
    <row r="2233" spans="1:8" x14ac:dyDescent="0.25">
      <c r="A2233" s="2" t="s">
        <v>2247</v>
      </c>
      <c r="B2233" s="3"/>
      <c r="C2233" s="3"/>
      <c r="D2233" s="3"/>
      <c r="E2233" s="4" t="str">
        <f>HYPERLINK("https://dpmzos25m8ivg.cloudfront.net/Documentos/631/05088459556/6310508845955608092023234321.jpg","https://dpmzos25m8ivg.cloudfront.net/Documentos/631/05088459556/6310508845955608092023234321.jpg")</f>
        <v>https://dpmzos25m8ivg.cloudfront.net/Documentos/631/05088459556/6310508845955608092023234321.jpg</v>
      </c>
      <c r="F2233" s="5" t="str">
        <f>HYPERLINK("https://dpmzos25m8ivg.cloudfront.net/Documentos/631/05088459556/6310508845955608092023234352.jpg","https://dpmzos25m8ivg.cloudfront.net/Documentos/631/05088459556/6310508845955608092023234352.jpg")</f>
        <v>https://dpmzos25m8ivg.cloudfront.net/Documentos/631/05088459556/6310508845955608092023234352.jpg</v>
      </c>
      <c r="G2233" s="5" t="str">
        <f>HYPERLINK("https://dpmzos25m8ivg.cloudfront.net/Documentos/631/05088459556/6310508845955608092023234421.jpg","https://dpmzos25m8ivg.cloudfront.net/Documentos/631/05088459556/6310508845955608092023234421.jpg")</f>
        <v>https://dpmzos25m8ivg.cloudfront.net/Documentos/631/05088459556/6310508845955608092023234421.jpg</v>
      </c>
      <c r="H2233" s="4" t="s">
        <v>10813</v>
      </c>
    </row>
    <row r="2234" spans="1:8" x14ac:dyDescent="0.25">
      <c r="A2234" s="2" t="s">
        <v>2248</v>
      </c>
      <c r="B2234" s="3" t="s">
        <v>8</v>
      </c>
      <c r="C2234" s="3"/>
      <c r="D2234" s="3"/>
      <c r="E2234" s="4" t="str">
        <f>HYPERLINK("https://dpmzos25m8ivg.cloudfront.net/Documentos/631/05088719302/6310508871930209092023231315.pdf","https://dpmzos25m8ivg.cloudfront.net/Documentos/631/05088719302/6310508871930209092023231315.pdf")</f>
        <v>https://dpmzos25m8ivg.cloudfront.net/Documentos/631/05088719302/6310508871930209092023231315.pdf</v>
      </c>
      <c r="F2234" s="5" t="str">
        <f>HYPERLINK("https://dpmzos25m8ivg.cloudfront.net/Documentos/631/05088719302/6310508871930209092023231332.pdf","https://dpmzos25m8ivg.cloudfront.net/Documentos/631/05088719302/6310508871930209092023231332.pdf")</f>
        <v>https://dpmzos25m8ivg.cloudfront.net/Documentos/631/05088719302/6310508871930209092023231332.pdf</v>
      </c>
      <c r="G2234" s="5" t="str">
        <f>HYPERLINK("https://dpmzos25m8ivg.cloudfront.net/Documentos/631/05088719302/6310508871930209092023231353.pdf","https://dpmzos25m8ivg.cloudfront.net/Documentos/631/05088719302/6310508871930209092023231353.pdf")</f>
        <v>https://dpmzos25m8ivg.cloudfront.net/Documentos/631/05088719302/6310508871930209092023231353.pdf</v>
      </c>
      <c r="H2234" s="4" t="s">
        <v>10814</v>
      </c>
    </row>
    <row r="2235" spans="1:8" x14ac:dyDescent="0.25">
      <c r="A2235" s="2" t="s">
        <v>2249</v>
      </c>
      <c r="B2235" s="3"/>
      <c r="C2235" s="3"/>
      <c r="D2235" s="3"/>
      <c r="E2235" s="4" t="str">
        <f>HYPERLINK("https://dpmzos25m8ivg.cloudfront.net/Documentos/631/05089723885/6310508972388510092023232654.pdf","https://dpmzos25m8ivg.cloudfront.net/Documentos/631/05089723885/6310508972388510092023232654.pdf")</f>
        <v>https://dpmzos25m8ivg.cloudfront.net/Documentos/631/05089723885/6310508972388510092023232654.pdf</v>
      </c>
      <c r="F2235" s="5" t="str">
        <f>HYPERLINK("https://dpmzos25m8ivg.cloudfront.net/Documentos/631/05089723885/6310508972388510092023232710.pdf","https://dpmzos25m8ivg.cloudfront.net/Documentos/631/05089723885/6310508972388510092023232710.pdf")</f>
        <v>https://dpmzos25m8ivg.cloudfront.net/Documentos/631/05089723885/6310508972388510092023232710.pdf</v>
      </c>
      <c r="G2235" s="5" t="str">
        <f>HYPERLINK("https://dpmzos25m8ivg.cloudfront.net/Documentos/631/05089723885/6310508972388510092023232720.pdf","https://dpmzos25m8ivg.cloudfront.net/Documentos/631/05089723885/6310508972388510092023232720.pdf")</f>
        <v>https://dpmzos25m8ivg.cloudfront.net/Documentos/631/05089723885/6310508972388510092023232720.pdf</v>
      </c>
      <c r="H2235" s="4" t="s">
        <v>10815</v>
      </c>
    </row>
    <row r="2236" spans="1:8" x14ac:dyDescent="0.25">
      <c r="A2236" s="2" t="s">
        <v>2250</v>
      </c>
      <c r="B2236" s="3"/>
      <c r="C2236" s="3"/>
      <c r="D2236" s="3"/>
      <c r="E2236" s="4" t="str">
        <f>HYPERLINK("https://dpmzos25m8ivg.cloudfront.net/Documentos/631/05095221306/6310509522130614092023160322.pdf","https://dpmzos25m8ivg.cloudfront.net/Documentos/631/05095221306/6310509522130614092023160322.pdf")</f>
        <v>https://dpmzos25m8ivg.cloudfront.net/Documentos/631/05095221306/6310509522130614092023160322.pdf</v>
      </c>
      <c r="F2236" s="5" t="str">
        <f>HYPERLINK("https://dpmzos25m8ivg.cloudfront.net/Documentos/631/05095221306/6310509522130614092023160746.pdf","https://dpmzos25m8ivg.cloudfront.net/Documentos/631/05095221306/6310509522130614092023160746.pdf")</f>
        <v>https://dpmzos25m8ivg.cloudfront.net/Documentos/631/05095221306/6310509522130614092023160746.pdf</v>
      </c>
      <c r="G2236" s="5" t="str">
        <f>HYPERLINK("https://dpmzos25m8ivg.cloudfront.net/Documentos/631/05095221306/6310509522130614092023161130.pdf","https://dpmzos25m8ivg.cloudfront.net/Documentos/631/05095221306/6310509522130614092023161130.pdf")</f>
        <v>https://dpmzos25m8ivg.cloudfront.net/Documentos/631/05095221306/6310509522130614092023161130.pdf</v>
      </c>
      <c r="H2236" s="4" t="s">
        <v>10816</v>
      </c>
    </row>
    <row r="2237" spans="1:8" x14ac:dyDescent="0.25">
      <c r="A2237" s="2" t="s">
        <v>2251</v>
      </c>
      <c r="B2237" s="3"/>
      <c r="C2237" s="3"/>
      <c r="D2237" s="3"/>
      <c r="E2237" s="4" t="str">
        <f>HYPERLINK("https://dpmzos25m8ivg.cloudfront.net/Documentos/631/05097663314/6310509766331405092023171647.jpg","https://dpmzos25m8ivg.cloudfront.net/Documentos/631/05097663314/6310509766331405092023171647.jpg")</f>
        <v>https://dpmzos25m8ivg.cloudfront.net/Documentos/631/05097663314/6310509766331405092023171647.jpg</v>
      </c>
      <c r="F2237" s="5" t="str">
        <f>HYPERLINK("https://dpmzos25m8ivg.cloudfront.net/Documentos/631/05097663314/6310509766331405092023171712.jpg","https://dpmzos25m8ivg.cloudfront.net/Documentos/631/05097663314/6310509766331405092023171712.jpg")</f>
        <v>https://dpmzos25m8ivg.cloudfront.net/Documentos/631/05097663314/6310509766331405092023171712.jpg</v>
      </c>
      <c r="G2237" s="5" t="str">
        <f>HYPERLINK("https://dpmzos25m8ivg.cloudfront.net/Documentos/631/05097663314/6310509766331405092023171725.jpg","https://dpmzos25m8ivg.cloudfront.net/Documentos/631/05097663314/6310509766331405092023171725.jpg")</f>
        <v>https://dpmzos25m8ivg.cloudfront.net/Documentos/631/05097663314/6310509766331405092023171725.jpg</v>
      </c>
      <c r="H2237" s="4" t="s">
        <v>10817</v>
      </c>
    </row>
    <row r="2238" spans="1:8" x14ac:dyDescent="0.25">
      <c r="A2238" s="2" t="s">
        <v>2252</v>
      </c>
      <c r="B2238" s="3" t="s">
        <v>8</v>
      </c>
      <c r="C2238" s="3"/>
      <c r="D2238" s="3"/>
      <c r="E2238" s="4" t="str">
        <f>HYPERLINK("https://dpmzos25m8ivg.cloudfront.net/Documentos/631/05100738324/6310510073832411092023133157.pdf","https://dpmzos25m8ivg.cloudfront.net/Documentos/631/05100738324/6310510073832411092023133157.pdf")</f>
        <v>https://dpmzos25m8ivg.cloudfront.net/Documentos/631/05100738324/6310510073832411092023133157.pdf</v>
      </c>
      <c r="F2238" s="5" t="str">
        <f>HYPERLINK("https://dpmzos25m8ivg.cloudfront.net/Documentos/631/05100738324/6310510073832411092023133211.pdf","https://dpmzos25m8ivg.cloudfront.net/Documentos/631/05100738324/6310510073832411092023133211.pdf")</f>
        <v>https://dpmzos25m8ivg.cloudfront.net/Documentos/631/05100738324/6310510073832411092023133211.pdf</v>
      </c>
      <c r="G2238" s="5" t="str">
        <f>HYPERLINK("https://dpmzos25m8ivg.cloudfront.net/Documentos/631/05100738324/6310510073832411092023133228.pdf","https://dpmzos25m8ivg.cloudfront.net/Documentos/631/05100738324/6310510073832411092023133228.pdf")</f>
        <v>https://dpmzos25m8ivg.cloudfront.net/Documentos/631/05100738324/6310510073832411092023133228.pdf</v>
      </c>
      <c r="H2238" s="4" t="s">
        <v>9010</v>
      </c>
    </row>
    <row r="2239" spans="1:8" x14ac:dyDescent="0.25">
      <c r="A2239" s="2" t="s">
        <v>2253</v>
      </c>
      <c r="B2239" s="3"/>
      <c r="C2239" s="3"/>
      <c r="D2239" s="3"/>
      <c r="E2239" s="4" t="str">
        <f>HYPERLINK("https://dpmzos25m8ivg.cloudfront.net/Documentos/631/05104639916/6310510463991609092023133152.pdf","https://dpmzos25m8ivg.cloudfront.net/Documentos/631/05104639916/6310510463991609092023133152.pdf")</f>
        <v>https://dpmzos25m8ivg.cloudfront.net/Documentos/631/05104639916/6310510463991609092023133152.pdf</v>
      </c>
      <c r="F2239" s="5" t="str">
        <f>HYPERLINK("https://dpmzos25m8ivg.cloudfront.net/Documentos/631/05104639916/6310510463991609092023133207.pdf","https://dpmzos25m8ivg.cloudfront.net/Documentos/631/05104639916/6310510463991609092023133207.pdf")</f>
        <v>https://dpmzos25m8ivg.cloudfront.net/Documentos/631/05104639916/6310510463991609092023133207.pdf</v>
      </c>
      <c r="G2239" s="5" t="str">
        <f>HYPERLINK("https://dpmzos25m8ivg.cloudfront.net/Documentos/631/05104639916/6310510463991609092023133220.pdf","https://dpmzos25m8ivg.cloudfront.net/Documentos/631/05104639916/6310510463991609092023133220.pdf")</f>
        <v>https://dpmzos25m8ivg.cloudfront.net/Documentos/631/05104639916/6310510463991609092023133220.pdf</v>
      </c>
      <c r="H2239" s="4" t="s">
        <v>10818</v>
      </c>
    </row>
    <row r="2240" spans="1:8" x14ac:dyDescent="0.25">
      <c r="A2240" s="2" t="s">
        <v>2254</v>
      </c>
      <c r="B2240" s="3"/>
      <c r="C2240" s="3"/>
      <c r="D2240" s="3"/>
      <c r="E2240" s="4" t="str">
        <f>HYPERLINK("https://dpmzos25m8ivg.cloudfront.net/Documentos/631/05107005519/6310510700551910092023134141.pdf","https://dpmzos25m8ivg.cloudfront.net/Documentos/631/05107005519/6310510700551910092023134141.pdf")</f>
        <v>https://dpmzos25m8ivg.cloudfront.net/Documentos/631/05107005519/6310510700551910092023134141.pdf</v>
      </c>
      <c r="F2240" s="5" t="str">
        <f>HYPERLINK("https://dpmzos25m8ivg.cloudfront.net/Documentos/631/05107005519/6310510700551910092023134201.pdf","https://dpmzos25m8ivg.cloudfront.net/Documentos/631/05107005519/6310510700551910092023134201.pdf")</f>
        <v>https://dpmzos25m8ivg.cloudfront.net/Documentos/631/05107005519/6310510700551910092023134201.pdf</v>
      </c>
      <c r="G2240" s="5" t="str">
        <f>HYPERLINK("https://dpmzos25m8ivg.cloudfront.net/Documentos/631/05107005519/6310510700551910092023134220.pdf","https://dpmzos25m8ivg.cloudfront.net/Documentos/631/05107005519/6310510700551910092023134220.pdf")</f>
        <v>https://dpmzos25m8ivg.cloudfront.net/Documentos/631/05107005519/6310510700551910092023134220.pdf</v>
      </c>
      <c r="H2240" s="4" t="s">
        <v>10819</v>
      </c>
    </row>
    <row r="2241" spans="1:8" x14ac:dyDescent="0.25">
      <c r="A2241" s="2" t="s">
        <v>2255</v>
      </c>
      <c r="B2241" s="3" t="s">
        <v>8</v>
      </c>
      <c r="C2241" s="3"/>
      <c r="D2241" s="3"/>
      <c r="E2241" s="4" t="str">
        <f>HYPERLINK("https://dpmzos25m8ivg.cloudfront.net/Documentos/631/05108694164/6310510869416410092023112407.jpg","https://dpmzos25m8ivg.cloudfront.net/Documentos/631/05108694164/6310510869416410092023112407.jpg")</f>
        <v>https://dpmzos25m8ivg.cloudfront.net/Documentos/631/05108694164/6310510869416410092023112407.jpg</v>
      </c>
      <c r="F2241" s="5" t="str">
        <f>HYPERLINK("https://dpmzos25m8ivg.cloudfront.net/Documentos/631/05108694164/6310510869416410092023112508.jpg","https://dpmzos25m8ivg.cloudfront.net/Documentos/631/05108694164/6310510869416410092023112508.jpg")</f>
        <v>https://dpmzos25m8ivg.cloudfront.net/Documentos/631/05108694164/6310510869416410092023112508.jpg</v>
      </c>
      <c r="G2241" s="5" t="str">
        <f>HYPERLINK("https://dpmzos25m8ivg.cloudfront.net/Documentos/631/05108694164/6310510869416410092023112537.jpg","https://dpmzos25m8ivg.cloudfront.net/Documentos/631/05108694164/6310510869416410092023112537.jpg")</f>
        <v>https://dpmzos25m8ivg.cloudfront.net/Documentos/631/05108694164/6310510869416410092023112537.jpg</v>
      </c>
      <c r="H2241" s="4" t="s">
        <v>10820</v>
      </c>
    </row>
    <row r="2242" spans="1:8" x14ac:dyDescent="0.25">
      <c r="A2242" s="2" t="s">
        <v>2256</v>
      </c>
      <c r="B2242" s="3"/>
      <c r="C2242" s="3"/>
      <c r="D2242" s="3"/>
      <c r="E2242" s="4" t="str">
        <f>HYPERLINK("https://dpmzos25m8ivg.cloudfront.net/Documentos/631/05110323585/6310511032358511092023144653.pdf","https://dpmzos25m8ivg.cloudfront.net/Documentos/631/05110323585/6310511032358511092023144653.pdf")</f>
        <v>https://dpmzos25m8ivg.cloudfront.net/Documentos/631/05110323585/6310511032358511092023144653.pdf</v>
      </c>
      <c r="F2242" s="5" t="str">
        <f>HYPERLINK("https://dpmzos25m8ivg.cloudfront.net/Documentos/631/05110323585/6310511032358511092023144641.pdf","https://dpmzos25m8ivg.cloudfront.net/Documentos/631/05110323585/6310511032358511092023144641.pdf")</f>
        <v>https://dpmzos25m8ivg.cloudfront.net/Documentos/631/05110323585/6310511032358511092023144641.pdf</v>
      </c>
      <c r="G2242" s="5" t="str">
        <f>HYPERLINK("https://dpmzos25m8ivg.cloudfront.net/Documentos/631/05110323585/6310511032358511092023144629.pdf","https://dpmzos25m8ivg.cloudfront.net/Documentos/631/05110323585/6310511032358511092023144629.pdf")</f>
        <v>https://dpmzos25m8ivg.cloudfront.net/Documentos/631/05110323585/6310511032358511092023144629.pdf</v>
      </c>
      <c r="H2242" s="4" t="s">
        <v>10821</v>
      </c>
    </row>
    <row r="2243" spans="1:8" x14ac:dyDescent="0.25">
      <c r="A2243" s="2" t="s">
        <v>2257</v>
      </c>
      <c r="B2243" s="3"/>
      <c r="C2243" s="3"/>
      <c r="D2243" s="3"/>
      <c r="E2243" s="4" t="str">
        <f>HYPERLINK("https://dpmzos25m8ivg.cloudfront.net/Documentos/631/05111222502/6310511122250205092023171548.pdf","https://dpmzos25m8ivg.cloudfront.net/Documentos/631/05111222502/6310511122250205092023171548.pdf")</f>
        <v>https://dpmzos25m8ivg.cloudfront.net/Documentos/631/05111222502/6310511122250205092023171548.pdf</v>
      </c>
      <c r="F2243" s="5" t="str">
        <f>HYPERLINK("https://dpmzos25m8ivg.cloudfront.net/Documentos/631/05111222502/6310511122250205092023171917.pdf","https://dpmzos25m8ivg.cloudfront.net/Documentos/631/05111222502/6310511122250205092023171917.pdf")</f>
        <v>https://dpmzos25m8ivg.cloudfront.net/Documentos/631/05111222502/6310511122250205092023171917.pdf</v>
      </c>
      <c r="G2243" s="5" t="str">
        <f>HYPERLINK("https://dpmzos25m8ivg.cloudfront.net/Documentos/631/05111222502/6310511122250205092023171938.pdf","https://dpmzos25m8ivg.cloudfront.net/Documentos/631/05111222502/6310511122250205092023171938.pdf")</f>
        <v>https://dpmzos25m8ivg.cloudfront.net/Documentos/631/05111222502/6310511122250205092023171938.pdf</v>
      </c>
      <c r="H2243" s="4" t="s">
        <v>10822</v>
      </c>
    </row>
    <row r="2244" spans="1:8" x14ac:dyDescent="0.25">
      <c r="A2244" s="2" t="s">
        <v>2258</v>
      </c>
      <c r="B2244" s="3"/>
      <c r="C2244" s="3"/>
      <c r="D2244" s="3"/>
      <c r="E2244" s="4" t="str">
        <f>HYPERLINK("https://dpmzos25m8ivg.cloudfront.net/Documentos/631/05111702113/6310511170211305092023102649.pdf","https://dpmzos25m8ivg.cloudfront.net/Documentos/631/05111702113/6310511170211305092023102649.pdf")</f>
        <v>https://dpmzos25m8ivg.cloudfront.net/Documentos/631/05111702113/6310511170211305092023102649.pdf</v>
      </c>
      <c r="F2244" s="5" t="str">
        <f>HYPERLINK("https://dpmzos25m8ivg.cloudfront.net/Documentos/631/05111702113/6310511170211305092023102659.pdf","https://dpmzos25m8ivg.cloudfront.net/Documentos/631/05111702113/6310511170211305092023102659.pdf")</f>
        <v>https://dpmzos25m8ivg.cloudfront.net/Documentos/631/05111702113/6310511170211305092023102659.pdf</v>
      </c>
      <c r="G2244" s="5" t="str">
        <f>HYPERLINK("https://dpmzos25m8ivg.cloudfront.net/Documentos/631/05111702113/6310511170211305092023102706.pdf","https://dpmzos25m8ivg.cloudfront.net/Documentos/631/05111702113/6310511170211305092023102706.pdf")</f>
        <v>https://dpmzos25m8ivg.cloudfront.net/Documentos/631/05111702113/6310511170211305092023102706.pdf</v>
      </c>
      <c r="H2244" s="4" t="s">
        <v>10823</v>
      </c>
    </row>
    <row r="2245" spans="1:8" x14ac:dyDescent="0.25">
      <c r="A2245" s="2" t="s">
        <v>2259</v>
      </c>
      <c r="B2245" s="3"/>
      <c r="C2245" s="3"/>
      <c r="D2245" s="3"/>
      <c r="E2245" s="4" t="str">
        <f>HYPERLINK("https://dpmzos25m8ivg.cloudfront.net/Documentos/631/05112046392/6310511204639211092023145228.pdf","https://dpmzos25m8ivg.cloudfront.net/Documentos/631/05112046392/6310511204639211092023145228.pdf")</f>
        <v>https://dpmzos25m8ivg.cloudfront.net/Documentos/631/05112046392/6310511204639211092023145228.pdf</v>
      </c>
      <c r="F2245" s="5" t="str">
        <f>HYPERLINK("https://dpmzos25m8ivg.cloudfront.net/Documentos/631/05112046392/6310511204639211092023145236.pdf","https://dpmzos25m8ivg.cloudfront.net/Documentos/631/05112046392/6310511204639211092023145236.pdf")</f>
        <v>https://dpmzos25m8ivg.cloudfront.net/Documentos/631/05112046392/6310511204639211092023145236.pdf</v>
      </c>
      <c r="G2245" s="5" t="str">
        <f>HYPERLINK("https://dpmzos25m8ivg.cloudfront.net/Documentos/631/05112046392/6310511204639211092023145245.pdf","https://dpmzos25m8ivg.cloudfront.net/Documentos/631/05112046392/6310511204639211092023145245.pdf")</f>
        <v>https://dpmzos25m8ivg.cloudfront.net/Documentos/631/05112046392/6310511204639211092023145245.pdf</v>
      </c>
      <c r="H2245" s="4" t="s">
        <v>10824</v>
      </c>
    </row>
    <row r="2246" spans="1:8" x14ac:dyDescent="0.25">
      <c r="A2246" s="2" t="s">
        <v>2260</v>
      </c>
      <c r="B2246" s="3"/>
      <c r="C2246" s="3"/>
      <c r="D2246" s="3"/>
      <c r="E2246" s="4" t="str">
        <f>HYPERLINK("https://dpmzos25m8ivg.cloudfront.net/Documentos/631/05113689173/6310511368917309092023141105.jpeg","https://dpmzos25m8ivg.cloudfront.net/Documentos/631/05113689173/6310511368917309092023141105.jpeg")</f>
        <v>https://dpmzos25m8ivg.cloudfront.net/Documentos/631/05113689173/6310511368917309092023141105.jpeg</v>
      </c>
      <c r="F2246" s="5" t="str">
        <f>HYPERLINK("https://dpmzos25m8ivg.cloudfront.net/Documentos/631/05113689173/6310511368917309092023141121.jpeg","https://dpmzos25m8ivg.cloudfront.net/Documentos/631/05113689173/6310511368917309092023141121.jpeg")</f>
        <v>https://dpmzos25m8ivg.cloudfront.net/Documentos/631/05113689173/6310511368917309092023141121.jpeg</v>
      </c>
      <c r="G2246" s="5" t="str">
        <f>HYPERLINK("https://dpmzos25m8ivg.cloudfront.net/Documentos/631/05113689173/6310511368917309092023141147.jpeg","https://dpmzos25m8ivg.cloudfront.net/Documentos/631/05113689173/6310511368917309092023141147.jpeg")</f>
        <v>https://dpmzos25m8ivg.cloudfront.net/Documentos/631/05113689173/6310511368917309092023141147.jpeg</v>
      </c>
      <c r="H2246" s="4" t="s">
        <v>10825</v>
      </c>
    </row>
    <row r="2247" spans="1:8" x14ac:dyDescent="0.25">
      <c r="A2247" s="2" t="s">
        <v>2261</v>
      </c>
      <c r="B2247" s="3"/>
      <c r="C2247" s="3"/>
      <c r="D2247" s="3"/>
      <c r="E2247" s="4" t="str">
        <f>HYPERLINK("https://dpmzos25m8ivg.cloudfront.net/Documentos/631/05114984543/6310511498454311092023162520.pdf","https://dpmzos25m8ivg.cloudfront.net/Documentos/631/05114984543/6310511498454311092023162520.pdf")</f>
        <v>https://dpmzos25m8ivg.cloudfront.net/Documentos/631/05114984543/6310511498454311092023162520.pdf</v>
      </c>
      <c r="F2247" s="5" t="str">
        <f>HYPERLINK("https://dpmzos25m8ivg.cloudfront.net/Documentos/631/05114984543/6310511498454311092023162527.pdf","https://dpmzos25m8ivg.cloudfront.net/Documentos/631/05114984543/6310511498454311092023162527.pdf")</f>
        <v>https://dpmzos25m8ivg.cloudfront.net/Documentos/631/05114984543/6310511498454311092023162527.pdf</v>
      </c>
      <c r="G2247" s="5" t="str">
        <f>HYPERLINK("https://dpmzos25m8ivg.cloudfront.net/Documentos/631/05114984543/6310511498454311092023162535.pdf","https://dpmzos25m8ivg.cloudfront.net/Documentos/631/05114984543/6310511498454311092023162535.pdf")</f>
        <v>https://dpmzos25m8ivg.cloudfront.net/Documentos/631/05114984543/6310511498454311092023162535.pdf</v>
      </c>
      <c r="H2247" s="4" t="s">
        <v>10826</v>
      </c>
    </row>
    <row r="2248" spans="1:8" x14ac:dyDescent="0.25">
      <c r="A2248" s="2" t="s">
        <v>2262</v>
      </c>
      <c r="B2248" s="3"/>
      <c r="C2248" s="3"/>
      <c r="D2248" s="3"/>
      <c r="E2248" s="4" t="str">
        <f>HYPERLINK("https://dpmzos25m8ivg.cloudfront.net/Documentos/631/05115560470/6310511556047006092023092100.pdf","https://dpmzos25m8ivg.cloudfront.net/Documentos/631/05115560470/6310511556047006092023092100.pdf")</f>
        <v>https://dpmzos25m8ivg.cloudfront.net/Documentos/631/05115560470/6310511556047006092023092100.pdf</v>
      </c>
      <c r="F2248" s="5" t="str">
        <f>HYPERLINK("https://dpmzos25m8ivg.cloudfront.net/Documentos/631/05115560470/6310511556047006092023092410.pdf","https://dpmzos25m8ivg.cloudfront.net/Documentos/631/05115560470/6310511556047006092023092410.pdf")</f>
        <v>https://dpmzos25m8ivg.cloudfront.net/Documentos/631/05115560470/6310511556047006092023092410.pdf</v>
      </c>
      <c r="G2248" s="5" t="str">
        <f>HYPERLINK("https://dpmzos25m8ivg.cloudfront.net/Documentos/631/05115560470/6310511556047006092023092139.pdf","https://dpmzos25m8ivg.cloudfront.net/Documentos/631/05115560470/6310511556047006092023092139.pdf")</f>
        <v>https://dpmzos25m8ivg.cloudfront.net/Documentos/631/05115560470/6310511556047006092023092139.pdf</v>
      </c>
      <c r="H2248" s="4" t="s">
        <v>10827</v>
      </c>
    </row>
    <row r="2249" spans="1:8" x14ac:dyDescent="0.25">
      <c r="A2249" s="2" t="s">
        <v>2263</v>
      </c>
      <c r="B2249" s="3"/>
      <c r="C2249" s="3"/>
      <c r="D2249" s="3"/>
      <c r="E2249" s="4" t="str">
        <f>HYPERLINK("https://dpmzos25m8ivg.cloudfront.net/Documentos/631/05118793696/6310511879369611092023154403.pdf","https://dpmzos25m8ivg.cloudfront.net/Documentos/631/05118793696/6310511879369611092023154403.pdf")</f>
        <v>https://dpmzos25m8ivg.cloudfront.net/Documentos/631/05118793696/6310511879369611092023154403.pdf</v>
      </c>
      <c r="F2249" s="5" t="str">
        <f>HYPERLINK("https://dpmzos25m8ivg.cloudfront.net/Documentos/631/05118793696/6310511879369611092023154428.pdf","https://dpmzos25m8ivg.cloudfront.net/Documentos/631/05118793696/6310511879369611092023154428.pdf")</f>
        <v>https://dpmzos25m8ivg.cloudfront.net/Documentos/631/05118793696/6310511879369611092023154428.pdf</v>
      </c>
      <c r="G2249" s="5" t="str">
        <f>HYPERLINK("https://dpmzos25m8ivg.cloudfront.net/Documentos/631/05118793696/6310511879369611092023154451.pdf","https://dpmzos25m8ivg.cloudfront.net/Documentos/631/05118793696/6310511879369611092023154451.pdf")</f>
        <v>https://dpmzos25m8ivg.cloudfront.net/Documentos/631/05118793696/6310511879369611092023154451.pdf</v>
      </c>
      <c r="H2249" s="4" t="s">
        <v>10828</v>
      </c>
    </row>
    <row r="2250" spans="1:8" x14ac:dyDescent="0.25">
      <c r="A2250" s="2" t="s">
        <v>2264</v>
      </c>
      <c r="B2250" s="3" t="s">
        <v>42</v>
      </c>
      <c r="C2250" s="3"/>
      <c r="D2250" s="3"/>
      <c r="E2250" s="4" t="str">
        <f>HYPERLINK("https://dpmzos25m8ivg.cloudfront.net/Documentos/631/05121103522/6310512110352205092023192438.jpg","https://dpmzos25m8ivg.cloudfront.net/Documentos/631/05121103522/6310512110352205092023192438.jpg")</f>
        <v>https://dpmzos25m8ivg.cloudfront.net/Documentos/631/05121103522/6310512110352205092023192438.jpg</v>
      </c>
      <c r="F2250" s="5" t="str">
        <f>HYPERLINK("https://dpmzos25m8ivg.cloudfront.net/Documentos/631/05121103522/6310512110352205092023192449.jpg","https://dpmzos25m8ivg.cloudfront.net/Documentos/631/05121103522/6310512110352205092023192449.jpg")</f>
        <v>https://dpmzos25m8ivg.cloudfront.net/Documentos/631/05121103522/6310512110352205092023192449.jpg</v>
      </c>
      <c r="G2250" s="5" t="str">
        <f>HYPERLINK("https://dpmzos25m8ivg.cloudfront.net/Documentos/631/05121103522/6310512110352205092023192500.jpg","https://dpmzos25m8ivg.cloudfront.net/Documentos/631/05121103522/6310512110352205092023192500.jpg")</f>
        <v>https://dpmzos25m8ivg.cloudfront.net/Documentos/631/05121103522/6310512110352205092023192500.jpg</v>
      </c>
      <c r="H2250" s="4" t="s">
        <v>10829</v>
      </c>
    </row>
    <row r="2251" spans="1:8" x14ac:dyDescent="0.25">
      <c r="A2251" s="2" t="s">
        <v>2265</v>
      </c>
      <c r="B2251" s="3"/>
      <c r="C2251" s="3"/>
      <c r="D2251" s="3"/>
      <c r="E2251" s="4" t="str">
        <f>HYPERLINK("https://dpmzos25m8ivg.cloudfront.net/Documentos/631/05121277512/6310512127751211092023165246.pdf","https://dpmzos25m8ivg.cloudfront.net/Documentos/631/05121277512/6310512127751211092023165246.pdf")</f>
        <v>https://dpmzos25m8ivg.cloudfront.net/Documentos/631/05121277512/6310512127751211092023165246.pdf</v>
      </c>
      <c r="F2251" s="5" t="str">
        <f>HYPERLINK("https://dpmzos25m8ivg.cloudfront.net/Documentos/631/05121277512/6310512127751211092023165300.pdf","https://dpmzos25m8ivg.cloudfront.net/Documentos/631/05121277512/6310512127751211092023165300.pdf")</f>
        <v>https://dpmzos25m8ivg.cloudfront.net/Documentos/631/05121277512/6310512127751211092023165300.pdf</v>
      </c>
      <c r="G2251" s="5" t="str">
        <f>HYPERLINK("https://dpmzos25m8ivg.cloudfront.net/Documentos/631/05121277512/6310512127751211092023165308.pdf","https://dpmzos25m8ivg.cloudfront.net/Documentos/631/05121277512/6310512127751211092023165308.pdf")</f>
        <v>https://dpmzos25m8ivg.cloudfront.net/Documentos/631/05121277512/6310512127751211092023165308.pdf</v>
      </c>
      <c r="H2251" s="4" t="s">
        <v>10830</v>
      </c>
    </row>
    <row r="2252" spans="1:8" x14ac:dyDescent="0.25">
      <c r="A2252" s="2" t="s">
        <v>2266</v>
      </c>
      <c r="B2252" s="3"/>
      <c r="C2252" s="3"/>
      <c r="D2252" s="3"/>
      <c r="E2252" s="4" t="str">
        <f>HYPERLINK("https://dpmzos25m8ivg.cloudfront.net/Documentos/631/05121500360/6310512150036012092023194250.pdf","https://dpmzos25m8ivg.cloudfront.net/Documentos/631/05121500360/6310512150036012092023194250.pdf")</f>
        <v>https://dpmzos25m8ivg.cloudfront.net/Documentos/631/05121500360/6310512150036012092023194250.pdf</v>
      </c>
      <c r="F2252" s="5" t="str">
        <f>HYPERLINK("https://dpmzos25m8ivg.cloudfront.net/Documentos/631/05121500360/6310512150036012092023194310.pdf","https://dpmzos25m8ivg.cloudfront.net/Documentos/631/05121500360/6310512150036012092023194310.pdf")</f>
        <v>https://dpmzos25m8ivg.cloudfront.net/Documentos/631/05121500360/6310512150036012092023194310.pdf</v>
      </c>
      <c r="G2252" s="5" t="str">
        <f>HYPERLINK("https://dpmzos25m8ivg.cloudfront.net/Documentos/631/05121500360/6310512150036012092023194338.pdf","https://dpmzos25m8ivg.cloudfront.net/Documentos/631/05121500360/6310512150036012092023194338.pdf")</f>
        <v>https://dpmzos25m8ivg.cloudfront.net/Documentos/631/05121500360/6310512150036012092023194338.pdf</v>
      </c>
      <c r="H2252" s="4" t="s">
        <v>10831</v>
      </c>
    </row>
    <row r="2253" spans="1:8" x14ac:dyDescent="0.25">
      <c r="A2253" s="2" t="s">
        <v>2267</v>
      </c>
      <c r="B2253" s="3"/>
      <c r="C2253" s="3"/>
      <c r="D2253" s="3"/>
      <c r="E2253" s="4" t="str">
        <f>HYPERLINK("https://dpmzos25m8ivg.cloudfront.net/Documentos/631/05122202559/6310512220255911092023145456.pdf","https://dpmzos25m8ivg.cloudfront.net/Documentos/631/05122202559/6310512220255911092023145456.pdf")</f>
        <v>https://dpmzos25m8ivg.cloudfront.net/Documentos/631/05122202559/6310512220255911092023145456.pdf</v>
      </c>
      <c r="F2253" s="5" t="str">
        <f>HYPERLINK("https://dpmzos25m8ivg.cloudfront.net/Documentos/631/05122202559/6310512220255911092023145513.pdf","https://dpmzos25m8ivg.cloudfront.net/Documentos/631/05122202559/6310512220255911092023145513.pdf")</f>
        <v>https://dpmzos25m8ivg.cloudfront.net/Documentos/631/05122202559/6310512220255911092023145513.pdf</v>
      </c>
      <c r="G2253" s="5" t="str">
        <f>HYPERLINK("https://dpmzos25m8ivg.cloudfront.net/Documentos/631/05122202559/6310512220255911092023145539.pdf","https://dpmzos25m8ivg.cloudfront.net/Documentos/631/05122202559/6310512220255911092023145539.pdf")</f>
        <v>https://dpmzos25m8ivg.cloudfront.net/Documentos/631/05122202559/6310512220255911092023145539.pdf</v>
      </c>
      <c r="H2253" s="4" t="s">
        <v>10832</v>
      </c>
    </row>
    <row r="2254" spans="1:8" x14ac:dyDescent="0.25">
      <c r="A2254" s="2" t="s">
        <v>2268</v>
      </c>
      <c r="B2254" s="3"/>
      <c r="C2254" s="3"/>
      <c r="D2254" s="3"/>
      <c r="E2254" s="4" t="str">
        <f>HYPERLINK("https://dpmzos25m8ivg.cloudfront.net/Documentos/631/05123024301/6310512302430111092023154504.pdf","https://dpmzos25m8ivg.cloudfront.net/Documentos/631/05123024301/6310512302430111092023154504.pdf")</f>
        <v>https://dpmzos25m8ivg.cloudfront.net/Documentos/631/05123024301/6310512302430111092023154504.pdf</v>
      </c>
      <c r="F2254" s="5" t="str">
        <f>HYPERLINK("https://dpmzos25m8ivg.cloudfront.net/Documentos/631/05123024301/6310512302430111092023154513.pdf","https://dpmzos25m8ivg.cloudfront.net/Documentos/631/05123024301/6310512302430111092023154513.pdf")</f>
        <v>https://dpmzos25m8ivg.cloudfront.net/Documentos/631/05123024301/6310512302430111092023154513.pdf</v>
      </c>
      <c r="G2254" s="5" t="str">
        <f>HYPERLINK("https://dpmzos25m8ivg.cloudfront.net/Documentos/631/05123024301/6310512302430111092023154523.pdf","https://dpmzos25m8ivg.cloudfront.net/Documentos/631/05123024301/6310512302430111092023154523.pdf")</f>
        <v>https://dpmzos25m8ivg.cloudfront.net/Documentos/631/05123024301/6310512302430111092023154523.pdf</v>
      </c>
      <c r="H2254" s="4" t="s">
        <v>10833</v>
      </c>
    </row>
    <row r="2255" spans="1:8" x14ac:dyDescent="0.25">
      <c r="A2255" s="2" t="s">
        <v>2269</v>
      </c>
      <c r="B2255" s="3" t="s">
        <v>8</v>
      </c>
      <c r="C2255" s="3"/>
      <c r="D2255" s="3"/>
      <c r="E2255" s="4" t="str">
        <f>HYPERLINK("https://dpmzos25m8ivg.cloudfront.net/Documentos/631/05123122141/6310512312214114092023002603.jpg","https://dpmzos25m8ivg.cloudfront.net/Documentos/631/05123122141/6310512312214114092023002603.jpg")</f>
        <v>https://dpmzos25m8ivg.cloudfront.net/Documentos/631/05123122141/6310512312214114092023002603.jpg</v>
      </c>
      <c r="F2255" s="5" t="str">
        <f>HYPERLINK("https://dpmzos25m8ivg.cloudfront.net/Documentos/631/05123122141/6310512312214114092023002634.jpg","https://dpmzos25m8ivg.cloudfront.net/Documentos/631/05123122141/6310512312214114092023002634.jpg")</f>
        <v>https://dpmzos25m8ivg.cloudfront.net/Documentos/631/05123122141/6310512312214114092023002634.jpg</v>
      </c>
      <c r="G2255" s="5" t="str">
        <f>HYPERLINK("https://dpmzos25m8ivg.cloudfront.net/Documentos/631/05123122141/6310512312214114092023002645.jpg","https://dpmzos25m8ivg.cloudfront.net/Documentos/631/05123122141/6310512312214114092023002645.jpg")</f>
        <v>https://dpmzos25m8ivg.cloudfront.net/Documentos/631/05123122141/6310512312214114092023002645.jpg</v>
      </c>
      <c r="H2255" s="4" t="s">
        <v>10834</v>
      </c>
    </row>
    <row r="2256" spans="1:8" x14ac:dyDescent="0.25">
      <c r="A2256" s="2" t="s">
        <v>2270</v>
      </c>
      <c r="B2256" s="3"/>
      <c r="C2256" s="3"/>
      <c r="D2256" s="3"/>
      <c r="E2256" s="4" t="str">
        <f>HYPERLINK("https://dpmzos25m8ivg.cloudfront.net/Documentos/631/05126724150/6310512672415011092023115441.pdf","https://dpmzos25m8ivg.cloudfront.net/Documentos/631/05126724150/6310512672415011092023115441.pdf")</f>
        <v>https://dpmzos25m8ivg.cloudfront.net/Documentos/631/05126724150/6310512672415011092023115441.pdf</v>
      </c>
      <c r="F2256" s="5" t="str">
        <f>HYPERLINK("https://dpmzos25m8ivg.cloudfront.net/Documentos/631/05126724150/6310512672415011092023115512.pdf","https://dpmzos25m8ivg.cloudfront.net/Documentos/631/05126724150/6310512672415011092023115512.pdf")</f>
        <v>https://dpmzos25m8ivg.cloudfront.net/Documentos/631/05126724150/6310512672415011092023115512.pdf</v>
      </c>
      <c r="G2256" s="5" t="str">
        <f>HYPERLINK("https://dpmzos25m8ivg.cloudfront.net/Documentos/631/05126724150/6310512672415011092023115520.pdf","https://dpmzos25m8ivg.cloudfront.net/Documentos/631/05126724150/6310512672415011092023115520.pdf")</f>
        <v>https://dpmzos25m8ivg.cloudfront.net/Documentos/631/05126724150/6310512672415011092023115520.pdf</v>
      </c>
      <c r="H2256" s="4" t="s">
        <v>10835</v>
      </c>
    </row>
    <row r="2257" spans="1:8" x14ac:dyDescent="0.25">
      <c r="A2257" s="2" t="s">
        <v>2271</v>
      </c>
      <c r="B2257" s="3"/>
      <c r="C2257" s="3"/>
      <c r="D2257" s="3"/>
      <c r="E2257" s="4" t="str">
        <f>HYPERLINK("https://dpmzos25m8ivg.cloudfront.net/Documentos/631/05128272303/6310512827230305092023083328.jpeg","https://dpmzos25m8ivg.cloudfront.net/Documentos/631/05128272303/6310512827230305092023083328.jpeg")</f>
        <v>https://dpmzos25m8ivg.cloudfront.net/Documentos/631/05128272303/6310512827230305092023083328.jpeg</v>
      </c>
      <c r="F2257" s="5" t="str">
        <f>HYPERLINK("https://dpmzos25m8ivg.cloudfront.net/Documentos/631/05128272303/6310512827230305092023083603.jpeg","https://dpmzos25m8ivg.cloudfront.net/Documentos/631/05128272303/6310512827230305092023083603.jpeg")</f>
        <v>https://dpmzos25m8ivg.cloudfront.net/Documentos/631/05128272303/6310512827230305092023083603.jpeg</v>
      </c>
      <c r="G2257" s="5" t="str">
        <f>HYPERLINK("https://dpmzos25m8ivg.cloudfront.net/Documentos/631/05128272303/6310512827230305092023090450.jpeg","https://dpmzos25m8ivg.cloudfront.net/Documentos/631/05128272303/6310512827230305092023090450.jpeg")</f>
        <v>https://dpmzos25m8ivg.cloudfront.net/Documentos/631/05128272303/6310512827230305092023090450.jpeg</v>
      </c>
      <c r="H2257" s="4" t="s">
        <v>10836</v>
      </c>
    </row>
    <row r="2258" spans="1:8" x14ac:dyDescent="0.25">
      <c r="A2258" s="2" t="s">
        <v>2272</v>
      </c>
      <c r="B2258" s="3"/>
      <c r="C2258" s="3"/>
      <c r="D2258" s="3"/>
      <c r="E2258" s="4" t="str">
        <f>HYPERLINK("https://dpmzos25m8ivg.cloudfront.net/Documentos/631/05128453448/6310512845344811092023162510.jpg","https://dpmzos25m8ivg.cloudfront.net/Documentos/631/05128453448/6310512845344811092023162510.jpg")</f>
        <v>https://dpmzos25m8ivg.cloudfront.net/Documentos/631/05128453448/6310512845344811092023162510.jpg</v>
      </c>
      <c r="F2258" s="5" t="str">
        <f>HYPERLINK("https://dpmzos25m8ivg.cloudfront.net/Documentos/631/05128453448/6310512845344811092023162534.jpg","https://dpmzos25m8ivg.cloudfront.net/Documentos/631/05128453448/6310512845344811092023162534.jpg")</f>
        <v>https://dpmzos25m8ivg.cloudfront.net/Documentos/631/05128453448/6310512845344811092023162534.jpg</v>
      </c>
      <c r="G2258" s="5" t="str">
        <f>HYPERLINK("https://dpmzos25m8ivg.cloudfront.net/Documentos/631/05128453448/6310512845344811092023162549.jpg","https://dpmzos25m8ivg.cloudfront.net/Documentos/631/05128453448/6310512845344811092023162549.jpg")</f>
        <v>https://dpmzos25m8ivg.cloudfront.net/Documentos/631/05128453448/6310512845344811092023162549.jpg</v>
      </c>
      <c r="H2258" s="4" t="s">
        <v>10837</v>
      </c>
    </row>
    <row r="2259" spans="1:8" x14ac:dyDescent="0.25">
      <c r="A2259" s="2" t="s">
        <v>2273</v>
      </c>
      <c r="B2259" s="3"/>
      <c r="C2259" s="3"/>
      <c r="D2259" s="3"/>
      <c r="E2259" s="4" t="str">
        <f>HYPERLINK("https://dpmzos25m8ivg.cloudfront.net/Documentos/631/05130974140/6310513097414005092023164009.pdf","https://dpmzos25m8ivg.cloudfront.net/Documentos/631/05130974140/6310513097414005092023164009.pdf")</f>
        <v>https://dpmzos25m8ivg.cloudfront.net/Documentos/631/05130974140/6310513097414005092023164009.pdf</v>
      </c>
      <c r="F2259" s="5" t="str">
        <f>HYPERLINK("https://dpmzos25m8ivg.cloudfront.net/Documentos/631/05130974140/6310513097414005092023164019.pdf","https://dpmzos25m8ivg.cloudfront.net/Documentos/631/05130974140/6310513097414005092023164019.pdf")</f>
        <v>https://dpmzos25m8ivg.cloudfront.net/Documentos/631/05130974140/6310513097414005092023164019.pdf</v>
      </c>
      <c r="G2259" s="5" t="str">
        <f>HYPERLINK("https://dpmzos25m8ivg.cloudfront.net/Documentos/631/05130974140/6310513097414005092023164030.pdf","https://dpmzos25m8ivg.cloudfront.net/Documentos/631/05130974140/6310513097414005092023164030.pdf")</f>
        <v>https://dpmzos25m8ivg.cloudfront.net/Documentos/631/05130974140/6310513097414005092023164030.pdf</v>
      </c>
      <c r="H2259" s="4" t="s">
        <v>10838</v>
      </c>
    </row>
    <row r="2260" spans="1:8" x14ac:dyDescent="0.25">
      <c r="A2260" s="2" t="s">
        <v>2274</v>
      </c>
      <c r="B2260" s="3"/>
      <c r="C2260" s="3"/>
      <c r="D2260" s="3"/>
      <c r="E2260" s="4" t="str">
        <f>HYPERLINK("https://dpmzos25m8ivg.cloudfront.net/Documentos/631/05132174361/6310513217436111092023144505.pdf","https://dpmzos25m8ivg.cloudfront.net/Documentos/631/05132174361/6310513217436111092023144505.pdf")</f>
        <v>https://dpmzos25m8ivg.cloudfront.net/Documentos/631/05132174361/6310513217436111092023144505.pdf</v>
      </c>
      <c r="F2260" s="5" t="str">
        <f>HYPERLINK("https://dpmzos25m8ivg.cloudfront.net/Documentos/631/05132174361/6310513217436111092023144517.pdf","https://dpmzos25m8ivg.cloudfront.net/Documentos/631/05132174361/6310513217436111092023144517.pdf")</f>
        <v>https://dpmzos25m8ivg.cloudfront.net/Documentos/631/05132174361/6310513217436111092023144517.pdf</v>
      </c>
      <c r="G2260" s="5" t="str">
        <f>HYPERLINK("https://dpmzos25m8ivg.cloudfront.net/Documentos/631/05132174361/6310513217436111092023144526.pdf","https://dpmzos25m8ivg.cloudfront.net/Documentos/631/05132174361/6310513217436111092023144526.pdf")</f>
        <v>https://dpmzos25m8ivg.cloudfront.net/Documentos/631/05132174361/6310513217436111092023144526.pdf</v>
      </c>
      <c r="H2260" s="4" t="s">
        <v>10839</v>
      </c>
    </row>
    <row r="2261" spans="1:8" x14ac:dyDescent="0.25">
      <c r="A2261" s="2" t="s">
        <v>2275</v>
      </c>
      <c r="B2261" s="3"/>
      <c r="C2261" s="3"/>
      <c r="D2261" s="3"/>
      <c r="E2261" s="4" t="str">
        <f>HYPERLINK("https://dpmzos25m8ivg.cloudfront.net/Documentos/631/05133781547/6310513378154708092023072421.pdf","https://dpmzos25m8ivg.cloudfront.net/Documentos/631/05133781547/6310513378154708092023072421.pdf")</f>
        <v>https://dpmzos25m8ivg.cloudfront.net/Documentos/631/05133781547/6310513378154708092023072421.pdf</v>
      </c>
      <c r="F2261" s="5" t="str">
        <f>HYPERLINK("https://dpmzos25m8ivg.cloudfront.net/Documentos/631/05133781547/6310513378154708092023072432.pdf","https://dpmzos25m8ivg.cloudfront.net/Documentos/631/05133781547/6310513378154708092023072432.pdf")</f>
        <v>https://dpmzos25m8ivg.cloudfront.net/Documentos/631/05133781547/6310513378154708092023072432.pdf</v>
      </c>
      <c r="G2261" s="5" t="str">
        <f>HYPERLINK("https://dpmzos25m8ivg.cloudfront.net/Documentos/631/05133781547/6310513378154708092023072445.pdf","https://dpmzos25m8ivg.cloudfront.net/Documentos/631/05133781547/6310513378154708092023072445.pdf")</f>
        <v>https://dpmzos25m8ivg.cloudfront.net/Documentos/631/05133781547/6310513378154708092023072445.pdf</v>
      </c>
      <c r="H2261" s="4" t="s">
        <v>10840</v>
      </c>
    </row>
    <row r="2262" spans="1:8" x14ac:dyDescent="0.25">
      <c r="A2262" s="2" t="s">
        <v>2276</v>
      </c>
      <c r="B2262" s="3" t="s">
        <v>8</v>
      </c>
      <c r="C2262" s="3"/>
      <c r="D2262" s="3"/>
      <c r="E2262" s="4" t="str">
        <f>HYPERLINK("https://dpmzos25m8ivg.cloudfront.net/Documentos/631/05133913478/6310513391347805092023202534.jpg","https://dpmzos25m8ivg.cloudfront.net/Documentos/631/05133913478/6310513391347805092023202534.jpg")</f>
        <v>https://dpmzos25m8ivg.cloudfront.net/Documentos/631/05133913478/6310513391347805092023202534.jpg</v>
      </c>
      <c r="F2262" s="5" t="str">
        <f>HYPERLINK("https://dpmzos25m8ivg.cloudfront.net/Documentos/631/05133913478/6310513391347805092023202601.jpg","https://dpmzos25m8ivg.cloudfront.net/Documentos/631/05133913478/6310513391347805092023202601.jpg")</f>
        <v>https://dpmzos25m8ivg.cloudfront.net/Documentos/631/05133913478/6310513391347805092023202601.jpg</v>
      </c>
      <c r="G2262" s="5" t="str">
        <f>HYPERLINK("https://dpmzos25m8ivg.cloudfront.net/Documentos/631/05133913478/6310513391347805092023202617.jpg","https://dpmzos25m8ivg.cloudfront.net/Documentos/631/05133913478/6310513391347805092023202617.jpg")</f>
        <v>https://dpmzos25m8ivg.cloudfront.net/Documentos/631/05133913478/6310513391347805092023202617.jpg</v>
      </c>
      <c r="H2262" s="4" t="s">
        <v>10841</v>
      </c>
    </row>
    <row r="2263" spans="1:8" x14ac:dyDescent="0.25">
      <c r="A2263" s="2" t="s">
        <v>2277</v>
      </c>
      <c r="B2263" s="3"/>
      <c r="C2263" s="3"/>
      <c r="D2263" s="3"/>
      <c r="E2263" s="4" t="str">
        <f>HYPERLINK("https://dpmzos25m8ivg.cloudfront.net/Documentos/631/05140229145/6310514022914507092023193812.jpg","https://dpmzos25m8ivg.cloudfront.net/Documentos/631/05140229145/6310514022914507092023193812.jpg")</f>
        <v>https://dpmzos25m8ivg.cloudfront.net/Documentos/631/05140229145/6310514022914507092023193812.jpg</v>
      </c>
      <c r="F2263" s="5" t="str">
        <f>HYPERLINK("https://dpmzos25m8ivg.cloudfront.net/Documentos/631/05140229145/6310514022914507092023193826.jpg","https://dpmzos25m8ivg.cloudfront.net/Documentos/631/05140229145/6310514022914507092023193826.jpg")</f>
        <v>https://dpmzos25m8ivg.cloudfront.net/Documentos/631/05140229145/6310514022914507092023193826.jpg</v>
      </c>
      <c r="G2263" s="5" t="str">
        <f>HYPERLINK("https://dpmzos25m8ivg.cloudfront.net/Documentos/631/05140229145/6310514022914507092023193840.jpg","https://dpmzos25m8ivg.cloudfront.net/Documentos/631/05140229145/6310514022914507092023193840.jpg")</f>
        <v>https://dpmzos25m8ivg.cloudfront.net/Documentos/631/05140229145/6310514022914507092023193840.jpg</v>
      </c>
      <c r="H2263" s="4" t="s">
        <v>10842</v>
      </c>
    </row>
    <row r="2264" spans="1:8" x14ac:dyDescent="0.25">
      <c r="A2264" s="2" t="s">
        <v>2278</v>
      </c>
      <c r="B2264" s="3"/>
      <c r="C2264" s="3"/>
      <c r="D2264" s="3"/>
      <c r="E2264" s="4" t="str">
        <f>HYPERLINK("https://dpmzos25m8ivg.cloudfront.net/Documentos/631/05141816486/6310514181648608092023003701.pdf","https://dpmzos25m8ivg.cloudfront.net/Documentos/631/05141816486/6310514181648608092023003701.pdf")</f>
        <v>https://dpmzos25m8ivg.cloudfront.net/Documentos/631/05141816486/6310514181648608092023003701.pdf</v>
      </c>
      <c r="F2264" s="5" t="str">
        <f>HYPERLINK("https://dpmzos25m8ivg.cloudfront.net/Documentos/631/05141816486/6310514181648608092023003710.pdf","https://dpmzos25m8ivg.cloudfront.net/Documentos/631/05141816486/6310514181648608092023003710.pdf")</f>
        <v>https://dpmzos25m8ivg.cloudfront.net/Documentos/631/05141816486/6310514181648608092023003710.pdf</v>
      </c>
      <c r="G2264" s="5" t="str">
        <f>HYPERLINK("https://dpmzos25m8ivg.cloudfront.net/Documentos/631/05141816486/6310514181648608092023003727.pdf","https://dpmzos25m8ivg.cloudfront.net/Documentos/631/05141816486/6310514181648608092023003727.pdf")</f>
        <v>https://dpmzos25m8ivg.cloudfront.net/Documentos/631/05141816486/6310514181648608092023003727.pdf</v>
      </c>
      <c r="H2264" s="4" t="s">
        <v>10843</v>
      </c>
    </row>
    <row r="2265" spans="1:8" x14ac:dyDescent="0.25">
      <c r="A2265" s="2" t="s">
        <v>2279</v>
      </c>
      <c r="B2265" s="3"/>
      <c r="C2265" s="3"/>
      <c r="D2265" s="3"/>
      <c r="E2265" s="4" t="str">
        <f>HYPERLINK("https://dpmzos25m8ivg.cloudfront.net/Documentos/631/05144462260/6310514446226010092023225428.pdf","https://dpmzos25m8ivg.cloudfront.net/Documentos/631/05144462260/6310514446226010092023225428.pdf")</f>
        <v>https://dpmzos25m8ivg.cloudfront.net/Documentos/631/05144462260/6310514446226010092023225428.pdf</v>
      </c>
      <c r="F2265" s="5" t="str">
        <f>HYPERLINK("https://dpmzos25m8ivg.cloudfront.net/Documentos/631/05144462260/6310514446226010092023225439.pdf","https://dpmzos25m8ivg.cloudfront.net/Documentos/631/05144462260/6310514446226010092023225439.pdf")</f>
        <v>https://dpmzos25m8ivg.cloudfront.net/Documentos/631/05144462260/6310514446226010092023225439.pdf</v>
      </c>
      <c r="G2265" s="5" t="str">
        <f>HYPERLINK("https://dpmzos25m8ivg.cloudfront.net/Documentos/631/05144462260/6310514446226010092023225458.pdf","https://dpmzos25m8ivg.cloudfront.net/Documentos/631/05144462260/6310514446226010092023225458.pdf")</f>
        <v>https://dpmzos25m8ivg.cloudfront.net/Documentos/631/05144462260/6310514446226010092023225458.pdf</v>
      </c>
      <c r="H2265" s="4" t="s">
        <v>10844</v>
      </c>
    </row>
    <row r="2266" spans="1:8" x14ac:dyDescent="0.25">
      <c r="A2266" s="2" t="s">
        <v>2280</v>
      </c>
      <c r="B2266" s="3" t="s">
        <v>8</v>
      </c>
      <c r="C2266" s="3"/>
      <c r="D2266" s="3"/>
      <c r="E2266" s="4" t="str">
        <f>HYPERLINK("https://dpmzos25m8ivg.cloudfront.net/Documentos/631/05144472575/6310514447257506092023093306.pdf","https://dpmzos25m8ivg.cloudfront.net/Documentos/631/05144472575/6310514447257506092023093306.pdf")</f>
        <v>https://dpmzos25m8ivg.cloudfront.net/Documentos/631/05144472575/6310514447257506092023093306.pdf</v>
      </c>
      <c r="F2266" s="5" t="str">
        <f>HYPERLINK("https://dpmzos25m8ivg.cloudfront.net/Documentos/631/05144472575/6310514447257506092023093318.pdf","https://dpmzos25m8ivg.cloudfront.net/Documentos/631/05144472575/6310514447257506092023093318.pdf")</f>
        <v>https://dpmzos25m8ivg.cloudfront.net/Documentos/631/05144472575/6310514447257506092023093318.pdf</v>
      </c>
      <c r="G2266" s="5" t="str">
        <f>HYPERLINK("https://dpmzos25m8ivg.cloudfront.net/Documentos/631/05144472575/6310514447257506092023093332.pdf","https://dpmzos25m8ivg.cloudfront.net/Documentos/631/05144472575/6310514447257506092023093332.pdf")</f>
        <v>https://dpmzos25m8ivg.cloudfront.net/Documentos/631/05144472575/6310514447257506092023093332.pdf</v>
      </c>
      <c r="H2266" s="4" t="s">
        <v>10845</v>
      </c>
    </row>
    <row r="2267" spans="1:8" x14ac:dyDescent="0.25">
      <c r="A2267" s="2" t="s">
        <v>2281</v>
      </c>
      <c r="B2267" s="3"/>
      <c r="C2267" s="3"/>
      <c r="D2267" s="3"/>
      <c r="E2267" s="4" t="str">
        <f>HYPERLINK("https://dpmzos25m8ivg.cloudfront.net/Documentos/631/05146131570/6310514613157011092023131118.pdf","https://dpmzos25m8ivg.cloudfront.net/Documentos/631/05146131570/6310514613157011092023131118.pdf")</f>
        <v>https://dpmzos25m8ivg.cloudfront.net/Documentos/631/05146131570/6310514613157011092023131118.pdf</v>
      </c>
      <c r="F2267" s="5" t="str">
        <f>HYPERLINK("https://dpmzos25m8ivg.cloudfront.net/Documentos/631/05146131570/6310514613157011092023131128.pdf","https://dpmzos25m8ivg.cloudfront.net/Documentos/631/05146131570/6310514613157011092023131128.pdf")</f>
        <v>https://dpmzos25m8ivg.cloudfront.net/Documentos/631/05146131570/6310514613157011092023131128.pdf</v>
      </c>
      <c r="G2267" s="5" t="str">
        <f>HYPERLINK("https://dpmzos25m8ivg.cloudfront.net/Documentos/631/05146131570/6310514613157011092023131153.pdf","https://dpmzos25m8ivg.cloudfront.net/Documentos/631/05146131570/6310514613157011092023131153.pdf")</f>
        <v>https://dpmzos25m8ivg.cloudfront.net/Documentos/631/05146131570/6310514613157011092023131153.pdf</v>
      </c>
      <c r="H2267" s="4" t="s">
        <v>10846</v>
      </c>
    </row>
    <row r="2268" spans="1:8" x14ac:dyDescent="0.25">
      <c r="A2268" s="2" t="s">
        <v>2282</v>
      </c>
      <c r="B2268" s="3" t="s">
        <v>2283</v>
      </c>
      <c r="C2268" s="3"/>
      <c r="D2268" s="3"/>
      <c r="E2268" s="4" t="str">
        <f>HYPERLINK("https://dpmzos25m8ivg.cloudfront.net/Documentos/631/05146434123/6310514643412311092023144414.pdf","https://dpmzos25m8ivg.cloudfront.net/Documentos/631/05146434123/6310514643412311092023144414.pdf")</f>
        <v>https://dpmzos25m8ivg.cloudfront.net/Documentos/631/05146434123/6310514643412311092023144414.pdf</v>
      </c>
      <c r="F2268" s="5" t="str">
        <f>HYPERLINK("https://dpmzos25m8ivg.cloudfront.net/Documentos/631/05146434123/6310514643412311092023144419.pdf","https://dpmzos25m8ivg.cloudfront.net/Documentos/631/05146434123/6310514643412311092023144419.pdf")</f>
        <v>https://dpmzos25m8ivg.cloudfront.net/Documentos/631/05146434123/6310514643412311092023144419.pdf</v>
      </c>
      <c r="G2268" s="5" t="str">
        <f>HYPERLINK("https://dpmzos25m8ivg.cloudfront.net/Documentos/631/05146434123/6310514643412311092023144436.pdf","https://dpmzos25m8ivg.cloudfront.net/Documentos/631/05146434123/6310514643412311092023144436.pdf")</f>
        <v>https://dpmzos25m8ivg.cloudfront.net/Documentos/631/05146434123/6310514643412311092023144436.pdf</v>
      </c>
      <c r="H2268" s="4" t="s">
        <v>10847</v>
      </c>
    </row>
    <row r="2269" spans="1:8" x14ac:dyDescent="0.25">
      <c r="A2269" s="2" t="s">
        <v>2284</v>
      </c>
      <c r="B2269" s="3"/>
      <c r="C2269" s="3"/>
      <c r="D2269" s="3"/>
      <c r="E2269" s="4" t="str">
        <f>HYPERLINK("https://dpmzos25m8ivg.cloudfront.net/Documentos/631/05147628533/6310514762853310092023223518.pdf","https://dpmzos25m8ivg.cloudfront.net/Documentos/631/05147628533/6310514762853310092023223518.pdf")</f>
        <v>https://dpmzos25m8ivg.cloudfront.net/Documentos/631/05147628533/6310514762853310092023223518.pdf</v>
      </c>
      <c r="F2269" s="5" t="str">
        <f>HYPERLINK("https://dpmzos25m8ivg.cloudfront.net/Documentos/631/05147628533/6310514762853310092023223525.pdf","https://dpmzos25m8ivg.cloudfront.net/Documentos/631/05147628533/6310514762853310092023223525.pdf")</f>
        <v>https://dpmzos25m8ivg.cloudfront.net/Documentos/631/05147628533/6310514762853310092023223525.pdf</v>
      </c>
      <c r="G2269" s="5" t="str">
        <f>HYPERLINK("https://dpmzos25m8ivg.cloudfront.net/Documentos/631/05147628533/6310514762853310092023223532.pdf","https://dpmzos25m8ivg.cloudfront.net/Documentos/631/05147628533/6310514762853310092023223532.pdf")</f>
        <v>https://dpmzos25m8ivg.cloudfront.net/Documentos/631/05147628533/6310514762853310092023223532.pdf</v>
      </c>
      <c r="H2269" s="4" t="s">
        <v>10848</v>
      </c>
    </row>
    <row r="2270" spans="1:8" x14ac:dyDescent="0.25">
      <c r="A2270" s="2" t="s">
        <v>2285</v>
      </c>
      <c r="B2270" s="3" t="s">
        <v>8</v>
      </c>
      <c r="C2270" s="3"/>
      <c r="D2270" s="3"/>
      <c r="E2270" s="4" t="str">
        <f>HYPERLINK("https://dpmzos25m8ivg.cloudfront.net/Documentos/631/05147769510/6310514776951011092023155551.pdf","https://dpmzos25m8ivg.cloudfront.net/Documentos/631/05147769510/6310514776951011092023155551.pdf")</f>
        <v>https://dpmzos25m8ivg.cloudfront.net/Documentos/631/05147769510/6310514776951011092023155551.pdf</v>
      </c>
      <c r="F2270" s="5" t="str">
        <f>HYPERLINK("https://dpmzos25m8ivg.cloudfront.net/Documentos/631/05147769510/6310514776951011092023155806.pdf","https://dpmzos25m8ivg.cloudfront.net/Documentos/631/05147769510/6310514776951011092023155806.pdf")</f>
        <v>https://dpmzos25m8ivg.cloudfront.net/Documentos/631/05147769510/6310514776951011092023155806.pdf</v>
      </c>
      <c r="G2270" s="5" t="str">
        <f>HYPERLINK("https://dpmzos25m8ivg.cloudfront.net/Documentos/631/05147769510/6310514776951011092023160003.pdf","https://dpmzos25m8ivg.cloudfront.net/Documentos/631/05147769510/6310514776951011092023160003.pdf")</f>
        <v>https://dpmzos25m8ivg.cloudfront.net/Documentos/631/05147769510/6310514776951011092023160003.pdf</v>
      </c>
      <c r="H2270" s="4" t="s">
        <v>10849</v>
      </c>
    </row>
    <row r="2271" spans="1:8" x14ac:dyDescent="0.25">
      <c r="A2271" s="2" t="s">
        <v>2286</v>
      </c>
      <c r="B2271" s="3"/>
      <c r="C2271" s="3"/>
      <c r="D2271" s="3"/>
      <c r="E2271" s="4" t="str">
        <f>HYPERLINK("https://dpmzos25m8ivg.cloudfront.net/Documentos/631/05148038195/6310514803819511092023151823.jpg","https://dpmzos25m8ivg.cloudfront.net/Documentos/631/05148038195/6310514803819511092023151823.jpg")</f>
        <v>https://dpmzos25m8ivg.cloudfront.net/Documentos/631/05148038195/6310514803819511092023151823.jpg</v>
      </c>
      <c r="F2271" s="5" t="str">
        <f>HYPERLINK("https://dpmzos25m8ivg.cloudfront.net/Documentos/631/05148038195/6310514803819511092023151847.jpg","https://dpmzos25m8ivg.cloudfront.net/Documentos/631/05148038195/6310514803819511092023151847.jpg")</f>
        <v>https://dpmzos25m8ivg.cloudfront.net/Documentos/631/05148038195/6310514803819511092023151847.jpg</v>
      </c>
      <c r="G2271" s="5" t="str">
        <f>HYPERLINK("https://dpmzos25m8ivg.cloudfront.net/Documentos/631/05148038195/6310514803819511092023151916.jpg","https://dpmzos25m8ivg.cloudfront.net/Documentos/631/05148038195/6310514803819511092023151916.jpg")</f>
        <v>https://dpmzos25m8ivg.cloudfront.net/Documentos/631/05148038195/6310514803819511092023151916.jpg</v>
      </c>
      <c r="H2271" s="4" t="s">
        <v>10850</v>
      </c>
    </row>
    <row r="2272" spans="1:8" x14ac:dyDescent="0.25">
      <c r="A2272" s="2" t="s">
        <v>2287</v>
      </c>
      <c r="B2272" s="3"/>
      <c r="C2272" s="3"/>
      <c r="D2272" s="3"/>
      <c r="E2272" s="4" t="str">
        <f>HYPERLINK("https://dpmzos25m8ivg.cloudfront.net/Documentos/631/05149994707/6310514999470708092023110559.pdf","https://dpmzos25m8ivg.cloudfront.net/Documentos/631/05149994707/6310514999470708092023110559.pdf")</f>
        <v>https://dpmzos25m8ivg.cloudfront.net/Documentos/631/05149994707/6310514999470708092023110559.pdf</v>
      </c>
      <c r="F2272" s="5" t="str">
        <f>HYPERLINK("https://dpmzos25m8ivg.cloudfront.net/Documentos/631/05149994707/6310514999470708092023110621.pdf","https://dpmzos25m8ivg.cloudfront.net/Documentos/631/05149994707/6310514999470708092023110621.pdf")</f>
        <v>https://dpmzos25m8ivg.cloudfront.net/Documentos/631/05149994707/6310514999470708092023110621.pdf</v>
      </c>
      <c r="G2272" s="5" t="str">
        <f>HYPERLINK("https://dpmzos25m8ivg.cloudfront.net/Documentos/631/05149994707/6310514999470708092023110635.pdf","https://dpmzos25m8ivg.cloudfront.net/Documentos/631/05149994707/6310514999470708092023110635.pdf")</f>
        <v>https://dpmzos25m8ivg.cloudfront.net/Documentos/631/05149994707/6310514999470708092023110635.pdf</v>
      </c>
      <c r="H2272" s="4" t="s">
        <v>10851</v>
      </c>
    </row>
    <row r="2273" spans="1:8" x14ac:dyDescent="0.25">
      <c r="A2273" s="2" t="s">
        <v>2288</v>
      </c>
      <c r="B2273" s="3"/>
      <c r="C2273" s="3"/>
      <c r="D2273" s="3"/>
      <c r="E2273" s="4" t="str">
        <f>HYPERLINK("https://dpmzos25m8ivg.cloudfront.net/Documentos/631/05150805190/6310515080519006092023160616.pdf","https://dpmzos25m8ivg.cloudfront.net/Documentos/631/05150805190/6310515080519006092023160616.pdf")</f>
        <v>https://dpmzos25m8ivg.cloudfront.net/Documentos/631/05150805190/6310515080519006092023160616.pdf</v>
      </c>
      <c r="F2273" s="5" t="str">
        <f>HYPERLINK("https://dpmzos25m8ivg.cloudfront.net/Documentos/631/05150805190/6310515080519006092023160636.pdf","https://dpmzos25m8ivg.cloudfront.net/Documentos/631/05150805190/6310515080519006092023160636.pdf")</f>
        <v>https://dpmzos25m8ivg.cloudfront.net/Documentos/631/05150805190/6310515080519006092023160636.pdf</v>
      </c>
      <c r="G2273" s="5" t="str">
        <f>HYPERLINK("https://dpmzos25m8ivg.cloudfront.net/Documentos/631/05150805190/6310515080519006092023160657.pdf","https://dpmzos25m8ivg.cloudfront.net/Documentos/631/05150805190/6310515080519006092023160657.pdf")</f>
        <v>https://dpmzos25m8ivg.cloudfront.net/Documentos/631/05150805190/6310515080519006092023160657.pdf</v>
      </c>
      <c r="H2273" s="4" t="s">
        <v>10852</v>
      </c>
    </row>
    <row r="2274" spans="1:8" x14ac:dyDescent="0.25">
      <c r="A2274" s="2" t="s">
        <v>2289</v>
      </c>
      <c r="B2274" s="3"/>
      <c r="C2274" s="3"/>
      <c r="D2274" s="3"/>
      <c r="E2274" s="4" t="str">
        <f>HYPERLINK("https://dpmzos25m8ivg.cloudfront.net/Documentos/631/05155068932/6310515506893210092023192429.pdf","https://dpmzos25m8ivg.cloudfront.net/Documentos/631/05155068932/6310515506893210092023192429.pdf")</f>
        <v>https://dpmzos25m8ivg.cloudfront.net/Documentos/631/05155068932/6310515506893210092023192429.pdf</v>
      </c>
      <c r="F2274" s="5" t="str">
        <f>HYPERLINK("https://dpmzos25m8ivg.cloudfront.net/Documentos/631/05155068932/6310515506893210092023192926.pdf","https://dpmzos25m8ivg.cloudfront.net/Documentos/631/05155068932/6310515506893210092023192926.pdf")</f>
        <v>https://dpmzos25m8ivg.cloudfront.net/Documentos/631/05155068932/6310515506893210092023192926.pdf</v>
      </c>
      <c r="G2274" s="5" t="str">
        <f>HYPERLINK("https://dpmzos25m8ivg.cloudfront.net/Documentos/631/05155068932/6310515506893210092023193802.pdf","https://dpmzos25m8ivg.cloudfront.net/Documentos/631/05155068932/6310515506893210092023193802.pdf")</f>
        <v>https://dpmzos25m8ivg.cloudfront.net/Documentos/631/05155068932/6310515506893210092023193802.pdf</v>
      </c>
      <c r="H2274" s="4" t="s">
        <v>10853</v>
      </c>
    </row>
    <row r="2275" spans="1:8" x14ac:dyDescent="0.25">
      <c r="A2275" s="2" t="s">
        <v>2290</v>
      </c>
      <c r="B2275" s="3" t="s">
        <v>42</v>
      </c>
      <c r="C2275" s="3"/>
      <c r="D2275" s="3"/>
      <c r="E2275" s="4" t="str">
        <f>HYPERLINK("https://dpmzos25m8ivg.cloudfront.net/Documentos/631/05157336284/6310515733628411092023145111.pdf","https://dpmzos25m8ivg.cloudfront.net/Documentos/631/05157336284/6310515733628411092023145111.pdf")</f>
        <v>https://dpmzos25m8ivg.cloudfront.net/Documentos/631/05157336284/6310515733628411092023145111.pdf</v>
      </c>
      <c r="F2275" s="5" t="str">
        <f>HYPERLINK("https://dpmzos25m8ivg.cloudfront.net/Documentos/631/05157336284/6310515733628411092023145119.pdf","https://dpmzos25m8ivg.cloudfront.net/Documentos/631/05157336284/6310515733628411092023145119.pdf")</f>
        <v>https://dpmzos25m8ivg.cloudfront.net/Documentos/631/05157336284/6310515733628411092023145119.pdf</v>
      </c>
      <c r="G2275" s="5" t="str">
        <f>HYPERLINK("https://dpmzos25m8ivg.cloudfront.net/Documentos/631/05157336284/6310515733628411092023145131.pdf","https://dpmzos25m8ivg.cloudfront.net/Documentos/631/05157336284/6310515733628411092023145131.pdf")</f>
        <v>https://dpmzos25m8ivg.cloudfront.net/Documentos/631/05157336284/6310515733628411092023145131.pdf</v>
      </c>
      <c r="H2275" s="4" t="s">
        <v>10854</v>
      </c>
    </row>
    <row r="2276" spans="1:8" x14ac:dyDescent="0.25">
      <c r="A2276" s="2" t="s">
        <v>2291</v>
      </c>
      <c r="B2276" s="3"/>
      <c r="C2276" s="3"/>
      <c r="D2276" s="3"/>
      <c r="E2276" s="4" t="str">
        <f>HYPERLINK("https://dpmzos25m8ivg.cloudfront.net/Documentos/631/05157414188/6310515741418811092023151015.pdf","https://dpmzos25m8ivg.cloudfront.net/Documentos/631/05157414188/6310515741418811092023151015.pdf")</f>
        <v>https://dpmzos25m8ivg.cloudfront.net/Documentos/631/05157414188/6310515741418811092023151015.pdf</v>
      </c>
      <c r="F2276" s="5" t="str">
        <f>HYPERLINK("https://dpmzos25m8ivg.cloudfront.net/Documentos/631/05157414188/6310515741418811092023151023.pdf","https://dpmzos25m8ivg.cloudfront.net/Documentos/631/05157414188/6310515741418811092023151023.pdf")</f>
        <v>https://dpmzos25m8ivg.cloudfront.net/Documentos/631/05157414188/6310515741418811092023151023.pdf</v>
      </c>
      <c r="G2276" s="5" t="str">
        <f>HYPERLINK("https://dpmzos25m8ivg.cloudfront.net/Documentos/631/05157414188/6310515741418811092023151030.pdf","https://dpmzos25m8ivg.cloudfront.net/Documentos/631/05157414188/6310515741418811092023151030.pdf")</f>
        <v>https://dpmzos25m8ivg.cloudfront.net/Documentos/631/05157414188/6310515741418811092023151030.pdf</v>
      </c>
      <c r="H2276" s="4" t="s">
        <v>10855</v>
      </c>
    </row>
    <row r="2277" spans="1:8" x14ac:dyDescent="0.25">
      <c r="A2277" s="2" t="s">
        <v>2292</v>
      </c>
      <c r="B2277" s="3"/>
      <c r="C2277" s="3"/>
      <c r="D2277" s="3"/>
      <c r="E2277" s="4" t="str">
        <f>HYPERLINK("https://dpmzos25m8ivg.cloudfront.net/Documentos/631/05158293406/6310515829340605092023140701.jpg","https://dpmzos25m8ivg.cloudfront.net/Documentos/631/05158293406/6310515829340605092023140701.jpg")</f>
        <v>https://dpmzos25m8ivg.cloudfront.net/Documentos/631/05158293406/6310515829340605092023140701.jpg</v>
      </c>
      <c r="F2277" s="5" t="str">
        <f>HYPERLINK("https://dpmzos25m8ivg.cloudfront.net/Documentos/631/05158293406/6310515829340605092023140723.jpg","https://dpmzos25m8ivg.cloudfront.net/Documentos/631/05158293406/6310515829340605092023140723.jpg")</f>
        <v>https://dpmzos25m8ivg.cloudfront.net/Documentos/631/05158293406/6310515829340605092023140723.jpg</v>
      </c>
      <c r="G2277" s="5" t="str">
        <f>HYPERLINK("https://dpmzos25m8ivg.cloudfront.net/Documentos/631/05158293406/6310515829340605092023140738.jpg","https://dpmzos25m8ivg.cloudfront.net/Documentos/631/05158293406/6310515829340605092023140738.jpg")</f>
        <v>https://dpmzos25m8ivg.cloudfront.net/Documentos/631/05158293406/6310515829340605092023140738.jpg</v>
      </c>
      <c r="H2277" s="4" t="s">
        <v>10856</v>
      </c>
    </row>
    <row r="2278" spans="1:8" x14ac:dyDescent="0.25">
      <c r="A2278" s="2" t="s">
        <v>2293</v>
      </c>
      <c r="B2278" s="3"/>
      <c r="C2278" s="3"/>
      <c r="D2278" s="3"/>
      <c r="E2278" s="4" t="str">
        <f>HYPERLINK("https://dpmzos25m8ivg.cloudfront.net/Documentos/631/05158421501/6310515842150110092023222856.pdf","https://dpmzos25m8ivg.cloudfront.net/Documentos/631/05158421501/6310515842150110092023222856.pdf")</f>
        <v>https://dpmzos25m8ivg.cloudfront.net/Documentos/631/05158421501/6310515842150110092023222856.pdf</v>
      </c>
      <c r="F2278" s="5" t="str">
        <f>HYPERLINK("https://dpmzos25m8ivg.cloudfront.net/Documentos/631/05158421501/6310515842150110092023222913.pdf","https://dpmzos25m8ivg.cloudfront.net/Documentos/631/05158421501/6310515842150110092023222913.pdf")</f>
        <v>https://dpmzos25m8ivg.cloudfront.net/Documentos/631/05158421501/6310515842150110092023222913.pdf</v>
      </c>
      <c r="G2278" s="5" t="str">
        <f>HYPERLINK("https://dpmzos25m8ivg.cloudfront.net/Documentos/631/05158421501/6310515842150110092023222925.pdf","https://dpmzos25m8ivg.cloudfront.net/Documentos/631/05158421501/6310515842150110092023222925.pdf")</f>
        <v>https://dpmzos25m8ivg.cloudfront.net/Documentos/631/05158421501/6310515842150110092023222925.pdf</v>
      </c>
      <c r="H2278" s="4" t="s">
        <v>10857</v>
      </c>
    </row>
    <row r="2279" spans="1:8" x14ac:dyDescent="0.25">
      <c r="A2279" s="2" t="s">
        <v>2294</v>
      </c>
      <c r="B2279" s="3"/>
      <c r="C2279" s="3"/>
      <c r="D2279" s="3"/>
      <c r="E2279" s="4" t="str">
        <f>HYPERLINK("https://dpmzos25m8ivg.cloudfront.net/Documentos/631/05159656421/6310515965642114092023150047.pdf","https://dpmzos25m8ivg.cloudfront.net/Documentos/631/05159656421/6310515965642114092023150047.pdf")</f>
        <v>https://dpmzos25m8ivg.cloudfront.net/Documentos/631/05159656421/6310515965642114092023150047.pdf</v>
      </c>
      <c r="F2279" s="5" t="str">
        <f>HYPERLINK("https://dpmzos25m8ivg.cloudfront.net/Documentos/631/05159656421/6310515965642114092023150057.pdf","https://dpmzos25m8ivg.cloudfront.net/Documentos/631/05159656421/6310515965642114092023150057.pdf")</f>
        <v>https://dpmzos25m8ivg.cloudfront.net/Documentos/631/05159656421/6310515965642114092023150057.pdf</v>
      </c>
      <c r="G2279" s="5" t="str">
        <f>HYPERLINK("https://dpmzos25m8ivg.cloudfront.net/Documentos/631/05159656421/6310515965642114092023150106.pdf","https://dpmzos25m8ivg.cloudfront.net/Documentos/631/05159656421/6310515965642114092023150106.pdf")</f>
        <v>https://dpmzos25m8ivg.cloudfront.net/Documentos/631/05159656421/6310515965642114092023150106.pdf</v>
      </c>
      <c r="H2279" s="4" t="s">
        <v>10858</v>
      </c>
    </row>
    <row r="2280" spans="1:8" x14ac:dyDescent="0.25">
      <c r="A2280" s="2" t="s">
        <v>2295</v>
      </c>
      <c r="B2280" s="3"/>
      <c r="C2280" s="3"/>
      <c r="D2280" s="3"/>
      <c r="E2280" s="4" t="str">
        <f>HYPERLINK("https://dpmzos25m8ivg.cloudfront.net/Documentos/631/05159930507/6310515993050714092023144039.jpg","https://dpmzos25m8ivg.cloudfront.net/Documentos/631/05159930507/6310515993050714092023144039.jpg")</f>
        <v>https://dpmzos25m8ivg.cloudfront.net/Documentos/631/05159930507/6310515993050714092023144039.jpg</v>
      </c>
      <c r="F2280" s="5" t="str">
        <f>HYPERLINK("https://dpmzos25m8ivg.cloudfront.net/Documentos/631/05159930507/6310515993050714092023144057.jpg","https://dpmzos25m8ivg.cloudfront.net/Documentos/631/05159930507/6310515993050714092023144057.jpg")</f>
        <v>https://dpmzos25m8ivg.cloudfront.net/Documentos/631/05159930507/6310515993050714092023144057.jpg</v>
      </c>
      <c r="G2280" s="5" t="str">
        <f>HYPERLINK("https://dpmzos25m8ivg.cloudfront.net/Documentos/631/05159930507/6310515993050714092023144112.jpg","https://dpmzos25m8ivg.cloudfront.net/Documentos/631/05159930507/6310515993050714092023144112.jpg")</f>
        <v>https://dpmzos25m8ivg.cloudfront.net/Documentos/631/05159930507/6310515993050714092023144112.jpg</v>
      </c>
      <c r="H2280" s="4" t="s">
        <v>10859</v>
      </c>
    </row>
    <row r="2281" spans="1:8" x14ac:dyDescent="0.25">
      <c r="A2281" s="2" t="s">
        <v>2296</v>
      </c>
      <c r="B2281" s="3"/>
      <c r="C2281" s="3"/>
      <c r="D2281" s="3"/>
      <c r="E2281" s="5" t="str">
        <f>HYPERLINK("https://dpmzos25m8ivg.cloudfront.net/Documentos/631/05161209569/6310516120956905092023203621.pdf","https://dpmzos25m8ivg.cloudfront.net/Documentos/631/05161209569/6310516120956905092023203621.pdf")</f>
        <v>https://dpmzos25m8ivg.cloudfront.net/Documentos/631/05161209569/6310516120956905092023203621.pdf</v>
      </c>
      <c r="F2281" s="5" t="str">
        <f>HYPERLINK("https://dpmzos25m8ivg.cloudfront.net/Documentos/631/05161209569/6310516120956905092023203715.pdf","https://dpmzos25m8ivg.cloudfront.net/Documentos/631/05161209569/6310516120956905092023203715.pdf")</f>
        <v>https://dpmzos25m8ivg.cloudfront.net/Documentos/631/05161209569/6310516120956905092023203715.pdf</v>
      </c>
      <c r="G2281" s="5" t="str">
        <f>HYPERLINK("https://dpmzos25m8ivg.cloudfront.net/Documentos/631/05161209569/6310516120956905092023203750.pdf","https://dpmzos25m8ivg.cloudfront.net/Documentos/631/05161209569/6310516120956905092023203750.pdf")</f>
        <v>https://dpmzos25m8ivg.cloudfront.net/Documentos/631/05161209569/6310516120956905092023203750.pdf</v>
      </c>
      <c r="H2281" s="5" t="s">
        <v>10860</v>
      </c>
    </row>
    <row r="2282" spans="1:8" x14ac:dyDescent="0.25">
      <c r="A2282" s="2" t="s">
        <v>2297</v>
      </c>
      <c r="B2282" s="3"/>
      <c r="C2282" s="3"/>
      <c r="D2282" s="3"/>
      <c r="E2282" s="5" t="str">
        <f>HYPERLINK("https://dpmzos25m8ivg.cloudfront.net/Documentos/631/05162711306/6310516271130610092023112557.pdf","https://dpmzos25m8ivg.cloudfront.net/Documentos/631/05162711306/6310516271130610092023112557.pdf")</f>
        <v>https://dpmzos25m8ivg.cloudfront.net/Documentos/631/05162711306/6310516271130610092023112557.pdf</v>
      </c>
      <c r="F2282" s="5" t="str">
        <f>HYPERLINK("https://dpmzos25m8ivg.cloudfront.net/Documentos/631/05162711306/6310516271130610092023112620.pdf","https://dpmzos25m8ivg.cloudfront.net/Documentos/631/05162711306/6310516271130610092023112620.pdf")</f>
        <v>https://dpmzos25m8ivg.cloudfront.net/Documentos/631/05162711306/6310516271130610092023112620.pdf</v>
      </c>
      <c r="G2282" s="5" t="str">
        <f>HYPERLINK("https://dpmzos25m8ivg.cloudfront.net/Documentos/631/05162711306/6310516271130610092023112632.pdf","https://dpmzos25m8ivg.cloudfront.net/Documentos/631/05162711306/6310516271130610092023112632.pdf")</f>
        <v>https://dpmzos25m8ivg.cloudfront.net/Documentos/631/05162711306/6310516271130610092023112632.pdf</v>
      </c>
      <c r="H2282" s="5" t="s">
        <v>10861</v>
      </c>
    </row>
    <row r="2283" spans="1:8" x14ac:dyDescent="0.25">
      <c r="A2283" s="2" t="s">
        <v>2298</v>
      </c>
      <c r="B2283" s="3"/>
      <c r="C2283" s="3"/>
      <c r="D2283" s="3"/>
      <c r="E2283" s="5" t="str">
        <f>HYPERLINK("https://dpmzos25m8ivg.cloudfront.net/Documentos/631/05163710451/6310516371045111092023155655.pdf","https://dpmzos25m8ivg.cloudfront.net/Documentos/631/05163710451/6310516371045111092023155655.pdf")</f>
        <v>https://dpmzos25m8ivg.cloudfront.net/Documentos/631/05163710451/6310516371045111092023155655.pdf</v>
      </c>
      <c r="F2283" s="5" t="str">
        <f>HYPERLINK("https://dpmzos25m8ivg.cloudfront.net/Documentos/631/05163710451/6310516371045111092023155714.pdf","https://dpmzos25m8ivg.cloudfront.net/Documentos/631/05163710451/6310516371045111092023155714.pdf")</f>
        <v>https://dpmzos25m8ivg.cloudfront.net/Documentos/631/05163710451/6310516371045111092023155714.pdf</v>
      </c>
      <c r="G2283" s="5" t="str">
        <f>HYPERLINK("https://dpmzos25m8ivg.cloudfront.net/Documentos/631/05163710451/6310516371045111092023155725.pdf","https://dpmzos25m8ivg.cloudfront.net/Documentos/631/05163710451/6310516371045111092023155725.pdf")</f>
        <v>https://dpmzos25m8ivg.cloudfront.net/Documentos/631/05163710451/6310516371045111092023155725.pdf</v>
      </c>
      <c r="H2283" s="5" t="s">
        <v>10862</v>
      </c>
    </row>
    <row r="2284" spans="1:8" x14ac:dyDescent="0.25">
      <c r="A2284" s="2" t="s">
        <v>2299</v>
      </c>
      <c r="B2284" s="3"/>
      <c r="C2284" s="3"/>
      <c r="D2284" s="3"/>
      <c r="E2284" s="5" t="str">
        <f>HYPERLINK("https://dpmzos25m8ivg.cloudfront.net/Documentos/631/05166312333/6310516631233308092023132425.pdf","https://dpmzos25m8ivg.cloudfront.net/Documentos/631/05166312333/6310516631233308092023132425.pdf")</f>
        <v>https://dpmzos25m8ivg.cloudfront.net/Documentos/631/05166312333/6310516631233308092023132425.pdf</v>
      </c>
      <c r="F2284" s="5" t="str">
        <f>HYPERLINK("https://dpmzos25m8ivg.cloudfront.net/Documentos/631/05166312333/6310516631233308092023132448.pdf","https://dpmzos25m8ivg.cloudfront.net/Documentos/631/05166312333/6310516631233308092023132448.pdf")</f>
        <v>https://dpmzos25m8ivg.cloudfront.net/Documentos/631/05166312333/6310516631233308092023132448.pdf</v>
      </c>
      <c r="G2284" s="5" t="str">
        <f>HYPERLINK("https://dpmzos25m8ivg.cloudfront.net/Documentos/631/05166312333/6310516631233308092023132505.pdf","https://dpmzos25m8ivg.cloudfront.net/Documentos/631/05166312333/6310516631233308092023132505.pdf")</f>
        <v>https://dpmzos25m8ivg.cloudfront.net/Documentos/631/05166312333/6310516631233308092023132505.pdf</v>
      </c>
      <c r="H2284" s="5" t="s">
        <v>10863</v>
      </c>
    </row>
    <row r="2285" spans="1:8" x14ac:dyDescent="0.25">
      <c r="A2285" s="2" t="s">
        <v>2300</v>
      </c>
      <c r="B2285" s="3"/>
      <c r="C2285" s="3"/>
      <c r="D2285" s="3"/>
      <c r="E2285" s="5" t="str">
        <f>HYPERLINK("https://dpmzos25m8ivg.cloudfront.net/Documentos/631/05166687302/6310516668730206092023222627.pdf","https://dpmzos25m8ivg.cloudfront.net/Documentos/631/05166687302/6310516668730206092023222627.pdf")</f>
        <v>https://dpmzos25m8ivg.cloudfront.net/Documentos/631/05166687302/6310516668730206092023222627.pdf</v>
      </c>
      <c r="F2285" s="5" t="str">
        <f>HYPERLINK("https://dpmzos25m8ivg.cloudfront.net/Documentos/631/05166687302/6310516668730211092023132851.pdf","https://dpmzos25m8ivg.cloudfront.net/Documentos/631/05166687302/6310516668730211092023132851.pdf")</f>
        <v>https://dpmzos25m8ivg.cloudfront.net/Documentos/631/05166687302/6310516668730211092023132851.pdf</v>
      </c>
      <c r="G2285" s="5" t="str">
        <f>HYPERLINK("https://dpmzos25m8ivg.cloudfront.net/Documentos/631/05166687302/6310516668730211092023133125.pdf","https://dpmzos25m8ivg.cloudfront.net/Documentos/631/05166687302/6310516668730211092023133125.pdf")</f>
        <v>https://dpmzos25m8ivg.cloudfront.net/Documentos/631/05166687302/6310516668730211092023133125.pdf</v>
      </c>
      <c r="H2285" s="5" t="s">
        <v>10864</v>
      </c>
    </row>
    <row r="2286" spans="1:8" x14ac:dyDescent="0.25">
      <c r="A2286" s="2" t="s">
        <v>2301</v>
      </c>
      <c r="B2286" s="3"/>
      <c r="C2286" s="3"/>
      <c r="D2286" s="3"/>
      <c r="E2286" s="5" t="str">
        <f>HYPERLINK("https://dpmzos25m8ivg.cloudfront.net/Documentos/631/05168432492/6310516843249210092023182134.jpg","https://dpmzos25m8ivg.cloudfront.net/Documentos/631/05168432492/6310516843249210092023182134.jpg")</f>
        <v>https://dpmzos25m8ivg.cloudfront.net/Documentos/631/05168432492/6310516843249210092023182134.jpg</v>
      </c>
      <c r="F2286" s="5" t="str">
        <f>HYPERLINK("https://dpmzos25m8ivg.cloudfront.net/Documentos/631/05168432492/6310516843249210092023182201.jpg","https://dpmzos25m8ivg.cloudfront.net/Documentos/631/05168432492/6310516843249210092023182201.jpg")</f>
        <v>https://dpmzos25m8ivg.cloudfront.net/Documentos/631/05168432492/6310516843249210092023182201.jpg</v>
      </c>
      <c r="G2286" s="5" t="str">
        <f>HYPERLINK("https://dpmzos25m8ivg.cloudfront.net/Documentos/631/05168432492/6310516843249210092023182228.jpg","https://dpmzos25m8ivg.cloudfront.net/Documentos/631/05168432492/6310516843249210092023182228.jpg")</f>
        <v>https://dpmzos25m8ivg.cloudfront.net/Documentos/631/05168432492/6310516843249210092023182228.jpg</v>
      </c>
      <c r="H2286" s="5" t="s">
        <v>10865</v>
      </c>
    </row>
    <row r="2287" spans="1:8" x14ac:dyDescent="0.25">
      <c r="A2287" s="2" t="s">
        <v>2302</v>
      </c>
      <c r="B2287" s="3"/>
      <c r="C2287" s="3"/>
      <c r="D2287" s="3"/>
      <c r="E2287" s="5" t="str">
        <f>HYPERLINK("https://dpmzos25m8ivg.cloudfront.net/Documentos/631/05168508308/6310516850830811092023160854.pdf","https://dpmzos25m8ivg.cloudfront.net/Documentos/631/05168508308/6310516850830811092023160854.pdf")</f>
        <v>https://dpmzos25m8ivg.cloudfront.net/Documentos/631/05168508308/6310516850830811092023160854.pdf</v>
      </c>
      <c r="F2287" s="5" t="str">
        <f>HYPERLINK("https://dpmzos25m8ivg.cloudfront.net/Documentos/631/05168508308/6310516850830811092023160925.pdf","https://dpmzos25m8ivg.cloudfront.net/Documentos/631/05168508308/6310516850830811092023160925.pdf")</f>
        <v>https://dpmzos25m8ivg.cloudfront.net/Documentos/631/05168508308/6310516850830811092023160925.pdf</v>
      </c>
      <c r="G2287" s="5" t="str">
        <f>HYPERLINK("https://dpmzos25m8ivg.cloudfront.net/Documentos/631/05168508308/6310516850830811092023160948.pdf","https://dpmzos25m8ivg.cloudfront.net/Documentos/631/05168508308/6310516850830811092023160948.pdf")</f>
        <v>https://dpmzos25m8ivg.cloudfront.net/Documentos/631/05168508308/6310516850830811092023160948.pdf</v>
      </c>
      <c r="H2287" s="5" t="s">
        <v>10866</v>
      </c>
    </row>
    <row r="2288" spans="1:8" x14ac:dyDescent="0.25">
      <c r="A2288" s="2" t="s">
        <v>2303</v>
      </c>
      <c r="B2288" s="3"/>
      <c r="C2288" s="3"/>
      <c r="D2288" s="3"/>
      <c r="E2288" s="5" t="str">
        <f>HYPERLINK("https://dpmzos25m8ivg.cloudfront.net/Documentos/631/05170197527/6310517019752711092023163327.jpeg","https://dpmzos25m8ivg.cloudfront.net/Documentos/631/05170197527/6310517019752711092023163327.jpeg")</f>
        <v>https://dpmzos25m8ivg.cloudfront.net/Documentos/631/05170197527/6310517019752711092023163327.jpeg</v>
      </c>
      <c r="F2288" s="5" t="str">
        <f>HYPERLINK("https://dpmzos25m8ivg.cloudfront.net/Documentos/631/05170197527/6310517019752711092023163341.jpeg","https://dpmzos25m8ivg.cloudfront.net/Documentos/631/05170197527/6310517019752711092023163341.jpeg")</f>
        <v>https://dpmzos25m8ivg.cloudfront.net/Documentos/631/05170197527/6310517019752711092023163341.jpeg</v>
      </c>
      <c r="G2288" s="5" t="str">
        <f>HYPERLINK("https://dpmzos25m8ivg.cloudfront.net/Documentos/631/05170197527/6310517019752711092023163403.jpeg","https://dpmzos25m8ivg.cloudfront.net/Documentos/631/05170197527/6310517019752711092023163403.jpeg")</f>
        <v>https://dpmzos25m8ivg.cloudfront.net/Documentos/631/05170197527/6310517019752711092023163403.jpeg</v>
      </c>
      <c r="H2288" s="5" t="s">
        <v>10867</v>
      </c>
    </row>
    <row r="2289" spans="1:8" x14ac:dyDescent="0.25">
      <c r="A2289" s="2" t="s">
        <v>2304</v>
      </c>
      <c r="B2289" s="3"/>
      <c r="C2289" s="3"/>
      <c r="D2289" s="3"/>
      <c r="E2289" s="5" t="str">
        <f>HYPERLINK("https://dpmzos25m8ivg.cloudfront.net/Documentos/631/05170773102/6310517077310207092023153339.pdf","https://dpmzos25m8ivg.cloudfront.net/Documentos/631/05170773102/6310517077310207092023153339.pdf")</f>
        <v>https://dpmzos25m8ivg.cloudfront.net/Documentos/631/05170773102/6310517077310207092023153339.pdf</v>
      </c>
      <c r="F2289" s="5" t="str">
        <f>HYPERLINK("https://dpmzos25m8ivg.cloudfront.net/Documentos/631/05170773102/6310517077310207092023153350.pdf","https://dpmzos25m8ivg.cloudfront.net/Documentos/631/05170773102/6310517077310207092023153350.pdf")</f>
        <v>https://dpmzos25m8ivg.cloudfront.net/Documentos/631/05170773102/6310517077310207092023153350.pdf</v>
      </c>
      <c r="G2289" s="5" t="str">
        <f>HYPERLINK("https://dpmzos25m8ivg.cloudfront.net/Documentos/631/05170773102/6310517077310207092023153401.pdf","https://dpmzos25m8ivg.cloudfront.net/Documentos/631/05170773102/6310517077310207092023153401.pdf")</f>
        <v>https://dpmzos25m8ivg.cloudfront.net/Documentos/631/05170773102/6310517077310207092023153401.pdf</v>
      </c>
      <c r="H2289" s="5" t="s">
        <v>10868</v>
      </c>
    </row>
    <row r="2290" spans="1:8" x14ac:dyDescent="0.25">
      <c r="A2290" s="2" t="s">
        <v>2305</v>
      </c>
      <c r="B2290" s="3"/>
      <c r="C2290" s="3"/>
      <c r="D2290" s="3"/>
      <c r="E2290" s="5" t="str">
        <f>HYPERLINK("https://dpmzos25m8ivg.cloudfront.net/Documentos/631/05171590150/6310517159015006092023121904.pdf","https://dpmzos25m8ivg.cloudfront.net/Documentos/631/05171590150/6310517159015006092023121904.pdf")</f>
        <v>https://dpmzos25m8ivg.cloudfront.net/Documentos/631/05171590150/6310517159015006092023121904.pdf</v>
      </c>
      <c r="F2290" s="5" t="str">
        <f>HYPERLINK("https://dpmzos25m8ivg.cloudfront.net/Documentos/631/05171590150/6310517159015006092023121912.pdf","https://dpmzos25m8ivg.cloudfront.net/Documentos/631/05171590150/6310517159015006092023121912.pdf")</f>
        <v>https://dpmzos25m8ivg.cloudfront.net/Documentos/631/05171590150/6310517159015006092023121912.pdf</v>
      </c>
      <c r="G2290" s="5" t="str">
        <f>HYPERLINK("https://dpmzos25m8ivg.cloudfront.net/Documentos/631/05171590150/6310517159015006092023121950.pdf","https://dpmzos25m8ivg.cloudfront.net/Documentos/631/05171590150/6310517159015006092023121950.pdf")</f>
        <v>https://dpmzos25m8ivg.cloudfront.net/Documentos/631/05171590150/6310517159015006092023121950.pdf</v>
      </c>
      <c r="H2290" s="5" t="s">
        <v>10869</v>
      </c>
    </row>
    <row r="2291" spans="1:8" x14ac:dyDescent="0.25">
      <c r="A2291" s="2" t="s">
        <v>2306</v>
      </c>
      <c r="B2291" s="3"/>
      <c r="C2291" s="3"/>
      <c r="D2291" s="3"/>
      <c r="E2291" s="5" t="str">
        <f>HYPERLINK("https://dpmzos25m8ivg.cloudfront.net/Documentos/631/05172102310/6310517210231009092023100121.jpg","https://dpmzos25m8ivg.cloudfront.net/Documentos/631/05172102310/6310517210231009092023100121.jpg")</f>
        <v>https://dpmzos25m8ivg.cloudfront.net/Documentos/631/05172102310/6310517210231009092023100121.jpg</v>
      </c>
      <c r="F2291" s="5" t="str">
        <f>HYPERLINK("https://dpmzos25m8ivg.cloudfront.net/Documentos/631/05172102310/6310517210231009092023100139.jpg","https://dpmzos25m8ivg.cloudfront.net/Documentos/631/05172102310/6310517210231009092023100139.jpg")</f>
        <v>https://dpmzos25m8ivg.cloudfront.net/Documentos/631/05172102310/6310517210231009092023100139.jpg</v>
      </c>
      <c r="G2291" s="5" t="str">
        <f>HYPERLINK("https://dpmzos25m8ivg.cloudfront.net/Documentos/631/05172102310/6310517210231009092023100154.jpg","https://dpmzos25m8ivg.cloudfront.net/Documentos/631/05172102310/6310517210231009092023100154.jpg")</f>
        <v>https://dpmzos25m8ivg.cloudfront.net/Documentos/631/05172102310/6310517210231009092023100154.jpg</v>
      </c>
      <c r="H2291" s="5" t="s">
        <v>10870</v>
      </c>
    </row>
    <row r="2292" spans="1:8" x14ac:dyDescent="0.25">
      <c r="A2292" s="2" t="s">
        <v>2307</v>
      </c>
      <c r="B2292" s="3"/>
      <c r="C2292" s="3"/>
      <c r="D2292" s="3"/>
      <c r="E2292" s="5" t="str">
        <f>HYPERLINK("https://dpmzos25m8ivg.cloudfront.net/Documentos/631/05173093510/6310517309351009092023181242.jpg","https://dpmzos25m8ivg.cloudfront.net/Documentos/631/05173093510/6310517309351009092023181242.jpg")</f>
        <v>https://dpmzos25m8ivg.cloudfront.net/Documentos/631/05173093510/6310517309351009092023181242.jpg</v>
      </c>
      <c r="F2292" s="5" t="str">
        <f>HYPERLINK("https://dpmzos25m8ivg.cloudfront.net/Documentos/631/05173093510/6310517309351009092023182012.jpg","https://dpmzos25m8ivg.cloudfront.net/Documentos/631/05173093510/6310517309351009092023182012.jpg")</f>
        <v>https://dpmzos25m8ivg.cloudfront.net/Documentos/631/05173093510/6310517309351009092023182012.jpg</v>
      </c>
      <c r="G2292" s="5" t="str">
        <f>HYPERLINK("https://dpmzos25m8ivg.cloudfront.net/Documentos/631/05173093510/6310517309351009092023182816.jpg","https://dpmzos25m8ivg.cloudfront.net/Documentos/631/05173093510/6310517309351009092023182816.jpg")</f>
        <v>https://dpmzos25m8ivg.cloudfront.net/Documentos/631/05173093510/6310517309351009092023182816.jpg</v>
      </c>
      <c r="H2292" s="5" t="s">
        <v>10871</v>
      </c>
    </row>
    <row r="2293" spans="1:8" x14ac:dyDescent="0.25">
      <c r="A2293" s="2" t="s">
        <v>2308</v>
      </c>
      <c r="B2293" s="3"/>
      <c r="C2293" s="3"/>
      <c r="D2293" s="3"/>
      <c r="E2293" s="5" t="str">
        <f>HYPERLINK("https://dpmzos25m8ivg.cloudfront.net/Documentos/631/05173244585/6310517324458510092023180359.pdf","https://dpmzos25m8ivg.cloudfront.net/Documentos/631/05173244585/6310517324458510092023180359.pdf")</f>
        <v>https://dpmzos25m8ivg.cloudfront.net/Documentos/631/05173244585/6310517324458510092023180359.pdf</v>
      </c>
      <c r="F2293" s="5" t="str">
        <f>HYPERLINK("https://dpmzos25m8ivg.cloudfront.net/Documentos/631/05173244585/6310517324458510092023180416.pdf","https://dpmzos25m8ivg.cloudfront.net/Documentos/631/05173244585/6310517324458510092023180416.pdf")</f>
        <v>https://dpmzos25m8ivg.cloudfront.net/Documentos/631/05173244585/6310517324458510092023180416.pdf</v>
      </c>
      <c r="G2293" s="5" t="str">
        <f>HYPERLINK("https://dpmzos25m8ivg.cloudfront.net/Documentos/631/05173244585/6310517324458510092023180437.pdf","https://dpmzos25m8ivg.cloudfront.net/Documentos/631/05173244585/6310517324458510092023180437.pdf")</f>
        <v>https://dpmzos25m8ivg.cloudfront.net/Documentos/631/05173244585/6310517324458510092023180437.pdf</v>
      </c>
      <c r="H2293" s="5" t="s">
        <v>10872</v>
      </c>
    </row>
    <row r="2294" spans="1:8" x14ac:dyDescent="0.25">
      <c r="A2294" s="2" t="s">
        <v>2309</v>
      </c>
      <c r="B2294" s="3"/>
      <c r="C2294" s="3"/>
      <c r="D2294" s="3"/>
      <c r="E2294" s="5" t="str">
        <f>HYPERLINK("https://dpmzos25m8ivg.cloudfront.net/Documentos/631/05173460369/6310517346036911092023081742.jpg","https://dpmzos25m8ivg.cloudfront.net/Documentos/631/05173460369/6310517346036911092023081742.jpg")</f>
        <v>https://dpmzos25m8ivg.cloudfront.net/Documentos/631/05173460369/6310517346036911092023081742.jpg</v>
      </c>
      <c r="F2294" s="5" t="str">
        <f>HYPERLINK("https://dpmzos25m8ivg.cloudfront.net/Documentos/631/05173460369/6310517346036911092023081818.jpg","https://dpmzos25m8ivg.cloudfront.net/Documentos/631/05173460369/6310517346036911092023081818.jpg")</f>
        <v>https://dpmzos25m8ivg.cloudfront.net/Documentos/631/05173460369/6310517346036911092023081818.jpg</v>
      </c>
      <c r="G2294" s="5" t="str">
        <f>HYPERLINK("https://dpmzos25m8ivg.cloudfront.net/Documentos/631/05173460369/6310517346036911092023081827.jpg","https://dpmzos25m8ivg.cloudfront.net/Documentos/631/05173460369/6310517346036911092023081827.jpg")</f>
        <v>https://dpmzos25m8ivg.cloudfront.net/Documentos/631/05173460369/6310517346036911092023081827.jpg</v>
      </c>
      <c r="H2294" s="5" t="s">
        <v>10873</v>
      </c>
    </row>
    <row r="2295" spans="1:8" x14ac:dyDescent="0.25">
      <c r="A2295" s="2" t="s">
        <v>2310</v>
      </c>
      <c r="B2295" s="3"/>
      <c r="C2295" s="3"/>
      <c r="D2295" s="3"/>
      <c r="E2295" s="5" t="str">
        <f>HYPERLINK("https://dpmzos25m8ivg.cloudfront.net/Documentos/631/05173767502/6310517376750212092023213153.jpg","https://dpmzos25m8ivg.cloudfront.net/Documentos/631/05173767502/6310517376750212092023213153.jpg")</f>
        <v>https://dpmzos25m8ivg.cloudfront.net/Documentos/631/05173767502/6310517376750212092023213153.jpg</v>
      </c>
      <c r="F2295" s="5" t="str">
        <f>HYPERLINK("https://dpmzos25m8ivg.cloudfront.net/Documentos/631/05173767502/6310517376750212092023213202.jpg","https://dpmzos25m8ivg.cloudfront.net/Documentos/631/05173767502/6310517376750212092023213202.jpg")</f>
        <v>https://dpmzos25m8ivg.cloudfront.net/Documentos/631/05173767502/6310517376750212092023213202.jpg</v>
      </c>
      <c r="G2295" s="5" t="str">
        <f>HYPERLINK("https://dpmzos25m8ivg.cloudfront.net/Documentos/631/05173767502/6310517376750212092023213210.jpg","https://dpmzos25m8ivg.cloudfront.net/Documentos/631/05173767502/6310517376750212092023213210.jpg")</f>
        <v>https://dpmzos25m8ivg.cloudfront.net/Documentos/631/05173767502/6310517376750212092023213210.jpg</v>
      </c>
      <c r="H2295" s="5" t="s">
        <v>10874</v>
      </c>
    </row>
    <row r="2296" spans="1:8" x14ac:dyDescent="0.25">
      <c r="A2296" s="2" t="s">
        <v>2311</v>
      </c>
      <c r="B2296" s="3" t="s">
        <v>8</v>
      </c>
      <c r="C2296" s="3"/>
      <c r="D2296" s="3"/>
      <c r="E2296" s="5" t="str">
        <f>HYPERLINK("https://dpmzos25m8ivg.cloudfront.net/Documentos/631/05175256580/6310517525658004092023223138.pdf","https://dpmzos25m8ivg.cloudfront.net/Documentos/631/05175256580/6310517525658004092023223138.pdf")</f>
        <v>https://dpmzos25m8ivg.cloudfront.net/Documentos/631/05175256580/6310517525658004092023223138.pdf</v>
      </c>
      <c r="F2296" s="5" t="str">
        <f>HYPERLINK("https://dpmzos25m8ivg.cloudfront.net/Documentos/631/05175256580/6310517525658004092023224728.pdf","https://dpmzos25m8ivg.cloudfront.net/Documentos/631/05175256580/6310517525658004092023224728.pdf")</f>
        <v>https://dpmzos25m8ivg.cloudfront.net/Documentos/631/05175256580/6310517525658004092023224728.pdf</v>
      </c>
      <c r="G2296" s="5" t="str">
        <f>HYPERLINK("https://dpmzos25m8ivg.cloudfront.net/Documentos/631/05175256580/6310517525658004092023230126.pdf","https://dpmzos25m8ivg.cloudfront.net/Documentos/631/05175256580/6310517525658004092023230126.pdf")</f>
        <v>https://dpmzos25m8ivg.cloudfront.net/Documentos/631/05175256580/6310517525658004092023230126.pdf</v>
      </c>
      <c r="H2296" s="5" t="s">
        <v>10875</v>
      </c>
    </row>
    <row r="2297" spans="1:8" x14ac:dyDescent="0.25">
      <c r="A2297" s="2" t="s">
        <v>2312</v>
      </c>
      <c r="B2297" s="3"/>
      <c r="C2297" s="3"/>
      <c r="D2297" s="3"/>
      <c r="E2297" s="5" t="str">
        <f>HYPERLINK("https://dpmzos25m8ivg.cloudfront.net/Documentos/631/05175930257/6310517593025711092023173825.pdf","https://dpmzos25m8ivg.cloudfront.net/Documentos/631/05175930257/6310517593025711092023173825.pdf")</f>
        <v>https://dpmzos25m8ivg.cloudfront.net/Documentos/631/05175930257/6310517593025711092023173825.pdf</v>
      </c>
      <c r="F2297" s="5" t="str">
        <f>HYPERLINK("https://dpmzos25m8ivg.cloudfront.net/Documentos/631/05175930257/6310517593025711092023173842.pdf","https://dpmzos25m8ivg.cloudfront.net/Documentos/631/05175930257/6310517593025711092023173842.pdf")</f>
        <v>https://dpmzos25m8ivg.cloudfront.net/Documentos/631/05175930257/6310517593025711092023173842.pdf</v>
      </c>
      <c r="G2297" s="5" t="str">
        <f>HYPERLINK("https://dpmzos25m8ivg.cloudfront.net/Documentos/631/05175930257/6310517593025711092023173851.pdf","https://dpmzos25m8ivg.cloudfront.net/Documentos/631/05175930257/6310517593025711092023173851.pdf")</f>
        <v>https://dpmzos25m8ivg.cloudfront.net/Documentos/631/05175930257/6310517593025711092023173851.pdf</v>
      </c>
      <c r="H2297" s="5" t="s">
        <v>10876</v>
      </c>
    </row>
    <row r="2298" spans="1:8" x14ac:dyDescent="0.25">
      <c r="A2298" s="2" t="s">
        <v>2313</v>
      </c>
      <c r="B2298" s="3" t="s">
        <v>8</v>
      </c>
      <c r="C2298" s="3"/>
      <c r="D2298" s="3"/>
      <c r="E2298" s="5" t="str">
        <f>HYPERLINK("https://dpmzos25m8ivg.cloudfront.net/Documentos/631/05177341763/6310517734176311092023163134.pdf","https://dpmzos25m8ivg.cloudfront.net/Documentos/631/05177341763/6310517734176311092023163134.pdf")</f>
        <v>https://dpmzos25m8ivg.cloudfront.net/Documentos/631/05177341763/6310517734176311092023163134.pdf</v>
      </c>
      <c r="F2298" s="5" t="str">
        <f>HYPERLINK("https://dpmzos25m8ivg.cloudfront.net/Documentos/631/05177341763/6310517734176311092023163141.pdf","https://dpmzos25m8ivg.cloudfront.net/Documentos/631/05177341763/6310517734176311092023163141.pdf")</f>
        <v>https://dpmzos25m8ivg.cloudfront.net/Documentos/631/05177341763/6310517734176311092023163141.pdf</v>
      </c>
      <c r="G2298" s="5" t="str">
        <f>HYPERLINK("https://dpmzos25m8ivg.cloudfront.net/Documentos/631/05177341763/6310517734176311092023163153.pdf","https://dpmzos25m8ivg.cloudfront.net/Documentos/631/05177341763/6310517734176311092023163153.pdf")</f>
        <v>https://dpmzos25m8ivg.cloudfront.net/Documentos/631/05177341763/6310517734176311092023163153.pdf</v>
      </c>
      <c r="H2298" s="5" t="s">
        <v>10877</v>
      </c>
    </row>
    <row r="2299" spans="1:8" x14ac:dyDescent="0.25">
      <c r="A2299" s="2" t="s">
        <v>2314</v>
      </c>
      <c r="B2299" s="3"/>
      <c r="C2299" s="3"/>
      <c r="D2299" s="3"/>
      <c r="E2299" s="5" t="str">
        <f>HYPERLINK("https://dpmzos25m8ivg.cloudfront.net/Documentos/631/05177433374/6310517743337408092023202113.pdf","https://dpmzos25m8ivg.cloudfront.net/Documentos/631/05177433374/6310517743337408092023202113.pdf")</f>
        <v>https://dpmzos25m8ivg.cloudfront.net/Documentos/631/05177433374/6310517743337408092023202113.pdf</v>
      </c>
      <c r="F2299" s="5" t="str">
        <f>HYPERLINK("https://dpmzos25m8ivg.cloudfront.net/Documentos/631/05177433374/6310517743337408092023202123.pdf","https://dpmzos25m8ivg.cloudfront.net/Documentos/631/05177433374/6310517743337408092023202123.pdf")</f>
        <v>https://dpmzos25m8ivg.cloudfront.net/Documentos/631/05177433374/6310517743337408092023202123.pdf</v>
      </c>
      <c r="G2299" s="5" t="str">
        <f>HYPERLINK("https://dpmzos25m8ivg.cloudfront.net/Documentos/631/05177433374/6310517743337408092023202131.pdf","https://dpmzos25m8ivg.cloudfront.net/Documentos/631/05177433374/6310517743337408092023202131.pdf")</f>
        <v>https://dpmzos25m8ivg.cloudfront.net/Documentos/631/05177433374/6310517743337408092023202131.pdf</v>
      </c>
      <c r="H2299" s="5" t="s">
        <v>10878</v>
      </c>
    </row>
    <row r="2300" spans="1:8" x14ac:dyDescent="0.25">
      <c r="A2300" s="2" t="s">
        <v>2315</v>
      </c>
      <c r="B2300" s="3"/>
      <c r="C2300" s="3"/>
      <c r="D2300" s="3"/>
      <c r="E2300" s="5" t="str">
        <f>HYPERLINK("https://dpmzos25m8ivg.cloudfront.net/Documentos/631/05178514580/6310517851458011092023164530.pdf","https://dpmzos25m8ivg.cloudfront.net/Documentos/631/05178514580/6310517851458011092023164530.pdf")</f>
        <v>https://dpmzos25m8ivg.cloudfront.net/Documentos/631/05178514580/6310517851458011092023164530.pdf</v>
      </c>
      <c r="F2300" s="5" t="str">
        <f>HYPERLINK("https://dpmzos25m8ivg.cloudfront.net/Documentos/631/05178514580/6310517851458011092023164923.pdf","https://dpmzos25m8ivg.cloudfront.net/Documentos/631/05178514580/6310517851458011092023164923.pdf")</f>
        <v>https://dpmzos25m8ivg.cloudfront.net/Documentos/631/05178514580/6310517851458011092023164923.pdf</v>
      </c>
      <c r="G2300" s="5" t="str">
        <f>HYPERLINK("https://dpmzos25m8ivg.cloudfront.net/Documentos/631/05178514580/6310517851458011092023164938.pdf","https://dpmzos25m8ivg.cloudfront.net/Documentos/631/05178514580/6310517851458011092023164938.pdf")</f>
        <v>https://dpmzos25m8ivg.cloudfront.net/Documentos/631/05178514580/6310517851458011092023164938.pdf</v>
      </c>
      <c r="H2300" s="5" t="s">
        <v>10879</v>
      </c>
    </row>
    <row r="2301" spans="1:8" x14ac:dyDescent="0.25">
      <c r="A2301" s="2" t="s">
        <v>2316</v>
      </c>
      <c r="B2301" s="3"/>
      <c r="C2301" s="3"/>
      <c r="D2301" s="3"/>
      <c r="E2301" s="5" t="str">
        <f>HYPERLINK("https://dpmzos25m8ivg.cloudfront.net/Documentos/631/05187332112/6310518733211208092023144214.pdf","https://dpmzos25m8ivg.cloudfront.net/Documentos/631/05187332112/6310518733211208092023144214.pdf")</f>
        <v>https://dpmzos25m8ivg.cloudfront.net/Documentos/631/05187332112/6310518733211208092023144214.pdf</v>
      </c>
      <c r="F2301" s="5" t="str">
        <f>HYPERLINK("https://dpmzos25m8ivg.cloudfront.net/Documentos/631/05187332112/6310518733211208092023144221.pdf","https://dpmzos25m8ivg.cloudfront.net/Documentos/631/05187332112/6310518733211208092023144221.pdf")</f>
        <v>https://dpmzos25m8ivg.cloudfront.net/Documentos/631/05187332112/6310518733211208092023144221.pdf</v>
      </c>
      <c r="G2301" s="5" t="str">
        <f>HYPERLINK("https://dpmzos25m8ivg.cloudfront.net/Documentos/631/05187332112/6310518733211208092023144227.pdf","https://dpmzos25m8ivg.cloudfront.net/Documentos/631/05187332112/6310518733211208092023144227.pdf")</f>
        <v>https://dpmzos25m8ivg.cloudfront.net/Documentos/631/05187332112/6310518733211208092023144227.pdf</v>
      </c>
      <c r="H2301" s="5" t="s">
        <v>10880</v>
      </c>
    </row>
    <row r="2302" spans="1:8" x14ac:dyDescent="0.25">
      <c r="A2302" s="2" t="s">
        <v>2317</v>
      </c>
      <c r="B2302" s="3"/>
      <c r="C2302" s="3"/>
      <c r="D2302" s="3"/>
      <c r="E2302" s="5" t="str">
        <f>HYPERLINK("https://dpmzos25m8ivg.cloudfront.net/Documentos/631/05189218163/6310518921816311092023161258.pdf","https://dpmzos25m8ivg.cloudfront.net/Documentos/631/05189218163/6310518921816311092023161258.pdf")</f>
        <v>https://dpmzos25m8ivg.cloudfront.net/Documentos/631/05189218163/6310518921816311092023161258.pdf</v>
      </c>
      <c r="F2302" s="5" t="str">
        <f>HYPERLINK("https://dpmzos25m8ivg.cloudfront.net/Documentos/631/05189218163/6310518921816311092023161315.pdf","https://dpmzos25m8ivg.cloudfront.net/Documentos/631/05189218163/6310518921816311092023161315.pdf")</f>
        <v>https://dpmzos25m8ivg.cloudfront.net/Documentos/631/05189218163/6310518921816311092023161315.pdf</v>
      </c>
      <c r="G2302" s="5" t="str">
        <f>HYPERLINK("https://dpmzos25m8ivg.cloudfront.net/Documentos/631/05189218163/6310518921816311092023161338.pdf","https://dpmzos25m8ivg.cloudfront.net/Documentos/631/05189218163/6310518921816311092023161338.pdf")</f>
        <v>https://dpmzos25m8ivg.cloudfront.net/Documentos/631/05189218163/6310518921816311092023161338.pdf</v>
      </c>
      <c r="H2302" s="5" t="s">
        <v>10881</v>
      </c>
    </row>
    <row r="2303" spans="1:8" x14ac:dyDescent="0.25">
      <c r="A2303" s="2" t="s">
        <v>2318</v>
      </c>
      <c r="B2303" s="3"/>
      <c r="C2303" s="3"/>
      <c r="D2303" s="3"/>
      <c r="E2303" s="5" t="str">
        <f>HYPERLINK("https://dpmzos25m8ivg.cloudfront.net/Documentos/631/05190537374/6310519053737411092023095430.pdf","https://dpmzos25m8ivg.cloudfront.net/Documentos/631/05190537374/6310519053737411092023095430.pdf")</f>
        <v>https://dpmzos25m8ivg.cloudfront.net/Documentos/631/05190537374/6310519053737411092023095430.pdf</v>
      </c>
      <c r="F2303" s="5" t="str">
        <f>HYPERLINK("https://dpmzos25m8ivg.cloudfront.net/Documentos/631/05190537374/6310519053737411092023095458.pdf","https://dpmzos25m8ivg.cloudfront.net/Documentos/631/05190537374/6310519053737411092023095458.pdf")</f>
        <v>https://dpmzos25m8ivg.cloudfront.net/Documentos/631/05190537374/6310519053737411092023095458.pdf</v>
      </c>
      <c r="G2303" s="5" t="str">
        <f>HYPERLINK("https://dpmzos25m8ivg.cloudfront.net/Documentos/631/05190537374/6310519053737411092023095511.pdf","https://dpmzos25m8ivg.cloudfront.net/Documentos/631/05190537374/6310519053737411092023095511.pdf")</f>
        <v>https://dpmzos25m8ivg.cloudfront.net/Documentos/631/05190537374/6310519053737411092023095511.pdf</v>
      </c>
      <c r="H2303" s="5" t="s">
        <v>10882</v>
      </c>
    </row>
    <row r="2304" spans="1:8" x14ac:dyDescent="0.25">
      <c r="A2304" s="2" t="s">
        <v>2319</v>
      </c>
      <c r="B2304" s="3" t="s">
        <v>8</v>
      </c>
      <c r="C2304" s="3"/>
      <c r="D2304" s="3"/>
      <c r="E2304" s="5" t="str">
        <f>HYPERLINK("https://dpmzos25m8ivg.cloudfront.net/Documentos/631/05191304560/6310519130456012092023174415.jpeg","https://dpmzos25m8ivg.cloudfront.net/Documentos/631/05191304560/6310519130456012092023174415.jpeg")</f>
        <v>https://dpmzos25m8ivg.cloudfront.net/Documentos/631/05191304560/6310519130456012092023174415.jpeg</v>
      </c>
      <c r="F2304" s="5" t="str">
        <f>HYPERLINK("https://dpmzos25m8ivg.cloudfront.net/Documentos/631/05191304560/6310519130456012092023174426.jpeg","https://dpmzos25m8ivg.cloudfront.net/Documentos/631/05191304560/6310519130456012092023174426.jpeg")</f>
        <v>https://dpmzos25m8ivg.cloudfront.net/Documentos/631/05191304560/6310519130456012092023174426.jpeg</v>
      </c>
      <c r="G2304" s="5" t="str">
        <f>HYPERLINK("https://dpmzos25m8ivg.cloudfront.net/Documentos/631/05191304560/6310519130456012092023174436.jpeg","https://dpmzos25m8ivg.cloudfront.net/Documentos/631/05191304560/6310519130456012092023174436.jpeg")</f>
        <v>https://dpmzos25m8ivg.cloudfront.net/Documentos/631/05191304560/6310519130456012092023174436.jpeg</v>
      </c>
      <c r="H2304" s="5" t="s">
        <v>10883</v>
      </c>
    </row>
    <row r="2305" spans="1:8" x14ac:dyDescent="0.25">
      <c r="A2305" s="2" t="s">
        <v>2320</v>
      </c>
      <c r="B2305" s="3"/>
      <c r="C2305" s="3"/>
      <c r="D2305" s="3"/>
      <c r="E2305" s="5" t="str">
        <f>HYPERLINK("https://dpmzos25m8ivg.cloudfront.net/Documentos/631/05191627229/6310519162722908092023221254.pdf","https://dpmzos25m8ivg.cloudfront.net/Documentos/631/05191627229/6310519162722908092023221254.pdf")</f>
        <v>https://dpmzos25m8ivg.cloudfront.net/Documentos/631/05191627229/6310519162722908092023221254.pdf</v>
      </c>
      <c r="F2305" s="5" t="str">
        <f>HYPERLINK("https://dpmzos25m8ivg.cloudfront.net/Documentos/631/05191627229/6310519162722908092023221311.pdf","https://dpmzos25m8ivg.cloudfront.net/Documentos/631/05191627229/6310519162722908092023221311.pdf")</f>
        <v>https://dpmzos25m8ivg.cloudfront.net/Documentos/631/05191627229/6310519162722908092023221311.pdf</v>
      </c>
      <c r="G2305" s="5" t="str">
        <f>HYPERLINK("https://dpmzos25m8ivg.cloudfront.net/Documentos/631/05191627229/6310519162722908092023221326.pdf","https://dpmzos25m8ivg.cloudfront.net/Documentos/631/05191627229/6310519162722908092023221326.pdf")</f>
        <v>https://dpmzos25m8ivg.cloudfront.net/Documentos/631/05191627229/6310519162722908092023221326.pdf</v>
      </c>
      <c r="H2305" s="5" t="s">
        <v>10884</v>
      </c>
    </row>
    <row r="2306" spans="1:8" x14ac:dyDescent="0.25">
      <c r="A2306" s="2" t="s">
        <v>2321</v>
      </c>
      <c r="B2306" s="3"/>
      <c r="C2306" s="3"/>
      <c r="D2306" s="3"/>
      <c r="E2306" s="5" t="str">
        <f>HYPERLINK("https://dpmzos25m8ivg.cloudfront.net/Documentos/631/05193473407/6310519347340705092023155538.pdf","https://dpmzos25m8ivg.cloudfront.net/Documentos/631/05193473407/6310519347340705092023155538.pdf")</f>
        <v>https://dpmzos25m8ivg.cloudfront.net/Documentos/631/05193473407/6310519347340705092023155538.pdf</v>
      </c>
      <c r="F2306" s="5" t="str">
        <f>HYPERLINK("https://dpmzos25m8ivg.cloudfront.net/Documentos/631/05193473407/6310519347340705092023155553.pdf","https://dpmzos25m8ivg.cloudfront.net/Documentos/631/05193473407/6310519347340705092023155553.pdf")</f>
        <v>https://dpmzos25m8ivg.cloudfront.net/Documentos/631/05193473407/6310519347340705092023155553.pdf</v>
      </c>
      <c r="G2306" s="5" t="str">
        <f>HYPERLINK("https://dpmzos25m8ivg.cloudfront.net/Documentos/631/05193473407/6310519347340705092023155604.pdf","https://dpmzos25m8ivg.cloudfront.net/Documentos/631/05193473407/6310519347340705092023155604.pdf")</f>
        <v>https://dpmzos25m8ivg.cloudfront.net/Documentos/631/05193473407/6310519347340705092023155604.pdf</v>
      </c>
      <c r="H2306" s="5" t="s">
        <v>10885</v>
      </c>
    </row>
    <row r="2307" spans="1:8" x14ac:dyDescent="0.25">
      <c r="A2307" s="2" t="s">
        <v>2322</v>
      </c>
      <c r="B2307" s="3"/>
      <c r="C2307" s="3"/>
      <c r="D2307" s="3"/>
      <c r="E2307" s="5" t="str">
        <f>HYPERLINK("https://dpmzos25m8ivg.cloudfront.net/Documentos/631/05195104700/6310519510470011092023163926.pdf","https://dpmzos25m8ivg.cloudfront.net/Documentos/631/05195104700/6310519510470011092023163926.pdf")</f>
        <v>https://dpmzos25m8ivg.cloudfront.net/Documentos/631/05195104700/6310519510470011092023163926.pdf</v>
      </c>
      <c r="F2307" s="5" t="str">
        <f>HYPERLINK("https://dpmzos25m8ivg.cloudfront.net/Documentos/631/05195104700/6310519510470011092023163938.pdf","https://dpmzos25m8ivg.cloudfront.net/Documentos/631/05195104700/6310519510470011092023163938.pdf")</f>
        <v>https://dpmzos25m8ivg.cloudfront.net/Documentos/631/05195104700/6310519510470011092023163938.pdf</v>
      </c>
      <c r="G2307" s="5" t="str">
        <f>HYPERLINK("https://dpmzos25m8ivg.cloudfront.net/Documentos/631/05195104700/6310519510470011092023163953.pdf","https://dpmzos25m8ivg.cloudfront.net/Documentos/631/05195104700/6310519510470011092023163953.pdf")</f>
        <v>https://dpmzos25m8ivg.cloudfront.net/Documentos/631/05195104700/6310519510470011092023163953.pdf</v>
      </c>
      <c r="H2307" s="5" t="s">
        <v>10886</v>
      </c>
    </row>
    <row r="2308" spans="1:8" x14ac:dyDescent="0.25">
      <c r="A2308" s="2" t="s">
        <v>2323</v>
      </c>
      <c r="B2308" s="3"/>
      <c r="C2308" s="3"/>
      <c r="D2308" s="3"/>
      <c r="E2308" s="5" t="str">
        <f>HYPERLINK("https://dpmzos25m8ivg.cloudfront.net/Documentos/631/05195979588/6310519597958811092023144759.pdf","https://dpmzos25m8ivg.cloudfront.net/Documentos/631/05195979588/6310519597958811092023144759.pdf")</f>
        <v>https://dpmzos25m8ivg.cloudfront.net/Documentos/631/05195979588/6310519597958811092023144759.pdf</v>
      </c>
      <c r="F2308" s="5" t="str">
        <f>HYPERLINK("https://dpmzos25m8ivg.cloudfront.net/Documentos/631/05195979588/6310519597958811092023144822.pdf","https://dpmzos25m8ivg.cloudfront.net/Documentos/631/05195979588/6310519597958811092023144822.pdf")</f>
        <v>https://dpmzos25m8ivg.cloudfront.net/Documentos/631/05195979588/6310519597958811092023144822.pdf</v>
      </c>
      <c r="G2308" s="5" t="str">
        <f>HYPERLINK("https://dpmzos25m8ivg.cloudfront.net/Documentos/631/05195979588/6310519597958811092023144830.pdf","https://dpmzos25m8ivg.cloudfront.net/Documentos/631/05195979588/6310519597958811092023144830.pdf")</f>
        <v>https://dpmzos25m8ivg.cloudfront.net/Documentos/631/05195979588/6310519597958811092023144830.pdf</v>
      </c>
      <c r="H2308" s="5" t="s">
        <v>10887</v>
      </c>
    </row>
    <row r="2309" spans="1:8" x14ac:dyDescent="0.25">
      <c r="A2309" s="2" t="s">
        <v>2324</v>
      </c>
      <c r="B2309" s="3"/>
      <c r="C2309" s="3"/>
      <c r="D2309" s="3"/>
      <c r="E2309" s="5" t="str">
        <f>HYPERLINK("https://dpmzos25m8ivg.cloudfront.net/Documentos/631/05196245138/6310519624513811092023141720.pdf","https://dpmzos25m8ivg.cloudfront.net/Documentos/631/05196245138/6310519624513811092023141720.pdf")</f>
        <v>https://dpmzos25m8ivg.cloudfront.net/Documentos/631/05196245138/6310519624513811092023141720.pdf</v>
      </c>
      <c r="F2309" s="5" t="str">
        <f>HYPERLINK("https://dpmzos25m8ivg.cloudfront.net/Documentos/631/05196245138/6310519624513811092023141738.pdf","https://dpmzos25m8ivg.cloudfront.net/Documentos/631/05196245138/6310519624513811092023141738.pdf")</f>
        <v>https://dpmzos25m8ivg.cloudfront.net/Documentos/631/05196245138/6310519624513811092023141738.pdf</v>
      </c>
      <c r="G2309" s="5" t="str">
        <f>HYPERLINK("https://dpmzos25m8ivg.cloudfront.net/Documentos/631/05196245138/6310519624513811092023141747.pdf","https://dpmzos25m8ivg.cloudfront.net/Documentos/631/05196245138/6310519624513811092023141747.pdf")</f>
        <v>https://dpmzos25m8ivg.cloudfront.net/Documentos/631/05196245138/6310519624513811092023141747.pdf</v>
      </c>
      <c r="H2309" s="5" t="s">
        <v>10888</v>
      </c>
    </row>
    <row r="2310" spans="1:8" x14ac:dyDescent="0.25">
      <c r="A2310" s="2" t="s">
        <v>2325</v>
      </c>
      <c r="B2310" s="3"/>
      <c r="C2310" s="3"/>
      <c r="D2310" s="3"/>
      <c r="E2310" s="5" t="str">
        <f>HYPERLINK("https://dpmzos25m8ivg.cloudfront.net/Documentos/631/05199367366/6310519936736611092023133208.jpg","https://dpmzos25m8ivg.cloudfront.net/Documentos/631/05199367366/6310519936736611092023133208.jpg")</f>
        <v>https://dpmzos25m8ivg.cloudfront.net/Documentos/631/05199367366/6310519936736611092023133208.jpg</v>
      </c>
      <c r="F2310" s="5" t="str">
        <f>HYPERLINK("https://dpmzos25m8ivg.cloudfront.net/Documentos/631/05199367366/6310519936736611092023133124.jpg","https://dpmzos25m8ivg.cloudfront.net/Documentos/631/05199367366/6310519936736611092023133124.jpg")</f>
        <v>https://dpmzos25m8ivg.cloudfront.net/Documentos/631/05199367366/6310519936736611092023133124.jpg</v>
      </c>
      <c r="G2310" s="5" t="str">
        <f>HYPERLINK("https://dpmzos25m8ivg.cloudfront.net/Documentos/631/05199367366/6310519936736611092023133222.jpg","https://dpmzos25m8ivg.cloudfront.net/Documentos/631/05199367366/6310519936736611092023133222.jpg")</f>
        <v>https://dpmzos25m8ivg.cloudfront.net/Documentos/631/05199367366/6310519936736611092023133222.jpg</v>
      </c>
      <c r="H2310" s="5" t="s">
        <v>10889</v>
      </c>
    </row>
    <row r="2311" spans="1:8" x14ac:dyDescent="0.25">
      <c r="A2311" s="2" t="s">
        <v>2326</v>
      </c>
      <c r="B2311" s="3" t="s">
        <v>8</v>
      </c>
      <c r="C2311" s="3"/>
      <c r="D2311" s="3"/>
      <c r="E2311" s="5" t="str">
        <f>HYPERLINK("https://dpmzos25m8ivg.cloudfront.net/Documentos/631/05200646316/6310520064631612092023213417.jpg","https://dpmzos25m8ivg.cloudfront.net/Documentos/631/05200646316/6310520064631612092023213417.jpg")</f>
        <v>https://dpmzos25m8ivg.cloudfront.net/Documentos/631/05200646316/6310520064631612092023213417.jpg</v>
      </c>
      <c r="F2311" s="5" t="str">
        <f>HYPERLINK("https://dpmzos25m8ivg.cloudfront.net/Documentos/631/05200646316/6310520064631612092023213431.jpg","https://dpmzos25m8ivg.cloudfront.net/Documentos/631/05200646316/6310520064631612092023213431.jpg")</f>
        <v>https://dpmzos25m8ivg.cloudfront.net/Documentos/631/05200646316/6310520064631612092023213431.jpg</v>
      </c>
      <c r="G2311" s="5" t="str">
        <f>HYPERLINK("https://dpmzos25m8ivg.cloudfront.net/Documentos/631/05200646316/6310520064631612092023213447.jpg","https://dpmzos25m8ivg.cloudfront.net/Documentos/631/05200646316/6310520064631612092023213447.jpg")</f>
        <v>https://dpmzos25m8ivg.cloudfront.net/Documentos/631/05200646316/6310520064631612092023213447.jpg</v>
      </c>
      <c r="H2311" s="5" t="s">
        <v>10890</v>
      </c>
    </row>
    <row r="2312" spans="1:8" x14ac:dyDescent="0.25">
      <c r="A2312" s="2" t="s">
        <v>2327</v>
      </c>
      <c r="B2312" s="3"/>
      <c r="C2312" s="3"/>
      <c r="D2312" s="3"/>
      <c r="E2312" s="5" t="str">
        <f>HYPERLINK("https://dpmzos25m8ivg.cloudfront.net/Documentos/631/05203306176/6310520330617605092023161506.jpeg","https://dpmzos25m8ivg.cloudfront.net/Documentos/631/05203306176/6310520330617605092023161506.jpeg")</f>
        <v>https://dpmzos25m8ivg.cloudfront.net/Documentos/631/05203306176/6310520330617605092023161506.jpeg</v>
      </c>
      <c r="F2312" s="5" t="str">
        <f>HYPERLINK("https://dpmzos25m8ivg.cloudfront.net/Documentos/631/05203306176/6310520330617605092023161533.jpeg","https://dpmzos25m8ivg.cloudfront.net/Documentos/631/05203306176/6310520330617605092023161533.jpeg")</f>
        <v>https://dpmzos25m8ivg.cloudfront.net/Documentos/631/05203306176/6310520330617605092023161533.jpeg</v>
      </c>
      <c r="G2312" s="5" t="str">
        <f>HYPERLINK("https://dpmzos25m8ivg.cloudfront.net/Documentos/631/05203306176/6310520330617605092023161549.jpeg","https://dpmzos25m8ivg.cloudfront.net/Documentos/631/05203306176/6310520330617605092023161549.jpeg")</f>
        <v>https://dpmzos25m8ivg.cloudfront.net/Documentos/631/05203306176/6310520330617605092023161549.jpeg</v>
      </c>
      <c r="H2312" s="5" t="s">
        <v>10891</v>
      </c>
    </row>
    <row r="2313" spans="1:8" x14ac:dyDescent="0.25">
      <c r="A2313" s="2" t="s">
        <v>2328</v>
      </c>
      <c r="B2313" s="3"/>
      <c r="C2313" s="3"/>
      <c r="D2313" s="3"/>
      <c r="E2313" s="5" t="str">
        <f>HYPERLINK("https://dpmzos25m8ivg.cloudfront.net/Documentos/631/05205630264/6310520563026411092023134024.pdf","https://dpmzos25m8ivg.cloudfront.net/Documentos/631/05205630264/6310520563026411092023134024.pdf")</f>
        <v>https://dpmzos25m8ivg.cloudfront.net/Documentos/631/05205630264/6310520563026411092023134024.pdf</v>
      </c>
      <c r="F2313" s="5" t="str">
        <f>HYPERLINK("https://dpmzos25m8ivg.cloudfront.net/Documentos/631/05205630264/6310520563026411092023134034.pdf","https://dpmzos25m8ivg.cloudfront.net/Documentos/631/05205630264/6310520563026411092023134034.pdf")</f>
        <v>https://dpmzos25m8ivg.cloudfront.net/Documentos/631/05205630264/6310520563026411092023134034.pdf</v>
      </c>
      <c r="G2313" s="5" t="str">
        <f>HYPERLINK("https://dpmzos25m8ivg.cloudfront.net/Documentos/631/05205630264/6310520563026411092023134044.pdf","https://dpmzos25m8ivg.cloudfront.net/Documentos/631/05205630264/6310520563026411092023134044.pdf")</f>
        <v>https://dpmzos25m8ivg.cloudfront.net/Documentos/631/05205630264/6310520563026411092023134044.pdf</v>
      </c>
      <c r="H2313" s="5" t="s">
        <v>10892</v>
      </c>
    </row>
    <row r="2314" spans="1:8" x14ac:dyDescent="0.25">
      <c r="A2314" s="2" t="s">
        <v>2329</v>
      </c>
      <c r="B2314" s="3"/>
      <c r="C2314" s="3"/>
      <c r="D2314" s="3"/>
      <c r="E2314" s="5" t="str">
        <f>HYPERLINK("https://dpmzos25m8ivg.cloudfront.net/Documentos/631/05207418386/6310520741838611092023143515.jpg","https://dpmzos25m8ivg.cloudfront.net/Documentos/631/05207418386/6310520741838611092023143515.jpg")</f>
        <v>https://dpmzos25m8ivg.cloudfront.net/Documentos/631/05207418386/6310520741838611092023143515.jpg</v>
      </c>
      <c r="F2314" s="5" t="str">
        <f>HYPERLINK("https://dpmzos25m8ivg.cloudfront.net/Documentos/631/05207418386/6310520741838611092023143534.jpg","https://dpmzos25m8ivg.cloudfront.net/Documentos/631/05207418386/6310520741838611092023143534.jpg")</f>
        <v>https://dpmzos25m8ivg.cloudfront.net/Documentos/631/05207418386/6310520741838611092023143534.jpg</v>
      </c>
      <c r="G2314" s="5" t="str">
        <f>HYPERLINK("https://dpmzos25m8ivg.cloudfront.net/Documentos/631/05207418386/6310520741838611092023143600.jpg","https://dpmzos25m8ivg.cloudfront.net/Documentos/631/05207418386/6310520741838611092023143600.jpg")</f>
        <v>https://dpmzos25m8ivg.cloudfront.net/Documentos/631/05207418386/6310520741838611092023143600.jpg</v>
      </c>
      <c r="H2314" s="5" t="s">
        <v>10893</v>
      </c>
    </row>
    <row r="2315" spans="1:8" x14ac:dyDescent="0.25">
      <c r="A2315" s="2" t="s">
        <v>2330</v>
      </c>
      <c r="B2315" s="3"/>
      <c r="C2315" s="3"/>
      <c r="D2315" s="3"/>
      <c r="E2315" s="5" t="str">
        <f>HYPERLINK("https://dpmzos25m8ivg.cloudfront.net/Documentos/631/05209003400/6310520900340004092023212620.jpg","https://dpmzos25m8ivg.cloudfront.net/Documentos/631/05209003400/6310520900340004092023212620.jpg")</f>
        <v>https://dpmzos25m8ivg.cloudfront.net/Documentos/631/05209003400/6310520900340004092023212620.jpg</v>
      </c>
      <c r="F2315" s="5" t="str">
        <f>HYPERLINK("https://dpmzos25m8ivg.cloudfront.net/Documentos/631/05209003400/6310520900340004092023213254.jpg","https://dpmzos25m8ivg.cloudfront.net/Documentos/631/05209003400/6310520900340004092023213254.jpg")</f>
        <v>https://dpmzos25m8ivg.cloudfront.net/Documentos/631/05209003400/6310520900340004092023213254.jpg</v>
      </c>
      <c r="G2315" s="5" t="str">
        <f>HYPERLINK("https://dpmzos25m8ivg.cloudfront.net/Documentos/631/05209003400/6310520900340004092023213336.jpg","https://dpmzos25m8ivg.cloudfront.net/Documentos/631/05209003400/6310520900340004092023213336.jpg")</f>
        <v>https://dpmzos25m8ivg.cloudfront.net/Documentos/631/05209003400/6310520900340004092023213336.jpg</v>
      </c>
      <c r="H2315" s="5" t="s">
        <v>10894</v>
      </c>
    </row>
    <row r="2316" spans="1:8" x14ac:dyDescent="0.25">
      <c r="A2316" s="2" t="s">
        <v>2331</v>
      </c>
      <c r="B2316" s="3"/>
      <c r="C2316" s="3"/>
      <c r="D2316" s="3"/>
      <c r="E2316" s="5" t="str">
        <f>HYPERLINK("https://dpmzos25m8ivg.cloudfront.net/Documentos/631/05213136192/6310521313619205092023162009.pdf","https://dpmzos25m8ivg.cloudfront.net/Documentos/631/05213136192/6310521313619205092023162009.pdf")</f>
        <v>https://dpmzos25m8ivg.cloudfront.net/Documentos/631/05213136192/6310521313619205092023162009.pdf</v>
      </c>
      <c r="F2316" s="5" t="str">
        <f>HYPERLINK("https://dpmzos25m8ivg.cloudfront.net/Documentos/631/05213136192/6310521313619205092023162100.pdf","https://dpmzos25m8ivg.cloudfront.net/Documentos/631/05213136192/6310521313619205092023162100.pdf")</f>
        <v>https://dpmzos25m8ivg.cloudfront.net/Documentos/631/05213136192/6310521313619205092023162100.pdf</v>
      </c>
      <c r="G2316" s="5" t="str">
        <f>HYPERLINK("https://dpmzos25m8ivg.cloudfront.net/Documentos/631/05213136192/6310521313619205092023162215.pdf","https://dpmzos25m8ivg.cloudfront.net/Documentos/631/05213136192/6310521313619205092023162215.pdf")</f>
        <v>https://dpmzos25m8ivg.cloudfront.net/Documentos/631/05213136192/6310521313619205092023162215.pdf</v>
      </c>
      <c r="H2316" s="5" t="s">
        <v>10895</v>
      </c>
    </row>
    <row r="2317" spans="1:8" x14ac:dyDescent="0.25">
      <c r="A2317" s="2" t="s">
        <v>2332</v>
      </c>
      <c r="B2317" s="3"/>
      <c r="C2317" s="3"/>
      <c r="D2317" s="3"/>
      <c r="E2317" s="5" t="str">
        <f>HYPERLINK("https://dpmzos25m8ivg.cloudfront.net/Documentos/631/05214247125/6310521424712514092023154324.jpg","https://dpmzos25m8ivg.cloudfront.net/Documentos/631/05214247125/6310521424712514092023154324.jpg")</f>
        <v>https://dpmzos25m8ivg.cloudfront.net/Documentos/631/05214247125/6310521424712514092023154324.jpg</v>
      </c>
      <c r="F2317" s="5" t="str">
        <f>HYPERLINK("https://dpmzos25m8ivg.cloudfront.net/Documentos/631/05214247125/6310521424712514092023154437.jpg","https://dpmzos25m8ivg.cloudfront.net/Documentos/631/05214247125/6310521424712514092023154437.jpg")</f>
        <v>https://dpmzos25m8ivg.cloudfront.net/Documentos/631/05214247125/6310521424712514092023154437.jpg</v>
      </c>
      <c r="G2317" s="5" t="str">
        <f>HYPERLINK("https://dpmzos25m8ivg.cloudfront.net/Documentos/631/05214247125/6310521424712514092023154520.jpg","https://dpmzos25m8ivg.cloudfront.net/Documentos/631/05214247125/6310521424712514092023154520.jpg")</f>
        <v>https://dpmzos25m8ivg.cloudfront.net/Documentos/631/05214247125/6310521424712514092023154520.jpg</v>
      </c>
      <c r="H2317" s="5" t="s">
        <v>10896</v>
      </c>
    </row>
    <row r="2318" spans="1:8" x14ac:dyDescent="0.25">
      <c r="A2318" s="2" t="s">
        <v>2333</v>
      </c>
      <c r="B2318" s="3"/>
      <c r="C2318" s="3"/>
      <c r="D2318" s="3"/>
      <c r="E2318" s="5" t="str">
        <f>HYPERLINK("https://dpmzos25m8ivg.cloudfront.net/Documentos/631/05217879394/6310521787939411092023113610.pdf","https://dpmzos25m8ivg.cloudfront.net/Documentos/631/05217879394/6310521787939411092023113610.pdf")</f>
        <v>https://dpmzos25m8ivg.cloudfront.net/Documentos/631/05217879394/6310521787939411092023113610.pdf</v>
      </c>
      <c r="F2318" s="5" t="str">
        <f>HYPERLINK("https://dpmzos25m8ivg.cloudfront.net/Documentos/631/05217879394/6310521787939411092023113622.pdf","https://dpmzos25m8ivg.cloudfront.net/Documentos/631/05217879394/6310521787939411092023113622.pdf")</f>
        <v>https://dpmzos25m8ivg.cloudfront.net/Documentos/631/05217879394/6310521787939411092023113622.pdf</v>
      </c>
      <c r="G2318" s="5" t="str">
        <f>HYPERLINK("https://dpmzos25m8ivg.cloudfront.net/Documentos/631/05217879394/6310521787939411092023113632.pdf","https://dpmzos25m8ivg.cloudfront.net/Documentos/631/05217879394/6310521787939411092023113632.pdf")</f>
        <v>https://dpmzos25m8ivg.cloudfront.net/Documentos/631/05217879394/6310521787939411092023113632.pdf</v>
      </c>
      <c r="H2318" s="5" t="s">
        <v>10897</v>
      </c>
    </row>
    <row r="2319" spans="1:8" x14ac:dyDescent="0.25">
      <c r="A2319" s="2" t="s">
        <v>2334</v>
      </c>
      <c r="B2319" s="3"/>
      <c r="C2319" s="3"/>
      <c r="D2319" s="3"/>
      <c r="E2319" s="5" t="str">
        <f>HYPERLINK("https://dpmzos25m8ivg.cloudfront.net/Documentos/631/05217976403/6310521797640311092023091037.pdf","https://dpmzos25m8ivg.cloudfront.net/Documentos/631/05217976403/6310521797640311092023091037.pdf")</f>
        <v>https://dpmzos25m8ivg.cloudfront.net/Documentos/631/05217976403/6310521797640311092023091037.pdf</v>
      </c>
      <c r="F2319" s="5" t="str">
        <f>HYPERLINK("https://dpmzos25m8ivg.cloudfront.net/Documentos/631/05217976403/6310521797640311092023091047.pdf","https://dpmzos25m8ivg.cloudfront.net/Documentos/631/05217976403/6310521797640311092023091047.pdf")</f>
        <v>https://dpmzos25m8ivg.cloudfront.net/Documentos/631/05217976403/6310521797640311092023091047.pdf</v>
      </c>
      <c r="G2319" s="5" t="str">
        <f>HYPERLINK("https://dpmzos25m8ivg.cloudfront.net/Documentos/631/05217976403/6310521797640311092023091057.pdf","https://dpmzos25m8ivg.cloudfront.net/Documentos/631/05217976403/6310521797640311092023091057.pdf")</f>
        <v>https://dpmzos25m8ivg.cloudfront.net/Documentos/631/05217976403/6310521797640311092023091057.pdf</v>
      </c>
      <c r="H2319" s="5" t="s">
        <v>10898</v>
      </c>
    </row>
    <row r="2320" spans="1:8" x14ac:dyDescent="0.25">
      <c r="A2320" s="2" t="s">
        <v>2335</v>
      </c>
      <c r="B2320" s="3"/>
      <c r="C2320" s="3"/>
      <c r="D2320" s="3"/>
      <c r="E2320" s="5" t="str">
        <f>HYPERLINK("https://dpmzos25m8ivg.cloudfront.net/Documentos/631/05218759198/6310521875919811092023122736.pdf","https://dpmzos25m8ivg.cloudfront.net/Documentos/631/05218759198/6310521875919811092023122736.pdf")</f>
        <v>https://dpmzos25m8ivg.cloudfront.net/Documentos/631/05218759198/6310521875919811092023122736.pdf</v>
      </c>
      <c r="F2320" s="5" t="str">
        <f>HYPERLINK("https://dpmzos25m8ivg.cloudfront.net/Documentos/631/05218759198/6310521875919811092023122744.pdf","https://dpmzos25m8ivg.cloudfront.net/Documentos/631/05218759198/6310521875919811092023122744.pdf")</f>
        <v>https://dpmzos25m8ivg.cloudfront.net/Documentos/631/05218759198/6310521875919811092023122744.pdf</v>
      </c>
      <c r="G2320" s="5" t="str">
        <f>HYPERLINK("https://dpmzos25m8ivg.cloudfront.net/Documentos/631/05218759198/6310521875919811092023122753.pdf","https://dpmzos25m8ivg.cloudfront.net/Documentos/631/05218759198/6310521875919811092023122753.pdf")</f>
        <v>https://dpmzos25m8ivg.cloudfront.net/Documentos/631/05218759198/6310521875919811092023122753.pdf</v>
      </c>
      <c r="H2320" s="5" t="s">
        <v>10899</v>
      </c>
    </row>
    <row r="2321" spans="1:8" x14ac:dyDescent="0.25">
      <c r="A2321" s="2" t="s">
        <v>2336</v>
      </c>
      <c r="B2321" s="3" t="s">
        <v>8</v>
      </c>
      <c r="C2321" s="3"/>
      <c r="D2321" s="3"/>
      <c r="E2321" s="5" t="str">
        <f>HYPERLINK("https://dpmzos25m8ivg.cloudfront.net/Documentos/631/05219032623/6310521903262311092023163233.pdf","https://dpmzos25m8ivg.cloudfront.net/Documentos/631/05219032623/6310521903262311092023163233.pdf")</f>
        <v>https://dpmzos25m8ivg.cloudfront.net/Documentos/631/05219032623/6310521903262311092023163233.pdf</v>
      </c>
      <c r="F2321" s="5" t="str">
        <f>HYPERLINK("https://dpmzos25m8ivg.cloudfront.net/Documentos/631/05219032623/6310521903262311092023163244.pdf","https://dpmzos25m8ivg.cloudfront.net/Documentos/631/05219032623/6310521903262311092023163244.pdf")</f>
        <v>https://dpmzos25m8ivg.cloudfront.net/Documentos/631/05219032623/6310521903262311092023163244.pdf</v>
      </c>
      <c r="G2321" s="5" t="str">
        <f>HYPERLINK("https://dpmzos25m8ivg.cloudfront.net/Documentos/631/05219032623/6310521903262311092023163257.pdf","https://dpmzos25m8ivg.cloudfront.net/Documentos/631/05219032623/6310521903262311092023163257.pdf")</f>
        <v>https://dpmzos25m8ivg.cloudfront.net/Documentos/631/05219032623/6310521903262311092023163257.pdf</v>
      </c>
      <c r="H2321" s="5" t="s">
        <v>10900</v>
      </c>
    </row>
    <row r="2322" spans="1:8" x14ac:dyDescent="0.25">
      <c r="A2322" s="2" t="s">
        <v>2337</v>
      </c>
      <c r="B2322" s="3"/>
      <c r="C2322" s="3"/>
      <c r="D2322" s="3"/>
      <c r="E2322" s="5" t="str">
        <f>HYPERLINK("https://dpmzos25m8ivg.cloudfront.net/Documentos/631/05220738321/6310522073832107092023103145.jpg","https://dpmzos25m8ivg.cloudfront.net/Documentos/631/05220738321/6310522073832107092023103145.jpg")</f>
        <v>https://dpmzos25m8ivg.cloudfront.net/Documentos/631/05220738321/6310522073832107092023103145.jpg</v>
      </c>
      <c r="F2322" s="5" t="str">
        <f>HYPERLINK("https://dpmzos25m8ivg.cloudfront.net/Documentos/631/05220738321/6310522073832107092023103203.jpg","https://dpmzos25m8ivg.cloudfront.net/Documentos/631/05220738321/6310522073832107092023103203.jpg")</f>
        <v>https://dpmzos25m8ivg.cloudfront.net/Documentos/631/05220738321/6310522073832107092023103203.jpg</v>
      </c>
      <c r="G2322" s="5" t="str">
        <f>HYPERLINK("https://dpmzos25m8ivg.cloudfront.net/Documentos/631/05220738321/6310522073832107092023103221.jpg","https://dpmzos25m8ivg.cloudfront.net/Documentos/631/05220738321/6310522073832107092023103221.jpg")</f>
        <v>https://dpmzos25m8ivg.cloudfront.net/Documentos/631/05220738321/6310522073832107092023103221.jpg</v>
      </c>
      <c r="H2322" s="5" t="s">
        <v>10901</v>
      </c>
    </row>
    <row r="2323" spans="1:8" x14ac:dyDescent="0.25">
      <c r="A2323" s="2" t="s">
        <v>2338</v>
      </c>
      <c r="B2323" s="3"/>
      <c r="C2323" s="3"/>
      <c r="D2323" s="3"/>
      <c r="E2323" s="5" t="str">
        <f>HYPERLINK("https://dpmzos25m8ivg.cloudfront.net/Documentos/631/05221001390/6310522100139010092023160530.pdf","https://dpmzos25m8ivg.cloudfront.net/Documentos/631/05221001390/6310522100139010092023160530.pdf")</f>
        <v>https://dpmzos25m8ivg.cloudfront.net/Documentos/631/05221001390/6310522100139010092023160530.pdf</v>
      </c>
      <c r="F2323" s="5" t="str">
        <f>HYPERLINK("https://dpmzos25m8ivg.cloudfront.net/Documentos/631/05221001390/6310522100139010092023160553.pdf","https://dpmzos25m8ivg.cloudfront.net/Documentos/631/05221001390/6310522100139010092023160553.pdf")</f>
        <v>https://dpmzos25m8ivg.cloudfront.net/Documentos/631/05221001390/6310522100139010092023160553.pdf</v>
      </c>
      <c r="G2323" s="5" t="str">
        <f>HYPERLINK("https://dpmzos25m8ivg.cloudfront.net/Documentos/631/05221001390/6310522100139010092023160626.pdf","https://dpmzos25m8ivg.cloudfront.net/Documentos/631/05221001390/6310522100139010092023160626.pdf")</f>
        <v>https://dpmzos25m8ivg.cloudfront.net/Documentos/631/05221001390/6310522100139010092023160626.pdf</v>
      </c>
      <c r="H2323" s="5" t="s">
        <v>10902</v>
      </c>
    </row>
    <row r="2324" spans="1:8" x14ac:dyDescent="0.25">
      <c r="A2324" s="2" t="s">
        <v>2339</v>
      </c>
      <c r="B2324" s="3" t="s">
        <v>8</v>
      </c>
      <c r="C2324" s="3"/>
      <c r="D2324" s="3"/>
      <c r="E2324" s="5" t="str">
        <f>HYPERLINK("https://dpmzos25m8ivg.cloudfront.net/Documentos/631/05222256596/6310522225659614092023141609.pdf","https://dpmzos25m8ivg.cloudfront.net/Documentos/631/05222256596/6310522225659614092023141609.pdf")</f>
        <v>https://dpmzos25m8ivg.cloudfront.net/Documentos/631/05222256596/6310522225659614092023141609.pdf</v>
      </c>
      <c r="F2324" s="5" t="str">
        <f>HYPERLINK("https://dpmzos25m8ivg.cloudfront.net/Documentos/631/05222256596/6310522225659614092023141743.pdf","https://dpmzos25m8ivg.cloudfront.net/Documentos/631/05222256596/6310522225659614092023141743.pdf")</f>
        <v>https://dpmzos25m8ivg.cloudfront.net/Documentos/631/05222256596/6310522225659614092023141743.pdf</v>
      </c>
      <c r="G2324" s="5" t="str">
        <f>HYPERLINK("https://dpmzos25m8ivg.cloudfront.net/Documentos/631/05222256596/6310522225659614092023141818.pdf","https://dpmzos25m8ivg.cloudfront.net/Documentos/631/05222256596/6310522225659614092023141818.pdf")</f>
        <v>https://dpmzos25m8ivg.cloudfront.net/Documentos/631/05222256596/6310522225659614092023141818.pdf</v>
      </c>
      <c r="H2324" s="5" t="s">
        <v>10903</v>
      </c>
    </row>
    <row r="2325" spans="1:8" x14ac:dyDescent="0.25">
      <c r="A2325" s="2" t="s">
        <v>2340</v>
      </c>
      <c r="B2325" s="3"/>
      <c r="C2325" s="3"/>
      <c r="D2325" s="3"/>
      <c r="E2325" s="5" t="str">
        <f>HYPERLINK("https://dpmzos25m8ivg.cloudfront.net/Documentos/631/05222942198/6310522294219814092023161742.pdf","https://dpmzos25m8ivg.cloudfront.net/Documentos/631/05222942198/6310522294219814092023161742.pdf")</f>
        <v>https://dpmzos25m8ivg.cloudfront.net/Documentos/631/05222942198/6310522294219814092023161742.pdf</v>
      </c>
      <c r="F2325" s="5" t="str">
        <f>HYPERLINK("https://dpmzos25m8ivg.cloudfront.net/Documentos/631/05222942198/6310522294219814092023161748.pdf","https://dpmzos25m8ivg.cloudfront.net/Documentos/631/05222942198/6310522294219814092023161748.pdf")</f>
        <v>https://dpmzos25m8ivg.cloudfront.net/Documentos/631/05222942198/6310522294219814092023161748.pdf</v>
      </c>
      <c r="G2325" s="5" t="str">
        <f>HYPERLINK("https://dpmzos25m8ivg.cloudfront.net/Documentos/631/05222942198/6310522294219814092023161758.pdf","https://dpmzos25m8ivg.cloudfront.net/Documentos/631/05222942198/6310522294219814092023161758.pdf")</f>
        <v>https://dpmzos25m8ivg.cloudfront.net/Documentos/631/05222942198/6310522294219814092023161758.pdf</v>
      </c>
      <c r="H2325" s="5" t="s">
        <v>10904</v>
      </c>
    </row>
    <row r="2326" spans="1:8" x14ac:dyDescent="0.25">
      <c r="A2326" s="2" t="s">
        <v>2341</v>
      </c>
      <c r="B2326" s="3"/>
      <c r="C2326" s="3"/>
      <c r="D2326" s="3"/>
      <c r="E2326" s="5" t="str">
        <f>HYPERLINK("https://dpmzos25m8ivg.cloudfront.net/Documentos/631/05223190688/6310522319068811092023164341.pdf","https://dpmzos25m8ivg.cloudfront.net/Documentos/631/05223190688/6310522319068811092023164341.pdf")</f>
        <v>https://dpmzos25m8ivg.cloudfront.net/Documentos/631/05223190688/6310522319068811092023164341.pdf</v>
      </c>
      <c r="F2326" s="5" t="str">
        <f>HYPERLINK("https://dpmzos25m8ivg.cloudfront.net/Documentos/631/05223190688/6310522319068811092023164420.pdf","https://dpmzos25m8ivg.cloudfront.net/Documentos/631/05223190688/6310522319068811092023164420.pdf")</f>
        <v>https://dpmzos25m8ivg.cloudfront.net/Documentos/631/05223190688/6310522319068811092023164420.pdf</v>
      </c>
      <c r="G2326" s="5" t="str">
        <f>HYPERLINK("https://dpmzos25m8ivg.cloudfront.net/Documentos/631/05223190688/6310522319068811092023164440.pdf","https://dpmzos25m8ivg.cloudfront.net/Documentos/631/05223190688/6310522319068811092023164440.pdf")</f>
        <v>https://dpmzos25m8ivg.cloudfront.net/Documentos/631/05223190688/6310522319068811092023164440.pdf</v>
      </c>
      <c r="H2326" s="5" t="s">
        <v>10905</v>
      </c>
    </row>
    <row r="2327" spans="1:8" x14ac:dyDescent="0.25">
      <c r="A2327" s="2" t="s">
        <v>2342</v>
      </c>
      <c r="B2327" s="3" t="s">
        <v>8</v>
      </c>
      <c r="C2327" s="3"/>
      <c r="D2327" s="3"/>
      <c r="E2327" s="5" t="str">
        <f>HYPERLINK("https://dpmzos25m8ivg.cloudfront.net/Documentos/631/05226739109/6310522673910911092023124212.jpg","https://dpmzos25m8ivg.cloudfront.net/Documentos/631/05226739109/6310522673910911092023124212.jpg")</f>
        <v>https://dpmzos25m8ivg.cloudfront.net/Documentos/631/05226739109/6310522673910911092023124212.jpg</v>
      </c>
      <c r="F2327" s="5" t="str">
        <f>HYPERLINK("https://dpmzos25m8ivg.cloudfront.net/Documentos/631/05226739109/6310522673910911092023124235.jpg","https://dpmzos25m8ivg.cloudfront.net/Documentos/631/05226739109/6310522673910911092023124235.jpg")</f>
        <v>https://dpmzos25m8ivg.cloudfront.net/Documentos/631/05226739109/6310522673910911092023124235.jpg</v>
      </c>
      <c r="G2327" s="5" t="str">
        <f>HYPERLINK("https://dpmzos25m8ivg.cloudfront.net/Documentos/631/05226739109/6310522673910911092023124247.jpg","https://dpmzos25m8ivg.cloudfront.net/Documentos/631/05226739109/6310522673910911092023124247.jpg")</f>
        <v>https://dpmzos25m8ivg.cloudfront.net/Documentos/631/05226739109/6310522673910911092023124247.jpg</v>
      </c>
      <c r="H2327" s="5" t="s">
        <v>10906</v>
      </c>
    </row>
    <row r="2328" spans="1:8" x14ac:dyDescent="0.25">
      <c r="A2328" s="2" t="s">
        <v>2343</v>
      </c>
      <c r="B2328" s="3"/>
      <c r="C2328" s="3"/>
      <c r="D2328" s="3"/>
      <c r="E2328" s="5" t="str">
        <f>HYPERLINK("https://dpmzos25m8ivg.cloudfront.net/Documentos/631/05227891109/6310522789110907092023123553.jpg","https://dpmzos25m8ivg.cloudfront.net/Documentos/631/05227891109/6310522789110907092023123553.jpg")</f>
        <v>https://dpmzos25m8ivg.cloudfront.net/Documentos/631/05227891109/6310522789110907092023123553.jpg</v>
      </c>
      <c r="F2328" s="5" t="str">
        <f>HYPERLINK("https://dpmzos25m8ivg.cloudfront.net/Documentos/631/05227891109/6310522789110907092023123650.jpg","https://dpmzos25m8ivg.cloudfront.net/Documentos/631/05227891109/6310522789110907092023123650.jpg")</f>
        <v>https://dpmzos25m8ivg.cloudfront.net/Documentos/631/05227891109/6310522789110907092023123650.jpg</v>
      </c>
      <c r="G2328" s="5" t="str">
        <f>HYPERLINK("https://dpmzos25m8ivg.cloudfront.net/Documentos/631/05227891109/6310522789110907092023123733.jpg","https://dpmzos25m8ivg.cloudfront.net/Documentos/631/05227891109/6310522789110907092023123733.jpg")</f>
        <v>https://dpmzos25m8ivg.cloudfront.net/Documentos/631/05227891109/6310522789110907092023123733.jpg</v>
      </c>
      <c r="H2328" s="5" t="s">
        <v>10907</v>
      </c>
    </row>
    <row r="2329" spans="1:8" x14ac:dyDescent="0.25">
      <c r="A2329" s="2" t="s">
        <v>2344</v>
      </c>
      <c r="B2329" s="3" t="s">
        <v>197</v>
      </c>
      <c r="C2329" s="3"/>
      <c r="D2329" s="3"/>
      <c r="E2329" s="5" t="str">
        <f>HYPERLINK("https://dpmzos25m8ivg.cloudfront.net/Documentos/631/05233227711/6310523322771112092023180822.pdf","https://dpmzos25m8ivg.cloudfront.net/Documentos/631/05233227711/6310523322771112092023180822.pdf")</f>
        <v>https://dpmzos25m8ivg.cloudfront.net/Documentos/631/05233227711/6310523322771112092023180822.pdf</v>
      </c>
      <c r="F2329" s="5" t="str">
        <f>HYPERLINK("https://dpmzos25m8ivg.cloudfront.net/Documentos/631/05233227711/6310523322771112092023180841.pdf","https://dpmzos25m8ivg.cloudfront.net/Documentos/631/05233227711/6310523322771112092023180841.pdf")</f>
        <v>https://dpmzos25m8ivg.cloudfront.net/Documentos/631/05233227711/6310523322771112092023180841.pdf</v>
      </c>
      <c r="G2329" s="5" t="str">
        <f>HYPERLINK("https://dpmzos25m8ivg.cloudfront.net/Documentos/631/05233227711/6310523322771112092023180856.pdf","https://dpmzos25m8ivg.cloudfront.net/Documentos/631/05233227711/6310523322771112092023180856.pdf")</f>
        <v>https://dpmzos25m8ivg.cloudfront.net/Documentos/631/05233227711/6310523322771112092023180856.pdf</v>
      </c>
      <c r="H2329" s="5" t="s">
        <v>10908</v>
      </c>
    </row>
    <row r="2330" spans="1:8" x14ac:dyDescent="0.25">
      <c r="A2330" s="2" t="s">
        <v>2345</v>
      </c>
      <c r="B2330" s="3"/>
      <c r="C2330" s="3"/>
      <c r="D2330" s="3"/>
      <c r="E2330" s="5" t="str">
        <f>HYPERLINK("https://dpmzos25m8ivg.cloudfront.net/Documentos/631/05237881505/6310523788150505092023231732.pdf","https://dpmzos25m8ivg.cloudfront.net/Documentos/631/05237881505/6310523788150505092023231732.pdf")</f>
        <v>https://dpmzos25m8ivg.cloudfront.net/Documentos/631/05237881505/6310523788150505092023231732.pdf</v>
      </c>
      <c r="F2330" s="5" t="str">
        <f>HYPERLINK("https://dpmzos25m8ivg.cloudfront.net/Documentos/631/05237881505/6310523788150505092023231811.pdf","https://dpmzos25m8ivg.cloudfront.net/Documentos/631/05237881505/6310523788150505092023231811.pdf")</f>
        <v>https://dpmzos25m8ivg.cloudfront.net/Documentos/631/05237881505/6310523788150505092023231811.pdf</v>
      </c>
      <c r="G2330" s="5" t="str">
        <f>HYPERLINK("https://dpmzos25m8ivg.cloudfront.net/Documentos/631/05237881505/6310523788150505092023231831.pdf","https://dpmzos25m8ivg.cloudfront.net/Documentos/631/05237881505/6310523788150505092023231831.pdf")</f>
        <v>https://dpmzos25m8ivg.cloudfront.net/Documentos/631/05237881505/6310523788150505092023231831.pdf</v>
      </c>
      <c r="H2330" s="5" t="s">
        <v>10909</v>
      </c>
    </row>
    <row r="2331" spans="1:8" x14ac:dyDescent="0.25">
      <c r="A2331" s="2" t="s">
        <v>2346</v>
      </c>
      <c r="B2331" s="3"/>
      <c r="C2331" s="3"/>
      <c r="D2331" s="3"/>
      <c r="E2331" s="5" t="str">
        <f>HYPERLINK("https://dpmzos25m8ivg.cloudfront.net/Documentos/631/05239034133/6310523903413314092023104042.pdf","https://dpmzos25m8ivg.cloudfront.net/Documentos/631/05239034133/6310523903413314092023104042.pdf")</f>
        <v>https://dpmzos25m8ivg.cloudfront.net/Documentos/631/05239034133/6310523903413314092023104042.pdf</v>
      </c>
      <c r="F2331" s="5" t="str">
        <f>HYPERLINK("https://dpmzos25m8ivg.cloudfront.net/Documentos/631/05239034133/6310523903413314092023104135.pdf","https://dpmzos25m8ivg.cloudfront.net/Documentos/631/05239034133/6310523903413314092023104135.pdf")</f>
        <v>https://dpmzos25m8ivg.cloudfront.net/Documentos/631/05239034133/6310523903413314092023104135.pdf</v>
      </c>
      <c r="G2331" s="5" t="str">
        <f>HYPERLINK("https://dpmzos25m8ivg.cloudfront.net/Documentos/631/05239034133/6310523903413314092023104214.pdf","https://dpmzos25m8ivg.cloudfront.net/Documentos/631/05239034133/6310523903413314092023104214.pdf")</f>
        <v>https://dpmzos25m8ivg.cloudfront.net/Documentos/631/05239034133/6310523903413314092023104214.pdf</v>
      </c>
      <c r="H2331" s="5" t="s">
        <v>10910</v>
      </c>
    </row>
    <row r="2332" spans="1:8" x14ac:dyDescent="0.25">
      <c r="A2332" s="2" t="s">
        <v>2347</v>
      </c>
      <c r="B2332" s="3"/>
      <c r="C2332" s="3"/>
      <c r="D2332" s="3"/>
      <c r="E2332" s="5" t="str">
        <f>HYPERLINK("https://dpmzos25m8ivg.cloudfront.net/Documentos/631/05239235465/6310523923546508092023160716.pdf","https://dpmzos25m8ivg.cloudfront.net/Documentos/631/05239235465/6310523923546508092023160716.pdf")</f>
        <v>https://dpmzos25m8ivg.cloudfront.net/Documentos/631/05239235465/6310523923546508092023160716.pdf</v>
      </c>
      <c r="F2332" s="5" t="str">
        <f>HYPERLINK("https://dpmzos25m8ivg.cloudfront.net/Documentos/631/05239235465/6310523923546508092023160816.pdf","https://dpmzos25m8ivg.cloudfront.net/Documentos/631/05239235465/6310523923546508092023160816.pdf")</f>
        <v>https://dpmzos25m8ivg.cloudfront.net/Documentos/631/05239235465/6310523923546508092023160816.pdf</v>
      </c>
      <c r="G2332" s="5" t="str">
        <f>HYPERLINK("https://dpmzos25m8ivg.cloudfront.net/Documentos/631/05239235465/6310523923546508092023160829.pdf","https://dpmzos25m8ivg.cloudfront.net/Documentos/631/05239235465/6310523923546508092023160829.pdf")</f>
        <v>https://dpmzos25m8ivg.cloudfront.net/Documentos/631/05239235465/6310523923546508092023160829.pdf</v>
      </c>
      <c r="H2332" s="5" t="s">
        <v>10911</v>
      </c>
    </row>
    <row r="2333" spans="1:8" x14ac:dyDescent="0.25">
      <c r="A2333" s="2" t="s">
        <v>2348</v>
      </c>
      <c r="B2333" s="3"/>
      <c r="C2333" s="3"/>
      <c r="D2333" s="3"/>
      <c r="E2333" s="5" t="str">
        <f>HYPERLINK("https://dpmzos25m8ivg.cloudfront.net/Documentos/631/05239749493/6310523974949314092023094140.jpeg","https://dpmzos25m8ivg.cloudfront.net/Documentos/631/05239749493/6310523974949314092023094140.jpeg")</f>
        <v>https://dpmzos25m8ivg.cloudfront.net/Documentos/631/05239749493/6310523974949314092023094140.jpeg</v>
      </c>
      <c r="F2333" s="5" t="str">
        <f>HYPERLINK("https://dpmzos25m8ivg.cloudfront.net/Documentos/631/05239749493/6310523974949314092023094116.jpeg","https://dpmzos25m8ivg.cloudfront.net/Documentos/631/05239749493/6310523974949314092023094116.jpeg")</f>
        <v>https://dpmzos25m8ivg.cloudfront.net/Documentos/631/05239749493/6310523974949314092023094116.jpeg</v>
      </c>
      <c r="G2333" s="5" t="str">
        <f>HYPERLINK("https://dpmzos25m8ivg.cloudfront.net/Documentos/631/05239749493/6310523974949314092023094058.jpeg","https://dpmzos25m8ivg.cloudfront.net/Documentos/631/05239749493/6310523974949314092023094058.jpeg")</f>
        <v>https://dpmzos25m8ivg.cloudfront.net/Documentos/631/05239749493/6310523974949314092023094058.jpeg</v>
      </c>
      <c r="H2333" s="5" t="s">
        <v>10912</v>
      </c>
    </row>
    <row r="2334" spans="1:8" x14ac:dyDescent="0.25">
      <c r="A2334" s="2" t="s">
        <v>2349</v>
      </c>
      <c r="B2334" s="3"/>
      <c r="C2334" s="3"/>
      <c r="D2334" s="3"/>
      <c r="E2334" s="5" t="str">
        <f>HYPERLINK("https://dpmzos25m8ivg.cloudfront.net/Documentos/631/05239815380/6310523981538005092023092159.pdf","https://dpmzos25m8ivg.cloudfront.net/Documentos/631/05239815380/6310523981538005092023092159.pdf")</f>
        <v>https://dpmzos25m8ivg.cloudfront.net/Documentos/631/05239815380/6310523981538005092023092159.pdf</v>
      </c>
      <c r="F2334" s="5" t="str">
        <f>HYPERLINK("https://dpmzos25m8ivg.cloudfront.net/Documentos/631/05239815380/6310523981538005092023092208.pdf","https://dpmzos25m8ivg.cloudfront.net/Documentos/631/05239815380/6310523981538005092023092208.pdf")</f>
        <v>https://dpmzos25m8ivg.cloudfront.net/Documentos/631/05239815380/6310523981538005092023092208.pdf</v>
      </c>
      <c r="G2334" s="5" t="str">
        <f>HYPERLINK("https://dpmzos25m8ivg.cloudfront.net/Documentos/631/05239815380/6310523981538005092023092217.pdf","https://dpmzos25m8ivg.cloudfront.net/Documentos/631/05239815380/6310523981538005092023092217.pdf")</f>
        <v>https://dpmzos25m8ivg.cloudfront.net/Documentos/631/05239815380/6310523981538005092023092217.pdf</v>
      </c>
      <c r="H2334" s="5" t="s">
        <v>10913</v>
      </c>
    </row>
    <row r="2335" spans="1:8" x14ac:dyDescent="0.25">
      <c r="A2335" s="2" t="s">
        <v>2350</v>
      </c>
      <c r="B2335" s="3" t="s">
        <v>23</v>
      </c>
      <c r="C2335" s="3"/>
      <c r="D2335" s="3"/>
      <c r="E2335" s="5" t="str">
        <f>HYPERLINK("https://dpmzos25m8ivg.cloudfront.net/Documentos/631/05243265764/6310524326576411092023160059.jpg","https://dpmzos25m8ivg.cloudfront.net/Documentos/631/05243265764/6310524326576411092023160059.jpg")</f>
        <v>https://dpmzos25m8ivg.cloudfront.net/Documentos/631/05243265764/6310524326576411092023160059.jpg</v>
      </c>
      <c r="F2335" s="5" t="str">
        <f>HYPERLINK("https://dpmzos25m8ivg.cloudfront.net/Documentos/631/05243265764/6310524326576411092023160117.jpg","https://dpmzos25m8ivg.cloudfront.net/Documentos/631/05243265764/6310524326576411092023160117.jpg")</f>
        <v>https://dpmzos25m8ivg.cloudfront.net/Documentos/631/05243265764/6310524326576411092023160117.jpg</v>
      </c>
      <c r="G2335" s="5" t="str">
        <f>HYPERLINK("https://dpmzos25m8ivg.cloudfront.net/Documentos/631/05243265764/6310524326576411092023160133.jpg","https://dpmzos25m8ivg.cloudfront.net/Documentos/631/05243265764/6310524326576411092023160133.jpg")</f>
        <v>https://dpmzos25m8ivg.cloudfront.net/Documentos/631/05243265764/6310524326576411092023160133.jpg</v>
      </c>
      <c r="H2335" s="5" t="s">
        <v>10914</v>
      </c>
    </row>
    <row r="2336" spans="1:8" x14ac:dyDescent="0.25">
      <c r="A2336" s="2" t="s">
        <v>2351</v>
      </c>
      <c r="B2336" s="3" t="s">
        <v>8</v>
      </c>
      <c r="C2336" s="3"/>
      <c r="D2336" s="3"/>
      <c r="E2336" s="5" t="str">
        <f>HYPERLINK("https://dpmzos25m8ivg.cloudfront.net/Documentos/631/05244922556/6310524492255605092023191651.jpg","https://dpmzos25m8ivg.cloudfront.net/Documentos/631/05244922556/6310524492255605092023191651.jpg")</f>
        <v>https://dpmzos25m8ivg.cloudfront.net/Documentos/631/05244922556/6310524492255605092023191651.jpg</v>
      </c>
      <c r="F2336" s="5" t="str">
        <f>HYPERLINK("https://dpmzos25m8ivg.cloudfront.net/Documentos/631/05244922556/6310524492255605092023191710.jpg","https://dpmzos25m8ivg.cloudfront.net/Documentos/631/05244922556/6310524492255605092023191710.jpg")</f>
        <v>https://dpmzos25m8ivg.cloudfront.net/Documentos/631/05244922556/6310524492255605092023191710.jpg</v>
      </c>
      <c r="G2336" s="5" t="str">
        <f>HYPERLINK("https://dpmzos25m8ivg.cloudfront.net/Documentos/631/05244922556/6310524492255605092023191726.jpg","https://dpmzos25m8ivg.cloudfront.net/Documentos/631/05244922556/6310524492255605092023191726.jpg")</f>
        <v>https://dpmzos25m8ivg.cloudfront.net/Documentos/631/05244922556/6310524492255605092023191726.jpg</v>
      </c>
      <c r="H2336" s="5" t="s">
        <v>10915</v>
      </c>
    </row>
    <row r="2337" spans="1:8" x14ac:dyDescent="0.25">
      <c r="A2337" s="2" t="s">
        <v>2352</v>
      </c>
      <c r="B2337" s="3"/>
      <c r="C2337" s="3"/>
      <c r="D2337" s="3"/>
      <c r="E2337" s="5" t="str">
        <f>HYPERLINK("https://dpmzos25m8ivg.cloudfront.net/Documentos/631/05245289180/6310524528918005092023140815.pdf","https://dpmzos25m8ivg.cloudfront.net/Documentos/631/05245289180/6310524528918005092023140815.pdf")</f>
        <v>https://dpmzos25m8ivg.cloudfront.net/Documentos/631/05245289180/6310524528918005092023140815.pdf</v>
      </c>
      <c r="F2337" s="5" t="str">
        <f>HYPERLINK("https://dpmzos25m8ivg.cloudfront.net/Documentos/631/05245289180/6310524528918005092023140827.pdf","https://dpmzos25m8ivg.cloudfront.net/Documentos/631/05245289180/6310524528918005092023140827.pdf")</f>
        <v>https://dpmzos25m8ivg.cloudfront.net/Documentos/631/05245289180/6310524528918005092023140827.pdf</v>
      </c>
      <c r="G2337" s="5" t="str">
        <f>HYPERLINK("https://dpmzos25m8ivg.cloudfront.net/Documentos/631/05245289180/6310524528918005092023140840.pdf","https://dpmzos25m8ivg.cloudfront.net/Documentos/631/05245289180/6310524528918005092023140840.pdf")</f>
        <v>https://dpmzos25m8ivg.cloudfront.net/Documentos/631/05245289180/6310524528918005092023140840.pdf</v>
      </c>
      <c r="H2337" s="5" t="s">
        <v>10916</v>
      </c>
    </row>
    <row r="2338" spans="1:8" x14ac:dyDescent="0.25">
      <c r="A2338" s="2" t="s">
        <v>2353</v>
      </c>
      <c r="B2338" s="3"/>
      <c r="C2338" s="3"/>
      <c r="D2338" s="3"/>
      <c r="E2338" s="5" t="str">
        <f>HYPERLINK("https://dpmzos25m8ivg.cloudfront.net/Documentos/631/05245428130/6310524542813008092023211606.pdf","https://dpmzos25m8ivg.cloudfront.net/Documentos/631/05245428130/6310524542813008092023211606.pdf")</f>
        <v>https://dpmzos25m8ivg.cloudfront.net/Documentos/631/05245428130/6310524542813008092023211606.pdf</v>
      </c>
      <c r="F2338" s="5" t="str">
        <f>HYPERLINK("https://dpmzos25m8ivg.cloudfront.net/Documentos/631/05245428130/6310524542813008092023211618.pdf","https://dpmzos25m8ivg.cloudfront.net/Documentos/631/05245428130/6310524542813008092023211618.pdf")</f>
        <v>https://dpmzos25m8ivg.cloudfront.net/Documentos/631/05245428130/6310524542813008092023211618.pdf</v>
      </c>
      <c r="G2338" s="5" t="str">
        <f>HYPERLINK("https://dpmzos25m8ivg.cloudfront.net/Documentos/631/05245428130/6310524542813008092023211625.pdf","https://dpmzos25m8ivg.cloudfront.net/Documentos/631/05245428130/6310524542813008092023211625.pdf")</f>
        <v>https://dpmzos25m8ivg.cloudfront.net/Documentos/631/05245428130/6310524542813008092023211625.pdf</v>
      </c>
      <c r="H2338" s="5" t="s">
        <v>10917</v>
      </c>
    </row>
    <row r="2339" spans="1:8" x14ac:dyDescent="0.25">
      <c r="A2339" s="2" t="s">
        <v>2354</v>
      </c>
      <c r="B2339" s="3"/>
      <c r="C2339" s="3"/>
      <c r="D2339" s="3"/>
      <c r="E2339" s="5" t="str">
        <f>HYPERLINK("https://dpmzos25m8ivg.cloudfront.net/Documentos/631/05245536102/6310524553610205092023231735.jpg","https://dpmzos25m8ivg.cloudfront.net/Documentos/631/05245536102/6310524553610205092023231735.jpg")</f>
        <v>https://dpmzos25m8ivg.cloudfront.net/Documentos/631/05245536102/6310524553610205092023231735.jpg</v>
      </c>
      <c r="F2339" s="5" t="str">
        <f>HYPERLINK("https://dpmzos25m8ivg.cloudfront.net/Documentos/631/05245536102/6310524553610205092023231742.jpg","https://dpmzos25m8ivg.cloudfront.net/Documentos/631/05245536102/6310524553610205092023231742.jpg")</f>
        <v>https://dpmzos25m8ivg.cloudfront.net/Documentos/631/05245536102/6310524553610205092023231742.jpg</v>
      </c>
      <c r="G2339" s="5" t="str">
        <f>HYPERLINK("https://dpmzos25m8ivg.cloudfront.net/Documentos/631/05245536102/6310524553610205092023231749.jpg","https://dpmzos25m8ivg.cloudfront.net/Documentos/631/05245536102/6310524553610205092023231749.jpg")</f>
        <v>https://dpmzos25m8ivg.cloudfront.net/Documentos/631/05245536102/6310524553610205092023231749.jpg</v>
      </c>
      <c r="H2339" s="5" t="s">
        <v>10918</v>
      </c>
    </row>
    <row r="2340" spans="1:8" x14ac:dyDescent="0.25">
      <c r="A2340" s="2" t="s">
        <v>2355</v>
      </c>
      <c r="B2340" s="3" t="s">
        <v>8</v>
      </c>
      <c r="C2340" s="3"/>
      <c r="D2340" s="3"/>
      <c r="E2340" s="5" t="str">
        <f>HYPERLINK("https://dpmzos25m8ivg.cloudfront.net/Documentos/631/05246212173/6310524621217311092023164615.pdf","https://dpmzos25m8ivg.cloudfront.net/Documentos/631/05246212173/6310524621217311092023164615.pdf")</f>
        <v>https://dpmzos25m8ivg.cloudfront.net/Documentos/631/05246212173/6310524621217311092023164615.pdf</v>
      </c>
      <c r="F2340" s="5" t="str">
        <f>HYPERLINK("https://dpmzos25m8ivg.cloudfront.net/Documentos/631/05246212173/6310524621217311092023164632.pdf","https://dpmzos25m8ivg.cloudfront.net/Documentos/631/05246212173/6310524621217311092023164632.pdf")</f>
        <v>https://dpmzos25m8ivg.cloudfront.net/Documentos/631/05246212173/6310524621217311092023164632.pdf</v>
      </c>
      <c r="G2340" s="5" t="str">
        <f>HYPERLINK("https://dpmzos25m8ivg.cloudfront.net/Documentos/631/05246212173/6310524621217311092023164645.pdf","https://dpmzos25m8ivg.cloudfront.net/Documentos/631/05246212173/6310524621217311092023164645.pdf")</f>
        <v>https://dpmzos25m8ivg.cloudfront.net/Documentos/631/05246212173/6310524621217311092023164645.pdf</v>
      </c>
      <c r="H2340" s="5" t="s">
        <v>10919</v>
      </c>
    </row>
    <row r="2341" spans="1:8" x14ac:dyDescent="0.25">
      <c r="A2341" s="2" t="s">
        <v>2356</v>
      </c>
      <c r="B2341" s="3" t="s">
        <v>8</v>
      </c>
      <c r="C2341" s="3"/>
      <c r="D2341" s="3"/>
      <c r="E2341" s="5" t="str">
        <f>HYPERLINK("https://dpmzos25m8ivg.cloudfront.net/Documentos/631/05247095561/6310524709556105092023122844.pdf","https://dpmzos25m8ivg.cloudfront.net/Documentos/631/05247095561/6310524709556105092023122844.pdf")</f>
        <v>https://dpmzos25m8ivg.cloudfront.net/Documentos/631/05247095561/6310524709556105092023122844.pdf</v>
      </c>
      <c r="F2341" s="5" t="str">
        <f>HYPERLINK("https://dpmzos25m8ivg.cloudfront.net/Documentos/631/05247095561/6310524709556105092023122900.pdf","https://dpmzos25m8ivg.cloudfront.net/Documentos/631/05247095561/6310524709556105092023122900.pdf")</f>
        <v>https://dpmzos25m8ivg.cloudfront.net/Documentos/631/05247095561/6310524709556105092023122900.pdf</v>
      </c>
      <c r="G2341" s="5" t="str">
        <f>HYPERLINK("https://dpmzos25m8ivg.cloudfront.net/Documentos/631/05247095561/6310524709556105092023122914.pdf","https://dpmzos25m8ivg.cloudfront.net/Documentos/631/05247095561/6310524709556105092023122914.pdf")</f>
        <v>https://dpmzos25m8ivg.cloudfront.net/Documentos/631/05247095561/6310524709556105092023122914.pdf</v>
      </c>
      <c r="H2341" s="5" t="s">
        <v>10920</v>
      </c>
    </row>
    <row r="2342" spans="1:8" x14ac:dyDescent="0.25">
      <c r="A2342" s="2" t="s">
        <v>2357</v>
      </c>
      <c r="B2342" s="3" t="s">
        <v>2358</v>
      </c>
      <c r="C2342" s="3"/>
      <c r="D2342" s="3"/>
      <c r="E2342" s="5" t="str">
        <f>HYPERLINK("https://dpmzos25m8ivg.cloudfront.net/Documentos/631/05249096875/6310524909687505092023185041.jpg","https://dpmzos25m8ivg.cloudfront.net/Documentos/631/05249096875/6310524909687505092023185041.jpg")</f>
        <v>https://dpmzos25m8ivg.cloudfront.net/Documentos/631/05249096875/6310524909687505092023185041.jpg</v>
      </c>
      <c r="F2342" s="5" t="str">
        <f>HYPERLINK("https://dpmzos25m8ivg.cloudfront.net/Documentos/631/05249096875/6310524909687505092023185058.jpg","https://dpmzos25m8ivg.cloudfront.net/Documentos/631/05249096875/6310524909687505092023185058.jpg")</f>
        <v>https://dpmzos25m8ivg.cloudfront.net/Documentos/631/05249096875/6310524909687505092023185058.jpg</v>
      </c>
      <c r="G2342" s="5" t="str">
        <f>HYPERLINK("https://dpmzos25m8ivg.cloudfront.net/Documentos/631/05249096875/6310524909687505092023185115.jpg","https://dpmzos25m8ivg.cloudfront.net/Documentos/631/05249096875/6310524909687505092023185115.jpg")</f>
        <v>https://dpmzos25m8ivg.cloudfront.net/Documentos/631/05249096875/6310524909687505092023185115.jpg</v>
      </c>
      <c r="H2342" s="5" t="s">
        <v>10921</v>
      </c>
    </row>
    <row r="2343" spans="1:8" x14ac:dyDescent="0.25">
      <c r="A2343" s="2" t="s">
        <v>2359</v>
      </c>
      <c r="B2343" s="3" t="s">
        <v>2358</v>
      </c>
      <c r="C2343" s="3"/>
      <c r="D2343" s="3"/>
      <c r="E2343" s="5" t="str">
        <f>HYPERLINK("https://dpmzos25m8ivg.cloudfront.net/Documentos/631/05249916180/6310524991618014092023163242.pdf","https://dpmzos25m8ivg.cloudfront.net/Documentos/631/05249916180/6310524991618014092023163242.pdf")</f>
        <v>https://dpmzos25m8ivg.cloudfront.net/Documentos/631/05249916180/6310524991618014092023163242.pdf</v>
      </c>
      <c r="F2343" s="5" t="str">
        <f>HYPERLINK("https://dpmzos25m8ivg.cloudfront.net/Documentos/631/05249916180/6310524991618014092023163251.pdf","https://dpmzos25m8ivg.cloudfront.net/Documentos/631/05249916180/6310524991618014092023163251.pdf")</f>
        <v>https://dpmzos25m8ivg.cloudfront.net/Documentos/631/05249916180/6310524991618014092023163251.pdf</v>
      </c>
      <c r="G2343" s="5" t="str">
        <f>HYPERLINK("https://dpmzos25m8ivg.cloudfront.net/Documentos/631/05249916180/6310524991618014092023163312.pdf","https://dpmzos25m8ivg.cloudfront.net/Documentos/631/05249916180/6310524991618014092023163312.pdf")</f>
        <v>https://dpmzos25m8ivg.cloudfront.net/Documentos/631/05249916180/6310524991618014092023163312.pdf</v>
      </c>
      <c r="H2343" s="5" t="s">
        <v>10922</v>
      </c>
    </row>
    <row r="2344" spans="1:8" x14ac:dyDescent="0.25">
      <c r="A2344" s="2" t="s">
        <v>2360</v>
      </c>
      <c r="B2344" s="3"/>
      <c r="C2344" s="3"/>
      <c r="D2344" s="3"/>
      <c r="E2344" s="5" t="str">
        <f>HYPERLINK("https://dpmzos25m8ivg.cloudfront.net/Documentos/631/05249948626/6310524994862611092023155550.pdf","https://dpmzos25m8ivg.cloudfront.net/Documentos/631/05249948626/6310524994862611092023155550.pdf")</f>
        <v>https://dpmzos25m8ivg.cloudfront.net/Documentos/631/05249948626/6310524994862611092023155550.pdf</v>
      </c>
      <c r="F2344" s="5" t="str">
        <f>HYPERLINK("https://dpmzos25m8ivg.cloudfront.net/Documentos/631/05249948626/6310524994862611092023155604.pdf","https://dpmzos25m8ivg.cloudfront.net/Documentos/631/05249948626/6310524994862611092023155604.pdf")</f>
        <v>https://dpmzos25m8ivg.cloudfront.net/Documentos/631/05249948626/6310524994862611092023155604.pdf</v>
      </c>
      <c r="G2344" s="5" t="str">
        <f>HYPERLINK("https://dpmzos25m8ivg.cloudfront.net/Documentos/631/05249948626/6310524994862611092023161224.pdf","https://dpmzos25m8ivg.cloudfront.net/Documentos/631/05249948626/6310524994862611092023161224.pdf")</f>
        <v>https://dpmzos25m8ivg.cloudfront.net/Documentos/631/05249948626/6310524994862611092023161224.pdf</v>
      </c>
      <c r="H2344" s="5" t="s">
        <v>10923</v>
      </c>
    </row>
    <row r="2345" spans="1:8" x14ac:dyDescent="0.25">
      <c r="A2345" s="2" t="s">
        <v>2361</v>
      </c>
      <c r="B2345" s="3" t="s">
        <v>8</v>
      </c>
      <c r="C2345" s="3"/>
      <c r="D2345" s="3"/>
      <c r="E2345" s="5" t="str">
        <f>HYPERLINK("https://dpmzos25m8ivg.cloudfront.net/Documentos/631/05250180698/6310525018069811092023132500.pdf","https://dpmzos25m8ivg.cloudfront.net/Documentos/631/05250180698/6310525018069811092023132500.pdf")</f>
        <v>https://dpmzos25m8ivg.cloudfront.net/Documentos/631/05250180698/6310525018069811092023132500.pdf</v>
      </c>
      <c r="F2345" s="5" t="str">
        <f>HYPERLINK("https://dpmzos25m8ivg.cloudfront.net/Documentos/631/05250180698/6310525018069811092023132514.pdf","https://dpmzos25m8ivg.cloudfront.net/Documentos/631/05250180698/6310525018069811092023132514.pdf")</f>
        <v>https://dpmzos25m8ivg.cloudfront.net/Documentos/631/05250180698/6310525018069811092023132514.pdf</v>
      </c>
      <c r="G2345" s="5" t="str">
        <f>HYPERLINK("https://dpmzos25m8ivg.cloudfront.net/Documentos/631/05250180698/6310525018069811092023132528.pdf","https://dpmzos25m8ivg.cloudfront.net/Documentos/631/05250180698/6310525018069811092023132528.pdf")</f>
        <v>https://dpmzos25m8ivg.cloudfront.net/Documentos/631/05250180698/6310525018069811092023132528.pdf</v>
      </c>
      <c r="H2345" s="5" t="s">
        <v>10924</v>
      </c>
    </row>
    <row r="2346" spans="1:8" x14ac:dyDescent="0.25">
      <c r="A2346" s="2" t="s">
        <v>2362</v>
      </c>
      <c r="B2346" s="3"/>
      <c r="C2346" s="3"/>
      <c r="D2346" s="3"/>
      <c r="E2346" s="5" t="str">
        <f>HYPERLINK("https://dpmzos25m8ivg.cloudfront.net/Documentos/631/05251366574/6310525136657411092023165137.pdf","https://dpmzos25m8ivg.cloudfront.net/Documentos/631/05251366574/6310525136657411092023165137.pdf")</f>
        <v>https://dpmzos25m8ivg.cloudfront.net/Documentos/631/05251366574/6310525136657411092023165137.pdf</v>
      </c>
      <c r="F2346" s="5" t="str">
        <f>HYPERLINK("https://dpmzos25m8ivg.cloudfront.net/Documentos/631/05251366574/6310525136657411092023165146.pdf","https://dpmzos25m8ivg.cloudfront.net/Documentos/631/05251366574/6310525136657411092023165146.pdf")</f>
        <v>https://dpmzos25m8ivg.cloudfront.net/Documentos/631/05251366574/6310525136657411092023165146.pdf</v>
      </c>
      <c r="G2346" s="5" t="str">
        <f>HYPERLINK("https://dpmzos25m8ivg.cloudfront.net/Documentos/631/05251366574/6310525136657411092023165156.pdf","https://dpmzos25m8ivg.cloudfront.net/Documentos/631/05251366574/6310525136657411092023165156.pdf")</f>
        <v>https://dpmzos25m8ivg.cloudfront.net/Documentos/631/05251366574/6310525136657411092023165156.pdf</v>
      </c>
      <c r="H2346" s="5" t="s">
        <v>10925</v>
      </c>
    </row>
    <row r="2347" spans="1:8" x14ac:dyDescent="0.25">
      <c r="A2347" s="2" t="s">
        <v>2363</v>
      </c>
      <c r="B2347" s="3"/>
      <c r="C2347" s="3"/>
      <c r="D2347" s="3"/>
      <c r="E2347" s="5" t="str">
        <f>HYPERLINK("https://dpmzos25m8ivg.cloudfront.net/Documentos/631/05251563566/6310525156356611092023103715.pdf","https://dpmzos25m8ivg.cloudfront.net/Documentos/631/05251563566/6310525156356611092023103715.pdf")</f>
        <v>https://dpmzos25m8ivg.cloudfront.net/Documentos/631/05251563566/6310525156356611092023103715.pdf</v>
      </c>
      <c r="F2347" s="5" t="str">
        <f>HYPERLINK("https://dpmzos25m8ivg.cloudfront.net/Documentos/631/05251563566/6310525156356611092023103724.pdf","https://dpmzos25m8ivg.cloudfront.net/Documentos/631/05251563566/6310525156356611092023103724.pdf")</f>
        <v>https://dpmzos25m8ivg.cloudfront.net/Documentos/631/05251563566/6310525156356611092023103724.pdf</v>
      </c>
      <c r="G2347" s="5" t="str">
        <f>HYPERLINK("https://dpmzos25m8ivg.cloudfront.net/Documentos/631/05251563566/6310525156356611092023103731.pdf","https://dpmzos25m8ivg.cloudfront.net/Documentos/631/05251563566/6310525156356611092023103731.pdf")</f>
        <v>https://dpmzos25m8ivg.cloudfront.net/Documentos/631/05251563566/6310525156356611092023103731.pdf</v>
      </c>
      <c r="H2347" s="5" t="s">
        <v>10926</v>
      </c>
    </row>
    <row r="2348" spans="1:8" x14ac:dyDescent="0.25">
      <c r="A2348" s="2" t="s">
        <v>2364</v>
      </c>
      <c r="B2348" s="3"/>
      <c r="C2348" s="3"/>
      <c r="D2348" s="3"/>
      <c r="E2348" s="5" t="str">
        <f>HYPERLINK("https://dpmzos25m8ivg.cloudfront.net/Documentos/631/05252398127/6310525239812711092023134150.pdf","https://dpmzos25m8ivg.cloudfront.net/Documentos/631/05252398127/6310525239812711092023134150.pdf")</f>
        <v>https://dpmzos25m8ivg.cloudfront.net/Documentos/631/05252398127/6310525239812711092023134150.pdf</v>
      </c>
      <c r="F2348" s="5" t="str">
        <f>HYPERLINK("https://dpmzos25m8ivg.cloudfront.net/Documentos/631/05252398127/6310525239812711092023134200.pdf","https://dpmzos25m8ivg.cloudfront.net/Documentos/631/05252398127/6310525239812711092023134200.pdf")</f>
        <v>https://dpmzos25m8ivg.cloudfront.net/Documentos/631/05252398127/6310525239812711092023134200.pdf</v>
      </c>
      <c r="G2348" s="5" t="str">
        <f>HYPERLINK("https://dpmzos25m8ivg.cloudfront.net/Documentos/631/05252398127/6310525239812711092023134210.pdf","https://dpmzos25m8ivg.cloudfront.net/Documentos/631/05252398127/6310525239812711092023134210.pdf")</f>
        <v>https://dpmzos25m8ivg.cloudfront.net/Documentos/631/05252398127/6310525239812711092023134210.pdf</v>
      </c>
      <c r="H2348" s="5" t="s">
        <v>10927</v>
      </c>
    </row>
    <row r="2349" spans="1:8" x14ac:dyDescent="0.25">
      <c r="A2349" s="2" t="s">
        <v>2365</v>
      </c>
      <c r="B2349" s="3"/>
      <c r="C2349" s="3"/>
      <c r="D2349" s="3"/>
      <c r="E2349" s="5" t="str">
        <f>HYPERLINK("https://dpmzos25m8ivg.cloudfront.net/Documentos/631/05252984603/6310525298460311092023080626.jpeg","https://dpmzos25m8ivg.cloudfront.net/Documentos/631/05252984603/6310525298460311092023080626.jpeg")</f>
        <v>https://dpmzos25m8ivg.cloudfront.net/Documentos/631/05252984603/6310525298460311092023080626.jpeg</v>
      </c>
      <c r="F2349" s="5" t="str">
        <f>HYPERLINK("https://dpmzos25m8ivg.cloudfront.net/Documentos/631/05252984603/6310525298460311092023080643.jpeg","https://dpmzos25m8ivg.cloudfront.net/Documentos/631/05252984603/6310525298460311092023080643.jpeg")</f>
        <v>https://dpmzos25m8ivg.cloudfront.net/Documentos/631/05252984603/6310525298460311092023080643.jpeg</v>
      </c>
      <c r="G2349" s="5" t="str">
        <f>HYPERLINK("https://dpmzos25m8ivg.cloudfront.net/Documentos/631/05252984603/6310525298460311092023080704.jpeg","https://dpmzos25m8ivg.cloudfront.net/Documentos/631/05252984603/6310525298460311092023080704.jpeg")</f>
        <v>https://dpmzos25m8ivg.cloudfront.net/Documentos/631/05252984603/6310525298460311092023080704.jpeg</v>
      </c>
      <c r="H2349" s="5" t="s">
        <v>10928</v>
      </c>
    </row>
    <row r="2350" spans="1:8" x14ac:dyDescent="0.25">
      <c r="A2350" s="2" t="s">
        <v>2366</v>
      </c>
      <c r="B2350" s="3"/>
      <c r="C2350" s="3"/>
      <c r="D2350" s="3"/>
      <c r="E2350" s="5" t="str">
        <f>HYPERLINK("https://dpmzos25m8ivg.cloudfront.net/Documentos/631/05254174439/6310525417443905092023114127.pdf","https://dpmzos25m8ivg.cloudfront.net/Documentos/631/05254174439/6310525417443905092023114127.pdf")</f>
        <v>https://dpmzos25m8ivg.cloudfront.net/Documentos/631/05254174439/6310525417443905092023114127.pdf</v>
      </c>
      <c r="F2350" s="5" t="str">
        <f>HYPERLINK("https://dpmzos25m8ivg.cloudfront.net/Documentos/631/05254174439/6310525417443905092023114134.pdf","https://dpmzos25m8ivg.cloudfront.net/Documentos/631/05254174439/6310525417443905092023114134.pdf")</f>
        <v>https://dpmzos25m8ivg.cloudfront.net/Documentos/631/05254174439/6310525417443905092023114134.pdf</v>
      </c>
      <c r="G2350" s="5" t="str">
        <f>HYPERLINK("https://dpmzos25m8ivg.cloudfront.net/Documentos/631/05254174439/6310525417443905092023114143.pdf","https://dpmzos25m8ivg.cloudfront.net/Documentos/631/05254174439/6310525417443905092023114143.pdf")</f>
        <v>https://dpmzos25m8ivg.cloudfront.net/Documentos/631/05254174439/6310525417443905092023114143.pdf</v>
      </c>
      <c r="H2350" s="5" t="s">
        <v>10929</v>
      </c>
    </row>
    <row r="2351" spans="1:8" x14ac:dyDescent="0.25">
      <c r="A2351" s="2" t="s">
        <v>2367</v>
      </c>
      <c r="B2351" s="3" t="s">
        <v>2358</v>
      </c>
      <c r="C2351" s="3"/>
      <c r="D2351" s="3"/>
      <c r="E2351" s="5" t="str">
        <f>HYPERLINK("https://dpmzos25m8ivg.cloudfront.net/Documentos/631/05254942436/6310525494243606092023151004.jpg","https://dpmzos25m8ivg.cloudfront.net/Documentos/631/05254942436/6310525494243606092023151004.jpg")</f>
        <v>https://dpmzos25m8ivg.cloudfront.net/Documentos/631/05254942436/6310525494243606092023151004.jpg</v>
      </c>
      <c r="F2351" s="5" t="str">
        <f>HYPERLINK("https://dpmzos25m8ivg.cloudfront.net/Documentos/631/05254942436/6310525494243606092023151132.jpg","https://dpmzos25m8ivg.cloudfront.net/Documentos/631/05254942436/6310525494243606092023151132.jpg")</f>
        <v>https://dpmzos25m8ivg.cloudfront.net/Documentos/631/05254942436/6310525494243606092023151132.jpg</v>
      </c>
      <c r="G2351" s="5" t="str">
        <f>HYPERLINK("https://dpmzos25m8ivg.cloudfront.net/Documentos/631/05254942436/6310525494243606092023151153.jpg","https://dpmzos25m8ivg.cloudfront.net/Documentos/631/05254942436/6310525494243606092023151153.jpg")</f>
        <v>https://dpmzos25m8ivg.cloudfront.net/Documentos/631/05254942436/6310525494243606092023151153.jpg</v>
      </c>
      <c r="H2351" s="5" t="s">
        <v>10930</v>
      </c>
    </row>
    <row r="2352" spans="1:8" x14ac:dyDescent="0.25">
      <c r="A2352" s="2" t="s">
        <v>2368</v>
      </c>
      <c r="B2352" s="3" t="s">
        <v>8</v>
      </c>
      <c r="C2352" s="3"/>
      <c r="D2352" s="3"/>
      <c r="E2352" s="5" t="str">
        <f>HYPERLINK("https://dpmzos25m8ivg.cloudfront.net/Documentos/631/05261348102/6310526134810211092023173234.pdf","https://dpmzos25m8ivg.cloudfront.net/Documentos/631/05261348102/6310526134810211092023173234.pdf")</f>
        <v>https://dpmzos25m8ivg.cloudfront.net/Documentos/631/05261348102/6310526134810211092023173234.pdf</v>
      </c>
      <c r="F2352" s="5" t="str">
        <f>HYPERLINK("https://dpmzos25m8ivg.cloudfront.net/Documentos/631/05261348102/6310526134810211092023173336.pdf","https://dpmzos25m8ivg.cloudfront.net/Documentos/631/05261348102/6310526134810211092023173336.pdf")</f>
        <v>https://dpmzos25m8ivg.cloudfront.net/Documentos/631/05261348102/6310526134810211092023173336.pdf</v>
      </c>
      <c r="G2352" s="5" t="str">
        <f>HYPERLINK("https://dpmzos25m8ivg.cloudfront.net/Documentos/631/05261348102/6310526134810211092023173423.pdf","https://dpmzos25m8ivg.cloudfront.net/Documentos/631/05261348102/6310526134810211092023173423.pdf")</f>
        <v>https://dpmzos25m8ivg.cloudfront.net/Documentos/631/05261348102/6310526134810211092023173423.pdf</v>
      </c>
      <c r="H2352" s="5" t="s">
        <v>10931</v>
      </c>
    </row>
    <row r="2353" spans="1:8" x14ac:dyDescent="0.25">
      <c r="A2353" s="2" t="s">
        <v>2369</v>
      </c>
      <c r="B2353" s="3"/>
      <c r="C2353" s="3"/>
      <c r="D2353" s="3"/>
      <c r="E2353" s="5" t="str">
        <f>HYPERLINK("https://dpmzos25m8ivg.cloudfront.net/Documentos/631/05261722829/6310526172282907092023155551.pdf","https://dpmzos25m8ivg.cloudfront.net/Documentos/631/05261722829/6310526172282907092023155551.pdf")</f>
        <v>https://dpmzos25m8ivg.cloudfront.net/Documentos/631/05261722829/6310526172282907092023155551.pdf</v>
      </c>
      <c r="F2353" s="5" t="str">
        <f>HYPERLINK("https://dpmzos25m8ivg.cloudfront.net/Documentos/631/05261722829/6310526172282907092023155609.pdf","https://dpmzos25m8ivg.cloudfront.net/Documentos/631/05261722829/6310526172282907092023155609.pdf")</f>
        <v>https://dpmzos25m8ivg.cloudfront.net/Documentos/631/05261722829/6310526172282907092023155609.pdf</v>
      </c>
      <c r="G2353" s="5" t="str">
        <f>HYPERLINK("https://dpmzos25m8ivg.cloudfront.net/Documentos/631/05261722829/6310526172282907092023155632.pdf","https://dpmzos25m8ivg.cloudfront.net/Documentos/631/05261722829/6310526172282907092023155632.pdf")</f>
        <v>https://dpmzos25m8ivg.cloudfront.net/Documentos/631/05261722829/6310526172282907092023155632.pdf</v>
      </c>
      <c r="H2353" s="5" t="s">
        <v>10932</v>
      </c>
    </row>
    <row r="2354" spans="1:8" x14ac:dyDescent="0.25">
      <c r="A2354" s="2" t="s">
        <v>2370</v>
      </c>
      <c r="B2354" s="3"/>
      <c r="C2354" s="3"/>
      <c r="D2354" s="3"/>
      <c r="E2354" s="5" t="str">
        <f>HYPERLINK("https://dpmzos25m8ivg.cloudfront.net/Documentos/631/05263648740/6310526364874006092023055140.pdf","https://dpmzos25m8ivg.cloudfront.net/Documentos/631/05263648740/6310526364874006092023055140.pdf")</f>
        <v>https://dpmzos25m8ivg.cloudfront.net/Documentos/631/05263648740/6310526364874006092023055140.pdf</v>
      </c>
      <c r="F2354" s="5" t="str">
        <f>HYPERLINK("https://dpmzos25m8ivg.cloudfront.net/Documentos/631/05263648740/6310526364874006092023055153.pdf","https://dpmzos25m8ivg.cloudfront.net/Documentos/631/05263648740/6310526364874006092023055153.pdf")</f>
        <v>https://dpmzos25m8ivg.cloudfront.net/Documentos/631/05263648740/6310526364874006092023055153.pdf</v>
      </c>
      <c r="G2354" s="5" t="str">
        <f>HYPERLINK("https://dpmzos25m8ivg.cloudfront.net/Documentos/631/05263648740/6310526364874006092023055209.pdf","https://dpmzos25m8ivg.cloudfront.net/Documentos/631/05263648740/6310526364874006092023055209.pdf")</f>
        <v>https://dpmzos25m8ivg.cloudfront.net/Documentos/631/05263648740/6310526364874006092023055209.pdf</v>
      </c>
      <c r="H2354" s="5" t="s">
        <v>10933</v>
      </c>
    </row>
    <row r="2355" spans="1:8" x14ac:dyDescent="0.25">
      <c r="A2355" s="2" t="s">
        <v>2371</v>
      </c>
      <c r="B2355" s="3"/>
      <c r="C2355" s="3"/>
      <c r="D2355" s="3"/>
      <c r="E2355" s="5" t="str">
        <f>HYPERLINK("https://dpmzos25m8ivg.cloudfront.net/Documentos/631/05263799608/6310526379960811092023020147.jpg","https://dpmzos25m8ivg.cloudfront.net/Documentos/631/05263799608/6310526379960811092023020147.jpg")</f>
        <v>https://dpmzos25m8ivg.cloudfront.net/Documentos/631/05263799608/6310526379960811092023020147.jpg</v>
      </c>
      <c r="F2355" s="5" t="str">
        <f>HYPERLINK("https://dpmzos25m8ivg.cloudfront.net/Documentos/631/05263799608/6310526379960811092023020243.jpg","https://dpmzos25m8ivg.cloudfront.net/Documentos/631/05263799608/6310526379960811092023020243.jpg")</f>
        <v>https://dpmzos25m8ivg.cloudfront.net/Documentos/631/05263799608/6310526379960811092023020243.jpg</v>
      </c>
      <c r="G2355" s="5" t="str">
        <f>HYPERLINK("https://dpmzos25m8ivg.cloudfront.net/Documentos/631/05263799608/6310526379960811092023020256.jpg","https://dpmzos25m8ivg.cloudfront.net/Documentos/631/05263799608/6310526379960811092023020256.jpg")</f>
        <v>https://dpmzos25m8ivg.cloudfront.net/Documentos/631/05263799608/6310526379960811092023020256.jpg</v>
      </c>
      <c r="H2355" s="5" t="s">
        <v>10934</v>
      </c>
    </row>
    <row r="2356" spans="1:8" x14ac:dyDescent="0.25">
      <c r="A2356" s="2" t="s">
        <v>2372</v>
      </c>
      <c r="B2356" s="3"/>
      <c r="C2356" s="3"/>
      <c r="D2356" s="3"/>
      <c r="E2356" s="5" t="str">
        <f>HYPERLINK("https://dpmzos25m8ivg.cloudfront.net/Documentos/631/05264652716/6310526465271605092023135241.pdf","https://dpmzos25m8ivg.cloudfront.net/Documentos/631/05264652716/6310526465271605092023135241.pdf")</f>
        <v>https://dpmzos25m8ivg.cloudfront.net/Documentos/631/05264652716/6310526465271605092023135241.pdf</v>
      </c>
      <c r="F2356" s="5" t="str">
        <f>HYPERLINK("https://dpmzos25m8ivg.cloudfront.net/Documentos/631/05264652716/6310526465271605092023135227.pdf","https://dpmzos25m8ivg.cloudfront.net/Documentos/631/05264652716/6310526465271605092023135227.pdf")</f>
        <v>https://dpmzos25m8ivg.cloudfront.net/Documentos/631/05264652716/6310526465271605092023135227.pdf</v>
      </c>
      <c r="G2356" s="5" t="str">
        <f>HYPERLINK("https://dpmzos25m8ivg.cloudfront.net/Documentos/631/05264652716/6310526465271605092023135211.pdf","https://dpmzos25m8ivg.cloudfront.net/Documentos/631/05264652716/6310526465271605092023135211.pdf")</f>
        <v>https://dpmzos25m8ivg.cloudfront.net/Documentos/631/05264652716/6310526465271605092023135211.pdf</v>
      </c>
      <c r="H2356" s="5" t="s">
        <v>10935</v>
      </c>
    </row>
    <row r="2357" spans="1:8" x14ac:dyDescent="0.25">
      <c r="A2357" s="2" t="s">
        <v>2373</v>
      </c>
      <c r="B2357" s="3"/>
      <c r="C2357" s="3"/>
      <c r="D2357" s="3"/>
      <c r="E2357" s="5" t="str">
        <f>HYPERLINK("https://dpmzos25m8ivg.cloudfront.net/Documentos/631/05265286306/6310526528630611092023121612.pdf","https://dpmzos25m8ivg.cloudfront.net/Documentos/631/05265286306/6310526528630611092023121612.pdf")</f>
        <v>https://dpmzos25m8ivg.cloudfront.net/Documentos/631/05265286306/6310526528630611092023121612.pdf</v>
      </c>
      <c r="F2357" s="5" t="str">
        <f>HYPERLINK("https://dpmzos25m8ivg.cloudfront.net/Documentos/631/05265286306/6310526528630611092023121602.pdf","https://dpmzos25m8ivg.cloudfront.net/Documentos/631/05265286306/6310526528630611092023121602.pdf")</f>
        <v>https://dpmzos25m8ivg.cloudfront.net/Documentos/631/05265286306/6310526528630611092023121602.pdf</v>
      </c>
      <c r="G2357" s="5" t="str">
        <f>HYPERLINK("https://dpmzos25m8ivg.cloudfront.net/Documentos/631/05265286306/6310526528630611092023121553.pdf","https://dpmzos25m8ivg.cloudfront.net/Documentos/631/05265286306/6310526528630611092023121553.pdf")</f>
        <v>https://dpmzos25m8ivg.cloudfront.net/Documentos/631/05265286306/6310526528630611092023121553.pdf</v>
      </c>
      <c r="H2357" s="5" t="s">
        <v>10936</v>
      </c>
    </row>
    <row r="2358" spans="1:8" x14ac:dyDescent="0.25">
      <c r="A2358" s="2" t="s">
        <v>2374</v>
      </c>
      <c r="B2358" s="3"/>
      <c r="C2358" s="3"/>
      <c r="D2358" s="3"/>
      <c r="E2358" s="5" t="str">
        <f>HYPERLINK("https://dpmzos25m8ivg.cloudfront.net/Documentos/631/05265542310/6310526554231010092023164840.pdf","https://dpmzos25m8ivg.cloudfront.net/Documentos/631/05265542310/6310526554231010092023164840.pdf")</f>
        <v>https://dpmzos25m8ivg.cloudfront.net/Documentos/631/05265542310/6310526554231010092023164840.pdf</v>
      </c>
      <c r="F2358" s="5" t="str">
        <f>HYPERLINK("https://dpmzos25m8ivg.cloudfront.net/Documentos/631/05265542310/6310526554231010092023164850.pdf","https://dpmzos25m8ivg.cloudfront.net/Documentos/631/05265542310/6310526554231010092023164850.pdf")</f>
        <v>https://dpmzos25m8ivg.cloudfront.net/Documentos/631/05265542310/6310526554231010092023164850.pdf</v>
      </c>
      <c r="G2358" s="5" t="str">
        <f>HYPERLINK("https://dpmzos25m8ivg.cloudfront.net/Documentos/631/05265542310/6310526554231010092023164909.pdf","https://dpmzos25m8ivg.cloudfront.net/Documentos/631/05265542310/6310526554231010092023164909.pdf")</f>
        <v>https://dpmzos25m8ivg.cloudfront.net/Documentos/631/05265542310/6310526554231010092023164909.pdf</v>
      </c>
      <c r="H2358" s="5" t="s">
        <v>10937</v>
      </c>
    </row>
    <row r="2359" spans="1:8" x14ac:dyDescent="0.25">
      <c r="A2359" s="2" t="s">
        <v>2375</v>
      </c>
      <c r="B2359" s="3"/>
      <c r="C2359" s="3"/>
      <c r="D2359" s="3"/>
      <c r="E2359" s="5" t="str">
        <f>HYPERLINK("https://dpmzos25m8ivg.cloudfront.net/Documentos/631/05265996184/6310526599618411092023164414.pdf","https://dpmzos25m8ivg.cloudfront.net/Documentos/631/05265996184/6310526599618411092023164414.pdf")</f>
        <v>https://dpmzos25m8ivg.cloudfront.net/Documentos/631/05265996184/6310526599618411092023164414.pdf</v>
      </c>
      <c r="F2359" s="5" t="str">
        <f>HYPERLINK("https://dpmzos25m8ivg.cloudfront.net/Documentos/631/05265996184/6310526599618411092023164517.pdf","https://dpmzos25m8ivg.cloudfront.net/Documentos/631/05265996184/6310526599618411092023164517.pdf")</f>
        <v>https://dpmzos25m8ivg.cloudfront.net/Documentos/631/05265996184/6310526599618411092023164517.pdf</v>
      </c>
      <c r="G2359" s="5" t="str">
        <f>HYPERLINK("https://dpmzos25m8ivg.cloudfront.net/Documentos/631/05265996184/6310526599618411092023164549.pdf","https://dpmzos25m8ivg.cloudfront.net/Documentos/631/05265996184/6310526599618411092023164549.pdf")</f>
        <v>https://dpmzos25m8ivg.cloudfront.net/Documentos/631/05265996184/6310526599618411092023164549.pdf</v>
      </c>
      <c r="H2359" s="5" t="s">
        <v>10938</v>
      </c>
    </row>
    <row r="2360" spans="1:8" x14ac:dyDescent="0.25">
      <c r="A2360" s="2" t="s">
        <v>2376</v>
      </c>
      <c r="B2360" s="3"/>
      <c r="C2360" s="3"/>
      <c r="D2360" s="3"/>
      <c r="E2360" s="5" t="str">
        <f>HYPERLINK("https://dpmzos25m8ivg.cloudfront.net/Documentos/631/05266780622/6310526678062211092023124846.pdf","https://dpmzos25m8ivg.cloudfront.net/Documentos/631/05266780622/6310526678062211092023124846.pdf")</f>
        <v>https://dpmzos25m8ivg.cloudfront.net/Documentos/631/05266780622/6310526678062211092023124846.pdf</v>
      </c>
      <c r="F2360" s="5" t="str">
        <f>HYPERLINK("https://dpmzos25m8ivg.cloudfront.net/Documentos/631/05266780622/6310526678062211092023124907.pdf","https://dpmzos25m8ivg.cloudfront.net/Documentos/631/05266780622/6310526678062211092023124907.pdf")</f>
        <v>https://dpmzos25m8ivg.cloudfront.net/Documentos/631/05266780622/6310526678062211092023124907.pdf</v>
      </c>
      <c r="G2360" s="5" t="str">
        <f>HYPERLINK("https://dpmzos25m8ivg.cloudfront.net/Documentos/631/05266780622/6310526678062211092023124940.pdf","https://dpmzos25m8ivg.cloudfront.net/Documentos/631/05266780622/6310526678062211092023124940.pdf")</f>
        <v>https://dpmzos25m8ivg.cloudfront.net/Documentos/631/05266780622/6310526678062211092023124940.pdf</v>
      </c>
      <c r="H2360" s="5" t="s">
        <v>10939</v>
      </c>
    </row>
    <row r="2361" spans="1:8" x14ac:dyDescent="0.25">
      <c r="A2361" s="2" t="s">
        <v>2377</v>
      </c>
      <c r="B2361" s="3"/>
      <c r="C2361" s="3"/>
      <c r="D2361" s="3"/>
      <c r="E2361" s="5" t="str">
        <f>HYPERLINK("https://dpmzos25m8ivg.cloudfront.net/Documentos/631/05269948435/6310526994843510092023223358.pdf","https://dpmzos25m8ivg.cloudfront.net/Documentos/631/05269948435/6310526994843510092023223358.pdf")</f>
        <v>https://dpmzos25m8ivg.cloudfront.net/Documentos/631/05269948435/6310526994843510092023223358.pdf</v>
      </c>
      <c r="F2361" s="5" t="str">
        <f>HYPERLINK("https://dpmzos25m8ivg.cloudfront.net/Documentos/631/05269948435/6310526994843510092023223410.pdf","https://dpmzos25m8ivg.cloudfront.net/Documentos/631/05269948435/6310526994843510092023223410.pdf")</f>
        <v>https://dpmzos25m8ivg.cloudfront.net/Documentos/631/05269948435/6310526994843510092023223410.pdf</v>
      </c>
      <c r="G2361" s="5" t="str">
        <f>HYPERLINK("https://dpmzos25m8ivg.cloudfront.net/Documentos/631/05269948435/6310526994843510092023223424.pdf","https://dpmzos25m8ivg.cloudfront.net/Documentos/631/05269948435/6310526994843510092023223424.pdf")</f>
        <v>https://dpmzos25m8ivg.cloudfront.net/Documentos/631/05269948435/6310526994843510092023223424.pdf</v>
      </c>
      <c r="H2361" s="5" t="s">
        <v>10940</v>
      </c>
    </row>
    <row r="2362" spans="1:8" x14ac:dyDescent="0.25">
      <c r="A2362" s="2" t="s">
        <v>2378</v>
      </c>
      <c r="B2362" s="3" t="s">
        <v>8</v>
      </c>
      <c r="C2362" s="3"/>
      <c r="D2362" s="3"/>
      <c r="E2362" s="5" t="str">
        <f>HYPERLINK("https://dpmzos25m8ivg.cloudfront.net/Documentos/631/05275894546/6310527589454605092023172653.pdf","https://dpmzos25m8ivg.cloudfront.net/Documentos/631/05275894546/6310527589454605092023172653.pdf")</f>
        <v>https://dpmzos25m8ivg.cloudfront.net/Documentos/631/05275894546/6310527589454605092023172653.pdf</v>
      </c>
      <c r="F2362" s="5" t="str">
        <f>HYPERLINK("https://dpmzos25m8ivg.cloudfront.net/Documentos/631/05275894546/6310527589454605092023172708.pdf","https://dpmzos25m8ivg.cloudfront.net/Documentos/631/05275894546/6310527589454605092023172708.pdf")</f>
        <v>https://dpmzos25m8ivg.cloudfront.net/Documentos/631/05275894546/6310527589454605092023172708.pdf</v>
      </c>
      <c r="G2362" s="5" t="str">
        <f>HYPERLINK("https://dpmzos25m8ivg.cloudfront.net/Documentos/631/05275894546/6310527589454605092023172727.pdf","https://dpmzos25m8ivg.cloudfront.net/Documentos/631/05275894546/6310527589454605092023172727.pdf")</f>
        <v>https://dpmzos25m8ivg.cloudfront.net/Documentos/631/05275894546/6310527589454605092023172727.pdf</v>
      </c>
      <c r="H2362" s="5" t="s">
        <v>10941</v>
      </c>
    </row>
    <row r="2363" spans="1:8" x14ac:dyDescent="0.25">
      <c r="A2363" s="2" t="s">
        <v>2379</v>
      </c>
      <c r="B2363" s="3" t="s">
        <v>8</v>
      </c>
      <c r="C2363" s="3"/>
      <c r="D2363" s="3"/>
      <c r="E2363" s="5" t="str">
        <f>HYPERLINK("https://dpmzos25m8ivg.cloudfront.net/Documentos/631/05276596301/6310527659630111092023161830.pdf","https://dpmzos25m8ivg.cloudfront.net/Documentos/631/05276596301/6310527659630111092023161830.pdf")</f>
        <v>https://dpmzos25m8ivg.cloudfront.net/Documentos/631/05276596301/6310527659630111092023161830.pdf</v>
      </c>
      <c r="F2363" s="5" t="str">
        <f>HYPERLINK("https://dpmzos25m8ivg.cloudfront.net/Documentos/631/05276596301/6310527659630111092023161843.pdf","https://dpmzos25m8ivg.cloudfront.net/Documentos/631/05276596301/6310527659630111092023161843.pdf")</f>
        <v>https://dpmzos25m8ivg.cloudfront.net/Documentos/631/05276596301/6310527659630111092023161843.pdf</v>
      </c>
      <c r="G2363" s="5" t="str">
        <f>HYPERLINK("https://dpmzos25m8ivg.cloudfront.net/Documentos/631/05276596301/6310527659630111092023161853.pdf","https://dpmzos25m8ivg.cloudfront.net/Documentos/631/05276596301/6310527659630111092023161853.pdf")</f>
        <v>https://dpmzos25m8ivg.cloudfront.net/Documentos/631/05276596301/6310527659630111092023161853.pdf</v>
      </c>
      <c r="H2363" s="5" t="s">
        <v>10942</v>
      </c>
    </row>
    <row r="2364" spans="1:8" x14ac:dyDescent="0.25">
      <c r="A2364" s="2" t="s">
        <v>2380</v>
      </c>
      <c r="B2364" s="3"/>
      <c r="C2364" s="3"/>
      <c r="D2364" s="3"/>
      <c r="E2364" s="5" t="str">
        <f>HYPERLINK("https://dpmzos25m8ivg.cloudfront.net/Documentos/631/05280412155/6310528041215514092023163715.pdf","https://dpmzos25m8ivg.cloudfront.net/Documentos/631/05280412155/6310528041215514092023163715.pdf")</f>
        <v>https://dpmzos25m8ivg.cloudfront.net/Documentos/631/05280412155/6310528041215514092023163715.pdf</v>
      </c>
      <c r="F2364" s="5" t="str">
        <f>HYPERLINK("https://dpmzos25m8ivg.cloudfront.net/Documentos/631/05280412155/6310528041215514092023163723.pdf","https://dpmzos25m8ivg.cloudfront.net/Documentos/631/05280412155/6310528041215514092023163723.pdf")</f>
        <v>https://dpmzos25m8ivg.cloudfront.net/Documentos/631/05280412155/6310528041215514092023163723.pdf</v>
      </c>
      <c r="G2364" s="5" t="str">
        <f>HYPERLINK("https://dpmzos25m8ivg.cloudfront.net/Documentos/631/05280412155/6310528041215514092023163731.pdf","https://dpmzos25m8ivg.cloudfront.net/Documentos/631/05280412155/6310528041215514092023163731.pdf")</f>
        <v>https://dpmzos25m8ivg.cloudfront.net/Documentos/631/05280412155/6310528041215514092023163731.pdf</v>
      </c>
      <c r="H2364" s="5" t="s">
        <v>10943</v>
      </c>
    </row>
    <row r="2365" spans="1:8" x14ac:dyDescent="0.25">
      <c r="A2365" s="2" t="s">
        <v>2381</v>
      </c>
      <c r="B2365" s="3" t="s">
        <v>8</v>
      </c>
      <c r="C2365" s="3"/>
      <c r="D2365" s="3"/>
      <c r="E2365" s="5" t="str">
        <f>HYPERLINK("https://dpmzos25m8ivg.cloudfront.net/Documentos/631/05281161423/6310528116142311092023162046.pdf","https://dpmzos25m8ivg.cloudfront.net/Documentos/631/05281161423/6310528116142311092023162046.pdf")</f>
        <v>https://dpmzos25m8ivg.cloudfront.net/Documentos/631/05281161423/6310528116142311092023162046.pdf</v>
      </c>
      <c r="F2365" s="5" t="str">
        <f>HYPERLINK("https://dpmzos25m8ivg.cloudfront.net/Documentos/631/05281161423/6310528116142311092023162124.pdf","https://dpmzos25m8ivg.cloudfront.net/Documentos/631/05281161423/6310528116142311092023162124.pdf")</f>
        <v>https://dpmzos25m8ivg.cloudfront.net/Documentos/631/05281161423/6310528116142311092023162124.pdf</v>
      </c>
      <c r="G2365" s="5" t="str">
        <f>HYPERLINK("https://dpmzos25m8ivg.cloudfront.net/Documentos/631/05281161423/6310528116142311092023162155.pdf","https://dpmzos25m8ivg.cloudfront.net/Documentos/631/05281161423/6310528116142311092023162155.pdf")</f>
        <v>https://dpmzos25m8ivg.cloudfront.net/Documentos/631/05281161423/6310528116142311092023162155.pdf</v>
      </c>
      <c r="H2365" s="5" t="s">
        <v>10944</v>
      </c>
    </row>
    <row r="2366" spans="1:8" x14ac:dyDescent="0.25">
      <c r="A2366" s="2" t="s">
        <v>2382</v>
      </c>
      <c r="B2366" s="3"/>
      <c r="C2366" s="3"/>
      <c r="D2366" s="3"/>
      <c r="E2366" s="5" t="str">
        <f>HYPERLINK("https://dpmzos25m8ivg.cloudfront.net/Documentos/631/05281625195/6310528162519511092023135452.jpg","https://dpmzos25m8ivg.cloudfront.net/Documentos/631/05281625195/6310528162519511092023135452.jpg")</f>
        <v>https://dpmzos25m8ivg.cloudfront.net/Documentos/631/05281625195/6310528162519511092023135452.jpg</v>
      </c>
      <c r="F2366" s="5" t="str">
        <f>HYPERLINK("https://dpmzos25m8ivg.cloudfront.net/Documentos/631/05281625195/6310528162519511092023135500.jpg","https://dpmzos25m8ivg.cloudfront.net/Documentos/631/05281625195/6310528162519511092023135500.jpg")</f>
        <v>https://dpmzos25m8ivg.cloudfront.net/Documentos/631/05281625195/6310528162519511092023135500.jpg</v>
      </c>
      <c r="G2366" s="5" t="str">
        <f>HYPERLINK("https://dpmzos25m8ivg.cloudfront.net/Documentos/631/05281625195/6310528162519511092023135508.jpg","https://dpmzos25m8ivg.cloudfront.net/Documentos/631/05281625195/6310528162519511092023135508.jpg")</f>
        <v>https://dpmzos25m8ivg.cloudfront.net/Documentos/631/05281625195/6310528162519511092023135508.jpg</v>
      </c>
      <c r="H2366" s="5" t="s">
        <v>10945</v>
      </c>
    </row>
    <row r="2367" spans="1:8" x14ac:dyDescent="0.25">
      <c r="A2367" s="2" t="s">
        <v>2383</v>
      </c>
      <c r="B2367" s="3" t="s">
        <v>8</v>
      </c>
      <c r="C2367" s="3"/>
      <c r="D2367" s="3"/>
      <c r="E2367" s="5" t="str">
        <f>HYPERLINK("https://dpmzos25m8ivg.cloudfront.net/Documentos/631/05282329166/6310528232916611092023110815.pdf","https://dpmzos25m8ivg.cloudfront.net/Documentos/631/05282329166/6310528232916611092023110815.pdf")</f>
        <v>https://dpmzos25m8ivg.cloudfront.net/Documentos/631/05282329166/6310528232916611092023110815.pdf</v>
      </c>
      <c r="F2367" s="5" t="str">
        <f>HYPERLINK("https://dpmzos25m8ivg.cloudfront.net/Documentos/631/05282329166/6310528232916611092023110831.pdf","https://dpmzos25m8ivg.cloudfront.net/Documentos/631/05282329166/6310528232916611092023110831.pdf")</f>
        <v>https://dpmzos25m8ivg.cloudfront.net/Documentos/631/05282329166/6310528232916611092023110831.pdf</v>
      </c>
      <c r="G2367" s="5" t="str">
        <f>HYPERLINK("https://dpmzos25m8ivg.cloudfront.net/Documentos/631/05282329166/6310528232916611092023110850.pdf","https://dpmzos25m8ivg.cloudfront.net/Documentos/631/05282329166/6310528232916611092023110850.pdf")</f>
        <v>https://dpmzos25m8ivg.cloudfront.net/Documentos/631/05282329166/6310528232916611092023110850.pdf</v>
      </c>
      <c r="H2367" s="5" t="s">
        <v>10946</v>
      </c>
    </row>
    <row r="2368" spans="1:8" x14ac:dyDescent="0.25">
      <c r="A2368" s="2" t="s">
        <v>2384</v>
      </c>
      <c r="B2368" s="3"/>
      <c r="C2368" s="3"/>
      <c r="D2368" s="3"/>
      <c r="E2368" s="5" t="str">
        <f>HYPERLINK("https://dpmzos25m8ivg.cloudfront.net/Documentos/631/05282671328/6310528267132812092023215602.pdf","https://dpmzos25m8ivg.cloudfront.net/Documentos/631/05282671328/6310528267132812092023215602.pdf")</f>
        <v>https://dpmzos25m8ivg.cloudfront.net/Documentos/631/05282671328/6310528267132812092023215602.pdf</v>
      </c>
      <c r="F2368" s="5" t="str">
        <f>HYPERLINK("https://dpmzos25m8ivg.cloudfront.net/Documentos/631/05282671328/6310528267132812092023215610.pdf","https://dpmzos25m8ivg.cloudfront.net/Documentos/631/05282671328/6310528267132812092023215610.pdf")</f>
        <v>https://dpmzos25m8ivg.cloudfront.net/Documentos/631/05282671328/6310528267132812092023215610.pdf</v>
      </c>
      <c r="G2368" s="5" t="str">
        <f>HYPERLINK("https://dpmzos25m8ivg.cloudfront.net/Documentos/631/05282671328/6310528267132812092023215621.pdf","https://dpmzos25m8ivg.cloudfront.net/Documentos/631/05282671328/6310528267132812092023215621.pdf")</f>
        <v>https://dpmzos25m8ivg.cloudfront.net/Documentos/631/05282671328/6310528267132812092023215621.pdf</v>
      </c>
      <c r="H2368" s="5" t="s">
        <v>10947</v>
      </c>
    </row>
    <row r="2369" spans="1:8" x14ac:dyDescent="0.25">
      <c r="A2369" s="2" t="s">
        <v>2385</v>
      </c>
      <c r="B2369" s="3"/>
      <c r="C2369" s="3"/>
      <c r="D2369" s="3"/>
      <c r="E2369" s="5" t="str">
        <f>HYPERLINK("https://dpmzos25m8ivg.cloudfront.net/Documentos/631/05285337895/6310528533789505092023133820.jpg","https://dpmzos25m8ivg.cloudfront.net/Documentos/631/05285337895/6310528533789505092023133820.jpg")</f>
        <v>https://dpmzos25m8ivg.cloudfront.net/Documentos/631/05285337895/6310528533789505092023133820.jpg</v>
      </c>
      <c r="F2369" s="5" t="str">
        <f>HYPERLINK("https://dpmzos25m8ivg.cloudfront.net/Documentos/631/05285337895/6310528533789505092023133827.jpg","https://dpmzos25m8ivg.cloudfront.net/Documentos/631/05285337895/6310528533789505092023133827.jpg")</f>
        <v>https://dpmzos25m8ivg.cloudfront.net/Documentos/631/05285337895/6310528533789505092023133827.jpg</v>
      </c>
      <c r="G2369" s="5" t="str">
        <f>HYPERLINK("https://dpmzos25m8ivg.cloudfront.net/Documentos/631/05285337895/6310528533789505092023133835.jpg","https://dpmzos25m8ivg.cloudfront.net/Documentos/631/05285337895/6310528533789505092023133835.jpg")</f>
        <v>https://dpmzos25m8ivg.cloudfront.net/Documentos/631/05285337895/6310528533789505092023133835.jpg</v>
      </c>
      <c r="H2369" s="5" t="s">
        <v>10948</v>
      </c>
    </row>
    <row r="2370" spans="1:8" x14ac:dyDescent="0.25">
      <c r="A2370" s="2" t="s">
        <v>2386</v>
      </c>
      <c r="B2370" s="3"/>
      <c r="C2370" s="3"/>
      <c r="D2370" s="3"/>
      <c r="E2370" s="5" t="str">
        <f>HYPERLINK("https://dpmzos25m8ivg.cloudfront.net/Documentos/631/05290106154/6310529010615414092023135651.pdf","https://dpmzos25m8ivg.cloudfront.net/Documentos/631/05290106154/6310529010615414092023135651.pdf")</f>
        <v>https://dpmzos25m8ivg.cloudfront.net/Documentos/631/05290106154/6310529010615414092023135651.pdf</v>
      </c>
      <c r="F2370" s="5" t="str">
        <f>HYPERLINK("https://dpmzos25m8ivg.cloudfront.net/Documentos/631/05290106154/6310529010615414092023135711.pdf","https://dpmzos25m8ivg.cloudfront.net/Documentos/631/05290106154/6310529010615414092023135711.pdf")</f>
        <v>https://dpmzos25m8ivg.cloudfront.net/Documentos/631/05290106154/6310529010615414092023135711.pdf</v>
      </c>
      <c r="G2370" s="5" t="str">
        <f>HYPERLINK("https://dpmzos25m8ivg.cloudfront.net/Documentos/631/05290106154/6310529010615414092023140747.pdf","https://dpmzos25m8ivg.cloudfront.net/Documentos/631/05290106154/6310529010615414092023140747.pdf")</f>
        <v>https://dpmzos25m8ivg.cloudfront.net/Documentos/631/05290106154/6310529010615414092023140747.pdf</v>
      </c>
      <c r="H2370" s="5" t="s">
        <v>10949</v>
      </c>
    </row>
    <row r="2371" spans="1:8" x14ac:dyDescent="0.25">
      <c r="A2371" s="2" t="s">
        <v>2387</v>
      </c>
      <c r="B2371" s="3" t="s">
        <v>8</v>
      </c>
      <c r="C2371" s="3"/>
      <c r="D2371" s="3"/>
      <c r="E2371" s="5" t="str">
        <f>HYPERLINK("https://dpmzos25m8ivg.cloudfront.net/Documentos/631/05290425250/6310529042525008092023110847.pdf","https://dpmzos25m8ivg.cloudfront.net/Documentos/631/05290425250/6310529042525008092023110847.pdf")</f>
        <v>https://dpmzos25m8ivg.cloudfront.net/Documentos/631/05290425250/6310529042525008092023110847.pdf</v>
      </c>
      <c r="F2371" s="5" t="str">
        <f>HYPERLINK("https://dpmzos25m8ivg.cloudfront.net/Documentos/631/05290425250/6310529042525008092023110855.pdf","https://dpmzos25m8ivg.cloudfront.net/Documentos/631/05290425250/6310529042525008092023110855.pdf")</f>
        <v>https://dpmzos25m8ivg.cloudfront.net/Documentos/631/05290425250/6310529042525008092023110855.pdf</v>
      </c>
      <c r="G2371" s="5" t="str">
        <f>HYPERLINK("https://dpmzos25m8ivg.cloudfront.net/Documentos/631/05290425250/6310529042525008092023110909.pdf","https://dpmzos25m8ivg.cloudfront.net/Documentos/631/05290425250/6310529042525008092023110909.pdf")</f>
        <v>https://dpmzos25m8ivg.cloudfront.net/Documentos/631/05290425250/6310529042525008092023110909.pdf</v>
      </c>
      <c r="H2371" s="5" t="s">
        <v>10950</v>
      </c>
    </row>
    <row r="2372" spans="1:8" x14ac:dyDescent="0.25">
      <c r="A2372" s="2" t="s">
        <v>2388</v>
      </c>
      <c r="B2372" s="3" t="s">
        <v>8</v>
      </c>
      <c r="C2372" s="3"/>
      <c r="D2372" s="3"/>
      <c r="E2372" s="5" t="str">
        <f>HYPERLINK("https://dpmzos25m8ivg.cloudfront.net/Documentos/631/05292504467/6310529250446713092023224755.pdf","https://dpmzos25m8ivg.cloudfront.net/Documentos/631/05292504467/6310529250446713092023224755.pdf")</f>
        <v>https://dpmzos25m8ivg.cloudfront.net/Documentos/631/05292504467/6310529250446713092023224755.pdf</v>
      </c>
      <c r="F2372" s="5" t="str">
        <f>HYPERLINK("https://dpmzos25m8ivg.cloudfront.net/Documentos/631/05292504467/6310529250446713092023224809.pdf","https://dpmzos25m8ivg.cloudfront.net/Documentos/631/05292504467/6310529250446713092023224809.pdf")</f>
        <v>https://dpmzos25m8ivg.cloudfront.net/Documentos/631/05292504467/6310529250446713092023224809.pdf</v>
      </c>
      <c r="G2372" s="5" t="str">
        <f>HYPERLINK("https://dpmzos25m8ivg.cloudfront.net/Documentos/631/05292504467/6310529250446713092023224822.pdf","https://dpmzos25m8ivg.cloudfront.net/Documentos/631/05292504467/6310529250446713092023224822.pdf")</f>
        <v>https://dpmzos25m8ivg.cloudfront.net/Documentos/631/05292504467/6310529250446713092023224822.pdf</v>
      </c>
      <c r="H2372" s="5" t="s">
        <v>10951</v>
      </c>
    </row>
    <row r="2373" spans="1:8" x14ac:dyDescent="0.25">
      <c r="A2373" s="2" t="s">
        <v>2389</v>
      </c>
      <c r="B2373" s="3"/>
      <c r="C2373" s="3"/>
      <c r="D2373" s="3"/>
      <c r="E2373" s="5" t="str">
        <f>HYPERLINK("https://dpmzos25m8ivg.cloudfront.net/Documentos/631/05293128248/6310529312824808092023004810.pdf","https://dpmzos25m8ivg.cloudfront.net/Documentos/631/05293128248/6310529312824808092023004810.pdf")</f>
        <v>https://dpmzos25m8ivg.cloudfront.net/Documentos/631/05293128248/6310529312824808092023004810.pdf</v>
      </c>
      <c r="F2373" s="5" t="str">
        <f>HYPERLINK("https://dpmzos25m8ivg.cloudfront.net/Documentos/631/05293128248/6310529312824808092023004824.pdf","https://dpmzos25m8ivg.cloudfront.net/Documentos/631/05293128248/6310529312824808092023004824.pdf")</f>
        <v>https://dpmzos25m8ivg.cloudfront.net/Documentos/631/05293128248/6310529312824808092023004824.pdf</v>
      </c>
      <c r="G2373" s="5" t="str">
        <f>HYPERLINK("https://dpmzos25m8ivg.cloudfront.net/Documentos/631/05293128248/6310529312824808092023004841.pdf","https://dpmzos25m8ivg.cloudfront.net/Documentos/631/05293128248/6310529312824808092023004841.pdf")</f>
        <v>https://dpmzos25m8ivg.cloudfront.net/Documentos/631/05293128248/6310529312824808092023004841.pdf</v>
      </c>
      <c r="H2373" s="5" t="s">
        <v>10952</v>
      </c>
    </row>
    <row r="2374" spans="1:8" x14ac:dyDescent="0.25">
      <c r="A2374" s="2" t="s">
        <v>2390</v>
      </c>
      <c r="B2374" s="3"/>
      <c r="C2374" s="3"/>
      <c r="D2374" s="3"/>
      <c r="E2374" s="5" t="str">
        <f>HYPERLINK("https://dpmzos25m8ivg.cloudfront.net/Documentos/631/05293535552/6310529353555205092023150759.pdf","https://dpmzos25m8ivg.cloudfront.net/Documentos/631/05293535552/6310529353555205092023150759.pdf")</f>
        <v>https://dpmzos25m8ivg.cloudfront.net/Documentos/631/05293535552/6310529353555205092023150759.pdf</v>
      </c>
      <c r="F2374" s="5" t="str">
        <f>HYPERLINK("https://dpmzos25m8ivg.cloudfront.net/Documentos/631/05293535552/6310529353555205092023150822.pdf","https://dpmzos25m8ivg.cloudfront.net/Documentos/631/05293535552/6310529353555205092023150822.pdf")</f>
        <v>https://dpmzos25m8ivg.cloudfront.net/Documentos/631/05293535552/6310529353555205092023150822.pdf</v>
      </c>
      <c r="G2374" s="5" t="str">
        <f>HYPERLINK("https://dpmzos25m8ivg.cloudfront.net/Documentos/631/05293535552/6310529353555205092023150835.pdf","https://dpmzos25m8ivg.cloudfront.net/Documentos/631/05293535552/6310529353555205092023150835.pdf")</f>
        <v>https://dpmzos25m8ivg.cloudfront.net/Documentos/631/05293535552/6310529353555205092023150835.pdf</v>
      </c>
      <c r="H2374" s="5" t="s">
        <v>10953</v>
      </c>
    </row>
    <row r="2375" spans="1:8" x14ac:dyDescent="0.25">
      <c r="A2375" s="2" t="s">
        <v>2391</v>
      </c>
      <c r="B2375" s="3"/>
      <c r="C2375" s="3"/>
      <c r="D2375" s="3"/>
      <c r="E2375" s="5" t="str">
        <f>HYPERLINK("https://dpmzos25m8ivg.cloudfront.net/Documentos/631/05294209535/6310529420953510092023203959.pdf","https://dpmzos25m8ivg.cloudfront.net/Documentos/631/05294209535/6310529420953510092023203959.pdf")</f>
        <v>https://dpmzos25m8ivg.cloudfront.net/Documentos/631/05294209535/6310529420953510092023203959.pdf</v>
      </c>
      <c r="F2375" s="5" t="str">
        <f>HYPERLINK("https://dpmzos25m8ivg.cloudfront.net/Documentos/631/05294209535/6310529420953510092023204016.pdf","https://dpmzos25m8ivg.cloudfront.net/Documentos/631/05294209535/6310529420953510092023204016.pdf")</f>
        <v>https://dpmzos25m8ivg.cloudfront.net/Documentos/631/05294209535/6310529420953510092023204016.pdf</v>
      </c>
      <c r="G2375" s="5" t="str">
        <f>HYPERLINK("https://dpmzos25m8ivg.cloudfront.net/Documentos/631/05294209535/6310529420953510092023204222.pdf","https://dpmzos25m8ivg.cloudfront.net/Documentos/631/05294209535/6310529420953510092023204222.pdf")</f>
        <v>https://dpmzos25m8ivg.cloudfront.net/Documentos/631/05294209535/6310529420953510092023204222.pdf</v>
      </c>
      <c r="H2375" s="5" t="s">
        <v>10954</v>
      </c>
    </row>
    <row r="2376" spans="1:8" x14ac:dyDescent="0.25">
      <c r="A2376" s="2" t="s">
        <v>2392</v>
      </c>
      <c r="B2376" s="3" t="s">
        <v>8</v>
      </c>
      <c r="C2376" s="3"/>
      <c r="D2376" s="3"/>
      <c r="E2376" s="5" t="str">
        <f>HYPERLINK("https://dpmzos25m8ivg.cloudfront.net/Documentos/631/05294546531/6310529454653111092023162759.jpeg","https://dpmzos25m8ivg.cloudfront.net/Documentos/631/05294546531/6310529454653111092023162759.jpeg")</f>
        <v>https://dpmzos25m8ivg.cloudfront.net/Documentos/631/05294546531/6310529454653111092023162759.jpeg</v>
      </c>
      <c r="F2376" s="5" t="str">
        <f>HYPERLINK("https://dpmzos25m8ivg.cloudfront.net/Documentos/631/05294546531/6310529454653111092023162811.jpeg","https://dpmzos25m8ivg.cloudfront.net/Documentos/631/05294546531/6310529454653111092023162811.jpeg")</f>
        <v>https://dpmzos25m8ivg.cloudfront.net/Documentos/631/05294546531/6310529454653111092023162811.jpeg</v>
      </c>
      <c r="G2376" s="5" t="str">
        <f>HYPERLINK("https://dpmzos25m8ivg.cloudfront.net/Documentos/631/05294546531/6310529454653111092023162818.jpeg","https://dpmzos25m8ivg.cloudfront.net/Documentos/631/05294546531/6310529454653111092023162818.jpeg")</f>
        <v>https://dpmzos25m8ivg.cloudfront.net/Documentos/631/05294546531/6310529454653111092023162818.jpeg</v>
      </c>
      <c r="H2376" s="5" t="s">
        <v>10955</v>
      </c>
    </row>
    <row r="2377" spans="1:8" x14ac:dyDescent="0.25">
      <c r="A2377" s="2" t="s">
        <v>2393</v>
      </c>
      <c r="B2377" s="3"/>
      <c r="C2377" s="3"/>
      <c r="D2377" s="3"/>
      <c r="E2377" s="5" t="str">
        <f>HYPERLINK("https://dpmzos25m8ivg.cloudfront.net/Documentos/631/05295094154/6310529509415413092023095526.pdf","https://dpmzos25m8ivg.cloudfront.net/Documentos/631/05295094154/6310529509415413092023095526.pdf")</f>
        <v>https://dpmzos25m8ivg.cloudfront.net/Documentos/631/05295094154/6310529509415413092023095526.pdf</v>
      </c>
      <c r="F2377" s="5" t="str">
        <f>HYPERLINK("https://dpmzos25m8ivg.cloudfront.net/Documentos/631/05295094154/6310529509415413092023095537.pdf","https://dpmzos25m8ivg.cloudfront.net/Documentos/631/05295094154/6310529509415413092023095537.pdf")</f>
        <v>https://dpmzos25m8ivg.cloudfront.net/Documentos/631/05295094154/6310529509415413092023095537.pdf</v>
      </c>
      <c r="G2377" s="5" t="str">
        <f>HYPERLINK("https://dpmzos25m8ivg.cloudfront.net/Documentos/631/05295094154/6310529509415413092023095552.pdf","https://dpmzos25m8ivg.cloudfront.net/Documentos/631/05295094154/6310529509415413092023095552.pdf")</f>
        <v>https://dpmzos25m8ivg.cloudfront.net/Documentos/631/05295094154/6310529509415413092023095552.pdf</v>
      </c>
      <c r="H2377" s="5" t="s">
        <v>10956</v>
      </c>
    </row>
    <row r="2378" spans="1:8" x14ac:dyDescent="0.25">
      <c r="A2378" s="2" t="s">
        <v>2394</v>
      </c>
      <c r="B2378" s="3"/>
      <c r="C2378" s="3"/>
      <c r="D2378" s="3"/>
      <c r="E2378" s="5" t="str">
        <f>HYPERLINK("https://dpmzos25m8ivg.cloudfront.net/Documentos/631/05295936104/6310529593610411092023121659.jpeg","https://dpmzos25m8ivg.cloudfront.net/Documentos/631/05295936104/6310529593610411092023121659.jpeg")</f>
        <v>https://dpmzos25m8ivg.cloudfront.net/Documentos/631/05295936104/6310529593610411092023121659.jpeg</v>
      </c>
      <c r="F2378" s="5" t="str">
        <f>HYPERLINK("https://dpmzos25m8ivg.cloudfront.net/Documentos/631/05295936104/6310529593610411092023121712.jpeg","https://dpmzos25m8ivg.cloudfront.net/Documentos/631/05295936104/6310529593610411092023121712.jpeg")</f>
        <v>https://dpmzos25m8ivg.cloudfront.net/Documentos/631/05295936104/6310529593610411092023121712.jpeg</v>
      </c>
      <c r="G2378" s="5" t="str">
        <f>HYPERLINK("https://dpmzos25m8ivg.cloudfront.net/Documentos/631/05295936104/6310529593610411092023121731.jpeg","https://dpmzos25m8ivg.cloudfront.net/Documentos/631/05295936104/6310529593610411092023121731.jpeg")</f>
        <v>https://dpmzos25m8ivg.cloudfront.net/Documentos/631/05295936104/6310529593610411092023121731.jpeg</v>
      </c>
      <c r="H2378" s="5" t="s">
        <v>10957</v>
      </c>
    </row>
    <row r="2379" spans="1:8" x14ac:dyDescent="0.25">
      <c r="A2379" s="2" t="s">
        <v>2395</v>
      </c>
      <c r="B2379" s="3"/>
      <c r="C2379" s="3"/>
      <c r="D2379" s="3"/>
      <c r="E2379" s="5" t="str">
        <f>HYPERLINK("https://dpmzos25m8ivg.cloudfront.net/Documentos/631/05296079302/6310529607930211092023145240.pdf","https://dpmzos25m8ivg.cloudfront.net/Documentos/631/05296079302/6310529607930211092023145240.pdf")</f>
        <v>https://dpmzos25m8ivg.cloudfront.net/Documentos/631/05296079302/6310529607930211092023145240.pdf</v>
      </c>
      <c r="F2379" s="5" t="str">
        <f>HYPERLINK("https://dpmzos25m8ivg.cloudfront.net/Documentos/631/05296079302/6310529607930211092023145253.pdf","https://dpmzos25m8ivg.cloudfront.net/Documentos/631/05296079302/6310529607930211092023145253.pdf")</f>
        <v>https://dpmzos25m8ivg.cloudfront.net/Documentos/631/05296079302/6310529607930211092023145253.pdf</v>
      </c>
      <c r="G2379" s="5" t="str">
        <f>HYPERLINK("https://dpmzos25m8ivg.cloudfront.net/Documentos/631/05296079302/6310529607930211092023145303.pdf","https://dpmzos25m8ivg.cloudfront.net/Documentos/631/05296079302/6310529607930211092023145303.pdf")</f>
        <v>https://dpmzos25m8ivg.cloudfront.net/Documentos/631/05296079302/6310529607930211092023145303.pdf</v>
      </c>
      <c r="H2379" s="5" t="s">
        <v>10958</v>
      </c>
    </row>
    <row r="2380" spans="1:8" x14ac:dyDescent="0.25">
      <c r="A2380" s="2" t="s">
        <v>2396</v>
      </c>
      <c r="B2380" s="3"/>
      <c r="C2380" s="3"/>
      <c r="D2380" s="3"/>
      <c r="E2380" s="5" t="str">
        <f>HYPERLINK("https://dpmzos25m8ivg.cloudfront.net/Documentos/631/05296401557/6310529640155706092023122513.pdf","https://dpmzos25m8ivg.cloudfront.net/Documentos/631/05296401557/6310529640155706092023122513.pdf")</f>
        <v>https://dpmzos25m8ivg.cloudfront.net/Documentos/631/05296401557/6310529640155706092023122513.pdf</v>
      </c>
      <c r="F2380" s="5" t="str">
        <f>HYPERLINK("https://dpmzos25m8ivg.cloudfront.net/Documentos/631/05296401557/6310529640155706092023122537.pdf","https://dpmzos25m8ivg.cloudfront.net/Documentos/631/05296401557/6310529640155706092023122537.pdf")</f>
        <v>https://dpmzos25m8ivg.cloudfront.net/Documentos/631/05296401557/6310529640155706092023122537.pdf</v>
      </c>
      <c r="G2380" s="5" t="str">
        <f>HYPERLINK("https://dpmzos25m8ivg.cloudfront.net/Documentos/631/05296401557/6310529640155706092023123225.pdf","https://dpmzos25m8ivg.cloudfront.net/Documentos/631/05296401557/6310529640155706092023123225.pdf")</f>
        <v>https://dpmzos25m8ivg.cloudfront.net/Documentos/631/05296401557/6310529640155706092023123225.pdf</v>
      </c>
      <c r="H2380" s="5" t="s">
        <v>10959</v>
      </c>
    </row>
    <row r="2381" spans="1:8" x14ac:dyDescent="0.25">
      <c r="A2381" s="2" t="s">
        <v>2397</v>
      </c>
      <c r="B2381" s="3"/>
      <c r="C2381" s="3"/>
      <c r="D2381" s="3"/>
      <c r="E2381" s="5" t="str">
        <f>HYPERLINK("https://dpmzos25m8ivg.cloudfront.net/Documentos/631/05297304563/6310529730456311092023152831.jpg","https://dpmzos25m8ivg.cloudfront.net/Documentos/631/05297304563/6310529730456311092023152831.jpg")</f>
        <v>https://dpmzos25m8ivg.cloudfront.net/Documentos/631/05297304563/6310529730456311092023152831.jpg</v>
      </c>
      <c r="F2381" s="5" t="str">
        <f>HYPERLINK("https://dpmzos25m8ivg.cloudfront.net/Documentos/631/05297304563/6310529730456311092023152843.jpg","https://dpmzos25m8ivg.cloudfront.net/Documentos/631/05297304563/6310529730456311092023152843.jpg")</f>
        <v>https://dpmzos25m8ivg.cloudfront.net/Documentos/631/05297304563/6310529730456311092023152843.jpg</v>
      </c>
      <c r="G2381" s="5" t="str">
        <f>HYPERLINK("https://dpmzos25m8ivg.cloudfront.net/Documentos/631/05297304563/6310529730456311092023152856.jpg","https://dpmzos25m8ivg.cloudfront.net/Documentos/631/05297304563/6310529730456311092023152856.jpg")</f>
        <v>https://dpmzos25m8ivg.cloudfront.net/Documentos/631/05297304563/6310529730456311092023152856.jpg</v>
      </c>
      <c r="H2381" s="5" t="s">
        <v>10960</v>
      </c>
    </row>
    <row r="2382" spans="1:8" x14ac:dyDescent="0.25">
      <c r="A2382" s="2" t="s">
        <v>2398</v>
      </c>
      <c r="B2382" s="3"/>
      <c r="C2382" s="3"/>
      <c r="D2382" s="3"/>
      <c r="E2382" s="5" t="str">
        <f>HYPERLINK("https://dpmzos25m8ivg.cloudfront.net/Documentos/631/05298886531/6310529888653111092023125437.pdf","https://dpmzos25m8ivg.cloudfront.net/Documentos/631/05298886531/6310529888653111092023125437.pdf")</f>
        <v>https://dpmzos25m8ivg.cloudfront.net/Documentos/631/05298886531/6310529888653111092023125437.pdf</v>
      </c>
      <c r="F2382" s="5" t="str">
        <f>HYPERLINK("https://dpmzos25m8ivg.cloudfront.net/Documentos/631/05298886531/6310529888653111092023125452.pdf","https://dpmzos25m8ivg.cloudfront.net/Documentos/631/05298886531/6310529888653111092023125452.pdf")</f>
        <v>https://dpmzos25m8ivg.cloudfront.net/Documentos/631/05298886531/6310529888653111092023125452.pdf</v>
      </c>
      <c r="G2382" s="5" t="str">
        <f>HYPERLINK("https://dpmzos25m8ivg.cloudfront.net/Documentos/631/05298886531/6310529888653111092023125507.pdf","https://dpmzos25m8ivg.cloudfront.net/Documentos/631/05298886531/6310529888653111092023125507.pdf")</f>
        <v>https://dpmzos25m8ivg.cloudfront.net/Documentos/631/05298886531/6310529888653111092023125507.pdf</v>
      </c>
      <c r="H2382" s="5" t="s">
        <v>10961</v>
      </c>
    </row>
    <row r="2383" spans="1:8" x14ac:dyDescent="0.25">
      <c r="A2383" s="2" t="s">
        <v>2399</v>
      </c>
      <c r="B2383" s="3"/>
      <c r="C2383" s="3"/>
      <c r="D2383" s="3"/>
      <c r="E2383" s="5" t="str">
        <f>HYPERLINK("https://dpmzos25m8ivg.cloudfront.net/Documentos/631/05303481794/6310530348179406092023174659.pdf","https://dpmzos25m8ivg.cloudfront.net/Documentos/631/05303481794/6310530348179406092023174659.pdf")</f>
        <v>https://dpmzos25m8ivg.cloudfront.net/Documentos/631/05303481794/6310530348179406092023174659.pdf</v>
      </c>
      <c r="F2383" s="5" t="str">
        <f>HYPERLINK("https://dpmzos25m8ivg.cloudfront.net/Documentos/631/05303481794/6310530348179406092023174712.pdf","https://dpmzos25m8ivg.cloudfront.net/Documentos/631/05303481794/6310530348179406092023174712.pdf")</f>
        <v>https://dpmzos25m8ivg.cloudfront.net/Documentos/631/05303481794/6310530348179406092023174712.pdf</v>
      </c>
      <c r="G2383" s="5" t="str">
        <f>HYPERLINK("https://dpmzos25m8ivg.cloudfront.net/Documentos/631/05303481794/6310530348179406092023174731.pdf","https://dpmzos25m8ivg.cloudfront.net/Documentos/631/05303481794/6310530348179406092023174731.pdf")</f>
        <v>https://dpmzos25m8ivg.cloudfront.net/Documentos/631/05303481794/6310530348179406092023174731.pdf</v>
      </c>
      <c r="H2383" s="5" t="s">
        <v>10962</v>
      </c>
    </row>
    <row r="2384" spans="1:8" x14ac:dyDescent="0.25">
      <c r="A2384" s="2" t="s">
        <v>2400</v>
      </c>
      <c r="B2384" s="3"/>
      <c r="C2384" s="3"/>
      <c r="D2384" s="3"/>
      <c r="E2384" s="5" t="str">
        <f>HYPERLINK("https://dpmzos25m8ivg.cloudfront.net/Documentos/631/05304298616/6310530429861610092023181737.jpg","https://dpmzos25m8ivg.cloudfront.net/Documentos/631/05304298616/6310530429861610092023181737.jpg")</f>
        <v>https://dpmzos25m8ivg.cloudfront.net/Documentos/631/05304298616/6310530429861610092023181737.jpg</v>
      </c>
      <c r="F2384" s="5" t="str">
        <f>HYPERLINK("https://dpmzos25m8ivg.cloudfront.net/Documentos/631/05304298616/6310530429861610092023191728.jpg","https://dpmzos25m8ivg.cloudfront.net/Documentos/631/05304298616/6310530429861610092023191728.jpg")</f>
        <v>https://dpmzos25m8ivg.cloudfront.net/Documentos/631/05304298616/6310530429861610092023191728.jpg</v>
      </c>
      <c r="G2384" s="5" t="str">
        <f>HYPERLINK("https://dpmzos25m8ivg.cloudfront.net/Documentos/631/05304298616/6310530429861610092023191800.jpg","https://dpmzos25m8ivg.cloudfront.net/Documentos/631/05304298616/6310530429861610092023191800.jpg")</f>
        <v>https://dpmzos25m8ivg.cloudfront.net/Documentos/631/05304298616/6310530429861610092023191800.jpg</v>
      </c>
      <c r="H2384" s="5" t="s">
        <v>10963</v>
      </c>
    </row>
    <row r="2385" spans="1:8" x14ac:dyDescent="0.25">
      <c r="A2385" s="2" t="s">
        <v>2401</v>
      </c>
      <c r="B2385" s="3" t="s">
        <v>2358</v>
      </c>
      <c r="C2385" s="3"/>
      <c r="D2385" s="3"/>
      <c r="E2385" s="5" t="str">
        <f>HYPERLINK("https://dpmzos25m8ivg.cloudfront.net/Documentos/631/05304536495/6310530453649506092023213121.pdf","https://dpmzos25m8ivg.cloudfront.net/Documentos/631/05304536495/6310530453649506092023213121.pdf")</f>
        <v>https://dpmzos25m8ivg.cloudfront.net/Documentos/631/05304536495/6310530453649506092023213121.pdf</v>
      </c>
      <c r="F2385" s="5" t="str">
        <f>HYPERLINK("https://dpmzos25m8ivg.cloudfront.net/Documentos/631/05304536495/6310530453649506092023213056.pdf","https://dpmzos25m8ivg.cloudfront.net/Documentos/631/05304536495/6310530453649506092023213056.pdf")</f>
        <v>https://dpmzos25m8ivg.cloudfront.net/Documentos/631/05304536495/6310530453649506092023213056.pdf</v>
      </c>
      <c r="G2385" s="5" t="str">
        <f>HYPERLINK("https://dpmzos25m8ivg.cloudfront.net/Documentos/631/05304536495/6310530453649506092023213030.pdf","https://dpmzos25m8ivg.cloudfront.net/Documentos/631/05304536495/6310530453649506092023213030.pdf")</f>
        <v>https://dpmzos25m8ivg.cloudfront.net/Documentos/631/05304536495/6310530453649506092023213030.pdf</v>
      </c>
      <c r="H2385" s="5" t="s">
        <v>10964</v>
      </c>
    </row>
    <row r="2386" spans="1:8" x14ac:dyDescent="0.25">
      <c r="A2386" s="2" t="s">
        <v>2402</v>
      </c>
      <c r="B2386" s="3"/>
      <c r="C2386" s="3"/>
      <c r="D2386" s="3"/>
      <c r="E2386" s="5" t="str">
        <f>HYPERLINK("https://dpmzos25m8ivg.cloudfront.net/Documentos/631/05305630703/6310530563070311092023165601.pdf","https://dpmzos25m8ivg.cloudfront.net/Documentos/631/05305630703/6310530563070311092023165601.pdf")</f>
        <v>https://dpmzos25m8ivg.cloudfront.net/Documentos/631/05305630703/6310530563070311092023165601.pdf</v>
      </c>
      <c r="F2386" s="5" t="str">
        <f>HYPERLINK("https://dpmzos25m8ivg.cloudfront.net/Documentos/631/05305630703/6310530563070311092023165614.pdf","https://dpmzos25m8ivg.cloudfront.net/Documentos/631/05305630703/6310530563070311092023165614.pdf")</f>
        <v>https://dpmzos25m8ivg.cloudfront.net/Documentos/631/05305630703/6310530563070311092023165614.pdf</v>
      </c>
      <c r="G2386" s="5" t="str">
        <f>HYPERLINK("https://dpmzos25m8ivg.cloudfront.net/Documentos/631/05305630703/6310530563070311092023165631.pdf","https://dpmzos25m8ivg.cloudfront.net/Documentos/631/05305630703/6310530563070311092023165631.pdf")</f>
        <v>https://dpmzos25m8ivg.cloudfront.net/Documentos/631/05305630703/6310530563070311092023165631.pdf</v>
      </c>
      <c r="H2386" s="5" t="s">
        <v>10965</v>
      </c>
    </row>
    <row r="2387" spans="1:8" x14ac:dyDescent="0.25">
      <c r="A2387" s="2" t="s">
        <v>2403</v>
      </c>
      <c r="B2387" s="3"/>
      <c r="C2387" s="3"/>
      <c r="D2387" s="3"/>
      <c r="E2387" s="5" t="str">
        <f>HYPERLINK("https://dpmzos25m8ivg.cloudfront.net/Documentos/631/05305808103/6310530580810305092023193327.pdf","https://dpmzos25m8ivg.cloudfront.net/Documentos/631/05305808103/6310530580810305092023193327.pdf")</f>
        <v>https://dpmzos25m8ivg.cloudfront.net/Documentos/631/05305808103/6310530580810305092023193327.pdf</v>
      </c>
      <c r="F2387" s="5" t="str">
        <f>HYPERLINK("https://dpmzos25m8ivg.cloudfront.net/Documentos/631/05305808103/6310530580810305092023193340.pdf","https://dpmzos25m8ivg.cloudfront.net/Documentos/631/05305808103/6310530580810305092023193340.pdf")</f>
        <v>https://dpmzos25m8ivg.cloudfront.net/Documentos/631/05305808103/6310530580810305092023193340.pdf</v>
      </c>
      <c r="G2387" s="5" t="str">
        <f>HYPERLINK("https://dpmzos25m8ivg.cloudfront.net/Documentos/631/05305808103/6310530580810305092023193356.pdf","https://dpmzos25m8ivg.cloudfront.net/Documentos/631/05305808103/6310530580810305092023193356.pdf")</f>
        <v>https://dpmzos25m8ivg.cloudfront.net/Documentos/631/05305808103/6310530580810305092023193356.pdf</v>
      </c>
      <c r="H2387" s="5" t="s">
        <v>10966</v>
      </c>
    </row>
    <row r="2388" spans="1:8" x14ac:dyDescent="0.25">
      <c r="A2388" s="2" t="s">
        <v>2404</v>
      </c>
      <c r="B2388" s="3" t="s">
        <v>2358</v>
      </c>
      <c r="C2388" s="3"/>
      <c r="D2388" s="3"/>
      <c r="E2388" s="5" t="str">
        <f>HYPERLINK("https://dpmzos25m8ivg.cloudfront.net/Documentos/631/05306918506/6310530691850611092023115108.pdf","https://dpmzos25m8ivg.cloudfront.net/Documentos/631/05306918506/6310530691850611092023115108.pdf")</f>
        <v>https://dpmzos25m8ivg.cloudfront.net/Documentos/631/05306918506/6310530691850611092023115108.pdf</v>
      </c>
      <c r="F2388" s="5" t="str">
        <f>HYPERLINK("https://dpmzos25m8ivg.cloudfront.net/Documentos/631/05306918506/6310530691850611092023115200.pdf","https://dpmzos25m8ivg.cloudfront.net/Documentos/631/05306918506/6310530691850611092023115200.pdf")</f>
        <v>https://dpmzos25m8ivg.cloudfront.net/Documentos/631/05306918506/6310530691850611092023115200.pdf</v>
      </c>
      <c r="G2388" s="5" t="str">
        <f>HYPERLINK("https://dpmzos25m8ivg.cloudfront.net/Documentos/631/05306918506/6310530691850611092023115311.pdf","https://dpmzos25m8ivg.cloudfront.net/Documentos/631/05306918506/6310530691850611092023115311.pdf")</f>
        <v>https://dpmzos25m8ivg.cloudfront.net/Documentos/631/05306918506/6310530691850611092023115311.pdf</v>
      </c>
      <c r="H2388" s="5" t="s">
        <v>10967</v>
      </c>
    </row>
    <row r="2389" spans="1:8" x14ac:dyDescent="0.25">
      <c r="A2389" s="2" t="s">
        <v>2405</v>
      </c>
      <c r="B2389" s="3" t="s">
        <v>2358</v>
      </c>
      <c r="C2389" s="3"/>
      <c r="D2389" s="3"/>
      <c r="E2389" s="5" t="str">
        <f>HYPERLINK("https://dpmzos25m8ivg.cloudfront.net/Documentos/631/05308258309/6310530825830909092023182833.pdf","https://dpmzos25m8ivg.cloudfront.net/Documentos/631/05308258309/6310530825830909092023182833.pdf")</f>
        <v>https://dpmzos25m8ivg.cloudfront.net/Documentos/631/05308258309/6310530825830909092023182833.pdf</v>
      </c>
      <c r="F2389" s="5" t="str">
        <f>HYPERLINK("https://dpmzos25m8ivg.cloudfront.net/Documentos/631/05308258309/6310530825830909092023182857.pdf","https://dpmzos25m8ivg.cloudfront.net/Documentos/631/05308258309/6310530825830909092023182857.pdf")</f>
        <v>https://dpmzos25m8ivg.cloudfront.net/Documentos/631/05308258309/6310530825830909092023182857.pdf</v>
      </c>
      <c r="G2389" s="5" t="str">
        <f>HYPERLINK("https://dpmzos25m8ivg.cloudfront.net/Documentos/631/05308258309/6310530825830909092023182908.pdf","https://dpmzos25m8ivg.cloudfront.net/Documentos/631/05308258309/6310530825830909092023182908.pdf")</f>
        <v>https://dpmzos25m8ivg.cloudfront.net/Documentos/631/05308258309/6310530825830909092023182908.pdf</v>
      </c>
      <c r="H2389" s="5" t="s">
        <v>10968</v>
      </c>
    </row>
    <row r="2390" spans="1:8" x14ac:dyDescent="0.25">
      <c r="A2390" s="2" t="s">
        <v>2406</v>
      </c>
      <c r="B2390" s="3"/>
      <c r="C2390" s="3"/>
      <c r="D2390" s="3"/>
      <c r="E2390" s="5" t="str">
        <f>HYPERLINK("https://dpmzos25m8ivg.cloudfront.net/Documentos/631/05309622250/6310530962225009092023111820.pdf","https://dpmzos25m8ivg.cloudfront.net/Documentos/631/05309622250/6310530962225009092023111820.pdf")</f>
        <v>https://dpmzos25m8ivg.cloudfront.net/Documentos/631/05309622250/6310530962225009092023111820.pdf</v>
      </c>
      <c r="F2390" s="5" t="str">
        <f>HYPERLINK("https://dpmzos25m8ivg.cloudfront.net/Documentos/631/05309622250/6310530962225009092023111837.pdf","https://dpmzos25m8ivg.cloudfront.net/Documentos/631/05309622250/6310530962225009092023111837.pdf")</f>
        <v>https://dpmzos25m8ivg.cloudfront.net/Documentos/631/05309622250/6310530962225009092023111837.pdf</v>
      </c>
      <c r="G2390" s="5" t="str">
        <f>HYPERLINK("https://dpmzos25m8ivg.cloudfront.net/Documentos/631/05309622250/6310530962225009092023111845.pdf","https://dpmzos25m8ivg.cloudfront.net/Documentos/631/05309622250/6310530962225009092023111845.pdf")</f>
        <v>https://dpmzos25m8ivg.cloudfront.net/Documentos/631/05309622250/6310530962225009092023111845.pdf</v>
      </c>
      <c r="H2390" s="5" t="s">
        <v>10969</v>
      </c>
    </row>
    <row r="2391" spans="1:8" x14ac:dyDescent="0.25">
      <c r="A2391" s="2" t="s">
        <v>2407</v>
      </c>
      <c r="B2391" s="3"/>
      <c r="C2391" s="3"/>
      <c r="D2391" s="3"/>
      <c r="E2391" s="5" t="str">
        <f>HYPERLINK("https://dpmzos25m8ivg.cloudfront.net/Documentos/631/05310855548/6310531085554805092023170732.pdf","https://dpmzos25m8ivg.cloudfront.net/Documentos/631/05310855548/6310531085554805092023170732.pdf")</f>
        <v>https://dpmzos25m8ivg.cloudfront.net/Documentos/631/05310855548/6310531085554805092023170732.pdf</v>
      </c>
      <c r="F2391" s="5" t="str">
        <f>HYPERLINK("https://dpmzos25m8ivg.cloudfront.net/Documentos/631/05310855548/6310531085554805092023170744.pdf","https://dpmzos25m8ivg.cloudfront.net/Documentos/631/05310855548/6310531085554805092023170744.pdf")</f>
        <v>https://dpmzos25m8ivg.cloudfront.net/Documentos/631/05310855548/6310531085554805092023170744.pdf</v>
      </c>
      <c r="G2391" s="5" t="str">
        <f>HYPERLINK("https://dpmzos25m8ivg.cloudfront.net/Documentos/631/05310855548/6310531085554805092023170757.pdf","https://dpmzos25m8ivg.cloudfront.net/Documentos/631/05310855548/6310531085554805092023170757.pdf")</f>
        <v>https://dpmzos25m8ivg.cloudfront.net/Documentos/631/05310855548/6310531085554805092023170757.pdf</v>
      </c>
      <c r="H2391" s="5" t="s">
        <v>10970</v>
      </c>
    </row>
    <row r="2392" spans="1:8" x14ac:dyDescent="0.25">
      <c r="A2392" s="2" t="s">
        <v>2408</v>
      </c>
      <c r="B2392" s="3"/>
      <c r="C2392" s="3"/>
      <c r="D2392" s="3"/>
      <c r="E2392" s="5" t="str">
        <f>HYPERLINK("https://dpmzos25m8ivg.cloudfront.net/Documentos/631/05311172517/6310531117251706092023141108.pdf","https://dpmzos25m8ivg.cloudfront.net/Documentos/631/05311172517/6310531117251706092023141108.pdf")</f>
        <v>https://dpmzos25m8ivg.cloudfront.net/Documentos/631/05311172517/6310531117251706092023141108.pdf</v>
      </c>
      <c r="F2392" s="5" t="str">
        <f>HYPERLINK("https://dpmzos25m8ivg.cloudfront.net/Documentos/631/05311172517/6310531117251706092023141054.pdf","https://dpmzos25m8ivg.cloudfront.net/Documentos/631/05311172517/6310531117251706092023141054.pdf")</f>
        <v>https://dpmzos25m8ivg.cloudfront.net/Documentos/631/05311172517/6310531117251706092023141054.pdf</v>
      </c>
      <c r="G2392" s="5" t="str">
        <f>HYPERLINK("https://dpmzos25m8ivg.cloudfront.net/Documentos/631/05311172517/6310531117251706092023141038.pdf","https://dpmzos25m8ivg.cloudfront.net/Documentos/631/05311172517/6310531117251706092023141038.pdf")</f>
        <v>https://dpmzos25m8ivg.cloudfront.net/Documentos/631/05311172517/6310531117251706092023141038.pdf</v>
      </c>
      <c r="H2392" s="5" t="s">
        <v>10971</v>
      </c>
    </row>
    <row r="2393" spans="1:8" x14ac:dyDescent="0.25">
      <c r="A2393" s="2" t="s">
        <v>2409</v>
      </c>
      <c r="B2393" s="3"/>
      <c r="C2393" s="3"/>
      <c r="D2393" s="3"/>
      <c r="E2393" s="5" t="str">
        <f>HYPERLINK("https://dpmzos25m8ivg.cloudfront.net/Documentos/631/05311699523/6310531169952311092023163514.pdf","https://dpmzos25m8ivg.cloudfront.net/Documentos/631/05311699523/6310531169952311092023163514.pdf")</f>
        <v>https://dpmzos25m8ivg.cloudfront.net/Documentos/631/05311699523/6310531169952311092023163514.pdf</v>
      </c>
      <c r="F2393" s="5" t="str">
        <f>HYPERLINK("https://dpmzos25m8ivg.cloudfront.net/Documentos/631/05311699523/6310531169952311092023163558.pdf","https://dpmzos25m8ivg.cloudfront.net/Documentos/631/05311699523/6310531169952311092023163558.pdf")</f>
        <v>https://dpmzos25m8ivg.cloudfront.net/Documentos/631/05311699523/6310531169952311092023163558.pdf</v>
      </c>
      <c r="G2393" s="5" t="str">
        <f>HYPERLINK("https://dpmzos25m8ivg.cloudfront.net/Documentos/631/05311699523/6310531169952311092023163608.pdf","https://dpmzos25m8ivg.cloudfront.net/Documentos/631/05311699523/6310531169952311092023163608.pdf")</f>
        <v>https://dpmzos25m8ivg.cloudfront.net/Documentos/631/05311699523/6310531169952311092023163608.pdf</v>
      </c>
      <c r="H2393" s="5" t="s">
        <v>10972</v>
      </c>
    </row>
    <row r="2394" spans="1:8" x14ac:dyDescent="0.25">
      <c r="A2394" s="2" t="s">
        <v>2410</v>
      </c>
      <c r="B2394" s="3"/>
      <c r="C2394" s="3"/>
      <c r="D2394" s="3"/>
      <c r="E2394" s="5" t="str">
        <f>HYPERLINK("https://dpmzos25m8ivg.cloudfront.net/Documentos/631/05312692808/6310531269280811092023152249.jpeg","https://dpmzos25m8ivg.cloudfront.net/Documentos/631/05312692808/6310531269280811092023152249.jpeg")</f>
        <v>https://dpmzos25m8ivg.cloudfront.net/Documentos/631/05312692808/6310531269280811092023152249.jpeg</v>
      </c>
      <c r="F2394" s="5" t="str">
        <f>HYPERLINK("https://dpmzos25m8ivg.cloudfront.net/Documentos/631/05312692808/6310531269280811092023152352.jpeg","https://dpmzos25m8ivg.cloudfront.net/Documentos/631/05312692808/6310531269280811092023152352.jpeg")</f>
        <v>https://dpmzos25m8ivg.cloudfront.net/Documentos/631/05312692808/6310531269280811092023152352.jpeg</v>
      </c>
      <c r="G2394" s="5" t="str">
        <f>HYPERLINK("https://dpmzos25m8ivg.cloudfront.net/Documentos/631/05312692808/6310531269280811092023152410.jpeg","https://dpmzos25m8ivg.cloudfront.net/Documentos/631/05312692808/6310531269280811092023152410.jpeg")</f>
        <v>https://dpmzos25m8ivg.cloudfront.net/Documentos/631/05312692808/6310531269280811092023152410.jpeg</v>
      </c>
      <c r="H2394" s="5" t="s">
        <v>10973</v>
      </c>
    </row>
    <row r="2395" spans="1:8" x14ac:dyDescent="0.25">
      <c r="A2395" s="2" t="s">
        <v>2411</v>
      </c>
      <c r="B2395" s="3"/>
      <c r="C2395" s="3"/>
      <c r="D2395" s="3"/>
      <c r="E2395" s="5" t="str">
        <f>HYPERLINK("https://dpmzos25m8ivg.cloudfront.net/Documentos/631/05319201354/6310531920135413092023210118.pdf","https://dpmzos25m8ivg.cloudfront.net/Documentos/631/05319201354/6310531920135413092023210118.pdf")</f>
        <v>https://dpmzos25m8ivg.cloudfront.net/Documentos/631/05319201354/6310531920135413092023210118.pdf</v>
      </c>
      <c r="F2395" s="5" t="str">
        <f>HYPERLINK("https://dpmzos25m8ivg.cloudfront.net/Documentos/631/05319201354/6310531920135413092023210135.pdf","https://dpmzos25m8ivg.cloudfront.net/Documentos/631/05319201354/6310531920135413092023210135.pdf")</f>
        <v>https://dpmzos25m8ivg.cloudfront.net/Documentos/631/05319201354/6310531920135413092023210135.pdf</v>
      </c>
      <c r="G2395" s="5" t="str">
        <f>HYPERLINK("https://dpmzos25m8ivg.cloudfront.net/Documentos/631/05319201354/6310531920135413092023210154.pdf","https://dpmzos25m8ivg.cloudfront.net/Documentos/631/05319201354/6310531920135413092023210154.pdf")</f>
        <v>https://dpmzos25m8ivg.cloudfront.net/Documentos/631/05319201354/6310531920135413092023210154.pdf</v>
      </c>
      <c r="H2395" s="5" t="s">
        <v>10974</v>
      </c>
    </row>
    <row r="2396" spans="1:8" x14ac:dyDescent="0.25">
      <c r="A2396" s="2" t="s">
        <v>2412</v>
      </c>
      <c r="B2396" s="3" t="s">
        <v>8</v>
      </c>
      <c r="C2396" s="3"/>
      <c r="D2396" s="3"/>
      <c r="E2396" s="5" t="str">
        <f>HYPERLINK("https://dpmzos25m8ivg.cloudfront.net/Documentos/631/05320376936/6310532037693605092023133422.pdf","https://dpmzos25m8ivg.cloudfront.net/Documentos/631/05320376936/6310532037693605092023133422.pdf")</f>
        <v>https://dpmzos25m8ivg.cloudfront.net/Documentos/631/05320376936/6310532037693605092023133422.pdf</v>
      </c>
      <c r="F2396" s="5" t="str">
        <f>HYPERLINK("https://dpmzos25m8ivg.cloudfront.net/Documentos/631/05320376936/6310532037693605092023133437.pdf","https://dpmzos25m8ivg.cloudfront.net/Documentos/631/05320376936/6310532037693605092023133437.pdf")</f>
        <v>https://dpmzos25m8ivg.cloudfront.net/Documentos/631/05320376936/6310532037693605092023133437.pdf</v>
      </c>
      <c r="G2396" s="5" t="str">
        <f>HYPERLINK("https://dpmzos25m8ivg.cloudfront.net/Documentos/631/05320376936/6310532037693605092023133457.pdf","https://dpmzos25m8ivg.cloudfront.net/Documentos/631/05320376936/6310532037693605092023133457.pdf")</f>
        <v>https://dpmzos25m8ivg.cloudfront.net/Documentos/631/05320376936/6310532037693605092023133457.pdf</v>
      </c>
      <c r="H2396" s="5" t="s">
        <v>10975</v>
      </c>
    </row>
    <row r="2397" spans="1:8" x14ac:dyDescent="0.25">
      <c r="A2397" s="2" t="s">
        <v>2413</v>
      </c>
      <c r="B2397" s="3"/>
      <c r="C2397" s="3"/>
      <c r="D2397" s="3"/>
      <c r="E2397" s="5" t="str">
        <f>HYPERLINK("https://dpmzos25m8ivg.cloudfront.net/Documentos/631/05321744610/6310532174461011092023154910.jpeg","https://dpmzos25m8ivg.cloudfront.net/Documentos/631/05321744610/6310532174461011092023154910.jpeg")</f>
        <v>https://dpmzos25m8ivg.cloudfront.net/Documentos/631/05321744610/6310532174461011092023154910.jpeg</v>
      </c>
      <c r="F2397" s="5" t="str">
        <f>HYPERLINK("https://dpmzos25m8ivg.cloudfront.net/Documentos/631/05321744610/6310532174461011092023154917.jpeg","https://dpmzos25m8ivg.cloudfront.net/Documentos/631/05321744610/6310532174461011092023154917.jpeg")</f>
        <v>https://dpmzos25m8ivg.cloudfront.net/Documentos/631/05321744610/6310532174461011092023154917.jpeg</v>
      </c>
      <c r="G2397" s="5" t="str">
        <f>HYPERLINK("https://dpmzos25m8ivg.cloudfront.net/Documentos/631/05321744610/6310532174461011092023154924.jpeg","https://dpmzos25m8ivg.cloudfront.net/Documentos/631/05321744610/6310532174461011092023154924.jpeg")</f>
        <v>https://dpmzos25m8ivg.cloudfront.net/Documentos/631/05321744610/6310532174461011092023154924.jpeg</v>
      </c>
      <c r="H2397" s="5" t="s">
        <v>10976</v>
      </c>
    </row>
    <row r="2398" spans="1:8" x14ac:dyDescent="0.25">
      <c r="A2398" s="2" t="s">
        <v>2414</v>
      </c>
      <c r="B2398" s="3"/>
      <c r="C2398" s="3"/>
      <c r="D2398" s="3"/>
      <c r="E2398" s="5" t="str">
        <f>HYPERLINK("https://dpmzos25m8ivg.cloudfront.net/Documentos/631/05324507520/6310532450752005092023092358.pdf","https://dpmzos25m8ivg.cloudfront.net/Documentos/631/05324507520/6310532450752005092023092358.pdf")</f>
        <v>https://dpmzos25m8ivg.cloudfront.net/Documentos/631/05324507520/6310532450752005092023092358.pdf</v>
      </c>
      <c r="F2398" s="5" t="str">
        <f>HYPERLINK("https://dpmzos25m8ivg.cloudfront.net/Documentos/631/05324507520/6310532450752005092023092432.pdf","https://dpmzos25m8ivg.cloudfront.net/Documentos/631/05324507520/6310532450752005092023092432.pdf")</f>
        <v>https://dpmzos25m8ivg.cloudfront.net/Documentos/631/05324507520/6310532450752005092023092432.pdf</v>
      </c>
      <c r="G2398" s="5" t="str">
        <f>HYPERLINK("https://dpmzos25m8ivg.cloudfront.net/Documentos/631/05324507520/6310532450752005092023092444.pdf","https://dpmzos25m8ivg.cloudfront.net/Documentos/631/05324507520/6310532450752005092023092444.pdf")</f>
        <v>https://dpmzos25m8ivg.cloudfront.net/Documentos/631/05324507520/6310532450752005092023092444.pdf</v>
      </c>
      <c r="H2398" s="5" t="s">
        <v>10977</v>
      </c>
    </row>
    <row r="2399" spans="1:8" x14ac:dyDescent="0.25">
      <c r="A2399" s="2" t="s">
        <v>2415</v>
      </c>
      <c r="B2399" s="3"/>
      <c r="C2399" s="3"/>
      <c r="D2399" s="3"/>
      <c r="E2399" s="5" t="str">
        <f>HYPERLINK("https://dpmzos25m8ivg.cloudfront.net/Documentos/631/05324636509/6310532463650911092023142710.jpeg","https://dpmzos25m8ivg.cloudfront.net/Documentos/631/05324636509/6310532463650911092023142710.jpeg")</f>
        <v>https://dpmzos25m8ivg.cloudfront.net/Documentos/631/05324636509/6310532463650911092023142710.jpeg</v>
      </c>
      <c r="F2399" s="5" t="str">
        <f>HYPERLINK("https://dpmzos25m8ivg.cloudfront.net/Documentos/631/05324636509/6310532463650911092023142721.jpeg","https://dpmzos25m8ivg.cloudfront.net/Documentos/631/05324636509/6310532463650911092023142721.jpeg")</f>
        <v>https://dpmzos25m8ivg.cloudfront.net/Documentos/631/05324636509/6310532463650911092023142721.jpeg</v>
      </c>
      <c r="G2399" s="5" t="str">
        <f>HYPERLINK("https://dpmzos25m8ivg.cloudfront.net/Documentos/631/05324636509/6310532463650911092023142730.jpeg","https://dpmzos25m8ivg.cloudfront.net/Documentos/631/05324636509/6310532463650911092023142730.jpeg")</f>
        <v>https://dpmzos25m8ivg.cloudfront.net/Documentos/631/05324636509/6310532463650911092023142730.jpeg</v>
      </c>
      <c r="H2399" s="5" t="s">
        <v>10978</v>
      </c>
    </row>
    <row r="2400" spans="1:8" x14ac:dyDescent="0.25">
      <c r="A2400" s="2" t="s">
        <v>2416</v>
      </c>
      <c r="B2400" s="3" t="s">
        <v>2358</v>
      </c>
      <c r="C2400" s="3"/>
      <c r="D2400" s="3"/>
      <c r="E2400" s="9" t="str">
        <f>HYPERLINK("https://dpmzos25m8ivg.cloudfront.net/Documentos/631/05328903536/6310532890353613092023010059.pdf","https://dpmzos25m8ivg.cloudfront.net/Documentos/631/05328903536/6310532890353613092023010059.pdf")</f>
        <v>https://dpmzos25m8ivg.cloudfront.net/Documentos/631/05328903536/6310532890353613092023010059.pdf</v>
      </c>
      <c r="F2400" s="5" t="str">
        <f>HYPERLINK("https://dpmzos25m8ivg.cloudfront.net/Documentos/631/05328903536/6310532890353613092023010116.pdf","https://dpmzos25m8ivg.cloudfront.net/Documentos/631/05328903536/6310532890353613092023010116.pdf")</f>
        <v>https://dpmzos25m8ivg.cloudfront.net/Documentos/631/05328903536/6310532890353613092023010116.pdf</v>
      </c>
      <c r="G2400" s="5" t="str">
        <f>HYPERLINK("https://dpmzos25m8ivg.cloudfront.net/Documentos/631/05328903536/6310532890353613092023010136.pdf","https://dpmzos25m8ivg.cloudfront.net/Documentos/631/05328903536/6310532890353613092023010136.pdf")</f>
        <v>https://dpmzos25m8ivg.cloudfront.net/Documentos/631/05328903536/6310532890353613092023010136.pdf</v>
      </c>
      <c r="H2400" s="5" t="s">
        <v>10979</v>
      </c>
    </row>
    <row r="2401" spans="1:8" x14ac:dyDescent="0.25">
      <c r="A2401" s="2" t="s">
        <v>2417</v>
      </c>
      <c r="B2401" s="3"/>
      <c r="C2401" s="3"/>
      <c r="D2401" s="3"/>
      <c r="E2401" s="5" t="str">
        <f>HYPERLINK("https://dpmzos25m8ivg.cloudfront.net/Documentos/631/05332895305/6310533289530511092023113618.jpeg","https://dpmzos25m8ivg.cloudfront.net/Documentos/631/05332895305/6310533289530511092023113618.jpeg")</f>
        <v>https://dpmzos25m8ivg.cloudfront.net/Documentos/631/05332895305/6310533289530511092023113618.jpeg</v>
      </c>
      <c r="F2401" s="5" t="str">
        <f>HYPERLINK("https://dpmzos25m8ivg.cloudfront.net/Documentos/631/05332895305/6310533289530511092023113632.jpeg","https://dpmzos25m8ivg.cloudfront.net/Documentos/631/05332895305/6310533289530511092023113632.jpeg")</f>
        <v>https://dpmzos25m8ivg.cloudfront.net/Documentos/631/05332895305/6310533289530511092023113632.jpeg</v>
      </c>
      <c r="G2401" s="5" t="str">
        <f>HYPERLINK("https://dpmzos25m8ivg.cloudfront.net/Documentos/631/05332895305/6310533289530511092023113654.jpeg","https://dpmzos25m8ivg.cloudfront.net/Documentos/631/05332895305/6310533289530511092023113654.jpeg")</f>
        <v>https://dpmzos25m8ivg.cloudfront.net/Documentos/631/05332895305/6310533289530511092023113654.jpeg</v>
      </c>
      <c r="H2401" s="5" t="s">
        <v>10980</v>
      </c>
    </row>
    <row r="2402" spans="1:8" x14ac:dyDescent="0.25">
      <c r="A2402" s="2" t="s">
        <v>2418</v>
      </c>
      <c r="B2402" s="3"/>
      <c r="C2402" s="3"/>
      <c r="D2402" s="3"/>
      <c r="E2402" s="5" t="str">
        <f>HYPERLINK("https://dpmzos25m8ivg.cloudfront.net/Documentos/631/05332986106/6310533298610605092023135555.pdf","https://dpmzos25m8ivg.cloudfront.net/Documentos/631/05332986106/6310533298610605092023135555.pdf")</f>
        <v>https://dpmzos25m8ivg.cloudfront.net/Documentos/631/05332986106/6310533298610605092023135555.pdf</v>
      </c>
      <c r="F2402" s="5" t="str">
        <f>HYPERLINK("https://dpmzos25m8ivg.cloudfront.net/Documentos/631/05332986106/6310533298610605092023135601.pdf","https://dpmzos25m8ivg.cloudfront.net/Documentos/631/05332986106/6310533298610605092023135601.pdf")</f>
        <v>https://dpmzos25m8ivg.cloudfront.net/Documentos/631/05332986106/6310533298610605092023135601.pdf</v>
      </c>
      <c r="G2402" s="5" t="str">
        <f>HYPERLINK("https://dpmzos25m8ivg.cloudfront.net/Documentos/631/05332986106/6310533298610605092023135608.pdf","https://dpmzos25m8ivg.cloudfront.net/Documentos/631/05332986106/6310533298610605092023135608.pdf")</f>
        <v>https://dpmzos25m8ivg.cloudfront.net/Documentos/631/05332986106/6310533298610605092023135608.pdf</v>
      </c>
      <c r="H2402" s="5" t="s">
        <v>10981</v>
      </c>
    </row>
    <row r="2403" spans="1:8" x14ac:dyDescent="0.25">
      <c r="A2403" s="2" t="s">
        <v>2419</v>
      </c>
      <c r="B2403" s="3"/>
      <c r="C2403" s="3"/>
      <c r="D2403" s="3"/>
      <c r="E2403" s="5" t="str">
        <f>HYPERLINK("https://dpmzos25m8ivg.cloudfront.net/Documentos/631/05333444501/6310533344450111092023085846.pdf","https://dpmzos25m8ivg.cloudfront.net/Documentos/631/05333444501/6310533344450111092023085846.pdf")</f>
        <v>https://dpmzos25m8ivg.cloudfront.net/Documentos/631/05333444501/6310533344450111092023085846.pdf</v>
      </c>
      <c r="F2403" s="5" t="str">
        <f>HYPERLINK("https://dpmzos25m8ivg.cloudfront.net/Documentos/631/05333444501/6310533344450111092023085857.pdf","https://dpmzos25m8ivg.cloudfront.net/Documentos/631/05333444501/6310533344450111092023085857.pdf")</f>
        <v>https://dpmzos25m8ivg.cloudfront.net/Documentos/631/05333444501/6310533344450111092023085857.pdf</v>
      </c>
      <c r="G2403" s="5" t="str">
        <f>HYPERLINK("https://dpmzos25m8ivg.cloudfront.net/Documentos/631/05333444501/6310533344450111092023085913.pdf","https://dpmzos25m8ivg.cloudfront.net/Documentos/631/05333444501/6310533344450111092023085913.pdf")</f>
        <v>https://dpmzos25m8ivg.cloudfront.net/Documentos/631/05333444501/6310533344450111092023085913.pdf</v>
      </c>
      <c r="H2403" s="5" t="s">
        <v>10982</v>
      </c>
    </row>
    <row r="2404" spans="1:8" x14ac:dyDescent="0.25">
      <c r="A2404" s="2" t="s">
        <v>2420</v>
      </c>
      <c r="B2404" s="3"/>
      <c r="C2404" s="3"/>
      <c r="D2404" s="3"/>
      <c r="E2404" s="5" t="str">
        <f>HYPERLINK("https://dpmzos25m8ivg.cloudfront.net/Documentos/631/05336854514/6310533685451411092023165456.pdf","https://dpmzos25m8ivg.cloudfront.net/Documentos/631/05336854514/6310533685451411092023165456.pdf")</f>
        <v>https://dpmzos25m8ivg.cloudfront.net/Documentos/631/05336854514/6310533685451411092023165456.pdf</v>
      </c>
      <c r="F2404" s="5" t="str">
        <f>HYPERLINK("https://dpmzos25m8ivg.cloudfront.net/Documentos/631/05336854514/6310533685451411092023165540.pdf","https://dpmzos25m8ivg.cloudfront.net/Documentos/631/05336854514/6310533685451411092023165540.pdf")</f>
        <v>https://dpmzos25m8ivg.cloudfront.net/Documentos/631/05336854514/6310533685451411092023165540.pdf</v>
      </c>
      <c r="G2404" s="5" t="str">
        <f>HYPERLINK("https://dpmzos25m8ivg.cloudfront.net/Documentos/631/05336854514/6310533685451411092023165518.pdf","https://dpmzos25m8ivg.cloudfront.net/Documentos/631/05336854514/6310533685451411092023165518.pdf")</f>
        <v>https://dpmzos25m8ivg.cloudfront.net/Documentos/631/05336854514/6310533685451411092023165518.pdf</v>
      </c>
      <c r="H2404" s="5" t="s">
        <v>10983</v>
      </c>
    </row>
    <row r="2405" spans="1:8" x14ac:dyDescent="0.25">
      <c r="A2405" s="2" t="s">
        <v>2421</v>
      </c>
      <c r="B2405" s="3"/>
      <c r="C2405" s="3"/>
      <c r="D2405" s="3"/>
      <c r="E2405" s="5" t="str">
        <f>HYPERLINK("https://dpmzos25m8ivg.cloudfront.net/Documentos/631/05337365363/6310533736536314092023112459.pdf","https://dpmzos25m8ivg.cloudfront.net/Documentos/631/05337365363/6310533736536314092023112459.pdf")</f>
        <v>https://dpmzos25m8ivg.cloudfront.net/Documentos/631/05337365363/6310533736536314092023112459.pdf</v>
      </c>
      <c r="F2405" s="5" t="str">
        <f>HYPERLINK("https://dpmzos25m8ivg.cloudfront.net/Documentos/631/05337365363/6310533736536314092023112527.pdf","https://dpmzos25m8ivg.cloudfront.net/Documentos/631/05337365363/6310533736536314092023112527.pdf")</f>
        <v>https://dpmzos25m8ivg.cloudfront.net/Documentos/631/05337365363/6310533736536314092023112527.pdf</v>
      </c>
      <c r="G2405" s="5" t="str">
        <f>HYPERLINK("https://dpmzos25m8ivg.cloudfront.net/Documentos/631/05337365363/6310533736536314092023112547.pdf","https://dpmzos25m8ivg.cloudfront.net/Documentos/631/05337365363/6310533736536314092023112547.pdf")</f>
        <v>https://dpmzos25m8ivg.cloudfront.net/Documentos/631/05337365363/6310533736536314092023112547.pdf</v>
      </c>
      <c r="H2405" s="5" t="s">
        <v>10984</v>
      </c>
    </row>
    <row r="2406" spans="1:8" x14ac:dyDescent="0.25">
      <c r="A2406" s="2" t="s">
        <v>2422</v>
      </c>
      <c r="B2406" s="3"/>
      <c r="C2406" s="3"/>
      <c r="D2406" s="3"/>
      <c r="E2406" s="5" t="str">
        <f>HYPERLINK("https://dpmzos25m8ivg.cloudfront.net/Documentos/631/05337634445/6310533763444511092023140315.pdf","https://dpmzos25m8ivg.cloudfront.net/Documentos/631/05337634445/6310533763444511092023140315.pdf")</f>
        <v>https://dpmzos25m8ivg.cloudfront.net/Documentos/631/05337634445/6310533763444511092023140315.pdf</v>
      </c>
      <c r="F2406" s="5" t="str">
        <f>HYPERLINK("https://dpmzos25m8ivg.cloudfront.net/Documentos/631/05337634445/6310533763444511092023140338.pdf","https://dpmzos25m8ivg.cloudfront.net/Documentos/631/05337634445/6310533763444511092023140338.pdf")</f>
        <v>https://dpmzos25m8ivg.cloudfront.net/Documentos/631/05337634445/6310533763444511092023140338.pdf</v>
      </c>
      <c r="G2406" s="5" t="str">
        <f>HYPERLINK("https://dpmzos25m8ivg.cloudfront.net/Documentos/631/05337634445/6310533763444511092023140357.pdf","https://dpmzos25m8ivg.cloudfront.net/Documentos/631/05337634445/6310533763444511092023140357.pdf")</f>
        <v>https://dpmzos25m8ivg.cloudfront.net/Documentos/631/05337634445/6310533763444511092023140357.pdf</v>
      </c>
      <c r="H2406" s="5" t="s">
        <v>10985</v>
      </c>
    </row>
    <row r="2407" spans="1:8" x14ac:dyDescent="0.25">
      <c r="A2407" s="10" t="s">
        <v>2423</v>
      </c>
      <c r="B2407" s="3"/>
      <c r="C2407" s="3"/>
      <c r="D2407" s="3"/>
      <c r="E2407" s="5" t="str">
        <f>HYPERLINK("https://dpmzos25m8ivg.cloudfront.net/Documentos/631/05340210421/6310534021042106092023211136.pdf","https://dpmzos25m8ivg.cloudfront.net/Documentos/631/05340210421/6310534021042106092023211136.pdf")</f>
        <v>https://dpmzos25m8ivg.cloudfront.net/Documentos/631/05340210421/6310534021042106092023211136.pdf</v>
      </c>
      <c r="F2407" s="5" t="str">
        <f>HYPERLINK("https://dpmzos25m8ivg.cloudfront.net/Documentos/631/05340210421/6310534021042106092023211203.pdf","https://dpmzos25m8ivg.cloudfront.net/Documentos/631/05340210421/6310534021042106092023211203.pdf")</f>
        <v>https://dpmzos25m8ivg.cloudfront.net/Documentos/631/05340210421/6310534021042106092023211203.pdf</v>
      </c>
      <c r="G2407" s="5" t="str">
        <f>HYPERLINK("https://dpmzos25m8ivg.cloudfront.net/Documentos/631/05340210421/6310534021042106092023211217.pdf","https://dpmzos25m8ivg.cloudfront.net/Documentos/631/05340210421/6310534021042106092023211217.pdf")</f>
        <v>https://dpmzos25m8ivg.cloudfront.net/Documentos/631/05340210421/6310534021042106092023211217.pdf</v>
      </c>
      <c r="H2407" s="5" t="s">
        <v>10986</v>
      </c>
    </row>
    <row r="2408" spans="1:8" x14ac:dyDescent="0.25">
      <c r="A2408" s="2" t="s">
        <v>2424</v>
      </c>
      <c r="B2408" s="3"/>
      <c r="C2408" s="3"/>
      <c r="D2408" s="3"/>
      <c r="E2408" s="5" t="str">
        <f>HYPERLINK("https://dpmzos25m8ivg.cloudfront.net/Documentos/631/05341141997/6310534114199711092023112925.jpeg","https://dpmzos25m8ivg.cloudfront.net/Documentos/631/05341141997/6310534114199711092023112925.jpeg")</f>
        <v>https://dpmzos25m8ivg.cloudfront.net/Documentos/631/05341141997/6310534114199711092023112925.jpeg</v>
      </c>
      <c r="F2408" s="5" t="str">
        <f>HYPERLINK("https://dpmzos25m8ivg.cloudfront.net/Documentos/631/05341141997/6310534114199711092023113004.jpeg","https://dpmzos25m8ivg.cloudfront.net/Documentos/631/05341141997/6310534114199711092023113004.jpeg")</f>
        <v>https://dpmzos25m8ivg.cloudfront.net/Documentos/631/05341141997/6310534114199711092023113004.jpeg</v>
      </c>
      <c r="G2408" s="5" t="str">
        <f>HYPERLINK("https://dpmzos25m8ivg.cloudfront.net/Documentos/631/05341141997/6310534114199711092023113030.jpeg","https://dpmzos25m8ivg.cloudfront.net/Documentos/631/05341141997/6310534114199711092023113030.jpeg")</f>
        <v>https://dpmzos25m8ivg.cloudfront.net/Documentos/631/05341141997/6310534114199711092023113030.jpeg</v>
      </c>
      <c r="H2408" s="5" t="s">
        <v>10987</v>
      </c>
    </row>
    <row r="2409" spans="1:8" x14ac:dyDescent="0.25">
      <c r="A2409" s="2" t="s">
        <v>2425</v>
      </c>
      <c r="B2409" s="3"/>
      <c r="C2409" s="3"/>
      <c r="D2409" s="3"/>
      <c r="E2409" s="5" t="str">
        <f>HYPERLINK("https://dpmzos25m8ivg.cloudfront.net/Documentos/631/05349328786/6310534932878611092023134756.pdf","https://dpmzos25m8ivg.cloudfront.net/Documentos/631/05349328786/6310534932878611092023134756.pdf")</f>
        <v>https://dpmzos25m8ivg.cloudfront.net/Documentos/631/05349328786/6310534932878611092023134756.pdf</v>
      </c>
      <c r="F2409" s="5" t="str">
        <f>HYPERLINK("https://dpmzos25m8ivg.cloudfront.net/Documentos/631/05349328786/6310534932878611092023134805.pdf","https://dpmzos25m8ivg.cloudfront.net/Documentos/631/05349328786/6310534932878611092023134805.pdf")</f>
        <v>https://dpmzos25m8ivg.cloudfront.net/Documentos/631/05349328786/6310534932878611092023134805.pdf</v>
      </c>
      <c r="G2409" s="5" t="str">
        <f>HYPERLINK("https://dpmzos25m8ivg.cloudfront.net/Documentos/631/05349328786/6310534932878611092023134814.pdf","https://dpmzos25m8ivg.cloudfront.net/Documentos/631/05349328786/6310534932878611092023134814.pdf")</f>
        <v>https://dpmzos25m8ivg.cloudfront.net/Documentos/631/05349328786/6310534932878611092023134814.pdf</v>
      </c>
      <c r="H2409" s="5" t="s">
        <v>10988</v>
      </c>
    </row>
    <row r="2410" spans="1:8" x14ac:dyDescent="0.25">
      <c r="A2410" s="2" t="s">
        <v>2426</v>
      </c>
      <c r="B2410" s="3"/>
      <c r="C2410" s="3"/>
      <c r="D2410" s="3"/>
      <c r="E2410" s="5" t="str">
        <f>HYPERLINK("https://dpmzos25m8ivg.cloudfront.net/Documentos/631/05349522329/6310534952232905092023150540.pdf","https://dpmzos25m8ivg.cloudfront.net/Documentos/631/05349522329/6310534952232905092023150540.pdf")</f>
        <v>https://dpmzos25m8ivg.cloudfront.net/Documentos/631/05349522329/6310534952232905092023150540.pdf</v>
      </c>
      <c r="F2410" s="5" t="str">
        <f>HYPERLINK("https://dpmzos25m8ivg.cloudfront.net/Documentos/631/05349522329/6310534952232905092023150551.pdf","https://dpmzos25m8ivg.cloudfront.net/Documentos/631/05349522329/6310534952232905092023150551.pdf")</f>
        <v>https://dpmzos25m8ivg.cloudfront.net/Documentos/631/05349522329/6310534952232905092023150551.pdf</v>
      </c>
      <c r="G2410" s="5" t="str">
        <f>HYPERLINK("https://dpmzos25m8ivg.cloudfront.net/Documentos/631/05349522329/6310534952232905092023150603.pdf","https://dpmzos25m8ivg.cloudfront.net/Documentos/631/05349522329/6310534952232905092023150603.pdf")</f>
        <v>https://dpmzos25m8ivg.cloudfront.net/Documentos/631/05349522329/6310534952232905092023150603.pdf</v>
      </c>
      <c r="H2410" s="5" t="s">
        <v>10989</v>
      </c>
    </row>
    <row r="2411" spans="1:8" x14ac:dyDescent="0.25">
      <c r="A2411" s="2" t="s">
        <v>2427</v>
      </c>
      <c r="B2411" s="3" t="s">
        <v>23</v>
      </c>
      <c r="C2411" s="3"/>
      <c r="D2411" s="3"/>
      <c r="E2411" s="5" t="str">
        <f>HYPERLINK("https://dpmzos25m8ivg.cloudfront.net/Documentos/631/05350105167/6310535010516711092023124028.pdf","https://dpmzos25m8ivg.cloudfront.net/Documentos/631/05350105167/6310535010516711092023124028.pdf")</f>
        <v>https://dpmzos25m8ivg.cloudfront.net/Documentos/631/05350105167/6310535010516711092023124028.pdf</v>
      </c>
      <c r="F2411" s="5" t="str">
        <f>HYPERLINK("https://dpmzos25m8ivg.cloudfront.net/Documentos/631/05350105167/6310535010516711092023124112.pdf","https://dpmzos25m8ivg.cloudfront.net/Documentos/631/05350105167/6310535010516711092023124112.pdf")</f>
        <v>https://dpmzos25m8ivg.cloudfront.net/Documentos/631/05350105167/6310535010516711092023124112.pdf</v>
      </c>
      <c r="G2411" s="5" t="str">
        <f>HYPERLINK("https://dpmzos25m8ivg.cloudfront.net/Documentos/631/05350105167/6310535010516711092023124238.pdf","https://dpmzos25m8ivg.cloudfront.net/Documentos/631/05350105167/6310535010516711092023124238.pdf")</f>
        <v>https://dpmzos25m8ivg.cloudfront.net/Documentos/631/05350105167/6310535010516711092023124238.pdf</v>
      </c>
      <c r="H2411" s="5" t="s">
        <v>10990</v>
      </c>
    </row>
    <row r="2412" spans="1:8" x14ac:dyDescent="0.25">
      <c r="A2412" s="2" t="s">
        <v>2428</v>
      </c>
      <c r="B2412" s="3"/>
      <c r="C2412" s="3"/>
      <c r="D2412" s="3"/>
      <c r="E2412" s="5" t="str">
        <f>HYPERLINK("https://dpmzos25m8ivg.cloudfront.net/Documentos/631/05350181424/6310535018142408092023175719.pdf","https://dpmzos25m8ivg.cloudfront.net/Documentos/631/05350181424/6310535018142408092023175719.pdf")</f>
        <v>https://dpmzos25m8ivg.cloudfront.net/Documentos/631/05350181424/6310535018142408092023175719.pdf</v>
      </c>
      <c r="F2412" s="5" t="str">
        <f>HYPERLINK("https://dpmzos25m8ivg.cloudfront.net/Documentos/631/05350181424/6310535018142408092023180259.pdf","https://dpmzos25m8ivg.cloudfront.net/Documentos/631/05350181424/6310535018142408092023180259.pdf")</f>
        <v>https://dpmzos25m8ivg.cloudfront.net/Documentos/631/05350181424/6310535018142408092023180259.pdf</v>
      </c>
      <c r="G2412" s="5" t="str">
        <f>HYPERLINK("https://dpmzos25m8ivg.cloudfront.net/Documentos/631/05350181424/6310535018142408092023180439.pdf","https://dpmzos25m8ivg.cloudfront.net/Documentos/631/05350181424/6310535018142408092023180439.pdf")</f>
        <v>https://dpmzos25m8ivg.cloudfront.net/Documentos/631/05350181424/6310535018142408092023180439.pdf</v>
      </c>
      <c r="H2412" s="5" t="s">
        <v>10991</v>
      </c>
    </row>
    <row r="2413" spans="1:8" x14ac:dyDescent="0.25">
      <c r="A2413" s="2" t="s">
        <v>2429</v>
      </c>
      <c r="B2413" s="3"/>
      <c r="C2413" s="3"/>
      <c r="D2413" s="3"/>
      <c r="E2413" s="5" t="str">
        <f>HYPERLINK("https://dpmzos25m8ivg.cloudfront.net/Documentos/631/05350472313/6310535047231311092023122009.jpg","https://dpmzos25m8ivg.cloudfront.net/Documentos/631/05350472313/6310535047231311092023122009.jpg")</f>
        <v>https://dpmzos25m8ivg.cloudfront.net/Documentos/631/05350472313/6310535047231311092023122009.jpg</v>
      </c>
      <c r="F2413" s="5" t="str">
        <f>HYPERLINK("https://dpmzos25m8ivg.cloudfront.net/Documentos/631/05350472313/6310535047231311092023122017.jpg","https://dpmzos25m8ivg.cloudfront.net/Documentos/631/05350472313/6310535047231311092023122017.jpg")</f>
        <v>https://dpmzos25m8ivg.cloudfront.net/Documentos/631/05350472313/6310535047231311092023122017.jpg</v>
      </c>
      <c r="G2413" s="5" t="str">
        <f>HYPERLINK("https://dpmzos25m8ivg.cloudfront.net/Documentos/631/05350472313/6310535047231311092023122026.jpg","https://dpmzos25m8ivg.cloudfront.net/Documentos/631/05350472313/6310535047231311092023122026.jpg")</f>
        <v>https://dpmzos25m8ivg.cloudfront.net/Documentos/631/05350472313/6310535047231311092023122026.jpg</v>
      </c>
      <c r="H2413" s="5" t="s">
        <v>10992</v>
      </c>
    </row>
    <row r="2414" spans="1:8" x14ac:dyDescent="0.25">
      <c r="A2414" s="2" t="s">
        <v>2430</v>
      </c>
      <c r="B2414" s="3" t="s">
        <v>2358</v>
      </c>
      <c r="C2414" s="3"/>
      <c r="D2414" s="3"/>
      <c r="E2414" s="5" t="str">
        <f>HYPERLINK("https://dpmzos25m8ivg.cloudfront.net/Documentos/631/05352698386/6310535269838608092023133704.pdf","https://dpmzos25m8ivg.cloudfront.net/Documentos/631/05352698386/6310535269838608092023133704.pdf")</f>
        <v>https://dpmzos25m8ivg.cloudfront.net/Documentos/631/05352698386/6310535269838608092023133704.pdf</v>
      </c>
      <c r="F2414" s="5" t="str">
        <f>HYPERLINK("https://dpmzos25m8ivg.cloudfront.net/Documentos/631/05352698386/6310535269838608092023133716.pdf","https://dpmzos25m8ivg.cloudfront.net/Documentos/631/05352698386/6310535269838608092023133716.pdf")</f>
        <v>https://dpmzos25m8ivg.cloudfront.net/Documentos/631/05352698386/6310535269838608092023133716.pdf</v>
      </c>
      <c r="G2414" s="5" t="str">
        <f>HYPERLINK("https://dpmzos25m8ivg.cloudfront.net/Documentos/631/05352698386/6310535269838608092023133726.pdf","https://dpmzos25m8ivg.cloudfront.net/Documentos/631/05352698386/6310535269838608092023133726.pdf")</f>
        <v>https://dpmzos25m8ivg.cloudfront.net/Documentos/631/05352698386/6310535269838608092023133726.pdf</v>
      </c>
      <c r="H2414" s="5" t="s">
        <v>10993</v>
      </c>
    </row>
    <row r="2415" spans="1:8" x14ac:dyDescent="0.25">
      <c r="A2415" s="2" t="s">
        <v>2431</v>
      </c>
      <c r="B2415" s="3"/>
      <c r="C2415" s="3"/>
      <c r="D2415" s="3"/>
      <c r="E2415" s="5" t="str">
        <f>HYPERLINK("https://dpmzos25m8ivg.cloudfront.net/Documentos/631/05354813301/6310535481330106092023185141.pdf","https://dpmzos25m8ivg.cloudfront.net/Documentos/631/05354813301/6310535481330106092023185141.pdf")</f>
        <v>https://dpmzos25m8ivg.cloudfront.net/Documentos/631/05354813301/6310535481330106092023185141.pdf</v>
      </c>
      <c r="F2415" s="5" t="str">
        <f>HYPERLINK("https://dpmzos25m8ivg.cloudfront.net/Documentos/631/05354813301/6310535481330106092023185150.pdf","https://dpmzos25m8ivg.cloudfront.net/Documentos/631/05354813301/6310535481330106092023185150.pdf")</f>
        <v>https://dpmzos25m8ivg.cloudfront.net/Documentos/631/05354813301/6310535481330106092023185150.pdf</v>
      </c>
      <c r="G2415" s="5" t="str">
        <f>HYPERLINK("https://dpmzos25m8ivg.cloudfront.net/Documentos/631/05354813301/6310535481330106092023185201.pdf","https://dpmzos25m8ivg.cloudfront.net/Documentos/631/05354813301/6310535481330106092023185201.pdf")</f>
        <v>https://dpmzos25m8ivg.cloudfront.net/Documentos/631/05354813301/6310535481330106092023185201.pdf</v>
      </c>
      <c r="H2415" s="5" t="s">
        <v>10994</v>
      </c>
    </row>
    <row r="2416" spans="1:8" x14ac:dyDescent="0.25">
      <c r="A2416" s="2" t="s">
        <v>2432</v>
      </c>
      <c r="B2416" s="3"/>
      <c r="C2416" s="3"/>
      <c r="D2416" s="3"/>
      <c r="E2416" s="5" t="str">
        <f>HYPERLINK("https://dpmzos25m8ivg.cloudfront.net/Documentos/631/05355405401/6310535540540106092023113137.pdf","https://dpmzos25m8ivg.cloudfront.net/Documentos/631/05355405401/6310535540540106092023113137.pdf")</f>
        <v>https://dpmzos25m8ivg.cloudfront.net/Documentos/631/05355405401/6310535540540106092023113137.pdf</v>
      </c>
      <c r="F2416" s="5" t="str">
        <f>HYPERLINK("https://dpmzos25m8ivg.cloudfront.net/Documentos/631/05355405401/6310535540540106092023113148.pdf","https://dpmzos25m8ivg.cloudfront.net/Documentos/631/05355405401/6310535540540106092023113148.pdf")</f>
        <v>https://dpmzos25m8ivg.cloudfront.net/Documentos/631/05355405401/6310535540540106092023113148.pdf</v>
      </c>
      <c r="G2416" s="5" t="str">
        <f>HYPERLINK("https://dpmzos25m8ivg.cloudfront.net/Documentos/631/05355405401/6310535540540106092023113158.pdf","https://dpmzos25m8ivg.cloudfront.net/Documentos/631/05355405401/6310535540540106092023113158.pdf")</f>
        <v>https://dpmzos25m8ivg.cloudfront.net/Documentos/631/05355405401/6310535540540106092023113158.pdf</v>
      </c>
      <c r="H2416" s="5" t="s">
        <v>10995</v>
      </c>
    </row>
    <row r="2417" spans="1:8" x14ac:dyDescent="0.25">
      <c r="A2417" s="2" t="s">
        <v>2433</v>
      </c>
      <c r="B2417" s="3" t="s">
        <v>8</v>
      </c>
      <c r="C2417" s="3"/>
      <c r="D2417" s="3"/>
      <c r="E2417" s="9" t="str">
        <f>HYPERLINK("https://dpmzos25m8ivg.cloudfront.net/Documentos/631/05356509146/6310535650914610092023195051.pdf","https://dpmzos25m8ivg.cloudfront.net/Documentos/631/05356509146/6310535650914610092023195051.pdf")</f>
        <v>https://dpmzos25m8ivg.cloudfront.net/Documentos/631/05356509146/6310535650914610092023195051.pdf</v>
      </c>
      <c r="F2417" s="5" t="str">
        <f>HYPERLINK("https://dpmzos25m8ivg.cloudfront.net/Documentos/631/05356509146/6310535650914610092023195058.pdf","https://dpmzos25m8ivg.cloudfront.net/Documentos/631/05356509146/6310535650914610092023195058.pdf")</f>
        <v>https://dpmzos25m8ivg.cloudfront.net/Documentos/631/05356509146/6310535650914610092023195058.pdf</v>
      </c>
      <c r="G2417" s="5" t="str">
        <f>HYPERLINK("https://dpmzos25m8ivg.cloudfront.net/Documentos/631/05356509146/6310535650914610092023195105.pdf","https://dpmzos25m8ivg.cloudfront.net/Documentos/631/05356509146/6310535650914610092023195105.pdf")</f>
        <v>https://dpmzos25m8ivg.cloudfront.net/Documentos/631/05356509146/6310535650914610092023195105.pdf</v>
      </c>
      <c r="H2417" s="5" t="s">
        <v>10996</v>
      </c>
    </row>
    <row r="2418" spans="1:8" x14ac:dyDescent="0.25">
      <c r="A2418" s="2" t="s">
        <v>2434</v>
      </c>
      <c r="B2418" s="3"/>
      <c r="C2418" s="3"/>
      <c r="D2418" s="3"/>
      <c r="E2418" s="5" t="str">
        <f>HYPERLINK("https://dpmzos25m8ivg.cloudfront.net/Documentos/631/05358569111/6310535856911111092023150930.pdf","https://dpmzos25m8ivg.cloudfront.net/Documentos/631/05358569111/6310535856911111092023150930.pdf")</f>
        <v>https://dpmzos25m8ivg.cloudfront.net/Documentos/631/05358569111/6310535856911111092023150930.pdf</v>
      </c>
      <c r="F2418" s="5" t="str">
        <f>HYPERLINK("https://dpmzos25m8ivg.cloudfront.net/Documentos/631/05358569111/6310535856911111092023150940.pdf","https://dpmzos25m8ivg.cloudfront.net/Documentos/631/05358569111/6310535856911111092023150940.pdf")</f>
        <v>https://dpmzos25m8ivg.cloudfront.net/Documentos/631/05358569111/6310535856911111092023150940.pdf</v>
      </c>
      <c r="G2418" s="5" t="str">
        <f>HYPERLINK("https://dpmzos25m8ivg.cloudfront.net/Documentos/631/05358569111/6310535856911111092023150954.pdf","https://dpmzos25m8ivg.cloudfront.net/Documentos/631/05358569111/6310535856911111092023150954.pdf")</f>
        <v>https://dpmzos25m8ivg.cloudfront.net/Documentos/631/05358569111/6310535856911111092023150954.pdf</v>
      </c>
      <c r="H2418" s="5" t="s">
        <v>10997</v>
      </c>
    </row>
    <row r="2419" spans="1:8" x14ac:dyDescent="0.25">
      <c r="A2419" s="2" t="s">
        <v>2435</v>
      </c>
      <c r="B2419" s="3"/>
      <c r="C2419" s="3"/>
      <c r="D2419" s="3"/>
      <c r="E2419" s="5" t="str">
        <f>HYPERLINK("https://dpmzos25m8ivg.cloudfront.net/Documentos/631/05361348120/6310536134812011092023141347.pdf","https://dpmzos25m8ivg.cloudfront.net/Documentos/631/05361348120/6310536134812011092023141347.pdf")</f>
        <v>https://dpmzos25m8ivg.cloudfront.net/Documentos/631/05361348120/6310536134812011092023141347.pdf</v>
      </c>
      <c r="F2419" s="5" t="str">
        <f>HYPERLINK("https://dpmzos25m8ivg.cloudfront.net/Documentos/631/05361348120/6310536134812011092023141409.pdf","https://dpmzos25m8ivg.cloudfront.net/Documentos/631/05361348120/6310536134812011092023141409.pdf")</f>
        <v>https://dpmzos25m8ivg.cloudfront.net/Documentos/631/05361348120/6310536134812011092023141409.pdf</v>
      </c>
      <c r="G2419" s="5" t="str">
        <f>HYPERLINK("https://dpmzos25m8ivg.cloudfront.net/Documentos/631/05361348120/6310536134812011092023141439.pdf","https://dpmzos25m8ivg.cloudfront.net/Documentos/631/05361348120/6310536134812011092023141439.pdf")</f>
        <v>https://dpmzos25m8ivg.cloudfront.net/Documentos/631/05361348120/6310536134812011092023141439.pdf</v>
      </c>
      <c r="H2419" s="5" t="s">
        <v>10998</v>
      </c>
    </row>
    <row r="2420" spans="1:8" x14ac:dyDescent="0.25">
      <c r="A2420" s="2" t="s">
        <v>2436</v>
      </c>
      <c r="B2420" s="3" t="s">
        <v>2358</v>
      </c>
      <c r="C2420" s="3"/>
      <c r="D2420" s="3"/>
      <c r="E2420" s="5" t="str">
        <f>HYPERLINK("https://dpmzos25m8ivg.cloudfront.net/Documentos/631/05363927144/6310536392714411092023102226.pdf","https://dpmzos25m8ivg.cloudfront.net/Documentos/631/05363927144/6310536392714411092023102226.pdf")</f>
        <v>https://dpmzos25m8ivg.cloudfront.net/Documentos/631/05363927144/6310536392714411092023102226.pdf</v>
      </c>
      <c r="F2420" s="5" t="str">
        <f>HYPERLINK("https://dpmzos25m8ivg.cloudfront.net/Documentos/631/05363927144/6310536392714411092023102207.pdf","https://dpmzos25m8ivg.cloudfront.net/Documentos/631/05363927144/6310536392714411092023102207.pdf")</f>
        <v>https://dpmzos25m8ivg.cloudfront.net/Documentos/631/05363927144/6310536392714411092023102207.pdf</v>
      </c>
      <c r="G2420" s="5" t="str">
        <f>HYPERLINK("https://dpmzos25m8ivg.cloudfront.net/Documentos/631/05363927144/6310536392714411092023102157.pdf","https://dpmzos25m8ivg.cloudfront.net/Documentos/631/05363927144/6310536392714411092023102157.pdf")</f>
        <v>https://dpmzos25m8ivg.cloudfront.net/Documentos/631/05363927144/6310536392714411092023102157.pdf</v>
      </c>
      <c r="H2420" s="5" t="s">
        <v>10999</v>
      </c>
    </row>
    <row r="2421" spans="1:8" x14ac:dyDescent="0.25">
      <c r="A2421" s="2" t="s">
        <v>2437</v>
      </c>
      <c r="B2421" s="3"/>
      <c r="C2421" s="3"/>
      <c r="D2421" s="3"/>
      <c r="E2421" s="5" t="str">
        <f>HYPERLINK("https://dpmzos25m8ivg.cloudfront.net/Documentos/631/05365477502/6310536547750207092023082433.jpg","https://dpmzos25m8ivg.cloudfront.net/Documentos/631/05365477502/6310536547750207092023082433.jpg")</f>
        <v>https://dpmzos25m8ivg.cloudfront.net/Documentos/631/05365477502/6310536547750207092023082433.jpg</v>
      </c>
      <c r="F2421" s="5" t="str">
        <f>HYPERLINK("https://dpmzos25m8ivg.cloudfront.net/Documentos/631/05365477502/6310536547750207092023082505.jpg","https://dpmzos25m8ivg.cloudfront.net/Documentos/631/05365477502/6310536547750207092023082505.jpg")</f>
        <v>https://dpmzos25m8ivg.cloudfront.net/Documentos/631/05365477502/6310536547750207092023082505.jpg</v>
      </c>
      <c r="G2421" s="5" t="str">
        <f>HYPERLINK("https://dpmzos25m8ivg.cloudfront.net/Documentos/631/05365477502/6310536547750206092023172708.jpg","https://dpmzos25m8ivg.cloudfront.net/Documentos/631/05365477502/6310536547750206092023172708.jpg")</f>
        <v>https://dpmzos25m8ivg.cloudfront.net/Documentos/631/05365477502/6310536547750206092023172708.jpg</v>
      </c>
      <c r="H2421" s="5" t="s">
        <v>11000</v>
      </c>
    </row>
    <row r="2422" spans="1:8" x14ac:dyDescent="0.25">
      <c r="A2422" s="2" t="s">
        <v>2438</v>
      </c>
      <c r="B2422" s="3"/>
      <c r="C2422" s="3"/>
      <c r="D2422" s="3"/>
      <c r="E2422" s="5" t="str">
        <f>HYPERLINK("https://dpmzos25m8ivg.cloudfront.net/Documentos/631/05369480974/6310536948097411092023170348.jpeg","https://dpmzos25m8ivg.cloudfront.net/Documentos/631/05369480974/6310536948097411092023170348.jpeg")</f>
        <v>https://dpmzos25m8ivg.cloudfront.net/Documentos/631/05369480974/6310536948097411092023170348.jpeg</v>
      </c>
      <c r="F2422" s="5" t="str">
        <f>HYPERLINK("https://dpmzos25m8ivg.cloudfront.net/Documentos/631/05369480974/6310536948097411092023170358.jpeg","https://dpmzos25m8ivg.cloudfront.net/Documentos/631/05369480974/6310536948097411092023170358.jpeg")</f>
        <v>https://dpmzos25m8ivg.cloudfront.net/Documentos/631/05369480974/6310536948097411092023170358.jpeg</v>
      </c>
      <c r="G2422" s="5" t="str">
        <f>HYPERLINK("https://dpmzos25m8ivg.cloudfront.net/Documentos/631/05369480974/6310536948097411092023170441.jpeg","https://dpmzos25m8ivg.cloudfront.net/Documentos/631/05369480974/6310536948097411092023170441.jpeg")</f>
        <v>https://dpmzos25m8ivg.cloudfront.net/Documentos/631/05369480974/6310536948097411092023170441.jpeg</v>
      </c>
      <c r="H2422" s="5" t="s">
        <v>11001</v>
      </c>
    </row>
    <row r="2423" spans="1:8" x14ac:dyDescent="0.25">
      <c r="A2423" s="2" t="s">
        <v>2439</v>
      </c>
      <c r="B2423" s="3"/>
      <c r="C2423" s="3"/>
      <c r="D2423" s="3"/>
      <c r="E2423" s="5" t="str">
        <f>HYPERLINK("https://dpmzos25m8ivg.cloudfront.net/Documentos/631/05371677143/6310537167714306092023150419.pdf","https://dpmzos25m8ivg.cloudfront.net/Documentos/631/05371677143/6310537167714306092023150419.pdf")</f>
        <v>https://dpmzos25m8ivg.cloudfront.net/Documentos/631/05371677143/6310537167714306092023150419.pdf</v>
      </c>
      <c r="F2423" s="5" t="str">
        <f>HYPERLINK("https://dpmzos25m8ivg.cloudfront.net/Documentos/631/05371677143/6310537167714306092023150512.pdf","https://dpmzos25m8ivg.cloudfront.net/Documentos/631/05371677143/6310537167714306092023150512.pdf")</f>
        <v>https://dpmzos25m8ivg.cloudfront.net/Documentos/631/05371677143/6310537167714306092023150512.pdf</v>
      </c>
      <c r="G2423" s="5" t="str">
        <f>HYPERLINK("https://dpmzos25m8ivg.cloudfront.net/Documentos/631/05371677143/6310537167714306092023150520.pdf","https://dpmzos25m8ivg.cloudfront.net/Documentos/631/05371677143/6310537167714306092023150520.pdf")</f>
        <v>https://dpmzos25m8ivg.cloudfront.net/Documentos/631/05371677143/6310537167714306092023150520.pdf</v>
      </c>
      <c r="H2423" s="5" t="s">
        <v>11002</v>
      </c>
    </row>
    <row r="2424" spans="1:8" x14ac:dyDescent="0.25">
      <c r="A2424" s="2" t="s">
        <v>2440</v>
      </c>
      <c r="B2424" s="3"/>
      <c r="C2424" s="3"/>
      <c r="D2424" s="3"/>
      <c r="E2424" s="5" t="str">
        <f>HYPERLINK("https://dpmzos25m8ivg.cloudfront.net/Documentos/631/05373773280/6310537377328011092023162346.jpg","https://dpmzos25m8ivg.cloudfront.net/Documentos/631/05373773280/6310537377328011092023162346.jpg")</f>
        <v>https://dpmzos25m8ivg.cloudfront.net/Documentos/631/05373773280/6310537377328011092023162346.jpg</v>
      </c>
      <c r="F2424" s="5" t="str">
        <f>HYPERLINK("https://dpmzos25m8ivg.cloudfront.net/Documentos/631/05373773280/6310537377328011092023162726.jpg","https://dpmzos25m8ivg.cloudfront.net/Documentos/631/05373773280/6310537377328011092023162726.jpg")</f>
        <v>https://dpmzos25m8ivg.cloudfront.net/Documentos/631/05373773280/6310537377328011092023162726.jpg</v>
      </c>
      <c r="G2424" s="5" t="str">
        <f>HYPERLINK("https://dpmzos25m8ivg.cloudfront.net/Documentos/631/05373773280/6310537377328011092023162818.jpg","https://dpmzos25m8ivg.cloudfront.net/Documentos/631/05373773280/6310537377328011092023162818.jpg")</f>
        <v>https://dpmzos25m8ivg.cloudfront.net/Documentos/631/05373773280/6310537377328011092023162818.jpg</v>
      </c>
      <c r="H2424" s="5" t="s">
        <v>11003</v>
      </c>
    </row>
    <row r="2425" spans="1:8" x14ac:dyDescent="0.25">
      <c r="A2425" s="2" t="s">
        <v>2441</v>
      </c>
      <c r="B2425" s="3"/>
      <c r="C2425" s="3"/>
      <c r="D2425" s="3"/>
      <c r="E2425" s="5" t="str">
        <f>HYPERLINK("https://dpmzos25m8ivg.cloudfront.net/Documentos/631/05375544245/6310537554424511092023150801.pdf","https://dpmzos25m8ivg.cloudfront.net/Documentos/631/05375544245/6310537554424511092023150801.pdf")</f>
        <v>https://dpmzos25m8ivg.cloudfront.net/Documentos/631/05375544245/6310537554424511092023150801.pdf</v>
      </c>
      <c r="F2425" s="5" t="str">
        <f>HYPERLINK("https://dpmzos25m8ivg.cloudfront.net/Documentos/631/05375544245/6310537554424511092023150919.pdf","https://dpmzos25m8ivg.cloudfront.net/Documentos/631/05375544245/6310537554424511092023150919.pdf")</f>
        <v>https://dpmzos25m8ivg.cloudfront.net/Documentos/631/05375544245/6310537554424511092023150919.pdf</v>
      </c>
      <c r="G2425" s="5" t="str">
        <f>HYPERLINK("https://dpmzos25m8ivg.cloudfront.net/Documentos/631/05375544245/6310537554424511092023150936.pdf","https://dpmzos25m8ivg.cloudfront.net/Documentos/631/05375544245/6310537554424511092023150936.pdf")</f>
        <v>https://dpmzos25m8ivg.cloudfront.net/Documentos/631/05375544245/6310537554424511092023150936.pdf</v>
      </c>
      <c r="H2425" s="5" t="s">
        <v>11004</v>
      </c>
    </row>
    <row r="2426" spans="1:8" x14ac:dyDescent="0.25">
      <c r="A2426" s="2" t="s">
        <v>2442</v>
      </c>
      <c r="B2426" s="3"/>
      <c r="C2426" s="3"/>
      <c r="D2426" s="3"/>
      <c r="E2426" s="5" t="str">
        <f>HYPERLINK("https://dpmzos25m8ivg.cloudfront.net/Documentos/631/05375724570/6310537572457011092023154438.pdf","https://dpmzos25m8ivg.cloudfront.net/Documentos/631/05375724570/6310537572457011092023154438.pdf")</f>
        <v>https://dpmzos25m8ivg.cloudfront.net/Documentos/631/05375724570/6310537572457011092023154438.pdf</v>
      </c>
      <c r="F2426" s="5" t="str">
        <f>HYPERLINK("https://dpmzos25m8ivg.cloudfront.net/Documentos/631/05375724570/6310537572457011092023154447.pdf","https://dpmzos25m8ivg.cloudfront.net/Documentos/631/05375724570/6310537572457011092023154447.pdf")</f>
        <v>https://dpmzos25m8ivg.cloudfront.net/Documentos/631/05375724570/6310537572457011092023154447.pdf</v>
      </c>
      <c r="G2426" s="5" t="str">
        <f>HYPERLINK("https://dpmzos25m8ivg.cloudfront.net/Documentos/631/05375724570/6310537572457011092023154455.pdf","https://dpmzos25m8ivg.cloudfront.net/Documentos/631/05375724570/6310537572457011092023154455.pdf")</f>
        <v>https://dpmzos25m8ivg.cloudfront.net/Documentos/631/05375724570/6310537572457011092023154455.pdf</v>
      </c>
      <c r="H2426" s="5" t="s">
        <v>11005</v>
      </c>
    </row>
    <row r="2427" spans="1:8" x14ac:dyDescent="0.25">
      <c r="A2427" s="2" t="s">
        <v>2443</v>
      </c>
      <c r="B2427" s="3"/>
      <c r="C2427" s="3"/>
      <c r="D2427" s="3"/>
      <c r="E2427" s="5" t="str">
        <f>HYPERLINK("https://dpmzos25m8ivg.cloudfront.net/Documentos/631/05376782395/6310537678239511092023112013.pdf","https://dpmzos25m8ivg.cloudfront.net/Documentos/631/05376782395/6310537678239511092023112013.pdf")</f>
        <v>https://dpmzos25m8ivg.cloudfront.net/Documentos/631/05376782395/6310537678239511092023112013.pdf</v>
      </c>
      <c r="F2427" s="5" t="str">
        <f>HYPERLINK("https://dpmzos25m8ivg.cloudfront.net/Documentos/631/05376782395/6310537678239511092023112830.pdf","https://dpmzos25m8ivg.cloudfront.net/Documentos/631/05376782395/6310537678239511092023112830.pdf")</f>
        <v>https://dpmzos25m8ivg.cloudfront.net/Documentos/631/05376782395/6310537678239511092023112830.pdf</v>
      </c>
      <c r="G2427" s="5" t="str">
        <f>HYPERLINK("https://dpmzos25m8ivg.cloudfront.net/Documentos/631/05376782395/6310537678239511092023113320.pdf","https://dpmzos25m8ivg.cloudfront.net/Documentos/631/05376782395/6310537678239511092023113320.pdf")</f>
        <v>https://dpmzos25m8ivg.cloudfront.net/Documentos/631/05376782395/6310537678239511092023113320.pdf</v>
      </c>
      <c r="H2427" s="5" t="s">
        <v>11006</v>
      </c>
    </row>
    <row r="2428" spans="1:8" x14ac:dyDescent="0.25">
      <c r="A2428" s="2" t="s">
        <v>2444</v>
      </c>
      <c r="B2428" s="3"/>
      <c r="C2428" s="3"/>
      <c r="D2428" s="3"/>
      <c r="E2428" s="5" t="str">
        <f>HYPERLINK("https://dpmzos25m8ivg.cloudfront.net/Documentos/631/05380002102/6310538000210211092023162849.pdf","https://dpmzos25m8ivg.cloudfront.net/Documentos/631/05380002102/6310538000210211092023162849.pdf")</f>
        <v>https://dpmzos25m8ivg.cloudfront.net/Documentos/631/05380002102/6310538000210211092023162849.pdf</v>
      </c>
      <c r="F2428" s="5" t="str">
        <f>HYPERLINK("https://dpmzos25m8ivg.cloudfront.net/Documentos/631/05380002102/6310538000210211092023162901.pdf","https://dpmzos25m8ivg.cloudfront.net/Documentos/631/05380002102/6310538000210211092023162901.pdf")</f>
        <v>https://dpmzos25m8ivg.cloudfront.net/Documentos/631/05380002102/6310538000210211092023162901.pdf</v>
      </c>
      <c r="G2428" s="5" t="str">
        <f>HYPERLINK("https://dpmzos25m8ivg.cloudfront.net/Documentos/631/05380002102/6310538000210211092023162912.pdf","https://dpmzos25m8ivg.cloudfront.net/Documentos/631/05380002102/6310538000210211092023162912.pdf")</f>
        <v>https://dpmzos25m8ivg.cloudfront.net/Documentos/631/05380002102/6310538000210211092023162912.pdf</v>
      </c>
      <c r="H2428" s="5" t="s">
        <v>11007</v>
      </c>
    </row>
    <row r="2429" spans="1:8" x14ac:dyDescent="0.25">
      <c r="A2429" s="2" t="s">
        <v>2445</v>
      </c>
      <c r="B2429" s="3"/>
      <c r="C2429" s="3"/>
      <c r="D2429" s="3"/>
      <c r="E2429" s="5" t="str">
        <f>HYPERLINK("https://dpmzos25m8ivg.cloudfront.net/Documentos/631/05380514502/6310538051450206092023171147.pdf","https://dpmzos25m8ivg.cloudfront.net/Documentos/631/05380514502/6310538051450206092023171147.pdf")</f>
        <v>https://dpmzos25m8ivg.cloudfront.net/Documentos/631/05380514502/6310538051450206092023171147.pdf</v>
      </c>
      <c r="F2429" s="5" t="str">
        <f>HYPERLINK("https://dpmzos25m8ivg.cloudfront.net/Documentos/631/05380514502/6310538051450206092023171212.pdf","https://dpmzos25m8ivg.cloudfront.net/Documentos/631/05380514502/6310538051450206092023171212.pdf")</f>
        <v>https://dpmzos25m8ivg.cloudfront.net/Documentos/631/05380514502/6310538051450206092023171212.pdf</v>
      </c>
      <c r="G2429" s="5" t="str">
        <f>HYPERLINK("https://dpmzos25m8ivg.cloudfront.net/Documentos/631/05380514502/6310538051450206092023171245.pdf","https://dpmzos25m8ivg.cloudfront.net/Documentos/631/05380514502/6310538051450206092023171245.pdf")</f>
        <v>https://dpmzos25m8ivg.cloudfront.net/Documentos/631/05380514502/6310538051450206092023171245.pdf</v>
      </c>
      <c r="H2429" s="5" t="s">
        <v>11008</v>
      </c>
    </row>
    <row r="2430" spans="1:8" x14ac:dyDescent="0.25">
      <c r="A2430" s="2" t="s">
        <v>2446</v>
      </c>
      <c r="B2430" s="3"/>
      <c r="C2430" s="3"/>
      <c r="D2430" s="3"/>
      <c r="E2430" s="5" t="str">
        <f>HYPERLINK("https://dpmzos25m8ivg.cloudfront.net/Documentos/631/05381448660/6310538144866011092023103000.jpeg","https://dpmzos25m8ivg.cloudfront.net/Documentos/631/05381448660/6310538144866011092023103000.jpeg")</f>
        <v>https://dpmzos25m8ivg.cloudfront.net/Documentos/631/05381448660/6310538144866011092023103000.jpeg</v>
      </c>
      <c r="F2430" s="5" t="str">
        <f>HYPERLINK("https://dpmzos25m8ivg.cloudfront.net/Documentos/631/05381448660/6310538144866011092023103017.jpeg","https://dpmzos25m8ivg.cloudfront.net/Documentos/631/05381448660/6310538144866011092023103017.jpeg")</f>
        <v>https://dpmzos25m8ivg.cloudfront.net/Documentos/631/05381448660/6310538144866011092023103017.jpeg</v>
      </c>
      <c r="G2430" s="5" t="str">
        <f>HYPERLINK("https://dpmzos25m8ivg.cloudfront.net/Documentos/631/05381448660/6310538144866011092023103029.jpeg","https://dpmzos25m8ivg.cloudfront.net/Documentos/631/05381448660/6310538144866011092023103029.jpeg")</f>
        <v>https://dpmzos25m8ivg.cloudfront.net/Documentos/631/05381448660/6310538144866011092023103029.jpeg</v>
      </c>
      <c r="H2430" s="5" t="s">
        <v>11009</v>
      </c>
    </row>
    <row r="2431" spans="1:8" x14ac:dyDescent="0.25">
      <c r="A2431" s="2" t="s">
        <v>2447</v>
      </c>
      <c r="B2431" s="3"/>
      <c r="C2431" s="3"/>
      <c r="D2431" s="3"/>
      <c r="E2431" s="5" t="str">
        <f>HYPERLINK("https://dpmzos25m8ivg.cloudfront.net/Documentos/631/05382329516/6310538232951605092023111343.pdf","https://dpmzos25m8ivg.cloudfront.net/Documentos/631/05382329516/6310538232951605092023111343.pdf")</f>
        <v>https://dpmzos25m8ivg.cloudfront.net/Documentos/631/05382329516/6310538232951605092023111343.pdf</v>
      </c>
      <c r="F2431" s="5" t="str">
        <f>HYPERLINK("https://dpmzos25m8ivg.cloudfront.net/Documentos/631/05382329516/6310538232951605092023111352.pdf","https://dpmzos25m8ivg.cloudfront.net/Documentos/631/05382329516/6310538232951605092023111352.pdf")</f>
        <v>https://dpmzos25m8ivg.cloudfront.net/Documentos/631/05382329516/6310538232951605092023111352.pdf</v>
      </c>
      <c r="G2431" s="5" t="str">
        <f>HYPERLINK("https://dpmzos25m8ivg.cloudfront.net/Documentos/631/05382329516/6310538232951605092023121806.pdf","https://dpmzos25m8ivg.cloudfront.net/Documentos/631/05382329516/6310538232951605092023121806.pdf")</f>
        <v>https://dpmzos25m8ivg.cloudfront.net/Documentos/631/05382329516/6310538232951605092023121806.pdf</v>
      </c>
      <c r="H2431" s="5" t="s">
        <v>11010</v>
      </c>
    </row>
    <row r="2432" spans="1:8" x14ac:dyDescent="0.25">
      <c r="A2432" s="2" t="s">
        <v>2448</v>
      </c>
      <c r="B2432" s="3"/>
      <c r="C2432" s="3"/>
      <c r="D2432" s="3"/>
      <c r="E2432" s="5" t="str">
        <f>HYPERLINK("https://dpmzos25m8ivg.cloudfront.net/Documentos/631/05383326707/6310538332670711092023111110.jpg","https://dpmzos25m8ivg.cloudfront.net/Documentos/631/05383326707/6310538332670711092023111110.jpg")</f>
        <v>https://dpmzos25m8ivg.cloudfront.net/Documentos/631/05383326707/6310538332670711092023111110.jpg</v>
      </c>
      <c r="F2432" s="5" t="str">
        <f>HYPERLINK("https://dpmzos25m8ivg.cloudfront.net/Documentos/631/05383326707/6310538332670711092023111137.jpg","https://dpmzos25m8ivg.cloudfront.net/Documentos/631/05383326707/6310538332670711092023111137.jpg")</f>
        <v>https://dpmzos25m8ivg.cloudfront.net/Documentos/631/05383326707/6310538332670711092023111137.jpg</v>
      </c>
      <c r="G2432" s="5" t="str">
        <f>HYPERLINK("https://dpmzos25m8ivg.cloudfront.net/Documentos/631/05383326707/6310538332670711092023111147.jpg","https://dpmzos25m8ivg.cloudfront.net/Documentos/631/05383326707/6310538332670711092023111147.jpg")</f>
        <v>https://dpmzos25m8ivg.cloudfront.net/Documentos/631/05383326707/6310538332670711092023111147.jpg</v>
      </c>
      <c r="H2432" s="5" t="s">
        <v>11011</v>
      </c>
    </row>
    <row r="2433" spans="1:8" x14ac:dyDescent="0.25">
      <c r="A2433" s="2" t="s">
        <v>2449</v>
      </c>
      <c r="B2433" s="3"/>
      <c r="C2433" s="3"/>
      <c r="D2433" s="3"/>
      <c r="E2433" s="5" t="str">
        <f>HYPERLINK("https://dpmzos25m8ivg.cloudfront.net/Documentos/631/05386956175/6310538695617511092023162320.jpeg","https://dpmzos25m8ivg.cloudfront.net/Documentos/631/05386956175/6310538695617511092023162320.jpeg")</f>
        <v>https://dpmzos25m8ivg.cloudfront.net/Documentos/631/05386956175/6310538695617511092023162320.jpeg</v>
      </c>
      <c r="F2433" s="5" t="str">
        <f>HYPERLINK("https://dpmzos25m8ivg.cloudfront.net/Documentos/631/05386956175/6310538695617511092023162331.jpeg","https://dpmzos25m8ivg.cloudfront.net/Documentos/631/05386956175/6310538695617511092023162331.jpeg")</f>
        <v>https://dpmzos25m8ivg.cloudfront.net/Documentos/631/05386956175/6310538695617511092023162331.jpeg</v>
      </c>
      <c r="G2433" s="5" t="str">
        <f>HYPERLINK("https://dpmzos25m8ivg.cloudfront.net/Documentos/631/05386956175/6310538695617511092023162343.jpeg","https://dpmzos25m8ivg.cloudfront.net/Documentos/631/05386956175/6310538695617511092023162343.jpeg")</f>
        <v>https://dpmzos25m8ivg.cloudfront.net/Documentos/631/05386956175/6310538695617511092023162343.jpeg</v>
      </c>
      <c r="H2433" s="5" t="s">
        <v>11012</v>
      </c>
    </row>
    <row r="2434" spans="1:8" x14ac:dyDescent="0.25">
      <c r="A2434" s="2" t="s">
        <v>2450</v>
      </c>
      <c r="B2434" s="3"/>
      <c r="C2434" s="3"/>
      <c r="D2434" s="3"/>
      <c r="E2434" s="5" t="str">
        <f>HYPERLINK("https://dpmzos25m8ivg.cloudfront.net/Documentos/631/05388801128/6310538880112808092023111350.jpeg","https://dpmzos25m8ivg.cloudfront.net/Documentos/631/05388801128/6310538880112808092023111350.jpeg")</f>
        <v>https://dpmzos25m8ivg.cloudfront.net/Documentos/631/05388801128/6310538880112808092023111350.jpeg</v>
      </c>
      <c r="F2434" s="5" t="str">
        <f>HYPERLINK("https://dpmzos25m8ivg.cloudfront.net/Documentos/631/05388801128/6310538880112808092023111401.jpeg","https://dpmzos25m8ivg.cloudfront.net/Documentos/631/05388801128/6310538880112808092023111401.jpeg")</f>
        <v>https://dpmzos25m8ivg.cloudfront.net/Documentos/631/05388801128/6310538880112808092023111401.jpeg</v>
      </c>
      <c r="G2434" s="5" t="str">
        <f>HYPERLINK("https://dpmzos25m8ivg.cloudfront.net/Documentos/631/05388801128/6310538880112808092023111413.jpeg","https://dpmzos25m8ivg.cloudfront.net/Documentos/631/05388801128/6310538880112808092023111413.jpeg")</f>
        <v>https://dpmzos25m8ivg.cloudfront.net/Documentos/631/05388801128/6310538880112808092023111413.jpeg</v>
      </c>
      <c r="H2434" s="5" t="s">
        <v>11013</v>
      </c>
    </row>
    <row r="2435" spans="1:8" x14ac:dyDescent="0.25">
      <c r="A2435" s="2" t="s">
        <v>2451</v>
      </c>
      <c r="B2435" s="3" t="s">
        <v>2358</v>
      </c>
      <c r="C2435" s="3"/>
      <c r="D2435" s="3"/>
      <c r="E2435" s="5" t="str">
        <f>HYPERLINK("https://dpmzos25m8ivg.cloudfront.net/Documentos/631/05389898311/6310538989831111092023043647.jpg","https://dpmzos25m8ivg.cloudfront.net/Documentos/631/05389898311/6310538989831111092023043647.jpg")</f>
        <v>https://dpmzos25m8ivg.cloudfront.net/Documentos/631/05389898311/6310538989831111092023043647.jpg</v>
      </c>
      <c r="F2435" s="5" t="str">
        <f>HYPERLINK("https://dpmzos25m8ivg.cloudfront.net/Documentos/631/05389898311/6310538989831111092023043733.jpg","https://dpmzos25m8ivg.cloudfront.net/Documentos/631/05389898311/6310538989831111092023043733.jpg")</f>
        <v>https://dpmzos25m8ivg.cloudfront.net/Documentos/631/05389898311/6310538989831111092023043733.jpg</v>
      </c>
      <c r="G2435" s="5" t="str">
        <f>HYPERLINK("https://dpmzos25m8ivg.cloudfront.net/Documentos/631/05389898311/6310538989831111092023043758.jpg","https://dpmzos25m8ivg.cloudfront.net/Documentos/631/05389898311/6310538989831111092023043758.jpg")</f>
        <v>https://dpmzos25m8ivg.cloudfront.net/Documentos/631/05389898311/6310538989831111092023043758.jpg</v>
      </c>
      <c r="H2435" s="5" t="s">
        <v>11014</v>
      </c>
    </row>
    <row r="2436" spans="1:8" x14ac:dyDescent="0.25">
      <c r="A2436" s="2" t="s">
        <v>2452</v>
      </c>
      <c r="B2436" s="3"/>
      <c r="C2436" s="3"/>
      <c r="D2436" s="3"/>
      <c r="E2436" s="5" t="str">
        <f>HYPERLINK("https://dpmzos25m8ivg.cloudfront.net/Documentos/631/05390662490/6310539066249011092023161648.pdf","https://dpmzos25m8ivg.cloudfront.net/Documentos/631/05390662490/6310539066249011092023161648.pdf")</f>
        <v>https://dpmzos25m8ivg.cloudfront.net/Documentos/631/05390662490/6310539066249011092023161648.pdf</v>
      </c>
      <c r="F2436" s="5" t="str">
        <f>HYPERLINK("https://dpmzos25m8ivg.cloudfront.net/Documentos/631/05390662490/6310539066249011092023161841.pdf","https://dpmzos25m8ivg.cloudfront.net/Documentos/631/05390662490/6310539066249011092023161841.pdf")</f>
        <v>https://dpmzos25m8ivg.cloudfront.net/Documentos/631/05390662490/6310539066249011092023161841.pdf</v>
      </c>
      <c r="G2436" s="5" t="str">
        <f>HYPERLINK("https://dpmzos25m8ivg.cloudfront.net/Documentos/631/05390662490/6310539066249011092023162110.pdf","https://dpmzos25m8ivg.cloudfront.net/Documentos/631/05390662490/6310539066249011092023162110.pdf")</f>
        <v>https://dpmzos25m8ivg.cloudfront.net/Documentos/631/05390662490/6310539066249011092023162110.pdf</v>
      </c>
      <c r="H2436" s="5" t="s">
        <v>11015</v>
      </c>
    </row>
    <row r="2437" spans="1:8" x14ac:dyDescent="0.25">
      <c r="A2437" s="2" t="s">
        <v>2453</v>
      </c>
      <c r="B2437" s="3" t="s">
        <v>2358</v>
      </c>
      <c r="C2437" s="3"/>
      <c r="D2437" s="3"/>
      <c r="E2437" s="5" t="str">
        <f>HYPERLINK("https://dpmzos25m8ivg.cloudfront.net/Documentos/631/05394076588/6310539407658805092023103329.pdf","https://dpmzos25m8ivg.cloudfront.net/Documentos/631/05394076588/6310539407658805092023103329.pdf")</f>
        <v>https://dpmzos25m8ivg.cloudfront.net/Documentos/631/05394076588/6310539407658805092023103329.pdf</v>
      </c>
      <c r="F2437" s="5" t="str">
        <f>HYPERLINK("https://dpmzos25m8ivg.cloudfront.net/Documentos/631/05394076588/6310539407658805092023103342.pdf","https://dpmzos25m8ivg.cloudfront.net/Documentos/631/05394076588/6310539407658805092023103342.pdf")</f>
        <v>https://dpmzos25m8ivg.cloudfront.net/Documentos/631/05394076588/6310539407658805092023103342.pdf</v>
      </c>
      <c r="G2437" s="5" t="str">
        <f>HYPERLINK("https://dpmzos25m8ivg.cloudfront.net/Documentos/631/05394076588/6310539407658805092023103356.pdf","https://dpmzos25m8ivg.cloudfront.net/Documentos/631/05394076588/6310539407658805092023103356.pdf")</f>
        <v>https://dpmzos25m8ivg.cloudfront.net/Documentos/631/05394076588/6310539407658805092023103356.pdf</v>
      </c>
      <c r="H2437" s="5" t="s">
        <v>11016</v>
      </c>
    </row>
    <row r="2438" spans="1:8" x14ac:dyDescent="0.25">
      <c r="A2438" s="2" t="s">
        <v>2454</v>
      </c>
      <c r="B2438" s="3" t="s">
        <v>8</v>
      </c>
      <c r="C2438" s="3"/>
      <c r="D2438" s="3"/>
      <c r="E2438" s="5" t="str">
        <f>HYPERLINK("https://dpmzos25m8ivg.cloudfront.net/Documentos/631/05394800103/6310539480010305092023094709.pdf","https://dpmzos25m8ivg.cloudfront.net/Documentos/631/05394800103/6310539480010305092023094709.pdf")</f>
        <v>https://dpmzos25m8ivg.cloudfront.net/Documentos/631/05394800103/6310539480010305092023094709.pdf</v>
      </c>
      <c r="F2438" s="5" t="str">
        <f>HYPERLINK("https://dpmzos25m8ivg.cloudfront.net/Documentos/631/05394800103/6310539480010305092023094729.pdf","https://dpmzos25m8ivg.cloudfront.net/Documentos/631/05394800103/6310539480010305092023094729.pdf")</f>
        <v>https://dpmzos25m8ivg.cloudfront.net/Documentos/631/05394800103/6310539480010305092023094729.pdf</v>
      </c>
      <c r="G2438" s="5" t="str">
        <f>HYPERLINK("https://dpmzos25m8ivg.cloudfront.net/Documentos/631/05394800103/6310539480010305092023094743.pdf","https://dpmzos25m8ivg.cloudfront.net/Documentos/631/05394800103/6310539480010305092023094743.pdf")</f>
        <v>https://dpmzos25m8ivg.cloudfront.net/Documentos/631/05394800103/6310539480010305092023094743.pdf</v>
      </c>
      <c r="H2438" s="5" t="s">
        <v>11017</v>
      </c>
    </row>
    <row r="2439" spans="1:8" x14ac:dyDescent="0.25">
      <c r="A2439" s="2" t="s">
        <v>2455</v>
      </c>
      <c r="B2439" s="3" t="s">
        <v>8</v>
      </c>
      <c r="C2439" s="3"/>
      <c r="D2439" s="3"/>
      <c r="E2439" s="5" t="str">
        <f>HYPERLINK("https://dpmzos25m8ivg.cloudfront.net/Documentos/631/05397725340/6310539772534005092023170058.pdf","https://dpmzos25m8ivg.cloudfront.net/Documentos/631/05397725340/6310539772534005092023170058.pdf")</f>
        <v>https://dpmzos25m8ivg.cloudfront.net/Documentos/631/05397725340/6310539772534005092023170058.pdf</v>
      </c>
      <c r="F2439" s="5" t="str">
        <f>HYPERLINK("https://dpmzos25m8ivg.cloudfront.net/Documentos/631/05397725340/6310539772534005092023170109.pdf","https://dpmzos25m8ivg.cloudfront.net/Documentos/631/05397725340/6310539772534005092023170109.pdf")</f>
        <v>https://dpmzos25m8ivg.cloudfront.net/Documentos/631/05397725340/6310539772534005092023170109.pdf</v>
      </c>
      <c r="G2439" s="5" t="str">
        <f>HYPERLINK("https://dpmzos25m8ivg.cloudfront.net/Documentos/631/05397725340/6310539772534005092023170120.pdf","https://dpmzos25m8ivg.cloudfront.net/Documentos/631/05397725340/6310539772534005092023170120.pdf")</f>
        <v>https://dpmzos25m8ivg.cloudfront.net/Documentos/631/05397725340/6310539772534005092023170120.pdf</v>
      </c>
      <c r="H2439" s="5" t="s">
        <v>11018</v>
      </c>
    </row>
    <row r="2440" spans="1:8" x14ac:dyDescent="0.25">
      <c r="A2440" s="2" t="s">
        <v>2456</v>
      </c>
      <c r="B2440" s="3" t="s">
        <v>2358</v>
      </c>
      <c r="C2440" s="3"/>
      <c r="D2440" s="3"/>
      <c r="E2440" s="5" t="str">
        <f>HYPERLINK("https://dpmzos25m8ivg.cloudfront.net/Documentos/631/05398850709/6310539885070914092023154550.jpeg","https://dpmzos25m8ivg.cloudfront.net/Documentos/631/05398850709/6310539885070914092023154550.jpeg")</f>
        <v>https://dpmzos25m8ivg.cloudfront.net/Documentos/631/05398850709/6310539885070914092023154550.jpeg</v>
      </c>
      <c r="F2440" s="5" t="str">
        <f>HYPERLINK("https://dpmzos25m8ivg.cloudfront.net/Documentos/631/05398850709/6310539885070914092023154606.pdf","https://dpmzos25m8ivg.cloudfront.net/Documentos/631/05398850709/6310539885070914092023154606.pdf")</f>
        <v>https://dpmzos25m8ivg.cloudfront.net/Documentos/631/05398850709/6310539885070914092023154606.pdf</v>
      </c>
      <c r="G2440" s="5" t="str">
        <f>HYPERLINK("https://dpmzos25m8ivg.cloudfront.net/Documentos/631/05398850709/6310539885070914092023154618.pdf","https://dpmzos25m8ivg.cloudfront.net/Documentos/631/05398850709/6310539885070914092023154618.pdf")</f>
        <v>https://dpmzos25m8ivg.cloudfront.net/Documentos/631/05398850709/6310539885070914092023154618.pdf</v>
      </c>
      <c r="H2440" s="5" t="s">
        <v>11019</v>
      </c>
    </row>
    <row r="2441" spans="1:8" x14ac:dyDescent="0.25">
      <c r="A2441" s="2" t="s">
        <v>2457</v>
      </c>
      <c r="B2441" s="3"/>
      <c r="C2441" s="3"/>
      <c r="D2441" s="3"/>
      <c r="E2441" s="5" t="str">
        <f>HYPERLINK("https://dpmzos25m8ivg.cloudfront.net/Documentos/631/05401121946/6310540112194611092023165429.pdf","https://dpmzos25m8ivg.cloudfront.net/Documentos/631/05401121946/6310540112194611092023165429.pdf")</f>
        <v>https://dpmzos25m8ivg.cloudfront.net/Documentos/631/05401121946/6310540112194611092023165429.pdf</v>
      </c>
      <c r="F2441" s="5" t="str">
        <f>HYPERLINK("https://dpmzos25m8ivg.cloudfront.net/Documentos/631/05401121946/6310540112194611092023165455.pdf","https://dpmzos25m8ivg.cloudfront.net/Documentos/631/05401121946/6310540112194611092023165455.pdf")</f>
        <v>https://dpmzos25m8ivg.cloudfront.net/Documentos/631/05401121946/6310540112194611092023165455.pdf</v>
      </c>
      <c r="G2441" s="5" t="str">
        <f>HYPERLINK("https://dpmzos25m8ivg.cloudfront.net/Documentos/631/05401121946/6310540112194611092023165512.pdf","https://dpmzos25m8ivg.cloudfront.net/Documentos/631/05401121946/6310540112194611092023165512.pdf")</f>
        <v>https://dpmzos25m8ivg.cloudfront.net/Documentos/631/05401121946/6310540112194611092023165512.pdf</v>
      </c>
      <c r="H2441" s="5" t="s">
        <v>11020</v>
      </c>
    </row>
    <row r="2442" spans="1:8" x14ac:dyDescent="0.25">
      <c r="A2442" s="2" t="s">
        <v>2458</v>
      </c>
      <c r="B2442" s="3"/>
      <c r="C2442" s="3"/>
      <c r="D2442" s="3"/>
      <c r="E2442" s="5" t="str">
        <f>HYPERLINK("https://dpmzos25m8ivg.cloudfront.net/Documentos/631/05401175361/6310540117536105092023100348.pdf","https://dpmzos25m8ivg.cloudfront.net/Documentos/631/05401175361/6310540117536105092023100348.pdf")</f>
        <v>https://dpmzos25m8ivg.cloudfront.net/Documentos/631/05401175361/6310540117536105092023100348.pdf</v>
      </c>
      <c r="F2442" s="5" t="str">
        <f>HYPERLINK("https://dpmzos25m8ivg.cloudfront.net/Documentos/631/05401175361/6310540117536105092023100403.pdf","https://dpmzos25m8ivg.cloudfront.net/Documentos/631/05401175361/6310540117536105092023100403.pdf")</f>
        <v>https://dpmzos25m8ivg.cloudfront.net/Documentos/631/05401175361/6310540117536105092023100403.pdf</v>
      </c>
      <c r="G2442" s="5" t="str">
        <f>HYPERLINK("https://dpmzos25m8ivg.cloudfront.net/Documentos/631/05401175361/6310540117536105092023100415.pdf","https://dpmzos25m8ivg.cloudfront.net/Documentos/631/05401175361/6310540117536105092023100415.pdf")</f>
        <v>https://dpmzos25m8ivg.cloudfront.net/Documentos/631/05401175361/6310540117536105092023100415.pdf</v>
      </c>
      <c r="H2442" s="5" t="s">
        <v>11021</v>
      </c>
    </row>
    <row r="2443" spans="1:8" x14ac:dyDescent="0.25">
      <c r="A2443" s="2" t="s">
        <v>2459</v>
      </c>
      <c r="B2443" s="3"/>
      <c r="C2443" s="3"/>
      <c r="D2443" s="3"/>
      <c r="E2443" s="5" t="str">
        <f>HYPERLINK("https://dpmzos25m8ivg.cloudfront.net/Documentos/631/05401382316/6310540138231606092023094736.jpg","https://dpmzos25m8ivg.cloudfront.net/Documentos/631/05401382316/6310540138231606092023094736.jpg")</f>
        <v>https://dpmzos25m8ivg.cloudfront.net/Documentos/631/05401382316/6310540138231606092023094736.jpg</v>
      </c>
      <c r="F2443" s="5" t="str">
        <f>HYPERLINK("https://dpmzos25m8ivg.cloudfront.net/Documentos/631/05401382316/6310540138231606092023094804.jpg","https://dpmzos25m8ivg.cloudfront.net/Documentos/631/05401382316/6310540138231606092023094804.jpg")</f>
        <v>https://dpmzos25m8ivg.cloudfront.net/Documentos/631/05401382316/6310540138231606092023094804.jpg</v>
      </c>
      <c r="G2443" s="5" t="str">
        <f>HYPERLINK("https://dpmzos25m8ivg.cloudfront.net/Documentos/631/05401382316/6310540138231606092023094826.jpg","https://dpmzos25m8ivg.cloudfront.net/Documentos/631/05401382316/6310540138231606092023094826.jpg")</f>
        <v>https://dpmzos25m8ivg.cloudfront.net/Documentos/631/05401382316/6310540138231606092023094826.jpg</v>
      </c>
      <c r="H2443" s="5" t="s">
        <v>11022</v>
      </c>
    </row>
    <row r="2444" spans="1:8" x14ac:dyDescent="0.25">
      <c r="A2444" s="2" t="s">
        <v>2460</v>
      </c>
      <c r="B2444" s="3"/>
      <c r="C2444" s="3"/>
      <c r="D2444" s="3"/>
      <c r="E2444" s="5" t="str">
        <f>HYPERLINK("https://dpmzos25m8ivg.cloudfront.net/Documentos/631/05404643250/6310540464325011092023151940.pdf","https://dpmzos25m8ivg.cloudfront.net/Documentos/631/05404643250/6310540464325011092023151940.pdf")</f>
        <v>https://dpmzos25m8ivg.cloudfront.net/Documentos/631/05404643250/6310540464325011092023151940.pdf</v>
      </c>
      <c r="F2444" s="5" t="str">
        <f>HYPERLINK("https://dpmzos25m8ivg.cloudfront.net/Documentos/631/05404643250/6310540464325011092023151946.pdf","https://dpmzos25m8ivg.cloudfront.net/Documentos/631/05404643250/6310540464325011092023151946.pdf")</f>
        <v>https://dpmzos25m8ivg.cloudfront.net/Documentos/631/05404643250/6310540464325011092023151946.pdf</v>
      </c>
      <c r="G2444" s="5" t="str">
        <f>HYPERLINK("https://dpmzos25m8ivg.cloudfront.net/Documentos/631/05404643250/6310540464325011092023151951.pdf","https://dpmzos25m8ivg.cloudfront.net/Documentos/631/05404643250/6310540464325011092023151951.pdf")</f>
        <v>https://dpmzos25m8ivg.cloudfront.net/Documentos/631/05404643250/6310540464325011092023151951.pdf</v>
      </c>
      <c r="H2444" s="5" t="s">
        <v>11023</v>
      </c>
    </row>
    <row r="2445" spans="1:8" x14ac:dyDescent="0.25">
      <c r="A2445" s="2" t="s">
        <v>2461</v>
      </c>
      <c r="B2445" s="3"/>
      <c r="C2445" s="3"/>
      <c r="D2445" s="3"/>
      <c r="E2445" s="5" t="str">
        <f>HYPERLINK("https://dpmzos25m8ivg.cloudfront.net/Documentos/631/05405061760/6310540506176011092023140425.jpeg","https://dpmzos25m8ivg.cloudfront.net/Documentos/631/05405061760/6310540506176011092023140425.jpeg")</f>
        <v>https://dpmzos25m8ivg.cloudfront.net/Documentos/631/05405061760/6310540506176011092023140425.jpeg</v>
      </c>
      <c r="F2445" s="5" t="str">
        <f>HYPERLINK("https://dpmzos25m8ivg.cloudfront.net/Documentos/631/05405061760/6310540506176011092023140514.jpeg","https://dpmzos25m8ivg.cloudfront.net/Documentos/631/05405061760/6310540506176011092023140514.jpeg")</f>
        <v>https://dpmzos25m8ivg.cloudfront.net/Documentos/631/05405061760/6310540506176011092023140514.jpeg</v>
      </c>
      <c r="G2445" s="5" t="str">
        <f>HYPERLINK("https://dpmzos25m8ivg.cloudfront.net/Documentos/631/05405061760/6310540506176011092023140525.jpeg","https://dpmzos25m8ivg.cloudfront.net/Documentos/631/05405061760/6310540506176011092023140525.jpeg")</f>
        <v>https://dpmzos25m8ivg.cloudfront.net/Documentos/631/05405061760/6310540506176011092023140525.jpeg</v>
      </c>
      <c r="H2445" s="5" t="s">
        <v>11024</v>
      </c>
    </row>
    <row r="2446" spans="1:8" x14ac:dyDescent="0.25">
      <c r="A2446" s="2" t="s">
        <v>2462</v>
      </c>
      <c r="B2446" s="3" t="s">
        <v>8</v>
      </c>
      <c r="C2446" s="3"/>
      <c r="D2446" s="3"/>
      <c r="E2446" s="5" t="str">
        <f>HYPERLINK("https://dpmzos25m8ivg.cloudfront.net/Documentos/631/05406575570/6310540657557007092023214254.jpg","https://dpmzos25m8ivg.cloudfront.net/Documentos/631/05406575570/6310540657557007092023214254.jpg")</f>
        <v>https://dpmzos25m8ivg.cloudfront.net/Documentos/631/05406575570/6310540657557007092023214254.jpg</v>
      </c>
      <c r="F2446" s="5" t="str">
        <f>HYPERLINK("https://dpmzos25m8ivg.cloudfront.net/Documentos/631/05406575570/6310540657557007092023221821.jpg","https://dpmzos25m8ivg.cloudfront.net/Documentos/631/05406575570/6310540657557007092023221821.jpg")</f>
        <v>https://dpmzos25m8ivg.cloudfront.net/Documentos/631/05406575570/6310540657557007092023221821.jpg</v>
      </c>
      <c r="G2446" s="5" t="str">
        <f>HYPERLINK("https://dpmzos25m8ivg.cloudfront.net/Documentos/631/05406575570/6310540657557007092023221846.jpg","https://dpmzos25m8ivg.cloudfront.net/Documentos/631/05406575570/6310540657557007092023221846.jpg")</f>
        <v>https://dpmzos25m8ivg.cloudfront.net/Documentos/631/05406575570/6310540657557007092023221846.jpg</v>
      </c>
      <c r="H2446" s="5" t="s">
        <v>11025</v>
      </c>
    </row>
    <row r="2447" spans="1:8" x14ac:dyDescent="0.25">
      <c r="A2447" s="2" t="s">
        <v>2463</v>
      </c>
      <c r="B2447" s="3"/>
      <c r="C2447" s="3"/>
      <c r="D2447" s="3"/>
      <c r="E2447" s="5" t="str">
        <f>HYPERLINK("https://dpmzos25m8ivg.cloudfront.net/Documentos/631/05407831376/6310540783137605092023095702.jpg","https://dpmzos25m8ivg.cloudfront.net/Documentos/631/05407831376/6310540783137605092023095702.jpg")</f>
        <v>https://dpmzos25m8ivg.cloudfront.net/Documentos/631/05407831376/6310540783137605092023095702.jpg</v>
      </c>
      <c r="F2447" s="5" t="str">
        <f>HYPERLINK("https://dpmzos25m8ivg.cloudfront.net/Documentos/631/05407831376/6310540783137605092023100357.jpg","https://dpmzos25m8ivg.cloudfront.net/Documentos/631/05407831376/6310540783137605092023100357.jpg")</f>
        <v>https://dpmzos25m8ivg.cloudfront.net/Documentos/631/05407831376/6310540783137605092023100357.jpg</v>
      </c>
      <c r="G2447" s="5" t="str">
        <f>HYPERLINK("https://dpmzos25m8ivg.cloudfront.net/Documentos/631/05407831376/6310540783137605092023100829.jpg","https://dpmzos25m8ivg.cloudfront.net/Documentos/631/05407831376/6310540783137605092023100829.jpg")</f>
        <v>https://dpmzos25m8ivg.cloudfront.net/Documentos/631/05407831376/6310540783137605092023100829.jpg</v>
      </c>
      <c r="H2447" s="5" t="s">
        <v>11026</v>
      </c>
    </row>
    <row r="2448" spans="1:8" x14ac:dyDescent="0.25">
      <c r="A2448" s="2" t="s">
        <v>2464</v>
      </c>
      <c r="B2448" s="3"/>
      <c r="C2448" s="3"/>
      <c r="D2448" s="3"/>
      <c r="E2448" s="5" t="str">
        <f>HYPERLINK("https://dpmzos25m8ivg.cloudfront.net/Documentos/631/05408127222/6310540812722211092023165635.pdf","https://dpmzos25m8ivg.cloudfront.net/Documentos/631/05408127222/6310540812722211092023165635.pdf")</f>
        <v>https://dpmzos25m8ivg.cloudfront.net/Documentos/631/05408127222/6310540812722211092023165635.pdf</v>
      </c>
      <c r="F2448" s="5" t="str">
        <f>HYPERLINK("https://dpmzos25m8ivg.cloudfront.net/Documentos/631/05408127222/6310540812722211092023165652.pdf","https://dpmzos25m8ivg.cloudfront.net/Documentos/631/05408127222/6310540812722211092023165652.pdf")</f>
        <v>https://dpmzos25m8ivg.cloudfront.net/Documentos/631/05408127222/6310540812722211092023165652.pdf</v>
      </c>
      <c r="G2448" s="5" t="str">
        <f>HYPERLINK("https://dpmzos25m8ivg.cloudfront.net/Documentos/631/05408127222/6310540812722211092023165708.pdf","https://dpmzos25m8ivg.cloudfront.net/Documentos/631/05408127222/6310540812722211092023165708.pdf")</f>
        <v>https://dpmzos25m8ivg.cloudfront.net/Documentos/631/05408127222/6310540812722211092023165708.pdf</v>
      </c>
      <c r="H2448" s="5" t="s">
        <v>11027</v>
      </c>
    </row>
    <row r="2449" spans="1:8" x14ac:dyDescent="0.25">
      <c r="A2449" s="2" t="s">
        <v>2465</v>
      </c>
      <c r="B2449" s="3"/>
      <c r="C2449" s="3"/>
      <c r="D2449" s="3"/>
      <c r="E2449" s="5" t="str">
        <f>HYPERLINK("https://dpmzos25m8ivg.cloudfront.net/Documentos/631/05408362302/6310540836230208092023173651.pdf","https://dpmzos25m8ivg.cloudfront.net/Documentos/631/05408362302/6310540836230208092023173651.pdf")</f>
        <v>https://dpmzos25m8ivg.cloudfront.net/Documentos/631/05408362302/6310540836230208092023173651.pdf</v>
      </c>
      <c r="F2449" s="5" t="str">
        <f>HYPERLINK("https://dpmzos25m8ivg.cloudfront.net/Documentos/631/05408362302/6310540836230208092023173708.pdf","https://dpmzos25m8ivg.cloudfront.net/Documentos/631/05408362302/6310540836230208092023173708.pdf")</f>
        <v>https://dpmzos25m8ivg.cloudfront.net/Documentos/631/05408362302/6310540836230208092023173708.pdf</v>
      </c>
      <c r="G2449" s="5" t="str">
        <f>HYPERLINK("https://dpmzos25m8ivg.cloudfront.net/Documentos/631/05408362302/6310540836230208092023173722.pdf","https://dpmzos25m8ivg.cloudfront.net/Documentos/631/05408362302/6310540836230208092023173722.pdf")</f>
        <v>https://dpmzos25m8ivg.cloudfront.net/Documentos/631/05408362302/6310540836230208092023173722.pdf</v>
      </c>
      <c r="H2449" s="5" t="s">
        <v>11028</v>
      </c>
    </row>
    <row r="2450" spans="1:8" x14ac:dyDescent="0.25">
      <c r="A2450" s="2" t="s">
        <v>2466</v>
      </c>
      <c r="B2450" s="3"/>
      <c r="C2450" s="3"/>
      <c r="D2450" s="3"/>
      <c r="E2450" s="5" t="str">
        <f>HYPERLINK("https://dpmzos25m8ivg.cloudfront.net/Documentos/631/05410013379/6310541001337910092023174945.jpg","https://dpmzos25m8ivg.cloudfront.net/Documentos/631/05410013379/6310541001337910092023174945.jpg")</f>
        <v>https://dpmzos25m8ivg.cloudfront.net/Documentos/631/05410013379/6310541001337910092023174945.jpg</v>
      </c>
      <c r="F2450" s="5" t="str">
        <f>HYPERLINK("https://dpmzos25m8ivg.cloudfront.net/Documentos/631/05410013379/6310541001337910092023181445.jpg","https://dpmzos25m8ivg.cloudfront.net/Documentos/631/05410013379/6310541001337910092023181445.jpg")</f>
        <v>https://dpmzos25m8ivg.cloudfront.net/Documentos/631/05410013379/6310541001337910092023181445.jpg</v>
      </c>
      <c r="G2450" s="5" t="str">
        <f>HYPERLINK("https://dpmzos25m8ivg.cloudfront.net/Documentos/631/05410013379/6310541001337910092023181503.jpg","https://dpmzos25m8ivg.cloudfront.net/Documentos/631/05410013379/6310541001337910092023181503.jpg")</f>
        <v>https://dpmzos25m8ivg.cloudfront.net/Documentos/631/05410013379/6310541001337910092023181503.jpg</v>
      </c>
      <c r="H2450" s="5" t="s">
        <v>11029</v>
      </c>
    </row>
    <row r="2451" spans="1:8" x14ac:dyDescent="0.25">
      <c r="A2451" s="2" t="s">
        <v>2467</v>
      </c>
      <c r="B2451" s="3"/>
      <c r="C2451" s="3"/>
      <c r="D2451" s="3"/>
      <c r="E2451" s="5" t="str">
        <f>HYPERLINK("https://dpmzos25m8ivg.cloudfront.net/Documentos/631/05410210794/6310541021079413092023113110.jpeg","https://dpmzos25m8ivg.cloudfront.net/Documentos/631/05410210794/6310541021079413092023113110.jpeg")</f>
        <v>https://dpmzos25m8ivg.cloudfront.net/Documentos/631/05410210794/6310541021079413092023113110.jpeg</v>
      </c>
      <c r="F2451" s="5" t="str">
        <f>HYPERLINK("https://dpmzos25m8ivg.cloudfront.net/Documentos/631/05410210794/6310541021079413092023144506.jpg","https://dpmzos25m8ivg.cloudfront.net/Documentos/631/05410210794/6310541021079413092023144506.jpg")</f>
        <v>https://dpmzos25m8ivg.cloudfront.net/Documentos/631/05410210794/6310541021079413092023144506.jpg</v>
      </c>
      <c r="G2451" s="5" t="str">
        <f>HYPERLINK("https://dpmzos25m8ivg.cloudfront.net/Documentos/631/05410210794/6310541021079413092023113122.jpeg","https://dpmzos25m8ivg.cloudfront.net/Documentos/631/05410210794/6310541021079413092023113122.jpeg")</f>
        <v>https://dpmzos25m8ivg.cloudfront.net/Documentos/631/05410210794/6310541021079413092023113122.jpeg</v>
      </c>
      <c r="H2451" s="5" t="s">
        <v>11030</v>
      </c>
    </row>
    <row r="2452" spans="1:8" x14ac:dyDescent="0.25">
      <c r="A2452" s="2" t="s">
        <v>2468</v>
      </c>
      <c r="B2452" s="3"/>
      <c r="C2452" s="3"/>
      <c r="D2452" s="3"/>
      <c r="E2452" s="5" t="str">
        <f>HYPERLINK("https://dpmzos25m8ivg.cloudfront.net/Documentos/631/05410555341/6310541055534107092023225239.jpeg","https://dpmzos25m8ivg.cloudfront.net/Documentos/631/05410555341/6310541055534107092023225239.jpeg")</f>
        <v>https://dpmzos25m8ivg.cloudfront.net/Documentos/631/05410555341/6310541055534107092023225239.jpeg</v>
      </c>
      <c r="F2452" s="5" t="str">
        <f>HYPERLINK("https://dpmzos25m8ivg.cloudfront.net/Documentos/631/05410555341/6310541055534107092023225331.jpeg","https://dpmzos25m8ivg.cloudfront.net/Documentos/631/05410555341/6310541055534107092023225331.jpeg")</f>
        <v>https://dpmzos25m8ivg.cloudfront.net/Documentos/631/05410555341/6310541055534107092023225331.jpeg</v>
      </c>
      <c r="G2452" s="5" t="str">
        <f>HYPERLINK("https://dpmzos25m8ivg.cloudfront.net/Documentos/631/05410555341/6310541055534107092023225340.jpeg","https://dpmzos25m8ivg.cloudfront.net/Documentos/631/05410555341/6310541055534107092023225340.jpeg")</f>
        <v>https://dpmzos25m8ivg.cloudfront.net/Documentos/631/05410555341/6310541055534107092023225340.jpeg</v>
      </c>
      <c r="H2452" s="5" t="s">
        <v>11031</v>
      </c>
    </row>
    <row r="2453" spans="1:8" x14ac:dyDescent="0.25">
      <c r="A2453" s="2" t="s">
        <v>2469</v>
      </c>
      <c r="B2453" s="3"/>
      <c r="C2453" s="3"/>
      <c r="D2453" s="3"/>
      <c r="E2453" s="5" t="str">
        <f>HYPERLINK("https://dpmzos25m8ivg.cloudfront.net/Documentos/631/05413735529/6310541373552911092023152742.pdf","https://dpmzos25m8ivg.cloudfront.net/Documentos/631/05413735529/6310541373552911092023152742.pdf")</f>
        <v>https://dpmzos25m8ivg.cloudfront.net/Documentos/631/05413735529/6310541373552911092023152742.pdf</v>
      </c>
      <c r="F2453" s="5" t="str">
        <f>HYPERLINK("https://dpmzos25m8ivg.cloudfront.net/Documentos/631/05413735529/6310541373552911092023152755.pdf","https://dpmzos25m8ivg.cloudfront.net/Documentos/631/05413735529/6310541373552911092023152755.pdf")</f>
        <v>https://dpmzos25m8ivg.cloudfront.net/Documentos/631/05413735529/6310541373552911092023152755.pdf</v>
      </c>
      <c r="G2453" s="5" t="str">
        <f>HYPERLINK("https://dpmzos25m8ivg.cloudfront.net/Documentos/631/05413735529/6310541373552911092023152813.pdf","https://dpmzos25m8ivg.cloudfront.net/Documentos/631/05413735529/6310541373552911092023152813.pdf")</f>
        <v>https://dpmzos25m8ivg.cloudfront.net/Documentos/631/05413735529/6310541373552911092023152813.pdf</v>
      </c>
      <c r="H2453" s="5" t="s">
        <v>11032</v>
      </c>
    </row>
    <row r="2454" spans="1:8" x14ac:dyDescent="0.25">
      <c r="A2454" s="2" t="s">
        <v>2470</v>
      </c>
      <c r="B2454" s="3"/>
      <c r="C2454" s="3"/>
      <c r="D2454" s="3"/>
      <c r="E2454" s="5" t="str">
        <f>HYPERLINK("https://dpmzos25m8ivg.cloudfront.net/Documentos/631/05414082162/6310541408216206092023125858.pdf","https://dpmzos25m8ivg.cloudfront.net/Documentos/631/05414082162/6310541408216206092023125858.pdf")</f>
        <v>https://dpmzos25m8ivg.cloudfront.net/Documentos/631/05414082162/6310541408216206092023125858.pdf</v>
      </c>
      <c r="F2454" s="5" t="str">
        <f>HYPERLINK("https://dpmzos25m8ivg.cloudfront.net/Documentos/631/05414082162/6310541408216206092023125912.pdf","https://dpmzos25m8ivg.cloudfront.net/Documentos/631/05414082162/6310541408216206092023125912.pdf")</f>
        <v>https://dpmzos25m8ivg.cloudfront.net/Documentos/631/05414082162/6310541408216206092023125912.pdf</v>
      </c>
      <c r="G2454" s="5" t="str">
        <f>HYPERLINK("https://dpmzos25m8ivg.cloudfront.net/Documentos/631/05414082162/6310541408216206092023125924.pdf","https://dpmzos25m8ivg.cloudfront.net/Documentos/631/05414082162/6310541408216206092023125924.pdf")</f>
        <v>https://dpmzos25m8ivg.cloudfront.net/Documentos/631/05414082162/6310541408216206092023125924.pdf</v>
      </c>
      <c r="H2454" s="5" t="s">
        <v>11033</v>
      </c>
    </row>
    <row r="2455" spans="1:8" x14ac:dyDescent="0.25">
      <c r="A2455" s="2" t="s">
        <v>2471</v>
      </c>
      <c r="B2455" s="3"/>
      <c r="C2455" s="3"/>
      <c r="D2455" s="3"/>
      <c r="E2455" s="5" t="str">
        <f>HYPERLINK("https://dpmzos25m8ivg.cloudfront.net/Documentos/631/05414442398/6310541444239806092023154930.pdf","https://dpmzos25m8ivg.cloudfront.net/Documentos/631/05414442398/6310541444239806092023154930.pdf")</f>
        <v>https://dpmzos25m8ivg.cloudfront.net/Documentos/631/05414442398/6310541444239806092023154930.pdf</v>
      </c>
      <c r="F2455" s="5" t="str">
        <f>HYPERLINK("https://dpmzos25m8ivg.cloudfront.net/Documentos/631/05414442398/6310541444239806092023155045.pdf","https://dpmzos25m8ivg.cloudfront.net/Documentos/631/05414442398/6310541444239806092023155045.pdf")</f>
        <v>https://dpmzos25m8ivg.cloudfront.net/Documentos/631/05414442398/6310541444239806092023155045.pdf</v>
      </c>
      <c r="G2455" s="5" t="str">
        <f>HYPERLINK("https://dpmzos25m8ivg.cloudfront.net/Documentos/631/05414442398/6310541444239806092023155132.pdf","https://dpmzos25m8ivg.cloudfront.net/Documentos/631/05414442398/6310541444239806092023155132.pdf")</f>
        <v>https://dpmzos25m8ivg.cloudfront.net/Documentos/631/05414442398/6310541444239806092023155132.pdf</v>
      </c>
      <c r="H2455" s="5" t="s">
        <v>11034</v>
      </c>
    </row>
    <row r="2456" spans="1:8" x14ac:dyDescent="0.25">
      <c r="A2456" s="2" t="s">
        <v>2472</v>
      </c>
      <c r="B2456" s="3" t="s">
        <v>2358</v>
      </c>
      <c r="C2456" s="3"/>
      <c r="D2456" s="3"/>
      <c r="E2456" s="5" t="str">
        <f>HYPERLINK("https://dpmzos25m8ivg.cloudfront.net/Documentos/631/05415570179/6310541557017913092023175215.pdf","https://dpmzos25m8ivg.cloudfront.net/Documentos/631/05415570179/6310541557017913092023175215.pdf")</f>
        <v>https://dpmzos25m8ivg.cloudfront.net/Documentos/631/05415570179/6310541557017913092023175215.pdf</v>
      </c>
      <c r="F2456" s="5" t="str">
        <f>HYPERLINK("https://dpmzos25m8ivg.cloudfront.net/Documentos/631/05415570179/6310541557017913092023175245.pdf","https://dpmzos25m8ivg.cloudfront.net/Documentos/631/05415570179/6310541557017913092023175245.pdf")</f>
        <v>https://dpmzos25m8ivg.cloudfront.net/Documentos/631/05415570179/6310541557017913092023175245.pdf</v>
      </c>
      <c r="G2456" s="5" t="str">
        <f>HYPERLINK("https://dpmzos25m8ivg.cloudfront.net/Documentos/631/05415570179/6310541557017913092023175225.pdf","https://dpmzos25m8ivg.cloudfront.net/Documentos/631/05415570179/6310541557017913092023175225.pdf")</f>
        <v>https://dpmzos25m8ivg.cloudfront.net/Documentos/631/05415570179/6310541557017913092023175225.pdf</v>
      </c>
      <c r="H2456" s="5" t="s">
        <v>11035</v>
      </c>
    </row>
    <row r="2457" spans="1:8" x14ac:dyDescent="0.25">
      <c r="A2457" s="2" t="s">
        <v>2473</v>
      </c>
      <c r="B2457" s="3"/>
      <c r="C2457" s="3"/>
      <c r="D2457" s="3"/>
      <c r="E2457" s="5" t="str">
        <f>HYPERLINK("https://dpmzos25m8ivg.cloudfront.net/Documentos/631/05419090376/6310541909037611092023124911.pdf","https://dpmzos25m8ivg.cloudfront.net/Documentos/631/05419090376/6310541909037611092023124911.pdf")</f>
        <v>https://dpmzos25m8ivg.cloudfront.net/Documentos/631/05419090376/6310541909037611092023124911.pdf</v>
      </c>
      <c r="F2457" s="5" t="str">
        <f>HYPERLINK("https://dpmzos25m8ivg.cloudfront.net/Documentos/631/05419090376/6310541909037611092023125107.pdf","https://dpmzos25m8ivg.cloudfront.net/Documentos/631/05419090376/6310541909037611092023125107.pdf")</f>
        <v>https://dpmzos25m8ivg.cloudfront.net/Documentos/631/05419090376/6310541909037611092023125107.pdf</v>
      </c>
      <c r="G2457" s="5" t="str">
        <f>HYPERLINK("https://dpmzos25m8ivg.cloudfront.net/Documentos/631/05419090376/6310541909037611092023125140.pdf","https://dpmzos25m8ivg.cloudfront.net/Documentos/631/05419090376/6310541909037611092023125140.pdf")</f>
        <v>https://dpmzos25m8ivg.cloudfront.net/Documentos/631/05419090376/6310541909037611092023125140.pdf</v>
      </c>
      <c r="H2457" s="5" t="s">
        <v>11036</v>
      </c>
    </row>
    <row r="2458" spans="1:8" x14ac:dyDescent="0.25">
      <c r="A2458" s="2" t="s">
        <v>2474</v>
      </c>
      <c r="B2458" s="3"/>
      <c r="C2458" s="3"/>
      <c r="D2458" s="3"/>
      <c r="E2458" s="5" t="str">
        <f>HYPERLINK("https://dpmzos25m8ivg.cloudfront.net/Documentos/631/05421323110/6310542132311011092023141945.pdf","https://dpmzos25m8ivg.cloudfront.net/Documentos/631/05421323110/6310542132311011092023141945.pdf")</f>
        <v>https://dpmzos25m8ivg.cloudfront.net/Documentos/631/05421323110/6310542132311011092023141945.pdf</v>
      </c>
      <c r="F2458" s="5" t="str">
        <f>HYPERLINK("https://dpmzos25m8ivg.cloudfront.net/Documentos/631/05421323110/6310542132311011092023142056.pdf","https://dpmzos25m8ivg.cloudfront.net/Documentos/631/05421323110/6310542132311011092023142056.pdf")</f>
        <v>https://dpmzos25m8ivg.cloudfront.net/Documentos/631/05421323110/6310542132311011092023142056.pdf</v>
      </c>
      <c r="G2458" s="5" t="str">
        <f>HYPERLINK("https://dpmzos25m8ivg.cloudfront.net/Documentos/631/05421323110/6310542132311011092023142215.pdf","https://dpmzos25m8ivg.cloudfront.net/Documentos/631/05421323110/6310542132311011092023142215.pdf")</f>
        <v>https://dpmzos25m8ivg.cloudfront.net/Documentos/631/05421323110/6310542132311011092023142215.pdf</v>
      </c>
      <c r="H2458" s="5" t="s">
        <v>11037</v>
      </c>
    </row>
    <row r="2459" spans="1:8" x14ac:dyDescent="0.25">
      <c r="A2459" s="2" t="s">
        <v>2475</v>
      </c>
      <c r="B2459" s="3"/>
      <c r="C2459" s="3"/>
      <c r="D2459" s="3"/>
      <c r="E2459" s="9" t="str">
        <f>HYPERLINK("https://dpmzos25m8ivg.cloudfront.net/Documentos/631/05425696124/6310542569612405092023092117.pdf","https://dpmzos25m8ivg.cloudfront.net/Documentos/631/05425696124/6310542569612405092023092117.pdf")</f>
        <v>https://dpmzos25m8ivg.cloudfront.net/Documentos/631/05425696124/6310542569612405092023092117.pdf</v>
      </c>
      <c r="F2459" s="5" t="str">
        <f>HYPERLINK("https://dpmzos25m8ivg.cloudfront.net/Documentos/631/05425696124/6310542569612405092023092125.pdf","https://dpmzos25m8ivg.cloudfront.net/Documentos/631/05425696124/6310542569612405092023092125.pdf")</f>
        <v>https://dpmzos25m8ivg.cloudfront.net/Documentos/631/05425696124/6310542569612405092023092125.pdf</v>
      </c>
      <c r="G2459" s="5" t="str">
        <f>HYPERLINK("https://dpmzos25m8ivg.cloudfront.net/Documentos/631/05425696124/6310542569612405092023092134.pdf","https://dpmzos25m8ivg.cloudfront.net/Documentos/631/05425696124/6310542569612405092023092134.pdf")</f>
        <v>https://dpmzos25m8ivg.cloudfront.net/Documentos/631/05425696124/6310542569612405092023092134.pdf</v>
      </c>
      <c r="H2459" s="5" t="s">
        <v>11038</v>
      </c>
    </row>
    <row r="2460" spans="1:8" x14ac:dyDescent="0.25">
      <c r="A2460" s="2" t="s">
        <v>2476</v>
      </c>
      <c r="B2460" s="3"/>
      <c r="C2460" s="3"/>
      <c r="D2460" s="3"/>
      <c r="E2460" s="5" t="str">
        <f>HYPERLINK("https://dpmzos25m8ivg.cloudfront.net/Documentos/631/05430815594/6310543081559410092023194843.pdf","https://dpmzos25m8ivg.cloudfront.net/Documentos/631/05430815594/6310543081559410092023194843.pdf")</f>
        <v>https://dpmzos25m8ivg.cloudfront.net/Documentos/631/05430815594/6310543081559410092023194843.pdf</v>
      </c>
      <c r="F2460" s="5" t="str">
        <f>HYPERLINK("https://dpmzos25m8ivg.cloudfront.net/Documentos/631/05430815594/6310543081559410092023194857.pdf","https://dpmzos25m8ivg.cloudfront.net/Documentos/631/05430815594/6310543081559410092023194857.pdf")</f>
        <v>https://dpmzos25m8ivg.cloudfront.net/Documentos/631/05430815594/6310543081559410092023194857.pdf</v>
      </c>
      <c r="G2460" s="5" t="str">
        <f>HYPERLINK("https://dpmzos25m8ivg.cloudfront.net/Documentos/631/05430815594/6310543081559410092023194910.pdf","https://dpmzos25m8ivg.cloudfront.net/Documentos/631/05430815594/6310543081559410092023194910.pdf")</f>
        <v>https://dpmzos25m8ivg.cloudfront.net/Documentos/631/05430815594/6310543081559410092023194910.pdf</v>
      </c>
      <c r="H2460" s="5" t="s">
        <v>11039</v>
      </c>
    </row>
    <row r="2461" spans="1:8" x14ac:dyDescent="0.25">
      <c r="A2461" s="2" t="s">
        <v>2477</v>
      </c>
      <c r="B2461" s="3"/>
      <c r="C2461" s="3"/>
      <c r="D2461" s="3"/>
      <c r="E2461" s="5" t="str">
        <f>HYPERLINK("https://dpmzos25m8ivg.cloudfront.net/Documentos/631/05431028820/6310543102882011092023165757.pdf","https://dpmzos25m8ivg.cloudfront.net/Documentos/631/05431028820/6310543102882011092023165757.pdf")</f>
        <v>https://dpmzos25m8ivg.cloudfront.net/Documentos/631/05431028820/6310543102882011092023165757.pdf</v>
      </c>
      <c r="F2461" s="5" t="str">
        <f>HYPERLINK("https://dpmzos25m8ivg.cloudfront.net/Documentos/631/05431028820/6310543102882011092023165851.pdf","https://dpmzos25m8ivg.cloudfront.net/Documentos/631/05431028820/6310543102882011092023165851.pdf")</f>
        <v>https://dpmzos25m8ivg.cloudfront.net/Documentos/631/05431028820/6310543102882011092023165851.pdf</v>
      </c>
      <c r="G2461" s="5" t="str">
        <f>HYPERLINK("https://dpmzos25m8ivg.cloudfront.net/Documentos/631/05431028820/6310543102882011092023165907.pdf","https://dpmzos25m8ivg.cloudfront.net/Documentos/631/05431028820/6310543102882011092023165907.pdf")</f>
        <v>https://dpmzos25m8ivg.cloudfront.net/Documentos/631/05431028820/6310543102882011092023165907.pdf</v>
      </c>
      <c r="H2461" s="5" t="s">
        <v>11040</v>
      </c>
    </row>
    <row r="2462" spans="1:8" x14ac:dyDescent="0.25">
      <c r="A2462" s="2" t="s">
        <v>2478</v>
      </c>
      <c r="B2462" s="3"/>
      <c r="C2462" s="3"/>
      <c r="D2462" s="3"/>
      <c r="E2462" s="5" t="str">
        <f>HYPERLINK("https://dpmzos25m8ivg.cloudfront.net/Documentos/631/05436888445/6310543688844505092023123121.pdf","https://dpmzos25m8ivg.cloudfront.net/Documentos/631/05436888445/6310543688844505092023123121.pdf")</f>
        <v>https://dpmzos25m8ivg.cloudfront.net/Documentos/631/05436888445/6310543688844505092023123121.pdf</v>
      </c>
      <c r="F2462" s="5" t="str">
        <f>HYPERLINK("https://dpmzos25m8ivg.cloudfront.net/Documentos/631/05436888445/6310543688844505092023123227.pdf","https://dpmzos25m8ivg.cloudfront.net/Documentos/631/05436888445/6310543688844505092023123227.pdf")</f>
        <v>https://dpmzos25m8ivg.cloudfront.net/Documentos/631/05436888445/6310543688844505092023123227.pdf</v>
      </c>
      <c r="G2462" s="5" t="str">
        <f>HYPERLINK("https://dpmzos25m8ivg.cloudfront.net/Documentos/631/05436888445/6310543688844505092023123215.pdf","https://dpmzos25m8ivg.cloudfront.net/Documentos/631/05436888445/6310543688844505092023123215.pdf")</f>
        <v>https://dpmzos25m8ivg.cloudfront.net/Documentos/631/05436888445/6310543688844505092023123215.pdf</v>
      </c>
      <c r="H2462" s="5" t="s">
        <v>11041</v>
      </c>
    </row>
    <row r="2463" spans="1:8" x14ac:dyDescent="0.25">
      <c r="A2463" s="2" t="s">
        <v>2479</v>
      </c>
      <c r="B2463" s="3" t="s">
        <v>23</v>
      </c>
      <c r="C2463" s="3"/>
      <c r="D2463" s="3"/>
      <c r="E2463" s="5" t="str">
        <f>HYPERLINK("https://dpmzos25m8ivg.cloudfront.net/Documentos/631/05439742190/6310543974219004092023200200.pdf","https://dpmzos25m8ivg.cloudfront.net/Documentos/631/05439742190/6310543974219004092023200200.pdf")</f>
        <v>https://dpmzos25m8ivg.cloudfront.net/Documentos/631/05439742190/6310543974219004092023200200.pdf</v>
      </c>
      <c r="F2463" s="5" t="str">
        <f>HYPERLINK("https://dpmzos25m8ivg.cloudfront.net/Documentos/631/05439742190/6310543974219005092023162717.pdf","https://dpmzos25m8ivg.cloudfront.net/Documentos/631/05439742190/6310543974219005092023162717.pdf")</f>
        <v>https://dpmzos25m8ivg.cloudfront.net/Documentos/631/05439742190/6310543974219005092023162717.pdf</v>
      </c>
      <c r="G2463" s="5" t="str">
        <f>HYPERLINK("https://dpmzos25m8ivg.cloudfront.net/Documentos/631/05439742190/6310543974219005092023162726.pdf","https://dpmzos25m8ivg.cloudfront.net/Documentos/631/05439742190/6310543974219005092023162726.pdf")</f>
        <v>https://dpmzos25m8ivg.cloudfront.net/Documentos/631/05439742190/6310543974219005092023162726.pdf</v>
      </c>
      <c r="H2463" s="5" t="s">
        <v>11042</v>
      </c>
    </row>
    <row r="2464" spans="1:8" x14ac:dyDescent="0.25">
      <c r="A2464" s="2" t="s">
        <v>2480</v>
      </c>
      <c r="B2464" s="3" t="s">
        <v>8</v>
      </c>
      <c r="C2464" s="3"/>
      <c r="D2464" s="3"/>
      <c r="E2464" s="5" t="str">
        <f>HYPERLINK("https://dpmzos25m8ivg.cloudfront.net/Documentos/631/05439772502/6310543977250210092023024345.pdf","https://dpmzos25m8ivg.cloudfront.net/Documentos/631/05439772502/6310543977250210092023024345.pdf")</f>
        <v>https://dpmzos25m8ivg.cloudfront.net/Documentos/631/05439772502/6310543977250210092023024345.pdf</v>
      </c>
      <c r="F2464" s="5" t="str">
        <f>HYPERLINK("https://dpmzos25m8ivg.cloudfront.net/Documentos/631/05439772502/6310543977250210092023024400.pdf","https://dpmzos25m8ivg.cloudfront.net/Documentos/631/05439772502/6310543977250210092023024400.pdf")</f>
        <v>https://dpmzos25m8ivg.cloudfront.net/Documentos/631/05439772502/6310543977250210092023024400.pdf</v>
      </c>
      <c r="G2464" s="5" t="str">
        <f>HYPERLINK("https://dpmzos25m8ivg.cloudfront.net/Documentos/631/05439772502/6310543977250210092023024410.pdf","https://dpmzos25m8ivg.cloudfront.net/Documentos/631/05439772502/6310543977250210092023024410.pdf")</f>
        <v>https://dpmzos25m8ivg.cloudfront.net/Documentos/631/05439772502/6310543977250210092023024410.pdf</v>
      </c>
      <c r="H2464" s="5" t="s">
        <v>11043</v>
      </c>
    </row>
    <row r="2465" spans="1:8" x14ac:dyDescent="0.25">
      <c r="A2465" s="2" t="s">
        <v>2481</v>
      </c>
      <c r="B2465" s="3"/>
      <c r="C2465" s="3"/>
      <c r="D2465" s="3"/>
      <c r="E2465" s="5" t="str">
        <f>HYPERLINK("https://dpmzos25m8ivg.cloudfront.net/Documentos/631/05440514325/6310544051432505092023173927.pdf","https://dpmzos25m8ivg.cloudfront.net/Documentos/631/05440514325/6310544051432505092023173927.pdf")</f>
        <v>https://dpmzos25m8ivg.cloudfront.net/Documentos/631/05440514325/6310544051432505092023173927.pdf</v>
      </c>
      <c r="F2465" s="5" t="str">
        <f>HYPERLINK("https://dpmzos25m8ivg.cloudfront.net/Documentos/631/05440514325/6310544051432505092023173936.pdf","https://dpmzos25m8ivg.cloudfront.net/Documentos/631/05440514325/6310544051432505092023173936.pdf")</f>
        <v>https://dpmzos25m8ivg.cloudfront.net/Documentos/631/05440514325/6310544051432505092023173936.pdf</v>
      </c>
      <c r="G2465" s="5" t="str">
        <f>HYPERLINK("https://dpmzos25m8ivg.cloudfront.net/Documentos/631/05440514325/6310544051432505092023173944.pdf","https://dpmzos25m8ivg.cloudfront.net/Documentos/631/05440514325/6310544051432505092023173944.pdf")</f>
        <v>https://dpmzos25m8ivg.cloudfront.net/Documentos/631/05440514325/6310544051432505092023173944.pdf</v>
      </c>
      <c r="H2465" s="5" t="s">
        <v>11044</v>
      </c>
    </row>
    <row r="2466" spans="1:8" x14ac:dyDescent="0.25">
      <c r="A2466" s="2" t="s">
        <v>2482</v>
      </c>
      <c r="B2466" s="3"/>
      <c r="C2466" s="3"/>
      <c r="D2466" s="3"/>
      <c r="E2466" s="5" t="str">
        <f>HYPERLINK("https://dpmzos25m8ivg.cloudfront.net/Documentos/631/05440811109/6310544081110911092023111644.jpeg","https://dpmzos25m8ivg.cloudfront.net/Documentos/631/05440811109/6310544081110911092023111644.jpeg")</f>
        <v>https://dpmzos25m8ivg.cloudfront.net/Documentos/631/05440811109/6310544081110911092023111644.jpeg</v>
      </c>
      <c r="F2466" s="5" t="str">
        <f>HYPERLINK("https://dpmzos25m8ivg.cloudfront.net/Documentos/631/05440811109/6310544081110911092023111704.jpeg","https://dpmzos25m8ivg.cloudfront.net/Documentos/631/05440811109/6310544081110911092023111704.jpeg")</f>
        <v>https://dpmzos25m8ivg.cloudfront.net/Documentos/631/05440811109/6310544081110911092023111704.jpeg</v>
      </c>
      <c r="G2466" s="5" t="str">
        <f>HYPERLINK("https://dpmzos25m8ivg.cloudfront.net/Documentos/631/05440811109/6310544081110911092023111716.jpeg","https://dpmzos25m8ivg.cloudfront.net/Documentos/631/05440811109/6310544081110911092023111716.jpeg")</f>
        <v>https://dpmzos25m8ivg.cloudfront.net/Documentos/631/05440811109/6310544081110911092023111716.jpeg</v>
      </c>
      <c r="H2466" s="5" t="s">
        <v>11045</v>
      </c>
    </row>
    <row r="2467" spans="1:8" x14ac:dyDescent="0.25">
      <c r="A2467" s="2" t="s">
        <v>2483</v>
      </c>
      <c r="B2467" s="3"/>
      <c r="C2467" s="3"/>
      <c r="D2467" s="3"/>
      <c r="E2467" s="5" t="str">
        <f>HYPERLINK("https://dpmzos25m8ivg.cloudfront.net/Documentos/631/05441388560/6310544138856011092023143006.pdf","https://dpmzos25m8ivg.cloudfront.net/Documentos/631/05441388560/6310544138856011092023143006.pdf")</f>
        <v>https://dpmzos25m8ivg.cloudfront.net/Documentos/631/05441388560/6310544138856011092023143006.pdf</v>
      </c>
      <c r="F2467" s="5" t="str">
        <f>HYPERLINK("https://dpmzos25m8ivg.cloudfront.net/Documentos/631/05441388560/6310544138856011092023142937.pdf","https://dpmzos25m8ivg.cloudfront.net/Documentos/631/05441388560/6310544138856011092023142937.pdf")</f>
        <v>https://dpmzos25m8ivg.cloudfront.net/Documentos/631/05441388560/6310544138856011092023142937.pdf</v>
      </c>
      <c r="G2467" s="5" t="str">
        <f>HYPERLINK("https://dpmzos25m8ivg.cloudfront.net/Documentos/631/05441388560/6310544138856011092023143016.pdf","https://dpmzos25m8ivg.cloudfront.net/Documentos/631/05441388560/6310544138856011092023143016.pdf")</f>
        <v>https://dpmzos25m8ivg.cloudfront.net/Documentos/631/05441388560/6310544138856011092023143016.pdf</v>
      </c>
      <c r="H2467" s="5" t="s">
        <v>11046</v>
      </c>
    </row>
    <row r="2468" spans="1:8" x14ac:dyDescent="0.25">
      <c r="A2468" s="2" t="s">
        <v>2484</v>
      </c>
      <c r="B2468" s="3"/>
      <c r="C2468" s="3"/>
      <c r="D2468" s="3"/>
      <c r="E2468" s="5" t="str">
        <f>HYPERLINK("https://dpmzos25m8ivg.cloudfront.net/Documentos/631/05441519762/6310544151976211092023152538.jpg","https://dpmzos25m8ivg.cloudfront.net/Documentos/631/05441519762/6310544151976211092023152538.jpg")</f>
        <v>https://dpmzos25m8ivg.cloudfront.net/Documentos/631/05441519762/6310544151976211092023152538.jpg</v>
      </c>
      <c r="F2468" s="5" t="str">
        <f>HYPERLINK("https://dpmzos25m8ivg.cloudfront.net/Documentos/631/05441519762/6310544151976211092023152609.jpg","https://dpmzos25m8ivg.cloudfront.net/Documentos/631/05441519762/6310544151976211092023152609.jpg")</f>
        <v>https://dpmzos25m8ivg.cloudfront.net/Documentos/631/05441519762/6310544151976211092023152609.jpg</v>
      </c>
      <c r="G2468" s="5" t="str">
        <f>HYPERLINK("https://dpmzos25m8ivg.cloudfront.net/Documentos/631/05441519762/6310544151976211092023152645.jpg","https://dpmzos25m8ivg.cloudfront.net/Documentos/631/05441519762/6310544151976211092023152645.jpg")</f>
        <v>https://dpmzos25m8ivg.cloudfront.net/Documentos/631/05441519762/6310544151976211092023152645.jpg</v>
      </c>
      <c r="H2468" s="5" t="s">
        <v>11047</v>
      </c>
    </row>
    <row r="2469" spans="1:8" x14ac:dyDescent="0.25">
      <c r="A2469" s="2" t="s">
        <v>2485</v>
      </c>
      <c r="B2469" s="3" t="s">
        <v>197</v>
      </c>
      <c r="C2469" s="3"/>
      <c r="D2469" s="3"/>
      <c r="E2469" s="5" t="str">
        <f>HYPERLINK("https://dpmzos25m8ivg.cloudfront.net/Documentos/631/05447252121/6310544725212105092023205743.jpeg","https://dpmzos25m8ivg.cloudfront.net/Documentos/631/05447252121/6310544725212105092023205743.jpeg")</f>
        <v>https://dpmzos25m8ivg.cloudfront.net/Documentos/631/05447252121/6310544725212105092023205743.jpeg</v>
      </c>
      <c r="F2469" s="5" t="str">
        <f>HYPERLINK("https://dpmzos25m8ivg.cloudfront.net/Documentos/631/05447252121/6310544725212105092023205757.jpeg","https://dpmzos25m8ivg.cloudfront.net/Documentos/631/05447252121/6310544725212105092023205757.jpeg")</f>
        <v>https://dpmzos25m8ivg.cloudfront.net/Documentos/631/05447252121/6310544725212105092023205757.jpeg</v>
      </c>
      <c r="G2469" s="5" t="str">
        <f>HYPERLINK("https://dpmzos25m8ivg.cloudfront.net/Documentos/631/05447252121/6310544725212105092023205832.jpeg","https://dpmzos25m8ivg.cloudfront.net/Documentos/631/05447252121/6310544725212105092023205832.jpeg")</f>
        <v>https://dpmzos25m8ivg.cloudfront.net/Documentos/631/05447252121/6310544725212105092023205832.jpeg</v>
      </c>
      <c r="H2469" s="5" t="s">
        <v>11048</v>
      </c>
    </row>
    <row r="2470" spans="1:8" x14ac:dyDescent="0.25">
      <c r="A2470" s="2" t="s">
        <v>2486</v>
      </c>
      <c r="B2470" s="3" t="s">
        <v>2358</v>
      </c>
      <c r="C2470" s="3"/>
      <c r="D2470" s="3"/>
      <c r="E2470" s="5" t="str">
        <f>HYPERLINK("https://dpmzos25m8ivg.cloudfront.net/Documentos/631/05449761180/6310544976118014092023143847.pdf","https://dpmzos25m8ivg.cloudfront.net/Documentos/631/05449761180/6310544976118014092023143847.pdf")</f>
        <v>https://dpmzos25m8ivg.cloudfront.net/Documentos/631/05449761180/6310544976118014092023143847.pdf</v>
      </c>
      <c r="F2470" s="5" t="str">
        <f>HYPERLINK("https://dpmzos25m8ivg.cloudfront.net/Documentos/631/05449761180/6310544976118014092023143856.pdf","https://dpmzos25m8ivg.cloudfront.net/Documentos/631/05449761180/6310544976118014092023143856.pdf")</f>
        <v>https://dpmzos25m8ivg.cloudfront.net/Documentos/631/05449761180/6310544976118014092023143856.pdf</v>
      </c>
      <c r="G2470" s="5" t="str">
        <f>HYPERLINK("https://dpmzos25m8ivg.cloudfront.net/Documentos/631/05449761180/6310544976118014092023143907.pdf","https://dpmzos25m8ivg.cloudfront.net/Documentos/631/05449761180/6310544976118014092023143907.pdf")</f>
        <v>https://dpmzos25m8ivg.cloudfront.net/Documentos/631/05449761180/6310544976118014092023143907.pdf</v>
      </c>
      <c r="H2470" s="5" t="s">
        <v>11049</v>
      </c>
    </row>
    <row r="2471" spans="1:8" x14ac:dyDescent="0.25">
      <c r="A2471" s="2" t="s">
        <v>2487</v>
      </c>
      <c r="B2471" s="3" t="s">
        <v>2358</v>
      </c>
      <c r="C2471" s="3"/>
      <c r="D2471" s="3"/>
      <c r="E2471" s="5" t="str">
        <f>HYPERLINK("https://dpmzos25m8ivg.cloudfront.net/Documentos/631/05452006362/6310545200636211092023102742.pdf","https://dpmzos25m8ivg.cloudfront.net/Documentos/631/05452006362/6310545200636211092023102742.pdf")</f>
        <v>https://dpmzos25m8ivg.cloudfront.net/Documentos/631/05452006362/6310545200636211092023102742.pdf</v>
      </c>
      <c r="F2471" s="5" t="str">
        <f>HYPERLINK("https://dpmzos25m8ivg.cloudfront.net/Documentos/631/05452006362/6310545200636211092023102755.pdf","https://dpmzos25m8ivg.cloudfront.net/Documentos/631/05452006362/6310545200636211092023102755.pdf")</f>
        <v>https://dpmzos25m8ivg.cloudfront.net/Documentos/631/05452006362/6310545200636211092023102755.pdf</v>
      </c>
      <c r="G2471" s="5" t="str">
        <f>HYPERLINK("https://dpmzos25m8ivg.cloudfront.net/Documentos/631/05452006362/6310545200636211092023102826.pdf","https://dpmzos25m8ivg.cloudfront.net/Documentos/631/05452006362/6310545200636211092023102826.pdf")</f>
        <v>https://dpmzos25m8ivg.cloudfront.net/Documentos/631/05452006362/6310545200636211092023102826.pdf</v>
      </c>
      <c r="H2471" s="5" t="s">
        <v>11050</v>
      </c>
    </row>
    <row r="2472" spans="1:8" x14ac:dyDescent="0.25">
      <c r="A2472" s="2" t="s">
        <v>2488</v>
      </c>
      <c r="B2472" s="3" t="s">
        <v>2358</v>
      </c>
      <c r="C2472" s="3"/>
      <c r="D2472" s="3"/>
      <c r="E2472" s="5" t="str">
        <f>HYPERLINK("https://dpmzos25m8ivg.cloudfront.net/Documentos/631/05452407510/6310545240751011092023130838.jpeg","https://dpmzos25m8ivg.cloudfront.net/Documentos/631/05452407510/6310545240751011092023130838.jpeg")</f>
        <v>https://dpmzos25m8ivg.cloudfront.net/Documentos/631/05452407510/6310545240751011092023130838.jpeg</v>
      </c>
      <c r="F2472" s="5" t="str">
        <f>HYPERLINK("https://dpmzos25m8ivg.cloudfront.net/Documentos/631/05452407510/6310545240751011092023130852.jpeg","https://dpmzos25m8ivg.cloudfront.net/Documentos/631/05452407510/6310545240751011092023130852.jpeg")</f>
        <v>https://dpmzos25m8ivg.cloudfront.net/Documentos/631/05452407510/6310545240751011092023130852.jpeg</v>
      </c>
      <c r="G2472" s="5" t="str">
        <f>HYPERLINK("https://dpmzos25m8ivg.cloudfront.net/Documentos/631/05452407510/6310545240751011092023130903.jpeg","https://dpmzos25m8ivg.cloudfront.net/Documentos/631/05452407510/6310545240751011092023130903.jpeg")</f>
        <v>https://dpmzos25m8ivg.cloudfront.net/Documentos/631/05452407510/6310545240751011092023130903.jpeg</v>
      </c>
      <c r="H2472" s="5" t="s">
        <v>11051</v>
      </c>
    </row>
    <row r="2473" spans="1:8" x14ac:dyDescent="0.25">
      <c r="A2473" s="2" t="s">
        <v>2489</v>
      </c>
      <c r="B2473" s="3" t="s">
        <v>2358</v>
      </c>
      <c r="C2473" s="3"/>
      <c r="D2473" s="3"/>
      <c r="E2473" s="5" t="str">
        <f>HYPERLINK("https://dpmzos25m8ivg.cloudfront.net/Documentos/631/05453129301/6310545312930110092023221452.pdf","https://dpmzos25m8ivg.cloudfront.net/Documentos/631/05453129301/6310545312930110092023221452.pdf")</f>
        <v>https://dpmzos25m8ivg.cloudfront.net/Documentos/631/05453129301/6310545312930110092023221452.pdf</v>
      </c>
      <c r="F2473" s="5" t="str">
        <f>HYPERLINK("https://dpmzos25m8ivg.cloudfront.net/Documentos/631/05453129301/6310545312930110092023221543.pdf","https://dpmzos25m8ivg.cloudfront.net/Documentos/631/05453129301/6310545312930110092023221543.pdf")</f>
        <v>https://dpmzos25m8ivg.cloudfront.net/Documentos/631/05453129301/6310545312930110092023221543.pdf</v>
      </c>
      <c r="G2473" s="5" t="str">
        <f>HYPERLINK("https://dpmzos25m8ivg.cloudfront.net/Documentos/631/05453129301/6310545312930110092023221610.pdf","https://dpmzos25m8ivg.cloudfront.net/Documentos/631/05453129301/6310545312930110092023221610.pdf")</f>
        <v>https://dpmzos25m8ivg.cloudfront.net/Documentos/631/05453129301/6310545312930110092023221610.pdf</v>
      </c>
      <c r="H2473" s="5" t="s">
        <v>11052</v>
      </c>
    </row>
    <row r="2474" spans="1:8" x14ac:dyDescent="0.25">
      <c r="A2474" s="2" t="s">
        <v>2490</v>
      </c>
      <c r="B2474" s="3" t="s">
        <v>23</v>
      </c>
      <c r="C2474" s="3"/>
      <c r="D2474" s="3"/>
      <c r="E2474" s="5" t="str">
        <f>HYPERLINK("https://dpmzos25m8ivg.cloudfront.net/Documentos/631/05454625841/6310545462584108092023205501.jpg","https://dpmzos25m8ivg.cloudfront.net/Documentos/631/05454625841/6310545462584108092023205501.jpg")</f>
        <v>https://dpmzos25m8ivg.cloudfront.net/Documentos/631/05454625841/6310545462584108092023205501.jpg</v>
      </c>
      <c r="F2474" s="5" t="str">
        <f>HYPERLINK("https://dpmzos25m8ivg.cloudfront.net/Documentos/631/05454625841/6310545462584108092023205515.jpg","https://dpmzos25m8ivg.cloudfront.net/Documentos/631/05454625841/6310545462584108092023205515.jpg")</f>
        <v>https://dpmzos25m8ivg.cloudfront.net/Documentos/631/05454625841/6310545462584108092023205515.jpg</v>
      </c>
      <c r="G2474" s="5" t="str">
        <f>HYPERLINK("https://dpmzos25m8ivg.cloudfront.net/Documentos/631/05454625841/6310545462584108092023205603.jpg","https://dpmzos25m8ivg.cloudfront.net/Documentos/631/05454625841/6310545462584108092023205603.jpg")</f>
        <v>https://dpmzos25m8ivg.cloudfront.net/Documentos/631/05454625841/6310545462584108092023205603.jpg</v>
      </c>
      <c r="H2474" s="5" t="s">
        <v>11053</v>
      </c>
    </row>
    <row r="2475" spans="1:8" x14ac:dyDescent="0.25">
      <c r="A2475" s="2" t="s">
        <v>2491</v>
      </c>
      <c r="B2475" s="3"/>
      <c r="C2475" s="3"/>
      <c r="D2475" s="3"/>
      <c r="E2475" s="5" t="str">
        <f>HYPERLINK("https://dpmzos25m8ivg.cloudfront.net/Documentos/631/05459411130/6310545941113014092023140744.pdf","https://dpmzos25m8ivg.cloudfront.net/Documentos/631/05459411130/6310545941113014092023140744.pdf")</f>
        <v>https://dpmzos25m8ivg.cloudfront.net/Documentos/631/05459411130/6310545941113014092023140744.pdf</v>
      </c>
      <c r="F2475" s="5" t="str">
        <f>HYPERLINK("https://dpmzos25m8ivg.cloudfront.net/Documentos/631/05459411130/6310545941113014092023140754.pdf","https://dpmzos25m8ivg.cloudfront.net/Documentos/631/05459411130/6310545941113014092023140754.pdf")</f>
        <v>https://dpmzos25m8ivg.cloudfront.net/Documentos/631/05459411130/6310545941113014092023140754.pdf</v>
      </c>
      <c r="G2475" s="5" t="str">
        <f>HYPERLINK("https://dpmzos25m8ivg.cloudfront.net/Documentos/631/05459411130/6310545941113014092023140805.pdf","https://dpmzos25m8ivg.cloudfront.net/Documentos/631/05459411130/6310545941113014092023140805.pdf")</f>
        <v>https://dpmzos25m8ivg.cloudfront.net/Documentos/631/05459411130/6310545941113014092023140805.pdf</v>
      </c>
      <c r="H2475" s="5" t="s">
        <v>11054</v>
      </c>
    </row>
    <row r="2476" spans="1:8" x14ac:dyDescent="0.25">
      <c r="A2476" s="2" t="s">
        <v>2492</v>
      </c>
      <c r="B2476" s="3"/>
      <c r="C2476" s="3"/>
      <c r="D2476" s="3"/>
      <c r="E2476" s="5" t="str">
        <f>HYPERLINK("https://dpmzos25m8ivg.cloudfront.net/Documentos/631/05459576210/6310545957621010092023112245.pdf","https://dpmzos25m8ivg.cloudfront.net/Documentos/631/05459576210/6310545957621010092023112245.pdf")</f>
        <v>https://dpmzos25m8ivg.cloudfront.net/Documentos/631/05459576210/6310545957621010092023112245.pdf</v>
      </c>
      <c r="F2476" s="5" t="str">
        <f>HYPERLINK("https://dpmzos25m8ivg.cloudfront.net/Documentos/631/05459576210/6310545957621010092023112358.pdf","https://dpmzos25m8ivg.cloudfront.net/Documentos/631/05459576210/6310545957621010092023112358.pdf")</f>
        <v>https://dpmzos25m8ivg.cloudfront.net/Documentos/631/05459576210/6310545957621010092023112358.pdf</v>
      </c>
      <c r="G2476" s="5" t="str">
        <f>HYPERLINK("https://dpmzos25m8ivg.cloudfront.net/Documentos/631/05459576210/6310545957621010092023112405.pdf","https://dpmzos25m8ivg.cloudfront.net/Documentos/631/05459576210/6310545957621010092023112405.pdf")</f>
        <v>https://dpmzos25m8ivg.cloudfront.net/Documentos/631/05459576210/6310545957621010092023112405.pdf</v>
      </c>
      <c r="H2476" s="5" t="s">
        <v>11055</v>
      </c>
    </row>
    <row r="2477" spans="1:8" x14ac:dyDescent="0.25">
      <c r="A2477" s="2" t="s">
        <v>2493</v>
      </c>
      <c r="B2477" s="3"/>
      <c r="C2477" s="3"/>
      <c r="D2477" s="3"/>
      <c r="E2477" s="5" t="str">
        <f>HYPERLINK("https://dpmzos25m8ivg.cloudfront.net/Documentos/631/05460556562/6310546055656205092023202733.jpg","https://dpmzos25m8ivg.cloudfront.net/Documentos/631/05460556562/6310546055656205092023202733.jpg")</f>
        <v>https://dpmzos25m8ivg.cloudfront.net/Documentos/631/05460556562/6310546055656205092023202733.jpg</v>
      </c>
      <c r="F2477" s="5" t="str">
        <f>HYPERLINK("https://dpmzos25m8ivg.cloudfront.net/Documentos/631/05460556562/6310546055656205092023202744.jpg","https://dpmzos25m8ivg.cloudfront.net/Documentos/631/05460556562/6310546055656205092023202744.jpg")</f>
        <v>https://dpmzos25m8ivg.cloudfront.net/Documentos/631/05460556562/6310546055656205092023202744.jpg</v>
      </c>
      <c r="G2477" s="5" t="str">
        <f>HYPERLINK("https://dpmzos25m8ivg.cloudfront.net/Documentos/631/05460556562/6310546055656205092023202806.jpg","https://dpmzos25m8ivg.cloudfront.net/Documentos/631/05460556562/6310546055656205092023202806.jpg")</f>
        <v>https://dpmzos25m8ivg.cloudfront.net/Documentos/631/05460556562/6310546055656205092023202806.jpg</v>
      </c>
      <c r="H2477" s="5" t="s">
        <v>11056</v>
      </c>
    </row>
    <row r="2478" spans="1:8" x14ac:dyDescent="0.25">
      <c r="A2478" s="2" t="s">
        <v>2494</v>
      </c>
      <c r="B2478" s="3"/>
      <c r="C2478" s="3"/>
      <c r="D2478" s="3"/>
      <c r="E2478" s="5" t="str">
        <f>HYPERLINK("https://dpmzos25m8ivg.cloudfront.net/Documentos/631/05466851612/6310546685161205092023132810.pdf","https://dpmzos25m8ivg.cloudfront.net/Documentos/631/05466851612/6310546685161205092023132810.pdf")</f>
        <v>https://dpmzos25m8ivg.cloudfront.net/Documentos/631/05466851612/6310546685161205092023132810.pdf</v>
      </c>
      <c r="F2478" s="5" t="str">
        <f>HYPERLINK("https://dpmzos25m8ivg.cloudfront.net/Documentos/631/05466851612/6310546685161205092023132833.pdf","https://dpmzos25m8ivg.cloudfront.net/Documentos/631/05466851612/6310546685161205092023132833.pdf")</f>
        <v>https://dpmzos25m8ivg.cloudfront.net/Documentos/631/05466851612/6310546685161205092023132833.pdf</v>
      </c>
      <c r="G2478" s="5" t="str">
        <f>HYPERLINK("https://dpmzos25m8ivg.cloudfront.net/Documentos/631/05466851612/6310546685161205092023132853.pdf","https://dpmzos25m8ivg.cloudfront.net/Documentos/631/05466851612/6310546685161205092023132853.pdf")</f>
        <v>https://dpmzos25m8ivg.cloudfront.net/Documentos/631/05466851612/6310546685161205092023132853.pdf</v>
      </c>
      <c r="H2478" s="5" t="s">
        <v>11057</v>
      </c>
    </row>
    <row r="2479" spans="1:8" x14ac:dyDescent="0.25">
      <c r="A2479" s="2" t="s">
        <v>2495</v>
      </c>
      <c r="B2479" s="3" t="s">
        <v>2358</v>
      </c>
      <c r="C2479" s="3"/>
      <c r="D2479" s="3"/>
      <c r="E2479" s="5" t="str">
        <f>HYPERLINK("https://dpmzos25m8ivg.cloudfront.net/Documentos/631/05466986208/6310546698620805092023120021.pdf","https://dpmzos25m8ivg.cloudfront.net/Documentos/631/05466986208/6310546698620805092023120021.pdf")</f>
        <v>https://dpmzos25m8ivg.cloudfront.net/Documentos/631/05466986208/6310546698620805092023120021.pdf</v>
      </c>
      <c r="F2479" s="5" t="str">
        <f>HYPERLINK("https://dpmzos25m8ivg.cloudfront.net/Documentos/631/05466986208/6310546698620805092023120033.pdf","https://dpmzos25m8ivg.cloudfront.net/Documentos/631/05466986208/6310546698620805092023120033.pdf")</f>
        <v>https://dpmzos25m8ivg.cloudfront.net/Documentos/631/05466986208/6310546698620805092023120033.pdf</v>
      </c>
      <c r="G2479" s="5" t="str">
        <f>HYPERLINK("https://dpmzos25m8ivg.cloudfront.net/Documentos/631/05466986208/6310546698620805092023120039.pdf","https://dpmzos25m8ivg.cloudfront.net/Documentos/631/05466986208/6310546698620805092023120039.pdf")</f>
        <v>https://dpmzos25m8ivg.cloudfront.net/Documentos/631/05466986208/6310546698620805092023120039.pdf</v>
      </c>
      <c r="H2479" s="5" t="s">
        <v>11058</v>
      </c>
    </row>
    <row r="2480" spans="1:8" x14ac:dyDescent="0.25">
      <c r="A2480" s="2" t="s">
        <v>2496</v>
      </c>
      <c r="B2480" s="3"/>
      <c r="C2480" s="3"/>
      <c r="D2480" s="3"/>
      <c r="E2480" s="5" t="str">
        <f>HYPERLINK("https://dpmzos25m8ivg.cloudfront.net/Documentos/631/05468058170/6310546805817010092023235133.jpg","https://dpmzos25m8ivg.cloudfront.net/Documentos/631/05468058170/6310546805817010092023235133.jpg")</f>
        <v>https://dpmzos25m8ivg.cloudfront.net/Documentos/631/05468058170/6310546805817010092023235133.jpg</v>
      </c>
      <c r="F2480" s="5" t="str">
        <f>HYPERLINK("https://dpmzos25m8ivg.cloudfront.net/Documentos/631/05468058170/6310546805817010092023235207.jpg","https://dpmzos25m8ivg.cloudfront.net/Documentos/631/05468058170/6310546805817010092023235207.jpg")</f>
        <v>https://dpmzos25m8ivg.cloudfront.net/Documentos/631/05468058170/6310546805817010092023235207.jpg</v>
      </c>
      <c r="G2480" s="5" t="str">
        <f>HYPERLINK("https://dpmzos25m8ivg.cloudfront.net/Documentos/631/05468058170/6310546805817010092023235312.jpg","https://dpmzos25m8ivg.cloudfront.net/Documentos/631/05468058170/6310546805817010092023235312.jpg")</f>
        <v>https://dpmzos25m8ivg.cloudfront.net/Documentos/631/05468058170/6310546805817010092023235312.jpg</v>
      </c>
      <c r="H2480" s="5" t="s">
        <v>11059</v>
      </c>
    </row>
    <row r="2481" spans="1:8" x14ac:dyDescent="0.25">
      <c r="A2481" s="2" t="s">
        <v>2497</v>
      </c>
      <c r="B2481" s="3"/>
      <c r="C2481" s="3"/>
      <c r="D2481" s="3"/>
      <c r="E2481" s="5" t="str">
        <f>HYPERLINK("https://dpmzos25m8ivg.cloudfront.net/Documentos/631/05469803171/6310546980317113092023173339.pdf","https://dpmzos25m8ivg.cloudfront.net/Documentos/631/05469803171/6310546980317113092023173339.pdf")</f>
        <v>https://dpmzos25m8ivg.cloudfront.net/Documentos/631/05469803171/6310546980317113092023173339.pdf</v>
      </c>
      <c r="F2481" s="5" t="str">
        <f>HYPERLINK("https://dpmzos25m8ivg.cloudfront.net/Documentos/631/05469803171/6310546980317113092023173345.pdf","https://dpmzos25m8ivg.cloudfront.net/Documentos/631/05469803171/6310546980317113092023173345.pdf")</f>
        <v>https://dpmzos25m8ivg.cloudfront.net/Documentos/631/05469803171/6310546980317113092023173345.pdf</v>
      </c>
      <c r="G2481" s="5" t="str">
        <f>HYPERLINK("https://dpmzos25m8ivg.cloudfront.net/Documentos/631/05469803171/6310546980317113092023173401.pdf","https://dpmzos25m8ivg.cloudfront.net/Documentos/631/05469803171/6310546980317113092023173401.pdf")</f>
        <v>https://dpmzos25m8ivg.cloudfront.net/Documentos/631/05469803171/6310546980317113092023173401.pdf</v>
      </c>
      <c r="H2481" s="5" t="s">
        <v>11060</v>
      </c>
    </row>
    <row r="2482" spans="1:8" x14ac:dyDescent="0.25">
      <c r="A2482" s="2" t="s">
        <v>2498</v>
      </c>
      <c r="B2482" s="3"/>
      <c r="C2482" s="3"/>
      <c r="D2482" s="3"/>
      <c r="E2482" s="5" t="str">
        <f>HYPERLINK("https://dpmzos25m8ivg.cloudfront.net/Documentos/631/05470647137/6310547064713711092023100249.pdf","https://dpmzos25m8ivg.cloudfront.net/Documentos/631/05470647137/6310547064713711092023100249.pdf")</f>
        <v>https://dpmzos25m8ivg.cloudfront.net/Documentos/631/05470647137/6310547064713711092023100249.pdf</v>
      </c>
      <c r="F2482" s="5" t="str">
        <f>HYPERLINK("https://dpmzos25m8ivg.cloudfront.net/Documentos/631/05470647137/6310547064713711092023100258.pdf","https://dpmzos25m8ivg.cloudfront.net/Documentos/631/05470647137/6310547064713711092023100258.pdf")</f>
        <v>https://dpmzos25m8ivg.cloudfront.net/Documentos/631/05470647137/6310547064713711092023100258.pdf</v>
      </c>
      <c r="G2482" s="5" t="str">
        <f>HYPERLINK("https://dpmzos25m8ivg.cloudfront.net/Documentos/631/05470647137/6310547064713711092023100312.pdf","https://dpmzos25m8ivg.cloudfront.net/Documentos/631/05470647137/6310547064713711092023100312.pdf")</f>
        <v>https://dpmzos25m8ivg.cloudfront.net/Documentos/631/05470647137/6310547064713711092023100312.pdf</v>
      </c>
      <c r="H2482" s="5" t="s">
        <v>11061</v>
      </c>
    </row>
    <row r="2483" spans="1:8" x14ac:dyDescent="0.25">
      <c r="A2483" s="2" t="s">
        <v>2499</v>
      </c>
      <c r="B2483" s="3" t="s">
        <v>2358</v>
      </c>
      <c r="C2483" s="3"/>
      <c r="D2483" s="3"/>
      <c r="E2483" s="5" t="str">
        <f>HYPERLINK("https://dpmzos25m8ivg.cloudfront.net/Documentos/631/05471146131/6310547114613111092023154157.pdf","https://dpmzos25m8ivg.cloudfront.net/Documentos/631/05471146131/6310547114613111092023154157.pdf")</f>
        <v>https://dpmzos25m8ivg.cloudfront.net/Documentos/631/05471146131/6310547114613111092023154157.pdf</v>
      </c>
      <c r="F2483" s="5" t="str">
        <f>HYPERLINK("https://dpmzos25m8ivg.cloudfront.net/Documentos/631/05471146131/6310547114613111092023154211.pdf","https://dpmzos25m8ivg.cloudfront.net/Documentos/631/05471146131/6310547114613111092023154211.pdf")</f>
        <v>https://dpmzos25m8ivg.cloudfront.net/Documentos/631/05471146131/6310547114613111092023154211.pdf</v>
      </c>
      <c r="G2483" s="5" t="str">
        <f>HYPERLINK("https://dpmzos25m8ivg.cloudfront.net/Documentos/631/05471146131/6310547114613111092023154222.pdf","https://dpmzos25m8ivg.cloudfront.net/Documentos/631/05471146131/6310547114613111092023154222.pdf")</f>
        <v>https://dpmzos25m8ivg.cloudfront.net/Documentos/631/05471146131/6310547114613111092023154222.pdf</v>
      </c>
      <c r="H2483" s="5" t="s">
        <v>11062</v>
      </c>
    </row>
    <row r="2484" spans="1:8" x14ac:dyDescent="0.25">
      <c r="A2484" s="2" t="s">
        <v>2500</v>
      </c>
      <c r="B2484" s="3" t="s">
        <v>2358</v>
      </c>
      <c r="C2484" s="3"/>
      <c r="D2484" s="3"/>
      <c r="E2484" s="5" t="str">
        <f>HYPERLINK("https://dpmzos25m8ivg.cloudfront.net/Documentos/631/05473329632/6310547332963211092023155504.pdf","https://dpmzos25m8ivg.cloudfront.net/Documentos/631/05473329632/6310547332963211092023155504.pdf")</f>
        <v>https://dpmzos25m8ivg.cloudfront.net/Documentos/631/05473329632/6310547332963211092023155504.pdf</v>
      </c>
      <c r="F2484" s="5" t="str">
        <f>HYPERLINK("https://dpmzos25m8ivg.cloudfront.net/Documentos/631/05473329632/6310547332963211092023155514.pdf","https://dpmzos25m8ivg.cloudfront.net/Documentos/631/05473329632/6310547332963211092023155514.pdf")</f>
        <v>https://dpmzos25m8ivg.cloudfront.net/Documentos/631/05473329632/6310547332963211092023155514.pdf</v>
      </c>
      <c r="G2484" s="5" t="str">
        <f>HYPERLINK("https://dpmzos25m8ivg.cloudfront.net/Documentos/631/05473329632/6310547332963211092023155523.pdf","https://dpmzos25m8ivg.cloudfront.net/Documentos/631/05473329632/6310547332963211092023155523.pdf")</f>
        <v>https://dpmzos25m8ivg.cloudfront.net/Documentos/631/05473329632/6310547332963211092023155523.pdf</v>
      </c>
      <c r="H2484" s="5" t="s">
        <v>11063</v>
      </c>
    </row>
    <row r="2485" spans="1:8" x14ac:dyDescent="0.25">
      <c r="A2485" s="2" t="s">
        <v>2501</v>
      </c>
      <c r="B2485" s="3"/>
      <c r="C2485" s="3"/>
      <c r="D2485" s="3"/>
      <c r="E2485" s="5" t="str">
        <f>HYPERLINK("https://dpmzos25m8ivg.cloudfront.net/Documentos/631/05473763162/6310547376316211092023134309.jpg","https://dpmzos25m8ivg.cloudfront.net/Documentos/631/05473763162/6310547376316211092023134309.jpg")</f>
        <v>https://dpmzos25m8ivg.cloudfront.net/Documentos/631/05473763162/6310547376316211092023134309.jpg</v>
      </c>
      <c r="F2485" s="5" t="str">
        <f>HYPERLINK("https://dpmzos25m8ivg.cloudfront.net/Documentos/631/05473763162/6310547376316211092023134327.jpg","https://dpmzos25m8ivg.cloudfront.net/Documentos/631/05473763162/6310547376316211092023134327.jpg")</f>
        <v>https://dpmzos25m8ivg.cloudfront.net/Documentos/631/05473763162/6310547376316211092023134327.jpg</v>
      </c>
      <c r="G2485" s="5" t="str">
        <f>HYPERLINK("https://dpmzos25m8ivg.cloudfront.net/Documentos/631/05473763162/6310547376316211092023134348.jpg","https://dpmzos25m8ivg.cloudfront.net/Documentos/631/05473763162/6310547376316211092023134348.jpg")</f>
        <v>https://dpmzos25m8ivg.cloudfront.net/Documentos/631/05473763162/6310547376316211092023134348.jpg</v>
      </c>
      <c r="H2485" s="5" t="s">
        <v>11064</v>
      </c>
    </row>
    <row r="2486" spans="1:8" x14ac:dyDescent="0.25">
      <c r="A2486" s="2" t="s">
        <v>2502</v>
      </c>
      <c r="B2486" s="3" t="s">
        <v>2358</v>
      </c>
      <c r="C2486" s="3"/>
      <c r="D2486" s="3"/>
      <c r="E2486" s="5" t="str">
        <f>HYPERLINK("https://dpmzos25m8ivg.cloudfront.net/Documentos/631/05474683936/6310547468393610092023005627.jpg","https://dpmzos25m8ivg.cloudfront.net/Documentos/631/05474683936/6310547468393610092023005627.jpg")</f>
        <v>https://dpmzos25m8ivg.cloudfront.net/Documentos/631/05474683936/6310547468393610092023005627.jpg</v>
      </c>
      <c r="F2486" s="5" t="str">
        <f>HYPERLINK("https://dpmzos25m8ivg.cloudfront.net/Documentos/631/05474683936/6310547468393610092023005845.jpg","https://dpmzos25m8ivg.cloudfront.net/Documentos/631/05474683936/6310547468393610092023005845.jpg")</f>
        <v>https://dpmzos25m8ivg.cloudfront.net/Documentos/631/05474683936/6310547468393610092023005845.jpg</v>
      </c>
      <c r="G2486" s="5" t="str">
        <f>HYPERLINK("https://dpmzos25m8ivg.cloudfront.net/Documentos/631/05474683936/6310547468393610092023005859.jpg","https://dpmzos25m8ivg.cloudfront.net/Documentos/631/05474683936/6310547468393610092023005859.jpg")</f>
        <v>https://dpmzos25m8ivg.cloudfront.net/Documentos/631/05474683936/6310547468393610092023005859.jpg</v>
      </c>
      <c r="H2486" s="5" t="s">
        <v>11065</v>
      </c>
    </row>
    <row r="2487" spans="1:8" x14ac:dyDescent="0.25">
      <c r="A2487" s="2" t="s">
        <v>2503</v>
      </c>
      <c r="B2487" s="3"/>
      <c r="C2487" s="3"/>
      <c r="D2487" s="3"/>
      <c r="E2487" s="5" t="str">
        <f>HYPERLINK("https://dpmzos25m8ivg.cloudfront.net/Documentos/631/05476482601/6310547648260106092023091518.pdf","https://dpmzos25m8ivg.cloudfront.net/Documentos/631/05476482601/6310547648260106092023091518.pdf")</f>
        <v>https://dpmzos25m8ivg.cloudfront.net/Documentos/631/05476482601/6310547648260106092023091518.pdf</v>
      </c>
      <c r="F2487" s="5" t="str">
        <f>HYPERLINK("https://dpmzos25m8ivg.cloudfront.net/Documentos/631/05476482601/6310547648260106092023091601.pdf","https://dpmzos25m8ivg.cloudfront.net/Documentos/631/05476482601/6310547648260106092023091601.pdf")</f>
        <v>https://dpmzos25m8ivg.cloudfront.net/Documentos/631/05476482601/6310547648260106092023091601.pdf</v>
      </c>
      <c r="G2487" s="5" t="str">
        <f>HYPERLINK("https://dpmzos25m8ivg.cloudfront.net/Documentos/631/05476482601/6310547648260106092023091611.pdf","https://dpmzos25m8ivg.cloudfront.net/Documentos/631/05476482601/6310547648260106092023091611.pdf")</f>
        <v>https://dpmzos25m8ivg.cloudfront.net/Documentos/631/05476482601/6310547648260106092023091611.pdf</v>
      </c>
      <c r="H2487" s="5" t="s">
        <v>11066</v>
      </c>
    </row>
    <row r="2488" spans="1:8" x14ac:dyDescent="0.25">
      <c r="A2488" s="2" t="s">
        <v>2504</v>
      </c>
      <c r="B2488" s="3"/>
      <c r="C2488" s="3"/>
      <c r="D2488" s="3"/>
      <c r="E2488" s="5" t="str">
        <f>HYPERLINK("https://dpmzos25m8ivg.cloudfront.net/Documentos/631/05477347511/6310547734751105092023101615.pdf","https://dpmzos25m8ivg.cloudfront.net/Documentos/631/05477347511/6310547734751105092023101615.pdf")</f>
        <v>https://dpmzos25m8ivg.cloudfront.net/Documentos/631/05477347511/6310547734751105092023101615.pdf</v>
      </c>
      <c r="F2488" s="5" t="str">
        <f>HYPERLINK("https://dpmzos25m8ivg.cloudfront.net/Documentos/631/05477347511/6310547734751105092023101628.pdf","https://dpmzos25m8ivg.cloudfront.net/Documentos/631/05477347511/6310547734751105092023101628.pdf")</f>
        <v>https://dpmzos25m8ivg.cloudfront.net/Documentos/631/05477347511/6310547734751105092023101628.pdf</v>
      </c>
      <c r="G2488" s="5" t="str">
        <f>HYPERLINK("https://dpmzos25m8ivg.cloudfront.net/Documentos/631/05477347511/6310547734751105092023101645.pdf","https://dpmzos25m8ivg.cloudfront.net/Documentos/631/05477347511/6310547734751105092023101645.pdf")</f>
        <v>https://dpmzos25m8ivg.cloudfront.net/Documentos/631/05477347511/6310547734751105092023101645.pdf</v>
      </c>
      <c r="H2488" s="5" t="s">
        <v>11067</v>
      </c>
    </row>
    <row r="2489" spans="1:8" x14ac:dyDescent="0.25">
      <c r="A2489" s="2" t="s">
        <v>2505</v>
      </c>
      <c r="B2489" s="3"/>
      <c r="C2489" s="3"/>
      <c r="D2489" s="3"/>
      <c r="E2489" s="5" t="str">
        <f>HYPERLINK("https://dpmzos25m8ivg.cloudfront.net/Documentos/631/05478184675/6310547818467510092023215052.pdf","https://dpmzos25m8ivg.cloudfront.net/Documentos/631/05478184675/6310547818467510092023215052.pdf")</f>
        <v>https://dpmzos25m8ivg.cloudfront.net/Documentos/631/05478184675/6310547818467510092023215052.pdf</v>
      </c>
      <c r="F2489" s="5" t="str">
        <f>HYPERLINK("https://dpmzos25m8ivg.cloudfront.net/Documentos/631/05478184675/6310547818467510092023215126.pdf","https://dpmzos25m8ivg.cloudfront.net/Documentos/631/05478184675/6310547818467510092023215126.pdf")</f>
        <v>https://dpmzos25m8ivg.cloudfront.net/Documentos/631/05478184675/6310547818467510092023215126.pdf</v>
      </c>
      <c r="G2489" s="5" t="str">
        <f>HYPERLINK("https://dpmzos25m8ivg.cloudfront.net/Documentos/631/05478184675/6310547818467510092023215146.pdf","https://dpmzos25m8ivg.cloudfront.net/Documentos/631/05478184675/6310547818467510092023215146.pdf")</f>
        <v>https://dpmzos25m8ivg.cloudfront.net/Documentos/631/05478184675/6310547818467510092023215146.pdf</v>
      </c>
      <c r="H2489" s="5" t="s">
        <v>11068</v>
      </c>
    </row>
    <row r="2490" spans="1:8" x14ac:dyDescent="0.25">
      <c r="A2490" s="2" t="s">
        <v>2506</v>
      </c>
      <c r="B2490" s="3"/>
      <c r="C2490" s="3"/>
      <c r="D2490" s="3"/>
      <c r="E2490" s="5" t="str">
        <f>HYPERLINK("https://dpmzos25m8ivg.cloudfront.net/Documentos/631/05488475338/6310548847533811092023161951.pdf","https://dpmzos25m8ivg.cloudfront.net/Documentos/631/05488475338/6310548847533811092023161951.pdf")</f>
        <v>https://dpmzos25m8ivg.cloudfront.net/Documentos/631/05488475338/6310548847533811092023161951.pdf</v>
      </c>
      <c r="F2490" s="5" t="str">
        <f>HYPERLINK("https://dpmzos25m8ivg.cloudfront.net/Documentos/631/05488475338/6310548847533811092023161959.pdf","https://dpmzos25m8ivg.cloudfront.net/Documentos/631/05488475338/6310548847533811092023161959.pdf")</f>
        <v>https://dpmzos25m8ivg.cloudfront.net/Documentos/631/05488475338/6310548847533811092023161959.pdf</v>
      </c>
      <c r="G2490" s="5" t="str">
        <f>HYPERLINK("https://dpmzos25m8ivg.cloudfront.net/Documentos/631/05488475338/6310548847533811092023162009.pdf","https://dpmzos25m8ivg.cloudfront.net/Documentos/631/05488475338/6310548847533811092023162009.pdf")</f>
        <v>https://dpmzos25m8ivg.cloudfront.net/Documentos/631/05488475338/6310548847533811092023162009.pdf</v>
      </c>
      <c r="H2490" s="5" t="s">
        <v>11069</v>
      </c>
    </row>
    <row r="2491" spans="1:8" x14ac:dyDescent="0.25">
      <c r="A2491" s="2" t="s">
        <v>2507</v>
      </c>
      <c r="B2491" s="3"/>
      <c r="C2491" s="3"/>
      <c r="D2491" s="3"/>
      <c r="E2491" s="5" t="str">
        <f>HYPERLINK("https://dpmzos25m8ivg.cloudfront.net/Documentos/631/05489727101/6310548972710106092023082450.pdf","https://dpmzos25m8ivg.cloudfront.net/Documentos/631/05489727101/6310548972710106092023082450.pdf")</f>
        <v>https://dpmzos25m8ivg.cloudfront.net/Documentos/631/05489727101/6310548972710106092023082450.pdf</v>
      </c>
      <c r="F2491" s="5" t="str">
        <f>HYPERLINK("https://dpmzos25m8ivg.cloudfront.net/Documentos/631/05489727101/6310548972710106092023082457.pdf","https://dpmzos25m8ivg.cloudfront.net/Documentos/631/05489727101/6310548972710106092023082457.pdf")</f>
        <v>https://dpmzos25m8ivg.cloudfront.net/Documentos/631/05489727101/6310548972710106092023082457.pdf</v>
      </c>
      <c r="G2491" s="5" t="str">
        <f>HYPERLINK("https://dpmzos25m8ivg.cloudfront.net/Documentos/631/05489727101/6310548972710106092023082505.pdf","https://dpmzos25m8ivg.cloudfront.net/Documentos/631/05489727101/6310548972710106092023082505.pdf")</f>
        <v>https://dpmzos25m8ivg.cloudfront.net/Documentos/631/05489727101/6310548972710106092023082505.pdf</v>
      </c>
      <c r="H2491" s="5" t="s">
        <v>11070</v>
      </c>
    </row>
    <row r="2492" spans="1:8" x14ac:dyDescent="0.25">
      <c r="A2492" s="2" t="s">
        <v>2508</v>
      </c>
      <c r="B2492" s="3"/>
      <c r="C2492" s="3"/>
      <c r="D2492" s="3"/>
      <c r="E2492" s="5" t="str">
        <f>HYPERLINK("https://dpmzos25m8ivg.cloudfront.net/Documentos/631/05490296569/6310549029656906092023144517.jpeg","https://dpmzos25m8ivg.cloudfront.net/Documentos/631/05490296569/6310549029656906092023144517.jpeg")</f>
        <v>https://dpmzos25m8ivg.cloudfront.net/Documentos/631/05490296569/6310549029656906092023144517.jpeg</v>
      </c>
      <c r="F2492" s="5" t="str">
        <f>HYPERLINK("https://dpmzos25m8ivg.cloudfront.net/Documentos/631/05490296569/6310549029656906092023144527.jpeg","https://dpmzos25m8ivg.cloudfront.net/Documentos/631/05490296569/6310549029656906092023144527.jpeg")</f>
        <v>https://dpmzos25m8ivg.cloudfront.net/Documentos/631/05490296569/6310549029656906092023144527.jpeg</v>
      </c>
      <c r="G2492" s="5" t="str">
        <f>HYPERLINK("https://dpmzos25m8ivg.cloudfront.net/Documentos/631/05490296569/6310549029656906092023144540.jpeg","https://dpmzos25m8ivg.cloudfront.net/Documentos/631/05490296569/6310549029656906092023144540.jpeg")</f>
        <v>https://dpmzos25m8ivg.cloudfront.net/Documentos/631/05490296569/6310549029656906092023144540.jpeg</v>
      </c>
      <c r="H2492" s="5" t="s">
        <v>11071</v>
      </c>
    </row>
    <row r="2493" spans="1:8" x14ac:dyDescent="0.25">
      <c r="A2493" s="2" t="s">
        <v>2509</v>
      </c>
      <c r="B2493" s="3"/>
      <c r="C2493" s="3"/>
      <c r="D2493" s="3"/>
      <c r="E2493" s="5" t="str">
        <f>HYPERLINK("https://dpmzos25m8ivg.cloudfront.net/Documentos/631/05491131180/6310549113118005092023182647.pdf","https://dpmzos25m8ivg.cloudfront.net/Documentos/631/05491131180/6310549113118005092023182647.pdf")</f>
        <v>https://dpmzos25m8ivg.cloudfront.net/Documentos/631/05491131180/6310549113118005092023182647.pdf</v>
      </c>
      <c r="F2493" s="5" t="str">
        <f>HYPERLINK("https://dpmzos25m8ivg.cloudfront.net/Documentos/631/05491131180/6310549113118005092023182713.pdf","https://dpmzos25m8ivg.cloudfront.net/Documentos/631/05491131180/6310549113118005092023182713.pdf")</f>
        <v>https://dpmzos25m8ivg.cloudfront.net/Documentos/631/05491131180/6310549113118005092023182713.pdf</v>
      </c>
      <c r="G2493" s="5" t="str">
        <f>HYPERLINK("https://dpmzos25m8ivg.cloudfront.net/Documentos/631/05491131180/6310549113118005092023182726.pdf","https://dpmzos25m8ivg.cloudfront.net/Documentos/631/05491131180/6310549113118005092023182726.pdf")</f>
        <v>https://dpmzos25m8ivg.cloudfront.net/Documentos/631/05491131180/6310549113118005092023182726.pdf</v>
      </c>
      <c r="H2493" s="5" t="s">
        <v>11072</v>
      </c>
    </row>
    <row r="2494" spans="1:8" x14ac:dyDescent="0.25">
      <c r="A2494" s="2" t="s">
        <v>2510</v>
      </c>
      <c r="B2494" s="3" t="s">
        <v>23</v>
      </c>
      <c r="C2494" s="3"/>
      <c r="D2494" s="3"/>
      <c r="E2494" s="5" t="str">
        <f>HYPERLINK("https://dpmzos25m8ivg.cloudfront.net/Documentos/631/05494793419/6310549479341911092023111008.pdf","https://dpmzos25m8ivg.cloudfront.net/Documentos/631/05494793419/6310549479341911092023111008.pdf")</f>
        <v>https://dpmzos25m8ivg.cloudfront.net/Documentos/631/05494793419/6310549479341911092023111008.pdf</v>
      </c>
      <c r="F2494" s="5" t="str">
        <f>HYPERLINK("https://dpmzos25m8ivg.cloudfront.net/Documentos/631/05494793419/6310549479341911092023111039.pdf","https://dpmzos25m8ivg.cloudfront.net/Documentos/631/05494793419/6310549479341911092023111039.pdf")</f>
        <v>https://dpmzos25m8ivg.cloudfront.net/Documentos/631/05494793419/6310549479341911092023111039.pdf</v>
      </c>
      <c r="G2494" s="5" t="str">
        <f>HYPERLINK("https://dpmzos25m8ivg.cloudfront.net/Documentos/631/05494793419/6310549479341911092023111116.pdf","https://dpmzos25m8ivg.cloudfront.net/Documentos/631/05494793419/6310549479341911092023111116.pdf")</f>
        <v>https://dpmzos25m8ivg.cloudfront.net/Documentos/631/05494793419/6310549479341911092023111116.pdf</v>
      </c>
      <c r="H2494" s="5" t="s">
        <v>11073</v>
      </c>
    </row>
    <row r="2495" spans="1:8" x14ac:dyDescent="0.25">
      <c r="A2495" s="2" t="s">
        <v>2511</v>
      </c>
      <c r="B2495" s="3"/>
      <c r="C2495" s="3"/>
      <c r="D2495" s="3"/>
      <c r="E2495" s="5" t="str">
        <f>HYPERLINK("https://dpmzos25m8ivg.cloudfront.net/Documentos/631/05495038703/6310549503870305092023202320.pdf","https://dpmzos25m8ivg.cloudfront.net/Documentos/631/05495038703/6310549503870305092023202320.pdf")</f>
        <v>https://dpmzos25m8ivg.cloudfront.net/Documentos/631/05495038703/6310549503870305092023202320.pdf</v>
      </c>
      <c r="F2495" s="5" t="str">
        <f>HYPERLINK("https://dpmzos25m8ivg.cloudfront.net/Documentos/631/05495038703/6310549503870305092023202334.pdf","https://dpmzos25m8ivg.cloudfront.net/Documentos/631/05495038703/6310549503870305092023202334.pdf")</f>
        <v>https://dpmzos25m8ivg.cloudfront.net/Documentos/631/05495038703/6310549503870305092023202334.pdf</v>
      </c>
      <c r="G2495" s="5" t="str">
        <f>HYPERLINK("https://dpmzos25m8ivg.cloudfront.net/Documentos/631/05495038703/6310549503870305092023202351.pdf","https://dpmzos25m8ivg.cloudfront.net/Documentos/631/05495038703/6310549503870305092023202351.pdf")</f>
        <v>https://dpmzos25m8ivg.cloudfront.net/Documentos/631/05495038703/6310549503870305092023202351.pdf</v>
      </c>
      <c r="H2495" s="5" t="s">
        <v>11074</v>
      </c>
    </row>
    <row r="2496" spans="1:8" x14ac:dyDescent="0.25">
      <c r="A2496" s="2" t="s">
        <v>2512</v>
      </c>
      <c r="B2496" s="3"/>
      <c r="C2496" s="3"/>
      <c r="D2496" s="3"/>
      <c r="E2496" s="5" t="str">
        <f>HYPERLINK("https://dpmzos25m8ivg.cloudfront.net/Documentos/631/05498045360/6310549804536006092023151719.jpg","https://dpmzos25m8ivg.cloudfront.net/Documentos/631/05498045360/6310549804536006092023151719.jpg")</f>
        <v>https://dpmzos25m8ivg.cloudfront.net/Documentos/631/05498045360/6310549804536006092023151719.jpg</v>
      </c>
      <c r="F2496" s="5" t="str">
        <f>HYPERLINK("https://dpmzos25m8ivg.cloudfront.net/Documentos/631/05498045360/6310549804536006092023151738.jpg","https://dpmzos25m8ivg.cloudfront.net/Documentos/631/05498045360/6310549804536006092023151738.jpg")</f>
        <v>https://dpmzos25m8ivg.cloudfront.net/Documentos/631/05498045360/6310549804536006092023151738.jpg</v>
      </c>
      <c r="G2496" s="5" t="str">
        <f>HYPERLINK("https://dpmzos25m8ivg.cloudfront.net/Documentos/631/05498045360/6310549804536006092023151754.jpg","https://dpmzos25m8ivg.cloudfront.net/Documentos/631/05498045360/6310549804536006092023151754.jpg")</f>
        <v>https://dpmzos25m8ivg.cloudfront.net/Documentos/631/05498045360/6310549804536006092023151754.jpg</v>
      </c>
      <c r="H2496" s="5" t="s">
        <v>11075</v>
      </c>
    </row>
    <row r="2497" spans="1:8" x14ac:dyDescent="0.25">
      <c r="A2497" s="2" t="s">
        <v>2513</v>
      </c>
      <c r="B2497" s="3"/>
      <c r="C2497" s="3"/>
      <c r="D2497" s="3"/>
      <c r="E2497" s="5" t="str">
        <f>HYPERLINK("https://dpmzos25m8ivg.cloudfront.net/Documentos/631/05502464288/6310550246428806092023111914.pdf","https://dpmzos25m8ivg.cloudfront.net/Documentos/631/05502464288/6310550246428806092023111914.pdf")</f>
        <v>https://dpmzos25m8ivg.cloudfront.net/Documentos/631/05502464288/6310550246428806092023111914.pdf</v>
      </c>
      <c r="F2497" s="5" t="str">
        <f>HYPERLINK("https://dpmzos25m8ivg.cloudfront.net/Documentos/631/05502464288/6310550246428806092023111943.pdf","https://dpmzos25m8ivg.cloudfront.net/Documentos/631/05502464288/6310550246428806092023111943.pdf")</f>
        <v>https://dpmzos25m8ivg.cloudfront.net/Documentos/631/05502464288/6310550246428806092023111943.pdf</v>
      </c>
      <c r="G2497" s="5" t="str">
        <f>HYPERLINK("https://dpmzos25m8ivg.cloudfront.net/Documentos/631/05502464288/6310550246428806092023111954.pdf","https://dpmzos25m8ivg.cloudfront.net/Documentos/631/05502464288/6310550246428806092023111954.pdf")</f>
        <v>https://dpmzos25m8ivg.cloudfront.net/Documentos/631/05502464288/6310550246428806092023111954.pdf</v>
      </c>
      <c r="H2497" s="5" t="s">
        <v>11076</v>
      </c>
    </row>
    <row r="2498" spans="1:8" x14ac:dyDescent="0.25">
      <c r="A2498" s="2" t="s">
        <v>2514</v>
      </c>
      <c r="B2498" s="3"/>
      <c r="C2498" s="3"/>
      <c r="D2498" s="3"/>
      <c r="E2498" s="5" t="str">
        <f>HYPERLINK("https://dpmzos25m8ivg.cloudfront.net/Documentos/631/05502466302/6310550246630211092023084012.jpeg","https://dpmzos25m8ivg.cloudfront.net/Documentos/631/05502466302/6310550246630211092023084012.jpeg")</f>
        <v>https://dpmzos25m8ivg.cloudfront.net/Documentos/631/05502466302/6310550246630211092023084012.jpeg</v>
      </c>
      <c r="F2498" s="5" t="str">
        <f>HYPERLINK("https://dpmzos25m8ivg.cloudfront.net/Documentos/631/05502466302/6310550246630211092023084020.jpeg","https://dpmzos25m8ivg.cloudfront.net/Documentos/631/05502466302/6310550246630211092023084020.jpeg")</f>
        <v>https://dpmzos25m8ivg.cloudfront.net/Documentos/631/05502466302/6310550246630211092023084020.jpeg</v>
      </c>
      <c r="G2498" s="5" t="str">
        <f>HYPERLINK("https://dpmzos25m8ivg.cloudfront.net/Documentos/631/05502466302/6310550246630211092023084028.jpeg","https://dpmzos25m8ivg.cloudfront.net/Documentos/631/05502466302/6310550246630211092023084028.jpeg")</f>
        <v>https://dpmzos25m8ivg.cloudfront.net/Documentos/631/05502466302/6310550246630211092023084028.jpeg</v>
      </c>
      <c r="H2498" s="5" t="s">
        <v>11077</v>
      </c>
    </row>
    <row r="2499" spans="1:8" x14ac:dyDescent="0.25">
      <c r="A2499" s="2" t="s">
        <v>2515</v>
      </c>
      <c r="B2499" s="3"/>
      <c r="C2499" s="3"/>
      <c r="D2499" s="3"/>
      <c r="E2499" s="5" t="str">
        <f>HYPERLINK("https://dpmzos25m8ivg.cloudfront.net/Documentos/631/05509532564/6310550953256411092023103051.pdf","https://dpmzos25m8ivg.cloudfront.net/Documentos/631/05509532564/6310550953256411092023103051.pdf")</f>
        <v>https://dpmzos25m8ivg.cloudfront.net/Documentos/631/05509532564/6310550953256411092023103051.pdf</v>
      </c>
      <c r="F2499" s="5" t="str">
        <f>HYPERLINK("https://dpmzos25m8ivg.cloudfront.net/Documentos/631/05509532564/6310550953256411092023103124.pdf","https://dpmzos25m8ivg.cloudfront.net/Documentos/631/05509532564/6310550953256411092023103124.pdf")</f>
        <v>https://dpmzos25m8ivg.cloudfront.net/Documentos/631/05509532564/6310550953256411092023103124.pdf</v>
      </c>
      <c r="G2499" s="5" t="str">
        <f>HYPERLINK("https://dpmzos25m8ivg.cloudfront.net/Documentos/631/05509532564/6310550953256411092023103341.pdf","https://dpmzos25m8ivg.cloudfront.net/Documentos/631/05509532564/6310550953256411092023103341.pdf")</f>
        <v>https://dpmzos25m8ivg.cloudfront.net/Documentos/631/05509532564/6310550953256411092023103341.pdf</v>
      </c>
      <c r="H2499" s="5" t="s">
        <v>11078</v>
      </c>
    </row>
    <row r="2500" spans="1:8" x14ac:dyDescent="0.25">
      <c r="A2500" s="2" t="s">
        <v>2516</v>
      </c>
      <c r="B2500" s="3"/>
      <c r="C2500" s="3"/>
      <c r="D2500" s="3"/>
      <c r="E2500" s="5" t="str">
        <f>HYPERLINK("https://dpmzos25m8ivg.cloudfront.net/Documentos/631/05514643131/6310551464313105092023155239.pdf","https://dpmzos25m8ivg.cloudfront.net/Documentos/631/05514643131/6310551464313105092023155239.pdf")</f>
        <v>https://dpmzos25m8ivg.cloudfront.net/Documentos/631/05514643131/6310551464313105092023155239.pdf</v>
      </c>
      <c r="F2500" s="5" t="str">
        <f>HYPERLINK("https://dpmzos25m8ivg.cloudfront.net/Documentos/631/05514643131/6310551464313105092023155258.pdf","https://dpmzos25m8ivg.cloudfront.net/Documentos/631/05514643131/6310551464313105092023155258.pdf")</f>
        <v>https://dpmzos25m8ivg.cloudfront.net/Documentos/631/05514643131/6310551464313105092023155258.pdf</v>
      </c>
      <c r="G2500" s="5" t="str">
        <f>HYPERLINK("https://dpmzos25m8ivg.cloudfront.net/Documentos/631/05514643131/6310551464313105092023155309.pdf","https://dpmzos25m8ivg.cloudfront.net/Documentos/631/05514643131/6310551464313105092023155309.pdf")</f>
        <v>https://dpmzos25m8ivg.cloudfront.net/Documentos/631/05514643131/6310551464313105092023155309.pdf</v>
      </c>
      <c r="H2500" s="5" t="s">
        <v>11079</v>
      </c>
    </row>
    <row r="2501" spans="1:8" x14ac:dyDescent="0.25">
      <c r="A2501" s="2" t="s">
        <v>2517</v>
      </c>
      <c r="B2501" s="3"/>
      <c r="C2501" s="3"/>
      <c r="D2501" s="3"/>
      <c r="E2501" s="5" t="str">
        <f>HYPERLINK("https://dpmzos25m8ivg.cloudfront.net/Documentos/631/05514660656/6310551466065605092023142551.jpeg","https://dpmzos25m8ivg.cloudfront.net/Documentos/631/05514660656/6310551466065605092023142551.jpeg")</f>
        <v>https://dpmzos25m8ivg.cloudfront.net/Documentos/631/05514660656/6310551466065605092023142551.jpeg</v>
      </c>
      <c r="F2501" s="5" t="str">
        <f>HYPERLINK("https://dpmzos25m8ivg.cloudfront.net/Documentos/631/05514660656/6310551466065605092023142601.jpeg","https://dpmzos25m8ivg.cloudfront.net/Documentos/631/05514660656/6310551466065605092023142601.jpeg")</f>
        <v>https://dpmzos25m8ivg.cloudfront.net/Documentos/631/05514660656/6310551466065605092023142601.jpeg</v>
      </c>
      <c r="G2501" s="5" t="str">
        <f>HYPERLINK("https://dpmzos25m8ivg.cloudfront.net/Documentos/631/05514660656/6310551466065605092023142612.jpeg","https://dpmzos25m8ivg.cloudfront.net/Documentos/631/05514660656/6310551466065605092023142612.jpeg")</f>
        <v>https://dpmzos25m8ivg.cloudfront.net/Documentos/631/05514660656/6310551466065605092023142612.jpeg</v>
      </c>
      <c r="H2501" s="5" t="s">
        <v>11080</v>
      </c>
    </row>
    <row r="2502" spans="1:8" x14ac:dyDescent="0.25">
      <c r="A2502" s="2" t="s">
        <v>2518</v>
      </c>
      <c r="B2502" s="3" t="s">
        <v>8</v>
      </c>
      <c r="C2502" s="3"/>
      <c r="D2502" s="3"/>
      <c r="E2502" s="5" t="str">
        <f>HYPERLINK("https://dpmzos25m8ivg.cloudfront.net/Documentos/631/05515544447/6310551554444707092023140941.pdf","https://dpmzos25m8ivg.cloudfront.net/Documentos/631/05515544447/6310551554444707092023140941.pdf")</f>
        <v>https://dpmzos25m8ivg.cloudfront.net/Documentos/631/05515544447/6310551554444707092023140941.pdf</v>
      </c>
      <c r="F2502" s="5" t="str">
        <f>HYPERLINK("https://dpmzos25m8ivg.cloudfront.net/Documentos/631/05515544447/6310551554444707092023141000.pdf","https://dpmzos25m8ivg.cloudfront.net/Documentos/631/05515544447/6310551554444707092023141000.pdf")</f>
        <v>https://dpmzos25m8ivg.cloudfront.net/Documentos/631/05515544447/6310551554444707092023141000.pdf</v>
      </c>
      <c r="G2502" s="5" t="str">
        <f>HYPERLINK("https://dpmzos25m8ivg.cloudfront.net/Documentos/631/05515544447/6310551554444707092023141019.pdf","https://dpmzos25m8ivg.cloudfront.net/Documentos/631/05515544447/6310551554444707092023141019.pdf")</f>
        <v>https://dpmzos25m8ivg.cloudfront.net/Documentos/631/05515544447/6310551554444707092023141019.pdf</v>
      </c>
      <c r="H2502" s="5" t="s">
        <v>11081</v>
      </c>
    </row>
    <row r="2503" spans="1:8" x14ac:dyDescent="0.25">
      <c r="A2503" s="2" t="s">
        <v>2519</v>
      </c>
      <c r="B2503" s="3" t="s">
        <v>2358</v>
      </c>
      <c r="C2503" s="3"/>
      <c r="D2503" s="3"/>
      <c r="E2503" s="5" t="str">
        <f>HYPERLINK("https://dpmzos25m8ivg.cloudfront.net/Documentos/631/05517148328/6310551714832810092023150258.pdf","https://dpmzos25m8ivg.cloudfront.net/Documentos/631/05517148328/6310551714832810092023150258.pdf")</f>
        <v>https://dpmzos25m8ivg.cloudfront.net/Documentos/631/05517148328/6310551714832810092023150258.pdf</v>
      </c>
      <c r="F2503" s="5" t="str">
        <f>HYPERLINK("https://dpmzos25m8ivg.cloudfront.net/Documentos/631/05517148328/6310551714832810092023150311.pdf","https://dpmzos25m8ivg.cloudfront.net/Documentos/631/05517148328/6310551714832810092023150311.pdf")</f>
        <v>https://dpmzos25m8ivg.cloudfront.net/Documentos/631/05517148328/6310551714832810092023150311.pdf</v>
      </c>
      <c r="G2503" s="5" t="str">
        <f>HYPERLINK("https://dpmzos25m8ivg.cloudfront.net/Documentos/631/05517148328/6310551714832810092023150320.pdf","https://dpmzos25m8ivg.cloudfront.net/Documentos/631/05517148328/6310551714832810092023150320.pdf")</f>
        <v>https://dpmzos25m8ivg.cloudfront.net/Documentos/631/05517148328/6310551714832810092023150320.pdf</v>
      </c>
      <c r="H2503" s="5" t="s">
        <v>11082</v>
      </c>
    </row>
    <row r="2504" spans="1:8" x14ac:dyDescent="0.25">
      <c r="A2504" s="2" t="s">
        <v>2520</v>
      </c>
      <c r="B2504" s="3"/>
      <c r="C2504" s="3"/>
      <c r="D2504" s="3"/>
      <c r="E2504" s="5" t="str">
        <f>HYPERLINK("https://dpmzos25m8ivg.cloudfront.net/Documentos/631/05518885989/6310551888598913092023190604.pdf","https://dpmzos25m8ivg.cloudfront.net/Documentos/631/05518885989/6310551888598913092023190604.pdf")</f>
        <v>https://dpmzos25m8ivg.cloudfront.net/Documentos/631/05518885989/6310551888598913092023190604.pdf</v>
      </c>
      <c r="F2504" s="5" t="str">
        <f>HYPERLINK("https://dpmzos25m8ivg.cloudfront.net/Documentos/631/05518885989/6310551888598913092023190613.pdf","https://dpmzos25m8ivg.cloudfront.net/Documentos/631/05518885989/6310551888598913092023190613.pdf")</f>
        <v>https://dpmzos25m8ivg.cloudfront.net/Documentos/631/05518885989/6310551888598913092023190613.pdf</v>
      </c>
      <c r="G2504" s="5" t="str">
        <f>HYPERLINK("https://dpmzos25m8ivg.cloudfront.net/Documentos/631/05518885989/6310551888598913092023190623.pdf","https://dpmzos25m8ivg.cloudfront.net/Documentos/631/05518885989/6310551888598913092023190623.pdf")</f>
        <v>https://dpmzos25m8ivg.cloudfront.net/Documentos/631/05518885989/6310551888598913092023190623.pdf</v>
      </c>
      <c r="H2504" s="5" t="s">
        <v>11083</v>
      </c>
    </row>
    <row r="2505" spans="1:8" x14ac:dyDescent="0.25">
      <c r="A2505" s="2" t="s">
        <v>2521</v>
      </c>
      <c r="B2505" s="3" t="s">
        <v>23</v>
      </c>
      <c r="C2505" s="3"/>
      <c r="D2505" s="3"/>
      <c r="E2505" s="5" t="str">
        <f>HYPERLINK("https://dpmzos25m8ivg.cloudfront.net/Documentos/631/05519803110/6310551980311011092023103248.pdf","https://dpmzos25m8ivg.cloudfront.net/Documentos/631/05519803110/6310551980311011092023103248.pdf")</f>
        <v>https://dpmzos25m8ivg.cloudfront.net/Documentos/631/05519803110/6310551980311011092023103248.pdf</v>
      </c>
      <c r="F2505" s="5" t="str">
        <f>HYPERLINK("https://dpmzos25m8ivg.cloudfront.net/Documentos/631/05519803110/6310551980311011092023103317.pdf","https://dpmzos25m8ivg.cloudfront.net/Documentos/631/05519803110/6310551980311011092023103317.pdf")</f>
        <v>https://dpmzos25m8ivg.cloudfront.net/Documentos/631/05519803110/6310551980311011092023103317.pdf</v>
      </c>
      <c r="G2505" s="5" t="str">
        <f>HYPERLINK("https://dpmzos25m8ivg.cloudfront.net/Documentos/631/05519803110/6310551980311011092023103340.pdf","https://dpmzos25m8ivg.cloudfront.net/Documentos/631/05519803110/6310551980311011092023103340.pdf")</f>
        <v>https://dpmzos25m8ivg.cloudfront.net/Documentos/631/05519803110/6310551980311011092023103340.pdf</v>
      </c>
      <c r="H2505" s="5" t="s">
        <v>11084</v>
      </c>
    </row>
    <row r="2506" spans="1:8" x14ac:dyDescent="0.25">
      <c r="A2506" s="2" t="s">
        <v>2522</v>
      </c>
      <c r="B2506" s="3" t="s">
        <v>23</v>
      </c>
      <c r="C2506" s="3"/>
      <c r="D2506" s="3"/>
      <c r="E2506" s="5" t="str">
        <f>HYPERLINK("https://dpmzos25m8ivg.cloudfront.net/Documentos/631/05520595526/6310552059552611092023124437.pdf","https://dpmzos25m8ivg.cloudfront.net/Documentos/631/05520595526/6310552059552611092023124437.pdf")</f>
        <v>https://dpmzos25m8ivg.cloudfront.net/Documentos/631/05520595526/6310552059552611092023124437.pdf</v>
      </c>
      <c r="F2506" s="5" t="str">
        <f>HYPERLINK("https://dpmzos25m8ivg.cloudfront.net/Documentos/631/05520595526/6310552059552611092023124451.pdf","https://dpmzos25m8ivg.cloudfront.net/Documentos/631/05520595526/6310552059552611092023124451.pdf")</f>
        <v>https://dpmzos25m8ivg.cloudfront.net/Documentos/631/05520595526/6310552059552611092023124451.pdf</v>
      </c>
      <c r="G2506" s="5" t="str">
        <f>HYPERLINK("https://dpmzos25m8ivg.cloudfront.net/Documentos/631/05520595526/6310552059552611092023124500.pdf","https://dpmzos25m8ivg.cloudfront.net/Documentos/631/05520595526/6310552059552611092023124500.pdf")</f>
        <v>https://dpmzos25m8ivg.cloudfront.net/Documentos/631/05520595526/6310552059552611092023124500.pdf</v>
      </c>
      <c r="H2506" s="5" t="s">
        <v>11085</v>
      </c>
    </row>
    <row r="2507" spans="1:8" x14ac:dyDescent="0.25">
      <c r="A2507" s="2" t="s">
        <v>2523</v>
      </c>
      <c r="B2507" s="3"/>
      <c r="C2507" s="3"/>
      <c r="D2507" s="3"/>
      <c r="E2507" s="5" t="str">
        <f>HYPERLINK("https://dpmzos25m8ivg.cloudfront.net/Documentos/631/05523707384/6310552370738411092023163159.pdf","https://dpmzos25m8ivg.cloudfront.net/Documentos/631/05523707384/6310552370738411092023163159.pdf")</f>
        <v>https://dpmzos25m8ivg.cloudfront.net/Documentos/631/05523707384/6310552370738411092023163159.pdf</v>
      </c>
      <c r="F2507" s="5" t="str">
        <f>HYPERLINK("https://dpmzos25m8ivg.cloudfront.net/Documentos/631/05523707384/6310552370738411092023163855.pdf","https://dpmzos25m8ivg.cloudfront.net/Documentos/631/05523707384/6310552370738411092023163855.pdf")</f>
        <v>https://dpmzos25m8ivg.cloudfront.net/Documentos/631/05523707384/6310552370738411092023163855.pdf</v>
      </c>
      <c r="G2507" s="5" t="str">
        <f>HYPERLINK("https://dpmzos25m8ivg.cloudfront.net/Documentos/631/05523707384/6310552370738411092023163912.pdf","https://dpmzos25m8ivg.cloudfront.net/Documentos/631/05523707384/6310552370738411092023163912.pdf")</f>
        <v>https://dpmzos25m8ivg.cloudfront.net/Documentos/631/05523707384/6310552370738411092023163912.pdf</v>
      </c>
      <c r="H2507" s="5" t="s">
        <v>11086</v>
      </c>
    </row>
    <row r="2508" spans="1:8" x14ac:dyDescent="0.25">
      <c r="A2508" s="2" t="s">
        <v>2524</v>
      </c>
      <c r="B2508" s="3"/>
      <c r="C2508" s="3"/>
      <c r="D2508" s="3"/>
      <c r="E2508" s="5" t="str">
        <f>HYPERLINK("https://dpmzos25m8ivg.cloudfront.net/Documentos/631/05528552435/6310552855243507092023103438.pdf","https://dpmzos25m8ivg.cloudfront.net/Documentos/631/05528552435/6310552855243507092023103438.pdf")</f>
        <v>https://dpmzos25m8ivg.cloudfront.net/Documentos/631/05528552435/6310552855243507092023103438.pdf</v>
      </c>
      <c r="F2508" s="5" t="str">
        <f>HYPERLINK("https://dpmzos25m8ivg.cloudfront.net/Documentos/631/05528552435/6310552855243507092023103447.pdf","https://dpmzos25m8ivg.cloudfront.net/Documentos/631/05528552435/6310552855243507092023103447.pdf")</f>
        <v>https://dpmzos25m8ivg.cloudfront.net/Documentos/631/05528552435/6310552855243507092023103447.pdf</v>
      </c>
      <c r="G2508" s="5" t="str">
        <f>HYPERLINK("https://dpmzos25m8ivg.cloudfront.net/Documentos/631/05528552435/6310552855243507092023103504.pdf","https://dpmzos25m8ivg.cloudfront.net/Documentos/631/05528552435/6310552855243507092023103504.pdf")</f>
        <v>https://dpmzos25m8ivg.cloudfront.net/Documentos/631/05528552435/6310552855243507092023103504.pdf</v>
      </c>
      <c r="H2508" s="5" t="s">
        <v>11087</v>
      </c>
    </row>
    <row r="2509" spans="1:8" x14ac:dyDescent="0.25">
      <c r="A2509" s="2" t="s">
        <v>2525</v>
      </c>
      <c r="B2509" s="3"/>
      <c r="C2509" s="3"/>
      <c r="D2509" s="3"/>
      <c r="E2509" s="5" t="str">
        <f>HYPERLINK("https://dpmzos25m8ivg.cloudfront.net/Documentos/631/05532847622/6310553284762214092023145416.pdf","https://dpmzos25m8ivg.cloudfront.net/Documentos/631/05532847622/6310553284762214092023145416.pdf")</f>
        <v>https://dpmzos25m8ivg.cloudfront.net/Documentos/631/05532847622/6310553284762214092023145416.pdf</v>
      </c>
      <c r="F2509" s="5" t="str">
        <f>HYPERLINK("https://dpmzos25m8ivg.cloudfront.net/Documentos/631/05532847622/6310553284762214092023145440.pdf","https://dpmzos25m8ivg.cloudfront.net/Documentos/631/05532847622/6310553284762214092023145440.pdf")</f>
        <v>https://dpmzos25m8ivg.cloudfront.net/Documentos/631/05532847622/6310553284762214092023145440.pdf</v>
      </c>
      <c r="G2509" s="5" t="str">
        <f>HYPERLINK("https://dpmzos25m8ivg.cloudfront.net/Documentos/631/05532847622/6310553284762214092023145502.pdf","https://dpmzos25m8ivg.cloudfront.net/Documentos/631/05532847622/6310553284762214092023145502.pdf")</f>
        <v>https://dpmzos25m8ivg.cloudfront.net/Documentos/631/05532847622/6310553284762214092023145502.pdf</v>
      </c>
      <c r="H2509" s="5" t="s">
        <v>11088</v>
      </c>
    </row>
    <row r="2510" spans="1:8" x14ac:dyDescent="0.25">
      <c r="A2510" s="2" t="s">
        <v>2526</v>
      </c>
      <c r="B2510" s="3"/>
      <c r="C2510" s="3"/>
      <c r="D2510" s="3"/>
      <c r="E2510" s="5" t="str">
        <f>HYPERLINK("https://dpmzos25m8ivg.cloudfront.net/Documentos/631/05536223402/6310553622340211092023160856.pdf","https://dpmzos25m8ivg.cloudfront.net/Documentos/631/05536223402/6310553622340211092023160856.pdf")</f>
        <v>https://dpmzos25m8ivg.cloudfront.net/Documentos/631/05536223402/6310553622340211092023160856.pdf</v>
      </c>
      <c r="F2510" s="5" t="str">
        <f>HYPERLINK("https://dpmzos25m8ivg.cloudfront.net/Documentos/631/05536223402/6310553622340211092023160907.pdf","https://dpmzos25m8ivg.cloudfront.net/Documentos/631/05536223402/6310553622340211092023160907.pdf")</f>
        <v>https://dpmzos25m8ivg.cloudfront.net/Documentos/631/05536223402/6310553622340211092023160907.pdf</v>
      </c>
      <c r="G2510" s="5" t="str">
        <f>HYPERLINK("https://dpmzos25m8ivg.cloudfront.net/Documentos/631/05536223402/6310553622340211092023160917.pdf","https://dpmzos25m8ivg.cloudfront.net/Documentos/631/05536223402/6310553622340211092023160917.pdf")</f>
        <v>https://dpmzos25m8ivg.cloudfront.net/Documentos/631/05536223402/6310553622340211092023160917.pdf</v>
      </c>
      <c r="H2510" s="5" t="s">
        <v>11089</v>
      </c>
    </row>
    <row r="2511" spans="1:8" x14ac:dyDescent="0.25">
      <c r="A2511" s="2" t="s">
        <v>2527</v>
      </c>
      <c r="B2511" s="3"/>
      <c r="C2511" s="3"/>
      <c r="D2511" s="3"/>
      <c r="E2511" s="5" t="str">
        <f>HYPERLINK("https://dpmzos25m8ivg.cloudfront.net/Documentos/631/05537684411/6310553768441110092023142757.pdf","https://dpmzos25m8ivg.cloudfront.net/Documentos/631/05537684411/6310553768441110092023142757.pdf")</f>
        <v>https://dpmzos25m8ivg.cloudfront.net/Documentos/631/05537684411/6310553768441110092023142757.pdf</v>
      </c>
      <c r="F2511" s="5" t="str">
        <f>HYPERLINK("https://dpmzos25m8ivg.cloudfront.net/Documentos/631/05537684411/6310553768441110092023142819.pdf","https://dpmzos25m8ivg.cloudfront.net/Documentos/631/05537684411/6310553768441110092023142819.pdf")</f>
        <v>https://dpmzos25m8ivg.cloudfront.net/Documentos/631/05537684411/6310553768441110092023142819.pdf</v>
      </c>
      <c r="G2511" s="5" t="str">
        <f>HYPERLINK("https://dpmzos25m8ivg.cloudfront.net/Documentos/631/05537684411/6310553768441110092023142837.pdf","https://dpmzos25m8ivg.cloudfront.net/Documentos/631/05537684411/6310553768441110092023142837.pdf")</f>
        <v>https://dpmzos25m8ivg.cloudfront.net/Documentos/631/05537684411/6310553768441110092023142837.pdf</v>
      </c>
      <c r="H2511" s="5" t="s">
        <v>11090</v>
      </c>
    </row>
    <row r="2512" spans="1:8" x14ac:dyDescent="0.25">
      <c r="A2512" s="2" t="s">
        <v>2528</v>
      </c>
      <c r="B2512" s="3" t="s">
        <v>2358</v>
      </c>
      <c r="C2512" s="3"/>
      <c r="D2512" s="3"/>
      <c r="E2512" s="5" t="str">
        <f>HYPERLINK("https://dpmzos25m8ivg.cloudfront.net/Documentos/631/05537702177/6310553770217713092023173028.pdf","https://dpmzos25m8ivg.cloudfront.net/Documentos/631/05537702177/6310553770217713092023173028.pdf")</f>
        <v>https://dpmzos25m8ivg.cloudfront.net/Documentos/631/05537702177/6310553770217713092023173028.pdf</v>
      </c>
      <c r="F2512" s="5" t="str">
        <f>HYPERLINK("https://dpmzos25m8ivg.cloudfront.net/Documentos/631/05537702177/6310553770217713092023173140.pdf","https://dpmzos25m8ivg.cloudfront.net/Documentos/631/05537702177/6310553770217713092023173140.pdf")</f>
        <v>https://dpmzos25m8ivg.cloudfront.net/Documentos/631/05537702177/6310553770217713092023173140.pdf</v>
      </c>
      <c r="G2512" s="5" t="str">
        <f>HYPERLINK("https://dpmzos25m8ivg.cloudfront.net/Documentos/631/05537702177/6310553770217713092023173151.pdf","https://dpmzos25m8ivg.cloudfront.net/Documentos/631/05537702177/6310553770217713092023173151.pdf")</f>
        <v>https://dpmzos25m8ivg.cloudfront.net/Documentos/631/05537702177/6310553770217713092023173151.pdf</v>
      </c>
      <c r="H2512" s="5" t="s">
        <v>11091</v>
      </c>
    </row>
    <row r="2513" spans="1:8" x14ac:dyDescent="0.25">
      <c r="A2513" s="2" t="s">
        <v>2529</v>
      </c>
      <c r="B2513" s="3"/>
      <c r="C2513" s="3"/>
      <c r="D2513" s="3"/>
      <c r="E2513" s="5" t="str">
        <f>HYPERLINK("https://dpmzos25m8ivg.cloudfront.net/Documentos/631/05538194531/6310553819453111092023113042.pdf","https://dpmzos25m8ivg.cloudfront.net/Documentos/631/05538194531/6310553819453111092023113042.pdf")</f>
        <v>https://dpmzos25m8ivg.cloudfront.net/Documentos/631/05538194531/6310553819453111092023113042.pdf</v>
      </c>
      <c r="F2513" s="5" t="str">
        <f>HYPERLINK("https://dpmzos25m8ivg.cloudfront.net/Documentos/631/05538194531/6310553819453111092023113059.pdf","https://dpmzos25m8ivg.cloudfront.net/Documentos/631/05538194531/6310553819453111092023113059.pdf")</f>
        <v>https://dpmzos25m8ivg.cloudfront.net/Documentos/631/05538194531/6310553819453111092023113059.pdf</v>
      </c>
      <c r="G2513" s="5" t="str">
        <f>HYPERLINK("https://dpmzos25m8ivg.cloudfront.net/Documentos/631/05538194531/6310553819453111092023113114.pdf","https://dpmzos25m8ivg.cloudfront.net/Documentos/631/05538194531/6310553819453111092023113114.pdf")</f>
        <v>https://dpmzos25m8ivg.cloudfront.net/Documentos/631/05538194531/6310553819453111092023113114.pdf</v>
      </c>
      <c r="H2513" s="5" t="s">
        <v>11092</v>
      </c>
    </row>
    <row r="2514" spans="1:8" x14ac:dyDescent="0.25">
      <c r="A2514" s="2" t="s">
        <v>2530</v>
      </c>
      <c r="B2514" s="3"/>
      <c r="C2514" s="3"/>
      <c r="D2514" s="3"/>
      <c r="E2514" s="5" t="str">
        <f>HYPERLINK("https://dpmzos25m8ivg.cloudfront.net/Documentos/631/05538736105/6310553873610506092023183427.jpeg","https://dpmzos25m8ivg.cloudfront.net/Documentos/631/05538736105/6310553873610506092023183427.jpeg")</f>
        <v>https://dpmzos25m8ivg.cloudfront.net/Documentos/631/05538736105/6310553873610506092023183427.jpeg</v>
      </c>
      <c r="F2514" s="5" t="str">
        <f>HYPERLINK("https://dpmzos25m8ivg.cloudfront.net/Documentos/631/05538736105/6310553873610506092023183451.jpeg","https://dpmzos25m8ivg.cloudfront.net/Documentos/631/05538736105/6310553873610506092023183451.jpeg")</f>
        <v>https://dpmzos25m8ivg.cloudfront.net/Documentos/631/05538736105/6310553873610506092023183451.jpeg</v>
      </c>
      <c r="G2514" s="5" t="str">
        <f>HYPERLINK("https://dpmzos25m8ivg.cloudfront.net/Documentos/631/05538736105/6310553873610506092023183508.jpeg","https://dpmzos25m8ivg.cloudfront.net/Documentos/631/05538736105/6310553873610506092023183508.jpeg")</f>
        <v>https://dpmzos25m8ivg.cloudfront.net/Documentos/631/05538736105/6310553873610506092023183508.jpeg</v>
      </c>
      <c r="H2514" s="5" t="s">
        <v>11093</v>
      </c>
    </row>
    <row r="2515" spans="1:8" x14ac:dyDescent="0.25">
      <c r="A2515" s="2" t="s">
        <v>2531</v>
      </c>
      <c r="B2515" s="3" t="s">
        <v>8</v>
      </c>
      <c r="C2515" s="3"/>
      <c r="D2515" s="3"/>
      <c r="E2515" s="5" t="str">
        <f>HYPERLINK("https://dpmzos25m8ivg.cloudfront.net/Documentos/631/05539688317/6310553968831706092023110048.jpeg","https://dpmzos25m8ivg.cloudfront.net/Documentos/631/05539688317/6310553968831706092023110048.jpeg")</f>
        <v>https://dpmzos25m8ivg.cloudfront.net/Documentos/631/05539688317/6310553968831706092023110048.jpeg</v>
      </c>
      <c r="F2515" s="5" t="str">
        <f>HYPERLINK("https://dpmzos25m8ivg.cloudfront.net/Documentos/631/05539688317/6310553968831706092023110142.jpeg","https://dpmzos25m8ivg.cloudfront.net/Documentos/631/05539688317/6310553968831706092023110142.jpeg")</f>
        <v>https://dpmzos25m8ivg.cloudfront.net/Documentos/631/05539688317/6310553968831706092023110142.jpeg</v>
      </c>
      <c r="G2515" s="5" t="str">
        <f>HYPERLINK("https://dpmzos25m8ivg.cloudfront.net/Documentos/631/05539688317/6310553968831706092023110151.jpeg","https://dpmzos25m8ivg.cloudfront.net/Documentos/631/05539688317/6310553968831706092023110151.jpeg")</f>
        <v>https://dpmzos25m8ivg.cloudfront.net/Documentos/631/05539688317/6310553968831706092023110151.jpeg</v>
      </c>
      <c r="H2515" s="5" t="s">
        <v>11094</v>
      </c>
    </row>
    <row r="2516" spans="1:8" x14ac:dyDescent="0.25">
      <c r="A2516" s="2" t="s">
        <v>2532</v>
      </c>
      <c r="B2516" s="3"/>
      <c r="C2516" s="3"/>
      <c r="D2516" s="3"/>
      <c r="E2516" s="5" t="str">
        <f>HYPERLINK("https://dpmzos25m8ivg.cloudfront.net/Documentos/631/05540390105/6310554039010505092023095920.pdf","https://dpmzos25m8ivg.cloudfront.net/Documentos/631/05540390105/6310554039010505092023095920.pdf")</f>
        <v>https://dpmzos25m8ivg.cloudfront.net/Documentos/631/05540390105/6310554039010505092023095920.pdf</v>
      </c>
      <c r="F2516" s="5" t="str">
        <f>HYPERLINK("https://dpmzos25m8ivg.cloudfront.net/Documentos/631/05540390105/6310554039010505092023095936.pdf","https://dpmzos25m8ivg.cloudfront.net/Documentos/631/05540390105/6310554039010505092023095936.pdf")</f>
        <v>https://dpmzos25m8ivg.cloudfront.net/Documentos/631/05540390105/6310554039010505092023095936.pdf</v>
      </c>
      <c r="G2516" s="5" t="str">
        <f>HYPERLINK("https://dpmzos25m8ivg.cloudfront.net/Documentos/631/05540390105/6310554039010505092023095945.pdf","https://dpmzos25m8ivg.cloudfront.net/Documentos/631/05540390105/6310554039010505092023095945.pdf")</f>
        <v>https://dpmzos25m8ivg.cloudfront.net/Documentos/631/05540390105/6310554039010505092023095945.pdf</v>
      </c>
      <c r="H2516" s="5" t="s">
        <v>11095</v>
      </c>
    </row>
    <row r="2517" spans="1:8" x14ac:dyDescent="0.25">
      <c r="A2517" s="2" t="s">
        <v>2533</v>
      </c>
      <c r="B2517" s="3"/>
      <c r="C2517" s="3"/>
      <c r="D2517" s="3"/>
      <c r="E2517" s="5" t="str">
        <f>HYPERLINK("https://dpmzos25m8ivg.cloudfront.net/Documentos/631/05543792522/6310554379252210092023100457.pdf","https://dpmzos25m8ivg.cloudfront.net/Documentos/631/05543792522/6310554379252210092023100457.pdf")</f>
        <v>https://dpmzos25m8ivg.cloudfront.net/Documentos/631/05543792522/6310554379252210092023100457.pdf</v>
      </c>
      <c r="F2517" s="5" t="str">
        <f>HYPERLINK("https://dpmzos25m8ivg.cloudfront.net/Documentos/631/05543792522/6310554379252210092023100505.pdf","https://dpmzos25m8ivg.cloudfront.net/Documentos/631/05543792522/6310554379252210092023100505.pdf")</f>
        <v>https://dpmzos25m8ivg.cloudfront.net/Documentos/631/05543792522/6310554379252210092023100505.pdf</v>
      </c>
      <c r="G2517" s="5" t="str">
        <f>HYPERLINK("https://dpmzos25m8ivg.cloudfront.net/Documentos/631/05543792522/6310554379252210092023100515.pdf","https://dpmzos25m8ivg.cloudfront.net/Documentos/631/05543792522/6310554379252210092023100515.pdf")</f>
        <v>https://dpmzos25m8ivg.cloudfront.net/Documentos/631/05543792522/6310554379252210092023100515.pdf</v>
      </c>
      <c r="H2517" s="5" t="s">
        <v>11096</v>
      </c>
    </row>
    <row r="2518" spans="1:8" x14ac:dyDescent="0.25">
      <c r="A2518" s="2" t="s">
        <v>2534</v>
      </c>
      <c r="B2518" s="3" t="s">
        <v>8</v>
      </c>
      <c r="C2518" s="3"/>
      <c r="D2518" s="3"/>
      <c r="E2518" s="5" t="str">
        <f>HYPERLINK("https://dpmzos25m8ivg.cloudfront.net/Documentos/631/05543876548/6310554387654814092023162217.pdf","https://dpmzos25m8ivg.cloudfront.net/Documentos/631/05543876548/6310554387654814092023162217.pdf")</f>
        <v>https://dpmzos25m8ivg.cloudfront.net/Documentos/631/05543876548/6310554387654814092023162217.pdf</v>
      </c>
      <c r="F2518" s="5" t="str">
        <f>HYPERLINK("https://dpmzos25m8ivg.cloudfront.net/Documentos/631/05543876548/6310554387654814092023162231.pdf","https://dpmzos25m8ivg.cloudfront.net/Documentos/631/05543876548/6310554387654814092023162231.pdf")</f>
        <v>https://dpmzos25m8ivg.cloudfront.net/Documentos/631/05543876548/6310554387654814092023162231.pdf</v>
      </c>
      <c r="G2518" s="5" t="str">
        <f>HYPERLINK("https://dpmzos25m8ivg.cloudfront.net/Documentos/631/05543876548/6310554387654814092023162241.pdf","https://dpmzos25m8ivg.cloudfront.net/Documentos/631/05543876548/6310554387654814092023162241.pdf")</f>
        <v>https://dpmzos25m8ivg.cloudfront.net/Documentos/631/05543876548/6310554387654814092023162241.pdf</v>
      </c>
      <c r="H2518" s="5" t="s">
        <v>11097</v>
      </c>
    </row>
    <row r="2519" spans="1:8" x14ac:dyDescent="0.25">
      <c r="A2519" s="2" t="s">
        <v>2535</v>
      </c>
      <c r="B2519" s="3"/>
      <c r="C2519" s="3"/>
      <c r="D2519" s="3"/>
      <c r="E2519" s="5" t="str">
        <f>HYPERLINK("https://dpmzos25m8ivg.cloudfront.net/Documentos/631/05546664215/6310554666421508092023163500.pdf","https://dpmzos25m8ivg.cloudfront.net/Documentos/631/05546664215/6310554666421508092023163500.pdf")</f>
        <v>https://dpmzos25m8ivg.cloudfront.net/Documentos/631/05546664215/6310554666421508092023163500.pdf</v>
      </c>
      <c r="F2519" s="5" t="str">
        <f>HYPERLINK("https://dpmzos25m8ivg.cloudfront.net/Documentos/631/05546664215/6310554666421508092023163512.pdf","https://dpmzos25m8ivg.cloudfront.net/Documentos/631/05546664215/6310554666421508092023163512.pdf")</f>
        <v>https://dpmzos25m8ivg.cloudfront.net/Documentos/631/05546664215/6310554666421508092023163512.pdf</v>
      </c>
      <c r="G2519" s="5" t="str">
        <f>HYPERLINK("https://dpmzos25m8ivg.cloudfront.net/Documentos/631/05546664215/6310554666421508092023163522.pdf","https://dpmzos25m8ivg.cloudfront.net/Documentos/631/05546664215/6310554666421508092023163522.pdf")</f>
        <v>https://dpmzos25m8ivg.cloudfront.net/Documentos/631/05546664215/6310554666421508092023163522.pdf</v>
      </c>
      <c r="H2519" s="5" t="s">
        <v>11098</v>
      </c>
    </row>
    <row r="2520" spans="1:8" x14ac:dyDescent="0.25">
      <c r="A2520" s="2" t="s">
        <v>2536</v>
      </c>
      <c r="B2520" s="3"/>
      <c r="C2520" s="3"/>
      <c r="D2520" s="3"/>
      <c r="E2520" s="5" t="str">
        <f>HYPERLINK("https://dpmzos25m8ivg.cloudfront.net/Documentos/631/05549381389/6310554938138911092023132654.pdf","https://dpmzos25m8ivg.cloudfront.net/Documentos/631/05549381389/6310554938138911092023132654.pdf")</f>
        <v>https://dpmzos25m8ivg.cloudfront.net/Documentos/631/05549381389/6310554938138911092023132654.pdf</v>
      </c>
      <c r="F2520" s="5" t="str">
        <f>HYPERLINK("https://dpmzos25m8ivg.cloudfront.net/Documentos/631/05549381389/6310554938138911092023133743.pdf","https://dpmzos25m8ivg.cloudfront.net/Documentos/631/05549381389/6310554938138911092023133743.pdf")</f>
        <v>https://dpmzos25m8ivg.cloudfront.net/Documentos/631/05549381389/6310554938138911092023133743.pdf</v>
      </c>
      <c r="G2520" s="5" t="str">
        <f>HYPERLINK("https://dpmzos25m8ivg.cloudfront.net/Documentos/631/05549381389/6310554938138911092023133759.pdf","https://dpmzos25m8ivg.cloudfront.net/Documentos/631/05549381389/6310554938138911092023133759.pdf")</f>
        <v>https://dpmzos25m8ivg.cloudfront.net/Documentos/631/05549381389/6310554938138911092023133759.pdf</v>
      </c>
      <c r="H2520" s="5" t="s">
        <v>11099</v>
      </c>
    </row>
    <row r="2521" spans="1:8" x14ac:dyDescent="0.25">
      <c r="A2521" s="2" t="s">
        <v>2537</v>
      </c>
      <c r="B2521" s="3"/>
      <c r="C2521" s="3"/>
      <c r="D2521" s="3"/>
      <c r="E2521" s="5" t="str">
        <f>HYPERLINK("https://dpmzos25m8ivg.cloudfront.net/Documentos/631/05549589451/6310554958945111092023162314.pdf","https://dpmzos25m8ivg.cloudfront.net/Documentos/631/05549589451/6310554958945111092023162314.pdf")</f>
        <v>https://dpmzos25m8ivg.cloudfront.net/Documentos/631/05549589451/6310554958945111092023162314.pdf</v>
      </c>
      <c r="F2521" s="5" t="str">
        <f>HYPERLINK("https://dpmzos25m8ivg.cloudfront.net/Documentos/631/05549589451/6310554958945111092023162335.pdf","https://dpmzos25m8ivg.cloudfront.net/Documentos/631/05549589451/6310554958945111092023162335.pdf")</f>
        <v>https://dpmzos25m8ivg.cloudfront.net/Documentos/631/05549589451/6310554958945111092023162335.pdf</v>
      </c>
      <c r="G2521" s="5" t="str">
        <f>HYPERLINK("https://dpmzos25m8ivg.cloudfront.net/Documentos/631/05549589451/6310554958945111092023162401.pdf","https://dpmzos25m8ivg.cloudfront.net/Documentos/631/05549589451/6310554958945111092023162401.pdf")</f>
        <v>https://dpmzos25m8ivg.cloudfront.net/Documentos/631/05549589451/6310554958945111092023162401.pdf</v>
      </c>
      <c r="H2521" s="5" t="s">
        <v>11100</v>
      </c>
    </row>
    <row r="2522" spans="1:8" x14ac:dyDescent="0.25">
      <c r="A2522" s="2" t="s">
        <v>2538</v>
      </c>
      <c r="B2522" s="3"/>
      <c r="C2522" s="3"/>
      <c r="D2522" s="3"/>
      <c r="E2522" s="5" t="str">
        <f>HYPERLINK("https://dpmzos25m8ivg.cloudfront.net/Documentos/631/05550275546/6310555027554610092023202655.pdf","https://dpmzos25m8ivg.cloudfront.net/Documentos/631/05550275546/6310555027554610092023202655.pdf")</f>
        <v>https://dpmzos25m8ivg.cloudfront.net/Documentos/631/05550275546/6310555027554610092023202655.pdf</v>
      </c>
      <c r="F2522" s="5" t="str">
        <f>HYPERLINK("https://dpmzos25m8ivg.cloudfront.net/Documentos/631/05550275546/6310555027554610092023202710.pdf","https://dpmzos25m8ivg.cloudfront.net/Documentos/631/05550275546/6310555027554610092023202710.pdf")</f>
        <v>https://dpmzos25m8ivg.cloudfront.net/Documentos/631/05550275546/6310555027554610092023202710.pdf</v>
      </c>
      <c r="G2522" s="5" t="str">
        <f>HYPERLINK("https://dpmzos25m8ivg.cloudfront.net/Documentos/631/05550275546/6310555027554610092023202733.pdf","https://dpmzos25m8ivg.cloudfront.net/Documentos/631/05550275546/6310555027554610092023202733.pdf")</f>
        <v>https://dpmzos25m8ivg.cloudfront.net/Documentos/631/05550275546/6310555027554610092023202733.pdf</v>
      </c>
      <c r="H2522" s="5" t="s">
        <v>11101</v>
      </c>
    </row>
    <row r="2523" spans="1:8" x14ac:dyDescent="0.25">
      <c r="A2523" s="2" t="s">
        <v>2539</v>
      </c>
      <c r="B2523" s="3"/>
      <c r="C2523" s="3"/>
      <c r="D2523" s="3"/>
      <c r="E2523" s="5" t="str">
        <f>HYPERLINK("https://dpmzos25m8ivg.cloudfront.net/Documentos/631/05551024164/6310555102416405092023161909.pdf","https://dpmzos25m8ivg.cloudfront.net/Documentos/631/05551024164/6310555102416405092023161909.pdf")</f>
        <v>https://dpmzos25m8ivg.cloudfront.net/Documentos/631/05551024164/6310555102416405092023161909.pdf</v>
      </c>
      <c r="F2523" s="5" t="str">
        <f>HYPERLINK("https://dpmzos25m8ivg.cloudfront.net/Documentos/631/05551024164/6310555102416405092023161922.pdf","https://dpmzos25m8ivg.cloudfront.net/Documentos/631/05551024164/6310555102416405092023161922.pdf")</f>
        <v>https://dpmzos25m8ivg.cloudfront.net/Documentos/631/05551024164/6310555102416405092023161922.pdf</v>
      </c>
      <c r="G2523" s="5" t="str">
        <f>HYPERLINK("https://dpmzos25m8ivg.cloudfront.net/Documentos/631/05551024164/6310555102416405092023161931.pdf","https://dpmzos25m8ivg.cloudfront.net/Documentos/631/05551024164/6310555102416405092023161931.pdf")</f>
        <v>https://dpmzos25m8ivg.cloudfront.net/Documentos/631/05551024164/6310555102416405092023161931.pdf</v>
      </c>
      <c r="H2523" s="5" t="s">
        <v>11102</v>
      </c>
    </row>
    <row r="2524" spans="1:8" x14ac:dyDescent="0.25">
      <c r="A2524" s="2" t="s">
        <v>2540</v>
      </c>
      <c r="B2524" s="3" t="s">
        <v>23</v>
      </c>
      <c r="C2524" s="3"/>
      <c r="D2524" s="3"/>
      <c r="E2524" s="5" t="str">
        <f>HYPERLINK("https://dpmzos25m8ivg.cloudfront.net/Documentos/631/05552561627/6310555256162711092023143331.pdf","https://dpmzos25m8ivg.cloudfront.net/Documentos/631/05552561627/6310555256162711092023143331.pdf")</f>
        <v>https://dpmzos25m8ivg.cloudfront.net/Documentos/631/05552561627/6310555256162711092023143331.pdf</v>
      </c>
      <c r="F2524" s="5" t="str">
        <f>HYPERLINK("https://dpmzos25m8ivg.cloudfront.net/Documentos/631/05552561627/6310555256162711092023143340.pdf","https://dpmzos25m8ivg.cloudfront.net/Documentos/631/05552561627/6310555256162711092023143340.pdf")</f>
        <v>https://dpmzos25m8ivg.cloudfront.net/Documentos/631/05552561627/6310555256162711092023143340.pdf</v>
      </c>
      <c r="G2524" s="5" t="str">
        <f>HYPERLINK("https://dpmzos25m8ivg.cloudfront.net/Documentos/631/05552561627/6310555256162711092023143442.pdf","https://dpmzos25m8ivg.cloudfront.net/Documentos/631/05552561627/6310555256162711092023143442.pdf")</f>
        <v>https://dpmzos25m8ivg.cloudfront.net/Documentos/631/05552561627/6310555256162711092023143442.pdf</v>
      </c>
      <c r="H2524" s="5" t="s">
        <v>11103</v>
      </c>
    </row>
    <row r="2525" spans="1:8" x14ac:dyDescent="0.25">
      <c r="A2525" s="2" t="s">
        <v>2541</v>
      </c>
      <c r="B2525" s="3"/>
      <c r="C2525" s="3"/>
      <c r="D2525" s="3"/>
      <c r="E2525" s="5" t="str">
        <f>HYPERLINK("https://dpmzos25m8ivg.cloudfront.net/Documentos/631/05555919565/6310555591956511092023002939.pdf","https://dpmzos25m8ivg.cloudfront.net/Documentos/631/05555919565/6310555591956511092023002939.pdf")</f>
        <v>https://dpmzos25m8ivg.cloudfront.net/Documentos/631/05555919565/6310555591956511092023002939.pdf</v>
      </c>
      <c r="F2525" s="5" t="str">
        <f>HYPERLINK("https://dpmzos25m8ivg.cloudfront.net/Documentos/631/05555919565/6310555591956511092023003002.pdf","https://dpmzos25m8ivg.cloudfront.net/Documentos/631/05555919565/6310555591956511092023003002.pdf")</f>
        <v>https://dpmzos25m8ivg.cloudfront.net/Documentos/631/05555919565/6310555591956511092023003002.pdf</v>
      </c>
      <c r="G2525" s="5" t="str">
        <f>HYPERLINK("https://dpmzos25m8ivg.cloudfront.net/Documentos/631/05555919565/6310555591956511092023003038.pdf","https://dpmzos25m8ivg.cloudfront.net/Documentos/631/05555919565/6310555591956511092023003038.pdf")</f>
        <v>https://dpmzos25m8ivg.cloudfront.net/Documentos/631/05555919565/6310555591956511092023003038.pdf</v>
      </c>
      <c r="H2525" s="5" t="s">
        <v>11104</v>
      </c>
    </row>
    <row r="2526" spans="1:8" x14ac:dyDescent="0.25">
      <c r="A2526" s="2" t="s">
        <v>2542</v>
      </c>
      <c r="B2526" s="3"/>
      <c r="C2526" s="3"/>
      <c r="D2526" s="3"/>
      <c r="E2526" s="5" t="str">
        <f>HYPERLINK("https://dpmzos25m8ivg.cloudfront.net/Documentos/631/05555936656/6310555593665613092023105916.pdf","https://dpmzos25m8ivg.cloudfront.net/Documentos/631/05555936656/6310555593665613092023105916.pdf")</f>
        <v>https://dpmzos25m8ivg.cloudfront.net/Documentos/631/05555936656/6310555593665613092023105916.pdf</v>
      </c>
      <c r="F2526" s="5" t="str">
        <f>HYPERLINK("https://dpmzos25m8ivg.cloudfront.net/Documentos/631/05555936656/6310555593665613092023105937.pdf","https://dpmzos25m8ivg.cloudfront.net/Documentos/631/05555936656/6310555593665613092023105937.pdf")</f>
        <v>https://dpmzos25m8ivg.cloudfront.net/Documentos/631/05555936656/6310555593665613092023105937.pdf</v>
      </c>
      <c r="G2526" s="5" t="str">
        <f>HYPERLINK("https://dpmzos25m8ivg.cloudfront.net/Documentos/631/05555936656/6310555593665613092023105955.pdf","https://dpmzos25m8ivg.cloudfront.net/Documentos/631/05555936656/6310555593665613092023105955.pdf")</f>
        <v>https://dpmzos25m8ivg.cloudfront.net/Documentos/631/05555936656/6310555593665613092023105955.pdf</v>
      </c>
      <c r="H2526" s="5" t="s">
        <v>11105</v>
      </c>
    </row>
    <row r="2527" spans="1:8" x14ac:dyDescent="0.25">
      <c r="A2527" s="2" t="s">
        <v>2543</v>
      </c>
      <c r="B2527" s="3"/>
      <c r="C2527" s="3"/>
      <c r="D2527" s="3"/>
      <c r="E2527" s="5" t="str">
        <f>HYPERLINK("https://dpmzos25m8ivg.cloudfront.net/Documentos/631/05556166145/6310555616614505092023102411.pdf","https://dpmzos25m8ivg.cloudfront.net/Documentos/631/05556166145/6310555616614505092023102411.pdf")</f>
        <v>https://dpmzos25m8ivg.cloudfront.net/Documentos/631/05556166145/6310555616614505092023102411.pdf</v>
      </c>
      <c r="F2527" s="5" t="str">
        <f>HYPERLINK("https://dpmzos25m8ivg.cloudfront.net/Documentos/631/05556166145/6310555616614505092023102421.pdf","https://dpmzos25m8ivg.cloudfront.net/Documentos/631/05556166145/6310555616614505092023102421.pdf")</f>
        <v>https://dpmzos25m8ivg.cloudfront.net/Documentos/631/05556166145/6310555616614505092023102421.pdf</v>
      </c>
      <c r="G2527" s="5" t="str">
        <f>HYPERLINK("https://dpmzos25m8ivg.cloudfront.net/Documentos/631/05556166145/6310555616614505092023102435.pdf","https://dpmzos25m8ivg.cloudfront.net/Documentos/631/05556166145/6310555616614505092023102435.pdf")</f>
        <v>https://dpmzos25m8ivg.cloudfront.net/Documentos/631/05556166145/6310555616614505092023102435.pdf</v>
      </c>
      <c r="H2527" s="5" t="s">
        <v>11106</v>
      </c>
    </row>
    <row r="2528" spans="1:8" x14ac:dyDescent="0.25">
      <c r="A2528" s="2" t="s">
        <v>2544</v>
      </c>
      <c r="B2528" s="3"/>
      <c r="C2528" s="3"/>
      <c r="D2528" s="3"/>
      <c r="E2528" s="5" t="str">
        <f>HYPERLINK("https://dpmzos25m8ivg.cloudfront.net/Documentos/631/05556718440/6310555671844008092023050003.pdf","https://dpmzos25m8ivg.cloudfront.net/Documentos/631/05556718440/6310555671844008092023050003.pdf")</f>
        <v>https://dpmzos25m8ivg.cloudfront.net/Documentos/631/05556718440/6310555671844008092023050003.pdf</v>
      </c>
      <c r="F2528" s="5" t="str">
        <f>HYPERLINK("https://dpmzos25m8ivg.cloudfront.net/Documentos/631/05556718440/6310555671844008092023050013.pdf","https://dpmzos25m8ivg.cloudfront.net/Documentos/631/05556718440/6310555671844008092023050013.pdf")</f>
        <v>https://dpmzos25m8ivg.cloudfront.net/Documentos/631/05556718440/6310555671844008092023050013.pdf</v>
      </c>
      <c r="G2528" s="5" t="str">
        <f>HYPERLINK("https://dpmzos25m8ivg.cloudfront.net/Documentos/631/05556718440/6310555671844008092023050023.pdf","https://dpmzos25m8ivg.cloudfront.net/Documentos/631/05556718440/6310555671844008092023050023.pdf")</f>
        <v>https://dpmzos25m8ivg.cloudfront.net/Documentos/631/05556718440/6310555671844008092023050023.pdf</v>
      </c>
      <c r="H2528" s="5" t="s">
        <v>11107</v>
      </c>
    </row>
    <row r="2529" spans="1:8" x14ac:dyDescent="0.25">
      <c r="A2529" s="2" t="s">
        <v>2545</v>
      </c>
      <c r="B2529" s="3"/>
      <c r="C2529" s="3"/>
      <c r="D2529" s="3"/>
      <c r="E2529" s="5" t="str">
        <f>HYPERLINK("https://dpmzos25m8ivg.cloudfront.net/Documentos/631/05556790124/6310555679012410092023235531.pdf","https://dpmzos25m8ivg.cloudfront.net/Documentos/631/05556790124/6310555679012410092023235531.pdf")</f>
        <v>https://dpmzos25m8ivg.cloudfront.net/Documentos/631/05556790124/6310555679012410092023235531.pdf</v>
      </c>
      <c r="F2529" s="5" t="str">
        <f>HYPERLINK("https://dpmzos25m8ivg.cloudfront.net/Documentos/631/05556790124/6310555679012410092023235618.pdf","https://dpmzos25m8ivg.cloudfront.net/Documentos/631/05556790124/6310555679012410092023235618.pdf")</f>
        <v>https://dpmzos25m8ivg.cloudfront.net/Documentos/631/05556790124/6310555679012410092023235618.pdf</v>
      </c>
      <c r="G2529" s="5" t="str">
        <f>HYPERLINK("https://dpmzos25m8ivg.cloudfront.net/Documentos/631/05556790124/6310555679012410092023235632.pdf","https://dpmzos25m8ivg.cloudfront.net/Documentos/631/05556790124/6310555679012410092023235632.pdf")</f>
        <v>https://dpmzos25m8ivg.cloudfront.net/Documentos/631/05556790124/6310555679012410092023235632.pdf</v>
      </c>
      <c r="H2529" s="5" t="s">
        <v>11108</v>
      </c>
    </row>
    <row r="2530" spans="1:8" x14ac:dyDescent="0.25">
      <c r="A2530" s="2" t="s">
        <v>2546</v>
      </c>
      <c r="B2530" s="3"/>
      <c r="C2530" s="3"/>
      <c r="D2530" s="3"/>
      <c r="E2530" s="5" t="str">
        <f>HYPERLINK("https://dpmzos25m8ivg.cloudfront.net/Documentos/631/05557929355/6310555792935510092023154318.pdf","https://dpmzos25m8ivg.cloudfront.net/Documentos/631/05557929355/6310555792935510092023154318.pdf")</f>
        <v>https://dpmzos25m8ivg.cloudfront.net/Documentos/631/05557929355/6310555792935510092023154318.pdf</v>
      </c>
      <c r="F2530" s="5" t="str">
        <f>HYPERLINK("https://dpmzos25m8ivg.cloudfront.net/Documentos/631/05557929355/6310555792935510092023154445.pdf","https://dpmzos25m8ivg.cloudfront.net/Documentos/631/05557929355/6310555792935510092023154445.pdf")</f>
        <v>https://dpmzos25m8ivg.cloudfront.net/Documentos/631/05557929355/6310555792935510092023154445.pdf</v>
      </c>
      <c r="G2530" s="5" t="str">
        <f>HYPERLINK("https://dpmzos25m8ivg.cloudfront.net/Documentos/631/05557929355/6310555792935510092023154549.pdf","https://dpmzos25m8ivg.cloudfront.net/Documentos/631/05557929355/6310555792935510092023154549.pdf")</f>
        <v>https://dpmzos25m8ivg.cloudfront.net/Documentos/631/05557929355/6310555792935510092023154549.pdf</v>
      </c>
      <c r="H2530" s="5" t="s">
        <v>11109</v>
      </c>
    </row>
    <row r="2531" spans="1:8" x14ac:dyDescent="0.25">
      <c r="A2531" s="2" t="s">
        <v>2547</v>
      </c>
      <c r="B2531" s="3"/>
      <c r="C2531" s="3"/>
      <c r="D2531" s="3"/>
      <c r="E2531" s="5" t="str">
        <f>HYPERLINK("https://dpmzos25m8ivg.cloudfront.net/Documentos/631/05559317306/6310555931730614092023143549.jpg","https://dpmzos25m8ivg.cloudfront.net/Documentos/631/05559317306/6310555931730614092023143549.jpg")</f>
        <v>https://dpmzos25m8ivg.cloudfront.net/Documentos/631/05559317306/6310555931730614092023143549.jpg</v>
      </c>
      <c r="F2531" s="5" t="str">
        <f>HYPERLINK("https://dpmzos25m8ivg.cloudfront.net/Documentos/631/05559317306/6310555931730614092023143614.jpg","https://dpmzos25m8ivg.cloudfront.net/Documentos/631/05559317306/6310555931730614092023143614.jpg")</f>
        <v>https://dpmzos25m8ivg.cloudfront.net/Documentos/631/05559317306/6310555931730614092023143614.jpg</v>
      </c>
      <c r="G2531" s="5" t="str">
        <f>HYPERLINK("https://dpmzos25m8ivg.cloudfront.net/Documentos/631/05559317306/6310555931730614092023143905.jpg","https://dpmzos25m8ivg.cloudfront.net/Documentos/631/05559317306/6310555931730614092023143905.jpg")</f>
        <v>https://dpmzos25m8ivg.cloudfront.net/Documentos/631/05559317306/6310555931730614092023143905.jpg</v>
      </c>
      <c r="H2531" s="5" t="s">
        <v>11110</v>
      </c>
    </row>
    <row r="2532" spans="1:8" x14ac:dyDescent="0.25">
      <c r="A2532" s="2" t="s">
        <v>2548</v>
      </c>
      <c r="B2532" s="3"/>
      <c r="C2532" s="3"/>
      <c r="D2532" s="3"/>
      <c r="E2532" s="5" t="str">
        <f>HYPERLINK("https://dpmzos25m8ivg.cloudfront.net/Documentos/631/05560516104/6310556051610410092023201734.pdf","https://dpmzos25m8ivg.cloudfront.net/Documentos/631/05560516104/6310556051610410092023201734.pdf")</f>
        <v>https://dpmzos25m8ivg.cloudfront.net/Documentos/631/05560516104/6310556051610410092023201734.pdf</v>
      </c>
      <c r="F2532" s="5" t="str">
        <f>HYPERLINK("https://dpmzos25m8ivg.cloudfront.net/Documentos/631/05560516104/6310556051610410092023201749.pdf","https://dpmzos25m8ivg.cloudfront.net/Documentos/631/05560516104/6310556051610410092023201749.pdf")</f>
        <v>https://dpmzos25m8ivg.cloudfront.net/Documentos/631/05560516104/6310556051610410092023201749.pdf</v>
      </c>
      <c r="G2532" s="5" t="str">
        <f>HYPERLINK("https://dpmzos25m8ivg.cloudfront.net/Documentos/631/05560516104/6310556051610410092023201804.pdf","https://dpmzos25m8ivg.cloudfront.net/Documentos/631/05560516104/6310556051610410092023201804.pdf")</f>
        <v>https://dpmzos25m8ivg.cloudfront.net/Documentos/631/05560516104/6310556051610410092023201804.pdf</v>
      </c>
      <c r="H2532" s="5" t="s">
        <v>11111</v>
      </c>
    </row>
    <row r="2533" spans="1:8" x14ac:dyDescent="0.25">
      <c r="A2533" s="2" t="s">
        <v>2549</v>
      </c>
      <c r="B2533" s="3"/>
      <c r="C2533" s="3"/>
      <c r="D2533" s="3"/>
      <c r="E2533" s="5" t="str">
        <f>HYPERLINK("https://dpmzos25m8ivg.cloudfront.net/Documentos/631/05561667521/6310556166752111092023005537.pdf","https://dpmzos25m8ivg.cloudfront.net/Documentos/631/05561667521/6310556166752111092023005537.pdf")</f>
        <v>https://dpmzos25m8ivg.cloudfront.net/Documentos/631/05561667521/6310556166752111092023005537.pdf</v>
      </c>
      <c r="F2533" s="5" t="str">
        <f>HYPERLINK("https://dpmzos25m8ivg.cloudfront.net/Documentos/631/05561667521/6310556166752111092023005656.pdf","https://dpmzos25m8ivg.cloudfront.net/Documentos/631/05561667521/6310556166752111092023005656.pdf")</f>
        <v>https://dpmzos25m8ivg.cloudfront.net/Documentos/631/05561667521/6310556166752111092023005656.pdf</v>
      </c>
      <c r="G2533" s="5" t="str">
        <f>HYPERLINK("https://dpmzos25m8ivg.cloudfront.net/Documentos/631/05561667521/6310556166752111092023010003.pdf","https://dpmzos25m8ivg.cloudfront.net/Documentos/631/05561667521/6310556166752111092023010003.pdf")</f>
        <v>https://dpmzos25m8ivg.cloudfront.net/Documentos/631/05561667521/6310556166752111092023010003.pdf</v>
      </c>
      <c r="H2533" s="5" t="s">
        <v>11112</v>
      </c>
    </row>
    <row r="2534" spans="1:8" x14ac:dyDescent="0.25">
      <c r="A2534" s="2" t="s">
        <v>2550</v>
      </c>
      <c r="B2534" s="3"/>
      <c r="C2534" s="3"/>
      <c r="D2534" s="3"/>
      <c r="E2534" s="5" t="str">
        <f>HYPERLINK("https://dpmzos25m8ivg.cloudfront.net/Documentos/631/05561811401/6310556181140105092023160230.jpg","https://dpmzos25m8ivg.cloudfront.net/Documentos/631/05561811401/6310556181140105092023160230.jpg")</f>
        <v>https://dpmzos25m8ivg.cloudfront.net/Documentos/631/05561811401/6310556181140105092023160230.jpg</v>
      </c>
      <c r="F2534" s="5" t="str">
        <f>HYPERLINK("https://dpmzos25m8ivg.cloudfront.net/Documentos/631/05561811401/6310556181140105092023160310.jpg","https://dpmzos25m8ivg.cloudfront.net/Documentos/631/05561811401/6310556181140105092023160310.jpg")</f>
        <v>https://dpmzos25m8ivg.cloudfront.net/Documentos/631/05561811401/6310556181140105092023160310.jpg</v>
      </c>
      <c r="G2534" s="5" t="str">
        <f>HYPERLINK("https://dpmzos25m8ivg.cloudfront.net/Documentos/631/05561811401/6310556181140105092023160328.jpg","https://dpmzos25m8ivg.cloudfront.net/Documentos/631/05561811401/6310556181140105092023160328.jpg")</f>
        <v>https://dpmzos25m8ivg.cloudfront.net/Documentos/631/05561811401/6310556181140105092023160328.jpg</v>
      </c>
      <c r="H2534" s="5" t="s">
        <v>11113</v>
      </c>
    </row>
    <row r="2535" spans="1:8" x14ac:dyDescent="0.25">
      <c r="A2535" s="2" t="s">
        <v>2551</v>
      </c>
      <c r="B2535" s="3"/>
      <c r="C2535" s="3"/>
      <c r="D2535" s="3"/>
      <c r="E2535" s="5" t="str">
        <f>HYPERLINK("https://dpmzos25m8ivg.cloudfront.net/Documentos/631/05563203522/6310556320352211092023152849.jpeg","https://dpmzos25m8ivg.cloudfront.net/Documentos/631/05563203522/6310556320352211092023152849.jpeg")</f>
        <v>https://dpmzos25m8ivg.cloudfront.net/Documentos/631/05563203522/6310556320352211092023152849.jpeg</v>
      </c>
      <c r="F2535" s="5" t="str">
        <f>HYPERLINK("https://dpmzos25m8ivg.cloudfront.net/Documentos/631/05563203522/6310556320352211092023152934.jpeg","https://dpmzos25m8ivg.cloudfront.net/Documentos/631/05563203522/6310556320352211092023152934.jpeg")</f>
        <v>https://dpmzos25m8ivg.cloudfront.net/Documentos/631/05563203522/6310556320352211092023152934.jpeg</v>
      </c>
      <c r="G2535" s="5" t="str">
        <f>HYPERLINK("https://dpmzos25m8ivg.cloudfront.net/Documentos/631/05563203522/6310556320352211092023153104.jpeg","https://dpmzos25m8ivg.cloudfront.net/Documentos/631/05563203522/6310556320352211092023153104.jpeg")</f>
        <v>https://dpmzos25m8ivg.cloudfront.net/Documentos/631/05563203522/6310556320352211092023153104.jpeg</v>
      </c>
      <c r="H2535" s="5" t="s">
        <v>11114</v>
      </c>
    </row>
    <row r="2536" spans="1:8" x14ac:dyDescent="0.25">
      <c r="A2536" s="2" t="s">
        <v>2552</v>
      </c>
      <c r="B2536" s="3"/>
      <c r="C2536" s="3"/>
      <c r="D2536" s="3"/>
      <c r="E2536" s="5" t="str">
        <f>HYPERLINK("https://dpmzos25m8ivg.cloudfront.net/Documentos/631/05564610709/6310556461070911092023164713.pdf","https://dpmzos25m8ivg.cloudfront.net/Documentos/631/05564610709/6310556461070911092023164713.pdf")</f>
        <v>https://dpmzos25m8ivg.cloudfront.net/Documentos/631/05564610709/6310556461070911092023164713.pdf</v>
      </c>
      <c r="F2536" s="5" t="str">
        <f>HYPERLINK("https://dpmzos25m8ivg.cloudfront.net/Documentos/631/05564610709/6310556461070911092023164602.pdf","https://dpmzos25m8ivg.cloudfront.net/Documentos/631/05564610709/6310556461070911092023164602.pdf")</f>
        <v>https://dpmzos25m8ivg.cloudfront.net/Documentos/631/05564610709/6310556461070911092023164602.pdf</v>
      </c>
      <c r="G2536" s="5" t="str">
        <f>HYPERLINK("https://dpmzos25m8ivg.cloudfront.net/Documentos/631/05564610709/6310556461070911092023164728.pdf","https://dpmzos25m8ivg.cloudfront.net/Documentos/631/05564610709/6310556461070911092023164728.pdf")</f>
        <v>https://dpmzos25m8ivg.cloudfront.net/Documentos/631/05564610709/6310556461070911092023164728.pdf</v>
      </c>
      <c r="H2536" s="5" t="s">
        <v>11115</v>
      </c>
    </row>
    <row r="2537" spans="1:8" x14ac:dyDescent="0.25">
      <c r="A2537" s="2" t="s">
        <v>2553</v>
      </c>
      <c r="B2537" s="3"/>
      <c r="C2537" s="3"/>
      <c r="D2537" s="3"/>
      <c r="E2537" s="5" t="str">
        <f>HYPERLINK("https://dpmzos25m8ivg.cloudfront.net/Documentos/631/05567690312/6310556769031211092023162227.pdf","https://dpmzos25m8ivg.cloudfront.net/Documentos/631/05567690312/6310556769031211092023162227.pdf")</f>
        <v>https://dpmzos25m8ivg.cloudfront.net/Documentos/631/05567690312/6310556769031211092023162227.pdf</v>
      </c>
      <c r="F2537" s="5" t="str">
        <f>HYPERLINK("https://dpmzos25m8ivg.cloudfront.net/Documentos/631/05567690312/6310556769031211092023162316.pdf","https://dpmzos25m8ivg.cloudfront.net/Documentos/631/05567690312/6310556769031211092023162316.pdf")</f>
        <v>https://dpmzos25m8ivg.cloudfront.net/Documentos/631/05567690312/6310556769031211092023162316.pdf</v>
      </c>
      <c r="G2537" s="5" t="str">
        <f>HYPERLINK("https://dpmzos25m8ivg.cloudfront.net/Documentos/631/05567690312/6310556769031211092023162349.pdf","https://dpmzos25m8ivg.cloudfront.net/Documentos/631/05567690312/6310556769031211092023162349.pdf")</f>
        <v>https://dpmzos25m8ivg.cloudfront.net/Documentos/631/05567690312/6310556769031211092023162349.pdf</v>
      </c>
      <c r="H2537" s="5" t="s">
        <v>11116</v>
      </c>
    </row>
    <row r="2538" spans="1:8" x14ac:dyDescent="0.25">
      <c r="A2538" s="2" t="s">
        <v>2554</v>
      </c>
      <c r="B2538" s="3"/>
      <c r="C2538" s="3"/>
      <c r="D2538" s="3"/>
      <c r="E2538" s="5" t="str">
        <f>HYPERLINK("https://dpmzos25m8ivg.cloudfront.net/Documentos/631/05569174567/6310556917456711092023125914.pdf","https://dpmzos25m8ivg.cloudfront.net/Documentos/631/05569174567/6310556917456711092023125914.pdf")</f>
        <v>https://dpmzos25m8ivg.cloudfront.net/Documentos/631/05569174567/6310556917456711092023125914.pdf</v>
      </c>
      <c r="F2538" s="5" t="str">
        <f>HYPERLINK("https://dpmzos25m8ivg.cloudfront.net/Documentos/631/05569174567/6310556917456711092023125932.pdf","https://dpmzos25m8ivg.cloudfront.net/Documentos/631/05569174567/6310556917456711092023125932.pdf")</f>
        <v>https://dpmzos25m8ivg.cloudfront.net/Documentos/631/05569174567/6310556917456711092023125932.pdf</v>
      </c>
      <c r="G2538" s="5" t="str">
        <f>HYPERLINK("https://dpmzos25m8ivg.cloudfront.net/Documentos/631/05569174567/6310556917456711092023130013.pdf","https://dpmzos25m8ivg.cloudfront.net/Documentos/631/05569174567/6310556917456711092023130013.pdf")</f>
        <v>https://dpmzos25m8ivg.cloudfront.net/Documentos/631/05569174567/6310556917456711092023130013.pdf</v>
      </c>
      <c r="H2538" s="5" t="s">
        <v>11117</v>
      </c>
    </row>
    <row r="2539" spans="1:8" x14ac:dyDescent="0.25">
      <c r="A2539" s="2" t="s">
        <v>2555</v>
      </c>
      <c r="B2539" s="3"/>
      <c r="C2539" s="3"/>
      <c r="D2539" s="3"/>
      <c r="E2539" s="5" t="str">
        <f>HYPERLINK("https://dpmzos25m8ivg.cloudfront.net/Documentos/631/05569783318/6310556978331811092023164410.pdf","https://dpmzos25m8ivg.cloudfront.net/Documentos/631/05569783318/6310556978331811092023164410.pdf")</f>
        <v>https://dpmzos25m8ivg.cloudfront.net/Documentos/631/05569783318/6310556978331811092023164410.pdf</v>
      </c>
      <c r="F2539" s="5" t="str">
        <f>HYPERLINK("https://dpmzos25m8ivg.cloudfront.net/Documentos/631/05569783318/6310556978331811092023164417.pdf","https://dpmzos25m8ivg.cloudfront.net/Documentos/631/05569783318/6310556978331811092023164417.pdf")</f>
        <v>https://dpmzos25m8ivg.cloudfront.net/Documentos/631/05569783318/6310556978331811092023164417.pdf</v>
      </c>
      <c r="G2539" s="5" t="str">
        <f>HYPERLINK("https://dpmzos25m8ivg.cloudfront.net/Documentos/631/05569783318/6310556978331811092023164425.pdf","https://dpmzos25m8ivg.cloudfront.net/Documentos/631/05569783318/6310556978331811092023164425.pdf")</f>
        <v>https://dpmzos25m8ivg.cloudfront.net/Documentos/631/05569783318/6310556978331811092023164425.pdf</v>
      </c>
      <c r="H2539" s="5" t="s">
        <v>11118</v>
      </c>
    </row>
    <row r="2540" spans="1:8" x14ac:dyDescent="0.25">
      <c r="A2540" s="2" t="s">
        <v>2556</v>
      </c>
      <c r="B2540" s="3" t="s">
        <v>2358</v>
      </c>
      <c r="C2540" s="3"/>
      <c r="D2540" s="3"/>
      <c r="E2540" s="5" t="str">
        <f>HYPERLINK("https://dpmzos25m8ivg.cloudfront.net/Documentos/631/05570129537/6310557012953709092023192314.jpg","https://dpmzos25m8ivg.cloudfront.net/Documentos/631/05570129537/6310557012953709092023192314.jpg")</f>
        <v>https://dpmzos25m8ivg.cloudfront.net/Documentos/631/05570129537/6310557012953709092023192314.jpg</v>
      </c>
      <c r="F2540" s="5" t="str">
        <f>HYPERLINK("https://dpmzos25m8ivg.cloudfront.net/Documentos/631/05570129537/6310557012953709092023192021.jpeg","https://dpmzos25m8ivg.cloudfront.net/Documentos/631/05570129537/6310557012953709092023192021.jpeg")</f>
        <v>https://dpmzos25m8ivg.cloudfront.net/Documentos/631/05570129537/6310557012953709092023192021.jpeg</v>
      </c>
      <c r="G2540" s="5" t="str">
        <f>HYPERLINK("https://dpmzos25m8ivg.cloudfront.net/Documentos/631/05570129537/6310557012953709092023192353.jpeg","https://dpmzos25m8ivg.cloudfront.net/Documentos/631/05570129537/6310557012953709092023192353.jpeg")</f>
        <v>https://dpmzos25m8ivg.cloudfront.net/Documentos/631/05570129537/6310557012953709092023192353.jpeg</v>
      </c>
      <c r="H2540" s="5" t="s">
        <v>11119</v>
      </c>
    </row>
    <row r="2541" spans="1:8" x14ac:dyDescent="0.25">
      <c r="A2541" s="2" t="s">
        <v>2557</v>
      </c>
      <c r="B2541" s="3"/>
      <c r="C2541" s="3"/>
      <c r="D2541" s="3"/>
      <c r="E2541" s="5" t="str">
        <f>HYPERLINK("https://dpmzos25m8ivg.cloudfront.net/Documentos/631/05570253386/6310557025338611092023163830.pdf","https://dpmzos25m8ivg.cloudfront.net/Documentos/631/05570253386/6310557025338611092023163830.pdf")</f>
        <v>https://dpmzos25m8ivg.cloudfront.net/Documentos/631/05570253386/6310557025338611092023163830.pdf</v>
      </c>
      <c r="F2541" s="5" t="str">
        <f>HYPERLINK("https://dpmzos25m8ivg.cloudfront.net/Documentos/631/05570253386/6310557025338611092023163912.pdf","https://dpmzos25m8ivg.cloudfront.net/Documentos/631/05570253386/6310557025338611092023163912.pdf")</f>
        <v>https://dpmzos25m8ivg.cloudfront.net/Documentos/631/05570253386/6310557025338611092023163912.pdf</v>
      </c>
      <c r="G2541" s="5" t="str">
        <f>HYPERLINK("https://dpmzos25m8ivg.cloudfront.net/Documentos/631/05570253386/6310557025338611092023163931.pdf","https://dpmzos25m8ivg.cloudfront.net/Documentos/631/05570253386/6310557025338611092023163931.pdf")</f>
        <v>https://dpmzos25m8ivg.cloudfront.net/Documentos/631/05570253386/6310557025338611092023163931.pdf</v>
      </c>
      <c r="H2541" s="5" t="s">
        <v>11120</v>
      </c>
    </row>
    <row r="2542" spans="1:8" x14ac:dyDescent="0.25">
      <c r="A2542" s="2" t="s">
        <v>2558</v>
      </c>
      <c r="B2542" s="3"/>
      <c r="C2542" s="3"/>
      <c r="D2542" s="3"/>
      <c r="E2542" s="5" t="str">
        <f>HYPERLINK("https://dpmzos25m8ivg.cloudfront.net/Documentos/631/05570540369/6310557054036906092023171815.pdf","https://dpmzos25m8ivg.cloudfront.net/Documentos/631/05570540369/6310557054036906092023171815.pdf")</f>
        <v>https://dpmzos25m8ivg.cloudfront.net/Documentos/631/05570540369/6310557054036906092023171815.pdf</v>
      </c>
      <c r="F2542" s="5" t="str">
        <f>HYPERLINK("https://dpmzos25m8ivg.cloudfront.net/Documentos/631/05570540369/6310557054036906092023171829.pdf","https://dpmzos25m8ivg.cloudfront.net/Documentos/631/05570540369/6310557054036906092023171829.pdf")</f>
        <v>https://dpmzos25m8ivg.cloudfront.net/Documentos/631/05570540369/6310557054036906092023171829.pdf</v>
      </c>
      <c r="G2542" s="5" t="str">
        <f>HYPERLINK("https://dpmzos25m8ivg.cloudfront.net/Documentos/631/05570540369/6310557054036906092023171845.pdf","https://dpmzos25m8ivg.cloudfront.net/Documentos/631/05570540369/6310557054036906092023171845.pdf")</f>
        <v>https://dpmzos25m8ivg.cloudfront.net/Documentos/631/05570540369/6310557054036906092023171845.pdf</v>
      </c>
      <c r="H2542" s="5" t="s">
        <v>11121</v>
      </c>
    </row>
    <row r="2543" spans="1:8" x14ac:dyDescent="0.25">
      <c r="A2543" s="2" t="s">
        <v>2559</v>
      </c>
      <c r="B2543" s="3"/>
      <c r="C2543" s="3"/>
      <c r="D2543" s="3"/>
      <c r="E2543" s="5" t="str">
        <f>HYPERLINK("https://dpmzos25m8ivg.cloudfront.net/Documentos/631/05572393541/6310557239354106092023213130.pdf","https://dpmzos25m8ivg.cloudfront.net/Documentos/631/05572393541/6310557239354106092023213130.pdf")</f>
        <v>https://dpmzos25m8ivg.cloudfront.net/Documentos/631/05572393541/6310557239354106092023213130.pdf</v>
      </c>
      <c r="F2543" s="5" t="str">
        <f>HYPERLINK("https://dpmzos25m8ivg.cloudfront.net/Documentos/631/05572393541/6310557239354106092023213215.pdf","https://dpmzos25m8ivg.cloudfront.net/Documentos/631/05572393541/6310557239354106092023213215.pdf")</f>
        <v>https://dpmzos25m8ivg.cloudfront.net/Documentos/631/05572393541/6310557239354106092023213215.pdf</v>
      </c>
      <c r="G2543" s="5" t="str">
        <f>HYPERLINK("https://dpmzos25m8ivg.cloudfront.net/Documentos/631/05572393541/6310557239354106092023213311.pdf","https://dpmzos25m8ivg.cloudfront.net/Documentos/631/05572393541/6310557239354106092023213311.pdf")</f>
        <v>https://dpmzos25m8ivg.cloudfront.net/Documentos/631/05572393541/6310557239354106092023213311.pdf</v>
      </c>
      <c r="H2543" s="5" t="s">
        <v>11122</v>
      </c>
    </row>
    <row r="2544" spans="1:8" x14ac:dyDescent="0.25">
      <c r="A2544" s="2" t="s">
        <v>2560</v>
      </c>
      <c r="B2544" s="3" t="s">
        <v>8</v>
      </c>
      <c r="C2544" s="3"/>
      <c r="D2544" s="3"/>
      <c r="E2544" s="5" t="str">
        <f>HYPERLINK("https://dpmzos25m8ivg.cloudfront.net/Documentos/631/05574057344/6310557405734411092023165732.pdf","https://dpmzos25m8ivg.cloudfront.net/Documentos/631/05574057344/6310557405734411092023165732.pdf")</f>
        <v>https://dpmzos25m8ivg.cloudfront.net/Documentos/631/05574057344/6310557405734411092023165732.pdf</v>
      </c>
      <c r="F2544" s="5" t="str">
        <f>HYPERLINK("https://dpmzos25m8ivg.cloudfront.net/Documentos/631/05574057344/6310557405734411092023165906.pdf","https://dpmzos25m8ivg.cloudfront.net/Documentos/631/05574057344/6310557405734411092023165906.pdf")</f>
        <v>https://dpmzos25m8ivg.cloudfront.net/Documentos/631/05574057344/6310557405734411092023165906.pdf</v>
      </c>
      <c r="G2544" s="5" t="str">
        <f>HYPERLINK("https://dpmzos25m8ivg.cloudfront.net/Documentos/631/05574057344/6310557405734411092023165931.pdf","https://dpmzos25m8ivg.cloudfront.net/Documentos/631/05574057344/6310557405734411092023165931.pdf")</f>
        <v>https://dpmzos25m8ivg.cloudfront.net/Documentos/631/05574057344/6310557405734411092023165931.pdf</v>
      </c>
      <c r="H2544" s="5" t="s">
        <v>9010</v>
      </c>
    </row>
    <row r="2545" spans="1:8" x14ac:dyDescent="0.25">
      <c r="A2545" s="2" t="s">
        <v>2561</v>
      </c>
      <c r="B2545" s="3"/>
      <c r="C2545" s="3"/>
      <c r="D2545" s="3"/>
      <c r="E2545" s="5" t="str">
        <f>HYPERLINK("https://dpmzos25m8ivg.cloudfront.net/Documentos/631/05575161536/6310557516153611092023135826.jpg","https://dpmzos25m8ivg.cloudfront.net/Documentos/631/05575161536/6310557516153611092023135826.jpg")</f>
        <v>https://dpmzos25m8ivg.cloudfront.net/Documentos/631/05575161536/6310557516153611092023135826.jpg</v>
      </c>
      <c r="F2545" s="5" t="str">
        <f>HYPERLINK("https://dpmzos25m8ivg.cloudfront.net/Documentos/631/05575161536/6310557516153611092023135841.jpg","https://dpmzos25m8ivg.cloudfront.net/Documentos/631/05575161536/6310557516153611092023135841.jpg")</f>
        <v>https://dpmzos25m8ivg.cloudfront.net/Documentos/631/05575161536/6310557516153611092023135841.jpg</v>
      </c>
      <c r="G2545" s="5" t="str">
        <f>HYPERLINK("https://dpmzos25m8ivg.cloudfront.net/Documentos/631/05575161536/6310557516153611092023135852.jpg","https://dpmzos25m8ivg.cloudfront.net/Documentos/631/05575161536/6310557516153611092023135852.jpg")</f>
        <v>https://dpmzos25m8ivg.cloudfront.net/Documentos/631/05575161536/6310557516153611092023135852.jpg</v>
      </c>
      <c r="H2545" s="5" t="s">
        <v>11123</v>
      </c>
    </row>
    <row r="2546" spans="1:8" x14ac:dyDescent="0.25">
      <c r="A2546" s="2" t="s">
        <v>2562</v>
      </c>
      <c r="B2546" s="3"/>
      <c r="C2546" s="3"/>
      <c r="D2546" s="3"/>
      <c r="E2546" s="5" t="str">
        <f>HYPERLINK("https://dpmzos25m8ivg.cloudfront.net/Documentos/631/05577647509/6310557764750911092023105614.pdf","https://dpmzos25m8ivg.cloudfront.net/Documentos/631/05577647509/6310557764750911092023105614.pdf")</f>
        <v>https://dpmzos25m8ivg.cloudfront.net/Documentos/631/05577647509/6310557764750911092023105614.pdf</v>
      </c>
      <c r="F2546" s="5" t="str">
        <f>HYPERLINK("https://dpmzos25m8ivg.cloudfront.net/Documentos/631/05577647509/6310557764750911092023105631.pdf","https://dpmzos25m8ivg.cloudfront.net/Documentos/631/05577647509/6310557764750911092023105631.pdf")</f>
        <v>https://dpmzos25m8ivg.cloudfront.net/Documentos/631/05577647509/6310557764750911092023105631.pdf</v>
      </c>
      <c r="G2546" s="5" t="str">
        <f>HYPERLINK("https://dpmzos25m8ivg.cloudfront.net/Documentos/631/05577647509/6310557764750911092023105652.pdf","https://dpmzos25m8ivg.cloudfront.net/Documentos/631/05577647509/6310557764750911092023105652.pdf")</f>
        <v>https://dpmzos25m8ivg.cloudfront.net/Documentos/631/05577647509/6310557764750911092023105652.pdf</v>
      </c>
      <c r="H2546" s="5" t="s">
        <v>11124</v>
      </c>
    </row>
    <row r="2547" spans="1:8" x14ac:dyDescent="0.25">
      <c r="A2547" s="2" t="s">
        <v>2563</v>
      </c>
      <c r="B2547" s="3" t="s">
        <v>8</v>
      </c>
      <c r="C2547" s="3"/>
      <c r="D2547" s="3"/>
      <c r="E2547" s="5" t="str">
        <f>HYPERLINK("https://dpmzos25m8ivg.cloudfront.net/Documentos/631/05581905533/6310558190553314092023095059.pdf","https://dpmzos25m8ivg.cloudfront.net/Documentos/631/05581905533/6310558190553314092023095059.pdf")</f>
        <v>https://dpmzos25m8ivg.cloudfront.net/Documentos/631/05581905533/6310558190553314092023095059.pdf</v>
      </c>
      <c r="F2547" s="5" t="str">
        <f>HYPERLINK("https://dpmzos25m8ivg.cloudfront.net/Documentos/631/05581905533/6310558190553314092023095108.pdf","https://dpmzos25m8ivg.cloudfront.net/Documentos/631/05581905533/6310558190553314092023095108.pdf")</f>
        <v>https://dpmzos25m8ivg.cloudfront.net/Documentos/631/05581905533/6310558190553314092023095108.pdf</v>
      </c>
      <c r="G2547" s="5" t="str">
        <f>HYPERLINK("https://dpmzos25m8ivg.cloudfront.net/Documentos/631/05581905533/6310558190553314092023095117.pdf","https://dpmzos25m8ivg.cloudfront.net/Documentos/631/05581905533/6310558190553314092023095117.pdf")</f>
        <v>https://dpmzos25m8ivg.cloudfront.net/Documentos/631/05581905533/6310558190553314092023095117.pdf</v>
      </c>
      <c r="H2547" s="5" t="s">
        <v>11125</v>
      </c>
    </row>
    <row r="2548" spans="1:8" x14ac:dyDescent="0.25">
      <c r="A2548" s="2" t="s">
        <v>2564</v>
      </c>
      <c r="B2548" s="3"/>
      <c r="C2548" s="3"/>
      <c r="D2548" s="3"/>
      <c r="E2548" s="5" t="str">
        <f>HYPERLINK("https://dpmzos25m8ivg.cloudfront.net/Documentos/631/05581960984/6310558196098411092023110830.pdf","https://dpmzos25m8ivg.cloudfront.net/Documentos/631/05581960984/6310558196098411092023110830.pdf")</f>
        <v>https://dpmzos25m8ivg.cloudfront.net/Documentos/631/05581960984/6310558196098411092023110830.pdf</v>
      </c>
      <c r="F2548" s="5" t="str">
        <f>HYPERLINK("https://dpmzos25m8ivg.cloudfront.net/Documentos/631/05581960984/6310558196098411092023110842.pdf","https://dpmzos25m8ivg.cloudfront.net/Documentos/631/05581960984/6310558196098411092023110842.pdf")</f>
        <v>https://dpmzos25m8ivg.cloudfront.net/Documentos/631/05581960984/6310558196098411092023110842.pdf</v>
      </c>
      <c r="G2548" s="5" t="str">
        <f>HYPERLINK("https://dpmzos25m8ivg.cloudfront.net/Documentos/631/05581960984/6310558196098411092023110853.pdf","https://dpmzos25m8ivg.cloudfront.net/Documentos/631/05581960984/6310558196098411092023110853.pdf")</f>
        <v>https://dpmzos25m8ivg.cloudfront.net/Documentos/631/05581960984/6310558196098411092023110853.pdf</v>
      </c>
      <c r="H2548" s="5" t="s">
        <v>11126</v>
      </c>
    </row>
    <row r="2549" spans="1:8" x14ac:dyDescent="0.25">
      <c r="A2549" s="2" t="s">
        <v>2565</v>
      </c>
      <c r="B2549" s="3"/>
      <c r="C2549" s="3"/>
      <c r="D2549" s="3"/>
      <c r="E2549" s="5" t="str">
        <f>HYPERLINK("https://dpmzos25m8ivg.cloudfront.net/Documentos/631/05583755105/6310558375510506092023185531.pdf","https://dpmzos25m8ivg.cloudfront.net/Documentos/631/05583755105/6310558375510506092023185531.pdf")</f>
        <v>https://dpmzos25m8ivg.cloudfront.net/Documentos/631/05583755105/6310558375510506092023185531.pdf</v>
      </c>
      <c r="F2549" s="5" t="str">
        <f>HYPERLINK("https://dpmzos25m8ivg.cloudfront.net/Documentos/631/05583755105/6310558375510506092023185540.pdf","https://dpmzos25m8ivg.cloudfront.net/Documentos/631/05583755105/6310558375510506092023185540.pdf")</f>
        <v>https://dpmzos25m8ivg.cloudfront.net/Documentos/631/05583755105/6310558375510506092023185540.pdf</v>
      </c>
      <c r="G2549" s="5" t="str">
        <f>HYPERLINK("https://dpmzos25m8ivg.cloudfront.net/Documentos/631/05583755105/6310558375510506092023185549.pdf","https://dpmzos25m8ivg.cloudfront.net/Documentos/631/05583755105/6310558375510506092023185549.pdf")</f>
        <v>https://dpmzos25m8ivg.cloudfront.net/Documentos/631/05583755105/6310558375510506092023185549.pdf</v>
      </c>
      <c r="H2549" s="5" t="s">
        <v>11127</v>
      </c>
    </row>
    <row r="2550" spans="1:8" x14ac:dyDescent="0.25">
      <c r="A2550" s="2" t="s">
        <v>2566</v>
      </c>
      <c r="B2550" s="3"/>
      <c r="C2550" s="3"/>
      <c r="D2550" s="3"/>
      <c r="E2550" s="5" t="str">
        <f>HYPERLINK("https://dpmzos25m8ivg.cloudfront.net/Documentos/631/05586306506/6310558630650611092023000817.pdf","https://dpmzos25m8ivg.cloudfront.net/Documentos/631/05586306506/6310558630650611092023000817.pdf")</f>
        <v>https://dpmzos25m8ivg.cloudfront.net/Documentos/631/05586306506/6310558630650611092023000817.pdf</v>
      </c>
      <c r="F2550" s="5" t="str">
        <f>HYPERLINK("https://dpmzos25m8ivg.cloudfront.net/Documentos/631/05586306506/6310558630650611092023000853.pdf","https://dpmzos25m8ivg.cloudfront.net/Documentos/631/05586306506/6310558630650611092023000853.pdf")</f>
        <v>https://dpmzos25m8ivg.cloudfront.net/Documentos/631/05586306506/6310558630650611092023000853.pdf</v>
      </c>
      <c r="G2550" s="5" t="str">
        <f>HYPERLINK("https://dpmzos25m8ivg.cloudfront.net/Documentos/631/05586306506/6310558630650611092023000910.pdf","https://dpmzos25m8ivg.cloudfront.net/Documentos/631/05586306506/6310558630650611092023000910.pdf")</f>
        <v>https://dpmzos25m8ivg.cloudfront.net/Documentos/631/05586306506/6310558630650611092023000910.pdf</v>
      </c>
      <c r="H2550" s="5" t="s">
        <v>11128</v>
      </c>
    </row>
    <row r="2551" spans="1:8" x14ac:dyDescent="0.25">
      <c r="A2551" s="2" t="s">
        <v>2567</v>
      </c>
      <c r="B2551" s="3"/>
      <c r="C2551" s="3"/>
      <c r="D2551" s="3"/>
      <c r="E2551" s="5" t="str">
        <f>HYPERLINK("https://dpmzos25m8ivg.cloudfront.net/Documentos/631/05586958767/6310558695876711092023160428.pdf","https://dpmzos25m8ivg.cloudfront.net/Documentos/631/05586958767/6310558695876711092023160428.pdf")</f>
        <v>https://dpmzos25m8ivg.cloudfront.net/Documentos/631/05586958767/6310558695876711092023160428.pdf</v>
      </c>
      <c r="F2551" s="5" t="str">
        <f>HYPERLINK("https://dpmzos25m8ivg.cloudfront.net/Documentos/631/05586958767/6310558695876711092023160449.pdf","https://dpmzos25m8ivg.cloudfront.net/Documentos/631/05586958767/6310558695876711092023160449.pdf")</f>
        <v>https://dpmzos25m8ivg.cloudfront.net/Documentos/631/05586958767/6310558695876711092023160449.pdf</v>
      </c>
      <c r="G2551" s="5" t="str">
        <f>HYPERLINK("https://dpmzos25m8ivg.cloudfront.net/Documentos/631/05586958767/6310558695876711092023160521.pdf","https://dpmzos25m8ivg.cloudfront.net/Documentos/631/05586958767/6310558695876711092023160521.pdf")</f>
        <v>https://dpmzos25m8ivg.cloudfront.net/Documentos/631/05586958767/6310558695876711092023160521.pdf</v>
      </c>
      <c r="H2551" s="5" t="s">
        <v>11129</v>
      </c>
    </row>
    <row r="2552" spans="1:8" x14ac:dyDescent="0.25">
      <c r="A2552" s="2" t="s">
        <v>2568</v>
      </c>
      <c r="B2552" s="3" t="s">
        <v>2358</v>
      </c>
      <c r="C2552" s="3"/>
      <c r="D2552" s="3"/>
      <c r="E2552" s="5" t="str">
        <f>HYPERLINK("https://dpmzos25m8ivg.cloudfront.net/Documentos/631/05589513502/6310558951350210092023200525.pdf","https://dpmzos25m8ivg.cloudfront.net/Documentos/631/05589513502/6310558951350210092023200525.pdf")</f>
        <v>https://dpmzos25m8ivg.cloudfront.net/Documentos/631/05589513502/6310558951350210092023200525.pdf</v>
      </c>
      <c r="F2552" s="5" t="str">
        <f>HYPERLINK("https://dpmzos25m8ivg.cloudfront.net/Documentos/631/05589513502/6310558951350210092023200604.pdf","https://dpmzos25m8ivg.cloudfront.net/Documentos/631/05589513502/6310558951350210092023200604.pdf")</f>
        <v>https://dpmzos25m8ivg.cloudfront.net/Documentos/631/05589513502/6310558951350210092023200604.pdf</v>
      </c>
      <c r="G2552" s="5" t="str">
        <f>HYPERLINK("https://dpmzos25m8ivg.cloudfront.net/Documentos/631/05589513502/6310558951350210092023200643.pdf","https://dpmzos25m8ivg.cloudfront.net/Documentos/631/05589513502/6310558951350210092023200643.pdf")</f>
        <v>https://dpmzos25m8ivg.cloudfront.net/Documentos/631/05589513502/6310558951350210092023200643.pdf</v>
      </c>
      <c r="H2552" s="5" t="s">
        <v>11130</v>
      </c>
    </row>
    <row r="2553" spans="1:8" x14ac:dyDescent="0.25">
      <c r="A2553" s="2" t="s">
        <v>2569</v>
      </c>
      <c r="B2553" s="3"/>
      <c r="C2553" s="3"/>
      <c r="D2553" s="3"/>
      <c r="E2553" s="5" t="str">
        <f>HYPERLINK("https://dpmzos25m8ivg.cloudfront.net/Documentos/631/05591303412/6310559130341205092023213326.jpg","https://dpmzos25m8ivg.cloudfront.net/Documentos/631/05591303412/6310559130341205092023213326.jpg")</f>
        <v>https://dpmzos25m8ivg.cloudfront.net/Documentos/631/05591303412/6310559130341205092023213326.jpg</v>
      </c>
      <c r="F2553" s="5" t="str">
        <f>HYPERLINK("https://dpmzos25m8ivg.cloudfront.net/Documentos/631/05591303412/6310559130341205092023213342.jpg","https://dpmzos25m8ivg.cloudfront.net/Documentos/631/05591303412/6310559130341205092023213342.jpg")</f>
        <v>https://dpmzos25m8ivg.cloudfront.net/Documentos/631/05591303412/6310559130341205092023213342.jpg</v>
      </c>
      <c r="G2553" s="5" t="str">
        <f>HYPERLINK("https://dpmzos25m8ivg.cloudfront.net/Documentos/631/05591303412/6310559130341205092023213400.jpg","https://dpmzos25m8ivg.cloudfront.net/Documentos/631/05591303412/6310559130341205092023213400.jpg")</f>
        <v>https://dpmzos25m8ivg.cloudfront.net/Documentos/631/05591303412/6310559130341205092023213400.jpg</v>
      </c>
      <c r="H2553" s="5" t="s">
        <v>11131</v>
      </c>
    </row>
    <row r="2554" spans="1:8" x14ac:dyDescent="0.25">
      <c r="A2554" s="2" t="s">
        <v>2570</v>
      </c>
      <c r="B2554" s="3" t="s">
        <v>8</v>
      </c>
      <c r="C2554" s="3"/>
      <c r="D2554" s="3"/>
      <c r="E2554" s="5" t="str">
        <f>HYPERLINK("https://dpmzos25m8ivg.cloudfront.net/Documentos/631/05594433589/6310559443358911092023144853.jpeg","https://dpmzos25m8ivg.cloudfront.net/Documentos/631/05594433589/6310559443358911092023144853.jpeg")</f>
        <v>https://dpmzos25m8ivg.cloudfront.net/Documentos/631/05594433589/6310559443358911092023144853.jpeg</v>
      </c>
      <c r="F2554" s="5" t="str">
        <f>HYPERLINK("https://dpmzos25m8ivg.cloudfront.net/Documentos/631/05594433589/6310559443358911092023144930.jpeg","https://dpmzos25m8ivg.cloudfront.net/Documentos/631/05594433589/6310559443358911092023144930.jpeg")</f>
        <v>https://dpmzos25m8ivg.cloudfront.net/Documentos/631/05594433589/6310559443358911092023144930.jpeg</v>
      </c>
      <c r="G2554" s="5" t="str">
        <f>HYPERLINK("https://dpmzos25m8ivg.cloudfront.net/Documentos/631/05594433589/6310559443358911092023144949.jpeg","https://dpmzos25m8ivg.cloudfront.net/Documentos/631/05594433589/6310559443358911092023144949.jpeg")</f>
        <v>https://dpmzos25m8ivg.cloudfront.net/Documentos/631/05594433589/6310559443358911092023144949.jpeg</v>
      </c>
      <c r="H2554" s="5" t="s">
        <v>11132</v>
      </c>
    </row>
    <row r="2555" spans="1:8" x14ac:dyDescent="0.25">
      <c r="A2555" s="2" t="s">
        <v>2571</v>
      </c>
      <c r="B2555" s="3"/>
      <c r="C2555" s="3"/>
      <c r="D2555" s="3"/>
      <c r="E2555" s="5" t="str">
        <f>HYPERLINK("https://dpmzos25m8ivg.cloudfront.net/Documentos/631/05594930965/6310559493096507092023194944.pdf","https://dpmzos25m8ivg.cloudfront.net/Documentos/631/05594930965/6310559493096507092023194944.pdf")</f>
        <v>https://dpmzos25m8ivg.cloudfront.net/Documentos/631/05594930965/6310559493096507092023194944.pdf</v>
      </c>
      <c r="F2555" s="5" t="str">
        <f>HYPERLINK("https://dpmzos25m8ivg.cloudfront.net/Documentos/631/05594930965/6310559493096507092023194958.pdf","https://dpmzos25m8ivg.cloudfront.net/Documentos/631/05594930965/6310559493096507092023194958.pdf")</f>
        <v>https://dpmzos25m8ivg.cloudfront.net/Documentos/631/05594930965/6310559493096507092023194958.pdf</v>
      </c>
      <c r="G2555" s="5" t="str">
        <f>HYPERLINK("https://dpmzos25m8ivg.cloudfront.net/Documentos/631/05594930965/6310559493096507092023195019.pdf","https://dpmzos25m8ivg.cloudfront.net/Documentos/631/05594930965/6310559493096507092023195019.pdf")</f>
        <v>https://dpmzos25m8ivg.cloudfront.net/Documentos/631/05594930965/6310559493096507092023195019.pdf</v>
      </c>
      <c r="H2555" s="5" t="s">
        <v>11133</v>
      </c>
    </row>
    <row r="2556" spans="1:8" x14ac:dyDescent="0.25">
      <c r="A2556" s="2" t="s">
        <v>2572</v>
      </c>
      <c r="B2556" s="3"/>
      <c r="C2556" s="3"/>
      <c r="D2556" s="3"/>
      <c r="E2556" s="5" t="str">
        <f>HYPERLINK("https://dpmzos25m8ivg.cloudfront.net/Documentos/631/05597114336/6310559711433607092023234123.jpg","https://dpmzos25m8ivg.cloudfront.net/Documentos/631/05597114336/6310559711433607092023234123.jpg")</f>
        <v>https://dpmzos25m8ivg.cloudfront.net/Documentos/631/05597114336/6310559711433607092023234123.jpg</v>
      </c>
      <c r="F2556" s="5" t="str">
        <f>HYPERLINK("https://dpmzos25m8ivg.cloudfront.net/Documentos/631/05597114336/6310559711433607092023234146.jpg","https://dpmzos25m8ivg.cloudfront.net/Documentos/631/05597114336/6310559711433607092023234146.jpg")</f>
        <v>https://dpmzos25m8ivg.cloudfront.net/Documentos/631/05597114336/6310559711433607092023234146.jpg</v>
      </c>
      <c r="G2556" s="5" t="str">
        <f>HYPERLINK("https://dpmzos25m8ivg.cloudfront.net/Documentos/631/05597114336/6310559711433607092023234221.jpg","https://dpmzos25m8ivg.cloudfront.net/Documentos/631/05597114336/6310559711433607092023234221.jpg")</f>
        <v>https://dpmzos25m8ivg.cloudfront.net/Documentos/631/05597114336/6310559711433607092023234221.jpg</v>
      </c>
      <c r="H2556" s="5" t="s">
        <v>11134</v>
      </c>
    </row>
    <row r="2557" spans="1:8" x14ac:dyDescent="0.25">
      <c r="A2557" s="2" t="s">
        <v>2573</v>
      </c>
      <c r="B2557" s="3"/>
      <c r="C2557" s="3"/>
      <c r="D2557" s="3"/>
      <c r="E2557" s="5" t="str">
        <f>HYPERLINK("https://dpmzos25m8ivg.cloudfront.net/Documentos/631/05597271199/6310559727119913092023153507.pdf","https://dpmzos25m8ivg.cloudfront.net/Documentos/631/05597271199/6310559727119913092023153507.pdf")</f>
        <v>https://dpmzos25m8ivg.cloudfront.net/Documentos/631/05597271199/6310559727119913092023153507.pdf</v>
      </c>
      <c r="F2557" s="5" t="str">
        <f>HYPERLINK("https://dpmzos25m8ivg.cloudfront.net/Documentos/631/05597271199/6310559727119913092023153518.pdf","https://dpmzos25m8ivg.cloudfront.net/Documentos/631/05597271199/6310559727119913092023153518.pdf")</f>
        <v>https://dpmzos25m8ivg.cloudfront.net/Documentos/631/05597271199/6310559727119913092023153518.pdf</v>
      </c>
      <c r="G2557" s="5" t="str">
        <f>HYPERLINK("https://dpmzos25m8ivg.cloudfront.net/Documentos/631/05597271199/6310559727119913092023153532.pdf","https://dpmzos25m8ivg.cloudfront.net/Documentos/631/05597271199/6310559727119913092023153532.pdf")</f>
        <v>https://dpmzos25m8ivg.cloudfront.net/Documentos/631/05597271199/6310559727119913092023153532.pdf</v>
      </c>
      <c r="H2557" s="5" t="s">
        <v>11135</v>
      </c>
    </row>
    <row r="2558" spans="1:8" x14ac:dyDescent="0.25">
      <c r="A2558" s="2" t="s">
        <v>2574</v>
      </c>
      <c r="B2558" s="3" t="s">
        <v>23</v>
      </c>
      <c r="C2558" s="3"/>
      <c r="D2558" s="3"/>
      <c r="E2558" s="5" t="str">
        <f>HYPERLINK("https://dpmzos25m8ivg.cloudfront.net/Documentos/631/05598903466/6310559890346608092023151523.pdf","https://dpmzos25m8ivg.cloudfront.net/Documentos/631/05598903466/6310559890346608092023151523.pdf")</f>
        <v>https://dpmzos25m8ivg.cloudfront.net/Documentos/631/05598903466/6310559890346608092023151523.pdf</v>
      </c>
      <c r="F2558" s="5" t="str">
        <f>HYPERLINK("https://dpmzos25m8ivg.cloudfront.net/Documentos/631/05598903466/6310559890346608092023151543.pdf","https://dpmzos25m8ivg.cloudfront.net/Documentos/631/05598903466/6310559890346608092023151543.pdf")</f>
        <v>https://dpmzos25m8ivg.cloudfront.net/Documentos/631/05598903466/6310559890346608092023151543.pdf</v>
      </c>
      <c r="G2558" s="5" t="str">
        <f>HYPERLINK("https://dpmzos25m8ivg.cloudfront.net/Documentos/631/05598903466/6310559890346608092023151553.pdf","https://dpmzos25m8ivg.cloudfront.net/Documentos/631/05598903466/6310559890346608092023151553.pdf")</f>
        <v>https://dpmzos25m8ivg.cloudfront.net/Documentos/631/05598903466/6310559890346608092023151553.pdf</v>
      </c>
      <c r="H2558" s="5" t="s">
        <v>11136</v>
      </c>
    </row>
    <row r="2559" spans="1:8" x14ac:dyDescent="0.25">
      <c r="A2559" s="2" t="s">
        <v>2575</v>
      </c>
      <c r="B2559" s="3"/>
      <c r="C2559" s="3"/>
      <c r="D2559" s="3"/>
      <c r="E2559" s="5" t="str">
        <f>HYPERLINK("https://dpmzos25m8ivg.cloudfront.net/Documentos/631/05599829170/6310559982917010092023222446.pdf","https://dpmzos25m8ivg.cloudfront.net/Documentos/631/05599829170/6310559982917010092023222446.pdf")</f>
        <v>https://dpmzos25m8ivg.cloudfront.net/Documentos/631/05599829170/6310559982917010092023222446.pdf</v>
      </c>
      <c r="F2559" s="5" t="str">
        <f>HYPERLINK("https://dpmzos25m8ivg.cloudfront.net/Documentos/631/05599829170/6310559982917011092023113741.pdf","https://dpmzos25m8ivg.cloudfront.net/Documentos/631/05599829170/6310559982917011092023113741.pdf")</f>
        <v>https://dpmzos25m8ivg.cloudfront.net/Documentos/631/05599829170/6310559982917011092023113741.pdf</v>
      </c>
      <c r="G2559" s="5" t="str">
        <f>HYPERLINK("https://dpmzos25m8ivg.cloudfront.net/Documentos/631/05599829170/6310559982917011092023113758.pdf","https://dpmzos25m8ivg.cloudfront.net/Documentos/631/05599829170/6310559982917011092023113758.pdf")</f>
        <v>https://dpmzos25m8ivg.cloudfront.net/Documentos/631/05599829170/6310559982917011092023113758.pdf</v>
      </c>
      <c r="H2559" s="5" t="s">
        <v>11137</v>
      </c>
    </row>
    <row r="2560" spans="1:8" x14ac:dyDescent="0.25">
      <c r="A2560" s="2" t="s">
        <v>2576</v>
      </c>
      <c r="B2560" s="3"/>
      <c r="C2560" s="3"/>
      <c r="D2560" s="3"/>
      <c r="E2560" s="5" t="str">
        <f>HYPERLINK("https://dpmzos25m8ivg.cloudfront.net/Documentos/631/05600007582/6310560000758211092023111428.pdf","https://dpmzos25m8ivg.cloudfront.net/Documentos/631/05600007582/6310560000758211092023111428.pdf")</f>
        <v>https://dpmzos25m8ivg.cloudfront.net/Documentos/631/05600007582/6310560000758211092023111428.pdf</v>
      </c>
      <c r="F2560" s="5" t="str">
        <f>HYPERLINK("https://dpmzos25m8ivg.cloudfront.net/Documentos/631/05600007582/6310560000758211092023111446.pdf","https://dpmzos25m8ivg.cloudfront.net/Documentos/631/05600007582/6310560000758211092023111446.pdf")</f>
        <v>https://dpmzos25m8ivg.cloudfront.net/Documentos/631/05600007582/6310560000758211092023111446.pdf</v>
      </c>
      <c r="G2560" s="5" t="str">
        <f>HYPERLINK("https://dpmzos25m8ivg.cloudfront.net/Documentos/631/05600007582/6310560000758211092023111503.pdf","https://dpmzos25m8ivg.cloudfront.net/Documentos/631/05600007582/6310560000758211092023111503.pdf")</f>
        <v>https://dpmzos25m8ivg.cloudfront.net/Documentos/631/05600007582/6310560000758211092023111503.pdf</v>
      </c>
      <c r="H2560" s="5" t="s">
        <v>11138</v>
      </c>
    </row>
    <row r="2561" spans="1:8" x14ac:dyDescent="0.25">
      <c r="A2561" s="2" t="s">
        <v>2577</v>
      </c>
      <c r="B2561" s="3"/>
      <c r="C2561" s="3"/>
      <c r="D2561" s="3"/>
      <c r="E2561" s="5" t="str">
        <f>HYPERLINK("https://dpmzos25m8ivg.cloudfront.net/Documentos/631/05600538197/6310560053819713092023140508.pdf","https://dpmzos25m8ivg.cloudfront.net/Documentos/631/05600538197/6310560053819713092023140508.pdf")</f>
        <v>https://dpmzos25m8ivg.cloudfront.net/Documentos/631/05600538197/6310560053819713092023140508.pdf</v>
      </c>
      <c r="F2561" s="5" t="str">
        <f>HYPERLINK("https://dpmzos25m8ivg.cloudfront.net/Documentos/631/05600538197/6310560053819713092023140518.pdf","https://dpmzos25m8ivg.cloudfront.net/Documentos/631/05600538197/6310560053819713092023140518.pdf")</f>
        <v>https://dpmzos25m8ivg.cloudfront.net/Documentos/631/05600538197/6310560053819713092023140518.pdf</v>
      </c>
      <c r="G2561" s="5" t="str">
        <f>HYPERLINK("https://dpmzos25m8ivg.cloudfront.net/Documentos/631/05600538197/6310560053819713092023140526.pdf","https://dpmzos25m8ivg.cloudfront.net/Documentos/631/05600538197/6310560053819713092023140526.pdf")</f>
        <v>https://dpmzos25m8ivg.cloudfront.net/Documentos/631/05600538197/6310560053819713092023140526.pdf</v>
      </c>
      <c r="H2561" s="5" t="s">
        <v>11139</v>
      </c>
    </row>
    <row r="2562" spans="1:8" x14ac:dyDescent="0.25">
      <c r="A2562" s="2" t="s">
        <v>2578</v>
      </c>
      <c r="B2562" s="3"/>
      <c r="C2562" s="3"/>
      <c r="D2562" s="3"/>
      <c r="E2562" s="5" t="str">
        <f>HYPERLINK("https://dpmzos25m8ivg.cloudfront.net/Documentos/631/05601717575/6310560171757507092023194858.pdf","https://dpmzos25m8ivg.cloudfront.net/Documentos/631/05601717575/6310560171757507092023194858.pdf")</f>
        <v>https://dpmzos25m8ivg.cloudfront.net/Documentos/631/05601717575/6310560171757507092023194858.pdf</v>
      </c>
      <c r="F2562" s="5" t="str">
        <f>HYPERLINK("https://dpmzos25m8ivg.cloudfront.net/Documentos/631/05601717575/6310560171757507092023194908.pdf","https://dpmzos25m8ivg.cloudfront.net/Documentos/631/05601717575/6310560171757507092023194908.pdf")</f>
        <v>https://dpmzos25m8ivg.cloudfront.net/Documentos/631/05601717575/6310560171757507092023194908.pdf</v>
      </c>
      <c r="G2562" s="5" t="str">
        <f>HYPERLINK("https://dpmzos25m8ivg.cloudfront.net/Documentos/631/05601717575/6310560171757507092023194917.pdf","https://dpmzos25m8ivg.cloudfront.net/Documentos/631/05601717575/6310560171757507092023194917.pdf")</f>
        <v>https://dpmzos25m8ivg.cloudfront.net/Documentos/631/05601717575/6310560171757507092023194917.pdf</v>
      </c>
      <c r="H2562" s="5" t="s">
        <v>11140</v>
      </c>
    </row>
    <row r="2563" spans="1:8" x14ac:dyDescent="0.25">
      <c r="A2563" s="2" t="s">
        <v>2579</v>
      </c>
      <c r="B2563" s="3"/>
      <c r="C2563" s="3"/>
      <c r="D2563" s="3"/>
      <c r="E2563" s="5" t="str">
        <f>HYPERLINK("https://dpmzos25m8ivg.cloudfront.net/Documentos/631/05602672583/6310560267258311092023001912.jpeg","https://dpmzos25m8ivg.cloudfront.net/Documentos/631/05602672583/6310560267258311092023001912.jpeg")</f>
        <v>https://dpmzos25m8ivg.cloudfront.net/Documentos/631/05602672583/6310560267258311092023001912.jpeg</v>
      </c>
      <c r="F2563" s="5" t="str">
        <f>HYPERLINK("https://dpmzos25m8ivg.cloudfront.net/Documentos/631/05602672583/6310560267258311092023001927.jpeg","https://dpmzos25m8ivg.cloudfront.net/Documentos/631/05602672583/6310560267258311092023001927.jpeg")</f>
        <v>https://dpmzos25m8ivg.cloudfront.net/Documentos/631/05602672583/6310560267258311092023001927.jpeg</v>
      </c>
      <c r="G2563" s="5" t="str">
        <f>HYPERLINK("https://dpmzos25m8ivg.cloudfront.net/Documentos/631/05602672583/6310560267258311092023001941.jpeg","https://dpmzos25m8ivg.cloudfront.net/Documentos/631/05602672583/6310560267258311092023001941.jpeg")</f>
        <v>https://dpmzos25m8ivg.cloudfront.net/Documentos/631/05602672583/6310560267258311092023001941.jpeg</v>
      </c>
      <c r="H2563" s="5" t="s">
        <v>11141</v>
      </c>
    </row>
    <row r="2564" spans="1:8" x14ac:dyDescent="0.25">
      <c r="A2564" s="2" t="s">
        <v>2580</v>
      </c>
      <c r="B2564" s="3"/>
      <c r="C2564" s="3"/>
      <c r="D2564" s="3"/>
      <c r="E2564" s="5" t="str">
        <f>HYPERLINK("https://dpmzos25m8ivg.cloudfront.net/Documentos/631/05605374508/6310560537450810092023173328.pdf","https://dpmzos25m8ivg.cloudfront.net/Documentos/631/05605374508/6310560537450810092023173328.pdf")</f>
        <v>https://dpmzos25m8ivg.cloudfront.net/Documentos/631/05605374508/6310560537450810092023173328.pdf</v>
      </c>
      <c r="F2564" s="5" t="str">
        <f>HYPERLINK("https://dpmzos25m8ivg.cloudfront.net/Documentos/631/05605374508/6310560537450810092023173336.pdf","https://dpmzos25m8ivg.cloudfront.net/Documentos/631/05605374508/6310560537450810092023173336.pdf")</f>
        <v>https://dpmzos25m8ivg.cloudfront.net/Documentos/631/05605374508/6310560537450810092023173336.pdf</v>
      </c>
      <c r="G2564" s="5" t="str">
        <f>HYPERLINK("https://dpmzos25m8ivg.cloudfront.net/Documentos/631/05605374508/6310560537450810092023173343.pdf","https://dpmzos25m8ivg.cloudfront.net/Documentos/631/05605374508/6310560537450810092023173343.pdf")</f>
        <v>https://dpmzos25m8ivg.cloudfront.net/Documentos/631/05605374508/6310560537450810092023173343.pdf</v>
      </c>
      <c r="H2564" s="5" t="s">
        <v>11142</v>
      </c>
    </row>
    <row r="2565" spans="1:8" x14ac:dyDescent="0.25">
      <c r="A2565" s="2" t="s">
        <v>2581</v>
      </c>
      <c r="B2565" s="3"/>
      <c r="C2565" s="3"/>
      <c r="D2565" s="3"/>
      <c r="E2565" s="5" t="str">
        <f>HYPERLINK("https://dpmzos25m8ivg.cloudfront.net/Documentos/631/05607677141/6310560767714111092023143716.pdf","https://dpmzos25m8ivg.cloudfront.net/Documentos/631/05607677141/6310560767714111092023143716.pdf")</f>
        <v>https://dpmzos25m8ivg.cloudfront.net/Documentos/631/05607677141/6310560767714111092023143716.pdf</v>
      </c>
      <c r="F2565" s="5" t="str">
        <f>HYPERLINK("https://dpmzos25m8ivg.cloudfront.net/Documentos/631/05607677141/6310560767714111092023143736.pdf","https://dpmzos25m8ivg.cloudfront.net/Documentos/631/05607677141/6310560767714111092023143736.pdf")</f>
        <v>https://dpmzos25m8ivg.cloudfront.net/Documentos/631/05607677141/6310560767714111092023143736.pdf</v>
      </c>
      <c r="G2565" s="5" t="str">
        <f>HYPERLINK("https://dpmzos25m8ivg.cloudfront.net/Documentos/631/05607677141/6310560767714111092023143746.pdf","https://dpmzos25m8ivg.cloudfront.net/Documentos/631/05607677141/6310560767714111092023143746.pdf")</f>
        <v>https://dpmzos25m8ivg.cloudfront.net/Documentos/631/05607677141/6310560767714111092023143746.pdf</v>
      </c>
      <c r="H2565" s="5" t="s">
        <v>11143</v>
      </c>
    </row>
    <row r="2566" spans="1:8" x14ac:dyDescent="0.25">
      <c r="A2566" s="2" t="s">
        <v>2582</v>
      </c>
      <c r="B2566" s="3"/>
      <c r="C2566" s="3"/>
      <c r="D2566" s="3"/>
      <c r="E2566" s="5" t="str">
        <f>HYPERLINK("https://dpmzos25m8ivg.cloudfront.net/Documentos/631/05608170539/6310560817053911092023163140.pdf","https://dpmzos25m8ivg.cloudfront.net/Documentos/631/05608170539/6310560817053911092023163140.pdf")</f>
        <v>https://dpmzos25m8ivg.cloudfront.net/Documentos/631/05608170539/6310560817053911092023163140.pdf</v>
      </c>
      <c r="F2566" s="5" t="str">
        <f>HYPERLINK("https://dpmzos25m8ivg.cloudfront.net/Documentos/631/05608170539/6310560817053911092023163205.pdf","https://dpmzos25m8ivg.cloudfront.net/Documentos/631/05608170539/6310560817053911092023163205.pdf")</f>
        <v>https://dpmzos25m8ivg.cloudfront.net/Documentos/631/05608170539/6310560817053911092023163205.pdf</v>
      </c>
      <c r="G2566" s="5" t="str">
        <f>HYPERLINK("https://dpmzos25m8ivg.cloudfront.net/Documentos/631/05608170539/6310560817053911092023163220.pdf","https://dpmzos25m8ivg.cloudfront.net/Documentos/631/05608170539/6310560817053911092023163220.pdf")</f>
        <v>https://dpmzos25m8ivg.cloudfront.net/Documentos/631/05608170539/6310560817053911092023163220.pdf</v>
      </c>
      <c r="H2566" s="5" t="s">
        <v>11144</v>
      </c>
    </row>
    <row r="2567" spans="1:8" x14ac:dyDescent="0.25">
      <c r="A2567" s="2" t="s">
        <v>2583</v>
      </c>
      <c r="B2567" s="3"/>
      <c r="C2567" s="3"/>
      <c r="D2567" s="3"/>
      <c r="E2567" s="5" t="str">
        <f>HYPERLINK("https://dpmzos25m8ivg.cloudfront.net/Documentos/631/05609444381/6310560944438111092023090955.pdf","https://dpmzos25m8ivg.cloudfront.net/Documentos/631/05609444381/6310560944438111092023090955.pdf")</f>
        <v>https://dpmzos25m8ivg.cloudfront.net/Documentos/631/05609444381/6310560944438111092023090955.pdf</v>
      </c>
      <c r="F2567" s="5" t="str">
        <f>HYPERLINK("https://dpmzos25m8ivg.cloudfront.net/Documentos/631/05609444381/6310560944438111092023091136.pdf","https://dpmzos25m8ivg.cloudfront.net/Documentos/631/05609444381/6310560944438111092023091136.pdf")</f>
        <v>https://dpmzos25m8ivg.cloudfront.net/Documentos/631/05609444381/6310560944438111092023091136.pdf</v>
      </c>
      <c r="G2567" s="5" t="str">
        <f>HYPERLINK("https://dpmzos25m8ivg.cloudfront.net/Documentos/631/05609444381/6310560944438111092023091317.pdf","https://dpmzos25m8ivg.cloudfront.net/Documentos/631/05609444381/6310560944438111092023091317.pdf")</f>
        <v>https://dpmzos25m8ivg.cloudfront.net/Documentos/631/05609444381/6310560944438111092023091317.pdf</v>
      </c>
      <c r="H2567" s="5" t="s">
        <v>11145</v>
      </c>
    </row>
    <row r="2568" spans="1:8" x14ac:dyDescent="0.25">
      <c r="A2568" s="2" t="s">
        <v>2584</v>
      </c>
      <c r="B2568" s="3"/>
      <c r="C2568" s="3"/>
      <c r="D2568" s="3"/>
      <c r="E2568" s="5" t="str">
        <f>HYPERLINK("https://dpmzos25m8ivg.cloudfront.net/Documentos/631/05610774527/6310561077452705092023100951.pdf","https://dpmzos25m8ivg.cloudfront.net/Documentos/631/05610774527/6310561077452705092023100951.pdf")</f>
        <v>https://dpmzos25m8ivg.cloudfront.net/Documentos/631/05610774527/6310561077452705092023100951.pdf</v>
      </c>
      <c r="F2568" s="5" t="str">
        <f>HYPERLINK("https://dpmzos25m8ivg.cloudfront.net/Documentos/631/05610774527/6310561077452705092023101005.pdf","https://dpmzos25m8ivg.cloudfront.net/Documentos/631/05610774527/6310561077452705092023101005.pdf")</f>
        <v>https://dpmzos25m8ivg.cloudfront.net/Documentos/631/05610774527/6310561077452705092023101005.pdf</v>
      </c>
      <c r="G2568" s="5" t="str">
        <f>HYPERLINK("https://dpmzos25m8ivg.cloudfront.net/Documentos/631/05610774527/6310561077452705092023101049.pdf","https://dpmzos25m8ivg.cloudfront.net/Documentos/631/05610774527/6310561077452705092023101049.pdf")</f>
        <v>https://dpmzos25m8ivg.cloudfront.net/Documentos/631/05610774527/6310561077452705092023101049.pdf</v>
      </c>
      <c r="H2568" s="5" t="s">
        <v>11146</v>
      </c>
    </row>
    <row r="2569" spans="1:8" x14ac:dyDescent="0.25">
      <c r="A2569" s="2" t="s">
        <v>2585</v>
      </c>
      <c r="B2569" s="3"/>
      <c r="C2569" s="3"/>
      <c r="D2569" s="3"/>
      <c r="E2569" s="5" t="str">
        <f>HYPERLINK("https://dpmzos25m8ivg.cloudfront.net/Documentos/631/05611614370/6310561161437005092023115646.jpg","https://dpmzos25m8ivg.cloudfront.net/Documentos/631/05611614370/6310561161437005092023115646.jpg")</f>
        <v>https://dpmzos25m8ivg.cloudfront.net/Documentos/631/05611614370/6310561161437005092023115646.jpg</v>
      </c>
      <c r="F2569" s="5" t="str">
        <f>HYPERLINK("https://dpmzos25m8ivg.cloudfront.net/Documentos/631/05611614370/6310561161437005092023115800.jpg","https://dpmzos25m8ivg.cloudfront.net/Documentos/631/05611614370/6310561161437005092023115800.jpg")</f>
        <v>https://dpmzos25m8ivg.cloudfront.net/Documentos/631/05611614370/6310561161437005092023115800.jpg</v>
      </c>
      <c r="G2569" s="5" t="str">
        <f>HYPERLINK("https://dpmzos25m8ivg.cloudfront.net/Documentos/631/05611614370/6310561161437005092023115901.jpg","https://dpmzos25m8ivg.cloudfront.net/Documentos/631/05611614370/6310561161437005092023115901.jpg")</f>
        <v>https://dpmzos25m8ivg.cloudfront.net/Documentos/631/05611614370/6310561161437005092023115901.jpg</v>
      </c>
      <c r="H2569" s="5" t="s">
        <v>11147</v>
      </c>
    </row>
    <row r="2570" spans="1:8" x14ac:dyDescent="0.25">
      <c r="A2570" s="2" t="s">
        <v>2586</v>
      </c>
      <c r="B2570" s="3" t="s">
        <v>2358</v>
      </c>
      <c r="C2570" s="3"/>
      <c r="D2570" s="3"/>
      <c r="E2570" s="5" t="str">
        <f>HYPERLINK("https://dpmzos25m8ivg.cloudfront.net/Documentos/631/05613250146/6310561325014611092023165010.pdf","https://dpmzos25m8ivg.cloudfront.net/Documentos/631/05613250146/6310561325014611092023165010.pdf")</f>
        <v>https://dpmzos25m8ivg.cloudfront.net/Documentos/631/05613250146/6310561325014611092023165010.pdf</v>
      </c>
      <c r="F2570" s="5" t="str">
        <f>HYPERLINK("https://dpmzos25m8ivg.cloudfront.net/Documentos/631/05613250146/6310561325014611092023165016.pdf","https://dpmzos25m8ivg.cloudfront.net/Documentos/631/05613250146/6310561325014611092023165016.pdf")</f>
        <v>https://dpmzos25m8ivg.cloudfront.net/Documentos/631/05613250146/6310561325014611092023165016.pdf</v>
      </c>
      <c r="G2570" s="5" t="str">
        <f>HYPERLINK("https://dpmzos25m8ivg.cloudfront.net/Documentos/631/05613250146/6310561325014611092023165024.pdf","https://dpmzos25m8ivg.cloudfront.net/Documentos/631/05613250146/6310561325014611092023165024.pdf")</f>
        <v>https://dpmzos25m8ivg.cloudfront.net/Documentos/631/05613250146/6310561325014611092023165024.pdf</v>
      </c>
      <c r="H2570" s="5" t="s">
        <v>11148</v>
      </c>
    </row>
    <row r="2571" spans="1:8" x14ac:dyDescent="0.25">
      <c r="A2571" s="2" t="s">
        <v>2587</v>
      </c>
      <c r="B2571" s="3"/>
      <c r="C2571" s="3"/>
      <c r="D2571" s="3"/>
      <c r="E2571" s="5" t="str">
        <f>HYPERLINK("https://dpmzos25m8ivg.cloudfront.net/Documentos/631/05616605654/6310561660565405092023164856.jpg","https://dpmzos25m8ivg.cloudfront.net/Documentos/631/05616605654/6310561660565405092023164856.jpg")</f>
        <v>https://dpmzos25m8ivg.cloudfront.net/Documentos/631/05616605654/6310561660565405092023164856.jpg</v>
      </c>
      <c r="F2571" s="5" t="str">
        <f>HYPERLINK("https://dpmzos25m8ivg.cloudfront.net/Documentos/631/05616605654/6310561660565405092023164910.jpg","https://dpmzos25m8ivg.cloudfront.net/Documentos/631/05616605654/6310561660565405092023164910.jpg")</f>
        <v>https://dpmzos25m8ivg.cloudfront.net/Documentos/631/05616605654/6310561660565405092023164910.jpg</v>
      </c>
      <c r="G2571" s="5" t="str">
        <f>HYPERLINK("https://dpmzos25m8ivg.cloudfront.net/Documentos/631/05616605654/6310561660565405092023164919.jpg","https://dpmzos25m8ivg.cloudfront.net/Documentos/631/05616605654/6310561660565405092023164919.jpg")</f>
        <v>https://dpmzos25m8ivg.cloudfront.net/Documentos/631/05616605654/6310561660565405092023164919.jpg</v>
      </c>
      <c r="H2571" s="5" t="s">
        <v>11149</v>
      </c>
    </row>
    <row r="2572" spans="1:8" x14ac:dyDescent="0.25">
      <c r="A2572" s="2" t="s">
        <v>2588</v>
      </c>
      <c r="B2572" s="3"/>
      <c r="C2572" s="3"/>
      <c r="D2572" s="3"/>
      <c r="E2572" s="5" t="str">
        <f>HYPERLINK("https://dpmzos25m8ivg.cloudfront.net/Documentos/631/05621394194/6310562139419411092023080048.pdf","https://dpmzos25m8ivg.cloudfront.net/Documentos/631/05621394194/6310562139419411092023080048.pdf")</f>
        <v>https://dpmzos25m8ivg.cloudfront.net/Documentos/631/05621394194/6310562139419411092023080048.pdf</v>
      </c>
      <c r="F2572" s="5" t="str">
        <f>HYPERLINK("https://dpmzos25m8ivg.cloudfront.net/Documentos/631/05621394194/6310562139419411092023080101.pdf","https://dpmzos25m8ivg.cloudfront.net/Documentos/631/05621394194/6310562139419411092023080101.pdf")</f>
        <v>https://dpmzos25m8ivg.cloudfront.net/Documentos/631/05621394194/6310562139419411092023080101.pdf</v>
      </c>
      <c r="G2572" s="5" t="str">
        <f>HYPERLINK("https://dpmzos25m8ivg.cloudfront.net/Documentos/631/05621394194/6310562139419411092023080115.pdf","https://dpmzos25m8ivg.cloudfront.net/Documentos/631/05621394194/6310562139419411092023080115.pdf")</f>
        <v>https://dpmzos25m8ivg.cloudfront.net/Documentos/631/05621394194/6310562139419411092023080115.pdf</v>
      </c>
      <c r="H2572" s="5" t="s">
        <v>11150</v>
      </c>
    </row>
    <row r="2573" spans="1:8" x14ac:dyDescent="0.25">
      <c r="A2573" s="2" t="s">
        <v>2589</v>
      </c>
      <c r="B2573" s="3"/>
      <c r="C2573" s="3"/>
      <c r="D2573" s="3"/>
      <c r="E2573" s="5" t="str">
        <f>HYPERLINK("https://dpmzos25m8ivg.cloudfront.net/Documentos/631/05625511152/6310562551115210092023151451.pdf","https://dpmzos25m8ivg.cloudfront.net/Documentos/631/05625511152/6310562551115210092023151451.pdf")</f>
        <v>https://dpmzos25m8ivg.cloudfront.net/Documentos/631/05625511152/6310562551115210092023151451.pdf</v>
      </c>
      <c r="F2573" s="5" t="str">
        <f>HYPERLINK("https://dpmzos25m8ivg.cloudfront.net/Documentos/631/05625511152/6310562551115210092023151504.pdf","https://dpmzos25m8ivg.cloudfront.net/Documentos/631/05625511152/6310562551115210092023151504.pdf")</f>
        <v>https://dpmzos25m8ivg.cloudfront.net/Documentos/631/05625511152/6310562551115210092023151504.pdf</v>
      </c>
      <c r="G2573" s="5" t="str">
        <f>HYPERLINK("https://dpmzos25m8ivg.cloudfront.net/Documentos/631/05625511152/6310562551115210092023151515.pdf","https://dpmzos25m8ivg.cloudfront.net/Documentos/631/05625511152/6310562551115210092023151515.pdf")</f>
        <v>https://dpmzos25m8ivg.cloudfront.net/Documentos/631/05625511152/6310562551115210092023151515.pdf</v>
      </c>
      <c r="H2573" s="5" t="s">
        <v>11151</v>
      </c>
    </row>
    <row r="2574" spans="1:8" x14ac:dyDescent="0.25">
      <c r="A2574" s="2" t="s">
        <v>2590</v>
      </c>
      <c r="B2574" s="3"/>
      <c r="C2574" s="3"/>
      <c r="D2574" s="3"/>
      <c r="E2574" s="5" t="str">
        <f>HYPERLINK("https://dpmzos25m8ivg.cloudfront.net/Documentos/631/05625671354/6310562567135405092023195741.pdf","https://dpmzos25m8ivg.cloudfront.net/Documentos/631/05625671354/6310562567135405092023195741.pdf")</f>
        <v>https://dpmzos25m8ivg.cloudfront.net/Documentos/631/05625671354/6310562567135405092023195741.pdf</v>
      </c>
      <c r="F2574" s="5" t="str">
        <f>HYPERLINK("https://dpmzos25m8ivg.cloudfront.net/Documentos/631/05625671354/6310562567135405092023195803.pdf","https://dpmzos25m8ivg.cloudfront.net/Documentos/631/05625671354/6310562567135405092023195803.pdf")</f>
        <v>https://dpmzos25m8ivg.cloudfront.net/Documentos/631/05625671354/6310562567135405092023195803.pdf</v>
      </c>
      <c r="G2574" s="5" t="str">
        <f>HYPERLINK("https://dpmzos25m8ivg.cloudfront.net/Documentos/631/05625671354/6310562567135405092023200000.pdf","https://dpmzos25m8ivg.cloudfront.net/Documentos/631/05625671354/6310562567135405092023200000.pdf")</f>
        <v>https://dpmzos25m8ivg.cloudfront.net/Documentos/631/05625671354/6310562567135405092023200000.pdf</v>
      </c>
      <c r="H2574" s="5" t="s">
        <v>11152</v>
      </c>
    </row>
    <row r="2575" spans="1:8" x14ac:dyDescent="0.25">
      <c r="A2575" s="2" t="s">
        <v>2591</v>
      </c>
      <c r="B2575" s="3"/>
      <c r="C2575" s="3"/>
      <c r="D2575" s="3"/>
      <c r="E2575" s="5" t="str">
        <f>HYPERLINK("https://dpmzos25m8ivg.cloudfront.net/Documentos/631/05627995599/6310562799559911092023162011.pdf","https://dpmzos25m8ivg.cloudfront.net/Documentos/631/05627995599/6310562799559911092023162011.pdf")</f>
        <v>https://dpmzos25m8ivg.cloudfront.net/Documentos/631/05627995599/6310562799559911092023162011.pdf</v>
      </c>
      <c r="F2575" s="5" t="str">
        <f>HYPERLINK("https://dpmzos25m8ivg.cloudfront.net/Documentos/631/05627995599/6310562799559911092023162018.pdf","https://dpmzos25m8ivg.cloudfront.net/Documentos/631/05627995599/6310562799559911092023162018.pdf")</f>
        <v>https://dpmzos25m8ivg.cloudfront.net/Documentos/631/05627995599/6310562799559911092023162018.pdf</v>
      </c>
      <c r="G2575" s="5" t="str">
        <f>HYPERLINK("https://dpmzos25m8ivg.cloudfront.net/Documentos/631/05627995599/6310562799559911092023162024.pdf","https://dpmzos25m8ivg.cloudfront.net/Documentos/631/05627995599/6310562799559911092023162024.pdf")</f>
        <v>https://dpmzos25m8ivg.cloudfront.net/Documentos/631/05627995599/6310562799559911092023162024.pdf</v>
      </c>
      <c r="H2575" s="5" t="s">
        <v>11153</v>
      </c>
    </row>
    <row r="2576" spans="1:8" x14ac:dyDescent="0.25">
      <c r="A2576" s="2" t="s">
        <v>2592</v>
      </c>
      <c r="B2576" s="3"/>
      <c r="C2576" s="3"/>
      <c r="D2576" s="3"/>
      <c r="E2576" s="5" t="str">
        <f>HYPERLINK("https://dpmzos25m8ivg.cloudfront.net/Documentos/631/05629223348/6310562922334811092023120633.jpg","https://dpmzos25m8ivg.cloudfront.net/Documentos/631/05629223348/6310562922334811092023120633.jpg")</f>
        <v>https://dpmzos25m8ivg.cloudfront.net/Documentos/631/05629223348/6310562922334811092023120633.jpg</v>
      </c>
      <c r="F2576" s="5" t="str">
        <f>HYPERLINK("https://dpmzos25m8ivg.cloudfront.net/Documentos/631/05629223348/6310562922334811092023120653.jpg","https://dpmzos25m8ivg.cloudfront.net/Documentos/631/05629223348/6310562922334811092023120653.jpg")</f>
        <v>https://dpmzos25m8ivg.cloudfront.net/Documentos/631/05629223348/6310562922334811092023120653.jpg</v>
      </c>
      <c r="G2576" s="5" t="str">
        <f>HYPERLINK("https://dpmzos25m8ivg.cloudfront.net/Documentos/631/05629223348/6310562922334811092023120711.jpg","https://dpmzos25m8ivg.cloudfront.net/Documentos/631/05629223348/6310562922334811092023120711.jpg")</f>
        <v>https://dpmzos25m8ivg.cloudfront.net/Documentos/631/05629223348/6310562922334811092023120711.jpg</v>
      </c>
      <c r="H2576" s="5" t="s">
        <v>11154</v>
      </c>
    </row>
    <row r="2577" spans="1:8" x14ac:dyDescent="0.25">
      <c r="A2577" s="2" t="s">
        <v>2593</v>
      </c>
      <c r="B2577" s="3" t="s">
        <v>8</v>
      </c>
      <c r="C2577" s="3"/>
      <c r="D2577" s="3"/>
      <c r="E2577" s="5" t="str">
        <f>HYPERLINK("https://dpmzos25m8ivg.cloudfront.net/Documentos/631/05629749110/6310562974911011092023151805.pdf","https://dpmzos25m8ivg.cloudfront.net/Documentos/631/05629749110/6310562974911011092023151805.pdf")</f>
        <v>https://dpmzos25m8ivg.cloudfront.net/Documentos/631/05629749110/6310562974911011092023151805.pdf</v>
      </c>
      <c r="F2577" s="5" t="str">
        <f>HYPERLINK("https://dpmzos25m8ivg.cloudfront.net/Documentos/631/05629749110/6310562974911011092023151817.pdf","https://dpmzos25m8ivg.cloudfront.net/Documentos/631/05629749110/6310562974911011092023151817.pdf")</f>
        <v>https://dpmzos25m8ivg.cloudfront.net/Documentos/631/05629749110/6310562974911011092023151817.pdf</v>
      </c>
      <c r="G2577" s="5" t="str">
        <f>HYPERLINK("https://dpmzos25m8ivg.cloudfront.net/Documentos/631/05629749110/6310562974911011092023151823.pdf","https://dpmzos25m8ivg.cloudfront.net/Documentos/631/05629749110/6310562974911011092023151823.pdf")</f>
        <v>https://dpmzos25m8ivg.cloudfront.net/Documentos/631/05629749110/6310562974911011092023151823.pdf</v>
      </c>
      <c r="H2577" s="5" t="s">
        <v>11155</v>
      </c>
    </row>
    <row r="2578" spans="1:8" x14ac:dyDescent="0.25">
      <c r="A2578" s="2" t="s">
        <v>2594</v>
      </c>
      <c r="B2578" s="3"/>
      <c r="C2578" s="3"/>
      <c r="D2578" s="3"/>
      <c r="E2578" s="5" t="str">
        <f>HYPERLINK("https://dpmzos25m8ivg.cloudfront.net/Documentos/631/05633996194/6310563399619411092023165009.pdf","https://dpmzos25m8ivg.cloudfront.net/Documentos/631/05633996194/6310563399619411092023165009.pdf")</f>
        <v>https://dpmzos25m8ivg.cloudfront.net/Documentos/631/05633996194/6310563399619411092023165009.pdf</v>
      </c>
      <c r="F2578" s="5" t="str">
        <f>HYPERLINK("https://dpmzos25m8ivg.cloudfront.net/Documentos/631/05633996194/6310563399619411092023165029.pdf","https://dpmzos25m8ivg.cloudfront.net/Documentos/631/05633996194/6310563399619411092023165029.pdf")</f>
        <v>https://dpmzos25m8ivg.cloudfront.net/Documentos/631/05633996194/6310563399619411092023165029.pdf</v>
      </c>
      <c r="G2578" s="5" t="str">
        <f>HYPERLINK("https://dpmzos25m8ivg.cloudfront.net/Documentos/631/05633996194/6310563399619411092023165047.pdf","https://dpmzos25m8ivg.cloudfront.net/Documentos/631/05633996194/6310563399619411092023165047.pdf")</f>
        <v>https://dpmzos25m8ivg.cloudfront.net/Documentos/631/05633996194/6310563399619411092023165047.pdf</v>
      </c>
      <c r="H2578" s="5" t="s">
        <v>11156</v>
      </c>
    </row>
    <row r="2579" spans="1:8" x14ac:dyDescent="0.25">
      <c r="A2579" s="2" t="s">
        <v>2595</v>
      </c>
      <c r="B2579" s="3"/>
      <c r="C2579" s="3"/>
      <c r="D2579" s="3"/>
      <c r="E2579" s="5" t="str">
        <f>HYPERLINK("https://dpmzos25m8ivg.cloudfront.net/Documentos/631/05634585775/6310563458577506092023182130.pdf","https://dpmzos25m8ivg.cloudfront.net/Documentos/631/05634585775/6310563458577506092023182130.pdf")</f>
        <v>https://dpmzos25m8ivg.cloudfront.net/Documentos/631/05634585775/6310563458577506092023182130.pdf</v>
      </c>
      <c r="F2579" s="5" t="str">
        <f>HYPERLINK("https://dpmzos25m8ivg.cloudfront.net/Documentos/631/05634585775/6310563458577506092023182147.pdf","https://dpmzos25m8ivg.cloudfront.net/Documentos/631/05634585775/6310563458577506092023182147.pdf")</f>
        <v>https://dpmzos25m8ivg.cloudfront.net/Documentos/631/05634585775/6310563458577506092023182147.pdf</v>
      </c>
      <c r="G2579" s="5" t="str">
        <f>HYPERLINK("https://dpmzos25m8ivg.cloudfront.net/Documentos/631/05634585775/6310563458577506092023182205.pdf","https://dpmzos25m8ivg.cloudfront.net/Documentos/631/05634585775/6310563458577506092023182205.pdf")</f>
        <v>https://dpmzos25m8ivg.cloudfront.net/Documentos/631/05634585775/6310563458577506092023182205.pdf</v>
      </c>
      <c r="H2579" s="5" t="s">
        <v>11157</v>
      </c>
    </row>
    <row r="2580" spans="1:8" x14ac:dyDescent="0.25">
      <c r="A2580" s="2" t="s">
        <v>2596</v>
      </c>
      <c r="B2580" s="3"/>
      <c r="C2580" s="3"/>
      <c r="D2580" s="3"/>
      <c r="E2580" s="5" t="str">
        <f>HYPERLINK("https://dpmzos25m8ivg.cloudfront.net/Documentos/631/05634965330/6310563496533010092023120329.pdf","https://dpmzos25m8ivg.cloudfront.net/Documentos/631/05634965330/6310563496533010092023120329.pdf")</f>
        <v>https://dpmzos25m8ivg.cloudfront.net/Documentos/631/05634965330/6310563496533010092023120329.pdf</v>
      </c>
      <c r="F2580" s="5" t="str">
        <f>HYPERLINK("https://dpmzos25m8ivg.cloudfront.net/Documentos/631/05634965330/6310563496533010092023120340.pdf","https://dpmzos25m8ivg.cloudfront.net/Documentos/631/05634965330/6310563496533010092023120340.pdf")</f>
        <v>https://dpmzos25m8ivg.cloudfront.net/Documentos/631/05634965330/6310563496533010092023120340.pdf</v>
      </c>
      <c r="G2580" s="5" t="str">
        <f>HYPERLINK("https://dpmzos25m8ivg.cloudfront.net/Documentos/631/05634965330/6310563496533010092023120349.pdf","https://dpmzos25m8ivg.cloudfront.net/Documentos/631/05634965330/6310563496533010092023120349.pdf")</f>
        <v>https://dpmzos25m8ivg.cloudfront.net/Documentos/631/05634965330/6310563496533010092023120349.pdf</v>
      </c>
      <c r="H2580" s="5" t="s">
        <v>11158</v>
      </c>
    </row>
    <row r="2581" spans="1:8" x14ac:dyDescent="0.25">
      <c r="A2581" s="2" t="s">
        <v>2597</v>
      </c>
      <c r="B2581" s="3"/>
      <c r="C2581" s="3"/>
      <c r="D2581" s="3"/>
      <c r="E2581" s="5" t="str">
        <f>HYPERLINK("https://dpmzos25m8ivg.cloudfront.net/Documentos/631/05637594961/6310563759496111092023155910.pdf","https://dpmzos25m8ivg.cloudfront.net/Documentos/631/05637594961/6310563759496111092023155910.pdf")</f>
        <v>https://dpmzos25m8ivg.cloudfront.net/Documentos/631/05637594961/6310563759496111092023155910.pdf</v>
      </c>
      <c r="F2581" s="5" t="str">
        <f>HYPERLINK("https://dpmzos25m8ivg.cloudfront.net/Documentos/631/05637594961/6310563759496111092023155930.pdf","https://dpmzos25m8ivg.cloudfront.net/Documentos/631/05637594961/6310563759496111092023155930.pdf")</f>
        <v>https://dpmzos25m8ivg.cloudfront.net/Documentos/631/05637594961/6310563759496111092023155930.pdf</v>
      </c>
      <c r="G2581" s="5" t="str">
        <f>HYPERLINK("https://dpmzos25m8ivg.cloudfront.net/Documentos/631/05637594961/6310563759496111092023155939.pdf","https://dpmzos25m8ivg.cloudfront.net/Documentos/631/05637594961/6310563759496111092023155939.pdf")</f>
        <v>https://dpmzos25m8ivg.cloudfront.net/Documentos/631/05637594961/6310563759496111092023155939.pdf</v>
      </c>
      <c r="H2581" s="5" t="s">
        <v>11159</v>
      </c>
    </row>
    <row r="2582" spans="1:8" x14ac:dyDescent="0.25">
      <c r="A2582" s="2" t="s">
        <v>2598</v>
      </c>
      <c r="B2582" s="3"/>
      <c r="C2582" s="3"/>
      <c r="D2582" s="3"/>
      <c r="E2582" s="5" t="str">
        <f>HYPERLINK("https://dpmzos25m8ivg.cloudfront.net/Documentos/631/05639556781/6310563955678108092023110657.pdf","https://dpmzos25m8ivg.cloudfront.net/Documentos/631/05639556781/6310563955678108092023110657.pdf")</f>
        <v>https://dpmzos25m8ivg.cloudfront.net/Documentos/631/05639556781/6310563955678108092023110657.pdf</v>
      </c>
      <c r="F2582" s="5" t="str">
        <f>HYPERLINK("https://dpmzos25m8ivg.cloudfront.net/Documentos/631/05639556781/6310563955678108092023110709.pdf","https://dpmzos25m8ivg.cloudfront.net/Documentos/631/05639556781/6310563955678108092023110709.pdf")</f>
        <v>https://dpmzos25m8ivg.cloudfront.net/Documentos/631/05639556781/6310563955678108092023110709.pdf</v>
      </c>
      <c r="G2582" s="5" t="str">
        <f>HYPERLINK("https://dpmzos25m8ivg.cloudfront.net/Documentos/631/05639556781/6310563955678108092023110722.pdf","https://dpmzos25m8ivg.cloudfront.net/Documentos/631/05639556781/6310563955678108092023110722.pdf")</f>
        <v>https://dpmzos25m8ivg.cloudfront.net/Documentos/631/05639556781/6310563955678108092023110722.pdf</v>
      </c>
      <c r="H2582" s="5" t="s">
        <v>11160</v>
      </c>
    </row>
    <row r="2583" spans="1:8" x14ac:dyDescent="0.25">
      <c r="A2583" s="2" t="s">
        <v>2599</v>
      </c>
      <c r="B2583" s="3" t="s">
        <v>2358</v>
      </c>
      <c r="C2583" s="3"/>
      <c r="D2583" s="3"/>
      <c r="E2583" s="5" t="str">
        <f>HYPERLINK("https://dpmzos25m8ivg.cloudfront.net/Documentos/631/05640235403/6310564023540309092023222855.pdf","https://dpmzos25m8ivg.cloudfront.net/Documentos/631/05640235403/6310564023540309092023222855.pdf")</f>
        <v>https://dpmzos25m8ivg.cloudfront.net/Documentos/631/05640235403/6310564023540309092023222855.pdf</v>
      </c>
      <c r="F2583" s="5" t="str">
        <f>HYPERLINK("https://dpmzos25m8ivg.cloudfront.net/Documentos/631/05640235403/6310564023540309092023223840.pdf","https://dpmzos25m8ivg.cloudfront.net/Documentos/631/05640235403/6310564023540309092023223840.pdf")</f>
        <v>https://dpmzos25m8ivg.cloudfront.net/Documentos/631/05640235403/6310564023540309092023223840.pdf</v>
      </c>
      <c r="G2583" s="5" t="str">
        <f>HYPERLINK("https://dpmzos25m8ivg.cloudfront.net/Documentos/631/05640235403/6310564023540309092023223851.pdf","https://dpmzos25m8ivg.cloudfront.net/Documentos/631/05640235403/6310564023540309092023223851.pdf")</f>
        <v>https://dpmzos25m8ivg.cloudfront.net/Documentos/631/05640235403/6310564023540309092023223851.pdf</v>
      </c>
      <c r="H2583" s="5" t="s">
        <v>11161</v>
      </c>
    </row>
    <row r="2584" spans="1:8" x14ac:dyDescent="0.25">
      <c r="A2584" s="2" t="s">
        <v>2600</v>
      </c>
      <c r="B2584" s="3"/>
      <c r="C2584" s="3"/>
      <c r="D2584" s="3"/>
      <c r="E2584" s="5" t="str">
        <f>HYPERLINK("https://dpmzos25m8ivg.cloudfront.net/Documentos/631/05641023183/6310564102318310092023143608.pdf","https://dpmzos25m8ivg.cloudfront.net/Documentos/631/05641023183/6310564102318310092023143608.pdf")</f>
        <v>https://dpmzos25m8ivg.cloudfront.net/Documentos/631/05641023183/6310564102318310092023143608.pdf</v>
      </c>
      <c r="F2584" s="5" t="str">
        <f>HYPERLINK("https://dpmzos25m8ivg.cloudfront.net/Documentos/631/05641023183/6310564102318310092023143618.pdf","https://dpmzos25m8ivg.cloudfront.net/Documentos/631/05641023183/6310564102318310092023143618.pdf")</f>
        <v>https://dpmzos25m8ivg.cloudfront.net/Documentos/631/05641023183/6310564102318310092023143618.pdf</v>
      </c>
      <c r="G2584" s="5" t="str">
        <f>HYPERLINK("https://dpmzos25m8ivg.cloudfront.net/Documentos/631/05641023183/6310564102318310092023143628.pdf","https://dpmzos25m8ivg.cloudfront.net/Documentos/631/05641023183/6310564102318310092023143628.pdf")</f>
        <v>https://dpmzos25m8ivg.cloudfront.net/Documentos/631/05641023183/6310564102318310092023143628.pdf</v>
      </c>
      <c r="H2584" s="5" t="s">
        <v>11162</v>
      </c>
    </row>
    <row r="2585" spans="1:8" x14ac:dyDescent="0.25">
      <c r="A2585" s="2" t="s">
        <v>2601</v>
      </c>
      <c r="B2585" s="3"/>
      <c r="C2585" s="3"/>
      <c r="D2585" s="3"/>
      <c r="E2585" s="5" t="str">
        <f>HYPERLINK("https://dpmzos25m8ivg.cloudfront.net/Documentos/631/05643657503/6310564365750311092023165516.pdf","https://dpmzos25m8ivg.cloudfront.net/Documentos/631/05643657503/6310564365750311092023165516.pdf")</f>
        <v>https://dpmzos25m8ivg.cloudfront.net/Documentos/631/05643657503/6310564365750311092023165516.pdf</v>
      </c>
      <c r="F2585" s="5" t="str">
        <f>HYPERLINK("https://dpmzos25m8ivg.cloudfront.net/Documentos/631/05643657503/6310564365750311092023165530.pdf","https://dpmzos25m8ivg.cloudfront.net/Documentos/631/05643657503/6310564365750311092023165530.pdf")</f>
        <v>https://dpmzos25m8ivg.cloudfront.net/Documentos/631/05643657503/6310564365750311092023165530.pdf</v>
      </c>
      <c r="G2585" s="5" t="str">
        <f>HYPERLINK("https://dpmzos25m8ivg.cloudfront.net/Documentos/631/05643657503/6310564365750311092023165551.pdf","https://dpmzos25m8ivg.cloudfront.net/Documentos/631/05643657503/6310564365750311092023165551.pdf")</f>
        <v>https://dpmzos25m8ivg.cloudfront.net/Documentos/631/05643657503/6310564365750311092023165551.pdf</v>
      </c>
      <c r="H2585" s="5" t="s">
        <v>11163</v>
      </c>
    </row>
    <row r="2586" spans="1:8" x14ac:dyDescent="0.25">
      <c r="A2586" s="2" t="s">
        <v>2602</v>
      </c>
      <c r="B2586" s="3"/>
      <c r="C2586" s="3"/>
      <c r="D2586" s="3"/>
      <c r="E2586" s="5" t="str">
        <f>HYPERLINK("https://dpmzos25m8ivg.cloudfront.net/Documentos/631/05644041107/6310564404110706092023082817.pdf","https://dpmzos25m8ivg.cloudfront.net/Documentos/631/05644041107/6310564404110706092023082817.pdf")</f>
        <v>https://dpmzos25m8ivg.cloudfront.net/Documentos/631/05644041107/6310564404110706092023082817.pdf</v>
      </c>
      <c r="F2586" s="5" t="str">
        <f>HYPERLINK("https://dpmzos25m8ivg.cloudfront.net/Documentos/631/05644041107/6310564404110706092023082831.pdf","https://dpmzos25m8ivg.cloudfront.net/Documentos/631/05644041107/6310564404110706092023082831.pdf")</f>
        <v>https://dpmzos25m8ivg.cloudfront.net/Documentos/631/05644041107/6310564404110706092023082831.pdf</v>
      </c>
      <c r="G2586" s="5" t="str">
        <f>HYPERLINK("https://dpmzos25m8ivg.cloudfront.net/Documentos/631/05644041107/6310564404110706092023082844.pdf","https://dpmzos25m8ivg.cloudfront.net/Documentos/631/05644041107/6310564404110706092023082844.pdf")</f>
        <v>https://dpmzos25m8ivg.cloudfront.net/Documentos/631/05644041107/6310564404110706092023082844.pdf</v>
      </c>
      <c r="H2586" s="5" t="s">
        <v>11164</v>
      </c>
    </row>
    <row r="2587" spans="1:8" x14ac:dyDescent="0.25">
      <c r="A2587" s="2" t="s">
        <v>2603</v>
      </c>
      <c r="B2587" s="3" t="s">
        <v>2604</v>
      </c>
      <c r="C2587" s="3"/>
      <c r="D2587" s="3"/>
      <c r="E2587" s="5" t="str">
        <f>HYPERLINK("https://dpmzos25m8ivg.cloudfront.net/Documentos/631/05644601684/6310564460168411092023164356.pdf","https://dpmzos25m8ivg.cloudfront.net/Documentos/631/05644601684/6310564460168411092023164356.pdf")</f>
        <v>https://dpmzos25m8ivg.cloudfront.net/Documentos/631/05644601684/6310564460168411092023164356.pdf</v>
      </c>
      <c r="F2587" s="5" t="str">
        <f>HYPERLINK("https://dpmzos25m8ivg.cloudfront.net/Documentos/631/05644601684/6310564460168411092023164408.pdf","https://dpmzos25m8ivg.cloudfront.net/Documentos/631/05644601684/6310564460168411092023164408.pdf")</f>
        <v>https://dpmzos25m8ivg.cloudfront.net/Documentos/631/05644601684/6310564460168411092023164408.pdf</v>
      </c>
      <c r="G2587" s="5" t="str">
        <f>HYPERLINK("https://dpmzos25m8ivg.cloudfront.net/Documentos/631/05644601684/6310564460168411092023164421.pdf","https://dpmzos25m8ivg.cloudfront.net/Documentos/631/05644601684/6310564460168411092023164421.pdf")</f>
        <v>https://dpmzos25m8ivg.cloudfront.net/Documentos/631/05644601684/6310564460168411092023164421.pdf</v>
      </c>
      <c r="H2587" s="5" t="s">
        <v>11165</v>
      </c>
    </row>
    <row r="2588" spans="1:8" x14ac:dyDescent="0.25">
      <c r="A2588" s="2" t="s">
        <v>2605</v>
      </c>
      <c r="B2588" s="3"/>
      <c r="C2588" s="3"/>
      <c r="D2588" s="3"/>
      <c r="E2588" s="5" t="str">
        <f>HYPERLINK("https://dpmzos25m8ivg.cloudfront.net/Documentos/631/05645063546/6310564506354611092023125927.pdf","https://dpmzos25m8ivg.cloudfront.net/Documentos/631/05645063546/6310564506354611092023125927.pdf")</f>
        <v>https://dpmzos25m8ivg.cloudfront.net/Documentos/631/05645063546/6310564506354611092023125927.pdf</v>
      </c>
      <c r="F2588" s="5" t="str">
        <f>HYPERLINK("https://dpmzos25m8ivg.cloudfront.net/Documentos/631/05645063546/6310564506354611092023125935.pdf","https://dpmzos25m8ivg.cloudfront.net/Documentos/631/05645063546/6310564506354611092023125935.pdf")</f>
        <v>https://dpmzos25m8ivg.cloudfront.net/Documentos/631/05645063546/6310564506354611092023125935.pdf</v>
      </c>
      <c r="G2588" s="5" t="str">
        <f>HYPERLINK("https://dpmzos25m8ivg.cloudfront.net/Documentos/631/05645063546/6310564506354611092023125945.pdf","https://dpmzos25m8ivg.cloudfront.net/Documentos/631/05645063546/6310564506354611092023125945.pdf")</f>
        <v>https://dpmzos25m8ivg.cloudfront.net/Documentos/631/05645063546/6310564506354611092023125945.pdf</v>
      </c>
      <c r="H2588" s="5" t="s">
        <v>11166</v>
      </c>
    </row>
    <row r="2589" spans="1:8" x14ac:dyDescent="0.25">
      <c r="A2589" s="2" t="s">
        <v>2606</v>
      </c>
      <c r="B2589" s="3"/>
      <c r="C2589" s="3"/>
      <c r="D2589" s="3"/>
      <c r="E2589" s="5" t="str">
        <f>HYPERLINK("https://dpmzos25m8ivg.cloudfront.net/Documentos/631/05646064562/6310564606456205092023094245.jpeg","https://dpmzos25m8ivg.cloudfront.net/Documentos/631/05646064562/6310564606456205092023094245.jpeg")</f>
        <v>https://dpmzos25m8ivg.cloudfront.net/Documentos/631/05646064562/6310564606456205092023094245.jpeg</v>
      </c>
      <c r="F2589" s="5" t="str">
        <f>HYPERLINK("https://dpmzos25m8ivg.cloudfront.net/Documentos/631/05646064562/6310564606456205092023094307.jpeg","https://dpmzos25m8ivg.cloudfront.net/Documentos/631/05646064562/6310564606456205092023094307.jpeg")</f>
        <v>https://dpmzos25m8ivg.cloudfront.net/Documentos/631/05646064562/6310564606456205092023094307.jpeg</v>
      </c>
      <c r="G2589" s="5" t="str">
        <f>HYPERLINK("https://dpmzos25m8ivg.cloudfront.net/Documentos/631/05646064562/6310564606456205092023094331.jpeg","https://dpmzos25m8ivg.cloudfront.net/Documentos/631/05646064562/6310564606456205092023094331.jpeg")</f>
        <v>https://dpmzos25m8ivg.cloudfront.net/Documentos/631/05646064562/6310564606456205092023094331.jpeg</v>
      </c>
      <c r="H2589" s="5" t="s">
        <v>11167</v>
      </c>
    </row>
    <row r="2590" spans="1:8" x14ac:dyDescent="0.25">
      <c r="A2590" s="2" t="s">
        <v>2607</v>
      </c>
      <c r="B2590" s="3" t="s">
        <v>2358</v>
      </c>
      <c r="C2590" s="3"/>
      <c r="D2590" s="3"/>
      <c r="E2590" s="5" t="str">
        <f>HYPERLINK("https://dpmzos25m8ivg.cloudfront.net/Documentos/631/05646261473/6310564626147307092023194555.jpeg","https://dpmzos25m8ivg.cloudfront.net/Documentos/631/05646261473/6310564626147307092023194555.jpeg")</f>
        <v>https://dpmzos25m8ivg.cloudfront.net/Documentos/631/05646261473/6310564626147307092023194555.jpeg</v>
      </c>
      <c r="F2590" s="5" t="str">
        <f>HYPERLINK("https://dpmzos25m8ivg.cloudfront.net/Documentos/631/05646261473/6310564626147307092023194722.jpeg","https://dpmzos25m8ivg.cloudfront.net/Documentos/631/05646261473/6310564626147307092023194722.jpeg")</f>
        <v>https://dpmzos25m8ivg.cloudfront.net/Documentos/631/05646261473/6310564626147307092023194722.jpeg</v>
      </c>
      <c r="G2590" s="5" t="str">
        <f>HYPERLINK("https://dpmzos25m8ivg.cloudfront.net/Documentos/631/05646261473/6310564626147307092023194749.jpeg","https://dpmzos25m8ivg.cloudfront.net/Documentos/631/05646261473/6310564626147307092023194749.jpeg")</f>
        <v>https://dpmzos25m8ivg.cloudfront.net/Documentos/631/05646261473/6310564626147307092023194749.jpeg</v>
      </c>
      <c r="H2590" s="5" t="s">
        <v>11168</v>
      </c>
    </row>
    <row r="2591" spans="1:8" x14ac:dyDescent="0.25">
      <c r="A2591" s="2" t="s">
        <v>2608</v>
      </c>
      <c r="B2591" s="3" t="s">
        <v>2358</v>
      </c>
      <c r="C2591" s="3"/>
      <c r="D2591" s="3"/>
      <c r="E2591" s="5" t="str">
        <f>HYPERLINK("https://dpmzos25m8ivg.cloudfront.net/Documentos/631/05649313571/6310564931357111092023163355.pdf","https://dpmzos25m8ivg.cloudfront.net/Documentos/631/05649313571/6310564931357111092023163355.pdf")</f>
        <v>https://dpmzos25m8ivg.cloudfront.net/Documentos/631/05649313571/6310564931357111092023163355.pdf</v>
      </c>
      <c r="F2591" s="5" t="str">
        <f>HYPERLINK("https://dpmzos25m8ivg.cloudfront.net/Documentos/631/05649313571/6310564931357111092023163409.pdf","https://dpmzos25m8ivg.cloudfront.net/Documentos/631/05649313571/6310564931357111092023163409.pdf")</f>
        <v>https://dpmzos25m8ivg.cloudfront.net/Documentos/631/05649313571/6310564931357111092023163409.pdf</v>
      </c>
      <c r="G2591" s="5" t="str">
        <f>HYPERLINK("https://dpmzos25m8ivg.cloudfront.net/Documentos/631/05649313571/6310564931357111092023163422.pdf","https://dpmzos25m8ivg.cloudfront.net/Documentos/631/05649313571/6310564931357111092023163422.pdf")</f>
        <v>https://dpmzos25m8ivg.cloudfront.net/Documentos/631/05649313571/6310564931357111092023163422.pdf</v>
      </c>
      <c r="H2591" s="5" t="s">
        <v>11169</v>
      </c>
    </row>
    <row r="2592" spans="1:8" x14ac:dyDescent="0.25">
      <c r="A2592" s="2" t="s">
        <v>2609</v>
      </c>
      <c r="B2592" s="3"/>
      <c r="C2592" s="3"/>
      <c r="D2592" s="3"/>
      <c r="E2592" s="5" t="str">
        <f>HYPERLINK("https://dpmzos25m8ivg.cloudfront.net/Documentos/631/05650472300/6310565047230011092023162042.pdf","https://dpmzos25m8ivg.cloudfront.net/Documentos/631/05650472300/6310565047230011092023162042.pdf")</f>
        <v>https://dpmzos25m8ivg.cloudfront.net/Documentos/631/05650472300/6310565047230011092023162042.pdf</v>
      </c>
      <c r="F2592" s="5" t="str">
        <f>HYPERLINK("https://dpmzos25m8ivg.cloudfront.net/Documentos/631/05650472300/6310565047230011092023162054.pdf","https://dpmzos25m8ivg.cloudfront.net/Documentos/631/05650472300/6310565047230011092023162054.pdf")</f>
        <v>https://dpmzos25m8ivg.cloudfront.net/Documentos/631/05650472300/6310565047230011092023162054.pdf</v>
      </c>
      <c r="G2592" s="5" t="str">
        <f>HYPERLINK("https://dpmzos25m8ivg.cloudfront.net/Documentos/631/05650472300/6310565047230011092023162106.pdf","https://dpmzos25m8ivg.cloudfront.net/Documentos/631/05650472300/6310565047230011092023162106.pdf")</f>
        <v>https://dpmzos25m8ivg.cloudfront.net/Documentos/631/05650472300/6310565047230011092023162106.pdf</v>
      </c>
      <c r="H2592" s="5" t="s">
        <v>11170</v>
      </c>
    </row>
    <row r="2593" spans="1:8" x14ac:dyDescent="0.25">
      <c r="A2593" s="2" t="s">
        <v>2610</v>
      </c>
      <c r="B2593" s="3" t="s">
        <v>8</v>
      </c>
      <c r="C2593" s="3"/>
      <c r="D2593" s="3"/>
      <c r="E2593" s="5" t="str">
        <f>HYPERLINK("https://dpmzos25m8ivg.cloudfront.net/Documentos/631/05651154728/6310565115472805092023212358.pdf","https://dpmzos25m8ivg.cloudfront.net/Documentos/631/05651154728/6310565115472805092023212358.pdf")</f>
        <v>https://dpmzos25m8ivg.cloudfront.net/Documentos/631/05651154728/6310565115472805092023212358.pdf</v>
      </c>
      <c r="F2593" s="5" t="str">
        <f>HYPERLINK("https://dpmzos25m8ivg.cloudfront.net/Documentos/631/05651154728/6310565115472805092023212424.pdf","https://dpmzos25m8ivg.cloudfront.net/Documentos/631/05651154728/6310565115472805092023212424.pdf")</f>
        <v>https://dpmzos25m8ivg.cloudfront.net/Documentos/631/05651154728/6310565115472805092023212424.pdf</v>
      </c>
      <c r="G2593" s="5" t="str">
        <f>HYPERLINK("https://dpmzos25m8ivg.cloudfront.net/Documentos/631/05651154728/6310565115472805092023212520.pdf","https://dpmzos25m8ivg.cloudfront.net/Documentos/631/05651154728/6310565115472805092023212520.pdf")</f>
        <v>https://dpmzos25m8ivg.cloudfront.net/Documentos/631/05651154728/6310565115472805092023212520.pdf</v>
      </c>
      <c r="H2593" s="5" t="s">
        <v>11171</v>
      </c>
    </row>
    <row r="2594" spans="1:8" x14ac:dyDescent="0.25">
      <c r="A2594" s="2" t="s">
        <v>2611</v>
      </c>
      <c r="B2594" s="3"/>
      <c r="C2594" s="3"/>
      <c r="D2594" s="3"/>
      <c r="E2594" s="5" t="str">
        <f>HYPERLINK("https://dpmzos25m8ivg.cloudfront.net/Documentos/631/05652465182/6310565246518211092023133756.pdf","https://dpmzos25m8ivg.cloudfront.net/Documentos/631/05652465182/6310565246518211092023133756.pdf")</f>
        <v>https://dpmzos25m8ivg.cloudfront.net/Documentos/631/05652465182/6310565246518211092023133756.pdf</v>
      </c>
      <c r="F2594" s="5" t="str">
        <f>HYPERLINK("https://dpmzos25m8ivg.cloudfront.net/Documentos/631/05652465182/6310565246518211092023133810.pdf","https://dpmzos25m8ivg.cloudfront.net/Documentos/631/05652465182/6310565246518211092023133810.pdf")</f>
        <v>https://dpmzos25m8ivg.cloudfront.net/Documentos/631/05652465182/6310565246518211092023133810.pdf</v>
      </c>
      <c r="G2594" s="5" t="str">
        <f>HYPERLINK("https://dpmzos25m8ivg.cloudfront.net/Documentos/631/05652465182/6310565246518211092023133823.pdf","https://dpmzos25m8ivg.cloudfront.net/Documentos/631/05652465182/6310565246518211092023133823.pdf")</f>
        <v>https://dpmzos25m8ivg.cloudfront.net/Documentos/631/05652465182/6310565246518211092023133823.pdf</v>
      </c>
      <c r="H2594" s="5" t="s">
        <v>11172</v>
      </c>
    </row>
    <row r="2595" spans="1:8" x14ac:dyDescent="0.25">
      <c r="A2595" s="2" t="s">
        <v>2612</v>
      </c>
      <c r="B2595" s="3" t="s">
        <v>2358</v>
      </c>
      <c r="C2595" s="3"/>
      <c r="D2595" s="3"/>
      <c r="E2595" s="5" t="str">
        <f>HYPERLINK("https://dpmzos25m8ivg.cloudfront.net/Documentos/631/05658443695/6310565844369508092023155556.pdf","https://dpmzos25m8ivg.cloudfront.net/Documentos/631/05658443695/6310565844369508092023155556.pdf")</f>
        <v>https://dpmzos25m8ivg.cloudfront.net/Documentos/631/05658443695/6310565844369508092023155556.pdf</v>
      </c>
      <c r="F2595" s="5" t="str">
        <f>HYPERLINK("https://dpmzos25m8ivg.cloudfront.net/Documentos/631/05658443695/6310565844369508092023155612.pdf","https://dpmzos25m8ivg.cloudfront.net/Documentos/631/05658443695/6310565844369508092023155612.pdf")</f>
        <v>https://dpmzos25m8ivg.cloudfront.net/Documentos/631/05658443695/6310565844369508092023155612.pdf</v>
      </c>
      <c r="G2595" s="5" t="str">
        <f>HYPERLINK("https://dpmzos25m8ivg.cloudfront.net/Documentos/631/05658443695/6310565844369508092023155623.pdf","https://dpmzos25m8ivg.cloudfront.net/Documentos/631/05658443695/6310565844369508092023155623.pdf")</f>
        <v>https://dpmzos25m8ivg.cloudfront.net/Documentos/631/05658443695/6310565844369508092023155623.pdf</v>
      </c>
      <c r="H2595" s="5" t="s">
        <v>11173</v>
      </c>
    </row>
    <row r="2596" spans="1:8" x14ac:dyDescent="0.25">
      <c r="A2596" s="2" t="s">
        <v>2613</v>
      </c>
      <c r="B2596" s="3"/>
      <c r="C2596" s="3"/>
      <c r="D2596" s="3"/>
      <c r="E2596" s="5" t="str">
        <f>HYPERLINK("https://dpmzos25m8ivg.cloudfront.net/Documentos/631/05659125425/6310565912542510092023165434.pdf","https://dpmzos25m8ivg.cloudfront.net/Documentos/631/05659125425/6310565912542510092023165434.pdf")</f>
        <v>https://dpmzos25m8ivg.cloudfront.net/Documentos/631/05659125425/6310565912542510092023165434.pdf</v>
      </c>
      <c r="F2596" s="5" t="str">
        <f>HYPERLINK("https://dpmzos25m8ivg.cloudfront.net/Documentos/631/05659125425/6310565912542510092023165443.pdf","https://dpmzos25m8ivg.cloudfront.net/Documentos/631/05659125425/6310565912542510092023165443.pdf")</f>
        <v>https://dpmzos25m8ivg.cloudfront.net/Documentos/631/05659125425/6310565912542510092023165443.pdf</v>
      </c>
      <c r="G2596" s="5" t="str">
        <f>HYPERLINK("https://dpmzos25m8ivg.cloudfront.net/Documentos/631/05659125425/6310565912542510092023165454.pdf","https://dpmzos25m8ivg.cloudfront.net/Documentos/631/05659125425/6310565912542510092023165454.pdf")</f>
        <v>https://dpmzos25m8ivg.cloudfront.net/Documentos/631/05659125425/6310565912542510092023165454.pdf</v>
      </c>
      <c r="H2596" s="5" t="s">
        <v>11174</v>
      </c>
    </row>
    <row r="2597" spans="1:8" x14ac:dyDescent="0.25">
      <c r="A2597" s="2" t="s">
        <v>2614</v>
      </c>
      <c r="B2597" s="3"/>
      <c r="C2597" s="3"/>
      <c r="D2597" s="3"/>
      <c r="E2597" s="5" t="str">
        <f>HYPERLINK("https://dpmzos25m8ivg.cloudfront.net/Documentos/631/05659727310/6310565972731011092023002621.pdf","https://dpmzos25m8ivg.cloudfront.net/Documentos/631/05659727310/6310565972731011092023002621.pdf")</f>
        <v>https://dpmzos25m8ivg.cloudfront.net/Documentos/631/05659727310/6310565972731011092023002621.pdf</v>
      </c>
      <c r="F2597" s="5" t="str">
        <f>HYPERLINK("https://dpmzos25m8ivg.cloudfront.net/Documentos/631/05659727310/6310565972731011092023002637.pdf","https://dpmzos25m8ivg.cloudfront.net/Documentos/631/05659727310/6310565972731011092023002637.pdf")</f>
        <v>https://dpmzos25m8ivg.cloudfront.net/Documentos/631/05659727310/6310565972731011092023002637.pdf</v>
      </c>
      <c r="G2597" s="5" t="str">
        <f>HYPERLINK("https://dpmzos25m8ivg.cloudfront.net/Documentos/631/05659727310/6310565972731011092023002652.pdf","https://dpmzos25m8ivg.cloudfront.net/Documentos/631/05659727310/6310565972731011092023002652.pdf")</f>
        <v>https://dpmzos25m8ivg.cloudfront.net/Documentos/631/05659727310/6310565972731011092023002652.pdf</v>
      </c>
      <c r="H2597" s="5" t="s">
        <v>11175</v>
      </c>
    </row>
    <row r="2598" spans="1:8" x14ac:dyDescent="0.25">
      <c r="A2598" s="2" t="s">
        <v>2615</v>
      </c>
      <c r="B2598" s="3" t="s">
        <v>8</v>
      </c>
      <c r="C2598" s="3"/>
      <c r="D2598" s="3"/>
      <c r="E2598" s="5" t="str">
        <f>HYPERLINK("https://dpmzos25m8ivg.cloudfront.net/Documentos/631/05661012110/6310566101211008092023194206.jpg","https://dpmzos25m8ivg.cloudfront.net/Documentos/631/05661012110/6310566101211008092023194206.jpg")</f>
        <v>https://dpmzos25m8ivg.cloudfront.net/Documentos/631/05661012110/6310566101211008092023194206.jpg</v>
      </c>
      <c r="F2598" s="5" t="str">
        <f>HYPERLINK("https://dpmzos25m8ivg.cloudfront.net/Documentos/631/05661012110/6310566101211008092023194213.jpg","https://dpmzos25m8ivg.cloudfront.net/Documentos/631/05661012110/6310566101211008092023194213.jpg")</f>
        <v>https://dpmzos25m8ivg.cloudfront.net/Documentos/631/05661012110/6310566101211008092023194213.jpg</v>
      </c>
      <c r="G2598" s="5" t="str">
        <f>HYPERLINK("https://dpmzos25m8ivg.cloudfront.net/Documentos/631/05661012110/6310566101211008092023194223.jpg","https://dpmzos25m8ivg.cloudfront.net/Documentos/631/05661012110/6310566101211008092023194223.jpg")</f>
        <v>https://dpmzos25m8ivg.cloudfront.net/Documentos/631/05661012110/6310566101211008092023194223.jpg</v>
      </c>
      <c r="H2598" s="5" t="s">
        <v>11176</v>
      </c>
    </row>
    <row r="2599" spans="1:8" x14ac:dyDescent="0.25">
      <c r="A2599" s="2" t="s">
        <v>2616</v>
      </c>
      <c r="B2599" s="3"/>
      <c r="C2599" s="3"/>
      <c r="D2599" s="3"/>
      <c r="E2599" s="5" t="str">
        <f>HYPERLINK("https://dpmzos25m8ivg.cloudfront.net/Documentos/631/05661319193/6310566131919314092023081210.pdf","https://dpmzos25m8ivg.cloudfront.net/Documentos/631/05661319193/6310566131919314092023081210.pdf")</f>
        <v>https://dpmzos25m8ivg.cloudfront.net/Documentos/631/05661319193/6310566131919314092023081210.pdf</v>
      </c>
      <c r="F2599" s="5" t="str">
        <f>HYPERLINK("https://dpmzos25m8ivg.cloudfront.net/Documentos/631/05661319193/6310566131919314092023081229.pdf","https://dpmzos25m8ivg.cloudfront.net/Documentos/631/05661319193/6310566131919314092023081229.pdf")</f>
        <v>https://dpmzos25m8ivg.cloudfront.net/Documentos/631/05661319193/6310566131919314092023081229.pdf</v>
      </c>
      <c r="G2599" s="5" t="str">
        <f>HYPERLINK("https://dpmzos25m8ivg.cloudfront.net/Documentos/631/05661319193/6310566131919314092023081237.pdf","https://dpmzos25m8ivg.cloudfront.net/Documentos/631/05661319193/6310566131919314092023081237.pdf")</f>
        <v>https://dpmzos25m8ivg.cloudfront.net/Documentos/631/05661319193/6310566131919314092023081237.pdf</v>
      </c>
      <c r="H2599" s="5" t="s">
        <v>11177</v>
      </c>
    </row>
    <row r="2600" spans="1:8" x14ac:dyDescent="0.25">
      <c r="A2600" s="2" t="s">
        <v>2617</v>
      </c>
      <c r="B2600" s="3"/>
      <c r="C2600" s="3"/>
      <c r="D2600" s="3"/>
      <c r="E2600" s="5" t="str">
        <f>HYPERLINK("https://dpmzos25m8ivg.cloudfront.net/Documentos/631/05662282544/6310566228254408092023215452.jpeg","https://dpmzos25m8ivg.cloudfront.net/Documentos/631/05662282544/6310566228254408092023215452.jpeg")</f>
        <v>https://dpmzos25m8ivg.cloudfront.net/Documentos/631/05662282544/6310566228254408092023215452.jpeg</v>
      </c>
      <c r="F2600" s="5" t="str">
        <f>HYPERLINK("https://dpmzos25m8ivg.cloudfront.net/Documentos/631/05662282544/6310566228254408092023215503.jpeg","https://dpmzos25m8ivg.cloudfront.net/Documentos/631/05662282544/6310566228254408092023215503.jpeg")</f>
        <v>https://dpmzos25m8ivg.cloudfront.net/Documentos/631/05662282544/6310566228254408092023215503.jpeg</v>
      </c>
      <c r="G2600" s="5" t="str">
        <f>HYPERLINK("https://dpmzos25m8ivg.cloudfront.net/Documentos/631/05662282544/6310566228254408092023215515.jpeg","https://dpmzos25m8ivg.cloudfront.net/Documentos/631/05662282544/6310566228254408092023215515.jpeg")</f>
        <v>https://dpmzos25m8ivg.cloudfront.net/Documentos/631/05662282544/6310566228254408092023215515.jpeg</v>
      </c>
      <c r="H2600" s="5" t="s">
        <v>11178</v>
      </c>
    </row>
    <row r="2601" spans="1:8" x14ac:dyDescent="0.25">
      <c r="A2601" s="2" t="s">
        <v>2618</v>
      </c>
      <c r="B2601" s="3"/>
      <c r="C2601" s="3"/>
      <c r="D2601" s="3"/>
      <c r="E2601" s="5" t="str">
        <f>HYPERLINK("https://dpmzos25m8ivg.cloudfront.net/Documentos/631/05662410305/6310566241030506092023211601.pdf","https://dpmzos25m8ivg.cloudfront.net/Documentos/631/05662410305/6310566241030506092023211601.pdf")</f>
        <v>https://dpmzos25m8ivg.cloudfront.net/Documentos/631/05662410305/6310566241030506092023211601.pdf</v>
      </c>
      <c r="F2601" s="5" t="str">
        <f>HYPERLINK("https://dpmzos25m8ivg.cloudfront.net/Documentos/631/05662410305/6310566241030506092023211616.pdf","https://dpmzos25m8ivg.cloudfront.net/Documentos/631/05662410305/6310566241030506092023211616.pdf")</f>
        <v>https://dpmzos25m8ivg.cloudfront.net/Documentos/631/05662410305/6310566241030506092023211616.pdf</v>
      </c>
      <c r="G2601" s="5" t="str">
        <f>HYPERLINK("https://dpmzos25m8ivg.cloudfront.net/Documentos/631/05662410305/6310566241030506092023211631.pdf","https://dpmzos25m8ivg.cloudfront.net/Documentos/631/05662410305/6310566241030506092023211631.pdf")</f>
        <v>https://dpmzos25m8ivg.cloudfront.net/Documentos/631/05662410305/6310566241030506092023211631.pdf</v>
      </c>
      <c r="H2601" s="5" t="s">
        <v>11179</v>
      </c>
    </row>
    <row r="2602" spans="1:8" x14ac:dyDescent="0.25">
      <c r="A2602" s="2" t="s">
        <v>2619</v>
      </c>
      <c r="B2602" s="3"/>
      <c r="C2602" s="3"/>
      <c r="D2602" s="3"/>
      <c r="E2602" s="5" t="str">
        <f>HYPERLINK("https://dpmzos25m8ivg.cloudfront.net/Documentos/631/05664490306/6310566449030610092023231600.pdf","https://dpmzos25m8ivg.cloudfront.net/Documentos/631/05664490306/6310566449030610092023231600.pdf")</f>
        <v>https://dpmzos25m8ivg.cloudfront.net/Documentos/631/05664490306/6310566449030610092023231600.pdf</v>
      </c>
      <c r="F2602" s="5" t="str">
        <f>HYPERLINK("https://dpmzos25m8ivg.cloudfront.net/Documentos/631/05664490306/6310566449030610092023231614.pdf","https://dpmzos25m8ivg.cloudfront.net/Documentos/631/05664490306/6310566449030610092023231614.pdf")</f>
        <v>https://dpmzos25m8ivg.cloudfront.net/Documentos/631/05664490306/6310566449030610092023231614.pdf</v>
      </c>
      <c r="G2602" s="5" t="str">
        <f>HYPERLINK("https://dpmzos25m8ivg.cloudfront.net/Documentos/631/05664490306/6310566449030610092023231629.pdf","https://dpmzos25m8ivg.cloudfront.net/Documentos/631/05664490306/6310566449030610092023231629.pdf")</f>
        <v>https://dpmzos25m8ivg.cloudfront.net/Documentos/631/05664490306/6310566449030610092023231629.pdf</v>
      </c>
      <c r="H2602" s="5" t="s">
        <v>11180</v>
      </c>
    </row>
    <row r="2603" spans="1:8" x14ac:dyDescent="0.25">
      <c r="A2603" s="2" t="s">
        <v>2620</v>
      </c>
      <c r="B2603" s="3"/>
      <c r="C2603" s="3"/>
      <c r="D2603" s="3"/>
      <c r="E2603" s="5" t="str">
        <f>HYPERLINK("https://dpmzos25m8ivg.cloudfront.net/Documentos/631/05668694380/6310566869438011092023131804.pdf","https://dpmzos25m8ivg.cloudfront.net/Documentos/631/05668694380/6310566869438011092023131804.pdf")</f>
        <v>https://dpmzos25m8ivg.cloudfront.net/Documentos/631/05668694380/6310566869438011092023131804.pdf</v>
      </c>
      <c r="F2603" s="5" t="str">
        <f>HYPERLINK("https://dpmzos25m8ivg.cloudfront.net/Documentos/631/05668694380/6310566869438011092023131815.pdf","https://dpmzos25m8ivg.cloudfront.net/Documentos/631/05668694380/6310566869438011092023131815.pdf")</f>
        <v>https://dpmzos25m8ivg.cloudfront.net/Documentos/631/05668694380/6310566869438011092023131815.pdf</v>
      </c>
      <c r="G2603" s="5" t="str">
        <f>HYPERLINK("https://dpmzos25m8ivg.cloudfront.net/Documentos/631/05668694380/6310566869438011092023131824.pdf","https://dpmzos25m8ivg.cloudfront.net/Documentos/631/05668694380/6310566869438011092023131824.pdf")</f>
        <v>https://dpmzos25m8ivg.cloudfront.net/Documentos/631/05668694380/6310566869438011092023131824.pdf</v>
      </c>
      <c r="H2603" s="5" t="s">
        <v>11181</v>
      </c>
    </row>
    <row r="2604" spans="1:8" x14ac:dyDescent="0.25">
      <c r="A2604" s="2" t="s">
        <v>2621</v>
      </c>
      <c r="B2604" s="3"/>
      <c r="C2604" s="3"/>
      <c r="D2604" s="3"/>
      <c r="E2604" s="5" t="str">
        <f>HYPERLINK("https://dpmzos25m8ivg.cloudfront.net/Documentos/631/05669143108/6310566914310808092023133004.pdf","https://dpmzos25m8ivg.cloudfront.net/Documentos/631/05669143108/6310566914310808092023133004.pdf")</f>
        <v>https://dpmzos25m8ivg.cloudfront.net/Documentos/631/05669143108/6310566914310808092023133004.pdf</v>
      </c>
      <c r="F2604" s="5" t="str">
        <f>HYPERLINK("https://dpmzos25m8ivg.cloudfront.net/Documentos/631/05669143108/6310566914310808092023133115.pdf","https://dpmzos25m8ivg.cloudfront.net/Documentos/631/05669143108/6310566914310808092023133115.pdf")</f>
        <v>https://dpmzos25m8ivg.cloudfront.net/Documentos/631/05669143108/6310566914310808092023133115.pdf</v>
      </c>
      <c r="G2604" s="5" t="str">
        <f>HYPERLINK("https://dpmzos25m8ivg.cloudfront.net/Documentos/631/05669143108/6310566914310808092023133220.pdf","https://dpmzos25m8ivg.cloudfront.net/Documentos/631/05669143108/6310566914310808092023133220.pdf")</f>
        <v>https://dpmzos25m8ivg.cloudfront.net/Documentos/631/05669143108/6310566914310808092023133220.pdf</v>
      </c>
      <c r="H2604" s="5" t="s">
        <v>11182</v>
      </c>
    </row>
    <row r="2605" spans="1:8" x14ac:dyDescent="0.25">
      <c r="A2605" s="2" t="s">
        <v>2622</v>
      </c>
      <c r="B2605" s="3"/>
      <c r="C2605" s="3"/>
      <c r="D2605" s="3"/>
      <c r="E2605" s="5" t="str">
        <f>HYPERLINK("https://dpmzos25m8ivg.cloudfront.net/Documentos/631/05670914309/6310567091430906092023110306.pdf","https://dpmzos25m8ivg.cloudfront.net/Documentos/631/05670914309/6310567091430906092023110306.pdf")</f>
        <v>https://dpmzos25m8ivg.cloudfront.net/Documentos/631/05670914309/6310567091430906092023110306.pdf</v>
      </c>
      <c r="F2605" s="5" t="str">
        <f>HYPERLINK("https://dpmzos25m8ivg.cloudfront.net/Documentos/631/05670914309/6310567091430906092023110318.pdf","https://dpmzos25m8ivg.cloudfront.net/Documentos/631/05670914309/6310567091430906092023110318.pdf")</f>
        <v>https://dpmzos25m8ivg.cloudfront.net/Documentos/631/05670914309/6310567091430906092023110318.pdf</v>
      </c>
      <c r="G2605" s="5" t="str">
        <f>HYPERLINK("https://dpmzos25m8ivg.cloudfront.net/Documentos/631/05670914309/6310567091430906092023110330.pdf","https://dpmzos25m8ivg.cloudfront.net/Documentos/631/05670914309/6310567091430906092023110330.pdf")</f>
        <v>https://dpmzos25m8ivg.cloudfront.net/Documentos/631/05670914309/6310567091430906092023110330.pdf</v>
      </c>
      <c r="H2605" s="5" t="s">
        <v>11183</v>
      </c>
    </row>
    <row r="2606" spans="1:8" x14ac:dyDescent="0.25">
      <c r="A2606" s="2" t="s">
        <v>2623</v>
      </c>
      <c r="B2606" s="3"/>
      <c r="C2606" s="3"/>
      <c r="D2606" s="3"/>
      <c r="E2606" s="5" t="str">
        <f>HYPERLINK("https://dpmzos25m8ivg.cloudfront.net/Documentos/631/05672220126/6310567222012611092023130311.pdf","https://dpmzos25m8ivg.cloudfront.net/Documentos/631/05672220126/6310567222012611092023130311.pdf")</f>
        <v>https://dpmzos25m8ivg.cloudfront.net/Documentos/631/05672220126/6310567222012611092023130311.pdf</v>
      </c>
      <c r="F2606" s="5" t="str">
        <f>HYPERLINK("https://dpmzos25m8ivg.cloudfront.net/Documentos/631/05672220126/6310567222012611092023130319.pdf","https://dpmzos25m8ivg.cloudfront.net/Documentos/631/05672220126/6310567222012611092023130319.pdf")</f>
        <v>https://dpmzos25m8ivg.cloudfront.net/Documentos/631/05672220126/6310567222012611092023130319.pdf</v>
      </c>
      <c r="G2606" s="5" t="str">
        <f>HYPERLINK("https://dpmzos25m8ivg.cloudfront.net/Documentos/631/05672220126/6310567222012611092023130325.pdf","https://dpmzos25m8ivg.cloudfront.net/Documentos/631/05672220126/6310567222012611092023130325.pdf")</f>
        <v>https://dpmzos25m8ivg.cloudfront.net/Documentos/631/05672220126/6310567222012611092023130325.pdf</v>
      </c>
      <c r="H2606" s="5" t="s">
        <v>11184</v>
      </c>
    </row>
    <row r="2607" spans="1:8" x14ac:dyDescent="0.25">
      <c r="A2607" s="2" t="s">
        <v>2624</v>
      </c>
      <c r="B2607" s="3"/>
      <c r="C2607" s="3"/>
      <c r="D2607" s="3"/>
      <c r="E2607" s="5" t="str">
        <f>HYPERLINK("https://dpmzos25m8ivg.cloudfront.net/Documentos/631/05672566502/6310567256650205092023180907.pdf","https://dpmzos25m8ivg.cloudfront.net/Documentos/631/05672566502/6310567256650205092023180907.pdf")</f>
        <v>https://dpmzos25m8ivg.cloudfront.net/Documentos/631/05672566502/6310567256650205092023180907.pdf</v>
      </c>
      <c r="F2607" s="5" t="str">
        <f>HYPERLINK("https://dpmzos25m8ivg.cloudfront.net/Documentos/631/05672566502/6310567256650205092023180922.pdf","https://dpmzos25m8ivg.cloudfront.net/Documentos/631/05672566502/6310567256650205092023180922.pdf")</f>
        <v>https://dpmzos25m8ivg.cloudfront.net/Documentos/631/05672566502/6310567256650205092023180922.pdf</v>
      </c>
      <c r="G2607" s="5" t="str">
        <f>HYPERLINK("https://dpmzos25m8ivg.cloudfront.net/Documentos/631/05672566502/6310567256650205092023180939.pdf","https://dpmzos25m8ivg.cloudfront.net/Documentos/631/05672566502/6310567256650205092023180939.pdf")</f>
        <v>https://dpmzos25m8ivg.cloudfront.net/Documentos/631/05672566502/6310567256650205092023180939.pdf</v>
      </c>
      <c r="H2607" s="5" t="s">
        <v>11185</v>
      </c>
    </row>
    <row r="2608" spans="1:8" x14ac:dyDescent="0.25">
      <c r="A2608" s="2" t="s">
        <v>2625</v>
      </c>
      <c r="B2608" s="3"/>
      <c r="C2608" s="3"/>
      <c r="D2608" s="3"/>
      <c r="E2608" s="5" t="str">
        <f>HYPERLINK("https://dpmzos25m8ivg.cloudfront.net/Documentos/631/05672652344/6310567265234414092023141027.pdf","https://dpmzos25m8ivg.cloudfront.net/Documentos/631/05672652344/6310567265234414092023141027.pdf")</f>
        <v>https://dpmzos25m8ivg.cloudfront.net/Documentos/631/05672652344/6310567265234414092023141027.pdf</v>
      </c>
      <c r="F2608" s="5" t="str">
        <f>HYPERLINK("https://dpmzos25m8ivg.cloudfront.net/Documentos/631/05672652344/6310567265234414092023141038.pdf","https://dpmzos25m8ivg.cloudfront.net/Documentos/631/05672652344/6310567265234414092023141038.pdf")</f>
        <v>https://dpmzos25m8ivg.cloudfront.net/Documentos/631/05672652344/6310567265234414092023141038.pdf</v>
      </c>
      <c r="G2608" s="5" t="str">
        <f>HYPERLINK("https://dpmzos25m8ivg.cloudfront.net/Documentos/631/05672652344/6310567265234414092023141053.pdf","https://dpmzos25m8ivg.cloudfront.net/Documentos/631/05672652344/6310567265234414092023141053.pdf")</f>
        <v>https://dpmzos25m8ivg.cloudfront.net/Documentos/631/05672652344/6310567265234414092023141053.pdf</v>
      </c>
      <c r="H2608" s="5" t="s">
        <v>11186</v>
      </c>
    </row>
    <row r="2609" spans="1:8" x14ac:dyDescent="0.25">
      <c r="A2609" s="2" t="s">
        <v>2626</v>
      </c>
      <c r="B2609" s="3"/>
      <c r="C2609" s="3"/>
      <c r="D2609" s="3"/>
      <c r="E2609" s="5" t="str">
        <f>HYPERLINK("https://dpmzos25m8ivg.cloudfront.net/Documentos/631/05673114575/6310567311457511092023160557.jpg","https://dpmzos25m8ivg.cloudfront.net/Documentos/631/05673114575/6310567311457511092023160557.jpg")</f>
        <v>https://dpmzos25m8ivg.cloudfront.net/Documentos/631/05673114575/6310567311457511092023160557.jpg</v>
      </c>
      <c r="F2609" s="5" t="str">
        <f>HYPERLINK("https://dpmzos25m8ivg.cloudfront.net/Documentos/631/05673114575/6310567311457511092023160612.jpg","https://dpmzos25m8ivg.cloudfront.net/Documentos/631/05673114575/6310567311457511092023160612.jpg")</f>
        <v>https://dpmzos25m8ivg.cloudfront.net/Documentos/631/05673114575/6310567311457511092023160612.jpg</v>
      </c>
      <c r="G2609" s="5" t="str">
        <f>HYPERLINK("https://dpmzos25m8ivg.cloudfront.net/Documentos/631/05673114575/6310567311457511092023160626.jpg","https://dpmzos25m8ivg.cloudfront.net/Documentos/631/05673114575/6310567311457511092023160626.jpg")</f>
        <v>https://dpmzos25m8ivg.cloudfront.net/Documentos/631/05673114575/6310567311457511092023160626.jpg</v>
      </c>
      <c r="H2609" s="5" t="s">
        <v>11187</v>
      </c>
    </row>
    <row r="2610" spans="1:8" x14ac:dyDescent="0.25">
      <c r="A2610" s="2" t="s">
        <v>2627</v>
      </c>
      <c r="B2610" s="3"/>
      <c r="C2610" s="3"/>
      <c r="D2610" s="3"/>
      <c r="E2610" s="5" t="str">
        <f>HYPERLINK("https://dpmzos25m8ivg.cloudfront.net/Documentos/631/05673310323/6310567331032313092023090716.pdf","https://dpmzos25m8ivg.cloudfront.net/Documentos/631/05673310323/6310567331032313092023090716.pdf")</f>
        <v>https://dpmzos25m8ivg.cloudfront.net/Documentos/631/05673310323/6310567331032313092023090716.pdf</v>
      </c>
      <c r="F2610" s="5" t="str">
        <f>HYPERLINK("https://dpmzos25m8ivg.cloudfront.net/Documentos/631/05673310323/6310567331032313092023090731.pdf","https://dpmzos25m8ivg.cloudfront.net/Documentos/631/05673310323/6310567331032313092023090731.pdf")</f>
        <v>https://dpmzos25m8ivg.cloudfront.net/Documentos/631/05673310323/6310567331032313092023090731.pdf</v>
      </c>
      <c r="G2610" s="5" t="str">
        <f>HYPERLINK("https://dpmzos25m8ivg.cloudfront.net/Documentos/631/05673310323/6310567331032313092023090746.pdf","https://dpmzos25m8ivg.cloudfront.net/Documentos/631/05673310323/6310567331032313092023090746.pdf")</f>
        <v>https://dpmzos25m8ivg.cloudfront.net/Documentos/631/05673310323/6310567331032313092023090746.pdf</v>
      </c>
      <c r="H2610" s="5" t="s">
        <v>11188</v>
      </c>
    </row>
    <row r="2611" spans="1:8" x14ac:dyDescent="0.25">
      <c r="A2611" s="2" t="s">
        <v>2628</v>
      </c>
      <c r="B2611" s="3"/>
      <c r="C2611" s="3"/>
      <c r="D2611" s="3"/>
      <c r="E2611" s="5" t="str">
        <f>HYPERLINK("https://dpmzos25m8ivg.cloudfront.net/Documentos/631/05673419333/6310567341933311092023100033.pdf","https://dpmzos25m8ivg.cloudfront.net/Documentos/631/05673419333/6310567341933311092023100033.pdf")</f>
        <v>https://dpmzos25m8ivg.cloudfront.net/Documentos/631/05673419333/6310567341933311092023100033.pdf</v>
      </c>
      <c r="F2611" s="5" t="str">
        <f>HYPERLINK("https://dpmzos25m8ivg.cloudfront.net/Documentos/631/05673419333/6310567341933311092023100042.pdf","https://dpmzos25m8ivg.cloudfront.net/Documentos/631/05673419333/6310567341933311092023100042.pdf")</f>
        <v>https://dpmzos25m8ivg.cloudfront.net/Documentos/631/05673419333/6310567341933311092023100042.pdf</v>
      </c>
      <c r="G2611" s="5" t="str">
        <f>HYPERLINK("https://dpmzos25m8ivg.cloudfront.net/Documentos/631/05673419333/6310567341933311092023100049.pdf","https://dpmzos25m8ivg.cloudfront.net/Documentos/631/05673419333/6310567341933311092023100049.pdf")</f>
        <v>https://dpmzos25m8ivg.cloudfront.net/Documentos/631/05673419333/6310567341933311092023100049.pdf</v>
      </c>
      <c r="H2611" s="5" t="s">
        <v>11189</v>
      </c>
    </row>
    <row r="2612" spans="1:8" x14ac:dyDescent="0.25">
      <c r="A2612" s="2" t="s">
        <v>2629</v>
      </c>
      <c r="B2612" s="3"/>
      <c r="C2612" s="3"/>
      <c r="D2612" s="3"/>
      <c r="E2612" s="5" t="str">
        <f>HYPERLINK("https://dpmzos25m8ivg.cloudfront.net/Documentos/631/05673635621/6310567363562104092023225031.pdf","https://dpmzos25m8ivg.cloudfront.net/Documentos/631/05673635621/6310567363562104092023225031.pdf")</f>
        <v>https://dpmzos25m8ivg.cloudfront.net/Documentos/631/05673635621/6310567363562104092023225031.pdf</v>
      </c>
      <c r="F2612" s="5" t="str">
        <f>HYPERLINK("https://dpmzos25m8ivg.cloudfront.net/Documentos/631/05673635621/6310567363562104092023225142.pdf","https://dpmzos25m8ivg.cloudfront.net/Documentos/631/05673635621/6310567363562104092023225142.pdf")</f>
        <v>https://dpmzos25m8ivg.cloudfront.net/Documentos/631/05673635621/6310567363562104092023225142.pdf</v>
      </c>
      <c r="G2612" s="5" t="str">
        <f>HYPERLINK("https://dpmzos25m8ivg.cloudfront.net/Documentos/631/05673635621/6310567363562104092023225223.pdf","https://dpmzos25m8ivg.cloudfront.net/Documentos/631/05673635621/6310567363562104092023225223.pdf")</f>
        <v>https://dpmzos25m8ivg.cloudfront.net/Documentos/631/05673635621/6310567363562104092023225223.pdf</v>
      </c>
      <c r="H2612" s="5" t="s">
        <v>11190</v>
      </c>
    </row>
    <row r="2613" spans="1:8" x14ac:dyDescent="0.25">
      <c r="A2613" s="2" t="s">
        <v>2630</v>
      </c>
      <c r="B2613" s="3"/>
      <c r="C2613" s="3"/>
      <c r="D2613" s="3"/>
      <c r="E2613" s="5" t="str">
        <f>HYPERLINK("https://dpmzos25m8ivg.cloudfront.net/Documentos/631/05674332347/6310567433234705092023140833.pdf","https://dpmzos25m8ivg.cloudfront.net/Documentos/631/05674332347/6310567433234705092023140833.pdf")</f>
        <v>https://dpmzos25m8ivg.cloudfront.net/Documentos/631/05674332347/6310567433234705092023140833.pdf</v>
      </c>
      <c r="F2613" s="5" t="str">
        <f>HYPERLINK("https://dpmzos25m8ivg.cloudfront.net/Documentos/631/05674332347/6310567433234705092023140846.pdf","https://dpmzos25m8ivg.cloudfront.net/Documentos/631/05674332347/6310567433234705092023140846.pdf")</f>
        <v>https://dpmzos25m8ivg.cloudfront.net/Documentos/631/05674332347/6310567433234705092023140846.pdf</v>
      </c>
      <c r="G2613" s="5" t="str">
        <f>HYPERLINK("https://dpmzos25m8ivg.cloudfront.net/Documentos/631/05674332347/6310567433234705092023140857.pdf","https://dpmzos25m8ivg.cloudfront.net/Documentos/631/05674332347/6310567433234705092023140857.pdf")</f>
        <v>https://dpmzos25m8ivg.cloudfront.net/Documentos/631/05674332347/6310567433234705092023140857.pdf</v>
      </c>
      <c r="H2613" s="5" t="s">
        <v>11191</v>
      </c>
    </row>
    <row r="2614" spans="1:8" x14ac:dyDescent="0.25">
      <c r="A2614" s="2" t="s">
        <v>2631</v>
      </c>
      <c r="B2614" s="3"/>
      <c r="C2614" s="3"/>
      <c r="D2614" s="3"/>
      <c r="E2614" s="5" t="str">
        <f>HYPERLINK("https://dpmzos25m8ivg.cloudfront.net/Documentos/631/05674385114/6310567438511411092023163609.pdf","https://dpmzos25m8ivg.cloudfront.net/Documentos/631/05674385114/6310567438511411092023163609.pdf")</f>
        <v>https://dpmzos25m8ivg.cloudfront.net/Documentos/631/05674385114/6310567438511411092023163609.pdf</v>
      </c>
      <c r="F2614" s="5" t="str">
        <f>HYPERLINK("https://dpmzos25m8ivg.cloudfront.net/Documentos/631/05674385114/6310567438511411092023163617.pdf","https://dpmzos25m8ivg.cloudfront.net/Documentos/631/05674385114/6310567438511411092023163617.pdf")</f>
        <v>https://dpmzos25m8ivg.cloudfront.net/Documentos/631/05674385114/6310567438511411092023163617.pdf</v>
      </c>
      <c r="G2614" s="5" t="str">
        <f>HYPERLINK("https://dpmzos25m8ivg.cloudfront.net/Documentos/631/05674385114/6310567438511411092023163624.pdf","https://dpmzos25m8ivg.cloudfront.net/Documentos/631/05674385114/6310567438511411092023163624.pdf")</f>
        <v>https://dpmzos25m8ivg.cloudfront.net/Documentos/631/05674385114/6310567438511411092023163624.pdf</v>
      </c>
      <c r="H2614" s="5" t="s">
        <v>11192</v>
      </c>
    </row>
    <row r="2615" spans="1:8" x14ac:dyDescent="0.25">
      <c r="A2615" s="2" t="s">
        <v>2632</v>
      </c>
      <c r="B2615" s="3"/>
      <c r="C2615" s="3"/>
      <c r="D2615" s="3"/>
      <c r="E2615" s="5" t="str">
        <f>HYPERLINK("https://dpmzos25m8ivg.cloudfront.net/Documentos/631/05674812128/6310567481212814092023160200.jpeg","https://dpmzos25m8ivg.cloudfront.net/Documentos/631/05674812128/6310567481212814092023160200.jpeg")</f>
        <v>https://dpmzos25m8ivg.cloudfront.net/Documentos/631/05674812128/6310567481212814092023160200.jpeg</v>
      </c>
      <c r="F2615" s="5" t="str">
        <f>HYPERLINK("https://dpmzos25m8ivg.cloudfront.net/Documentos/631/05674812128/6310567481212814092023160208.jpeg","https://dpmzos25m8ivg.cloudfront.net/Documentos/631/05674812128/6310567481212814092023160208.jpeg")</f>
        <v>https://dpmzos25m8ivg.cloudfront.net/Documentos/631/05674812128/6310567481212814092023160208.jpeg</v>
      </c>
      <c r="G2615" s="5" t="str">
        <f>HYPERLINK("https://dpmzos25m8ivg.cloudfront.net/Documentos/631/05674812128/6310567481212814092023160218.jpeg","https://dpmzos25m8ivg.cloudfront.net/Documentos/631/05674812128/6310567481212814092023160218.jpeg")</f>
        <v>https://dpmzos25m8ivg.cloudfront.net/Documentos/631/05674812128/6310567481212814092023160218.jpeg</v>
      </c>
      <c r="H2615" s="5" t="s">
        <v>11193</v>
      </c>
    </row>
    <row r="2616" spans="1:8" x14ac:dyDescent="0.25">
      <c r="A2616" s="2" t="s">
        <v>2633</v>
      </c>
      <c r="B2616" s="3" t="s">
        <v>2358</v>
      </c>
      <c r="C2616" s="3"/>
      <c r="D2616" s="3"/>
      <c r="E2616" s="5" t="str">
        <f>HYPERLINK("https://dpmzos25m8ivg.cloudfront.net/Documentos/631/05675791310/6310567579131011092023140725.pdf","https://dpmzos25m8ivg.cloudfront.net/Documentos/631/05675791310/6310567579131011092023140725.pdf")</f>
        <v>https://dpmzos25m8ivg.cloudfront.net/Documentos/631/05675791310/6310567579131011092023140725.pdf</v>
      </c>
      <c r="F2616" s="5" t="str">
        <f>HYPERLINK("https://dpmzos25m8ivg.cloudfront.net/Documentos/631/05675791310/6310567579131011092023140741.pdf","https://dpmzos25m8ivg.cloudfront.net/Documentos/631/05675791310/6310567579131011092023140741.pdf")</f>
        <v>https://dpmzos25m8ivg.cloudfront.net/Documentos/631/05675791310/6310567579131011092023140741.pdf</v>
      </c>
      <c r="G2616" s="5" t="str">
        <f>HYPERLINK("https://dpmzos25m8ivg.cloudfront.net/Documentos/631/05675791310/6310567579131011092023140749.pdf","https://dpmzos25m8ivg.cloudfront.net/Documentos/631/05675791310/6310567579131011092023140749.pdf")</f>
        <v>https://dpmzos25m8ivg.cloudfront.net/Documentos/631/05675791310/6310567579131011092023140749.pdf</v>
      </c>
      <c r="H2616" s="5" t="s">
        <v>11194</v>
      </c>
    </row>
    <row r="2617" spans="1:8" x14ac:dyDescent="0.25">
      <c r="A2617" s="2" t="s">
        <v>2634</v>
      </c>
      <c r="B2617" s="3" t="s">
        <v>8</v>
      </c>
      <c r="C2617" s="3"/>
      <c r="D2617" s="3"/>
      <c r="E2617" s="5" t="str">
        <f>HYPERLINK("https://dpmzos25m8ivg.cloudfront.net/Documentos/631/05676571160/6310567657116011092023142140.pdf","https://dpmzos25m8ivg.cloudfront.net/Documentos/631/05676571160/6310567657116011092023142140.pdf")</f>
        <v>https://dpmzos25m8ivg.cloudfront.net/Documentos/631/05676571160/6310567657116011092023142140.pdf</v>
      </c>
      <c r="F2617" s="5" t="str">
        <f>HYPERLINK("https://dpmzos25m8ivg.cloudfront.net/Documentos/631/05676571160/6310567657116011092023142147.pdf","https://dpmzos25m8ivg.cloudfront.net/Documentos/631/05676571160/6310567657116011092023142147.pdf")</f>
        <v>https://dpmzos25m8ivg.cloudfront.net/Documentos/631/05676571160/6310567657116011092023142147.pdf</v>
      </c>
      <c r="G2617" s="5" t="str">
        <f>HYPERLINK("https://dpmzos25m8ivg.cloudfront.net/Documentos/631/05676571160/6310567657116011092023142153.pdf","https://dpmzos25m8ivg.cloudfront.net/Documentos/631/05676571160/6310567657116011092023142153.pdf")</f>
        <v>https://dpmzos25m8ivg.cloudfront.net/Documentos/631/05676571160/6310567657116011092023142153.pdf</v>
      </c>
      <c r="H2617" s="5" t="s">
        <v>11195</v>
      </c>
    </row>
    <row r="2618" spans="1:8" x14ac:dyDescent="0.25">
      <c r="A2618" s="2" t="s">
        <v>2635</v>
      </c>
      <c r="B2618" s="3" t="s">
        <v>2358</v>
      </c>
      <c r="C2618" s="3"/>
      <c r="D2618" s="3"/>
      <c r="E2618" s="5" t="str">
        <f>HYPERLINK("https://dpmzos25m8ivg.cloudfront.net/Documentos/631/05676951583/6310567695158314092023162829.jpeg","https://dpmzos25m8ivg.cloudfront.net/Documentos/631/05676951583/6310567695158314092023162829.jpeg")</f>
        <v>https://dpmzos25m8ivg.cloudfront.net/Documentos/631/05676951583/6310567695158314092023162829.jpeg</v>
      </c>
      <c r="F2618" s="5" t="str">
        <f>HYPERLINK("https://dpmzos25m8ivg.cloudfront.net/Documentos/631/05676951583/6310567695158314092023162903.jpeg","https://dpmzos25m8ivg.cloudfront.net/Documentos/631/05676951583/6310567695158314092023162903.jpeg")</f>
        <v>https://dpmzos25m8ivg.cloudfront.net/Documentos/631/05676951583/6310567695158314092023162903.jpeg</v>
      </c>
      <c r="G2618" s="5" t="str">
        <f>HYPERLINK("https://dpmzos25m8ivg.cloudfront.net/Documentos/631/05676951583/6310567695158314092023163001.jpeg","https://dpmzos25m8ivg.cloudfront.net/Documentos/631/05676951583/6310567695158314092023163001.jpeg")</f>
        <v>https://dpmzos25m8ivg.cloudfront.net/Documentos/631/05676951583/6310567695158314092023163001.jpeg</v>
      </c>
      <c r="H2618" s="5" t="s">
        <v>11196</v>
      </c>
    </row>
    <row r="2619" spans="1:8" x14ac:dyDescent="0.25">
      <c r="A2619" s="2" t="s">
        <v>2636</v>
      </c>
      <c r="B2619" s="3" t="s">
        <v>8</v>
      </c>
      <c r="C2619" s="3"/>
      <c r="D2619" s="3"/>
      <c r="E2619" s="5" t="str">
        <f>HYPERLINK("https://dpmzos25m8ivg.cloudfront.net/Documentos/631/05678601164/6310567860116405092023130824.jpg","https://dpmzos25m8ivg.cloudfront.net/Documentos/631/05678601164/6310567860116405092023130824.jpg")</f>
        <v>https://dpmzos25m8ivg.cloudfront.net/Documentos/631/05678601164/6310567860116405092023130824.jpg</v>
      </c>
      <c r="F2619" s="5" t="str">
        <f>HYPERLINK("https://dpmzos25m8ivg.cloudfront.net/Documentos/631/05678601164/6310567860116405092023130842.jpg","https://dpmzos25m8ivg.cloudfront.net/Documentos/631/05678601164/6310567860116405092023130842.jpg")</f>
        <v>https://dpmzos25m8ivg.cloudfront.net/Documentos/631/05678601164/6310567860116405092023130842.jpg</v>
      </c>
      <c r="G2619" s="5" t="str">
        <f>HYPERLINK("https://dpmzos25m8ivg.cloudfront.net/Documentos/631/05678601164/6310567860116405092023130856.jpg","https://dpmzos25m8ivg.cloudfront.net/Documentos/631/05678601164/6310567860116405092023130856.jpg")</f>
        <v>https://dpmzos25m8ivg.cloudfront.net/Documentos/631/05678601164/6310567860116405092023130856.jpg</v>
      </c>
      <c r="H2619" s="5" t="s">
        <v>11197</v>
      </c>
    </row>
    <row r="2620" spans="1:8" x14ac:dyDescent="0.25">
      <c r="A2620" s="2" t="s">
        <v>2637</v>
      </c>
      <c r="B2620" s="3"/>
      <c r="C2620" s="3"/>
      <c r="D2620" s="3"/>
      <c r="E2620" s="5" t="str">
        <f>HYPERLINK("https://dpmzos25m8ivg.cloudfront.net/Documentos/631/05679597160/6310567959716009092023164231.pdf","https://dpmzos25m8ivg.cloudfront.net/Documentos/631/05679597160/6310567959716009092023164231.pdf")</f>
        <v>https://dpmzos25m8ivg.cloudfront.net/Documentos/631/05679597160/6310567959716009092023164231.pdf</v>
      </c>
      <c r="F2620" s="5" t="str">
        <f>HYPERLINK("https://dpmzos25m8ivg.cloudfront.net/Documentos/631/05679597160/6310567959716009092023164246.pdf","https://dpmzos25m8ivg.cloudfront.net/Documentos/631/05679597160/6310567959716009092023164246.pdf")</f>
        <v>https://dpmzos25m8ivg.cloudfront.net/Documentos/631/05679597160/6310567959716009092023164246.pdf</v>
      </c>
      <c r="G2620" s="5" t="str">
        <f>HYPERLINK("https://dpmzos25m8ivg.cloudfront.net/Documentos/631/05679597160/6310567959716009092023164206.pdf","https://dpmzos25m8ivg.cloudfront.net/Documentos/631/05679597160/6310567959716009092023164206.pdf")</f>
        <v>https://dpmzos25m8ivg.cloudfront.net/Documentos/631/05679597160/6310567959716009092023164206.pdf</v>
      </c>
      <c r="H2620" s="5" t="s">
        <v>11198</v>
      </c>
    </row>
    <row r="2621" spans="1:8" x14ac:dyDescent="0.25">
      <c r="A2621" s="2" t="s">
        <v>2638</v>
      </c>
      <c r="B2621" s="3"/>
      <c r="C2621" s="3"/>
      <c r="D2621" s="3"/>
      <c r="E2621" s="5" t="str">
        <f>HYPERLINK("https://dpmzos25m8ivg.cloudfront.net/Documentos/631/05687606548/6310568760654805092023172735.pdf","https://dpmzos25m8ivg.cloudfront.net/Documentos/631/05687606548/6310568760654805092023172735.pdf")</f>
        <v>https://dpmzos25m8ivg.cloudfront.net/Documentos/631/05687606548/6310568760654805092023172735.pdf</v>
      </c>
      <c r="F2621" s="5" t="str">
        <f>HYPERLINK("https://dpmzos25m8ivg.cloudfront.net/Documentos/631/05687606548/6310568760654805092023172751.pdf","https://dpmzos25m8ivg.cloudfront.net/Documentos/631/05687606548/6310568760654805092023172751.pdf")</f>
        <v>https://dpmzos25m8ivg.cloudfront.net/Documentos/631/05687606548/6310568760654805092023172751.pdf</v>
      </c>
      <c r="G2621" s="5" t="str">
        <f>HYPERLINK("https://dpmzos25m8ivg.cloudfront.net/Documentos/631/05687606548/6310568760654805092023172834.pdf","https://dpmzos25m8ivg.cloudfront.net/Documentos/631/05687606548/6310568760654805092023172834.pdf")</f>
        <v>https://dpmzos25m8ivg.cloudfront.net/Documentos/631/05687606548/6310568760654805092023172834.pdf</v>
      </c>
      <c r="H2621" s="5" t="s">
        <v>11199</v>
      </c>
    </row>
    <row r="2622" spans="1:8" x14ac:dyDescent="0.25">
      <c r="A2622" s="2" t="s">
        <v>2639</v>
      </c>
      <c r="B2622" s="3"/>
      <c r="C2622" s="3"/>
      <c r="D2622" s="3"/>
      <c r="E2622" s="5" t="str">
        <f>HYPERLINK("https://dpmzos25m8ivg.cloudfront.net/Documentos/631/05688780517/6310568878051711092023152946.jpg","https://dpmzos25m8ivg.cloudfront.net/Documentos/631/05688780517/6310568878051711092023152946.jpg")</f>
        <v>https://dpmzos25m8ivg.cloudfront.net/Documentos/631/05688780517/6310568878051711092023152946.jpg</v>
      </c>
      <c r="F2622" s="5" t="str">
        <f>HYPERLINK("https://dpmzos25m8ivg.cloudfront.net/Documentos/631/05688780517/6310568878051711092023153010.jpg","https://dpmzos25m8ivg.cloudfront.net/Documentos/631/05688780517/6310568878051711092023153010.jpg")</f>
        <v>https://dpmzos25m8ivg.cloudfront.net/Documentos/631/05688780517/6310568878051711092023153010.jpg</v>
      </c>
      <c r="G2622" s="5" t="str">
        <f>HYPERLINK("https://dpmzos25m8ivg.cloudfront.net/Documentos/631/05688780517/6310568878051711092023153034.jpg","https://dpmzos25m8ivg.cloudfront.net/Documentos/631/05688780517/6310568878051711092023153034.jpg")</f>
        <v>https://dpmzos25m8ivg.cloudfront.net/Documentos/631/05688780517/6310568878051711092023153034.jpg</v>
      </c>
      <c r="H2622" s="5" t="s">
        <v>11200</v>
      </c>
    </row>
    <row r="2623" spans="1:8" x14ac:dyDescent="0.25">
      <c r="A2623" s="2" t="s">
        <v>2640</v>
      </c>
      <c r="B2623" s="3"/>
      <c r="C2623" s="3"/>
      <c r="D2623" s="3"/>
      <c r="E2623" s="5" t="str">
        <f>HYPERLINK("https://dpmzos25m8ivg.cloudfront.net/Documentos/631/05689874540/6310568987454005092023105922.pdf","https://dpmzos25m8ivg.cloudfront.net/Documentos/631/05689874540/6310568987454005092023105922.pdf")</f>
        <v>https://dpmzos25m8ivg.cloudfront.net/Documentos/631/05689874540/6310568987454005092023105922.pdf</v>
      </c>
      <c r="F2623" s="5" t="str">
        <f>HYPERLINK("https://dpmzos25m8ivg.cloudfront.net/Documentos/631/05689874540/6310568987454005092023105930.pdf","https://dpmzos25m8ivg.cloudfront.net/Documentos/631/05689874540/6310568987454005092023105930.pdf")</f>
        <v>https://dpmzos25m8ivg.cloudfront.net/Documentos/631/05689874540/6310568987454005092023105930.pdf</v>
      </c>
      <c r="G2623" s="5" t="str">
        <f>HYPERLINK("https://dpmzos25m8ivg.cloudfront.net/Documentos/631/05689874540/6310568987454005092023105936.pdf","https://dpmzos25m8ivg.cloudfront.net/Documentos/631/05689874540/6310568987454005092023105936.pdf")</f>
        <v>https://dpmzos25m8ivg.cloudfront.net/Documentos/631/05689874540/6310568987454005092023105936.pdf</v>
      </c>
      <c r="H2623" s="5" t="s">
        <v>11201</v>
      </c>
    </row>
    <row r="2624" spans="1:8" x14ac:dyDescent="0.25">
      <c r="A2624" s="2" t="s">
        <v>2641</v>
      </c>
      <c r="B2624" s="3"/>
      <c r="C2624" s="3"/>
      <c r="D2624" s="3"/>
      <c r="E2624" s="5" t="str">
        <f>HYPERLINK("https://dpmzos25m8ivg.cloudfront.net/Documentos/631/05691764330/6310569176433011092023133936.pdf","https://dpmzos25m8ivg.cloudfront.net/Documentos/631/05691764330/6310569176433011092023133936.pdf")</f>
        <v>https://dpmzos25m8ivg.cloudfront.net/Documentos/631/05691764330/6310569176433011092023133936.pdf</v>
      </c>
      <c r="F2624" s="5" t="str">
        <f>HYPERLINK("https://dpmzos25m8ivg.cloudfront.net/Documentos/631/05691764330/6310569176433011092023133953.pdf","https://dpmzos25m8ivg.cloudfront.net/Documentos/631/05691764330/6310569176433011092023133953.pdf")</f>
        <v>https://dpmzos25m8ivg.cloudfront.net/Documentos/631/05691764330/6310569176433011092023133953.pdf</v>
      </c>
      <c r="G2624" s="5" t="str">
        <f>HYPERLINK("https://dpmzos25m8ivg.cloudfront.net/Documentos/631/05691764330/6310569176433011092023134036.pdf","https://dpmzos25m8ivg.cloudfront.net/Documentos/631/05691764330/6310569176433011092023134036.pdf")</f>
        <v>https://dpmzos25m8ivg.cloudfront.net/Documentos/631/05691764330/6310569176433011092023134036.pdf</v>
      </c>
      <c r="H2624" s="5" t="s">
        <v>11202</v>
      </c>
    </row>
    <row r="2625" spans="1:8" x14ac:dyDescent="0.25">
      <c r="A2625" s="2" t="s">
        <v>2642</v>
      </c>
      <c r="B2625" s="3" t="s">
        <v>23</v>
      </c>
      <c r="C2625" s="3"/>
      <c r="D2625" s="3"/>
      <c r="E2625" s="5" t="str">
        <f>HYPERLINK("https://dpmzos25m8ivg.cloudfront.net/Documentos/631/05692264307/6310569226430705092023120409.pdf","https://dpmzos25m8ivg.cloudfront.net/Documentos/631/05692264307/6310569226430705092023120409.pdf")</f>
        <v>https://dpmzos25m8ivg.cloudfront.net/Documentos/631/05692264307/6310569226430705092023120409.pdf</v>
      </c>
      <c r="F2625" s="5" t="str">
        <f>HYPERLINK("https://dpmzos25m8ivg.cloudfront.net/Documentos/631/05692264307/6310569226430705092023120434.pdf","https://dpmzos25m8ivg.cloudfront.net/Documentos/631/05692264307/6310569226430705092023120434.pdf")</f>
        <v>https://dpmzos25m8ivg.cloudfront.net/Documentos/631/05692264307/6310569226430705092023120434.pdf</v>
      </c>
      <c r="G2625" s="5" t="str">
        <f>HYPERLINK("https://dpmzos25m8ivg.cloudfront.net/Documentos/631/05692264307/6310569226430705092023120448.pdf","https://dpmzos25m8ivg.cloudfront.net/Documentos/631/05692264307/6310569226430705092023120448.pdf")</f>
        <v>https://dpmzos25m8ivg.cloudfront.net/Documentos/631/05692264307/6310569226430705092023120448.pdf</v>
      </c>
      <c r="H2625" s="5" t="s">
        <v>11203</v>
      </c>
    </row>
    <row r="2626" spans="1:8" x14ac:dyDescent="0.25">
      <c r="A2626" s="2" t="s">
        <v>2643</v>
      </c>
      <c r="B2626" s="3"/>
      <c r="C2626" s="3"/>
      <c r="D2626" s="3"/>
      <c r="E2626" s="5" t="str">
        <f>HYPERLINK("https://dpmzos25m8ivg.cloudfront.net/Documentos/631/05692831597/6310569283159710092023214734.pdf","https://dpmzos25m8ivg.cloudfront.net/Documentos/631/05692831597/6310569283159710092023214734.pdf")</f>
        <v>https://dpmzos25m8ivg.cloudfront.net/Documentos/631/05692831597/6310569283159710092023214734.pdf</v>
      </c>
      <c r="F2626" s="5" t="str">
        <f>HYPERLINK("https://dpmzos25m8ivg.cloudfront.net/Documentos/631/05692831597/6310569283159710092023214751.pdf","https://dpmzos25m8ivg.cloudfront.net/Documentos/631/05692831597/6310569283159710092023214751.pdf")</f>
        <v>https://dpmzos25m8ivg.cloudfront.net/Documentos/631/05692831597/6310569283159710092023214751.pdf</v>
      </c>
      <c r="G2626" s="5" t="str">
        <f>HYPERLINK("https://dpmzos25m8ivg.cloudfront.net/Documentos/631/05692831597/6310569283159710092023214808.pdf","https://dpmzos25m8ivg.cloudfront.net/Documentos/631/05692831597/6310569283159710092023214808.pdf")</f>
        <v>https://dpmzos25m8ivg.cloudfront.net/Documentos/631/05692831597/6310569283159710092023214808.pdf</v>
      </c>
      <c r="H2626" s="5" t="s">
        <v>11204</v>
      </c>
    </row>
    <row r="2627" spans="1:8" x14ac:dyDescent="0.25">
      <c r="A2627" s="2" t="s">
        <v>2644</v>
      </c>
      <c r="B2627" s="3"/>
      <c r="C2627" s="3"/>
      <c r="D2627" s="3"/>
      <c r="E2627" s="5" t="str">
        <f>HYPERLINK("https://dpmzos25m8ivg.cloudfront.net/Documentos/631/05696781373/6310569678137311092023162121.jpeg","https://dpmzos25m8ivg.cloudfront.net/Documentos/631/05696781373/6310569678137311092023162121.jpeg")</f>
        <v>https://dpmzos25m8ivg.cloudfront.net/Documentos/631/05696781373/6310569678137311092023162121.jpeg</v>
      </c>
      <c r="F2627" s="5" t="str">
        <f>HYPERLINK("https://dpmzos25m8ivg.cloudfront.net/Documentos/631/05696781373/6310569678137311092023162212.jpeg","https://dpmzos25m8ivg.cloudfront.net/Documentos/631/05696781373/6310569678137311092023162212.jpeg")</f>
        <v>https://dpmzos25m8ivg.cloudfront.net/Documentos/631/05696781373/6310569678137311092023162212.jpeg</v>
      </c>
      <c r="G2627" s="5" t="str">
        <f>HYPERLINK("https://dpmzos25m8ivg.cloudfront.net/Documentos/631/05696781373/6310569678137311092023162226.jpeg","https://dpmzos25m8ivg.cloudfront.net/Documentos/631/05696781373/6310569678137311092023162226.jpeg")</f>
        <v>https://dpmzos25m8ivg.cloudfront.net/Documentos/631/05696781373/6310569678137311092023162226.jpeg</v>
      </c>
      <c r="H2627" s="5" t="s">
        <v>11205</v>
      </c>
    </row>
    <row r="2628" spans="1:8" x14ac:dyDescent="0.25">
      <c r="A2628" s="2" t="s">
        <v>2645</v>
      </c>
      <c r="B2628" s="3"/>
      <c r="C2628" s="3"/>
      <c r="D2628" s="3"/>
      <c r="E2628" s="5" t="str">
        <f>HYPERLINK("https://dpmzos25m8ivg.cloudfront.net/Documentos/631/05696977359/6310569697735911092023141551.pdf","https://dpmzos25m8ivg.cloudfront.net/Documentos/631/05696977359/6310569697735911092023141551.pdf")</f>
        <v>https://dpmzos25m8ivg.cloudfront.net/Documentos/631/05696977359/6310569697735911092023141551.pdf</v>
      </c>
      <c r="F2628" s="5" t="str">
        <f>HYPERLINK("https://dpmzos25m8ivg.cloudfront.net/Documentos/631/05696977359/6310569697735911092023141601.pdf","https://dpmzos25m8ivg.cloudfront.net/Documentos/631/05696977359/6310569697735911092023141601.pdf")</f>
        <v>https://dpmzos25m8ivg.cloudfront.net/Documentos/631/05696977359/6310569697735911092023141601.pdf</v>
      </c>
      <c r="G2628" s="5" t="str">
        <f>HYPERLINK("https://dpmzos25m8ivg.cloudfront.net/Documentos/631/05696977359/6310569697735911092023141610.pdf","https://dpmzos25m8ivg.cloudfront.net/Documentos/631/05696977359/6310569697735911092023141610.pdf")</f>
        <v>https://dpmzos25m8ivg.cloudfront.net/Documentos/631/05696977359/6310569697735911092023141610.pdf</v>
      </c>
      <c r="H2628" s="5" t="s">
        <v>11206</v>
      </c>
    </row>
    <row r="2629" spans="1:8" x14ac:dyDescent="0.25">
      <c r="A2629" s="2" t="s">
        <v>2646</v>
      </c>
      <c r="B2629" s="3"/>
      <c r="C2629" s="3"/>
      <c r="D2629" s="3"/>
      <c r="E2629" s="5" t="str">
        <f>HYPERLINK("https://dpmzos25m8ivg.cloudfront.net/Documentos/631/05699954341/6310569995434114092023124831.pdf","https://dpmzos25m8ivg.cloudfront.net/Documentos/631/05699954341/6310569995434114092023124831.pdf")</f>
        <v>https://dpmzos25m8ivg.cloudfront.net/Documentos/631/05699954341/6310569995434114092023124831.pdf</v>
      </c>
      <c r="F2629" s="5" t="str">
        <f>HYPERLINK("https://dpmzos25m8ivg.cloudfront.net/Documentos/631/05699954341/6310569995434114092023124840.pdf","https://dpmzos25m8ivg.cloudfront.net/Documentos/631/05699954341/6310569995434114092023124840.pdf")</f>
        <v>https://dpmzos25m8ivg.cloudfront.net/Documentos/631/05699954341/6310569995434114092023124840.pdf</v>
      </c>
      <c r="G2629" s="5" t="str">
        <f>HYPERLINK("https://dpmzos25m8ivg.cloudfront.net/Documentos/631/05699954341/6310569995434114092023124847.pdf","https://dpmzos25m8ivg.cloudfront.net/Documentos/631/05699954341/6310569995434114092023124847.pdf")</f>
        <v>https://dpmzos25m8ivg.cloudfront.net/Documentos/631/05699954341/6310569995434114092023124847.pdf</v>
      </c>
      <c r="H2629" s="5" t="s">
        <v>11207</v>
      </c>
    </row>
    <row r="2630" spans="1:8" x14ac:dyDescent="0.25">
      <c r="A2630" s="2" t="s">
        <v>2647</v>
      </c>
      <c r="B2630" s="3" t="s">
        <v>2358</v>
      </c>
      <c r="C2630" s="3"/>
      <c r="D2630" s="3"/>
      <c r="E2630" s="5" t="str">
        <f>HYPERLINK("https://dpmzos25m8ivg.cloudfront.net/Documentos/631/05701865444/6310570186544409092023183306.jpg","https://dpmzos25m8ivg.cloudfront.net/Documentos/631/05701865444/6310570186544409092023183306.jpg")</f>
        <v>https://dpmzos25m8ivg.cloudfront.net/Documentos/631/05701865444/6310570186544409092023183306.jpg</v>
      </c>
      <c r="F2630" s="5" t="str">
        <f>HYPERLINK("https://dpmzos25m8ivg.cloudfront.net/Documentos/631/05701865444/6310570186544409092023183336.jpg","https://dpmzos25m8ivg.cloudfront.net/Documentos/631/05701865444/6310570186544409092023183336.jpg")</f>
        <v>https://dpmzos25m8ivg.cloudfront.net/Documentos/631/05701865444/6310570186544409092023183336.jpg</v>
      </c>
      <c r="G2630" s="5" t="str">
        <f>HYPERLINK("https://dpmzos25m8ivg.cloudfront.net/Documentos/631/05701865444/6310570186544409092023183400.jpg","https://dpmzos25m8ivg.cloudfront.net/Documentos/631/05701865444/6310570186544409092023183400.jpg")</f>
        <v>https://dpmzos25m8ivg.cloudfront.net/Documentos/631/05701865444/6310570186544409092023183400.jpg</v>
      </c>
      <c r="H2630" s="5" t="s">
        <v>11208</v>
      </c>
    </row>
    <row r="2631" spans="1:8" x14ac:dyDescent="0.25">
      <c r="A2631" s="2" t="s">
        <v>2648</v>
      </c>
      <c r="B2631" s="3" t="s">
        <v>2358</v>
      </c>
      <c r="C2631" s="3"/>
      <c r="D2631" s="3"/>
      <c r="E2631" s="5" t="str">
        <f>HYPERLINK("https://dpmzos25m8ivg.cloudfront.net/Documentos/631/05703668280/6310570366828011092023152208.pdf","https://dpmzos25m8ivg.cloudfront.net/Documentos/631/05703668280/6310570366828011092023152208.pdf")</f>
        <v>https://dpmzos25m8ivg.cloudfront.net/Documentos/631/05703668280/6310570366828011092023152208.pdf</v>
      </c>
      <c r="F2631" s="5" t="str">
        <f>HYPERLINK("https://dpmzos25m8ivg.cloudfront.net/Documentos/631/05703668280/6310570366828011092023152231.pdf","https://dpmzos25m8ivg.cloudfront.net/Documentos/631/05703668280/6310570366828011092023152231.pdf")</f>
        <v>https://dpmzos25m8ivg.cloudfront.net/Documentos/631/05703668280/6310570366828011092023152231.pdf</v>
      </c>
      <c r="G2631" s="5" t="str">
        <f>HYPERLINK("https://dpmzos25m8ivg.cloudfront.net/Documentos/631/05703668280/6310570366828011092023152315.pdf","https://dpmzos25m8ivg.cloudfront.net/Documentos/631/05703668280/6310570366828011092023152315.pdf")</f>
        <v>https://dpmzos25m8ivg.cloudfront.net/Documentos/631/05703668280/6310570366828011092023152315.pdf</v>
      </c>
      <c r="H2631" s="5" t="s">
        <v>11209</v>
      </c>
    </row>
    <row r="2632" spans="1:8" x14ac:dyDescent="0.25">
      <c r="A2632" s="2" t="s">
        <v>2649</v>
      </c>
      <c r="B2632" s="3"/>
      <c r="C2632" s="3"/>
      <c r="D2632" s="3"/>
      <c r="E2632" s="5" t="str">
        <f>HYPERLINK("https://dpmzos25m8ivg.cloudfront.net/Documentos/631/05705164556/6310570516455611092023133750.pdf","https://dpmzos25m8ivg.cloudfront.net/Documentos/631/05705164556/6310570516455611092023133750.pdf")</f>
        <v>https://dpmzos25m8ivg.cloudfront.net/Documentos/631/05705164556/6310570516455611092023133750.pdf</v>
      </c>
      <c r="F2632" s="5" t="str">
        <f>HYPERLINK("https://dpmzos25m8ivg.cloudfront.net/Documentos/631/05705164556/6310570516455611092023133759.pdf","https://dpmzos25m8ivg.cloudfront.net/Documentos/631/05705164556/6310570516455611092023133759.pdf")</f>
        <v>https://dpmzos25m8ivg.cloudfront.net/Documentos/631/05705164556/6310570516455611092023133759.pdf</v>
      </c>
      <c r="G2632" s="5" t="str">
        <f>HYPERLINK("https://dpmzos25m8ivg.cloudfront.net/Documentos/631/05705164556/6310570516455611092023133807.pdf","https://dpmzos25m8ivg.cloudfront.net/Documentos/631/05705164556/6310570516455611092023133807.pdf")</f>
        <v>https://dpmzos25m8ivg.cloudfront.net/Documentos/631/05705164556/6310570516455611092023133807.pdf</v>
      </c>
      <c r="H2632" s="5" t="s">
        <v>11210</v>
      </c>
    </row>
    <row r="2633" spans="1:8" x14ac:dyDescent="0.25">
      <c r="A2633" s="2" t="s">
        <v>2650</v>
      </c>
      <c r="B2633" s="3"/>
      <c r="C2633" s="3"/>
      <c r="D2633" s="3"/>
      <c r="E2633" s="5" t="str">
        <f>HYPERLINK("https://dpmzos25m8ivg.cloudfront.net/Documentos/631/05707788166/6310570778816611092023161153.pdf","https://dpmzos25m8ivg.cloudfront.net/Documentos/631/05707788166/6310570778816611092023161153.pdf")</f>
        <v>https://dpmzos25m8ivg.cloudfront.net/Documentos/631/05707788166/6310570778816611092023161153.pdf</v>
      </c>
      <c r="F2633" s="5" t="str">
        <f>HYPERLINK("https://dpmzos25m8ivg.cloudfront.net/Documentos/631/05707788166/6310570778816611092023161226.pdf","https://dpmzos25m8ivg.cloudfront.net/Documentos/631/05707788166/6310570778816611092023161226.pdf")</f>
        <v>https://dpmzos25m8ivg.cloudfront.net/Documentos/631/05707788166/6310570778816611092023161226.pdf</v>
      </c>
      <c r="G2633" s="5" t="str">
        <f>HYPERLINK("https://dpmzos25m8ivg.cloudfront.net/Documentos/631/05707788166/6310570778816611092023161238.pdf","https://dpmzos25m8ivg.cloudfront.net/Documentos/631/05707788166/6310570778816611092023161238.pdf")</f>
        <v>https://dpmzos25m8ivg.cloudfront.net/Documentos/631/05707788166/6310570778816611092023161238.pdf</v>
      </c>
      <c r="H2633" s="5" t="s">
        <v>11211</v>
      </c>
    </row>
    <row r="2634" spans="1:8" x14ac:dyDescent="0.25">
      <c r="A2634" s="2" t="s">
        <v>2651</v>
      </c>
      <c r="B2634" s="3"/>
      <c r="C2634" s="3"/>
      <c r="D2634" s="3"/>
      <c r="E2634" s="5" t="str">
        <f>HYPERLINK("https://dpmzos25m8ivg.cloudfront.net/Documentos/631/05708541130/6310570854113010092023153055.jpg","https://dpmzos25m8ivg.cloudfront.net/Documentos/631/05708541130/6310570854113010092023153055.jpg")</f>
        <v>https://dpmzos25m8ivg.cloudfront.net/Documentos/631/05708541130/6310570854113010092023153055.jpg</v>
      </c>
      <c r="F2634" s="5" t="str">
        <f>HYPERLINK("https://dpmzos25m8ivg.cloudfront.net/Documentos/631/05708541130/6310570854113010092023153104.jpg","https://dpmzos25m8ivg.cloudfront.net/Documentos/631/05708541130/6310570854113010092023153104.jpg")</f>
        <v>https://dpmzos25m8ivg.cloudfront.net/Documentos/631/05708541130/6310570854113010092023153104.jpg</v>
      </c>
      <c r="G2634" s="5" t="str">
        <f>HYPERLINK("https://dpmzos25m8ivg.cloudfront.net/Documentos/631/05708541130/6310570854113010092023153113.jpg","https://dpmzos25m8ivg.cloudfront.net/Documentos/631/05708541130/6310570854113010092023153113.jpg")</f>
        <v>https://dpmzos25m8ivg.cloudfront.net/Documentos/631/05708541130/6310570854113010092023153113.jpg</v>
      </c>
      <c r="H2634" s="5" t="s">
        <v>11212</v>
      </c>
    </row>
    <row r="2635" spans="1:8" x14ac:dyDescent="0.25">
      <c r="A2635" s="2" t="s">
        <v>2652</v>
      </c>
      <c r="B2635" s="3" t="s">
        <v>23</v>
      </c>
      <c r="C2635" s="3"/>
      <c r="D2635" s="3"/>
      <c r="E2635" s="5" t="str">
        <f>HYPERLINK("https://dpmzos25m8ivg.cloudfront.net/Documentos/631/05711994450/6310571199445011092023163830.jpeg","https://dpmzos25m8ivg.cloudfront.net/Documentos/631/05711994450/6310571199445011092023163830.jpeg")</f>
        <v>https://dpmzos25m8ivg.cloudfront.net/Documentos/631/05711994450/6310571199445011092023163830.jpeg</v>
      </c>
      <c r="F2635" s="5" t="str">
        <f>HYPERLINK("https://dpmzos25m8ivg.cloudfront.net/Documentos/631/05711994450/6310571199445011092023163855.jpeg","https://dpmzos25m8ivg.cloudfront.net/Documentos/631/05711994450/6310571199445011092023163855.jpeg")</f>
        <v>https://dpmzos25m8ivg.cloudfront.net/Documentos/631/05711994450/6310571199445011092023163855.jpeg</v>
      </c>
      <c r="G2635" s="5" t="str">
        <f>HYPERLINK("https://dpmzos25m8ivg.cloudfront.net/Documentos/631/05711994450/6310571199445011092023163810.jpeg","https://dpmzos25m8ivg.cloudfront.net/Documentos/631/05711994450/6310571199445011092023163810.jpeg")</f>
        <v>https://dpmzos25m8ivg.cloudfront.net/Documentos/631/05711994450/6310571199445011092023163810.jpeg</v>
      </c>
      <c r="H2635" s="5" t="s">
        <v>11213</v>
      </c>
    </row>
    <row r="2636" spans="1:8" x14ac:dyDescent="0.25">
      <c r="A2636" s="2" t="s">
        <v>2653</v>
      </c>
      <c r="B2636" s="3"/>
      <c r="C2636" s="3"/>
      <c r="D2636" s="3"/>
      <c r="E2636" s="5" t="str">
        <f>HYPERLINK("https://dpmzos25m8ivg.cloudfront.net/Documentos/631/05715136113/6310571513611306092023144239.pdf","https://dpmzos25m8ivg.cloudfront.net/Documentos/631/05715136113/6310571513611306092023144239.pdf")</f>
        <v>https://dpmzos25m8ivg.cloudfront.net/Documentos/631/05715136113/6310571513611306092023144239.pdf</v>
      </c>
      <c r="F2636" s="5" t="str">
        <f>HYPERLINK("https://dpmzos25m8ivg.cloudfront.net/Documentos/631/05715136113/6310571513611306092023144250.pdf","https://dpmzos25m8ivg.cloudfront.net/Documentos/631/05715136113/6310571513611306092023144250.pdf")</f>
        <v>https://dpmzos25m8ivg.cloudfront.net/Documentos/631/05715136113/6310571513611306092023144250.pdf</v>
      </c>
      <c r="G2636" s="5" t="str">
        <f>HYPERLINK("https://dpmzos25m8ivg.cloudfront.net/Documentos/631/05715136113/6310571513611306092023144301.pdf","https://dpmzos25m8ivg.cloudfront.net/Documentos/631/05715136113/6310571513611306092023144301.pdf")</f>
        <v>https://dpmzos25m8ivg.cloudfront.net/Documentos/631/05715136113/6310571513611306092023144301.pdf</v>
      </c>
      <c r="H2636" s="5" t="s">
        <v>11214</v>
      </c>
    </row>
    <row r="2637" spans="1:8" x14ac:dyDescent="0.25">
      <c r="A2637" s="2" t="s">
        <v>2654</v>
      </c>
      <c r="B2637" s="3"/>
      <c r="C2637" s="3"/>
      <c r="D2637" s="3"/>
      <c r="E2637" s="5" t="str">
        <f>HYPERLINK("https://dpmzos25m8ivg.cloudfront.net/Documentos/631/05716749330/6310571674933011092023095447.pdf","https://dpmzos25m8ivg.cloudfront.net/Documentos/631/05716749330/6310571674933011092023095447.pdf")</f>
        <v>https://dpmzos25m8ivg.cloudfront.net/Documentos/631/05716749330/6310571674933011092023095447.pdf</v>
      </c>
      <c r="F2637" s="5" t="str">
        <f>HYPERLINK("https://dpmzos25m8ivg.cloudfront.net/Documentos/631/05716749330/6310571674933011092023095457.pdf","https://dpmzos25m8ivg.cloudfront.net/Documentos/631/05716749330/6310571674933011092023095457.pdf")</f>
        <v>https://dpmzos25m8ivg.cloudfront.net/Documentos/631/05716749330/6310571674933011092023095457.pdf</v>
      </c>
      <c r="G2637" s="5" t="str">
        <f>HYPERLINK("https://dpmzos25m8ivg.cloudfront.net/Documentos/631/05716749330/6310571674933011092023095508.pdf","https://dpmzos25m8ivg.cloudfront.net/Documentos/631/05716749330/6310571674933011092023095508.pdf")</f>
        <v>https://dpmzos25m8ivg.cloudfront.net/Documentos/631/05716749330/6310571674933011092023095508.pdf</v>
      </c>
      <c r="H2637" s="5" t="s">
        <v>11215</v>
      </c>
    </row>
    <row r="2638" spans="1:8" x14ac:dyDescent="0.25">
      <c r="A2638" s="2" t="s">
        <v>2655</v>
      </c>
      <c r="B2638" s="3"/>
      <c r="C2638" s="3"/>
      <c r="D2638" s="3"/>
      <c r="E2638" s="5" t="str">
        <f>HYPERLINK("https://dpmzos25m8ivg.cloudfront.net/Documentos/631/05717346344/6310571734634411092023105205.pdf","https://dpmzos25m8ivg.cloudfront.net/Documentos/631/05717346344/6310571734634411092023105205.pdf")</f>
        <v>https://dpmzos25m8ivg.cloudfront.net/Documentos/631/05717346344/6310571734634411092023105205.pdf</v>
      </c>
      <c r="F2638" s="5" t="str">
        <f>HYPERLINK("https://dpmzos25m8ivg.cloudfront.net/Documentos/631/05717346344/6310571734634411092023105251.pdf","https://dpmzos25m8ivg.cloudfront.net/Documentos/631/05717346344/6310571734634411092023105251.pdf")</f>
        <v>https://dpmzos25m8ivg.cloudfront.net/Documentos/631/05717346344/6310571734634411092023105251.pdf</v>
      </c>
      <c r="G2638" s="5" t="str">
        <f>HYPERLINK("https://dpmzos25m8ivg.cloudfront.net/Documentos/631/05717346344/6310571734634411092023105334.pdf","https://dpmzos25m8ivg.cloudfront.net/Documentos/631/05717346344/6310571734634411092023105334.pdf")</f>
        <v>https://dpmzos25m8ivg.cloudfront.net/Documentos/631/05717346344/6310571734634411092023105334.pdf</v>
      </c>
      <c r="H2638" s="5" t="s">
        <v>11216</v>
      </c>
    </row>
    <row r="2639" spans="1:8" x14ac:dyDescent="0.25">
      <c r="A2639" s="2" t="s">
        <v>2656</v>
      </c>
      <c r="B2639" s="3" t="s">
        <v>23</v>
      </c>
      <c r="C2639" s="3"/>
      <c r="D2639" s="3"/>
      <c r="E2639" s="5" t="str">
        <f>HYPERLINK("https://dpmzos25m8ivg.cloudfront.net/Documentos/631/05717407157/6310571740715710092023155021.jpg","https://dpmzos25m8ivg.cloudfront.net/Documentos/631/05717407157/6310571740715710092023155021.jpg")</f>
        <v>https://dpmzos25m8ivg.cloudfront.net/Documentos/631/05717407157/6310571740715710092023155021.jpg</v>
      </c>
      <c r="F2639" s="5" t="str">
        <f>HYPERLINK("https://dpmzos25m8ivg.cloudfront.net/Documentos/631/05717407157/6310571740715710092023155105.jpg","https://dpmzos25m8ivg.cloudfront.net/Documentos/631/05717407157/6310571740715710092023155105.jpg")</f>
        <v>https://dpmzos25m8ivg.cloudfront.net/Documentos/631/05717407157/6310571740715710092023155105.jpg</v>
      </c>
      <c r="G2639" s="5" t="str">
        <f>HYPERLINK("https://dpmzos25m8ivg.cloudfront.net/Documentos/631/05717407157/6310571740715710092023154913.jpg","https://dpmzos25m8ivg.cloudfront.net/Documentos/631/05717407157/6310571740715710092023154913.jpg")</f>
        <v>https://dpmzos25m8ivg.cloudfront.net/Documentos/631/05717407157/6310571740715710092023154913.jpg</v>
      </c>
      <c r="H2639" s="5" t="s">
        <v>11217</v>
      </c>
    </row>
    <row r="2640" spans="1:8" x14ac:dyDescent="0.25">
      <c r="A2640" s="2" t="s">
        <v>2657</v>
      </c>
      <c r="B2640" s="3"/>
      <c r="C2640" s="3"/>
      <c r="D2640" s="3"/>
      <c r="E2640" s="5" t="str">
        <f>HYPERLINK("https://dpmzos25m8ivg.cloudfront.net/Documentos/631/05721829451/6310572182945114092023163507.jpeg","https://dpmzos25m8ivg.cloudfront.net/Documentos/631/05721829451/6310572182945114092023163507.jpeg")</f>
        <v>https://dpmzos25m8ivg.cloudfront.net/Documentos/631/05721829451/6310572182945114092023163507.jpeg</v>
      </c>
      <c r="F2640" s="5" t="str">
        <f>HYPERLINK("https://dpmzos25m8ivg.cloudfront.net/Documentos/631/05721829451/6310572182945114092023163514.jpeg","https://dpmzos25m8ivg.cloudfront.net/Documentos/631/05721829451/6310572182945114092023163514.jpeg")</f>
        <v>https://dpmzos25m8ivg.cloudfront.net/Documentos/631/05721829451/6310572182945114092023163514.jpeg</v>
      </c>
      <c r="G2640" s="5" t="str">
        <f>HYPERLINK("https://dpmzos25m8ivg.cloudfront.net/Documentos/631/05721829451/6310572182945114092023163520.jpeg","https://dpmzos25m8ivg.cloudfront.net/Documentos/631/05721829451/6310572182945114092023163520.jpeg")</f>
        <v>https://dpmzos25m8ivg.cloudfront.net/Documentos/631/05721829451/6310572182945114092023163520.jpeg</v>
      </c>
      <c r="H2640" s="5" t="s">
        <v>11218</v>
      </c>
    </row>
    <row r="2641" spans="1:8" x14ac:dyDescent="0.25">
      <c r="A2641" s="2" t="s">
        <v>2658</v>
      </c>
      <c r="B2641" s="3"/>
      <c r="C2641" s="3"/>
      <c r="D2641" s="3"/>
      <c r="E2641" s="5" t="str">
        <f>HYPERLINK("https://dpmzos25m8ivg.cloudfront.net/Documentos/631/05722257508/6310572225750814092023111739.pdf","https://dpmzos25m8ivg.cloudfront.net/Documentos/631/05722257508/6310572225750814092023111739.pdf")</f>
        <v>https://dpmzos25m8ivg.cloudfront.net/Documentos/631/05722257508/6310572225750814092023111739.pdf</v>
      </c>
      <c r="F2641" s="5" t="str">
        <f>HYPERLINK("https://dpmzos25m8ivg.cloudfront.net/Documentos/631/05722257508/6310572225750814092023113125.pdf","https://dpmzos25m8ivg.cloudfront.net/Documentos/631/05722257508/6310572225750814092023113125.pdf")</f>
        <v>https://dpmzos25m8ivg.cloudfront.net/Documentos/631/05722257508/6310572225750814092023113125.pdf</v>
      </c>
      <c r="G2641" s="5" t="str">
        <f>HYPERLINK("https://dpmzos25m8ivg.cloudfront.net/Documentos/631/05722257508/6310572225750814092023122253.pdf","https://dpmzos25m8ivg.cloudfront.net/Documentos/631/05722257508/6310572225750814092023122253.pdf")</f>
        <v>https://dpmzos25m8ivg.cloudfront.net/Documentos/631/05722257508/6310572225750814092023122253.pdf</v>
      </c>
      <c r="H2641" s="5" t="s">
        <v>11219</v>
      </c>
    </row>
    <row r="2642" spans="1:8" x14ac:dyDescent="0.25">
      <c r="A2642" s="2" t="s">
        <v>2659</v>
      </c>
      <c r="B2642" s="3"/>
      <c r="C2642" s="3"/>
      <c r="D2642" s="3"/>
      <c r="E2642" s="5" t="str">
        <f>HYPERLINK("https://dpmzos25m8ivg.cloudfront.net/Documentos/631/05723828126/6310572382812614092023162239.jpeg","https://dpmzos25m8ivg.cloudfront.net/Documentos/631/05723828126/6310572382812614092023162239.jpeg")</f>
        <v>https://dpmzos25m8ivg.cloudfront.net/Documentos/631/05723828126/6310572382812614092023162239.jpeg</v>
      </c>
      <c r="F2642" s="5" t="str">
        <f>HYPERLINK("https://dpmzos25m8ivg.cloudfront.net/Documentos/631/05723828126/6310572382812614092023162301.jpeg","https://dpmzos25m8ivg.cloudfront.net/Documentos/631/05723828126/6310572382812614092023162301.jpeg")</f>
        <v>https://dpmzos25m8ivg.cloudfront.net/Documentos/631/05723828126/6310572382812614092023162301.jpeg</v>
      </c>
      <c r="G2642" s="5" t="str">
        <f>HYPERLINK("https://dpmzos25m8ivg.cloudfront.net/Documentos/631/05723828126/6310572382812614092023162314.jpeg","https://dpmzos25m8ivg.cloudfront.net/Documentos/631/05723828126/6310572382812614092023162314.jpeg")</f>
        <v>https://dpmzos25m8ivg.cloudfront.net/Documentos/631/05723828126/6310572382812614092023162314.jpeg</v>
      </c>
      <c r="H2642" s="5" t="s">
        <v>11220</v>
      </c>
    </row>
    <row r="2643" spans="1:8" x14ac:dyDescent="0.25">
      <c r="A2643" s="2" t="s">
        <v>2660</v>
      </c>
      <c r="B2643" s="3"/>
      <c r="C2643" s="3"/>
      <c r="D2643" s="3"/>
      <c r="E2643" s="5" t="str">
        <f>HYPERLINK("https://dpmzos25m8ivg.cloudfront.net/Documentos/631/05724398575/6310572439857512092023203611.pdf","https://dpmzos25m8ivg.cloudfront.net/Documentos/631/05724398575/6310572439857512092023203611.pdf")</f>
        <v>https://dpmzos25m8ivg.cloudfront.net/Documentos/631/05724398575/6310572439857512092023203611.pdf</v>
      </c>
      <c r="F2643" s="5" t="str">
        <f>HYPERLINK("https://dpmzos25m8ivg.cloudfront.net/Documentos/631/05724398575/6310572439857512092023203632.pdf","https://dpmzos25m8ivg.cloudfront.net/Documentos/631/05724398575/6310572439857512092023203632.pdf")</f>
        <v>https://dpmzos25m8ivg.cloudfront.net/Documentos/631/05724398575/6310572439857512092023203632.pdf</v>
      </c>
      <c r="G2643" s="5" t="str">
        <f>HYPERLINK("https://dpmzos25m8ivg.cloudfront.net/Documentos/631/05724398575/6310572439857512092023203734.pdf","https://dpmzos25m8ivg.cloudfront.net/Documentos/631/05724398575/6310572439857512092023203734.pdf")</f>
        <v>https://dpmzos25m8ivg.cloudfront.net/Documentos/631/05724398575/6310572439857512092023203734.pdf</v>
      </c>
      <c r="H2643" s="5" t="s">
        <v>11221</v>
      </c>
    </row>
    <row r="2644" spans="1:8" x14ac:dyDescent="0.25">
      <c r="A2644" s="2" t="s">
        <v>2661</v>
      </c>
      <c r="B2644" s="3"/>
      <c r="C2644" s="3"/>
      <c r="D2644" s="3"/>
      <c r="E2644" s="5" t="str">
        <f>HYPERLINK("https://dpmzos25m8ivg.cloudfront.net/Documentos/631/05725530132/6310572553013209092023150135.jpeg","https://dpmzos25m8ivg.cloudfront.net/Documentos/631/05725530132/6310572553013209092023150135.jpeg")</f>
        <v>https://dpmzos25m8ivg.cloudfront.net/Documentos/631/05725530132/6310572553013209092023150135.jpeg</v>
      </c>
      <c r="F2644" s="5" t="str">
        <f>HYPERLINK("https://dpmzos25m8ivg.cloudfront.net/Documentos/631/05725530132/6310572553013209092023150143.jpeg","https://dpmzos25m8ivg.cloudfront.net/Documentos/631/05725530132/6310572553013209092023150143.jpeg")</f>
        <v>https://dpmzos25m8ivg.cloudfront.net/Documentos/631/05725530132/6310572553013209092023150143.jpeg</v>
      </c>
      <c r="G2644" s="5" t="str">
        <f>HYPERLINK("https://dpmzos25m8ivg.cloudfront.net/Documentos/631/05725530132/6310572553013209092023150149.jpeg","https://dpmzos25m8ivg.cloudfront.net/Documentos/631/05725530132/6310572553013209092023150149.jpeg")</f>
        <v>https://dpmzos25m8ivg.cloudfront.net/Documentos/631/05725530132/6310572553013209092023150149.jpeg</v>
      </c>
      <c r="H2644" s="5" t="s">
        <v>11222</v>
      </c>
    </row>
    <row r="2645" spans="1:8" x14ac:dyDescent="0.25">
      <c r="A2645" s="2" t="s">
        <v>2662</v>
      </c>
      <c r="B2645" s="3"/>
      <c r="C2645" s="3"/>
      <c r="D2645" s="3"/>
      <c r="E2645" s="5" t="str">
        <f>HYPERLINK("https://dpmzos25m8ivg.cloudfront.net/Documentos/631/05727929563/6310572792956310092023180501.pdf","https://dpmzos25m8ivg.cloudfront.net/Documentos/631/05727929563/6310572792956310092023180501.pdf")</f>
        <v>https://dpmzos25m8ivg.cloudfront.net/Documentos/631/05727929563/6310572792956310092023180501.pdf</v>
      </c>
      <c r="F2645" s="5" t="str">
        <f>HYPERLINK("https://dpmzos25m8ivg.cloudfront.net/Documentos/631/05727929563/6310572792956310092023180515.pdf","https://dpmzos25m8ivg.cloudfront.net/Documentos/631/05727929563/6310572792956310092023180515.pdf")</f>
        <v>https://dpmzos25m8ivg.cloudfront.net/Documentos/631/05727929563/6310572792956310092023180515.pdf</v>
      </c>
      <c r="G2645" s="5" t="str">
        <f>HYPERLINK("https://dpmzos25m8ivg.cloudfront.net/Documentos/631/05727929563/6310572792956310092023180527.pdf","https://dpmzos25m8ivg.cloudfront.net/Documentos/631/05727929563/6310572792956310092023180527.pdf")</f>
        <v>https://dpmzos25m8ivg.cloudfront.net/Documentos/631/05727929563/6310572792956310092023180527.pdf</v>
      </c>
      <c r="H2645" s="5" t="s">
        <v>11223</v>
      </c>
    </row>
    <row r="2646" spans="1:8" x14ac:dyDescent="0.25">
      <c r="A2646" s="2" t="s">
        <v>2663</v>
      </c>
      <c r="B2646" s="3"/>
      <c r="C2646" s="3"/>
      <c r="D2646" s="3"/>
      <c r="E2646" s="5" t="str">
        <f>HYPERLINK("https://dpmzos25m8ivg.cloudfront.net/Documentos/631/05730695144/6310573069514405092023192349.pdf","https://dpmzos25m8ivg.cloudfront.net/Documentos/631/05730695144/6310573069514405092023192349.pdf")</f>
        <v>https://dpmzos25m8ivg.cloudfront.net/Documentos/631/05730695144/6310573069514405092023192349.pdf</v>
      </c>
      <c r="F2646" s="5" t="str">
        <f>HYPERLINK("https://dpmzos25m8ivg.cloudfront.net/Documentos/631/05730695144/6310573069514405092023192357.pdf","https://dpmzos25m8ivg.cloudfront.net/Documentos/631/05730695144/6310573069514405092023192357.pdf")</f>
        <v>https://dpmzos25m8ivg.cloudfront.net/Documentos/631/05730695144/6310573069514405092023192357.pdf</v>
      </c>
      <c r="G2646" s="5" t="str">
        <f>HYPERLINK("https://dpmzos25m8ivg.cloudfront.net/Documentos/631/05730695144/6310573069514405092023192404.pdf","https://dpmzos25m8ivg.cloudfront.net/Documentos/631/05730695144/6310573069514405092023192404.pdf")</f>
        <v>https://dpmzos25m8ivg.cloudfront.net/Documentos/631/05730695144/6310573069514405092023192404.pdf</v>
      </c>
      <c r="H2646" s="5" t="s">
        <v>11224</v>
      </c>
    </row>
    <row r="2647" spans="1:8" x14ac:dyDescent="0.25">
      <c r="A2647" s="2" t="s">
        <v>2664</v>
      </c>
      <c r="B2647" s="3"/>
      <c r="C2647" s="3"/>
      <c r="D2647" s="3"/>
      <c r="E2647" s="5" t="str">
        <f>HYPERLINK("https://dpmzos25m8ivg.cloudfront.net/Documentos/631/05736332159/6310573633215914092023141134.pdf","https://dpmzos25m8ivg.cloudfront.net/Documentos/631/05736332159/6310573633215914092023141134.pdf")</f>
        <v>https://dpmzos25m8ivg.cloudfront.net/Documentos/631/05736332159/6310573633215914092023141134.pdf</v>
      </c>
      <c r="F2647" s="5" t="str">
        <f>HYPERLINK("https://dpmzos25m8ivg.cloudfront.net/Documentos/631/05736332159/6310573633215914092023141147.pdf","https://dpmzos25m8ivg.cloudfront.net/Documentos/631/05736332159/6310573633215914092023141147.pdf")</f>
        <v>https://dpmzos25m8ivg.cloudfront.net/Documentos/631/05736332159/6310573633215914092023141147.pdf</v>
      </c>
      <c r="G2647" s="5" t="str">
        <f>HYPERLINK("https://dpmzos25m8ivg.cloudfront.net/Documentos/631/05736332159/6310573633215914092023141159.pdf","https://dpmzos25m8ivg.cloudfront.net/Documentos/631/05736332159/6310573633215914092023141159.pdf")</f>
        <v>https://dpmzos25m8ivg.cloudfront.net/Documentos/631/05736332159/6310573633215914092023141159.pdf</v>
      </c>
      <c r="H2647" s="5" t="s">
        <v>11225</v>
      </c>
    </row>
    <row r="2648" spans="1:8" x14ac:dyDescent="0.25">
      <c r="A2648" s="2" t="s">
        <v>2665</v>
      </c>
      <c r="B2648" s="3"/>
      <c r="C2648" s="3"/>
      <c r="D2648" s="3"/>
      <c r="E2648" s="5" t="str">
        <f>HYPERLINK("https://dpmzos25m8ivg.cloudfront.net/Documentos/631/05750817326/6310575081732608092023222752.jpg","https://dpmzos25m8ivg.cloudfront.net/Documentos/631/05750817326/6310575081732608092023222752.jpg")</f>
        <v>https://dpmzos25m8ivg.cloudfront.net/Documentos/631/05750817326/6310575081732608092023222752.jpg</v>
      </c>
      <c r="F2648" s="5" t="str">
        <f>HYPERLINK("https://dpmzos25m8ivg.cloudfront.net/Documentos/631/05750817326/6310575081732608092023222807.jpg","https://dpmzos25m8ivg.cloudfront.net/Documentos/631/05750817326/6310575081732608092023222807.jpg")</f>
        <v>https://dpmzos25m8ivg.cloudfront.net/Documentos/631/05750817326/6310575081732608092023222807.jpg</v>
      </c>
      <c r="G2648" s="5" t="str">
        <f>HYPERLINK("https://dpmzos25m8ivg.cloudfront.net/Documentos/631/05750817326/6310575081732608092023222818.jpg","https://dpmzos25m8ivg.cloudfront.net/Documentos/631/05750817326/6310575081732608092023222818.jpg")</f>
        <v>https://dpmzos25m8ivg.cloudfront.net/Documentos/631/05750817326/6310575081732608092023222818.jpg</v>
      </c>
      <c r="H2648" s="5" t="s">
        <v>11226</v>
      </c>
    </row>
    <row r="2649" spans="1:8" x14ac:dyDescent="0.25">
      <c r="A2649" s="2" t="s">
        <v>2666</v>
      </c>
      <c r="B2649" s="3"/>
      <c r="C2649" s="3"/>
      <c r="D2649" s="3"/>
      <c r="E2649" s="5" t="str">
        <f>HYPERLINK("https://dpmzos25m8ivg.cloudfront.net/Documentos/631/05752822157/6310575282215711092023155126.pdf","https://dpmzos25m8ivg.cloudfront.net/Documentos/631/05752822157/6310575282215711092023155126.pdf")</f>
        <v>https://dpmzos25m8ivg.cloudfront.net/Documentos/631/05752822157/6310575282215711092023155126.pdf</v>
      </c>
      <c r="F2649" s="5" t="str">
        <f>HYPERLINK("https://dpmzos25m8ivg.cloudfront.net/Documentos/631/05752822157/6310575282215711092023155135.pdf","https://dpmzos25m8ivg.cloudfront.net/Documentos/631/05752822157/6310575282215711092023155135.pdf")</f>
        <v>https://dpmzos25m8ivg.cloudfront.net/Documentos/631/05752822157/6310575282215711092023155135.pdf</v>
      </c>
      <c r="G2649" s="5" t="str">
        <f>HYPERLINK("https://dpmzos25m8ivg.cloudfront.net/Documentos/631/05752822157/6310575282215711092023155142.pdf","https://dpmzos25m8ivg.cloudfront.net/Documentos/631/05752822157/6310575282215711092023155142.pdf")</f>
        <v>https://dpmzos25m8ivg.cloudfront.net/Documentos/631/05752822157/6310575282215711092023155142.pdf</v>
      </c>
      <c r="H2649" s="5" t="s">
        <v>11227</v>
      </c>
    </row>
    <row r="2650" spans="1:8" x14ac:dyDescent="0.25">
      <c r="A2650" s="2" t="s">
        <v>2667</v>
      </c>
      <c r="B2650" s="3"/>
      <c r="C2650" s="3"/>
      <c r="D2650" s="3"/>
      <c r="E2650" s="5" t="str">
        <f>HYPERLINK("https://dpmzos25m8ivg.cloudfront.net/Documentos/631/05753588409/6310575358840905092023122148.pdf","https://dpmzos25m8ivg.cloudfront.net/Documentos/631/05753588409/6310575358840905092023122148.pdf")</f>
        <v>https://dpmzos25m8ivg.cloudfront.net/Documentos/631/05753588409/6310575358840905092023122148.pdf</v>
      </c>
      <c r="F2650" s="5" t="str">
        <f>HYPERLINK("https://dpmzos25m8ivg.cloudfront.net/Documentos/631/05753588409/6310575358840905092023122200.pdf","https://dpmzos25m8ivg.cloudfront.net/Documentos/631/05753588409/6310575358840905092023122200.pdf")</f>
        <v>https://dpmzos25m8ivg.cloudfront.net/Documentos/631/05753588409/6310575358840905092023122200.pdf</v>
      </c>
      <c r="G2650" s="5" t="str">
        <f>HYPERLINK("https://dpmzos25m8ivg.cloudfront.net/Documentos/631/05753588409/6310575358840905092023122214.pdf","https://dpmzos25m8ivg.cloudfront.net/Documentos/631/05753588409/6310575358840905092023122214.pdf")</f>
        <v>https://dpmzos25m8ivg.cloudfront.net/Documentos/631/05753588409/6310575358840905092023122214.pdf</v>
      </c>
      <c r="H2650" s="5" t="s">
        <v>11228</v>
      </c>
    </row>
    <row r="2651" spans="1:8" x14ac:dyDescent="0.25">
      <c r="A2651" s="2" t="s">
        <v>2668</v>
      </c>
      <c r="B2651" s="3"/>
      <c r="C2651" s="3"/>
      <c r="D2651" s="3"/>
      <c r="E2651" s="5" t="str">
        <f>HYPERLINK("https://dpmzos25m8ivg.cloudfront.net/Documentos/631/05754312539/6310575431253906092023235543.pdf","https://dpmzos25m8ivg.cloudfront.net/Documentos/631/05754312539/6310575431253906092023235543.pdf")</f>
        <v>https://dpmzos25m8ivg.cloudfront.net/Documentos/631/05754312539/6310575431253906092023235543.pdf</v>
      </c>
      <c r="F2651" s="5" t="str">
        <f>HYPERLINK("https://dpmzos25m8ivg.cloudfront.net/Documentos/631/05754312539/6310575431253906092023235242.pdf","https://dpmzos25m8ivg.cloudfront.net/Documentos/631/05754312539/6310575431253906092023235242.pdf")</f>
        <v>https://dpmzos25m8ivg.cloudfront.net/Documentos/631/05754312539/6310575431253906092023235242.pdf</v>
      </c>
      <c r="G2651" s="5" t="str">
        <f>HYPERLINK("https://dpmzos25m8ivg.cloudfront.net/Documentos/631/05754312539/6310575431253906092023235259.pdf","https://dpmzos25m8ivg.cloudfront.net/Documentos/631/05754312539/6310575431253906092023235259.pdf")</f>
        <v>https://dpmzos25m8ivg.cloudfront.net/Documentos/631/05754312539/6310575431253906092023235259.pdf</v>
      </c>
      <c r="H2651" s="5" t="s">
        <v>11229</v>
      </c>
    </row>
    <row r="2652" spans="1:8" x14ac:dyDescent="0.25">
      <c r="A2652" s="2" t="s">
        <v>2669</v>
      </c>
      <c r="B2652" s="3" t="s">
        <v>2358</v>
      </c>
      <c r="C2652" s="3"/>
      <c r="D2652" s="3"/>
      <c r="E2652" s="5" t="str">
        <f>HYPERLINK("https://dpmzos25m8ivg.cloudfront.net/Documentos/631/05755692394/6310575569239411092023170517.pdf","https://dpmzos25m8ivg.cloudfront.net/Documentos/631/05755692394/6310575569239411092023170517.pdf")</f>
        <v>https://dpmzos25m8ivg.cloudfront.net/Documentos/631/05755692394/6310575569239411092023170517.pdf</v>
      </c>
      <c r="F2652" s="5" t="str">
        <f>HYPERLINK("https://dpmzos25m8ivg.cloudfront.net/Documentos/631/05755692394/6310575569239411092023170531.pdf","https://dpmzos25m8ivg.cloudfront.net/Documentos/631/05755692394/6310575569239411092023170531.pdf")</f>
        <v>https://dpmzos25m8ivg.cloudfront.net/Documentos/631/05755692394/6310575569239411092023170531.pdf</v>
      </c>
      <c r="G2652" s="5" t="str">
        <f>HYPERLINK("https://dpmzos25m8ivg.cloudfront.net/Documentos/631/05755692394/6310575569239411092023170541.pdf","https://dpmzos25m8ivg.cloudfront.net/Documentos/631/05755692394/6310575569239411092023170541.pdf")</f>
        <v>https://dpmzos25m8ivg.cloudfront.net/Documentos/631/05755692394/6310575569239411092023170541.pdf</v>
      </c>
      <c r="H2652" s="5" t="s">
        <v>11230</v>
      </c>
    </row>
    <row r="2653" spans="1:8" x14ac:dyDescent="0.25">
      <c r="A2653" s="2" t="s">
        <v>2670</v>
      </c>
      <c r="B2653" s="3"/>
      <c r="C2653" s="3"/>
      <c r="D2653" s="3"/>
      <c r="E2653" s="5" t="str">
        <f>HYPERLINK("https://dpmzos25m8ivg.cloudfront.net/Documentos/631/05756001107/6310575600110711092023091750.pdf","https://dpmzos25m8ivg.cloudfront.net/Documentos/631/05756001107/6310575600110711092023091750.pdf")</f>
        <v>https://dpmzos25m8ivg.cloudfront.net/Documentos/631/05756001107/6310575600110711092023091750.pdf</v>
      </c>
      <c r="F2653" s="5" t="str">
        <f>HYPERLINK("https://dpmzos25m8ivg.cloudfront.net/Documentos/631/05756001107/6310575600110711092023091756.pdf","https://dpmzos25m8ivg.cloudfront.net/Documentos/631/05756001107/6310575600110711092023091756.pdf")</f>
        <v>https://dpmzos25m8ivg.cloudfront.net/Documentos/631/05756001107/6310575600110711092023091756.pdf</v>
      </c>
      <c r="G2653" s="5" t="str">
        <f>HYPERLINK("https://dpmzos25m8ivg.cloudfront.net/Documentos/631/05756001107/6310575600110711092023091803.pdf","https://dpmzos25m8ivg.cloudfront.net/Documentos/631/05756001107/6310575600110711092023091803.pdf")</f>
        <v>https://dpmzos25m8ivg.cloudfront.net/Documentos/631/05756001107/6310575600110711092023091803.pdf</v>
      </c>
      <c r="H2653" s="5" t="s">
        <v>11231</v>
      </c>
    </row>
    <row r="2654" spans="1:8" x14ac:dyDescent="0.25">
      <c r="A2654" s="2" t="s">
        <v>2671</v>
      </c>
      <c r="B2654" s="3"/>
      <c r="C2654" s="3"/>
      <c r="D2654" s="3"/>
      <c r="E2654" s="5" t="str">
        <f>HYPERLINK("https://dpmzos25m8ivg.cloudfront.net/Documentos/631/05759112473/6310575911247311092023084258.pdf","https://dpmzos25m8ivg.cloudfront.net/Documentos/631/05759112473/6310575911247311092023084258.pdf")</f>
        <v>https://dpmzos25m8ivg.cloudfront.net/Documentos/631/05759112473/6310575911247311092023084258.pdf</v>
      </c>
      <c r="F2654" s="5" t="str">
        <f>HYPERLINK("https://dpmzos25m8ivg.cloudfront.net/Documentos/631/05759112473/6310575911247311092023084325.pdf","https://dpmzos25m8ivg.cloudfront.net/Documentos/631/05759112473/6310575911247311092023084325.pdf")</f>
        <v>https://dpmzos25m8ivg.cloudfront.net/Documentos/631/05759112473/6310575911247311092023084325.pdf</v>
      </c>
      <c r="G2654" s="5" t="str">
        <f>HYPERLINK("https://dpmzos25m8ivg.cloudfront.net/Documentos/631/05759112473/6310575911247311092023084339.pdf","https://dpmzos25m8ivg.cloudfront.net/Documentos/631/05759112473/6310575911247311092023084339.pdf")</f>
        <v>https://dpmzos25m8ivg.cloudfront.net/Documentos/631/05759112473/6310575911247311092023084339.pdf</v>
      </c>
      <c r="H2654" s="5" t="s">
        <v>11232</v>
      </c>
    </row>
    <row r="2655" spans="1:8" x14ac:dyDescent="0.25">
      <c r="A2655" s="2" t="s">
        <v>2672</v>
      </c>
      <c r="B2655" s="3"/>
      <c r="C2655" s="3"/>
      <c r="D2655" s="3"/>
      <c r="E2655" s="5" t="str">
        <f>HYPERLINK("https://dpmzos25m8ivg.cloudfront.net/Documentos/631/05762072924/6310576207292411092023124626.pdf","https://dpmzos25m8ivg.cloudfront.net/Documentos/631/05762072924/6310576207292411092023124626.pdf")</f>
        <v>https://dpmzos25m8ivg.cloudfront.net/Documentos/631/05762072924/6310576207292411092023124626.pdf</v>
      </c>
      <c r="F2655" s="5" t="str">
        <f>HYPERLINK("https://dpmzos25m8ivg.cloudfront.net/Documentos/631/05762072924/6310576207292411092023124846.pdf","https://dpmzos25m8ivg.cloudfront.net/Documentos/631/05762072924/6310576207292411092023124846.pdf")</f>
        <v>https://dpmzos25m8ivg.cloudfront.net/Documentos/631/05762072924/6310576207292411092023124846.pdf</v>
      </c>
      <c r="G2655" s="5" t="str">
        <f>HYPERLINK("https://dpmzos25m8ivg.cloudfront.net/Documentos/631/05762072924/6310576207292411092023125021.pdf","https://dpmzos25m8ivg.cloudfront.net/Documentos/631/05762072924/6310576207292411092023125021.pdf")</f>
        <v>https://dpmzos25m8ivg.cloudfront.net/Documentos/631/05762072924/6310576207292411092023125021.pdf</v>
      </c>
      <c r="H2655" s="5" t="s">
        <v>11233</v>
      </c>
    </row>
    <row r="2656" spans="1:8" x14ac:dyDescent="0.25">
      <c r="A2656" s="2" t="s">
        <v>2673</v>
      </c>
      <c r="B2656" s="3"/>
      <c r="C2656" s="3"/>
      <c r="D2656" s="3"/>
      <c r="E2656" s="5" t="str">
        <f>HYPERLINK("https://dpmzos25m8ivg.cloudfront.net/Documentos/631/05762208508/6310576220850814092023160741.pdf","https://dpmzos25m8ivg.cloudfront.net/Documentos/631/05762208508/6310576220850814092023160741.pdf")</f>
        <v>https://dpmzos25m8ivg.cloudfront.net/Documentos/631/05762208508/6310576220850814092023160741.pdf</v>
      </c>
      <c r="F2656" s="5" t="str">
        <f>HYPERLINK("https://dpmzos25m8ivg.cloudfront.net/Documentos/631/05762208508/6310576220850814092023161204.pdf","https://dpmzos25m8ivg.cloudfront.net/Documentos/631/05762208508/6310576220850814092023161204.pdf")</f>
        <v>https://dpmzos25m8ivg.cloudfront.net/Documentos/631/05762208508/6310576220850814092023161204.pdf</v>
      </c>
      <c r="G2656" s="5" t="str">
        <f>HYPERLINK("https://dpmzos25m8ivg.cloudfront.net/Documentos/631/05762208508/6310576220850814092023161222.pdf","https://dpmzos25m8ivg.cloudfront.net/Documentos/631/05762208508/6310576220850814092023161222.pdf")</f>
        <v>https://dpmzos25m8ivg.cloudfront.net/Documentos/631/05762208508/6310576220850814092023161222.pdf</v>
      </c>
      <c r="H2656" s="5" t="s">
        <v>11234</v>
      </c>
    </row>
    <row r="2657" spans="1:8" x14ac:dyDescent="0.25">
      <c r="A2657" s="2" t="s">
        <v>2674</v>
      </c>
      <c r="B2657" s="3"/>
      <c r="C2657" s="3"/>
      <c r="D2657" s="3"/>
      <c r="E2657" s="5" t="str">
        <f>HYPERLINK("https://dpmzos25m8ivg.cloudfront.net/Documentos/631/05762666557/6310576266655714092023144034.pdf","https://dpmzos25m8ivg.cloudfront.net/Documentos/631/05762666557/6310576266655714092023144034.pdf")</f>
        <v>https://dpmzos25m8ivg.cloudfront.net/Documentos/631/05762666557/6310576266655714092023144034.pdf</v>
      </c>
      <c r="F2657" s="5" t="str">
        <f>HYPERLINK("https://dpmzos25m8ivg.cloudfront.net/Documentos/631/05762666557/6310576266655714092023144043.pdf","https://dpmzos25m8ivg.cloudfront.net/Documentos/631/05762666557/6310576266655714092023144043.pdf")</f>
        <v>https://dpmzos25m8ivg.cloudfront.net/Documentos/631/05762666557/6310576266655714092023144043.pdf</v>
      </c>
      <c r="G2657" s="5" t="str">
        <f>HYPERLINK("https://dpmzos25m8ivg.cloudfront.net/Documentos/631/05762666557/6310576266655714092023144051.pdf","https://dpmzos25m8ivg.cloudfront.net/Documentos/631/05762666557/6310576266655714092023144051.pdf")</f>
        <v>https://dpmzos25m8ivg.cloudfront.net/Documentos/631/05762666557/6310576266655714092023144051.pdf</v>
      </c>
      <c r="H2657" s="5" t="s">
        <v>11235</v>
      </c>
    </row>
    <row r="2658" spans="1:8" x14ac:dyDescent="0.25">
      <c r="A2658" s="2" t="s">
        <v>2675</v>
      </c>
      <c r="B2658" s="3"/>
      <c r="C2658" s="3"/>
      <c r="D2658" s="3"/>
      <c r="E2658" s="5" t="str">
        <f>HYPERLINK("https://dpmzos25m8ivg.cloudfront.net/Documentos/631/05768753508/6310576875350811092023090120.pdf","https://dpmzos25m8ivg.cloudfront.net/Documentos/631/05768753508/6310576875350811092023090120.pdf")</f>
        <v>https://dpmzos25m8ivg.cloudfront.net/Documentos/631/05768753508/6310576875350811092023090120.pdf</v>
      </c>
      <c r="F2658" s="5" t="str">
        <f>HYPERLINK("https://dpmzos25m8ivg.cloudfront.net/Documentos/631/05768753508/6310576875350811092023090141.pdf","https://dpmzos25m8ivg.cloudfront.net/Documentos/631/05768753508/6310576875350811092023090141.pdf")</f>
        <v>https://dpmzos25m8ivg.cloudfront.net/Documentos/631/05768753508/6310576875350811092023090141.pdf</v>
      </c>
      <c r="G2658" s="5" t="str">
        <f>HYPERLINK("https://dpmzos25m8ivg.cloudfront.net/Documentos/631/05768753508/6310576875350811092023090217.pdf","https://dpmzos25m8ivg.cloudfront.net/Documentos/631/05768753508/6310576875350811092023090217.pdf")</f>
        <v>https://dpmzos25m8ivg.cloudfront.net/Documentos/631/05768753508/6310576875350811092023090217.pdf</v>
      </c>
      <c r="H2658" s="5" t="s">
        <v>11236</v>
      </c>
    </row>
    <row r="2659" spans="1:8" x14ac:dyDescent="0.25">
      <c r="A2659" s="2" t="s">
        <v>2676</v>
      </c>
      <c r="B2659" s="3"/>
      <c r="C2659" s="3"/>
      <c r="D2659" s="3"/>
      <c r="E2659" s="5" t="str">
        <f>HYPERLINK("https://dpmzos25m8ivg.cloudfront.net/Documentos/631/05769842130/6310576984213010092023101920.jpg","https://dpmzos25m8ivg.cloudfront.net/Documentos/631/05769842130/6310576984213010092023101920.jpg")</f>
        <v>https://dpmzos25m8ivg.cloudfront.net/Documentos/631/05769842130/6310576984213010092023101920.jpg</v>
      </c>
      <c r="F2659" s="5" t="str">
        <f>HYPERLINK("https://dpmzos25m8ivg.cloudfront.net/Documentos/631/05769842130/6310576984213010092023101942.jpg","https://dpmzos25m8ivg.cloudfront.net/Documentos/631/05769842130/6310576984213010092023101942.jpg")</f>
        <v>https://dpmzos25m8ivg.cloudfront.net/Documentos/631/05769842130/6310576984213010092023101942.jpg</v>
      </c>
      <c r="G2659" s="5" t="str">
        <f>HYPERLINK("https://dpmzos25m8ivg.cloudfront.net/Documentos/631/05769842130/6310576984213010092023102002.jpg","https://dpmzos25m8ivg.cloudfront.net/Documentos/631/05769842130/6310576984213010092023102002.jpg")</f>
        <v>https://dpmzos25m8ivg.cloudfront.net/Documentos/631/05769842130/6310576984213010092023102002.jpg</v>
      </c>
      <c r="H2659" s="5" t="s">
        <v>11237</v>
      </c>
    </row>
    <row r="2660" spans="1:8" x14ac:dyDescent="0.25">
      <c r="A2660" s="2" t="s">
        <v>2677</v>
      </c>
      <c r="B2660" s="3"/>
      <c r="C2660" s="3"/>
      <c r="D2660" s="3"/>
      <c r="E2660" s="5" t="str">
        <f>HYPERLINK("https://dpmzos25m8ivg.cloudfront.net/Documentos/631/05770544147/6310577054414711092023133628.pdf","https://dpmzos25m8ivg.cloudfront.net/Documentos/631/05770544147/6310577054414711092023133628.pdf")</f>
        <v>https://dpmzos25m8ivg.cloudfront.net/Documentos/631/05770544147/6310577054414711092023133628.pdf</v>
      </c>
      <c r="F2660" s="5" t="str">
        <f>HYPERLINK("https://dpmzos25m8ivg.cloudfront.net/Documentos/631/05770544147/6310577054414711092023133638.pdf","https://dpmzos25m8ivg.cloudfront.net/Documentos/631/05770544147/6310577054414711092023133638.pdf")</f>
        <v>https://dpmzos25m8ivg.cloudfront.net/Documentos/631/05770544147/6310577054414711092023133638.pdf</v>
      </c>
      <c r="G2660" s="5" t="str">
        <f>HYPERLINK("https://dpmzos25m8ivg.cloudfront.net/Documentos/631/05770544147/6310577054414711092023133647.pdf","https://dpmzos25m8ivg.cloudfront.net/Documentos/631/05770544147/6310577054414711092023133647.pdf")</f>
        <v>https://dpmzos25m8ivg.cloudfront.net/Documentos/631/05770544147/6310577054414711092023133647.pdf</v>
      </c>
      <c r="H2660" s="5" t="s">
        <v>11238</v>
      </c>
    </row>
    <row r="2661" spans="1:8" x14ac:dyDescent="0.25">
      <c r="A2661" s="2" t="s">
        <v>2678</v>
      </c>
      <c r="B2661" s="3"/>
      <c r="C2661" s="3"/>
      <c r="D2661" s="3"/>
      <c r="E2661" s="5" t="str">
        <f>HYPERLINK("https://dpmzos25m8ivg.cloudfront.net/Documentos/631/05778432739/6310577843273908092023121224.jpeg","https://dpmzos25m8ivg.cloudfront.net/Documentos/631/05778432739/6310577843273908092023121224.jpeg")</f>
        <v>https://dpmzos25m8ivg.cloudfront.net/Documentos/631/05778432739/6310577843273908092023121224.jpeg</v>
      </c>
      <c r="F2661" s="5" t="str">
        <f>HYPERLINK("https://dpmzos25m8ivg.cloudfront.net/Documentos/631/05778432739/6310577843273908092023121259.jpeg","https://dpmzos25m8ivg.cloudfront.net/Documentos/631/05778432739/6310577843273908092023121259.jpeg")</f>
        <v>https://dpmzos25m8ivg.cloudfront.net/Documentos/631/05778432739/6310577843273908092023121259.jpeg</v>
      </c>
      <c r="G2661" s="5" t="str">
        <f>HYPERLINK("https://dpmzos25m8ivg.cloudfront.net/Documentos/631/05778432739/6310577843273908092023121339.jpeg","https://dpmzos25m8ivg.cloudfront.net/Documentos/631/05778432739/6310577843273908092023121339.jpeg")</f>
        <v>https://dpmzos25m8ivg.cloudfront.net/Documentos/631/05778432739/6310577843273908092023121339.jpeg</v>
      </c>
      <c r="H2661" s="5" t="s">
        <v>11239</v>
      </c>
    </row>
    <row r="2662" spans="1:8" x14ac:dyDescent="0.25">
      <c r="A2662" s="2" t="s">
        <v>2679</v>
      </c>
      <c r="B2662" s="3"/>
      <c r="C2662" s="3"/>
      <c r="D2662" s="3"/>
      <c r="E2662" s="5" t="str">
        <f>HYPERLINK("https://dpmzos25m8ivg.cloudfront.net/Documentos/631/05778946929/6310577894692908092023180759.pdf","https://dpmzos25m8ivg.cloudfront.net/Documentos/631/05778946929/6310577894692908092023180759.pdf")</f>
        <v>https://dpmzos25m8ivg.cloudfront.net/Documentos/631/05778946929/6310577894692908092023180759.pdf</v>
      </c>
      <c r="F2662" s="5" t="str">
        <f>HYPERLINK("https://dpmzos25m8ivg.cloudfront.net/Documentos/631/05778946929/6310577894692908092023180813.pdf","https://dpmzos25m8ivg.cloudfront.net/Documentos/631/05778946929/6310577894692908092023180813.pdf")</f>
        <v>https://dpmzos25m8ivg.cloudfront.net/Documentos/631/05778946929/6310577894692908092023180813.pdf</v>
      </c>
      <c r="G2662" s="5" t="str">
        <f>HYPERLINK("https://dpmzos25m8ivg.cloudfront.net/Documentos/631/05778946929/6310577894692908092023180931.pdf","https://dpmzos25m8ivg.cloudfront.net/Documentos/631/05778946929/6310577894692908092023180931.pdf")</f>
        <v>https://dpmzos25m8ivg.cloudfront.net/Documentos/631/05778946929/6310577894692908092023180931.pdf</v>
      </c>
      <c r="H2662" s="5" t="s">
        <v>11240</v>
      </c>
    </row>
    <row r="2663" spans="1:8" x14ac:dyDescent="0.25">
      <c r="A2663" s="2" t="s">
        <v>2680</v>
      </c>
      <c r="B2663" s="3"/>
      <c r="C2663" s="3"/>
      <c r="D2663" s="3"/>
      <c r="E2663" s="5" t="str">
        <f>HYPERLINK("https://dpmzos25m8ivg.cloudfront.net/Documentos/631/05779142190/6310577914219011092023142221.pdf","https://dpmzos25m8ivg.cloudfront.net/Documentos/631/05779142190/6310577914219011092023142221.pdf")</f>
        <v>https://dpmzos25m8ivg.cloudfront.net/Documentos/631/05779142190/6310577914219011092023142221.pdf</v>
      </c>
      <c r="F2663" s="5" t="str">
        <f>HYPERLINK("https://dpmzos25m8ivg.cloudfront.net/Documentos/631/05779142190/6310577914219011092023142232.pdf","https://dpmzos25m8ivg.cloudfront.net/Documentos/631/05779142190/6310577914219011092023142232.pdf")</f>
        <v>https://dpmzos25m8ivg.cloudfront.net/Documentos/631/05779142190/6310577914219011092023142232.pdf</v>
      </c>
      <c r="G2663" s="5" t="str">
        <f>HYPERLINK("https://dpmzos25m8ivg.cloudfront.net/Documentos/631/05779142190/6310577914219011092023142242.pdf","https://dpmzos25m8ivg.cloudfront.net/Documentos/631/05779142190/6310577914219011092023142242.pdf")</f>
        <v>https://dpmzos25m8ivg.cloudfront.net/Documentos/631/05779142190/6310577914219011092023142242.pdf</v>
      </c>
      <c r="H2663" s="5" t="s">
        <v>11241</v>
      </c>
    </row>
    <row r="2664" spans="1:8" x14ac:dyDescent="0.25">
      <c r="A2664" s="2" t="s">
        <v>2681</v>
      </c>
      <c r="B2664" s="3"/>
      <c r="C2664" s="3"/>
      <c r="D2664" s="3"/>
      <c r="E2664" s="5" t="str">
        <f>HYPERLINK("https://dpmzos25m8ivg.cloudfront.net/Documentos/631/05781355820/6310578135582006092023112108.pdf","https://dpmzos25m8ivg.cloudfront.net/Documentos/631/05781355820/6310578135582006092023112108.pdf")</f>
        <v>https://dpmzos25m8ivg.cloudfront.net/Documentos/631/05781355820/6310578135582006092023112108.pdf</v>
      </c>
      <c r="F2664" s="5" t="str">
        <f>HYPERLINK("https://dpmzos25m8ivg.cloudfront.net/Documentos/631/05781355820/6310578135582006092023112259.pdf","https://dpmzos25m8ivg.cloudfront.net/Documentos/631/05781355820/6310578135582006092023112259.pdf")</f>
        <v>https://dpmzos25m8ivg.cloudfront.net/Documentos/631/05781355820/6310578135582006092023112259.pdf</v>
      </c>
      <c r="G2664" s="5" t="str">
        <f>HYPERLINK("https://dpmzos25m8ivg.cloudfront.net/Documentos/631/05781355820/6310578135582006092023112505.pdf","https://dpmzos25m8ivg.cloudfront.net/Documentos/631/05781355820/6310578135582006092023112505.pdf")</f>
        <v>https://dpmzos25m8ivg.cloudfront.net/Documentos/631/05781355820/6310578135582006092023112505.pdf</v>
      </c>
      <c r="H2664" s="5" t="s">
        <v>11242</v>
      </c>
    </row>
    <row r="2665" spans="1:8" x14ac:dyDescent="0.25">
      <c r="A2665" s="2" t="s">
        <v>2682</v>
      </c>
      <c r="B2665" s="3" t="s">
        <v>2358</v>
      </c>
      <c r="C2665" s="3"/>
      <c r="D2665" s="3"/>
      <c r="E2665" s="5" t="str">
        <f>HYPERLINK("https://dpmzos25m8ivg.cloudfront.net/Documentos/631/05781724613/6310578172461305092023103703.pdf","https://dpmzos25m8ivg.cloudfront.net/Documentos/631/05781724613/6310578172461305092023103703.pdf")</f>
        <v>https://dpmzos25m8ivg.cloudfront.net/Documentos/631/05781724613/6310578172461305092023103703.pdf</v>
      </c>
      <c r="F2665" s="5" t="str">
        <f>HYPERLINK("https://dpmzos25m8ivg.cloudfront.net/Documentos/631/05781724613/6310578172461305092023103714.pdf","https://dpmzos25m8ivg.cloudfront.net/Documentos/631/05781724613/6310578172461305092023103714.pdf")</f>
        <v>https://dpmzos25m8ivg.cloudfront.net/Documentos/631/05781724613/6310578172461305092023103714.pdf</v>
      </c>
      <c r="G2665" s="5" t="str">
        <f>HYPERLINK("https://dpmzos25m8ivg.cloudfront.net/Documentos/631/05781724613/6310578172461305092023103728.pdf","https://dpmzos25m8ivg.cloudfront.net/Documentos/631/05781724613/6310578172461305092023103728.pdf")</f>
        <v>https://dpmzos25m8ivg.cloudfront.net/Documentos/631/05781724613/6310578172461305092023103728.pdf</v>
      </c>
      <c r="H2665" s="5" t="s">
        <v>11243</v>
      </c>
    </row>
    <row r="2666" spans="1:8" x14ac:dyDescent="0.25">
      <c r="A2666" s="2" t="s">
        <v>2683</v>
      </c>
      <c r="B2666" s="3"/>
      <c r="C2666" s="3"/>
      <c r="D2666" s="3"/>
      <c r="E2666" s="5" t="str">
        <f>HYPERLINK("https://dpmzos25m8ivg.cloudfront.net/Documentos/631/05782153571/6310578215357108092023145840.jpg","https://dpmzos25m8ivg.cloudfront.net/Documentos/631/05782153571/6310578215357108092023145840.jpg")</f>
        <v>https://dpmzos25m8ivg.cloudfront.net/Documentos/631/05782153571/6310578215357108092023145840.jpg</v>
      </c>
      <c r="F2666" s="5" t="str">
        <f>HYPERLINK("https://dpmzos25m8ivg.cloudfront.net/Documentos/631/05782153571/6310578215357108092023145859.jpg","https://dpmzos25m8ivg.cloudfront.net/Documentos/631/05782153571/6310578215357108092023145859.jpg")</f>
        <v>https://dpmzos25m8ivg.cloudfront.net/Documentos/631/05782153571/6310578215357108092023145859.jpg</v>
      </c>
      <c r="G2666" s="5" t="str">
        <f>HYPERLINK("https://dpmzos25m8ivg.cloudfront.net/Documentos/631/05782153571/6310578215357108092023145920.jpg","https://dpmzos25m8ivg.cloudfront.net/Documentos/631/05782153571/6310578215357108092023145920.jpg")</f>
        <v>https://dpmzos25m8ivg.cloudfront.net/Documentos/631/05782153571/6310578215357108092023145920.jpg</v>
      </c>
      <c r="H2666" s="5" t="s">
        <v>11244</v>
      </c>
    </row>
    <row r="2667" spans="1:8" x14ac:dyDescent="0.25">
      <c r="A2667" s="2" t="s">
        <v>2684</v>
      </c>
      <c r="B2667" s="3" t="s">
        <v>197</v>
      </c>
      <c r="C2667" s="3"/>
      <c r="D2667" s="3"/>
      <c r="E2667" s="5" t="str">
        <f>HYPERLINK("https://dpmzos25m8ivg.cloudfront.net/Documentos/631/05782222565/6310578222256511092023121526.pdf","https://dpmzos25m8ivg.cloudfront.net/Documentos/631/05782222565/6310578222256511092023121526.pdf")</f>
        <v>https://dpmzos25m8ivg.cloudfront.net/Documentos/631/05782222565/6310578222256511092023121526.pdf</v>
      </c>
      <c r="F2667" s="5" t="str">
        <f>HYPERLINK("https://dpmzos25m8ivg.cloudfront.net/Documentos/631/05782222565/6310578222256511092023121534.pdf","https://dpmzos25m8ivg.cloudfront.net/Documentos/631/05782222565/6310578222256511092023121534.pdf")</f>
        <v>https://dpmzos25m8ivg.cloudfront.net/Documentos/631/05782222565/6310578222256511092023121534.pdf</v>
      </c>
      <c r="G2667" s="5" t="str">
        <f>HYPERLINK("https://dpmzos25m8ivg.cloudfront.net/Documentos/631/05782222565/6310578222256511092023121541.pdf","https://dpmzos25m8ivg.cloudfront.net/Documentos/631/05782222565/6310578222256511092023121541.pdf")</f>
        <v>https://dpmzos25m8ivg.cloudfront.net/Documentos/631/05782222565/6310578222256511092023121541.pdf</v>
      </c>
      <c r="H2667" s="5" t="s">
        <v>11245</v>
      </c>
    </row>
    <row r="2668" spans="1:8" x14ac:dyDescent="0.25">
      <c r="A2668" s="2" t="s">
        <v>2685</v>
      </c>
      <c r="B2668" s="3" t="s">
        <v>2358</v>
      </c>
      <c r="C2668" s="3"/>
      <c r="D2668" s="3"/>
      <c r="E2668" s="5" t="str">
        <f>HYPERLINK("https://dpmzos25m8ivg.cloudfront.net/Documentos/631/05782608676/6310578260867609092023031136.pdf","https://dpmzos25m8ivg.cloudfront.net/Documentos/631/05782608676/6310578260867609092023031136.pdf")</f>
        <v>https://dpmzos25m8ivg.cloudfront.net/Documentos/631/05782608676/6310578260867609092023031136.pdf</v>
      </c>
      <c r="F2668" s="5" t="str">
        <f>HYPERLINK("https://dpmzos25m8ivg.cloudfront.net/Documentos/631/05782608676/6310578260867609092023031200.pdf","https://dpmzos25m8ivg.cloudfront.net/Documentos/631/05782608676/6310578260867609092023031200.pdf")</f>
        <v>https://dpmzos25m8ivg.cloudfront.net/Documentos/631/05782608676/6310578260867609092023031200.pdf</v>
      </c>
      <c r="G2668" s="5" t="str">
        <f>HYPERLINK("https://dpmzos25m8ivg.cloudfront.net/Documentos/631/05782608676/6310578260867609092023031310.pdf","https://dpmzos25m8ivg.cloudfront.net/Documentos/631/05782608676/6310578260867609092023031310.pdf")</f>
        <v>https://dpmzos25m8ivg.cloudfront.net/Documentos/631/05782608676/6310578260867609092023031310.pdf</v>
      </c>
      <c r="H2668" s="5" t="s">
        <v>11246</v>
      </c>
    </row>
    <row r="2669" spans="1:8" x14ac:dyDescent="0.25">
      <c r="A2669" s="2" t="s">
        <v>2686</v>
      </c>
      <c r="B2669" s="3"/>
      <c r="C2669" s="3"/>
      <c r="D2669" s="3"/>
      <c r="E2669" s="5" t="str">
        <f>HYPERLINK("https://dpmzos25m8ivg.cloudfront.net/Documentos/631/05783533181/6310578353318105092023224736.pdf","https://dpmzos25m8ivg.cloudfront.net/Documentos/631/05783533181/6310578353318105092023224736.pdf")</f>
        <v>https://dpmzos25m8ivg.cloudfront.net/Documentos/631/05783533181/6310578353318105092023224736.pdf</v>
      </c>
      <c r="F2669" s="5" t="str">
        <f>HYPERLINK("https://dpmzos25m8ivg.cloudfront.net/Documentos/631/05783533181/6310578353318105092023224744.pdf","https://dpmzos25m8ivg.cloudfront.net/Documentos/631/05783533181/6310578353318105092023224744.pdf")</f>
        <v>https://dpmzos25m8ivg.cloudfront.net/Documentos/631/05783533181/6310578353318105092023224744.pdf</v>
      </c>
      <c r="G2669" s="5" t="str">
        <f>HYPERLINK("https://dpmzos25m8ivg.cloudfront.net/Documentos/631/05783533181/6310578353318105092023224750.pdf","https://dpmzos25m8ivg.cloudfront.net/Documentos/631/05783533181/6310578353318105092023224750.pdf")</f>
        <v>https://dpmzos25m8ivg.cloudfront.net/Documentos/631/05783533181/6310578353318105092023224750.pdf</v>
      </c>
      <c r="H2669" s="5" t="s">
        <v>11247</v>
      </c>
    </row>
    <row r="2670" spans="1:8" x14ac:dyDescent="0.25">
      <c r="A2670" s="2" t="s">
        <v>2687</v>
      </c>
      <c r="B2670" s="3"/>
      <c r="C2670" s="3"/>
      <c r="D2670" s="3"/>
      <c r="E2670" s="5" t="str">
        <f>HYPERLINK("https://dpmzos25m8ivg.cloudfront.net/Documentos/631/05784669109/6310578466910911092023102607.pdf","https://dpmzos25m8ivg.cloudfront.net/Documentos/631/05784669109/6310578466910911092023102607.pdf")</f>
        <v>https://dpmzos25m8ivg.cloudfront.net/Documentos/631/05784669109/6310578466910911092023102607.pdf</v>
      </c>
      <c r="F2670" s="5" t="str">
        <f>HYPERLINK("https://dpmzos25m8ivg.cloudfront.net/Documentos/631/05784669109/6310578466910911092023102622.pdf","https://dpmzos25m8ivg.cloudfront.net/Documentos/631/05784669109/6310578466910911092023102622.pdf")</f>
        <v>https://dpmzos25m8ivg.cloudfront.net/Documentos/631/05784669109/6310578466910911092023102622.pdf</v>
      </c>
      <c r="G2670" s="5" t="str">
        <f>HYPERLINK("https://dpmzos25m8ivg.cloudfront.net/Documentos/631/05784669109/6310578466910911092023102638.pdf","https://dpmzos25m8ivg.cloudfront.net/Documentos/631/05784669109/6310578466910911092023102638.pdf")</f>
        <v>https://dpmzos25m8ivg.cloudfront.net/Documentos/631/05784669109/6310578466910911092023102638.pdf</v>
      </c>
      <c r="H2670" s="5" t="s">
        <v>11248</v>
      </c>
    </row>
    <row r="2671" spans="1:8" x14ac:dyDescent="0.25">
      <c r="A2671" s="2" t="s">
        <v>2688</v>
      </c>
      <c r="B2671" s="3"/>
      <c r="C2671" s="3"/>
      <c r="D2671" s="3"/>
      <c r="E2671" s="5" t="str">
        <f>HYPERLINK("https://dpmzos25m8ivg.cloudfront.net/Documentos/631/05786707393/6310578670739311092023154144.pdf","https://dpmzos25m8ivg.cloudfront.net/Documentos/631/05786707393/6310578670739311092023154144.pdf")</f>
        <v>https://dpmzos25m8ivg.cloudfront.net/Documentos/631/05786707393/6310578670739311092023154144.pdf</v>
      </c>
      <c r="F2671" s="5" t="str">
        <f>HYPERLINK("https://dpmzos25m8ivg.cloudfront.net/Documentos/631/05786707393/6310578670739311092023154127.pdf","https://dpmzos25m8ivg.cloudfront.net/Documentos/631/05786707393/6310578670739311092023154127.pdf")</f>
        <v>https://dpmzos25m8ivg.cloudfront.net/Documentos/631/05786707393/6310578670739311092023154127.pdf</v>
      </c>
      <c r="G2671" s="5" t="str">
        <f>HYPERLINK("https://dpmzos25m8ivg.cloudfront.net/Documentos/631/05786707393/6310578670739311092023153847.pdf","https://dpmzos25m8ivg.cloudfront.net/Documentos/631/05786707393/6310578670739311092023153847.pdf")</f>
        <v>https://dpmzos25m8ivg.cloudfront.net/Documentos/631/05786707393/6310578670739311092023153847.pdf</v>
      </c>
      <c r="H2671" s="5" t="s">
        <v>11249</v>
      </c>
    </row>
    <row r="2672" spans="1:8" x14ac:dyDescent="0.25">
      <c r="A2672" s="2" t="s">
        <v>2689</v>
      </c>
      <c r="B2672" s="3"/>
      <c r="C2672" s="3"/>
      <c r="D2672" s="3"/>
      <c r="E2672" s="5" t="str">
        <f>HYPERLINK("https://dpmzos25m8ivg.cloudfront.net/Documentos/631/05787836812/6310578783681211092023144802.jpg","https://dpmzos25m8ivg.cloudfront.net/Documentos/631/05787836812/6310578783681211092023144802.jpg")</f>
        <v>https://dpmzos25m8ivg.cloudfront.net/Documentos/631/05787836812/6310578783681211092023144802.jpg</v>
      </c>
      <c r="F2672" s="5" t="str">
        <f>HYPERLINK("https://dpmzos25m8ivg.cloudfront.net/Documentos/631/05787836812/6310578783681211092023143946.jpg","https://dpmzos25m8ivg.cloudfront.net/Documentos/631/05787836812/6310578783681211092023143946.jpg")</f>
        <v>https://dpmzos25m8ivg.cloudfront.net/Documentos/631/05787836812/6310578783681211092023143946.jpg</v>
      </c>
      <c r="G2672" s="5" t="str">
        <f>HYPERLINK("https://dpmzos25m8ivg.cloudfront.net/Documentos/631/05787836812/6310578783681211092023144248.jpg","https://dpmzos25m8ivg.cloudfront.net/Documentos/631/05787836812/6310578783681211092023144248.jpg")</f>
        <v>https://dpmzos25m8ivg.cloudfront.net/Documentos/631/05787836812/6310578783681211092023144248.jpg</v>
      </c>
      <c r="H2672" s="5" t="s">
        <v>11250</v>
      </c>
    </row>
    <row r="2673" spans="1:8" x14ac:dyDescent="0.25">
      <c r="A2673" s="2" t="s">
        <v>2690</v>
      </c>
      <c r="B2673" s="3"/>
      <c r="C2673" s="3"/>
      <c r="D2673" s="3"/>
      <c r="E2673" s="5" t="str">
        <f>HYPERLINK("https://dpmzos25m8ivg.cloudfront.net/Documentos/631/05789385532/6310578938553210092023223841.jpg","https://dpmzos25m8ivg.cloudfront.net/Documentos/631/05789385532/6310578938553210092023223841.jpg")</f>
        <v>https://dpmzos25m8ivg.cloudfront.net/Documentos/631/05789385532/6310578938553210092023223841.jpg</v>
      </c>
      <c r="F2673" s="5" t="str">
        <f>HYPERLINK("https://dpmzos25m8ivg.cloudfront.net/Documentos/631/05789385532/6310578938553210092023223928.jpg","https://dpmzos25m8ivg.cloudfront.net/Documentos/631/05789385532/6310578938553210092023223928.jpg")</f>
        <v>https://dpmzos25m8ivg.cloudfront.net/Documentos/631/05789385532/6310578938553210092023223928.jpg</v>
      </c>
      <c r="G2673" s="5" t="str">
        <f>HYPERLINK("https://dpmzos25m8ivg.cloudfront.net/Documentos/631/05789385532/6310578938553210092023223958.jpg","https://dpmzos25m8ivg.cloudfront.net/Documentos/631/05789385532/6310578938553210092023223958.jpg")</f>
        <v>https://dpmzos25m8ivg.cloudfront.net/Documentos/631/05789385532/6310578938553210092023223958.jpg</v>
      </c>
      <c r="H2673" s="5" t="s">
        <v>11251</v>
      </c>
    </row>
    <row r="2674" spans="1:8" x14ac:dyDescent="0.25">
      <c r="A2674" s="2" t="s">
        <v>2691</v>
      </c>
      <c r="B2674" s="3"/>
      <c r="C2674" s="3"/>
      <c r="D2674" s="3"/>
      <c r="E2674" s="5" t="str">
        <f>HYPERLINK("https://dpmzos25m8ivg.cloudfront.net/Documentos/631/05793091939/6310579309193914092023140913.jpg","https://dpmzos25m8ivg.cloudfront.net/Documentos/631/05793091939/6310579309193914092023140913.jpg")</f>
        <v>https://dpmzos25m8ivg.cloudfront.net/Documentos/631/05793091939/6310579309193914092023140913.jpg</v>
      </c>
      <c r="F2674" s="5" t="str">
        <f>HYPERLINK("https://dpmzos25m8ivg.cloudfront.net/Documentos/631/05793091939/6310579309193914092023140921.jpg","https://dpmzos25m8ivg.cloudfront.net/Documentos/631/05793091939/6310579309193914092023140921.jpg")</f>
        <v>https://dpmzos25m8ivg.cloudfront.net/Documentos/631/05793091939/6310579309193914092023140921.jpg</v>
      </c>
      <c r="G2674" s="5" t="str">
        <f>HYPERLINK("https://dpmzos25m8ivg.cloudfront.net/Documentos/631/05793091939/6310579309193914092023140959.jpg","https://dpmzos25m8ivg.cloudfront.net/Documentos/631/05793091939/6310579309193914092023140959.jpg")</f>
        <v>https://dpmzos25m8ivg.cloudfront.net/Documentos/631/05793091939/6310579309193914092023140959.jpg</v>
      </c>
      <c r="H2674" s="5" t="s">
        <v>11252</v>
      </c>
    </row>
    <row r="2675" spans="1:8" x14ac:dyDescent="0.25">
      <c r="A2675" s="2" t="s">
        <v>2692</v>
      </c>
      <c r="B2675" s="3"/>
      <c r="C2675" s="3"/>
      <c r="D2675" s="3"/>
      <c r="E2675" s="5" t="str">
        <f>HYPERLINK("https://dpmzos25m8ivg.cloudfront.net/Documentos/631/05794082569/6310579408256911092023161520.pdf","https://dpmzos25m8ivg.cloudfront.net/Documentos/631/05794082569/6310579408256911092023161520.pdf")</f>
        <v>https://dpmzos25m8ivg.cloudfront.net/Documentos/631/05794082569/6310579408256911092023161520.pdf</v>
      </c>
      <c r="F2675" s="5" t="str">
        <f>HYPERLINK("https://dpmzos25m8ivg.cloudfront.net/Documentos/631/05794082569/6310579408256911092023161603.pdf","https://dpmzos25m8ivg.cloudfront.net/Documentos/631/05794082569/6310579408256911092023161603.pdf")</f>
        <v>https://dpmzos25m8ivg.cloudfront.net/Documentos/631/05794082569/6310579408256911092023161603.pdf</v>
      </c>
      <c r="G2675" s="5" t="str">
        <f>HYPERLINK("https://dpmzos25m8ivg.cloudfront.net/Documentos/631/05794082569/6310579408256911092023161629.pdf","https://dpmzos25m8ivg.cloudfront.net/Documentos/631/05794082569/6310579408256911092023161629.pdf")</f>
        <v>https://dpmzos25m8ivg.cloudfront.net/Documentos/631/05794082569/6310579408256911092023161629.pdf</v>
      </c>
      <c r="H2675" s="5" t="s">
        <v>11253</v>
      </c>
    </row>
    <row r="2676" spans="1:8" x14ac:dyDescent="0.25">
      <c r="A2676" s="2" t="s">
        <v>2693</v>
      </c>
      <c r="B2676" s="3"/>
      <c r="C2676" s="3"/>
      <c r="D2676" s="3"/>
      <c r="E2676" s="5" t="str">
        <f>HYPERLINK("https://dpmzos25m8ivg.cloudfront.net/Documentos/631/05795143901/6310579514390109092023024326.pdf","https://dpmzos25m8ivg.cloudfront.net/Documentos/631/05795143901/6310579514390109092023024326.pdf")</f>
        <v>https://dpmzos25m8ivg.cloudfront.net/Documentos/631/05795143901/6310579514390109092023024326.pdf</v>
      </c>
      <c r="F2676" s="5" t="str">
        <f>HYPERLINK("https://dpmzos25m8ivg.cloudfront.net/Documentos/631/05795143901/6310579514390109092023024347.pdf","https://dpmzos25m8ivg.cloudfront.net/Documentos/631/05795143901/6310579514390109092023024347.pdf")</f>
        <v>https://dpmzos25m8ivg.cloudfront.net/Documentos/631/05795143901/6310579514390109092023024347.pdf</v>
      </c>
      <c r="G2676" s="5" t="str">
        <f>HYPERLINK("https://dpmzos25m8ivg.cloudfront.net/Documentos/631/05795143901/6310579514390109092023024423.pdf","https://dpmzos25m8ivg.cloudfront.net/Documentos/631/05795143901/6310579514390109092023024423.pdf")</f>
        <v>https://dpmzos25m8ivg.cloudfront.net/Documentos/631/05795143901/6310579514390109092023024423.pdf</v>
      </c>
      <c r="H2676" s="5" t="s">
        <v>11254</v>
      </c>
    </row>
    <row r="2677" spans="1:8" x14ac:dyDescent="0.25">
      <c r="A2677" s="2" t="s">
        <v>2694</v>
      </c>
      <c r="B2677" s="3"/>
      <c r="C2677" s="3"/>
      <c r="D2677" s="3"/>
      <c r="E2677" s="5" t="str">
        <f>HYPERLINK("https://dpmzos25m8ivg.cloudfront.net/Documentos/631/05795413399/6310579541339906092023202250.pdf","https://dpmzos25m8ivg.cloudfront.net/Documentos/631/05795413399/6310579541339906092023202250.pdf")</f>
        <v>https://dpmzos25m8ivg.cloudfront.net/Documentos/631/05795413399/6310579541339906092023202250.pdf</v>
      </c>
      <c r="F2677" s="5" t="str">
        <f>HYPERLINK("https://dpmzos25m8ivg.cloudfront.net/Documentos/631/05795413399/6310579541339906092023202302.pdf","https://dpmzos25m8ivg.cloudfront.net/Documentos/631/05795413399/6310579541339906092023202302.pdf")</f>
        <v>https://dpmzos25m8ivg.cloudfront.net/Documentos/631/05795413399/6310579541339906092023202302.pdf</v>
      </c>
      <c r="G2677" s="5" t="str">
        <f>HYPERLINK("https://dpmzos25m8ivg.cloudfront.net/Documentos/631/05795413399/6310579541339906092023202315.pdf","https://dpmzos25m8ivg.cloudfront.net/Documentos/631/05795413399/6310579541339906092023202315.pdf")</f>
        <v>https://dpmzos25m8ivg.cloudfront.net/Documentos/631/05795413399/6310579541339906092023202315.pdf</v>
      </c>
      <c r="H2677" s="5" t="s">
        <v>11255</v>
      </c>
    </row>
    <row r="2678" spans="1:8" x14ac:dyDescent="0.25">
      <c r="A2678" s="2" t="s">
        <v>2695</v>
      </c>
      <c r="B2678" s="3"/>
      <c r="C2678" s="3"/>
      <c r="D2678" s="3"/>
      <c r="E2678" s="5" t="str">
        <f>HYPERLINK("https://dpmzos25m8ivg.cloudfront.net/Documentos/631/05795956686/6310579595668609092023134818.pdf","https://dpmzos25m8ivg.cloudfront.net/Documentos/631/05795956686/6310579595668609092023134818.pdf")</f>
        <v>https://dpmzos25m8ivg.cloudfront.net/Documentos/631/05795956686/6310579595668609092023134818.pdf</v>
      </c>
      <c r="F2678" s="5" t="str">
        <f>HYPERLINK("https://dpmzos25m8ivg.cloudfront.net/Documentos/631/05795956686/6310579595668609092023134834.pdf","https://dpmzos25m8ivg.cloudfront.net/Documentos/631/05795956686/6310579595668609092023134834.pdf")</f>
        <v>https://dpmzos25m8ivg.cloudfront.net/Documentos/631/05795956686/6310579595668609092023134834.pdf</v>
      </c>
      <c r="G2678" s="5" t="str">
        <f>HYPERLINK("https://dpmzos25m8ivg.cloudfront.net/Documentos/631/05795956686/6310579595668609092023134853.pdf","https://dpmzos25m8ivg.cloudfront.net/Documentos/631/05795956686/6310579595668609092023134853.pdf")</f>
        <v>https://dpmzos25m8ivg.cloudfront.net/Documentos/631/05795956686/6310579595668609092023134853.pdf</v>
      </c>
      <c r="H2678" s="5" t="s">
        <v>11256</v>
      </c>
    </row>
    <row r="2679" spans="1:8" x14ac:dyDescent="0.25">
      <c r="A2679" s="2" t="s">
        <v>2696</v>
      </c>
      <c r="B2679" s="3"/>
      <c r="C2679" s="3"/>
      <c r="D2679" s="3"/>
      <c r="E2679" s="5" t="str">
        <f>HYPERLINK("https://dpmzos25m8ivg.cloudfront.net/Documentos/631/05796163396/6310579616339605092023173351.pdf","https://dpmzos25m8ivg.cloudfront.net/Documentos/631/05796163396/6310579616339605092023173351.pdf")</f>
        <v>https://dpmzos25m8ivg.cloudfront.net/Documentos/631/05796163396/6310579616339605092023173351.pdf</v>
      </c>
      <c r="F2679" s="5" t="str">
        <f>HYPERLINK("https://dpmzos25m8ivg.cloudfront.net/Documentos/631/05796163396/6310579616339605092023173430.pdf","https://dpmzos25m8ivg.cloudfront.net/Documentos/631/05796163396/6310579616339605092023173430.pdf")</f>
        <v>https://dpmzos25m8ivg.cloudfront.net/Documentos/631/05796163396/6310579616339605092023173430.pdf</v>
      </c>
      <c r="G2679" s="5" t="str">
        <f>HYPERLINK("https://dpmzos25m8ivg.cloudfront.net/Documentos/631/05796163396/6310579616339605092023173453.pdf","https://dpmzos25m8ivg.cloudfront.net/Documentos/631/05796163396/6310579616339605092023173453.pdf")</f>
        <v>https://dpmzos25m8ivg.cloudfront.net/Documentos/631/05796163396/6310579616339605092023173453.pdf</v>
      </c>
      <c r="H2679" s="5" t="s">
        <v>11257</v>
      </c>
    </row>
    <row r="2680" spans="1:8" x14ac:dyDescent="0.25">
      <c r="A2680" s="2" t="s">
        <v>2697</v>
      </c>
      <c r="B2680" s="3" t="s">
        <v>2358</v>
      </c>
      <c r="C2680" s="3"/>
      <c r="D2680" s="3"/>
      <c r="E2680" s="5" t="str">
        <f>HYPERLINK("https://dpmzos25m8ivg.cloudfront.net/Documentos/631/05798479501/6310579847950114092023032233.jpg","https://dpmzos25m8ivg.cloudfront.net/Documentos/631/05798479501/6310579847950114092023032233.jpg")</f>
        <v>https://dpmzos25m8ivg.cloudfront.net/Documentos/631/05798479501/6310579847950114092023032233.jpg</v>
      </c>
      <c r="F2680" s="5" t="str">
        <f>HYPERLINK("https://dpmzos25m8ivg.cloudfront.net/Documentos/631/05798479501/6310579847950114092023032246.jpg","https://dpmzos25m8ivg.cloudfront.net/Documentos/631/05798479501/6310579847950114092023032246.jpg")</f>
        <v>https://dpmzos25m8ivg.cloudfront.net/Documentos/631/05798479501/6310579847950114092023032246.jpg</v>
      </c>
      <c r="G2680" s="5" t="str">
        <f>HYPERLINK("https://dpmzos25m8ivg.cloudfront.net/Documentos/631/05798479501/6310579847950114092023032257.jpg","https://dpmzos25m8ivg.cloudfront.net/Documentos/631/05798479501/6310579847950114092023032257.jpg")</f>
        <v>https://dpmzos25m8ivg.cloudfront.net/Documentos/631/05798479501/6310579847950114092023032257.jpg</v>
      </c>
      <c r="H2680" s="5" t="s">
        <v>11258</v>
      </c>
    </row>
    <row r="2681" spans="1:8" x14ac:dyDescent="0.25">
      <c r="A2681" s="2" t="s">
        <v>2698</v>
      </c>
      <c r="B2681" s="3"/>
      <c r="C2681" s="3"/>
      <c r="D2681" s="3"/>
      <c r="E2681" s="5" t="str">
        <f>HYPERLINK("https://dpmzos25m8ivg.cloudfront.net/Documentos/631/05799932560/6310579993256011092023154001.pdf","https://dpmzos25m8ivg.cloudfront.net/Documentos/631/05799932560/6310579993256011092023154001.pdf")</f>
        <v>https://dpmzos25m8ivg.cloudfront.net/Documentos/631/05799932560/6310579993256011092023154001.pdf</v>
      </c>
      <c r="F2681" s="5" t="str">
        <f>HYPERLINK("https://dpmzos25m8ivg.cloudfront.net/Documentos/631/05799932560/6310579993256011092023154036.pdf","https://dpmzos25m8ivg.cloudfront.net/Documentos/631/05799932560/6310579993256011092023154036.pdf")</f>
        <v>https://dpmzos25m8ivg.cloudfront.net/Documentos/631/05799932560/6310579993256011092023154036.pdf</v>
      </c>
      <c r="G2681" s="5" t="str">
        <f>HYPERLINK("https://dpmzos25m8ivg.cloudfront.net/Documentos/631/05799932560/6310579993256011092023154051.pdf","https://dpmzos25m8ivg.cloudfront.net/Documentos/631/05799932560/6310579993256011092023154051.pdf")</f>
        <v>https://dpmzos25m8ivg.cloudfront.net/Documentos/631/05799932560/6310579993256011092023154051.pdf</v>
      </c>
      <c r="H2681" s="5" t="s">
        <v>11259</v>
      </c>
    </row>
    <row r="2682" spans="1:8" x14ac:dyDescent="0.25">
      <c r="A2682" s="2" t="s">
        <v>2699</v>
      </c>
      <c r="B2682" s="3"/>
      <c r="C2682" s="3"/>
      <c r="D2682" s="3"/>
      <c r="E2682" s="5" t="str">
        <f>HYPERLINK("https://dpmzos25m8ivg.cloudfront.net/Documentos/631/05800060509/6310580006050908092023004242.pdf","https://dpmzos25m8ivg.cloudfront.net/Documentos/631/05800060509/6310580006050908092023004242.pdf")</f>
        <v>https://dpmzos25m8ivg.cloudfront.net/Documentos/631/05800060509/6310580006050908092023004242.pdf</v>
      </c>
      <c r="F2682" s="5" t="str">
        <f>HYPERLINK("https://dpmzos25m8ivg.cloudfront.net/Documentos/631/05800060509/6310580006050908092023004258.pdf","https://dpmzos25m8ivg.cloudfront.net/Documentos/631/05800060509/6310580006050908092023004258.pdf")</f>
        <v>https://dpmzos25m8ivg.cloudfront.net/Documentos/631/05800060509/6310580006050908092023004258.pdf</v>
      </c>
      <c r="G2682" s="5" t="str">
        <f>HYPERLINK("https://dpmzos25m8ivg.cloudfront.net/Documentos/631/05800060509/6310580006050908092023004226.pdf","https://dpmzos25m8ivg.cloudfront.net/Documentos/631/05800060509/6310580006050908092023004226.pdf")</f>
        <v>https://dpmzos25m8ivg.cloudfront.net/Documentos/631/05800060509/6310580006050908092023004226.pdf</v>
      </c>
      <c r="H2682" s="5" t="s">
        <v>11260</v>
      </c>
    </row>
    <row r="2683" spans="1:8" x14ac:dyDescent="0.25">
      <c r="A2683" s="2" t="s">
        <v>2700</v>
      </c>
      <c r="B2683" s="3"/>
      <c r="C2683" s="3"/>
      <c r="D2683" s="3"/>
      <c r="E2683" s="5" t="str">
        <f>HYPERLINK("https://dpmzos25m8ivg.cloudfront.net/Documentos/631/05800886504/6310580088650411092023142526.pdf","https://dpmzos25m8ivg.cloudfront.net/Documentos/631/05800886504/6310580088650411092023142526.pdf")</f>
        <v>https://dpmzos25m8ivg.cloudfront.net/Documentos/631/05800886504/6310580088650411092023142526.pdf</v>
      </c>
      <c r="F2683" s="5" t="str">
        <f>HYPERLINK("https://dpmzos25m8ivg.cloudfront.net/Documentos/631/05800886504/6310580088650411092023142544.pdf","https://dpmzos25m8ivg.cloudfront.net/Documentos/631/05800886504/6310580088650411092023142544.pdf")</f>
        <v>https://dpmzos25m8ivg.cloudfront.net/Documentos/631/05800886504/6310580088650411092023142544.pdf</v>
      </c>
      <c r="G2683" s="5" t="str">
        <f>HYPERLINK("https://dpmzos25m8ivg.cloudfront.net/Documentos/631/05800886504/6310580088650411092023142559.pdf","https://dpmzos25m8ivg.cloudfront.net/Documentos/631/05800886504/6310580088650411092023142559.pdf")</f>
        <v>https://dpmzos25m8ivg.cloudfront.net/Documentos/631/05800886504/6310580088650411092023142559.pdf</v>
      </c>
      <c r="H2683" s="5" t="s">
        <v>11261</v>
      </c>
    </row>
    <row r="2684" spans="1:8" x14ac:dyDescent="0.25">
      <c r="A2684" s="2" t="s">
        <v>2701</v>
      </c>
      <c r="B2684" s="3"/>
      <c r="C2684" s="3"/>
      <c r="D2684" s="3"/>
      <c r="E2684" s="5" t="str">
        <f>HYPERLINK("https://dpmzos25m8ivg.cloudfront.net/Documentos/631/05801101764/6310580110176406092023091503.pdf","https://dpmzos25m8ivg.cloudfront.net/Documentos/631/05801101764/6310580110176406092023091503.pdf")</f>
        <v>https://dpmzos25m8ivg.cloudfront.net/Documentos/631/05801101764/6310580110176406092023091503.pdf</v>
      </c>
      <c r="F2684" s="5" t="str">
        <f>HYPERLINK("https://dpmzos25m8ivg.cloudfront.net/Documentos/631/05801101764/6310580110176406092023091512.pdf","https://dpmzos25m8ivg.cloudfront.net/Documentos/631/05801101764/6310580110176406092023091512.pdf")</f>
        <v>https://dpmzos25m8ivg.cloudfront.net/Documentos/631/05801101764/6310580110176406092023091512.pdf</v>
      </c>
      <c r="G2684" s="5" t="str">
        <f>HYPERLINK("https://dpmzos25m8ivg.cloudfront.net/Documentos/631/05801101764/6310580110176406092023091523.pdf","https://dpmzos25m8ivg.cloudfront.net/Documentos/631/05801101764/6310580110176406092023091523.pdf")</f>
        <v>https://dpmzos25m8ivg.cloudfront.net/Documentos/631/05801101764/6310580110176406092023091523.pdf</v>
      </c>
      <c r="H2684" s="5" t="s">
        <v>11262</v>
      </c>
    </row>
    <row r="2685" spans="1:8" x14ac:dyDescent="0.25">
      <c r="A2685" s="2" t="s">
        <v>2702</v>
      </c>
      <c r="B2685" s="3"/>
      <c r="C2685" s="3"/>
      <c r="D2685" s="3"/>
      <c r="E2685" s="5" t="str">
        <f>HYPERLINK("https://dpmzos25m8ivg.cloudfront.net/Documentos/631/05801379371/6310580137937111092023143022.jpeg","https://dpmzos25m8ivg.cloudfront.net/Documentos/631/05801379371/6310580137937111092023143022.jpeg")</f>
        <v>https://dpmzos25m8ivg.cloudfront.net/Documentos/631/05801379371/6310580137937111092023143022.jpeg</v>
      </c>
      <c r="F2685" s="5" t="str">
        <f>HYPERLINK("https://dpmzos25m8ivg.cloudfront.net/Documentos/631/05801379371/6310580137937111092023143059.jpeg","https://dpmzos25m8ivg.cloudfront.net/Documentos/631/05801379371/6310580137937111092023143059.jpeg")</f>
        <v>https://dpmzos25m8ivg.cloudfront.net/Documentos/631/05801379371/6310580137937111092023143059.jpeg</v>
      </c>
      <c r="G2685" s="5" t="str">
        <f>HYPERLINK("https://dpmzos25m8ivg.cloudfront.net/Documentos/631/05801379371/6310580137937111092023143135.jpeg","https://dpmzos25m8ivg.cloudfront.net/Documentos/631/05801379371/6310580137937111092023143135.jpeg")</f>
        <v>https://dpmzos25m8ivg.cloudfront.net/Documentos/631/05801379371/6310580137937111092023143135.jpeg</v>
      </c>
      <c r="H2685" s="5" t="s">
        <v>11263</v>
      </c>
    </row>
    <row r="2686" spans="1:8" x14ac:dyDescent="0.25">
      <c r="A2686" s="2" t="s">
        <v>2703</v>
      </c>
      <c r="B2686" s="3"/>
      <c r="C2686" s="3"/>
      <c r="D2686" s="3"/>
      <c r="E2686" s="5" t="str">
        <f>HYPERLINK("https://dpmzos25m8ivg.cloudfront.net/Documentos/631/05801391584/6310580139158411092023124122.jpeg","https://dpmzos25m8ivg.cloudfront.net/Documentos/631/05801391584/6310580139158411092023124122.jpeg")</f>
        <v>https://dpmzos25m8ivg.cloudfront.net/Documentos/631/05801391584/6310580139158411092023124122.jpeg</v>
      </c>
      <c r="F2686" s="5" t="str">
        <f>HYPERLINK("https://dpmzos25m8ivg.cloudfront.net/Documentos/631/05801391584/6310580139158411092023124139.jpeg","https://dpmzos25m8ivg.cloudfront.net/Documentos/631/05801391584/6310580139158411092023124139.jpeg")</f>
        <v>https://dpmzos25m8ivg.cloudfront.net/Documentos/631/05801391584/6310580139158411092023124139.jpeg</v>
      </c>
      <c r="G2686" s="5" t="str">
        <f>HYPERLINK("https://dpmzos25m8ivg.cloudfront.net/Documentos/631/05801391584/6310580139158411092023124157.jpeg","https://dpmzos25m8ivg.cloudfront.net/Documentos/631/05801391584/6310580139158411092023124157.jpeg")</f>
        <v>https://dpmzos25m8ivg.cloudfront.net/Documentos/631/05801391584/6310580139158411092023124157.jpeg</v>
      </c>
      <c r="H2686" s="5" t="s">
        <v>11264</v>
      </c>
    </row>
    <row r="2687" spans="1:8" x14ac:dyDescent="0.25">
      <c r="A2687" s="2" t="s">
        <v>2704</v>
      </c>
      <c r="B2687" s="3"/>
      <c r="C2687" s="3"/>
      <c r="D2687" s="3"/>
      <c r="E2687" s="5" t="str">
        <f>HYPERLINK("https://dpmzos25m8ivg.cloudfront.net/Documentos/631/05802574100/6310580257410008092023203827.pdf","https://dpmzos25m8ivg.cloudfront.net/Documentos/631/05802574100/6310580257410008092023203827.pdf")</f>
        <v>https://dpmzos25m8ivg.cloudfront.net/Documentos/631/05802574100/6310580257410008092023203827.pdf</v>
      </c>
      <c r="F2687" s="5" t="str">
        <f>HYPERLINK("https://dpmzos25m8ivg.cloudfront.net/Documentos/631/05802574100/6310580257410008092023203838.pdf","https://dpmzos25m8ivg.cloudfront.net/Documentos/631/05802574100/6310580257410008092023203838.pdf")</f>
        <v>https://dpmzos25m8ivg.cloudfront.net/Documentos/631/05802574100/6310580257410008092023203838.pdf</v>
      </c>
      <c r="G2687" s="5" t="str">
        <f>HYPERLINK("https://dpmzos25m8ivg.cloudfront.net/Documentos/631/05802574100/6310580257410008092023203847.pdf","https://dpmzos25m8ivg.cloudfront.net/Documentos/631/05802574100/6310580257410008092023203847.pdf")</f>
        <v>https://dpmzos25m8ivg.cloudfront.net/Documentos/631/05802574100/6310580257410008092023203847.pdf</v>
      </c>
      <c r="H2687" s="5" t="s">
        <v>11265</v>
      </c>
    </row>
    <row r="2688" spans="1:8" x14ac:dyDescent="0.25">
      <c r="A2688" s="2" t="s">
        <v>2705</v>
      </c>
      <c r="B2688" s="3"/>
      <c r="C2688" s="3"/>
      <c r="D2688" s="3"/>
      <c r="E2688" s="5" t="str">
        <f>HYPERLINK("https://dpmzos25m8ivg.cloudfront.net/Documentos/631/05803924490/6310580392449011092023125911.pdf","https://dpmzos25m8ivg.cloudfront.net/Documentos/631/05803924490/6310580392449011092023125911.pdf")</f>
        <v>https://dpmzos25m8ivg.cloudfront.net/Documentos/631/05803924490/6310580392449011092023125911.pdf</v>
      </c>
      <c r="F2688" s="5" t="str">
        <f>HYPERLINK("https://dpmzos25m8ivg.cloudfront.net/Documentos/631/05803924490/6310580392449011092023125920.pdf","https://dpmzos25m8ivg.cloudfront.net/Documentos/631/05803924490/6310580392449011092023125920.pdf")</f>
        <v>https://dpmzos25m8ivg.cloudfront.net/Documentos/631/05803924490/6310580392449011092023125920.pdf</v>
      </c>
      <c r="G2688" s="5" t="str">
        <f>HYPERLINK("https://dpmzos25m8ivg.cloudfront.net/Documentos/631/05803924490/6310580392449011092023125926.pdf","https://dpmzos25m8ivg.cloudfront.net/Documentos/631/05803924490/6310580392449011092023125926.pdf")</f>
        <v>https://dpmzos25m8ivg.cloudfront.net/Documentos/631/05803924490/6310580392449011092023125926.pdf</v>
      </c>
      <c r="H2688" s="5" t="s">
        <v>11266</v>
      </c>
    </row>
    <row r="2689" spans="1:8" x14ac:dyDescent="0.25">
      <c r="A2689" s="2" t="s">
        <v>2706</v>
      </c>
      <c r="B2689" s="3"/>
      <c r="C2689" s="3"/>
      <c r="D2689" s="3"/>
      <c r="E2689" s="5" t="str">
        <f>HYPERLINK("https://dpmzos25m8ivg.cloudfront.net/Documentos/631/05805172178/6310580517217814092023163813.jpg","https://dpmzos25m8ivg.cloudfront.net/Documentos/631/05805172178/6310580517217814092023163813.jpg")</f>
        <v>https://dpmzos25m8ivg.cloudfront.net/Documentos/631/05805172178/6310580517217814092023163813.jpg</v>
      </c>
      <c r="F2689" s="5" t="str">
        <f>HYPERLINK("https://dpmzos25m8ivg.cloudfront.net/Documentos/631/05805172178/6310580517217814092023163823.jpg","https://dpmzos25m8ivg.cloudfront.net/Documentos/631/05805172178/6310580517217814092023163823.jpg")</f>
        <v>https://dpmzos25m8ivg.cloudfront.net/Documentos/631/05805172178/6310580517217814092023163823.jpg</v>
      </c>
      <c r="G2689" s="5" t="str">
        <f>HYPERLINK("https://dpmzos25m8ivg.cloudfront.net/Documentos/631/05805172178/6310580517217814092023163836.jpg","https://dpmzos25m8ivg.cloudfront.net/Documentos/631/05805172178/6310580517217814092023163836.jpg")</f>
        <v>https://dpmzos25m8ivg.cloudfront.net/Documentos/631/05805172178/6310580517217814092023163836.jpg</v>
      </c>
      <c r="H2689" s="5" t="s">
        <v>11267</v>
      </c>
    </row>
    <row r="2690" spans="1:8" x14ac:dyDescent="0.25">
      <c r="A2690" s="2" t="s">
        <v>2707</v>
      </c>
      <c r="B2690" s="3" t="s">
        <v>2358</v>
      </c>
      <c r="C2690" s="3"/>
      <c r="D2690" s="3"/>
      <c r="E2690" s="5" t="str">
        <f>HYPERLINK("https://dpmzos25m8ivg.cloudfront.net/Documentos/631/05805258560/6310580525856011092023120656.jpg","https://dpmzos25m8ivg.cloudfront.net/Documentos/631/05805258560/6310580525856011092023120656.jpg")</f>
        <v>https://dpmzos25m8ivg.cloudfront.net/Documentos/631/05805258560/6310580525856011092023120656.jpg</v>
      </c>
      <c r="F2690" s="5" t="str">
        <f>HYPERLINK("https://dpmzos25m8ivg.cloudfront.net/Documentos/631/05805258560/6310580525856011092023120716.jpg","https://dpmzos25m8ivg.cloudfront.net/Documentos/631/05805258560/6310580525856011092023120716.jpg")</f>
        <v>https://dpmzos25m8ivg.cloudfront.net/Documentos/631/05805258560/6310580525856011092023120716.jpg</v>
      </c>
      <c r="G2690" s="5" t="str">
        <f>HYPERLINK("https://dpmzos25m8ivg.cloudfront.net/Documentos/631/05805258560/6310580525856011092023120729.jpg","https://dpmzos25m8ivg.cloudfront.net/Documentos/631/05805258560/6310580525856011092023120729.jpg")</f>
        <v>https://dpmzos25m8ivg.cloudfront.net/Documentos/631/05805258560/6310580525856011092023120729.jpg</v>
      </c>
      <c r="H2690" s="5" t="s">
        <v>11268</v>
      </c>
    </row>
    <row r="2691" spans="1:8" x14ac:dyDescent="0.25">
      <c r="A2691" s="11" t="s">
        <v>2708</v>
      </c>
      <c r="B2691" s="12"/>
      <c r="C2691" s="3"/>
      <c r="D2691" s="3"/>
      <c r="E2691" s="4" t="str">
        <f>HYPERLINK("https://dpmzos25m8ivg.cloudfront.net/Documentos/631/05806955575/6310580695557511092023141455.pdf","https://dpmzos25m8ivg.cloudfront.net/Documentos/631/05806955575/6310580695557511092023141455.pdf")</f>
        <v>https://dpmzos25m8ivg.cloudfront.net/Documentos/631/05806955575/6310580695557511092023141455.pdf</v>
      </c>
      <c r="F2691" s="4" t="str">
        <f>HYPERLINK("https://dpmzos25m8ivg.cloudfront.net/Documentos/631/05806955575/6310580695557511092023141506.pdf","https://dpmzos25m8ivg.cloudfront.net/Documentos/631/05806955575/6310580695557511092023141506.pdf")</f>
        <v>https://dpmzos25m8ivg.cloudfront.net/Documentos/631/05806955575/6310580695557511092023141506.pdf</v>
      </c>
      <c r="G2691" s="4" t="str">
        <f>HYPERLINK("https://dpmzos25m8ivg.cloudfront.net/Documentos/631/05806955575/6310580695557511092023141516.pdf","https://dpmzos25m8ivg.cloudfront.net/Documentos/631/05806955575/6310580695557511092023141516.pdf")</f>
        <v>https://dpmzos25m8ivg.cloudfront.net/Documentos/631/05806955575/6310580695557511092023141516.pdf</v>
      </c>
      <c r="H2691" s="4" t="s">
        <v>11269</v>
      </c>
    </row>
    <row r="2692" spans="1:8" x14ac:dyDescent="0.25">
      <c r="A2692" s="2" t="s">
        <v>2709</v>
      </c>
      <c r="B2692" s="3"/>
      <c r="C2692" s="3"/>
      <c r="D2692" s="3"/>
      <c r="E2692" s="5" t="str">
        <f>HYPERLINK("https://dpmzos25m8ivg.cloudfront.net/Documentos/631/05807589157/6310580758915711092023004921.pdf","https://dpmzos25m8ivg.cloudfront.net/Documentos/631/05807589157/6310580758915711092023004921.pdf")</f>
        <v>https://dpmzos25m8ivg.cloudfront.net/Documentos/631/05807589157/6310580758915711092023004921.pdf</v>
      </c>
      <c r="F2692" s="5" t="str">
        <f>HYPERLINK("https://dpmzos25m8ivg.cloudfront.net/Documentos/631/05807589157/6310580758915711092023004932.pdf","https://dpmzos25m8ivg.cloudfront.net/Documentos/631/05807589157/6310580758915711092023004932.pdf")</f>
        <v>https://dpmzos25m8ivg.cloudfront.net/Documentos/631/05807589157/6310580758915711092023004932.pdf</v>
      </c>
      <c r="G2692" s="5" t="str">
        <f>HYPERLINK("https://dpmzos25m8ivg.cloudfront.net/Documentos/631/05807589157/6310580758915711092023004941.pdf","https://dpmzos25m8ivg.cloudfront.net/Documentos/631/05807589157/6310580758915711092023004941.pdf")</f>
        <v>https://dpmzos25m8ivg.cloudfront.net/Documentos/631/05807589157/6310580758915711092023004941.pdf</v>
      </c>
      <c r="H2692" s="5" t="s">
        <v>11270</v>
      </c>
    </row>
    <row r="2693" spans="1:8" x14ac:dyDescent="0.25">
      <c r="A2693" s="2" t="s">
        <v>2710</v>
      </c>
      <c r="B2693" s="3"/>
      <c r="C2693" s="3"/>
      <c r="D2693" s="3"/>
      <c r="E2693" s="5" t="str">
        <f>HYPERLINK("https://dpmzos25m8ivg.cloudfront.net/Documentos/631/05807636686/6310580763668608092023195847.pdf","https://dpmzos25m8ivg.cloudfront.net/Documentos/631/05807636686/6310580763668608092023195847.pdf")</f>
        <v>https://dpmzos25m8ivg.cloudfront.net/Documentos/631/05807636686/6310580763668608092023195847.pdf</v>
      </c>
      <c r="F2693" s="5" t="str">
        <f>HYPERLINK("https://dpmzos25m8ivg.cloudfront.net/Documentos/631/05807636686/6310580763668608092023195905.pdf","https://dpmzos25m8ivg.cloudfront.net/Documentos/631/05807636686/6310580763668608092023195905.pdf")</f>
        <v>https://dpmzos25m8ivg.cloudfront.net/Documentos/631/05807636686/6310580763668608092023195905.pdf</v>
      </c>
      <c r="G2693" s="5" t="str">
        <f>HYPERLINK("https://dpmzos25m8ivg.cloudfront.net/Documentos/631/05807636686/6310580763668608092023195922.pdf","https://dpmzos25m8ivg.cloudfront.net/Documentos/631/05807636686/6310580763668608092023195922.pdf")</f>
        <v>https://dpmzos25m8ivg.cloudfront.net/Documentos/631/05807636686/6310580763668608092023195922.pdf</v>
      </c>
      <c r="H2693" s="5" t="s">
        <v>11271</v>
      </c>
    </row>
    <row r="2694" spans="1:8" x14ac:dyDescent="0.25">
      <c r="A2694" s="2" t="s">
        <v>2711</v>
      </c>
      <c r="B2694" s="3" t="s">
        <v>8</v>
      </c>
      <c r="C2694" s="3"/>
      <c r="D2694" s="3"/>
      <c r="E2694" s="5" t="str">
        <f>HYPERLINK("https://dpmzos25m8ivg.cloudfront.net/Documentos/631/05809543588/6310580954358805092023183900.jpg","https://dpmzos25m8ivg.cloudfront.net/Documentos/631/05809543588/6310580954358805092023183900.jpg")</f>
        <v>https://dpmzos25m8ivg.cloudfront.net/Documentos/631/05809543588/6310580954358805092023183900.jpg</v>
      </c>
      <c r="F2694" s="5" t="str">
        <f>HYPERLINK("https://dpmzos25m8ivg.cloudfront.net/Documentos/631/05809543588/6310580954358805092023183913.jpg","https://dpmzos25m8ivg.cloudfront.net/Documentos/631/05809543588/6310580954358805092023183913.jpg")</f>
        <v>https://dpmzos25m8ivg.cloudfront.net/Documentos/631/05809543588/6310580954358805092023183913.jpg</v>
      </c>
      <c r="G2694" s="5" t="str">
        <f>HYPERLINK("https://dpmzos25m8ivg.cloudfront.net/Documentos/631/05809543588/6310580954358805092023183924.jpg","https://dpmzos25m8ivg.cloudfront.net/Documentos/631/05809543588/6310580954358805092023183924.jpg")</f>
        <v>https://dpmzos25m8ivg.cloudfront.net/Documentos/631/05809543588/6310580954358805092023183924.jpg</v>
      </c>
      <c r="H2694" s="5" t="s">
        <v>11272</v>
      </c>
    </row>
    <row r="2695" spans="1:8" x14ac:dyDescent="0.25">
      <c r="A2695" s="2" t="s">
        <v>2712</v>
      </c>
      <c r="B2695" s="3" t="s">
        <v>23</v>
      </c>
      <c r="C2695" s="3"/>
      <c r="D2695" s="3"/>
      <c r="E2695" s="5" t="str">
        <f>HYPERLINK("https://dpmzos25m8ivg.cloudfront.net/Documentos/631/05811189109/6310581118910905092023171623.pdf","https://dpmzos25m8ivg.cloudfront.net/Documentos/631/05811189109/6310581118910905092023171623.pdf")</f>
        <v>https://dpmzos25m8ivg.cloudfront.net/Documentos/631/05811189109/6310581118910905092023171623.pdf</v>
      </c>
      <c r="F2695" s="5" t="str">
        <f>HYPERLINK("https://dpmzos25m8ivg.cloudfront.net/Documentos/631/05811189109/6310581118910905092023171646.pdf","https://dpmzos25m8ivg.cloudfront.net/Documentos/631/05811189109/6310581118910905092023171646.pdf")</f>
        <v>https://dpmzos25m8ivg.cloudfront.net/Documentos/631/05811189109/6310581118910905092023171646.pdf</v>
      </c>
      <c r="G2695" s="5" t="str">
        <f>HYPERLINK("https://dpmzos25m8ivg.cloudfront.net/Documentos/631/05811189109/6310581118910905092023171655.pdf","https://dpmzos25m8ivg.cloudfront.net/Documentos/631/05811189109/6310581118910905092023171655.pdf")</f>
        <v>https://dpmzos25m8ivg.cloudfront.net/Documentos/631/05811189109/6310581118910905092023171655.pdf</v>
      </c>
      <c r="H2695" s="5" t="s">
        <v>11273</v>
      </c>
    </row>
    <row r="2696" spans="1:8" x14ac:dyDescent="0.25">
      <c r="A2696" s="2" t="s">
        <v>2713</v>
      </c>
      <c r="B2696" s="3"/>
      <c r="C2696" s="3"/>
      <c r="D2696" s="3"/>
      <c r="E2696" s="5" t="str">
        <f>HYPERLINK("https://dpmzos25m8ivg.cloudfront.net/Documentos/631/05813414223/6310581341422310092023184128.pdf","https://dpmzos25m8ivg.cloudfront.net/Documentos/631/05813414223/6310581341422310092023184128.pdf")</f>
        <v>https://dpmzos25m8ivg.cloudfront.net/Documentos/631/05813414223/6310581341422310092023184128.pdf</v>
      </c>
      <c r="F2696" s="5" t="str">
        <f>HYPERLINK("https://dpmzos25m8ivg.cloudfront.net/Documentos/631/05813414223/6310581341422310092023184140.pdf","https://dpmzos25m8ivg.cloudfront.net/Documentos/631/05813414223/6310581341422310092023184140.pdf")</f>
        <v>https://dpmzos25m8ivg.cloudfront.net/Documentos/631/05813414223/6310581341422310092023184140.pdf</v>
      </c>
      <c r="G2696" s="5" t="str">
        <f>HYPERLINK("https://dpmzos25m8ivg.cloudfront.net/Documentos/631/05813414223/6310581341422310092023184148.pdf","https://dpmzos25m8ivg.cloudfront.net/Documentos/631/05813414223/6310581341422310092023184148.pdf")</f>
        <v>https://dpmzos25m8ivg.cloudfront.net/Documentos/631/05813414223/6310581341422310092023184148.pdf</v>
      </c>
      <c r="H2696" s="5" t="s">
        <v>11274</v>
      </c>
    </row>
    <row r="2697" spans="1:8" x14ac:dyDescent="0.25">
      <c r="A2697" s="2" t="s">
        <v>2714</v>
      </c>
      <c r="B2697" s="3"/>
      <c r="C2697" s="3"/>
      <c r="D2697" s="3"/>
      <c r="E2697" s="5" t="str">
        <f>HYPERLINK("https://dpmzos25m8ivg.cloudfront.net/Documentos/631/05818469409/6310581846940914092023145345.pdf","https://dpmzos25m8ivg.cloudfront.net/Documentos/631/05818469409/6310581846940914092023145345.pdf")</f>
        <v>https://dpmzos25m8ivg.cloudfront.net/Documentos/631/05818469409/6310581846940914092023145345.pdf</v>
      </c>
      <c r="F2697" s="5" t="str">
        <f>HYPERLINK("https://dpmzos25m8ivg.cloudfront.net/Documentos/631/05818469409/6310581846940914092023145359.pdf","https://dpmzos25m8ivg.cloudfront.net/Documentos/631/05818469409/6310581846940914092023145359.pdf")</f>
        <v>https://dpmzos25m8ivg.cloudfront.net/Documentos/631/05818469409/6310581846940914092023145359.pdf</v>
      </c>
      <c r="G2697" s="5" t="str">
        <f>HYPERLINK("https://dpmzos25m8ivg.cloudfront.net/Documentos/631/05818469409/6310581846940914092023145417.pdf","https://dpmzos25m8ivg.cloudfront.net/Documentos/631/05818469409/6310581846940914092023145417.pdf")</f>
        <v>https://dpmzos25m8ivg.cloudfront.net/Documentos/631/05818469409/6310581846940914092023145417.pdf</v>
      </c>
      <c r="H2697" s="5" t="s">
        <v>11275</v>
      </c>
    </row>
    <row r="2698" spans="1:8" x14ac:dyDescent="0.25">
      <c r="A2698" s="2" t="s">
        <v>2715</v>
      </c>
      <c r="B2698" s="3"/>
      <c r="C2698" s="3"/>
      <c r="D2698" s="3"/>
      <c r="E2698" s="5" t="str">
        <f>HYPERLINK("https://dpmzos25m8ivg.cloudfront.net/Documentos/631/05819193431/6310581919343110092023221208.pdf","https://dpmzos25m8ivg.cloudfront.net/Documentos/631/05819193431/6310581919343110092023221208.pdf")</f>
        <v>https://dpmzos25m8ivg.cloudfront.net/Documentos/631/05819193431/6310581919343110092023221208.pdf</v>
      </c>
      <c r="F2698" s="5" t="str">
        <f>HYPERLINK("https://dpmzos25m8ivg.cloudfront.net/Documentos/631/05819193431/6310581919343110092023221218.pdf","https://dpmzos25m8ivg.cloudfront.net/Documentos/631/05819193431/6310581919343110092023221218.pdf")</f>
        <v>https://dpmzos25m8ivg.cloudfront.net/Documentos/631/05819193431/6310581919343110092023221218.pdf</v>
      </c>
      <c r="G2698" s="5" t="str">
        <f>HYPERLINK("https://dpmzos25m8ivg.cloudfront.net/Documentos/631/05819193431/6310581919343110092023221228.pdf","https://dpmzos25m8ivg.cloudfront.net/Documentos/631/05819193431/6310581919343110092023221228.pdf")</f>
        <v>https://dpmzos25m8ivg.cloudfront.net/Documentos/631/05819193431/6310581919343110092023221228.pdf</v>
      </c>
      <c r="H2698" s="5" t="s">
        <v>11276</v>
      </c>
    </row>
    <row r="2699" spans="1:8" x14ac:dyDescent="0.25">
      <c r="A2699" s="2" t="s">
        <v>2716</v>
      </c>
      <c r="B2699" s="3"/>
      <c r="C2699" s="3"/>
      <c r="D2699" s="3"/>
      <c r="E2699" s="5" t="str">
        <f>HYPERLINK("https://dpmzos25m8ivg.cloudfront.net/Documentos/631/05823122136/6310582312213605092023154004.pdf","https://dpmzos25m8ivg.cloudfront.net/Documentos/631/05823122136/6310582312213605092023154004.pdf")</f>
        <v>https://dpmzos25m8ivg.cloudfront.net/Documentos/631/05823122136/6310582312213605092023154004.pdf</v>
      </c>
      <c r="F2699" s="5" t="str">
        <f>HYPERLINK("https://dpmzos25m8ivg.cloudfront.net/Documentos/631/05823122136/6310582312213605092023154013.pdf","https://dpmzos25m8ivg.cloudfront.net/Documentos/631/05823122136/6310582312213605092023154013.pdf")</f>
        <v>https://dpmzos25m8ivg.cloudfront.net/Documentos/631/05823122136/6310582312213605092023154013.pdf</v>
      </c>
      <c r="G2699" s="5" t="str">
        <f>HYPERLINK("https://dpmzos25m8ivg.cloudfront.net/Documentos/631/05823122136/6310582312213605092023154023.pdf","https://dpmzos25m8ivg.cloudfront.net/Documentos/631/05823122136/6310582312213605092023154023.pdf")</f>
        <v>https://dpmzos25m8ivg.cloudfront.net/Documentos/631/05823122136/6310582312213605092023154023.pdf</v>
      </c>
      <c r="H2699" s="5" t="s">
        <v>11277</v>
      </c>
    </row>
    <row r="2700" spans="1:8" x14ac:dyDescent="0.25">
      <c r="A2700" s="2" t="s">
        <v>2717</v>
      </c>
      <c r="B2700" s="3" t="s">
        <v>2358</v>
      </c>
      <c r="C2700" s="3"/>
      <c r="D2700" s="3"/>
      <c r="E2700" s="5" t="str">
        <f>HYPERLINK("https://dpmzos25m8ivg.cloudfront.net/Documentos/631/05823182627/6310582318262711092023153146.jpg","https://dpmzos25m8ivg.cloudfront.net/Documentos/631/05823182627/6310582318262711092023153146.jpg")</f>
        <v>https://dpmzos25m8ivg.cloudfront.net/Documentos/631/05823182627/6310582318262711092023153146.jpg</v>
      </c>
      <c r="F2700" s="5" t="str">
        <f>HYPERLINK("https://dpmzos25m8ivg.cloudfront.net/Documentos/631/05823182627/6310582318262711092023153104.jpg","https://dpmzos25m8ivg.cloudfront.net/Documentos/631/05823182627/6310582318262711092023153104.jpg")</f>
        <v>https://dpmzos25m8ivg.cloudfront.net/Documentos/631/05823182627/6310582318262711092023153104.jpg</v>
      </c>
      <c r="G2700" s="5" t="str">
        <f>HYPERLINK("https://dpmzos25m8ivg.cloudfront.net/Documentos/631/05823182627/6310582318262711092023153015.jpg","https://dpmzos25m8ivg.cloudfront.net/Documentos/631/05823182627/6310582318262711092023153015.jpg")</f>
        <v>https://dpmzos25m8ivg.cloudfront.net/Documentos/631/05823182627/6310582318262711092023153015.jpg</v>
      </c>
      <c r="H2700" s="5" t="s">
        <v>11278</v>
      </c>
    </row>
    <row r="2701" spans="1:8" x14ac:dyDescent="0.25">
      <c r="A2701" s="2" t="s">
        <v>2718</v>
      </c>
      <c r="B2701" s="3"/>
      <c r="C2701" s="3"/>
      <c r="D2701" s="3"/>
      <c r="E2701" s="5" t="str">
        <f>HYPERLINK("https://dpmzos25m8ivg.cloudfront.net/Documentos/631/05823362102/6310582336210206092023111850.pdf","https://dpmzos25m8ivg.cloudfront.net/Documentos/631/05823362102/6310582336210206092023111850.pdf")</f>
        <v>https://dpmzos25m8ivg.cloudfront.net/Documentos/631/05823362102/6310582336210206092023111850.pdf</v>
      </c>
      <c r="F2701" s="5" t="str">
        <f>HYPERLINK("https://dpmzos25m8ivg.cloudfront.net/Documentos/631/05823362102/6310582336210206092023111921.pdf","https://dpmzos25m8ivg.cloudfront.net/Documentos/631/05823362102/6310582336210206092023111921.pdf")</f>
        <v>https://dpmzos25m8ivg.cloudfront.net/Documentos/631/05823362102/6310582336210206092023111921.pdf</v>
      </c>
      <c r="G2701" s="5" t="str">
        <f>HYPERLINK("https://dpmzos25m8ivg.cloudfront.net/Documentos/631/05823362102/6310582336210206092023111932.pdf","https://dpmzos25m8ivg.cloudfront.net/Documentos/631/05823362102/6310582336210206092023111932.pdf")</f>
        <v>https://dpmzos25m8ivg.cloudfront.net/Documentos/631/05823362102/6310582336210206092023111932.pdf</v>
      </c>
      <c r="H2701" s="5" t="s">
        <v>11279</v>
      </c>
    </row>
    <row r="2702" spans="1:8" x14ac:dyDescent="0.25">
      <c r="A2702" s="2" t="s">
        <v>2719</v>
      </c>
      <c r="B2702" s="3"/>
      <c r="C2702" s="3"/>
      <c r="D2702" s="3"/>
      <c r="E2702" s="5" t="str">
        <f>HYPERLINK("https://dpmzos25m8ivg.cloudfront.net/Documentos/631/05823675496/6310582367549609092023211915.jpg","https://dpmzos25m8ivg.cloudfront.net/Documentos/631/05823675496/6310582367549609092023211915.jpg")</f>
        <v>https://dpmzos25m8ivg.cloudfront.net/Documentos/631/05823675496/6310582367549609092023211915.jpg</v>
      </c>
      <c r="F2702" s="5" t="str">
        <f>HYPERLINK("https://dpmzos25m8ivg.cloudfront.net/Documentos/631/05823675496/6310582367549609092023211929.jpg","https://dpmzos25m8ivg.cloudfront.net/Documentos/631/05823675496/6310582367549609092023211929.jpg")</f>
        <v>https://dpmzos25m8ivg.cloudfront.net/Documentos/631/05823675496/6310582367549609092023211929.jpg</v>
      </c>
      <c r="G2702" s="5" t="str">
        <f>HYPERLINK("https://dpmzos25m8ivg.cloudfront.net/Documentos/631/05823675496/6310582367549609092023211957.jpg","https://dpmzos25m8ivg.cloudfront.net/Documentos/631/05823675496/6310582367549609092023211957.jpg")</f>
        <v>https://dpmzos25m8ivg.cloudfront.net/Documentos/631/05823675496/6310582367549609092023211957.jpg</v>
      </c>
      <c r="H2702" s="5" t="s">
        <v>11280</v>
      </c>
    </row>
    <row r="2703" spans="1:8" x14ac:dyDescent="0.25">
      <c r="A2703" s="2" t="s">
        <v>2720</v>
      </c>
      <c r="B2703" s="3"/>
      <c r="C2703" s="3"/>
      <c r="D2703" s="3"/>
      <c r="E2703" s="5" t="str">
        <f>HYPERLINK("https://dpmzos25m8ivg.cloudfront.net/Documentos/631/05825745955/6310582574595511092023150424.pdf","https://dpmzos25m8ivg.cloudfront.net/Documentos/631/05825745955/6310582574595511092023150424.pdf")</f>
        <v>https://dpmzos25m8ivg.cloudfront.net/Documentos/631/05825745955/6310582574595511092023150424.pdf</v>
      </c>
      <c r="F2703" s="5" t="str">
        <f>HYPERLINK("https://dpmzos25m8ivg.cloudfront.net/Documentos/631/05825745955/6310582574595511092023150431.pdf","https://dpmzos25m8ivg.cloudfront.net/Documentos/631/05825745955/6310582574595511092023150431.pdf")</f>
        <v>https://dpmzos25m8ivg.cloudfront.net/Documentos/631/05825745955/6310582574595511092023150431.pdf</v>
      </c>
      <c r="G2703" s="5" t="str">
        <f>HYPERLINK("https://dpmzos25m8ivg.cloudfront.net/Documentos/631/05825745955/6310582574595511092023150440.pdf","https://dpmzos25m8ivg.cloudfront.net/Documentos/631/05825745955/6310582574595511092023150440.pdf")</f>
        <v>https://dpmzos25m8ivg.cloudfront.net/Documentos/631/05825745955/6310582574595511092023150440.pdf</v>
      </c>
      <c r="H2703" s="5" t="s">
        <v>11281</v>
      </c>
    </row>
    <row r="2704" spans="1:8" x14ac:dyDescent="0.25">
      <c r="A2704" s="2" t="s">
        <v>2721</v>
      </c>
      <c r="B2704" s="3"/>
      <c r="C2704" s="3"/>
      <c r="D2704" s="3"/>
      <c r="E2704" s="5" t="str">
        <f>HYPERLINK("https://dpmzos25m8ivg.cloudfront.net/Documentos/631/05826848383/6310582684838307092023193516.pdf","https://dpmzos25m8ivg.cloudfront.net/Documentos/631/05826848383/6310582684838307092023193516.pdf")</f>
        <v>https://dpmzos25m8ivg.cloudfront.net/Documentos/631/05826848383/6310582684838307092023193516.pdf</v>
      </c>
      <c r="F2704" s="5" t="str">
        <f>HYPERLINK("https://dpmzos25m8ivg.cloudfront.net/Documentos/631/05826848383/6310582684838307092023193538.pdf","https://dpmzos25m8ivg.cloudfront.net/Documentos/631/05826848383/6310582684838307092023193538.pdf")</f>
        <v>https://dpmzos25m8ivg.cloudfront.net/Documentos/631/05826848383/6310582684838307092023193538.pdf</v>
      </c>
      <c r="G2704" s="5" t="str">
        <f>HYPERLINK("https://dpmzos25m8ivg.cloudfront.net/Documentos/631/05826848383/6310582684838307092023193558.pdf","https://dpmzos25m8ivg.cloudfront.net/Documentos/631/05826848383/6310582684838307092023193558.pdf")</f>
        <v>https://dpmzos25m8ivg.cloudfront.net/Documentos/631/05826848383/6310582684838307092023193558.pdf</v>
      </c>
      <c r="H2704" s="5" t="s">
        <v>11282</v>
      </c>
    </row>
    <row r="2705" spans="1:8" x14ac:dyDescent="0.25">
      <c r="A2705" s="2" t="s">
        <v>2722</v>
      </c>
      <c r="B2705" s="3"/>
      <c r="C2705" s="3"/>
      <c r="D2705" s="3"/>
      <c r="E2705" s="5" t="str">
        <f>HYPERLINK("https://dpmzos25m8ivg.cloudfront.net/Documentos/631/05826849193/6310582684919310092023174716.pdf","https://dpmzos25m8ivg.cloudfront.net/Documentos/631/05826849193/6310582684919310092023174716.pdf")</f>
        <v>https://dpmzos25m8ivg.cloudfront.net/Documentos/631/05826849193/6310582684919310092023174716.pdf</v>
      </c>
      <c r="F2705" s="5" t="str">
        <f>HYPERLINK("https://dpmzos25m8ivg.cloudfront.net/Documentos/631/05826849193/6310582684919310092023174729.pdf","https://dpmzos25m8ivg.cloudfront.net/Documentos/631/05826849193/6310582684919310092023174729.pdf")</f>
        <v>https://dpmzos25m8ivg.cloudfront.net/Documentos/631/05826849193/6310582684919310092023174729.pdf</v>
      </c>
      <c r="G2705" s="5" t="str">
        <f>HYPERLINK("https://dpmzos25m8ivg.cloudfront.net/Documentos/631/05826849193/6310582684919310092023174737.pdf","https://dpmzos25m8ivg.cloudfront.net/Documentos/631/05826849193/6310582684919310092023174737.pdf")</f>
        <v>https://dpmzos25m8ivg.cloudfront.net/Documentos/631/05826849193/6310582684919310092023174737.pdf</v>
      </c>
      <c r="H2705" s="5" t="s">
        <v>11283</v>
      </c>
    </row>
    <row r="2706" spans="1:8" x14ac:dyDescent="0.25">
      <c r="A2706" s="2" t="s">
        <v>2723</v>
      </c>
      <c r="B2706" s="3"/>
      <c r="C2706" s="3"/>
      <c r="D2706" s="3"/>
      <c r="E2706" s="5" t="str">
        <f>HYPERLINK("https://dpmzos25m8ivg.cloudfront.net/Documentos/631/05828095501/6310582809550105092023222118.pdf","https://dpmzos25m8ivg.cloudfront.net/Documentos/631/05828095501/6310582809550105092023222118.pdf")</f>
        <v>https://dpmzos25m8ivg.cloudfront.net/Documentos/631/05828095501/6310582809550105092023222118.pdf</v>
      </c>
      <c r="F2706" s="5" t="str">
        <f>HYPERLINK("https://dpmzos25m8ivg.cloudfront.net/Documentos/631/05828095501/6310582809550105092023222129.pdf","https://dpmzos25m8ivg.cloudfront.net/Documentos/631/05828095501/6310582809550105092023222129.pdf")</f>
        <v>https://dpmzos25m8ivg.cloudfront.net/Documentos/631/05828095501/6310582809550105092023222129.pdf</v>
      </c>
      <c r="G2706" s="5" t="str">
        <f>HYPERLINK("https://dpmzos25m8ivg.cloudfront.net/Documentos/631/05828095501/6310582809550105092023222139.pdf","https://dpmzos25m8ivg.cloudfront.net/Documentos/631/05828095501/6310582809550105092023222139.pdf")</f>
        <v>https://dpmzos25m8ivg.cloudfront.net/Documentos/631/05828095501/6310582809550105092023222139.pdf</v>
      </c>
      <c r="H2706" s="5" t="s">
        <v>11284</v>
      </c>
    </row>
    <row r="2707" spans="1:8" x14ac:dyDescent="0.25">
      <c r="A2707" s="2" t="s">
        <v>2724</v>
      </c>
      <c r="B2707" s="3"/>
      <c r="C2707" s="3"/>
      <c r="D2707" s="3"/>
      <c r="E2707" s="5" t="str">
        <f>HYPERLINK("https://dpmzos25m8ivg.cloudfront.net/Documentos/631/05832819748/6310583281974806092023211435.pdf","https://dpmzos25m8ivg.cloudfront.net/Documentos/631/05832819748/6310583281974806092023211435.pdf")</f>
        <v>https://dpmzos25m8ivg.cloudfront.net/Documentos/631/05832819748/6310583281974806092023211435.pdf</v>
      </c>
      <c r="F2707" s="5" t="str">
        <f>HYPERLINK("https://dpmzos25m8ivg.cloudfront.net/Documentos/631/05832819748/6310583281974809092023102204.pdf","https://dpmzos25m8ivg.cloudfront.net/Documentos/631/05832819748/6310583281974809092023102204.pdf")</f>
        <v>https://dpmzos25m8ivg.cloudfront.net/Documentos/631/05832819748/6310583281974809092023102204.pdf</v>
      </c>
      <c r="G2707" s="5" t="str">
        <f>HYPERLINK("https://dpmzos25m8ivg.cloudfront.net/Documentos/631/05832819748/6310583281974809092023102252.pdf","https://dpmzos25m8ivg.cloudfront.net/Documentos/631/05832819748/6310583281974809092023102252.pdf")</f>
        <v>https://dpmzos25m8ivg.cloudfront.net/Documentos/631/05832819748/6310583281974809092023102252.pdf</v>
      </c>
      <c r="H2707" s="5" t="s">
        <v>11285</v>
      </c>
    </row>
    <row r="2708" spans="1:8" x14ac:dyDescent="0.25">
      <c r="A2708" s="2" t="s">
        <v>2725</v>
      </c>
      <c r="B2708" s="3"/>
      <c r="C2708" s="3"/>
      <c r="D2708" s="3"/>
      <c r="E2708" s="5" t="str">
        <f>HYPERLINK("https://dpmzos25m8ivg.cloudfront.net/Documentos/631/05834460437/6310583446043710092023194416.jpg","https://dpmzos25m8ivg.cloudfront.net/Documentos/631/05834460437/6310583446043710092023194416.jpg")</f>
        <v>https://dpmzos25m8ivg.cloudfront.net/Documentos/631/05834460437/6310583446043710092023194416.jpg</v>
      </c>
      <c r="F2708" s="5" t="str">
        <f>HYPERLINK("https://dpmzos25m8ivg.cloudfront.net/Documentos/631/05834460437/6310583446043710092023194429.jpg","https://dpmzos25m8ivg.cloudfront.net/Documentos/631/05834460437/6310583446043710092023194429.jpg")</f>
        <v>https://dpmzos25m8ivg.cloudfront.net/Documentos/631/05834460437/6310583446043710092023194429.jpg</v>
      </c>
      <c r="G2708" s="5" t="str">
        <f>HYPERLINK("https://dpmzos25m8ivg.cloudfront.net/Documentos/631/05834460437/6310583446043710092023194441.jpg","https://dpmzos25m8ivg.cloudfront.net/Documentos/631/05834460437/6310583446043710092023194441.jpg")</f>
        <v>https://dpmzos25m8ivg.cloudfront.net/Documentos/631/05834460437/6310583446043710092023194441.jpg</v>
      </c>
      <c r="H2708" s="5" t="s">
        <v>11286</v>
      </c>
    </row>
    <row r="2709" spans="1:8" x14ac:dyDescent="0.25">
      <c r="A2709" s="2" t="s">
        <v>2726</v>
      </c>
      <c r="B2709" s="3"/>
      <c r="C2709" s="3"/>
      <c r="D2709" s="3"/>
      <c r="E2709" s="5" t="str">
        <f>HYPERLINK("https://dpmzos25m8ivg.cloudfront.net/Documentos/631/05834729401/6310583472940109092023153728.jpg","https://dpmzos25m8ivg.cloudfront.net/Documentos/631/05834729401/6310583472940109092023153728.jpg")</f>
        <v>https://dpmzos25m8ivg.cloudfront.net/Documentos/631/05834729401/6310583472940109092023153728.jpg</v>
      </c>
      <c r="F2709" s="5" t="str">
        <f>HYPERLINK("https://dpmzos25m8ivg.cloudfront.net/Documentos/631/05834729401/6310583472940109092023153758.jpg","https://dpmzos25m8ivg.cloudfront.net/Documentos/631/05834729401/6310583472940109092023153758.jpg")</f>
        <v>https://dpmzos25m8ivg.cloudfront.net/Documentos/631/05834729401/6310583472940109092023153758.jpg</v>
      </c>
      <c r="G2709" s="5" t="str">
        <f>HYPERLINK("https://dpmzos25m8ivg.cloudfront.net/Documentos/631/05834729401/6310583472940109092023153812.jpg","https://dpmzos25m8ivg.cloudfront.net/Documentos/631/05834729401/6310583472940109092023153812.jpg")</f>
        <v>https://dpmzos25m8ivg.cloudfront.net/Documentos/631/05834729401/6310583472940109092023153812.jpg</v>
      </c>
      <c r="H2709" s="5" t="s">
        <v>11287</v>
      </c>
    </row>
    <row r="2710" spans="1:8" x14ac:dyDescent="0.25">
      <c r="A2710" s="2" t="s">
        <v>2727</v>
      </c>
      <c r="B2710" s="3" t="s">
        <v>8</v>
      </c>
      <c r="C2710" s="3"/>
      <c r="D2710" s="3"/>
      <c r="E2710" s="5" t="str">
        <f>HYPERLINK("https://dpmzos25m8ivg.cloudfront.net/Documentos/631/05836306508/6310583630650811092023155321.jpeg","https://dpmzos25m8ivg.cloudfront.net/Documentos/631/05836306508/6310583630650811092023155321.jpeg")</f>
        <v>https://dpmzos25m8ivg.cloudfront.net/Documentos/631/05836306508/6310583630650811092023155321.jpeg</v>
      </c>
      <c r="F2710" s="5" t="str">
        <f>HYPERLINK("https://dpmzos25m8ivg.cloudfront.net/Documentos/631/05836306508/6310583630650811092023155334.jpeg","https://dpmzos25m8ivg.cloudfront.net/Documentos/631/05836306508/6310583630650811092023155334.jpeg")</f>
        <v>https://dpmzos25m8ivg.cloudfront.net/Documentos/631/05836306508/6310583630650811092023155334.jpeg</v>
      </c>
      <c r="G2710" s="5" t="str">
        <f>HYPERLINK("https://dpmzos25m8ivg.cloudfront.net/Documentos/631/05836306508/6310583630650811092023155349.jpeg","https://dpmzos25m8ivg.cloudfront.net/Documentos/631/05836306508/6310583630650811092023155349.jpeg")</f>
        <v>https://dpmzos25m8ivg.cloudfront.net/Documentos/631/05836306508/6310583630650811092023155349.jpeg</v>
      </c>
      <c r="H2710" s="5" t="s">
        <v>11288</v>
      </c>
    </row>
    <row r="2711" spans="1:8" x14ac:dyDescent="0.25">
      <c r="A2711" s="2" t="s">
        <v>2728</v>
      </c>
      <c r="B2711" s="3"/>
      <c r="C2711" s="3"/>
      <c r="D2711" s="3"/>
      <c r="E2711" s="5" t="str">
        <f>HYPERLINK("https://dpmzos25m8ivg.cloudfront.net/Documentos/631/05836713146/6310583671314611092023143855.pdf","https://dpmzos25m8ivg.cloudfront.net/Documentos/631/05836713146/6310583671314611092023143855.pdf")</f>
        <v>https://dpmzos25m8ivg.cloudfront.net/Documentos/631/05836713146/6310583671314611092023143855.pdf</v>
      </c>
      <c r="F2711" s="5" t="str">
        <f>HYPERLINK("https://dpmzos25m8ivg.cloudfront.net/Documentos/631/05836713146/6310583671314611092023143903.pdf","https://dpmzos25m8ivg.cloudfront.net/Documentos/631/05836713146/6310583671314611092023143903.pdf")</f>
        <v>https://dpmzos25m8ivg.cloudfront.net/Documentos/631/05836713146/6310583671314611092023143903.pdf</v>
      </c>
      <c r="G2711" s="5" t="str">
        <f>HYPERLINK("https://dpmzos25m8ivg.cloudfront.net/Documentos/631/05836713146/6310583671314611092023143913.pdf","https://dpmzos25m8ivg.cloudfront.net/Documentos/631/05836713146/6310583671314611092023143913.pdf")</f>
        <v>https://dpmzos25m8ivg.cloudfront.net/Documentos/631/05836713146/6310583671314611092023143913.pdf</v>
      </c>
      <c r="H2711" s="5" t="s">
        <v>11289</v>
      </c>
    </row>
    <row r="2712" spans="1:8" x14ac:dyDescent="0.25">
      <c r="A2712" s="2" t="s">
        <v>2729</v>
      </c>
      <c r="B2712" s="3" t="s">
        <v>2358</v>
      </c>
      <c r="C2712" s="3"/>
      <c r="D2712" s="3"/>
      <c r="E2712" s="5" t="str">
        <f>HYPERLINK("https://dpmzos25m8ivg.cloudfront.net/Documentos/631/05836725152/6310583672515214092023122036.pdf","https://dpmzos25m8ivg.cloudfront.net/Documentos/631/05836725152/6310583672515214092023122036.pdf")</f>
        <v>https://dpmzos25m8ivg.cloudfront.net/Documentos/631/05836725152/6310583672515214092023122036.pdf</v>
      </c>
      <c r="F2712" s="5" t="str">
        <f>HYPERLINK("https://dpmzos25m8ivg.cloudfront.net/Documentos/631/05836725152/6310583672515214092023122043.pdf","https://dpmzos25m8ivg.cloudfront.net/Documentos/631/05836725152/6310583672515214092023122043.pdf")</f>
        <v>https://dpmzos25m8ivg.cloudfront.net/Documentos/631/05836725152/6310583672515214092023122043.pdf</v>
      </c>
      <c r="G2712" s="5" t="str">
        <f>HYPERLINK("https://dpmzos25m8ivg.cloudfront.net/Documentos/631/05836725152/6310583672515214092023122055.pdf","https://dpmzos25m8ivg.cloudfront.net/Documentos/631/05836725152/6310583672515214092023122055.pdf")</f>
        <v>https://dpmzos25m8ivg.cloudfront.net/Documentos/631/05836725152/6310583672515214092023122055.pdf</v>
      </c>
      <c r="H2712" s="5" t="s">
        <v>11290</v>
      </c>
    </row>
    <row r="2713" spans="1:8" x14ac:dyDescent="0.25">
      <c r="A2713" s="2" t="s">
        <v>2730</v>
      </c>
      <c r="B2713" s="3"/>
      <c r="C2713" s="3"/>
      <c r="D2713" s="3"/>
      <c r="E2713" s="5" t="str">
        <f>HYPERLINK("https://dpmzos25m8ivg.cloudfront.net/Documentos/631/05839303100/6310583930310011092023130641.pdf","https://dpmzos25m8ivg.cloudfront.net/Documentos/631/05839303100/6310583930310011092023130641.pdf")</f>
        <v>https://dpmzos25m8ivg.cloudfront.net/Documentos/631/05839303100/6310583930310011092023130641.pdf</v>
      </c>
      <c r="F2713" s="5" t="str">
        <f>HYPERLINK("https://dpmzos25m8ivg.cloudfront.net/Documentos/631/05839303100/6310583930310011092023130650.pdf","https://dpmzos25m8ivg.cloudfront.net/Documentos/631/05839303100/6310583930310011092023130650.pdf")</f>
        <v>https://dpmzos25m8ivg.cloudfront.net/Documentos/631/05839303100/6310583930310011092023130650.pdf</v>
      </c>
      <c r="G2713" s="5" t="str">
        <f>HYPERLINK("https://dpmzos25m8ivg.cloudfront.net/Documentos/631/05839303100/6310583930310011092023130658.pdf","https://dpmzos25m8ivg.cloudfront.net/Documentos/631/05839303100/6310583930310011092023130658.pdf")</f>
        <v>https://dpmzos25m8ivg.cloudfront.net/Documentos/631/05839303100/6310583930310011092023130658.pdf</v>
      </c>
      <c r="H2713" s="5" t="s">
        <v>11291</v>
      </c>
    </row>
    <row r="2714" spans="1:8" x14ac:dyDescent="0.25">
      <c r="A2714" s="2" t="s">
        <v>2731</v>
      </c>
      <c r="B2714" s="3"/>
      <c r="C2714" s="3"/>
      <c r="D2714" s="3"/>
      <c r="E2714" s="5" t="str">
        <f>HYPERLINK("https://dpmzos25m8ivg.cloudfront.net/Documentos/631/05839867578/6310583986757806092023095623.pdf","https://dpmzos25m8ivg.cloudfront.net/Documentos/631/05839867578/6310583986757806092023095623.pdf")</f>
        <v>https://dpmzos25m8ivg.cloudfront.net/Documentos/631/05839867578/6310583986757806092023095623.pdf</v>
      </c>
      <c r="F2714" s="5" t="str">
        <f>HYPERLINK("https://dpmzos25m8ivg.cloudfront.net/Documentos/631/05839867578/6310583986757806092023095655.pdf","https://dpmzos25m8ivg.cloudfront.net/Documentos/631/05839867578/6310583986757806092023095655.pdf")</f>
        <v>https://dpmzos25m8ivg.cloudfront.net/Documentos/631/05839867578/6310583986757806092023095655.pdf</v>
      </c>
      <c r="G2714" s="5" t="str">
        <f>HYPERLINK("https://dpmzos25m8ivg.cloudfront.net/Documentos/631/05839867578/6310583986757806092023095753.pdf","https://dpmzos25m8ivg.cloudfront.net/Documentos/631/05839867578/6310583986757806092023095753.pdf")</f>
        <v>https://dpmzos25m8ivg.cloudfront.net/Documentos/631/05839867578/6310583986757806092023095753.pdf</v>
      </c>
      <c r="H2714" s="5" t="s">
        <v>11292</v>
      </c>
    </row>
    <row r="2715" spans="1:8" x14ac:dyDescent="0.25">
      <c r="A2715" s="2" t="s">
        <v>2732</v>
      </c>
      <c r="B2715" s="3"/>
      <c r="C2715" s="3"/>
      <c r="D2715" s="3"/>
      <c r="E2715" s="5" t="str">
        <f>HYPERLINK("https://dpmzos25m8ivg.cloudfront.net/Documentos/631/05842925540/6310584292554012092023204904.jpeg","https://dpmzos25m8ivg.cloudfront.net/Documentos/631/05842925540/6310584292554012092023204904.jpeg")</f>
        <v>https://dpmzos25m8ivg.cloudfront.net/Documentos/631/05842925540/6310584292554012092023204904.jpeg</v>
      </c>
      <c r="F2715" s="5" t="str">
        <f>HYPERLINK("https://dpmzos25m8ivg.cloudfront.net/Documentos/631/05842925540/6310584292554012092023204926.jpeg","https://dpmzos25m8ivg.cloudfront.net/Documentos/631/05842925540/6310584292554012092023204926.jpeg")</f>
        <v>https://dpmzos25m8ivg.cloudfront.net/Documentos/631/05842925540/6310584292554012092023204926.jpeg</v>
      </c>
      <c r="G2715" s="5" t="str">
        <f>HYPERLINK("https://dpmzos25m8ivg.cloudfront.net/Documentos/631/05842925540/6310584292554012092023204935.jpeg","https://dpmzos25m8ivg.cloudfront.net/Documentos/631/05842925540/6310584292554012092023204935.jpeg")</f>
        <v>https://dpmzos25m8ivg.cloudfront.net/Documentos/631/05842925540/6310584292554012092023204935.jpeg</v>
      </c>
      <c r="H2715" s="5" t="s">
        <v>11293</v>
      </c>
    </row>
    <row r="2716" spans="1:8" x14ac:dyDescent="0.25">
      <c r="A2716" s="2" t="s">
        <v>2733</v>
      </c>
      <c r="B2716" s="3"/>
      <c r="C2716" s="3"/>
      <c r="D2716" s="3"/>
      <c r="E2716" s="5" t="str">
        <f>HYPERLINK("https://dpmzos25m8ivg.cloudfront.net/Documentos/631/05847376294/6310584737629411092023105241.pdf","https://dpmzos25m8ivg.cloudfront.net/Documentos/631/05847376294/6310584737629411092023105241.pdf")</f>
        <v>https://dpmzos25m8ivg.cloudfront.net/Documentos/631/05847376294/6310584737629411092023105241.pdf</v>
      </c>
      <c r="F2716" s="5" t="str">
        <f>HYPERLINK("https://dpmzos25m8ivg.cloudfront.net/Documentos/631/05847376294/6310584737629411092023105259.pdf","https://dpmzos25m8ivg.cloudfront.net/Documentos/631/05847376294/6310584737629411092023105259.pdf")</f>
        <v>https://dpmzos25m8ivg.cloudfront.net/Documentos/631/05847376294/6310584737629411092023105259.pdf</v>
      </c>
      <c r="G2716" s="5" t="str">
        <f>HYPERLINK("https://dpmzos25m8ivg.cloudfront.net/Documentos/631/05847376294/6310584737629411092023105314.pdf","https://dpmzos25m8ivg.cloudfront.net/Documentos/631/05847376294/6310584737629411092023105314.pdf")</f>
        <v>https://dpmzos25m8ivg.cloudfront.net/Documentos/631/05847376294/6310584737629411092023105314.pdf</v>
      </c>
      <c r="H2716" s="5" t="s">
        <v>11294</v>
      </c>
    </row>
    <row r="2717" spans="1:8" x14ac:dyDescent="0.25">
      <c r="A2717" s="2" t="s">
        <v>2734</v>
      </c>
      <c r="B2717" s="3"/>
      <c r="C2717" s="3"/>
      <c r="D2717" s="3"/>
      <c r="E2717" s="5" t="str">
        <f>HYPERLINK("https://dpmzos25m8ivg.cloudfront.net/Documentos/631/05850208763/6310585020876314092023163639.pdf","https://dpmzos25m8ivg.cloudfront.net/Documentos/631/05850208763/6310585020876314092023163639.pdf")</f>
        <v>https://dpmzos25m8ivg.cloudfront.net/Documentos/631/05850208763/6310585020876314092023163639.pdf</v>
      </c>
      <c r="F2717" s="5" t="str">
        <f>HYPERLINK("https://dpmzos25m8ivg.cloudfront.net/Documentos/631/05850208763/6310585020876314092023163647.pdf","https://dpmzos25m8ivg.cloudfront.net/Documentos/631/05850208763/6310585020876314092023163647.pdf")</f>
        <v>https://dpmzos25m8ivg.cloudfront.net/Documentos/631/05850208763/6310585020876314092023163647.pdf</v>
      </c>
      <c r="G2717" s="5" t="str">
        <f>HYPERLINK("https://dpmzos25m8ivg.cloudfront.net/Documentos/631/05850208763/6310585020876314092023163655.pdf","https://dpmzos25m8ivg.cloudfront.net/Documentos/631/05850208763/6310585020876314092023163655.pdf")</f>
        <v>https://dpmzos25m8ivg.cloudfront.net/Documentos/631/05850208763/6310585020876314092023163655.pdf</v>
      </c>
      <c r="H2717" s="5" t="s">
        <v>11295</v>
      </c>
    </row>
    <row r="2718" spans="1:8" x14ac:dyDescent="0.25">
      <c r="A2718" s="2" t="s">
        <v>2735</v>
      </c>
      <c r="B2718" s="3"/>
      <c r="C2718" s="3"/>
      <c r="D2718" s="3"/>
      <c r="E2718" s="5" t="str">
        <f>HYPERLINK("https://dpmzos25m8ivg.cloudfront.net/Documentos/631/05856675789/6310585667578911092023125528.pdf","https://dpmzos25m8ivg.cloudfront.net/Documentos/631/05856675789/6310585667578911092023125528.pdf")</f>
        <v>https://dpmzos25m8ivg.cloudfront.net/Documentos/631/05856675789/6310585667578911092023125528.pdf</v>
      </c>
      <c r="F2718" s="5" t="str">
        <f>HYPERLINK("https://dpmzos25m8ivg.cloudfront.net/Documentos/631/05856675789/6310585667578911092023125549.pdf","https://dpmzos25m8ivg.cloudfront.net/Documentos/631/05856675789/6310585667578911092023125549.pdf")</f>
        <v>https://dpmzos25m8ivg.cloudfront.net/Documentos/631/05856675789/6310585667578911092023125549.pdf</v>
      </c>
      <c r="G2718" s="5" t="str">
        <f>HYPERLINK("https://dpmzos25m8ivg.cloudfront.net/Documentos/631/05856675789/6310585667578911092023125602.pdf","https://dpmzos25m8ivg.cloudfront.net/Documentos/631/05856675789/6310585667578911092023125602.pdf")</f>
        <v>https://dpmzos25m8ivg.cloudfront.net/Documentos/631/05856675789/6310585667578911092023125602.pdf</v>
      </c>
      <c r="H2718" s="5" t="s">
        <v>11296</v>
      </c>
    </row>
    <row r="2719" spans="1:8" x14ac:dyDescent="0.25">
      <c r="A2719" s="2" t="s">
        <v>2736</v>
      </c>
      <c r="B2719" s="3"/>
      <c r="C2719" s="3"/>
      <c r="D2719" s="3"/>
      <c r="E2719" s="5" t="str">
        <f>HYPERLINK("https://dpmzos25m8ivg.cloudfront.net/Documentos/631/05857782562/6310585778256211092023143152.jpg","https://dpmzos25m8ivg.cloudfront.net/Documentos/631/05857782562/6310585778256211092023143152.jpg")</f>
        <v>https://dpmzos25m8ivg.cloudfront.net/Documentos/631/05857782562/6310585778256211092023143152.jpg</v>
      </c>
      <c r="F2719" s="5" t="str">
        <f>HYPERLINK("https://dpmzos25m8ivg.cloudfront.net/Documentos/631/05857782562/6310585778256211092023143212.jpg","https://dpmzos25m8ivg.cloudfront.net/Documentos/631/05857782562/6310585778256211092023143212.jpg")</f>
        <v>https://dpmzos25m8ivg.cloudfront.net/Documentos/631/05857782562/6310585778256211092023143212.jpg</v>
      </c>
      <c r="G2719" s="5" t="str">
        <f>HYPERLINK("https://dpmzos25m8ivg.cloudfront.net/Documentos/631/05857782562/6310585778256211092023143229.jpg","https://dpmzos25m8ivg.cloudfront.net/Documentos/631/05857782562/6310585778256211092023143229.jpg")</f>
        <v>https://dpmzos25m8ivg.cloudfront.net/Documentos/631/05857782562/6310585778256211092023143229.jpg</v>
      </c>
      <c r="H2719" s="5" t="s">
        <v>11297</v>
      </c>
    </row>
    <row r="2720" spans="1:8" x14ac:dyDescent="0.25">
      <c r="A2720" s="2" t="s">
        <v>2737</v>
      </c>
      <c r="B2720" s="3"/>
      <c r="C2720" s="3"/>
      <c r="D2720" s="3"/>
      <c r="E2720" s="5" t="str">
        <f>HYPERLINK("https://dpmzos25m8ivg.cloudfront.net/Documentos/631/05858124380/6310585812438008092023163541.jpg","https://dpmzos25m8ivg.cloudfront.net/Documentos/631/05858124380/6310585812438008092023163541.jpg")</f>
        <v>https://dpmzos25m8ivg.cloudfront.net/Documentos/631/05858124380/6310585812438008092023163541.jpg</v>
      </c>
      <c r="F2720" s="5" t="str">
        <f>HYPERLINK("https://dpmzos25m8ivg.cloudfront.net/Documentos/631/05858124380/6310585812438008092023163559.jpg","https://dpmzos25m8ivg.cloudfront.net/Documentos/631/05858124380/6310585812438008092023163559.jpg")</f>
        <v>https://dpmzos25m8ivg.cloudfront.net/Documentos/631/05858124380/6310585812438008092023163559.jpg</v>
      </c>
      <c r="G2720" s="5" t="str">
        <f>HYPERLINK("https://dpmzos25m8ivg.cloudfront.net/Documentos/631/05858124380/6310585812438008092023163621.jpg","https://dpmzos25m8ivg.cloudfront.net/Documentos/631/05858124380/6310585812438008092023163621.jpg")</f>
        <v>https://dpmzos25m8ivg.cloudfront.net/Documentos/631/05858124380/6310585812438008092023163621.jpg</v>
      </c>
      <c r="H2720" s="5" t="s">
        <v>11298</v>
      </c>
    </row>
    <row r="2721" spans="1:8" x14ac:dyDescent="0.25">
      <c r="A2721" s="2" t="s">
        <v>2738</v>
      </c>
      <c r="B2721" s="3" t="s">
        <v>23</v>
      </c>
      <c r="C2721" s="3"/>
      <c r="D2721" s="3"/>
      <c r="E2721" s="5" t="str">
        <f>HYPERLINK("https://dpmzos25m8ivg.cloudfront.net/Documentos/631/05858255566/6310585825556611092023091609.pdf","https://dpmzos25m8ivg.cloudfront.net/Documentos/631/05858255566/6310585825556611092023091609.pdf")</f>
        <v>https://dpmzos25m8ivg.cloudfront.net/Documentos/631/05858255566/6310585825556611092023091609.pdf</v>
      </c>
      <c r="F2721" s="5" t="str">
        <f>HYPERLINK("https://dpmzos25m8ivg.cloudfront.net/Documentos/631/05858255566/6310585825556611092023091617.pdf","https://dpmzos25m8ivg.cloudfront.net/Documentos/631/05858255566/6310585825556611092023091617.pdf")</f>
        <v>https://dpmzos25m8ivg.cloudfront.net/Documentos/631/05858255566/6310585825556611092023091617.pdf</v>
      </c>
      <c r="G2721" s="5" t="str">
        <f>HYPERLINK("https://dpmzos25m8ivg.cloudfront.net/Documentos/631/05858255566/6310585825556611092023091626.pdf","https://dpmzos25m8ivg.cloudfront.net/Documentos/631/05858255566/6310585825556611092023091626.pdf")</f>
        <v>https://dpmzos25m8ivg.cloudfront.net/Documentos/631/05858255566/6310585825556611092023091626.pdf</v>
      </c>
      <c r="H2721" s="5" t="s">
        <v>11299</v>
      </c>
    </row>
    <row r="2722" spans="1:8" x14ac:dyDescent="0.25">
      <c r="A2722" s="2" t="s">
        <v>2739</v>
      </c>
      <c r="B2722" s="3"/>
      <c r="C2722" s="3"/>
      <c r="D2722" s="3"/>
      <c r="E2722" s="5" t="str">
        <f>HYPERLINK("https://dpmzos25m8ivg.cloudfront.net/Documentos/631/05859021518/6310585902151811092023143532.jpg","https://dpmzos25m8ivg.cloudfront.net/Documentos/631/05859021518/6310585902151811092023143532.jpg")</f>
        <v>https://dpmzos25m8ivg.cloudfront.net/Documentos/631/05859021518/6310585902151811092023143532.jpg</v>
      </c>
      <c r="F2722" s="5" t="str">
        <f>HYPERLINK("https://dpmzos25m8ivg.cloudfront.net/Documentos/631/05859021518/6310585902151811092023143632.jpg","https://dpmzos25m8ivg.cloudfront.net/Documentos/631/05859021518/6310585902151811092023143632.jpg")</f>
        <v>https://dpmzos25m8ivg.cloudfront.net/Documentos/631/05859021518/6310585902151811092023143632.jpg</v>
      </c>
      <c r="G2722" s="5" t="str">
        <f>HYPERLINK("https://dpmzos25m8ivg.cloudfront.net/Documentos/631/05859021518/6310585902151811092023143646.jpg","https://dpmzos25m8ivg.cloudfront.net/Documentos/631/05859021518/6310585902151811092023143646.jpg")</f>
        <v>https://dpmzos25m8ivg.cloudfront.net/Documentos/631/05859021518/6310585902151811092023143646.jpg</v>
      </c>
      <c r="H2722" s="5" t="s">
        <v>11300</v>
      </c>
    </row>
    <row r="2723" spans="1:8" x14ac:dyDescent="0.25">
      <c r="A2723" s="2" t="s">
        <v>2740</v>
      </c>
      <c r="B2723" s="3"/>
      <c r="C2723" s="3"/>
      <c r="D2723" s="3"/>
      <c r="E2723" s="5" t="str">
        <f>HYPERLINK("https://dpmzos25m8ivg.cloudfront.net/Documentos/631/05859296533/6310585929653307092023071624.pdf","https://dpmzos25m8ivg.cloudfront.net/Documentos/631/05859296533/6310585929653307092023071624.pdf")</f>
        <v>https://dpmzos25m8ivg.cloudfront.net/Documentos/631/05859296533/6310585929653307092023071624.pdf</v>
      </c>
      <c r="F2723" s="5" t="str">
        <f>HYPERLINK("https://dpmzos25m8ivg.cloudfront.net/Documentos/631/05859296533/6310585929653307092023071738.pdf","https://dpmzos25m8ivg.cloudfront.net/Documentos/631/05859296533/6310585929653307092023071738.pdf")</f>
        <v>https://dpmzos25m8ivg.cloudfront.net/Documentos/631/05859296533/6310585929653307092023071738.pdf</v>
      </c>
      <c r="G2723" s="5" t="str">
        <f>HYPERLINK("https://dpmzos25m8ivg.cloudfront.net/Documentos/631/05859296533/6310585929653307092023071803.pdf","https://dpmzos25m8ivg.cloudfront.net/Documentos/631/05859296533/6310585929653307092023071803.pdf")</f>
        <v>https://dpmzos25m8ivg.cloudfront.net/Documentos/631/05859296533/6310585929653307092023071803.pdf</v>
      </c>
      <c r="H2723" s="5" t="s">
        <v>11301</v>
      </c>
    </row>
    <row r="2724" spans="1:8" x14ac:dyDescent="0.25">
      <c r="A2724" s="2" t="s">
        <v>2741</v>
      </c>
      <c r="B2724" s="3"/>
      <c r="C2724" s="3"/>
      <c r="D2724" s="3"/>
      <c r="E2724" s="5" t="str">
        <f>HYPERLINK("https://dpmzos25m8ivg.cloudfront.net/Documentos/631/05860961162/6310586096116213092023122821.pdf","https://dpmzos25m8ivg.cloudfront.net/Documentos/631/05860961162/6310586096116213092023122821.pdf")</f>
        <v>https://dpmzos25m8ivg.cloudfront.net/Documentos/631/05860961162/6310586096116213092023122821.pdf</v>
      </c>
      <c r="F2724" s="5" t="str">
        <f>HYPERLINK("https://dpmzos25m8ivg.cloudfront.net/Documentos/631/05860961162/6310586096116213092023122814.pdf","https://dpmzos25m8ivg.cloudfront.net/Documentos/631/05860961162/6310586096116213092023122814.pdf")</f>
        <v>https://dpmzos25m8ivg.cloudfront.net/Documentos/631/05860961162/6310586096116213092023122814.pdf</v>
      </c>
      <c r="G2724" s="5" t="str">
        <f>HYPERLINK("https://dpmzos25m8ivg.cloudfront.net/Documentos/631/05860961162/6310586096116213092023122804.pdf","https://dpmzos25m8ivg.cloudfront.net/Documentos/631/05860961162/6310586096116213092023122804.pdf")</f>
        <v>https://dpmzos25m8ivg.cloudfront.net/Documentos/631/05860961162/6310586096116213092023122804.pdf</v>
      </c>
      <c r="H2724" s="5" t="s">
        <v>11302</v>
      </c>
    </row>
    <row r="2725" spans="1:8" x14ac:dyDescent="0.25">
      <c r="A2725" s="2" t="s">
        <v>2742</v>
      </c>
      <c r="B2725" s="3"/>
      <c r="C2725" s="3"/>
      <c r="D2725" s="3"/>
      <c r="E2725" s="5" t="str">
        <f>HYPERLINK("https://dpmzos25m8ivg.cloudfront.net/Documentos/631/05863375558/6310586337555811092023135002.pdf","https://dpmzos25m8ivg.cloudfront.net/Documentos/631/05863375558/6310586337555811092023135002.pdf")</f>
        <v>https://dpmzos25m8ivg.cloudfront.net/Documentos/631/05863375558/6310586337555811092023135002.pdf</v>
      </c>
      <c r="F2725" s="5" t="str">
        <f>HYPERLINK("https://dpmzos25m8ivg.cloudfront.net/Documentos/631/05863375558/6310586337555811092023135025.pdf","https://dpmzos25m8ivg.cloudfront.net/Documentos/631/05863375558/6310586337555811092023135025.pdf")</f>
        <v>https://dpmzos25m8ivg.cloudfront.net/Documentos/631/05863375558/6310586337555811092023135025.pdf</v>
      </c>
      <c r="G2725" s="5" t="str">
        <f>HYPERLINK("https://dpmzos25m8ivg.cloudfront.net/Documentos/631/05863375558/6310586337555811092023135059.pdf","https://dpmzos25m8ivg.cloudfront.net/Documentos/631/05863375558/6310586337555811092023135059.pdf")</f>
        <v>https://dpmzos25m8ivg.cloudfront.net/Documentos/631/05863375558/6310586337555811092023135059.pdf</v>
      </c>
      <c r="H2725" s="5" t="s">
        <v>11303</v>
      </c>
    </row>
    <row r="2726" spans="1:8" x14ac:dyDescent="0.25">
      <c r="A2726" s="2" t="s">
        <v>2743</v>
      </c>
      <c r="B2726" s="3"/>
      <c r="C2726" s="3"/>
      <c r="D2726" s="3"/>
      <c r="E2726" s="5" t="str">
        <f>HYPERLINK("https://dpmzos25m8ivg.cloudfront.net/Documentos/631/05865648373/6310586564837311092023132425.pdf","https://dpmzos25m8ivg.cloudfront.net/Documentos/631/05865648373/6310586564837311092023132425.pdf")</f>
        <v>https://dpmzos25m8ivg.cloudfront.net/Documentos/631/05865648373/6310586564837311092023132425.pdf</v>
      </c>
      <c r="F2726" s="5" t="str">
        <f>HYPERLINK("https://dpmzos25m8ivg.cloudfront.net/Documentos/631/05865648373/6310586564837311092023132436.pdf","https://dpmzos25m8ivg.cloudfront.net/Documentos/631/05865648373/6310586564837311092023132436.pdf")</f>
        <v>https://dpmzos25m8ivg.cloudfront.net/Documentos/631/05865648373/6310586564837311092023132436.pdf</v>
      </c>
      <c r="G2726" s="5" t="str">
        <f>HYPERLINK("https://dpmzos25m8ivg.cloudfront.net/Documentos/631/05865648373/6310586564837311092023132518.pdf","https://dpmzos25m8ivg.cloudfront.net/Documentos/631/05865648373/6310586564837311092023132518.pdf")</f>
        <v>https://dpmzos25m8ivg.cloudfront.net/Documentos/631/05865648373/6310586564837311092023132518.pdf</v>
      </c>
      <c r="H2726" s="5" t="s">
        <v>11304</v>
      </c>
    </row>
    <row r="2727" spans="1:8" x14ac:dyDescent="0.25">
      <c r="A2727" s="2" t="s">
        <v>2744</v>
      </c>
      <c r="B2727" s="3"/>
      <c r="C2727" s="3"/>
      <c r="D2727" s="3"/>
      <c r="E2727" s="5" t="str">
        <f>HYPERLINK("https://dpmzos25m8ivg.cloudfront.net/Documentos/631/05866075520/6310586607552013092023214316.pdf","https://dpmzos25m8ivg.cloudfront.net/Documentos/631/05866075520/6310586607552013092023214316.pdf")</f>
        <v>https://dpmzos25m8ivg.cloudfront.net/Documentos/631/05866075520/6310586607552013092023214316.pdf</v>
      </c>
      <c r="F2727" s="5" t="str">
        <f>HYPERLINK("https://dpmzos25m8ivg.cloudfront.net/Documentos/631/05866075520/6310586607552013092023214332.pdf","https://dpmzos25m8ivg.cloudfront.net/Documentos/631/05866075520/6310586607552013092023214332.pdf")</f>
        <v>https://dpmzos25m8ivg.cloudfront.net/Documentos/631/05866075520/6310586607552013092023214332.pdf</v>
      </c>
      <c r="G2727" s="5" t="str">
        <f>HYPERLINK("https://dpmzos25m8ivg.cloudfront.net/Documentos/631/05866075520/6310586607552013092023214350.pdf","https://dpmzos25m8ivg.cloudfront.net/Documentos/631/05866075520/6310586607552013092023214350.pdf")</f>
        <v>https://dpmzos25m8ivg.cloudfront.net/Documentos/631/05866075520/6310586607552013092023214350.pdf</v>
      </c>
      <c r="H2727" s="5" t="s">
        <v>11305</v>
      </c>
    </row>
    <row r="2728" spans="1:8" x14ac:dyDescent="0.25">
      <c r="A2728" s="2" t="s">
        <v>2745</v>
      </c>
      <c r="B2728" s="3"/>
      <c r="C2728" s="3"/>
      <c r="D2728" s="3"/>
      <c r="E2728" s="5" t="str">
        <f>HYPERLINK("https://dpmzos25m8ivg.cloudfront.net/Documentos/631/05870281490/6310587028149011092023110151.pdf","https://dpmzos25m8ivg.cloudfront.net/Documentos/631/05870281490/6310587028149011092023110151.pdf")</f>
        <v>https://dpmzos25m8ivg.cloudfront.net/Documentos/631/05870281490/6310587028149011092023110151.pdf</v>
      </c>
      <c r="F2728" s="5" t="str">
        <f>HYPERLINK("https://dpmzos25m8ivg.cloudfront.net/Documentos/631/05870281490/6310587028149011092023110135.pdf","https://dpmzos25m8ivg.cloudfront.net/Documentos/631/05870281490/6310587028149011092023110135.pdf")</f>
        <v>https://dpmzos25m8ivg.cloudfront.net/Documentos/631/05870281490/6310587028149011092023110135.pdf</v>
      </c>
      <c r="G2728" s="5" t="str">
        <f>HYPERLINK("https://dpmzos25m8ivg.cloudfront.net/Documentos/631/05870281490/6310587028149011092023110032.pdf","https://dpmzos25m8ivg.cloudfront.net/Documentos/631/05870281490/6310587028149011092023110032.pdf")</f>
        <v>https://dpmzos25m8ivg.cloudfront.net/Documentos/631/05870281490/6310587028149011092023110032.pdf</v>
      </c>
      <c r="H2728" s="5" t="s">
        <v>11306</v>
      </c>
    </row>
    <row r="2729" spans="1:8" x14ac:dyDescent="0.25">
      <c r="A2729" s="2" t="s">
        <v>2746</v>
      </c>
      <c r="B2729" s="3"/>
      <c r="C2729" s="3"/>
      <c r="D2729" s="3"/>
      <c r="E2729" s="5" t="str">
        <f>HYPERLINK("https://dpmzos25m8ivg.cloudfront.net/Documentos/631/05871578527/6310587157852711092023165620.pdf","https://dpmzos25m8ivg.cloudfront.net/Documentos/631/05871578527/6310587157852711092023165620.pdf")</f>
        <v>https://dpmzos25m8ivg.cloudfront.net/Documentos/631/05871578527/6310587157852711092023165620.pdf</v>
      </c>
      <c r="F2729" s="5" t="str">
        <f>HYPERLINK("https://dpmzos25m8ivg.cloudfront.net/Documentos/631/05871578527/6310587157852711092023165610.pdf","https://dpmzos25m8ivg.cloudfront.net/Documentos/631/05871578527/6310587157852711092023165610.pdf")</f>
        <v>https://dpmzos25m8ivg.cloudfront.net/Documentos/631/05871578527/6310587157852711092023165610.pdf</v>
      </c>
      <c r="G2729" s="5" t="str">
        <f>HYPERLINK("https://dpmzos25m8ivg.cloudfront.net/Documentos/631/05871578527/6310587157852711092023165559.pdf","https://dpmzos25m8ivg.cloudfront.net/Documentos/631/05871578527/6310587157852711092023165559.pdf")</f>
        <v>https://dpmzos25m8ivg.cloudfront.net/Documentos/631/05871578527/6310587157852711092023165559.pdf</v>
      </c>
      <c r="H2729" s="5" t="s">
        <v>11307</v>
      </c>
    </row>
    <row r="2730" spans="1:8" x14ac:dyDescent="0.25">
      <c r="A2730" s="2" t="s">
        <v>2747</v>
      </c>
      <c r="B2730" s="3" t="s">
        <v>8</v>
      </c>
      <c r="C2730" s="3"/>
      <c r="D2730" s="3"/>
      <c r="E2730" s="5" t="str">
        <f>HYPERLINK("https://dpmzos25m8ivg.cloudfront.net/Documentos/631/05874112103/6310587411210310092023224743.pdf","https://dpmzos25m8ivg.cloudfront.net/Documentos/631/05874112103/6310587411210310092023224743.pdf")</f>
        <v>https://dpmzos25m8ivg.cloudfront.net/Documentos/631/05874112103/6310587411210310092023224743.pdf</v>
      </c>
      <c r="F2730" s="5" t="str">
        <f>HYPERLINK("https://dpmzos25m8ivg.cloudfront.net/Documentos/631/05874112103/6310587411210310092023224756.pdf","https://dpmzos25m8ivg.cloudfront.net/Documentos/631/05874112103/6310587411210310092023224756.pdf")</f>
        <v>https://dpmzos25m8ivg.cloudfront.net/Documentos/631/05874112103/6310587411210310092023224756.pdf</v>
      </c>
      <c r="G2730" s="5" t="str">
        <f>HYPERLINK("https://dpmzos25m8ivg.cloudfront.net/Documentos/631/05874112103/6310587411210310092023224810.pdf","https://dpmzos25m8ivg.cloudfront.net/Documentos/631/05874112103/6310587411210310092023224810.pdf")</f>
        <v>https://dpmzos25m8ivg.cloudfront.net/Documentos/631/05874112103/6310587411210310092023224810.pdf</v>
      </c>
      <c r="H2730" s="5" t="s">
        <v>11308</v>
      </c>
    </row>
    <row r="2731" spans="1:8" x14ac:dyDescent="0.25">
      <c r="A2731" s="2" t="s">
        <v>2748</v>
      </c>
      <c r="B2731" s="3"/>
      <c r="C2731" s="3"/>
      <c r="D2731" s="3"/>
      <c r="E2731" s="5" t="str">
        <f>HYPERLINK("https://dpmzos25m8ivg.cloudfront.net/Documentos/631/05875049359/6310587504935907092023180537.pdf","https://dpmzos25m8ivg.cloudfront.net/Documentos/631/05875049359/6310587504935907092023180537.pdf")</f>
        <v>https://dpmzos25m8ivg.cloudfront.net/Documentos/631/05875049359/6310587504935907092023180537.pdf</v>
      </c>
      <c r="F2731" s="5" t="str">
        <f>HYPERLINK("https://dpmzos25m8ivg.cloudfront.net/Documentos/631/05875049359/6310587504935907092023180714.pdf","https://dpmzos25m8ivg.cloudfront.net/Documentos/631/05875049359/6310587504935907092023180714.pdf")</f>
        <v>https://dpmzos25m8ivg.cloudfront.net/Documentos/631/05875049359/6310587504935907092023180714.pdf</v>
      </c>
      <c r="G2731" s="5" t="str">
        <f>HYPERLINK("https://dpmzos25m8ivg.cloudfront.net/Documentos/631/05875049359/6310587504935907092023180734.pdf","https://dpmzos25m8ivg.cloudfront.net/Documentos/631/05875049359/6310587504935907092023180734.pdf")</f>
        <v>https://dpmzos25m8ivg.cloudfront.net/Documentos/631/05875049359/6310587504935907092023180734.pdf</v>
      </c>
      <c r="H2731" s="5" t="s">
        <v>11309</v>
      </c>
    </row>
    <row r="2732" spans="1:8" x14ac:dyDescent="0.25">
      <c r="A2732" s="2" t="s">
        <v>2749</v>
      </c>
      <c r="B2732" s="3"/>
      <c r="C2732" s="3"/>
      <c r="D2732" s="3"/>
      <c r="E2732" s="5" t="str">
        <f>HYPERLINK("https://dpmzos25m8ivg.cloudfront.net/Documentos/631/05876119105/6310587611910511092023150840.pdf","https://dpmzos25m8ivg.cloudfront.net/Documentos/631/05876119105/6310587611910511092023150840.pdf")</f>
        <v>https://dpmzos25m8ivg.cloudfront.net/Documentos/631/05876119105/6310587611910511092023150840.pdf</v>
      </c>
      <c r="F2732" s="5" t="str">
        <f>HYPERLINK("https://dpmzos25m8ivg.cloudfront.net/Documentos/631/05876119105/6310587611910511092023150907.pdf","https://dpmzos25m8ivg.cloudfront.net/Documentos/631/05876119105/6310587611910511092023150907.pdf")</f>
        <v>https://dpmzos25m8ivg.cloudfront.net/Documentos/631/05876119105/6310587611910511092023150907.pdf</v>
      </c>
      <c r="G2732" s="5" t="str">
        <f>HYPERLINK("https://dpmzos25m8ivg.cloudfront.net/Documentos/631/05876119105/6310587611910511092023150932.pdf","https://dpmzos25m8ivg.cloudfront.net/Documentos/631/05876119105/6310587611910511092023150932.pdf")</f>
        <v>https://dpmzos25m8ivg.cloudfront.net/Documentos/631/05876119105/6310587611910511092023150932.pdf</v>
      </c>
      <c r="H2732" s="5" t="s">
        <v>11310</v>
      </c>
    </row>
    <row r="2733" spans="1:8" x14ac:dyDescent="0.25">
      <c r="A2733" s="2" t="s">
        <v>2750</v>
      </c>
      <c r="B2733" s="3"/>
      <c r="C2733" s="3"/>
      <c r="D2733" s="3"/>
      <c r="E2733" s="5" t="str">
        <f>HYPERLINK("https://dpmzos25m8ivg.cloudfront.net/Documentos/631/05878328437/6310587832843708092023123441.pdf","https://dpmzos25m8ivg.cloudfront.net/Documentos/631/05878328437/6310587832843708092023123441.pdf")</f>
        <v>https://dpmzos25m8ivg.cloudfront.net/Documentos/631/05878328437/6310587832843708092023123441.pdf</v>
      </c>
      <c r="F2733" s="5" t="str">
        <f>HYPERLINK("https://dpmzos25m8ivg.cloudfront.net/Documentos/631/05878328437/6310587832843708092023123450.pdf","https://dpmzos25m8ivg.cloudfront.net/Documentos/631/05878328437/6310587832843708092023123450.pdf")</f>
        <v>https://dpmzos25m8ivg.cloudfront.net/Documentos/631/05878328437/6310587832843708092023123450.pdf</v>
      </c>
      <c r="G2733" s="5" t="str">
        <f>HYPERLINK("https://dpmzos25m8ivg.cloudfront.net/Documentos/631/05878328437/6310587832843708092023123503.pdf","https://dpmzos25m8ivg.cloudfront.net/Documentos/631/05878328437/6310587832843708092023123503.pdf")</f>
        <v>https://dpmzos25m8ivg.cloudfront.net/Documentos/631/05878328437/6310587832843708092023123503.pdf</v>
      </c>
      <c r="H2733" s="5" t="s">
        <v>11311</v>
      </c>
    </row>
    <row r="2734" spans="1:8" x14ac:dyDescent="0.25">
      <c r="A2734" s="2" t="s">
        <v>2751</v>
      </c>
      <c r="B2734" s="3"/>
      <c r="C2734" s="3"/>
      <c r="D2734" s="3"/>
      <c r="E2734" s="5" t="str">
        <f>HYPERLINK("https://dpmzos25m8ivg.cloudfront.net/Documentos/631/05879827305/6310587982730505092023095926.pdf","https://dpmzos25m8ivg.cloudfront.net/Documentos/631/05879827305/6310587982730505092023095926.pdf")</f>
        <v>https://dpmzos25m8ivg.cloudfront.net/Documentos/631/05879827305/6310587982730505092023095926.pdf</v>
      </c>
      <c r="F2734" s="5" t="str">
        <f>HYPERLINK("https://dpmzos25m8ivg.cloudfront.net/Documentos/631/05879827305/6310587982730505092023100030.pdf","https://dpmzos25m8ivg.cloudfront.net/Documentos/631/05879827305/6310587982730505092023100030.pdf")</f>
        <v>https://dpmzos25m8ivg.cloudfront.net/Documentos/631/05879827305/6310587982730505092023100030.pdf</v>
      </c>
      <c r="G2734" s="5" t="str">
        <f>HYPERLINK("https://dpmzos25m8ivg.cloudfront.net/Documentos/631/05879827305/6310587982730505092023100218.pdf","https://dpmzos25m8ivg.cloudfront.net/Documentos/631/05879827305/6310587982730505092023100218.pdf")</f>
        <v>https://dpmzos25m8ivg.cloudfront.net/Documentos/631/05879827305/6310587982730505092023100218.pdf</v>
      </c>
      <c r="H2734" s="5" t="s">
        <v>11312</v>
      </c>
    </row>
    <row r="2735" spans="1:8" x14ac:dyDescent="0.25">
      <c r="A2735" s="2" t="s">
        <v>2752</v>
      </c>
      <c r="B2735" s="3"/>
      <c r="C2735" s="3"/>
      <c r="D2735" s="3"/>
      <c r="E2735" s="5" t="str">
        <f>HYPERLINK("https://dpmzos25m8ivg.cloudfront.net/Documentos/631/05880658112/6310588065811210092023204020.pdf","https://dpmzos25m8ivg.cloudfront.net/Documentos/631/05880658112/6310588065811210092023204020.pdf")</f>
        <v>https://dpmzos25m8ivg.cloudfront.net/Documentos/631/05880658112/6310588065811210092023204020.pdf</v>
      </c>
      <c r="F2735" s="5" t="str">
        <f>HYPERLINK("https://dpmzos25m8ivg.cloudfront.net/Documentos/631/05880658112/6310588065811210092023204038.pdf","https://dpmzos25m8ivg.cloudfront.net/Documentos/631/05880658112/6310588065811210092023204038.pdf")</f>
        <v>https://dpmzos25m8ivg.cloudfront.net/Documentos/631/05880658112/6310588065811210092023204038.pdf</v>
      </c>
      <c r="G2735" s="5" t="str">
        <f>HYPERLINK("https://dpmzos25m8ivg.cloudfront.net/Documentos/631/05880658112/6310588065811210092023204059.pdf","https://dpmzos25m8ivg.cloudfront.net/Documentos/631/05880658112/6310588065811210092023204059.pdf")</f>
        <v>https://dpmzos25m8ivg.cloudfront.net/Documentos/631/05880658112/6310588065811210092023204059.pdf</v>
      </c>
      <c r="H2735" s="5" t="s">
        <v>11313</v>
      </c>
    </row>
    <row r="2736" spans="1:8" x14ac:dyDescent="0.25">
      <c r="A2736" s="2" t="s">
        <v>2753</v>
      </c>
      <c r="B2736" s="3" t="s">
        <v>23</v>
      </c>
      <c r="C2736" s="3"/>
      <c r="D2736" s="3"/>
      <c r="E2736" s="5" t="str">
        <f>HYPERLINK("https://dpmzos25m8ivg.cloudfront.net/Documentos/631/05882677327/6310588267732711092023170237.pdf","https://dpmzos25m8ivg.cloudfront.net/Documentos/631/05882677327/6310588267732711092023170237.pdf")</f>
        <v>https://dpmzos25m8ivg.cloudfront.net/Documentos/631/05882677327/6310588267732711092023170237.pdf</v>
      </c>
      <c r="F2736" s="5" t="str">
        <f>HYPERLINK("https://dpmzos25m8ivg.cloudfront.net/Documentos/631/05882677327/6310588267732711092023170310.pdf","https://dpmzos25m8ivg.cloudfront.net/Documentos/631/05882677327/6310588267732711092023170310.pdf")</f>
        <v>https://dpmzos25m8ivg.cloudfront.net/Documentos/631/05882677327/6310588267732711092023170310.pdf</v>
      </c>
      <c r="G2736" s="5" t="str">
        <f>HYPERLINK("https://dpmzos25m8ivg.cloudfront.net/Documentos/631/05882677327/6310588267732714092023143933.pdf","https://dpmzos25m8ivg.cloudfront.net/Documentos/631/05882677327/6310588267732714092023143933.pdf")</f>
        <v>https://dpmzos25m8ivg.cloudfront.net/Documentos/631/05882677327/6310588267732714092023143933.pdf</v>
      </c>
      <c r="H2736" s="5" t="s">
        <v>11314</v>
      </c>
    </row>
    <row r="2737" spans="1:8" x14ac:dyDescent="0.25">
      <c r="A2737" s="2" t="s">
        <v>2754</v>
      </c>
      <c r="B2737" s="3"/>
      <c r="C2737" s="3"/>
      <c r="D2737" s="3"/>
      <c r="E2737" s="5" t="str">
        <f>HYPERLINK("https://dpmzos25m8ivg.cloudfront.net/Documentos/631/05883338593/6310588333859311092023153212.pdf","https://dpmzos25m8ivg.cloudfront.net/Documentos/631/05883338593/6310588333859311092023153212.pdf")</f>
        <v>https://dpmzos25m8ivg.cloudfront.net/Documentos/631/05883338593/6310588333859311092023153212.pdf</v>
      </c>
      <c r="F2737" s="5" t="str">
        <f>HYPERLINK("https://dpmzos25m8ivg.cloudfront.net/Documentos/631/05883338593/6310588333859311092023153223.pdf","https://dpmzos25m8ivg.cloudfront.net/Documentos/631/05883338593/6310588333859311092023153223.pdf")</f>
        <v>https://dpmzos25m8ivg.cloudfront.net/Documentos/631/05883338593/6310588333859311092023153223.pdf</v>
      </c>
      <c r="G2737" s="5" t="str">
        <f>HYPERLINK("https://dpmzos25m8ivg.cloudfront.net/Documentos/631/05883338593/6310588333859311092023153232.pdf","https://dpmzos25m8ivg.cloudfront.net/Documentos/631/05883338593/6310588333859311092023153232.pdf")</f>
        <v>https://dpmzos25m8ivg.cloudfront.net/Documentos/631/05883338593/6310588333859311092023153232.pdf</v>
      </c>
      <c r="H2737" s="5" t="s">
        <v>11315</v>
      </c>
    </row>
    <row r="2738" spans="1:8" x14ac:dyDescent="0.25">
      <c r="A2738" s="2" t="s">
        <v>2755</v>
      </c>
      <c r="B2738" s="3" t="s">
        <v>2358</v>
      </c>
      <c r="C2738" s="3"/>
      <c r="D2738" s="3"/>
      <c r="E2738" s="5" t="str">
        <f>HYPERLINK("https://dpmzos25m8ivg.cloudfront.net/Documentos/631/05884085222/6310588408522204092023231408.jpg","https://dpmzos25m8ivg.cloudfront.net/Documentos/631/05884085222/6310588408522204092023231408.jpg")</f>
        <v>https://dpmzos25m8ivg.cloudfront.net/Documentos/631/05884085222/6310588408522204092023231408.jpg</v>
      </c>
      <c r="F2738" s="5" t="str">
        <f>HYPERLINK("https://dpmzos25m8ivg.cloudfront.net/Documentos/631/05884085222/6310588408522204092023231138.jpg","https://dpmzos25m8ivg.cloudfront.net/Documentos/631/05884085222/6310588408522204092023231138.jpg")</f>
        <v>https://dpmzos25m8ivg.cloudfront.net/Documentos/631/05884085222/6310588408522204092023231138.jpg</v>
      </c>
      <c r="G2738" s="5" t="str">
        <f>HYPERLINK("https://dpmzos25m8ivg.cloudfront.net/Documentos/631/05884085222/6310588408522204092023231228.jpg","https://dpmzos25m8ivg.cloudfront.net/Documentos/631/05884085222/6310588408522204092023231228.jpg")</f>
        <v>https://dpmzos25m8ivg.cloudfront.net/Documentos/631/05884085222/6310588408522204092023231228.jpg</v>
      </c>
      <c r="H2738" s="5" t="s">
        <v>11316</v>
      </c>
    </row>
    <row r="2739" spans="1:8" x14ac:dyDescent="0.25">
      <c r="A2739" s="2" t="s">
        <v>2756</v>
      </c>
      <c r="B2739" s="3"/>
      <c r="C2739" s="3"/>
      <c r="D2739" s="3"/>
      <c r="E2739" s="5" t="str">
        <f>HYPERLINK("https://dpmzos25m8ivg.cloudfront.net/Documentos/631/05885831386/6310588583138605092023204153.pdf","https://dpmzos25m8ivg.cloudfront.net/Documentos/631/05885831386/6310588583138605092023204153.pdf")</f>
        <v>https://dpmzos25m8ivg.cloudfront.net/Documentos/631/05885831386/6310588583138605092023204153.pdf</v>
      </c>
      <c r="F2739" s="5" t="str">
        <f>HYPERLINK("https://dpmzos25m8ivg.cloudfront.net/Documentos/631/05885831386/6310588583138605092023204207.pdf","https://dpmzos25m8ivg.cloudfront.net/Documentos/631/05885831386/6310588583138605092023204207.pdf")</f>
        <v>https://dpmzos25m8ivg.cloudfront.net/Documentos/631/05885831386/6310588583138605092023204207.pdf</v>
      </c>
      <c r="G2739" s="5" t="str">
        <f>HYPERLINK("https://dpmzos25m8ivg.cloudfront.net/Documentos/631/05885831386/6310588583138605092023204221.pdf","https://dpmzos25m8ivg.cloudfront.net/Documentos/631/05885831386/6310588583138605092023204221.pdf")</f>
        <v>https://dpmzos25m8ivg.cloudfront.net/Documentos/631/05885831386/6310588583138605092023204221.pdf</v>
      </c>
      <c r="H2739" s="5" t="s">
        <v>11317</v>
      </c>
    </row>
    <row r="2740" spans="1:8" x14ac:dyDescent="0.25">
      <c r="A2740" s="2" t="s">
        <v>2757</v>
      </c>
      <c r="B2740" s="3"/>
      <c r="C2740" s="3"/>
      <c r="D2740" s="3"/>
      <c r="E2740" s="5" t="str">
        <f>HYPERLINK("https://dpmzos25m8ivg.cloudfront.net/Documentos/631/05886032525/6310588603252505092023210142.pdf","https://dpmzos25m8ivg.cloudfront.net/Documentos/631/05886032525/6310588603252505092023210142.pdf")</f>
        <v>https://dpmzos25m8ivg.cloudfront.net/Documentos/631/05886032525/6310588603252505092023210142.pdf</v>
      </c>
      <c r="F2740" s="5" t="str">
        <f>HYPERLINK("https://dpmzos25m8ivg.cloudfront.net/Documentos/631/05886032525/6310588603252505092023210220.pdf","https://dpmzos25m8ivg.cloudfront.net/Documentos/631/05886032525/6310588603252505092023210220.pdf")</f>
        <v>https://dpmzos25m8ivg.cloudfront.net/Documentos/631/05886032525/6310588603252505092023210220.pdf</v>
      </c>
      <c r="G2740" s="5" t="str">
        <f>HYPERLINK("https://dpmzos25m8ivg.cloudfront.net/Documentos/631/05886032525/6310588603252505092023210318.pdf","https://dpmzos25m8ivg.cloudfront.net/Documentos/631/05886032525/6310588603252505092023210318.pdf")</f>
        <v>https://dpmzos25m8ivg.cloudfront.net/Documentos/631/05886032525/6310588603252505092023210318.pdf</v>
      </c>
      <c r="H2740" s="5" t="s">
        <v>11318</v>
      </c>
    </row>
    <row r="2741" spans="1:8" x14ac:dyDescent="0.25">
      <c r="A2741" s="2" t="s">
        <v>2758</v>
      </c>
      <c r="B2741" s="3"/>
      <c r="C2741" s="3"/>
      <c r="D2741" s="3"/>
      <c r="E2741" s="5" t="str">
        <f>HYPERLINK("https://dpmzos25m8ivg.cloudfront.net/Documentos/631/05891365502/6310589136550206092023220129.pdf","https://dpmzos25m8ivg.cloudfront.net/Documentos/631/05891365502/6310589136550206092023220129.pdf")</f>
        <v>https://dpmzos25m8ivg.cloudfront.net/Documentos/631/05891365502/6310589136550206092023220129.pdf</v>
      </c>
      <c r="F2741" s="5" t="str">
        <f>HYPERLINK("https://dpmzos25m8ivg.cloudfront.net/Documentos/631/05891365502/6310589136550206092023220215.pdf","https://dpmzos25m8ivg.cloudfront.net/Documentos/631/05891365502/6310589136550206092023220215.pdf")</f>
        <v>https://dpmzos25m8ivg.cloudfront.net/Documentos/631/05891365502/6310589136550206092023220215.pdf</v>
      </c>
      <c r="G2741" s="5" t="str">
        <f>HYPERLINK("https://dpmzos25m8ivg.cloudfront.net/Documentos/631/05891365502/6310589136550206092023220333.pdf","https://dpmzos25m8ivg.cloudfront.net/Documentos/631/05891365502/6310589136550206092023220333.pdf")</f>
        <v>https://dpmzos25m8ivg.cloudfront.net/Documentos/631/05891365502/6310589136550206092023220333.pdf</v>
      </c>
      <c r="H2741" s="5" t="s">
        <v>11319</v>
      </c>
    </row>
    <row r="2742" spans="1:8" x14ac:dyDescent="0.25">
      <c r="A2742" s="2" t="s">
        <v>2759</v>
      </c>
      <c r="B2742" s="3"/>
      <c r="C2742" s="3"/>
      <c r="D2742" s="3"/>
      <c r="E2742" s="5" t="str">
        <f>HYPERLINK("https://dpmzos25m8ivg.cloudfront.net/Documentos/631/05895924328/6310589592432810092023191841.pdf","https://dpmzos25m8ivg.cloudfront.net/Documentos/631/05895924328/6310589592432810092023191841.pdf")</f>
        <v>https://dpmzos25m8ivg.cloudfront.net/Documentos/631/05895924328/6310589592432810092023191841.pdf</v>
      </c>
      <c r="F2742" s="5" t="str">
        <f>HYPERLINK("https://dpmzos25m8ivg.cloudfront.net/Documentos/631/05895924328/6310589592432810092023191858.pdf","https://dpmzos25m8ivg.cloudfront.net/Documentos/631/05895924328/6310589592432810092023191858.pdf")</f>
        <v>https://dpmzos25m8ivg.cloudfront.net/Documentos/631/05895924328/6310589592432810092023191858.pdf</v>
      </c>
      <c r="G2742" s="5" t="str">
        <f>HYPERLINK("https://dpmzos25m8ivg.cloudfront.net/Documentos/631/05895924328/6310589592432810092023191915.pdf","https://dpmzos25m8ivg.cloudfront.net/Documentos/631/05895924328/6310589592432810092023191915.pdf")</f>
        <v>https://dpmzos25m8ivg.cloudfront.net/Documentos/631/05895924328/6310589592432810092023191915.pdf</v>
      </c>
      <c r="H2742" s="5" t="s">
        <v>11320</v>
      </c>
    </row>
    <row r="2743" spans="1:8" x14ac:dyDescent="0.25">
      <c r="A2743" s="2" t="s">
        <v>2760</v>
      </c>
      <c r="B2743" s="3"/>
      <c r="C2743" s="3"/>
      <c r="D2743" s="3"/>
      <c r="E2743" s="5" t="str">
        <f>HYPERLINK("https://dpmzos25m8ivg.cloudfront.net/Documentos/631/05896447183/6310589644718306092023102016.pdf","https://dpmzos25m8ivg.cloudfront.net/Documentos/631/05896447183/6310589644718306092023102016.pdf")</f>
        <v>https://dpmzos25m8ivg.cloudfront.net/Documentos/631/05896447183/6310589644718306092023102016.pdf</v>
      </c>
      <c r="F2743" s="5" t="str">
        <f>HYPERLINK("https://dpmzos25m8ivg.cloudfront.net/Documentos/631/05896447183/6310589644718306092023102031.pdf","https://dpmzos25m8ivg.cloudfront.net/Documentos/631/05896447183/6310589644718306092023102031.pdf")</f>
        <v>https://dpmzos25m8ivg.cloudfront.net/Documentos/631/05896447183/6310589644718306092023102031.pdf</v>
      </c>
      <c r="G2743" s="5" t="str">
        <f>HYPERLINK("https://dpmzos25m8ivg.cloudfront.net/Documentos/631/05896447183/6310589644718306092023102039.pdf","https://dpmzos25m8ivg.cloudfront.net/Documentos/631/05896447183/6310589644718306092023102039.pdf")</f>
        <v>https://dpmzos25m8ivg.cloudfront.net/Documentos/631/05896447183/6310589644718306092023102039.pdf</v>
      </c>
      <c r="H2743" s="5" t="s">
        <v>11321</v>
      </c>
    </row>
    <row r="2744" spans="1:8" x14ac:dyDescent="0.25">
      <c r="A2744" s="2" t="s">
        <v>2761</v>
      </c>
      <c r="B2744" s="3"/>
      <c r="C2744" s="3"/>
      <c r="D2744" s="3"/>
      <c r="E2744" s="5" t="str">
        <f>HYPERLINK("https://dpmzos25m8ivg.cloudfront.net/Documentos/631/05901554906/6310590155490611092023124151.pdf","https://dpmzos25m8ivg.cloudfront.net/Documentos/631/05901554906/6310590155490611092023124151.pdf")</f>
        <v>https://dpmzos25m8ivg.cloudfront.net/Documentos/631/05901554906/6310590155490611092023124151.pdf</v>
      </c>
      <c r="F2744" s="5" t="str">
        <f>HYPERLINK("https://dpmzos25m8ivg.cloudfront.net/Documentos/631/05901554906/6310590155490611092023124159.pdf","https://dpmzos25m8ivg.cloudfront.net/Documentos/631/05901554906/6310590155490611092023124159.pdf")</f>
        <v>https://dpmzos25m8ivg.cloudfront.net/Documentos/631/05901554906/6310590155490611092023124159.pdf</v>
      </c>
      <c r="G2744" s="5" t="str">
        <f>HYPERLINK("https://dpmzos25m8ivg.cloudfront.net/Documentos/631/05901554906/6310590155490611092023124209.pdf","https://dpmzos25m8ivg.cloudfront.net/Documentos/631/05901554906/6310590155490611092023124209.pdf")</f>
        <v>https://dpmzos25m8ivg.cloudfront.net/Documentos/631/05901554906/6310590155490611092023124209.pdf</v>
      </c>
      <c r="H2744" s="5" t="s">
        <v>11322</v>
      </c>
    </row>
    <row r="2745" spans="1:8" x14ac:dyDescent="0.25">
      <c r="A2745" s="2" t="s">
        <v>2762</v>
      </c>
      <c r="B2745" s="3"/>
      <c r="C2745" s="3"/>
      <c r="D2745" s="3"/>
      <c r="E2745" s="5" t="str">
        <f>HYPERLINK("https://dpmzos25m8ivg.cloudfront.net/Documentos/631/05902469333/6310590246933310092023140140.jpeg","https://dpmzos25m8ivg.cloudfront.net/Documentos/631/05902469333/6310590246933310092023140140.jpeg")</f>
        <v>https://dpmzos25m8ivg.cloudfront.net/Documentos/631/05902469333/6310590246933310092023140140.jpeg</v>
      </c>
      <c r="F2745" s="5" t="str">
        <f>HYPERLINK("https://dpmzos25m8ivg.cloudfront.net/Documentos/631/05902469333/6310590246933310092023140156.jpeg","https://dpmzos25m8ivg.cloudfront.net/Documentos/631/05902469333/6310590246933310092023140156.jpeg")</f>
        <v>https://dpmzos25m8ivg.cloudfront.net/Documentos/631/05902469333/6310590246933310092023140156.jpeg</v>
      </c>
      <c r="G2745" s="5" t="str">
        <f>HYPERLINK("https://dpmzos25m8ivg.cloudfront.net/Documentos/631/05902469333/6310590246933310092023140207.jpeg","https://dpmzos25m8ivg.cloudfront.net/Documentos/631/05902469333/6310590246933310092023140207.jpeg")</f>
        <v>https://dpmzos25m8ivg.cloudfront.net/Documentos/631/05902469333/6310590246933310092023140207.jpeg</v>
      </c>
      <c r="H2745" s="5" t="s">
        <v>11323</v>
      </c>
    </row>
    <row r="2746" spans="1:8" x14ac:dyDescent="0.25">
      <c r="A2746" s="2" t="s">
        <v>2763</v>
      </c>
      <c r="B2746" s="3"/>
      <c r="C2746" s="3"/>
      <c r="D2746" s="3"/>
      <c r="E2746" s="5" t="str">
        <f>HYPERLINK("https://dpmzos25m8ivg.cloudfront.net/Documentos/631/05902855489/6310590285548907092023091012.pdf","https://dpmzos25m8ivg.cloudfront.net/Documentos/631/05902855489/6310590285548907092023091012.pdf")</f>
        <v>https://dpmzos25m8ivg.cloudfront.net/Documentos/631/05902855489/6310590285548907092023091012.pdf</v>
      </c>
      <c r="F2746" s="5" t="str">
        <f>HYPERLINK("https://dpmzos25m8ivg.cloudfront.net/Documentos/631/05902855489/6310590285548907092023091034.pdf","https://dpmzos25m8ivg.cloudfront.net/Documentos/631/05902855489/6310590285548907092023091034.pdf")</f>
        <v>https://dpmzos25m8ivg.cloudfront.net/Documentos/631/05902855489/6310590285548907092023091034.pdf</v>
      </c>
      <c r="G2746" s="5" t="str">
        <f>HYPERLINK("https://dpmzos25m8ivg.cloudfront.net/Documentos/631/05902855489/6310590285548907092023091055.pdf","https://dpmzos25m8ivg.cloudfront.net/Documentos/631/05902855489/6310590285548907092023091055.pdf")</f>
        <v>https://dpmzos25m8ivg.cloudfront.net/Documentos/631/05902855489/6310590285548907092023091055.pdf</v>
      </c>
      <c r="H2746" s="5" t="s">
        <v>11324</v>
      </c>
    </row>
    <row r="2747" spans="1:8" x14ac:dyDescent="0.25">
      <c r="A2747" s="2" t="s">
        <v>2764</v>
      </c>
      <c r="B2747" s="3"/>
      <c r="C2747" s="3"/>
      <c r="D2747" s="3"/>
      <c r="E2747" s="5" t="str">
        <f>HYPERLINK("https://dpmzos25m8ivg.cloudfront.net/Documentos/631/05902868548/6310590286854806092023154657.pdf","https://dpmzos25m8ivg.cloudfront.net/Documentos/631/05902868548/6310590286854806092023154657.pdf")</f>
        <v>https://dpmzos25m8ivg.cloudfront.net/Documentos/631/05902868548/6310590286854806092023154657.pdf</v>
      </c>
      <c r="F2747" s="5" t="str">
        <f>HYPERLINK("https://dpmzos25m8ivg.cloudfront.net/Documentos/631/05902868548/6310590286854806092023154734.pdf","https://dpmzos25m8ivg.cloudfront.net/Documentos/631/05902868548/6310590286854806092023154734.pdf")</f>
        <v>https://dpmzos25m8ivg.cloudfront.net/Documentos/631/05902868548/6310590286854806092023154734.pdf</v>
      </c>
      <c r="G2747" s="5" t="str">
        <f>HYPERLINK("https://dpmzos25m8ivg.cloudfront.net/Documentos/631/05902868548/6310590286854806092023154745.pdf","https://dpmzos25m8ivg.cloudfront.net/Documentos/631/05902868548/6310590286854806092023154745.pdf")</f>
        <v>https://dpmzos25m8ivg.cloudfront.net/Documentos/631/05902868548/6310590286854806092023154745.pdf</v>
      </c>
      <c r="H2747" s="5" t="s">
        <v>11325</v>
      </c>
    </row>
    <row r="2748" spans="1:8" x14ac:dyDescent="0.25">
      <c r="A2748" s="2" t="s">
        <v>2765</v>
      </c>
      <c r="B2748" s="3"/>
      <c r="C2748" s="3"/>
      <c r="D2748" s="3"/>
      <c r="E2748" s="5" t="str">
        <f>HYPERLINK("https://dpmzos25m8ivg.cloudfront.net/Documentos/631/05904194986/6310590419498605092023120033.pdf","https://dpmzos25m8ivg.cloudfront.net/Documentos/631/05904194986/6310590419498605092023120033.pdf")</f>
        <v>https://dpmzos25m8ivg.cloudfront.net/Documentos/631/05904194986/6310590419498605092023120033.pdf</v>
      </c>
      <c r="F2748" s="5" t="str">
        <f>HYPERLINK("https://dpmzos25m8ivg.cloudfront.net/Documentos/631/05904194986/6310590419498605092023120047.pdf","https://dpmzos25m8ivg.cloudfront.net/Documentos/631/05904194986/6310590419498605092023120047.pdf")</f>
        <v>https://dpmzos25m8ivg.cloudfront.net/Documentos/631/05904194986/6310590419498605092023120047.pdf</v>
      </c>
      <c r="G2748" s="5" t="str">
        <f>HYPERLINK("https://dpmzos25m8ivg.cloudfront.net/Documentos/631/05904194986/6310590419498605092023120055.pdf","https://dpmzos25m8ivg.cloudfront.net/Documentos/631/05904194986/6310590419498605092023120055.pdf")</f>
        <v>https://dpmzos25m8ivg.cloudfront.net/Documentos/631/05904194986/6310590419498605092023120055.pdf</v>
      </c>
      <c r="H2748" s="5" t="s">
        <v>11326</v>
      </c>
    </row>
    <row r="2749" spans="1:8" x14ac:dyDescent="0.25">
      <c r="A2749" s="2" t="s">
        <v>2766</v>
      </c>
      <c r="B2749" s="3" t="s">
        <v>8</v>
      </c>
      <c r="C2749" s="3"/>
      <c r="D2749" s="3"/>
      <c r="E2749" s="5" t="str">
        <f>HYPERLINK("https://dpmzos25m8ivg.cloudfront.net/Documentos/631/05904762976/6310590476297611092023152311.jpeg","https://dpmzos25m8ivg.cloudfront.net/Documentos/631/05904762976/6310590476297611092023152311.jpeg")</f>
        <v>https://dpmzos25m8ivg.cloudfront.net/Documentos/631/05904762976/6310590476297611092023152311.jpeg</v>
      </c>
      <c r="F2749" s="5" t="str">
        <f>HYPERLINK("https://dpmzos25m8ivg.cloudfront.net/Documentos/631/05904762976/6310590476297611092023152326.jpeg","https://dpmzos25m8ivg.cloudfront.net/Documentos/631/05904762976/6310590476297611092023152326.jpeg")</f>
        <v>https://dpmzos25m8ivg.cloudfront.net/Documentos/631/05904762976/6310590476297611092023152326.jpeg</v>
      </c>
      <c r="G2749" s="5" t="str">
        <f>HYPERLINK("https://dpmzos25m8ivg.cloudfront.net/Documentos/631/05904762976/6310590476297611092023152340.jpeg","https://dpmzos25m8ivg.cloudfront.net/Documentos/631/05904762976/6310590476297611092023152340.jpeg")</f>
        <v>https://dpmzos25m8ivg.cloudfront.net/Documentos/631/05904762976/6310590476297611092023152340.jpeg</v>
      </c>
      <c r="H2749" s="5" t="s">
        <v>11327</v>
      </c>
    </row>
    <row r="2750" spans="1:8" x14ac:dyDescent="0.25">
      <c r="A2750" s="2" t="s">
        <v>2767</v>
      </c>
      <c r="B2750" s="3"/>
      <c r="C2750" s="3"/>
      <c r="D2750" s="3"/>
      <c r="E2750" s="5" t="str">
        <f>HYPERLINK("https://dpmzos25m8ivg.cloudfront.net/Documentos/631/05908596337/6310590859633711092023121708.pdf","https://dpmzos25m8ivg.cloudfront.net/Documentos/631/05908596337/6310590859633711092023121708.pdf")</f>
        <v>https://dpmzos25m8ivg.cloudfront.net/Documentos/631/05908596337/6310590859633711092023121708.pdf</v>
      </c>
      <c r="F2750" s="5" t="str">
        <f>HYPERLINK("https://dpmzos25m8ivg.cloudfront.net/Documentos/631/05908596337/6310590859633711092023121727.pdf","https://dpmzos25m8ivg.cloudfront.net/Documentos/631/05908596337/6310590859633711092023121727.pdf")</f>
        <v>https://dpmzos25m8ivg.cloudfront.net/Documentos/631/05908596337/6310590859633711092023121727.pdf</v>
      </c>
      <c r="G2750" s="5" t="str">
        <f>HYPERLINK("https://dpmzos25m8ivg.cloudfront.net/Documentos/631/05908596337/6310590859633711092023121739.pdf","https://dpmzos25m8ivg.cloudfront.net/Documentos/631/05908596337/6310590859633711092023121739.pdf")</f>
        <v>https://dpmzos25m8ivg.cloudfront.net/Documentos/631/05908596337/6310590859633711092023121739.pdf</v>
      </c>
      <c r="H2750" s="5" t="s">
        <v>11328</v>
      </c>
    </row>
    <row r="2751" spans="1:8" x14ac:dyDescent="0.25">
      <c r="A2751" s="2" t="s">
        <v>2768</v>
      </c>
      <c r="B2751" s="3" t="s">
        <v>8</v>
      </c>
      <c r="C2751" s="3"/>
      <c r="D2751" s="3"/>
      <c r="E2751" s="5" t="str">
        <f>HYPERLINK("https://dpmzos25m8ivg.cloudfront.net/Documentos/631/05911456346/6310591145634608092023192910.jpg","https://dpmzos25m8ivg.cloudfront.net/Documentos/631/05911456346/6310591145634608092023192910.jpg")</f>
        <v>https://dpmzos25m8ivg.cloudfront.net/Documentos/631/05911456346/6310591145634608092023192910.jpg</v>
      </c>
      <c r="F2751" s="5" t="str">
        <f>HYPERLINK("https://dpmzos25m8ivg.cloudfront.net/Documentos/631/05911456346/6310591145634608092023193126.jpg","https://dpmzos25m8ivg.cloudfront.net/Documentos/631/05911456346/6310591145634608092023193126.jpg")</f>
        <v>https://dpmzos25m8ivg.cloudfront.net/Documentos/631/05911456346/6310591145634608092023193126.jpg</v>
      </c>
      <c r="G2751" s="5" t="str">
        <f>HYPERLINK("https://dpmzos25m8ivg.cloudfront.net/Documentos/631/05911456346/6310591145634608092023193607.jpg","https://dpmzos25m8ivg.cloudfront.net/Documentos/631/05911456346/6310591145634608092023193607.jpg")</f>
        <v>https://dpmzos25m8ivg.cloudfront.net/Documentos/631/05911456346/6310591145634608092023193607.jpg</v>
      </c>
      <c r="H2751" s="5" t="s">
        <v>11329</v>
      </c>
    </row>
    <row r="2752" spans="1:8" x14ac:dyDescent="0.25">
      <c r="A2752" s="2" t="s">
        <v>2769</v>
      </c>
      <c r="B2752" s="3"/>
      <c r="C2752" s="3"/>
      <c r="D2752" s="3"/>
      <c r="E2752" s="5" t="str">
        <f>HYPERLINK("https://dpmzos25m8ivg.cloudfront.net/Documentos/631/05911727390/6310591172739010092023102132.pdf","https://dpmzos25m8ivg.cloudfront.net/Documentos/631/05911727390/6310591172739010092023102132.pdf")</f>
        <v>https://dpmzos25m8ivg.cloudfront.net/Documentos/631/05911727390/6310591172739010092023102132.pdf</v>
      </c>
      <c r="F2752" s="5" t="str">
        <f>HYPERLINK("https://dpmzos25m8ivg.cloudfront.net/Documentos/631/05911727390/6310591172739010092023102145.pdf","https://dpmzos25m8ivg.cloudfront.net/Documentos/631/05911727390/6310591172739010092023102145.pdf")</f>
        <v>https://dpmzos25m8ivg.cloudfront.net/Documentos/631/05911727390/6310591172739010092023102145.pdf</v>
      </c>
      <c r="G2752" s="5" t="str">
        <f>HYPERLINK("https://dpmzos25m8ivg.cloudfront.net/Documentos/631/05911727390/6310591172739010092023102158.pdf","https://dpmzos25m8ivg.cloudfront.net/Documentos/631/05911727390/6310591172739010092023102158.pdf")</f>
        <v>https://dpmzos25m8ivg.cloudfront.net/Documentos/631/05911727390/6310591172739010092023102158.pdf</v>
      </c>
      <c r="H2752" s="5" t="s">
        <v>11330</v>
      </c>
    </row>
    <row r="2753" spans="1:8" x14ac:dyDescent="0.25">
      <c r="A2753" s="2" t="s">
        <v>2770</v>
      </c>
      <c r="B2753" s="3"/>
      <c r="C2753" s="3"/>
      <c r="D2753" s="3"/>
      <c r="E2753" s="5" t="str">
        <f>HYPERLINK("https://dpmzos25m8ivg.cloudfront.net/Documentos/631/05911751186/6310591175118612092023195435.pdf","https://dpmzos25m8ivg.cloudfront.net/Documentos/631/05911751186/6310591175118612092023195435.pdf")</f>
        <v>https://dpmzos25m8ivg.cloudfront.net/Documentos/631/05911751186/6310591175118612092023195435.pdf</v>
      </c>
      <c r="F2753" s="5" t="str">
        <f>HYPERLINK("https://dpmzos25m8ivg.cloudfront.net/Documentos/631/05911751186/6310591175118612092023195504.pdf","https://dpmzos25m8ivg.cloudfront.net/Documentos/631/05911751186/6310591175118612092023195504.pdf")</f>
        <v>https://dpmzos25m8ivg.cloudfront.net/Documentos/631/05911751186/6310591175118612092023195504.pdf</v>
      </c>
      <c r="G2753" s="5" t="str">
        <f>HYPERLINK("https://dpmzos25m8ivg.cloudfront.net/Documentos/631/05911751186/6310591175118612092023195518.pdf","https://dpmzos25m8ivg.cloudfront.net/Documentos/631/05911751186/6310591175118612092023195518.pdf")</f>
        <v>https://dpmzos25m8ivg.cloudfront.net/Documentos/631/05911751186/6310591175118612092023195518.pdf</v>
      </c>
      <c r="H2753" s="5" t="s">
        <v>11331</v>
      </c>
    </row>
    <row r="2754" spans="1:8" x14ac:dyDescent="0.25">
      <c r="A2754" s="2" t="s">
        <v>2771</v>
      </c>
      <c r="B2754" s="3"/>
      <c r="C2754" s="3"/>
      <c r="D2754" s="3"/>
      <c r="E2754" s="5" t="str">
        <f>HYPERLINK("https://dpmzos25m8ivg.cloudfront.net/Documentos/631/05914352339/6310591435233911092023162224.pdf","https://dpmzos25m8ivg.cloudfront.net/Documentos/631/05914352339/6310591435233911092023162224.pdf")</f>
        <v>https://dpmzos25m8ivg.cloudfront.net/Documentos/631/05914352339/6310591435233911092023162224.pdf</v>
      </c>
      <c r="F2754" s="5" t="str">
        <f>HYPERLINK("https://dpmzos25m8ivg.cloudfront.net/Documentos/631/05914352339/6310591435233911092023162244.pdf","https://dpmzos25m8ivg.cloudfront.net/Documentos/631/05914352339/6310591435233911092023162244.pdf")</f>
        <v>https://dpmzos25m8ivg.cloudfront.net/Documentos/631/05914352339/6310591435233911092023162244.pdf</v>
      </c>
      <c r="G2754" s="5" t="str">
        <f>HYPERLINK("https://dpmzos25m8ivg.cloudfront.net/Documentos/631/05914352339/6310591435233911092023162306.pdf","https://dpmzos25m8ivg.cloudfront.net/Documentos/631/05914352339/6310591435233911092023162306.pdf")</f>
        <v>https://dpmzos25m8ivg.cloudfront.net/Documentos/631/05914352339/6310591435233911092023162306.pdf</v>
      </c>
      <c r="H2754" s="5" t="s">
        <v>11332</v>
      </c>
    </row>
    <row r="2755" spans="1:8" x14ac:dyDescent="0.25">
      <c r="A2755" s="2" t="s">
        <v>2772</v>
      </c>
      <c r="B2755" s="3"/>
      <c r="C2755" s="3"/>
      <c r="D2755" s="3"/>
      <c r="E2755" s="5" t="str">
        <f>HYPERLINK("https://dpmzos25m8ivg.cloudfront.net/Documentos/631/05914714346/6310591471434611092023002912.pdf","https://dpmzos25m8ivg.cloudfront.net/Documentos/631/05914714346/6310591471434611092023002912.pdf")</f>
        <v>https://dpmzos25m8ivg.cloudfront.net/Documentos/631/05914714346/6310591471434611092023002912.pdf</v>
      </c>
      <c r="F2755" s="5" t="str">
        <f>HYPERLINK("https://dpmzos25m8ivg.cloudfront.net/Documentos/631/05914714346/6310591471434611092023002935.pdf","https://dpmzos25m8ivg.cloudfront.net/Documentos/631/05914714346/6310591471434611092023002935.pdf")</f>
        <v>https://dpmzos25m8ivg.cloudfront.net/Documentos/631/05914714346/6310591471434611092023002935.pdf</v>
      </c>
      <c r="G2755" s="5" t="str">
        <f>HYPERLINK("https://dpmzos25m8ivg.cloudfront.net/Documentos/631/05914714346/6310591471434611092023002953.pdf","https://dpmzos25m8ivg.cloudfront.net/Documentos/631/05914714346/6310591471434611092023002953.pdf")</f>
        <v>https://dpmzos25m8ivg.cloudfront.net/Documentos/631/05914714346/6310591471434611092023002953.pdf</v>
      </c>
      <c r="H2755" s="5" t="s">
        <v>11333</v>
      </c>
    </row>
    <row r="2756" spans="1:8" x14ac:dyDescent="0.25">
      <c r="A2756" s="2" t="s">
        <v>2773</v>
      </c>
      <c r="B2756" s="3"/>
      <c r="C2756" s="3"/>
      <c r="D2756" s="3"/>
      <c r="E2756" s="5" t="str">
        <f>HYPERLINK("https://dpmzos25m8ivg.cloudfront.net/Documentos/631/05916960700/6310591696070011092023085739.pdf","https://dpmzos25m8ivg.cloudfront.net/Documentos/631/05916960700/6310591696070011092023085739.pdf")</f>
        <v>https://dpmzos25m8ivg.cloudfront.net/Documentos/631/05916960700/6310591696070011092023085739.pdf</v>
      </c>
      <c r="F2756" s="5" t="str">
        <f>HYPERLINK("https://dpmzos25m8ivg.cloudfront.net/Documentos/631/05916960700/6310591696070011092023085747.pdf","https://dpmzos25m8ivg.cloudfront.net/Documentos/631/05916960700/6310591696070011092023085747.pdf")</f>
        <v>https://dpmzos25m8ivg.cloudfront.net/Documentos/631/05916960700/6310591696070011092023085747.pdf</v>
      </c>
      <c r="G2756" s="5" t="str">
        <f>HYPERLINK("https://dpmzos25m8ivg.cloudfront.net/Documentos/631/05916960700/6310591696070011092023085755.pdf","https://dpmzos25m8ivg.cloudfront.net/Documentos/631/05916960700/6310591696070011092023085755.pdf")</f>
        <v>https://dpmzos25m8ivg.cloudfront.net/Documentos/631/05916960700/6310591696070011092023085755.pdf</v>
      </c>
      <c r="H2756" s="5" t="s">
        <v>11334</v>
      </c>
    </row>
    <row r="2757" spans="1:8" x14ac:dyDescent="0.25">
      <c r="A2757" s="2" t="s">
        <v>2774</v>
      </c>
      <c r="B2757" s="3"/>
      <c r="C2757" s="3"/>
      <c r="D2757" s="3"/>
      <c r="E2757" s="5" t="str">
        <f>HYPERLINK("https://dpmzos25m8ivg.cloudfront.net/Documentos/631/05918656103/6310591865610305092023175933.jpg","https://dpmzos25m8ivg.cloudfront.net/Documentos/631/05918656103/6310591865610305092023175933.jpg")</f>
        <v>https://dpmzos25m8ivg.cloudfront.net/Documentos/631/05918656103/6310591865610305092023175933.jpg</v>
      </c>
      <c r="F2757" s="5" t="str">
        <f>HYPERLINK("https://dpmzos25m8ivg.cloudfront.net/Documentos/631/05918656103/6310591865610305092023180046.jpg","https://dpmzos25m8ivg.cloudfront.net/Documentos/631/05918656103/6310591865610305092023180046.jpg")</f>
        <v>https://dpmzos25m8ivg.cloudfront.net/Documentos/631/05918656103/6310591865610305092023180046.jpg</v>
      </c>
      <c r="G2757" s="5" t="str">
        <f>HYPERLINK("https://dpmzos25m8ivg.cloudfront.net/Documentos/631/05918656103/6310591865610305092023180151.jpg","https://dpmzos25m8ivg.cloudfront.net/Documentos/631/05918656103/6310591865610305092023180151.jpg")</f>
        <v>https://dpmzos25m8ivg.cloudfront.net/Documentos/631/05918656103/6310591865610305092023180151.jpg</v>
      </c>
      <c r="H2757" s="5" t="s">
        <v>11335</v>
      </c>
    </row>
    <row r="2758" spans="1:8" x14ac:dyDescent="0.25">
      <c r="A2758" s="2" t="s">
        <v>2775</v>
      </c>
      <c r="B2758" s="3"/>
      <c r="C2758" s="3"/>
      <c r="D2758" s="3"/>
      <c r="E2758" s="5" t="str">
        <f>HYPERLINK("https://dpmzos25m8ivg.cloudfront.net/Documentos/631/05920169516/6310592016951604092023233556.jpeg","https://dpmzos25m8ivg.cloudfront.net/Documentos/631/05920169516/6310592016951604092023233556.jpeg")</f>
        <v>https://dpmzos25m8ivg.cloudfront.net/Documentos/631/05920169516/6310592016951604092023233556.jpeg</v>
      </c>
      <c r="F2758" s="5" t="str">
        <f>HYPERLINK("https://dpmzos25m8ivg.cloudfront.net/Documentos/631/05920169516/6310592016951604092023235955.jpeg","https://dpmzos25m8ivg.cloudfront.net/Documentos/631/05920169516/6310592016951604092023235955.jpeg")</f>
        <v>https://dpmzos25m8ivg.cloudfront.net/Documentos/631/05920169516/6310592016951604092023235955.jpeg</v>
      </c>
      <c r="G2758" s="5" t="str">
        <f>HYPERLINK("https://dpmzos25m8ivg.cloudfront.net/Documentos/631/05920169516/6310592016951604092023234252.jpeg","https://dpmzos25m8ivg.cloudfront.net/Documentos/631/05920169516/6310592016951604092023234252.jpeg")</f>
        <v>https://dpmzos25m8ivg.cloudfront.net/Documentos/631/05920169516/6310592016951604092023234252.jpeg</v>
      </c>
      <c r="H2758" s="5" t="s">
        <v>11336</v>
      </c>
    </row>
    <row r="2759" spans="1:8" x14ac:dyDescent="0.25">
      <c r="A2759" s="2" t="s">
        <v>2776</v>
      </c>
      <c r="B2759" s="3"/>
      <c r="C2759" s="3"/>
      <c r="D2759" s="3"/>
      <c r="E2759" s="5" t="str">
        <f>HYPERLINK("https://dpmzos25m8ivg.cloudfront.net/Documentos/631/05921435627/6310592143562708092023133527.pdf","https://dpmzos25m8ivg.cloudfront.net/Documentos/631/05921435627/6310592143562708092023133527.pdf")</f>
        <v>https://dpmzos25m8ivg.cloudfront.net/Documentos/631/05921435627/6310592143562708092023133527.pdf</v>
      </c>
      <c r="F2759" s="5" t="str">
        <f>HYPERLINK("https://dpmzos25m8ivg.cloudfront.net/Documentos/631/05921435627/6310592143562708092023133537.pdf","https://dpmzos25m8ivg.cloudfront.net/Documentos/631/05921435627/6310592143562708092023133537.pdf")</f>
        <v>https://dpmzos25m8ivg.cloudfront.net/Documentos/631/05921435627/6310592143562708092023133537.pdf</v>
      </c>
      <c r="G2759" s="5" t="str">
        <f>HYPERLINK("https://dpmzos25m8ivg.cloudfront.net/Documentos/631/05921435627/6310592143562708092023133546.pdf","https://dpmzos25m8ivg.cloudfront.net/Documentos/631/05921435627/6310592143562708092023133546.pdf")</f>
        <v>https://dpmzos25m8ivg.cloudfront.net/Documentos/631/05921435627/6310592143562708092023133546.pdf</v>
      </c>
      <c r="H2759" s="5" t="s">
        <v>11337</v>
      </c>
    </row>
    <row r="2760" spans="1:8" x14ac:dyDescent="0.25">
      <c r="A2760" s="2" t="s">
        <v>2777</v>
      </c>
      <c r="B2760" s="3"/>
      <c r="C2760" s="3"/>
      <c r="D2760" s="3"/>
      <c r="E2760" s="5" t="str">
        <f>HYPERLINK("https://dpmzos25m8ivg.cloudfront.net/Documentos/631/05925719123/6310592571912311092023113255.pdf","https://dpmzos25m8ivg.cloudfront.net/Documentos/631/05925719123/6310592571912311092023113255.pdf")</f>
        <v>https://dpmzos25m8ivg.cloudfront.net/Documentos/631/05925719123/6310592571912311092023113255.pdf</v>
      </c>
      <c r="F2760" s="5" t="str">
        <f>HYPERLINK("https://dpmzos25m8ivg.cloudfront.net/Documentos/631/05925719123/6310592571912311092023135030.pdf","https://dpmzos25m8ivg.cloudfront.net/Documentos/631/05925719123/6310592571912311092023135030.pdf")</f>
        <v>https://dpmzos25m8ivg.cloudfront.net/Documentos/631/05925719123/6310592571912311092023135030.pdf</v>
      </c>
      <c r="G2760" s="5" t="str">
        <f>HYPERLINK("https://dpmzos25m8ivg.cloudfront.net/Documentos/631/05925719123/6310592571912311092023135046.pdf","https://dpmzos25m8ivg.cloudfront.net/Documentos/631/05925719123/6310592571912311092023135046.pdf")</f>
        <v>https://dpmzos25m8ivg.cloudfront.net/Documentos/631/05925719123/6310592571912311092023135046.pdf</v>
      </c>
      <c r="H2760" s="5" t="s">
        <v>11338</v>
      </c>
    </row>
    <row r="2761" spans="1:8" x14ac:dyDescent="0.25">
      <c r="A2761" s="2" t="s">
        <v>2778</v>
      </c>
      <c r="B2761" s="3" t="s">
        <v>23</v>
      </c>
      <c r="C2761" s="3"/>
      <c r="D2761" s="3"/>
      <c r="E2761" s="5" t="str">
        <f>HYPERLINK("https://dpmzos25m8ivg.cloudfront.net/Documentos/631/05926085578/6310592608557811092023163014.pdf","https://dpmzos25m8ivg.cloudfront.net/Documentos/631/05926085578/6310592608557811092023163014.pdf")</f>
        <v>https://dpmzos25m8ivg.cloudfront.net/Documentos/631/05926085578/6310592608557811092023163014.pdf</v>
      </c>
      <c r="F2761" s="5" t="str">
        <f>HYPERLINK("https://dpmzos25m8ivg.cloudfront.net/Documentos/631/05926085578/6310592608557811092023163023.pdf","https://dpmzos25m8ivg.cloudfront.net/Documentos/631/05926085578/6310592608557811092023163023.pdf")</f>
        <v>https://dpmzos25m8ivg.cloudfront.net/Documentos/631/05926085578/6310592608557811092023163023.pdf</v>
      </c>
      <c r="G2761" s="5" t="str">
        <f>HYPERLINK("https://dpmzos25m8ivg.cloudfront.net/Documentos/631/05926085578/6310592608557811092023163031.pdf","https://dpmzos25m8ivg.cloudfront.net/Documentos/631/05926085578/6310592608557811092023163031.pdf")</f>
        <v>https://dpmzos25m8ivg.cloudfront.net/Documentos/631/05926085578/6310592608557811092023163031.pdf</v>
      </c>
      <c r="H2761" s="5" t="s">
        <v>11339</v>
      </c>
    </row>
    <row r="2762" spans="1:8" x14ac:dyDescent="0.25">
      <c r="A2762" s="2" t="s">
        <v>2779</v>
      </c>
      <c r="B2762" s="3"/>
      <c r="C2762" s="3"/>
      <c r="D2762" s="3"/>
      <c r="E2762" s="5" t="str">
        <f>HYPERLINK("https://dpmzos25m8ivg.cloudfront.net/Documentos/631/05926185106/6310592618510611092023141709.pdf","https://dpmzos25m8ivg.cloudfront.net/Documentos/631/05926185106/6310592618510611092023141709.pdf")</f>
        <v>https://dpmzos25m8ivg.cloudfront.net/Documentos/631/05926185106/6310592618510611092023141709.pdf</v>
      </c>
      <c r="F2762" s="5" t="str">
        <f>HYPERLINK("https://dpmzos25m8ivg.cloudfront.net/Documentos/631/05926185106/6310592618510611092023141739.pdf","https://dpmzos25m8ivg.cloudfront.net/Documentos/631/05926185106/6310592618510611092023141739.pdf")</f>
        <v>https://dpmzos25m8ivg.cloudfront.net/Documentos/631/05926185106/6310592618510611092023141739.pdf</v>
      </c>
      <c r="G2762" s="5" t="str">
        <f>HYPERLINK("https://dpmzos25m8ivg.cloudfront.net/Documentos/631/05926185106/6310592618510611092023141753.pdf","https://dpmzos25m8ivg.cloudfront.net/Documentos/631/05926185106/6310592618510611092023141753.pdf")</f>
        <v>https://dpmzos25m8ivg.cloudfront.net/Documentos/631/05926185106/6310592618510611092023141753.pdf</v>
      </c>
      <c r="H2762" s="5" t="s">
        <v>11340</v>
      </c>
    </row>
    <row r="2763" spans="1:8" x14ac:dyDescent="0.25">
      <c r="A2763" s="2" t="s">
        <v>2780</v>
      </c>
      <c r="B2763" s="3"/>
      <c r="C2763" s="3"/>
      <c r="D2763" s="3"/>
      <c r="E2763" s="5" t="str">
        <f>HYPERLINK("https://dpmzos25m8ivg.cloudfront.net/Documentos/631/05927932495/6310592793249508092023214621.pdf","https://dpmzos25m8ivg.cloudfront.net/Documentos/631/05927932495/6310592793249508092023214621.pdf")</f>
        <v>https://dpmzos25m8ivg.cloudfront.net/Documentos/631/05927932495/6310592793249508092023214621.pdf</v>
      </c>
      <c r="F2763" s="5" t="str">
        <f>HYPERLINK("https://dpmzos25m8ivg.cloudfront.net/Documentos/631/05927932495/6310592793249508092023215104.pdf","https://dpmzos25m8ivg.cloudfront.net/Documentos/631/05927932495/6310592793249508092023215104.pdf")</f>
        <v>https://dpmzos25m8ivg.cloudfront.net/Documentos/631/05927932495/6310592793249508092023215104.pdf</v>
      </c>
      <c r="G2763" s="5" t="str">
        <f>HYPERLINK("https://dpmzos25m8ivg.cloudfront.net/Documentos/631/05927932495/6310592793249508092023215549.pdf","https://dpmzos25m8ivg.cloudfront.net/Documentos/631/05927932495/6310592793249508092023215549.pdf")</f>
        <v>https://dpmzos25m8ivg.cloudfront.net/Documentos/631/05927932495/6310592793249508092023215549.pdf</v>
      </c>
      <c r="H2763" s="5" t="s">
        <v>11341</v>
      </c>
    </row>
    <row r="2764" spans="1:8" x14ac:dyDescent="0.25">
      <c r="A2764" s="2" t="s">
        <v>2781</v>
      </c>
      <c r="B2764" s="3" t="s">
        <v>8</v>
      </c>
      <c r="C2764" s="3"/>
      <c r="D2764" s="3"/>
      <c r="E2764" s="5" t="str">
        <f>HYPERLINK("https://dpmzos25m8ivg.cloudfront.net/Documentos/631/05928081570/6310592808157005092023203331.jpeg","https://dpmzos25m8ivg.cloudfront.net/Documentos/631/05928081570/6310592808157005092023203331.jpeg")</f>
        <v>https://dpmzos25m8ivg.cloudfront.net/Documentos/631/05928081570/6310592808157005092023203331.jpeg</v>
      </c>
      <c r="F2764" s="5" t="str">
        <f>HYPERLINK("https://dpmzos25m8ivg.cloudfront.net/Documentos/631/05928081570/6310592808157005092023203339.jpeg","https://dpmzos25m8ivg.cloudfront.net/Documentos/631/05928081570/6310592808157005092023203339.jpeg")</f>
        <v>https://dpmzos25m8ivg.cloudfront.net/Documentos/631/05928081570/6310592808157005092023203339.jpeg</v>
      </c>
      <c r="G2764" s="5" t="str">
        <f>HYPERLINK("https://dpmzos25m8ivg.cloudfront.net/Documentos/631/05928081570/6310592808157005092023203346.jpeg","https://dpmzos25m8ivg.cloudfront.net/Documentos/631/05928081570/6310592808157005092023203346.jpeg")</f>
        <v>https://dpmzos25m8ivg.cloudfront.net/Documentos/631/05928081570/6310592808157005092023203346.jpeg</v>
      </c>
      <c r="H2764" s="5" t="s">
        <v>11342</v>
      </c>
    </row>
    <row r="2765" spans="1:8" x14ac:dyDescent="0.25">
      <c r="A2765" s="2" t="s">
        <v>2782</v>
      </c>
      <c r="B2765" s="3"/>
      <c r="C2765" s="3"/>
      <c r="D2765" s="3"/>
      <c r="E2765" s="5" t="str">
        <f>HYPERLINK("https://dpmzos25m8ivg.cloudfront.net/Documentos/631/05929469164/6310592946916406092023000124.pdf","https://dpmzos25m8ivg.cloudfront.net/Documentos/631/05929469164/6310592946916406092023000124.pdf")</f>
        <v>https://dpmzos25m8ivg.cloudfront.net/Documentos/631/05929469164/6310592946916406092023000124.pdf</v>
      </c>
      <c r="F2765" s="5" t="str">
        <f>HYPERLINK("https://dpmzos25m8ivg.cloudfront.net/Documentos/631/05929469164/6310592946916406092023000140.pdf","https://dpmzos25m8ivg.cloudfront.net/Documentos/631/05929469164/6310592946916406092023000140.pdf")</f>
        <v>https://dpmzos25m8ivg.cloudfront.net/Documentos/631/05929469164/6310592946916406092023000140.pdf</v>
      </c>
      <c r="G2765" s="5" t="str">
        <f>HYPERLINK("https://dpmzos25m8ivg.cloudfront.net/Documentos/631/05929469164/6310592946916406092023000154.pdf","https://dpmzos25m8ivg.cloudfront.net/Documentos/631/05929469164/6310592946916406092023000154.pdf")</f>
        <v>https://dpmzos25m8ivg.cloudfront.net/Documentos/631/05929469164/6310592946916406092023000154.pdf</v>
      </c>
      <c r="H2765" s="5" t="s">
        <v>11343</v>
      </c>
    </row>
    <row r="2766" spans="1:8" x14ac:dyDescent="0.25">
      <c r="A2766" s="2" t="s">
        <v>2783</v>
      </c>
      <c r="B2766" s="3"/>
      <c r="C2766" s="3"/>
      <c r="D2766" s="3"/>
      <c r="E2766" s="5" t="str">
        <f>HYPERLINK("https://dpmzos25m8ivg.cloudfront.net/Documentos/631/05931497420/6310593149742012092023232313.jpg","https://dpmzos25m8ivg.cloudfront.net/Documentos/631/05931497420/6310593149742012092023232313.jpg")</f>
        <v>https://dpmzos25m8ivg.cloudfront.net/Documentos/631/05931497420/6310593149742012092023232313.jpg</v>
      </c>
      <c r="F2766" s="5" t="str">
        <f>HYPERLINK("https://dpmzos25m8ivg.cloudfront.net/Documentos/631/05931497420/6310593149742012092023232340.jpg","https://dpmzos25m8ivg.cloudfront.net/Documentos/631/05931497420/6310593149742012092023232340.jpg")</f>
        <v>https://dpmzos25m8ivg.cloudfront.net/Documentos/631/05931497420/6310593149742012092023232340.jpg</v>
      </c>
      <c r="G2766" s="5" t="str">
        <f>HYPERLINK("https://dpmzos25m8ivg.cloudfront.net/Documentos/631/05931497420/6310593149742012092023232355.jpg","https://dpmzos25m8ivg.cloudfront.net/Documentos/631/05931497420/6310593149742012092023232355.jpg")</f>
        <v>https://dpmzos25m8ivg.cloudfront.net/Documentos/631/05931497420/6310593149742012092023232355.jpg</v>
      </c>
      <c r="H2766" s="5" t="s">
        <v>11344</v>
      </c>
    </row>
    <row r="2767" spans="1:8" x14ac:dyDescent="0.25">
      <c r="A2767" s="2" t="s">
        <v>2784</v>
      </c>
      <c r="B2767" s="3"/>
      <c r="C2767" s="3"/>
      <c r="D2767" s="3"/>
      <c r="E2767" s="5" t="str">
        <f>HYPERLINK("https://dpmzos25m8ivg.cloudfront.net/Documentos/631/05931569944/6310593156994411092023100811.pdf","https://dpmzos25m8ivg.cloudfront.net/Documentos/631/05931569944/6310593156994411092023100811.pdf")</f>
        <v>https://dpmzos25m8ivg.cloudfront.net/Documentos/631/05931569944/6310593156994411092023100811.pdf</v>
      </c>
      <c r="F2767" s="5" t="str">
        <f>HYPERLINK("https://dpmzos25m8ivg.cloudfront.net/Documentos/631/05931569944/6310593156994411092023100800.pdf","https://dpmzos25m8ivg.cloudfront.net/Documentos/631/05931569944/6310593156994411092023100800.pdf")</f>
        <v>https://dpmzos25m8ivg.cloudfront.net/Documentos/631/05931569944/6310593156994411092023100800.pdf</v>
      </c>
      <c r="G2767" s="5" t="str">
        <f>HYPERLINK("https://dpmzos25m8ivg.cloudfront.net/Documentos/631/05931569944/6310593156994411092023100752.pdf","https://dpmzos25m8ivg.cloudfront.net/Documentos/631/05931569944/6310593156994411092023100752.pdf")</f>
        <v>https://dpmzos25m8ivg.cloudfront.net/Documentos/631/05931569944/6310593156994411092023100752.pdf</v>
      </c>
      <c r="H2767" s="5" t="s">
        <v>11345</v>
      </c>
    </row>
    <row r="2768" spans="1:8" x14ac:dyDescent="0.25">
      <c r="A2768" s="2" t="s">
        <v>2785</v>
      </c>
      <c r="B2768" s="3"/>
      <c r="C2768" s="3"/>
      <c r="D2768" s="3"/>
      <c r="E2768" s="5" t="str">
        <f>HYPERLINK("https://dpmzos25m8ivg.cloudfront.net/Documentos/631/05932338164/6310593233816407092023104006.pdf","https://dpmzos25m8ivg.cloudfront.net/Documentos/631/05932338164/6310593233816407092023104006.pdf")</f>
        <v>https://dpmzos25m8ivg.cloudfront.net/Documentos/631/05932338164/6310593233816407092023104006.pdf</v>
      </c>
      <c r="F2768" s="5" t="str">
        <f>HYPERLINK("https://dpmzos25m8ivg.cloudfront.net/Documentos/631/05932338164/6310593233816407092023104050.pdf","https://dpmzos25m8ivg.cloudfront.net/Documentos/631/05932338164/6310593233816407092023104050.pdf")</f>
        <v>https://dpmzos25m8ivg.cloudfront.net/Documentos/631/05932338164/6310593233816407092023104050.pdf</v>
      </c>
      <c r="G2768" s="5" t="str">
        <f>HYPERLINK("https://dpmzos25m8ivg.cloudfront.net/Documentos/631/05932338164/6310593233816407092023105102.pdf","https://dpmzos25m8ivg.cloudfront.net/Documentos/631/05932338164/6310593233816407092023105102.pdf")</f>
        <v>https://dpmzos25m8ivg.cloudfront.net/Documentos/631/05932338164/6310593233816407092023105102.pdf</v>
      </c>
      <c r="H2768" s="5" t="s">
        <v>11346</v>
      </c>
    </row>
    <row r="2769" spans="1:8" x14ac:dyDescent="0.25">
      <c r="A2769" s="2" t="s">
        <v>2786</v>
      </c>
      <c r="B2769" s="3"/>
      <c r="C2769" s="3"/>
      <c r="D2769" s="3"/>
      <c r="E2769" s="5" t="str">
        <f>HYPERLINK("https://dpmzos25m8ivg.cloudfront.net/Documentos/631/05933280356/6310593328035613092023091840.jpeg","https://dpmzos25m8ivg.cloudfront.net/Documentos/631/05933280356/6310593328035613092023091840.jpeg")</f>
        <v>https://dpmzos25m8ivg.cloudfront.net/Documentos/631/05933280356/6310593328035613092023091840.jpeg</v>
      </c>
      <c r="F2769" s="5" t="str">
        <f>HYPERLINK("https://dpmzos25m8ivg.cloudfront.net/Documentos/631/05933280356/6310593328035613092023091851.jpeg","https://dpmzos25m8ivg.cloudfront.net/Documentos/631/05933280356/6310593328035613092023091851.jpeg")</f>
        <v>https://dpmzos25m8ivg.cloudfront.net/Documentos/631/05933280356/6310593328035613092023091851.jpeg</v>
      </c>
      <c r="G2769" s="5" t="str">
        <f>HYPERLINK("https://dpmzos25m8ivg.cloudfront.net/Documentos/631/05933280356/6310593328035613092023091904.jpeg","https://dpmzos25m8ivg.cloudfront.net/Documentos/631/05933280356/6310593328035613092023091904.jpeg")</f>
        <v>https://dpmzos25m8ivg.cloudfront.net/Documentos/631/05933280356/6310593328035613092023091904.jpeg</v>
      </c>
      <c r="H2769" s="5" t="s">
        <v>11347</v>
      </c>
    </row>
    <row r="2770" spans="1:8" x14ac:dyDescent="0.25">
      <c r="A2770" s="2" t="s">
        <v>2787</v>
      </c>
      <c r="B2770" s="3"/>
      <c r="C2770" s="3"/>
      <c r="D2770" s="3"/>
      <c r="E2770" s="5" t="str">
        <f>HYPERLINK("https://dpmzos25m8ivg.cloudfront.net/Documentos/631/05934421484/6310593442148411092023164217.pdf","https://dpmzos25m8ivg.cloudfront.net/Documentos/631/05934421484/6310593442148411092023164217.pdf")</f>
        <v>https://dpmzos25m8ivg.cloudfront.net/Documentos/631/05934421484/6310593442148411092023164217.pdf</v>
      </c>
      <c r="F2770" s="5" t="str">
        <f>HYPERLINK("https://dpmzos25m8ivg.cloudfront.net/Documentos/631/05934421484/6310593442148411092023164230.pdf","https://dpmzos25m8ivg.cloudfront.net/Documentos/631/05934421484/6310593442148411092023164230.pdf")</f>
        <v>https://dpmzos25m8ivg.cloudfront.net/Documentos/631/05934421484/6310593442148411092023164230.pdf</v>
      </c>
      <c r="G2770" s="5" t="str">
        <f>HYPERLINK("https://dpmzos25m8ivg.cloudfront.net/Documentos/631/05934421484/6310593442148411092023164243.pdf","https://dpmzos25m8ivg.cloudfront.net/Documentos/631/05934421484/6310593442148411092023164243.pdf")</f>
        <v>https://dpmzos25m8ivg.cloudfront.net/Documentos/631/05934421484/6310593442148411092023164243.pdf</v>
      </c>
      <c r="H2770" s="5" t="s">
        <v>11348</v>
      </c>
    </row>
    <row r="2771" spans="1:8" x14ac:dyDescent="0.25">
      <c r="A2771" s="2" t="s">
        <v>2788</v>
      </c>
      <c r="B2771" s="3"/>
      <c r="C2771" s="3"/>
      <c r="D2771" s="3"/>
      <c r="E2771" s="5" t="str">
        <f>HYPERLINK("https://dpmzos25m8ivg.cloudfront.net/Documentos/631/05935218542/6310593521854206092023185934.pdf","https://dpmzos25m8ivg.cloudfront.net/Documentos/631/05935218542/6310593521854206092023185934.pdf")</f>
        <v>https://dpmzos25m8ivg.cloudfront.net/Documentos/631/05935218542/6310593521854206092023185934.pdf</v>
      </c>
      <c r="F2771" s="5" t="str">
        <f>HYPERLINK("https://dpmzos25m8ivg.cloudfront.net/Documentos/631/05935218542/6310593521854206092023185942.pdf","https://dpmzos25m8ivg.cloudfront.net/Documentos/631/05935218542/6310593521854206092023185942.pdf")</f>
        <v>https://dpmzos25m8ivg.cloudfront.net/Documentos/631/05935218542/6310593521854206092023185942.pdf</v>
      </c>
      <c r="G2771" s="5" t="str">
        <f>HYPERLINK("https://dpmzos25m8ivg.cloudfront.net/Documentos/631/05935218542/6310593521854206092023185953.pdf","https://dpmzos25m8ivg.cloudfront.net/Documentos/631/05935218542/6310593521854206092023185953.pdf")</f>
        <v>https://dpmzos25m8ivg.cloudfront.net/Documentos/631/05935218542/6310593521854206092023185953.pdf</v>
      </c>
      <c r="H2771" s="5" t="s">
        <v>11349</v>
      </c>
    </row>
    <row r="2772" spans="1:8" x14ac:dyDescent="0.25">
      <c r="A2772" s="2" t="s">
        <v>2789</v>
      </c>
      <c r="B2772" s="3"/>
      <c r="C2772" s="3"/>
      <c r="D2772" s="3"/>
      <c r="E2772" s="5" t="str">
        <f>HYPERLINK("https://dpmzos25m8ivg.cloudfront.net/Documentos/631/05936467546/6310593646754611092023011905.pdf","https://dpmzos25m8ivg.cloudfront.net/Documentos/631/05936467546/6310593646754611092023011905.pdf")</f>
        <v>https://dpmzos25m8ivg.cloudfront.net/Documentos/631/05936467546/6310593646754611092023011905.pdf</v>
      </c>
      <c r="F2772" s="5" t="str">
        <f>HYPERLINK("https://dpmzos25m8ivg.cloudfront.net/Documentos/631/05936467546/6310593646754611092023011916.pdf","https://dpmzos25m8ivg.cloudfront.net/Documentos/631/05936467546/6310593646754611092023011916.pdf")</f>
        <v>https://dpmzos25m8ivg.cloudfront.net/Documentos/631/05936467546/6310593646754611092023011916.pdf</v>
      </c>
      <c r="G2772" s="5" t="str">
        <f>HYPERLINK("https://dpmzos25m8ivg.cloudfront.net/Documentos/631/05936467546/6310593646754611092023011927.pdf","https://dpmzos25m8ivg.cloudfront.net/Documentos/631/05936467546/6310593646754611092023011927.pdf")</f>
        <v>https://dpmzos25m8ivg.cloudfront.net/Documentos/631/05936467546/6310593646754611092023011927.pdf</v>
      </c>
      <c r="H2772" s="5" t="s">
        <v>11350</v>
      </c>
    </row>
    <row r="2773" spans="1:8" x14ac:dyDescent="0.25">
      <c r="A2773" s="2" t="s">
        <v>2790</v>
      </c>
      <c r="B2773" s="3"/>
      <c r="C2773" s="3"/>
      <c r="D2773" s="3"/>
      <c r="E2773" s="5" t="str">
        <f>HYPERLINK("https://dpmzos25m8ivg.cloudfront.net/Documentos/631/05937857542/6310593785754211092023132646.pdf","https://dpmzos25m8ivg.cloudfront.net/Documentos/631/05937857542/6310593785754211092023132646.pdf")</f>
        <v>https://dpmzos25m8ivg.cloudfront.net/Documentos/631/05937857542/6310593785754211092023132646.pdf</v>
      </c>
      <c r="F2773" s="5" t="str">
        <f>HYPERLINK("https://dpmzos25m8ivg.cloudfront.net/Documentos/631/05937857542/6310593785754211092023132701.pdf","https://dpmzos25m8ivg.cloudfront.net/Documentos/631/05937857542/6310593785754211092023132701.pdf")</f>
        <v>https://dpmzos25m8ivg.cloudfront.net/Documentos/631/05937857542/6310593785754211092023132701.pdf</v>
      </c>
      <c r="G2773" s="5" t="str">
        <f>HYPERLINK("https://dpmzos25m8ivg.cloudfront.net/Documentos/631/05937857542/6310593785754211092023132720.pdf","https://dpmzos25m8ivg.cloudfront.net/Documentos/631/05937857542/6310593785754211092023132720.pdf")</f>
        <v>https://dpmzos25m8ivg.cloudfront.net/Documentos/631/05937857542/6310593785754211092023132720.pdf</v>
      </c>
      <c r="H2773" s="5" t="s">
        <v>11351</v>
      </c>
    </row>
    <row r="2774" spans="1:8" x14ac:dyDescent="0.25">
      <c r="A2774" s="2" t="s">
        <v>2791</v>
      </c>
      <c r="B2774" s="3"/>
      <c r="C2774" s="3"/>
      <c r="D2774" s="3"/>
      <c r="E2774" s="5" t="str">
        <f>HYPERLINK("https://dpmzos25m8ivg.cloudfront.net/Documentos/631/05939441190/6310593944119008092023111727.pdf","https://dpmzos25m8ivg.cloudfront.net/Documentos/631/05939441190/6310593944119008092023111727.pdf")</f>
        <v>https://dpmzos25m8ivg.cloudfront.net/Documentos/631/05939441190/6310593944119008092023111727.pdf</v>
      </c>
      <c r="F2774" s="5" t="str">
        <f>HYPERLINK("https://dpmzos25m8ivg.cloudfront.net/Documentos/631/05939441190/6310593944119008092023111734.pdf","https://dpmzos25m8ivg.cloudfront.net/Documentos/631/05939441190/6310593944119008092023111734.pdf")</f>
        <v>https://dpmzos25m8ivg.cloudfront.net/Documentos/631/05939441190/6310593944119008092023111734.pdf</v>
      </c>
      <c r="G2774" s="5" t="str">
        <f>HYPERLINK("https://dpmzos25m8ivg.cloudfront.net/Documentos/631/05939441190/6310593944119008092023111740.pdf","https://dpmzos25m8ivg.cloudfront.net/Documentos/631/05939441190/6310593944119008092023111740.pdf")</f>
        <v>https://dpmzos25m8ivg.cloudfront.net/Documentos/631/05939441190/6310593944119008092023111740.pdf</v>
      </c>
      <c r="H2774" s="5" t="s">
        <v>11352</v>
      </c>
    </row>
    <row r="2775" spans="1:8" x14ac:dyDescent="0.25">
      <c r="A2775" s="2" t="s">
        <v>2792</v>
      </c>
      <c r="B2775" s="3" t="s">
        <v>2358</v>
      </c>
      <c r="C2775" s="3"/>
      <c r="D2775" s="3"/>
      <c r="E2775" s="5" t="str">
        <f>HYPERLINK("https://dpmzos25m8ivg.cloudfront.net/Documentos/631/05941874197/6310594187419707092023134242.pdf","https://dpmzos25m8ivg.cloudfront.net/Documentos/631/05941874197/6310594187419707092023134242.pdf")</f>
        <v>https://dpmzos25m8ivg.cloudfront.net/Documentos/631/05941874197/6310594187419707092023134242.pdf</v>
      </c>
      <c r="F2775" s="5" t="str">
        <f>HYPERLINK("https://dpmzos25m8ivg.cloudfront.net/Documentos/631/05941874197/6310594187419707092023134255.pdf","https://dpmzos25m8ivg.cloudfront.net/Documentos/631/05941874197/6310594187419707092023134255.pdf")</f>
        <v>https://dpmzos25m8ivg.cloudfront.net/Documentos/631/05941874197/6310594187419707092023134255.pdf</v>
      </c>
      <c r="G2775" s="5" t="str">
        <f>HYPERLINK("https://dpmzos25m8ivg.cloudfront.net/Documentos/631/05941874197/6310594187419707092023134303.pdf","https://dpmzos25m8ivg.cloudfront.net/Documentos/631/05941874197/6310594187419707092023134303.pdf")</f>
        <v>https://dpmzos25m8ivg.cloudfront.net/Documentos/631/05941874197/6310594187419707092023134303.pdf</v>
      </c>
      <c r="H2775" s="5" t="s">
        <v>11353</v>
      </c>
    </row>
    <row r="2776" spans="1:8" x14ac:dyDescent="0.25">
      <c r="A2776" s="2" t="s">
        <v>2793</v>
      </c>
      <c r="B2776" s="3"/>
      <c r="C2776" s="3"/>
      <c r="D2776" s="3"/>
      <c r="E2776" s="5" t="str">
        <f>HYPERLINK("https://dpmzos25m8ivg.cloudfront.net/Documentos/631/05942507570/6310594250757010092023120416.pdf","https://dpmzos25m8ivg.cloudfront.net/Documentos/631/05942507570/6310594250757010092023120416.pdf")</f>
        <v>https://dpmzos25m8ivg.cloudfront.net/Documentos/631/05942507570/6310594250757010092023120416.pdf</v>
      </c>
      <c r="F2776" s="5" t="str">
        <f>HYPERLINK("https://dpmzos25m8ivg.cloudfront.net/Documentos/631/05942507570/6310594250757010092023120426.pdf","https://dpmzos25m8ivg.cloudfront.net/Documentos/631/05942507570/6310594250757010092023120426.pdf")</f>
        <v>https://dpmzos25m8ivg.cloudfront.net/Documentos/631/05942507570/6310594250757010092023120426.pdf</v>
      </c>
      <c r="G2776" s="5" t="str">
        <f>HYPERLINK("https://dpmzos25m8ivg.cloudfront.net/Documentos/631/05942507570/6310594250757010092023120436.pdf","https://dpmzos25m8ivg.cloudfront.net/Documentos/631/05942507570/6310594250757010092023120436.pdf")</f>
        <v>https://dpmzos25m8ivg.cloudfront.net/Documentos/631/05942507570/6310594250757010092023120436.pdf</v>
      </c>
      <c r="H2776" s="5" t="s">
        <v>11354</v>
      </c>
    </row>
    <row r="2777" spans="1:8" x14ac:dyDescent="0.25">
      <c r="A2777" s="2" t="s">
        <v>2794</v>
      </c>
      <c r="B2777" s="3"/>
      <c r="C2777" s="3"/>
      <c r="D2777" s="3"/>
      <c r="E2777" s="5" t="str">
        <f>HYPERLINK("https://dpmzos25m8ivg.cloudfront.net/Documentos/631/05943309551/6310594330955108092023101047.pdf","https://dpmzos25m8ivg.cloudfront.net/Documentos/631/05943309551/6310594330955108092023101047.pdf")</f>
        <v>https://dpmzos25m8ivg.cloudfront.net/Documentos/631/05943309551/6310594330955108092023101047.pdf</v>
      </c>
      <c r="F2777" s="5" t="str">
        <f>HYPERLINK("https://dpmzos25m8ivg.cloudfront.net/Documentos/631/05943309551/6310594330955108092023101101.pdf","https://dpmzos25m8ivg.cloudfront.net/Documentos/631/05943309551/6310594330955108092023101101.pdf")</f>
        <v>https://dpmzos25m8ivg.cloudfront.net/Documentos/631/05943309551/6310594330955108092023101101.pdf</v>
      </c>
      <c r="G2777" s="5" t="str">
        <f>HYPERLINK("https://dpmzos25m8ivg.cloudfront.net/Documentos/631/05943309551/6310594330955108092023101112.pdf","https://dpmzos25m8ivg.cloudfront.net/Documentos/631/05943309551/6310594330955108092023101112.pdf")</f>
        <v>https://dpmzos25m8ivg.cloudfront.net/Documentos/631/05943309551/6310594330955108092023101112.pdf</v>
      </c>
      <c r="H2777" s="5" t="s">
        <v>11355</v>
      </c>
    </row>
    <row r="2778" spans="1:8" x14ac:dyDescent="0.25">
      <c r="A2778" s="2" t="s">
        <v>2795</v>
      </c>
      <c r="B2778" s="3"/>
      <c r="C2778" s="3"/>
      <c r="D2778" s="3"/>
      <c r="E2778" s="5" t="str">
        <f>HYPERLINK("https://dpmzos25m8ivg.cloudfront.net/Documentos/631/05943387196/6310594338719608092023113122.pdf","https://dpmzos25m8ivg.cloudfront.net/Documentos/631/05943387196/6310594338719608092023113122.pdf")</f>
        <v>https://dpmzos25m8ivg.cloudfront.net/Documentos/631/05943387196/6310594338719608092023113122.pdf</v>
      </c>
      <c r="F2778" s="5" t="str">
        <f>HYPERLINK("https://dpmzos25m8ivg.cloudfront.net/Documentos/631/05943387196/6310594338719608092023113134.pdf","https://dpmzos25m8ivg.cloudfront.net/Documentos/631/05943387196/6310594338719608092023113134.pdf")</f>
        <v>https://dpmzos25m8ivg.cloudfront.net/Documentos/631/05943387196/6310594338719608092023113134.pdf</v>
      </c>
      <c r="G2778" s="5" t="str">
        <f>HYPERLINK("https://dpmzos25m8ivg.cloudfront.net/Documentos/631/05943387196/6310594338719608092023113144.pdf","https://dpmzos25m8ivg.cloudfront.net/Documentos/631/05943387196/6310594338719608092023113144.pdf")</f>
        <v>https://dpmzos25m8ivg.cloudfront.net/Documentos/631/05943387196/6310594338719608092023113144.pdf</v>
      </c>
      <c r="H2778" s="5" t="s">
        <v>11356</v>
      </c>
    </row>
    <row r="2779" spans="1:8" x14ac:dyDescent="0.25">
      <c r="A2779" s="2" t="s">
        <v>2796</v>
      </c>
      <c r="B2779" s="3" t="s">
        <v>8</v>
      </c>
      <c r="C2779" s="3"/>
      <c r="D2779" s="3"/>
      <c r="E2779" s="5" t="str">
        <f>HYPERLINK("https://dpmzos25m8ivg.cloudfront.net/Documentos/631/05944329106/6310594432910613092023190936.pdf","https://dpmzos25m8ivg.cloudfront.net/Documentos/631/05944329106/6310594432910613092023190936.pdf")</f>
        <v>https://dpmzos25m8ivg.cloudfront.net/Documentos/631/05944329106/6310594432910613092023190936.pdf</v>
      </c>
      <c r="F2779" s="5" t="str">
        <f>HYPERLINK("https://dpmzos25m8ivg.cloudfront.net/Documentos/631/05944329106/6310594432910613092023190956.pdf","https://dpmzos25m8ivg.cloudfront.net/Documentos/631/05944329106/6310594432910613092023190956.pdf")</f>
        <v>https://dpmzos25m8ivg.cloudfront.net/Documentos/631/05944329106/6310594432910613092023190956.pdf</v>
      </c>
      <c r="G2779" s="5" t="str">
        <f>HYPERLINK("https://dpmzos25m8ivg.cloudfront.net/Documentos/631/05944329106/6310594432910613092023191042.pdf","https://dpmzos25m8ivg.cloudfront.net/Documentos/631/05944329106/6310594432910613092023191042.pdf")</f>
        <v>https://dpmzos25m8ivg.cloudfront.net/Documentos/631/05944329106/6310594432910613092023191042.pdf</v>
      </c>
      <c r="H2779" s="5" t="s">
        <v>11357</v>
      </c>
    </row>
    <row r="2780" spans="1:8" x14ac:dyDescent="0.25">
      <c r="A2780" s="2" t="s">
        <v>2797</v>
      </c>
      <c r="B2780" s="3"/>
      <c r="C2780" s="3"/>
      <c r="D2780" s="3"/>
      <c r="E2780" s="5" t="str">
        <f>HYPERLINK("https://dpmzos25m8ivg.cloudfront.net/Documentos/631/05944377500/6310594437750011092023163817.pdf","https://dpmzos25m8ivg.cloudfront.net/Documentos/631/05944377500/6310594437750011092023163817.pdf")</f>
        <v>https://dpmzos25m8ivg.cloudfront.net/Documentos/631/05944377500/6310594437750011092023163817.pdf</v>
      </c>
      <c r="F2780" s="5" t="str">
        <f>HYPERLINK("https://dpmzos25m8ivg.cloudfront.net/Documentos/631/05944377500/6310594437750011092023163827.pdf","https://dpmzos25m8ivg.cloudfront.net/Documentos/631/05944377500/6310594437750011092023163827.pdf")</f>
        <v>https://dpmzos25m8ivg.cloudfront.net/Documentos/631/05944377500/6310594437750011092023163827.pdf</v>
      </c>
      <c r="G2780" s="5" t="str">
        <f>HYPERLINK("https://dpmzos25m8ivg.cloudfront.net/Documentos/631/05944377500/6310594437750011092023163841.pdf","https://dpmzos25m8ivg.cloudfront.net/Documentos/631/05944377500/6310594437750011092023163841.pdf")</f>
        <v>https://dpmzos25m8ivg.cloudfront.net/Documentos/631/05944377500/6310594437750011092023163841.pdf</v>
      </c>
      <c r="H2780" s="5" t="s">
        <v>11358</v>
      </c>
    </row>
    <row r="2781" spans="1:8" x14ac:dyDescent="0.25">
      <c r="A2781" s="2" t="s">
        <v>2798</v>
      </c>
      <c r="B2781" s="3"/>
      <c r="C2781" s="3"/>
      <c r="D2781" s="3"/>
      <c r="E2781" s="5" t="str">
        <f>HYPERLINK("https://dpmzos25m8ivg.cloudfront.net/Documentos/631/05946470108/6310594647010810092023164103.jpeg","https://dpmzos25m8ivg.cloudfront.net/Documentos/631/05946470108/6310594647010810092023164103.jpeg")</f>
        <v>https://dpmzos25m8ivg.cloudfront.net/Documentos/631/05946470108/6310594647010810092023164103.jpeg</v>
      </c>
      <c r="F2781" s="5" t="str">
        <f>HYPERLINK("https://dpmzos25m8ivg.cloudfront.net/Documentos/631/05946470108/6310594647010810092023164112.jpeg","https://dpmzos25m8ivg.cloudfront.net/Documentos/631/05946470108/6310594647010810092023164112.jpeg")</f>
        <v>https://dpmzos25m8ivg.cloudfront.net/Documentos/631/05946470108/6310594647010810092023164112.jpeg</v>
      </c>
      <c r="G2781" s="5" t="str">
        <f>HYPERLINK("https://dpmzos25m8ivg.cloudfront.net/Documentos/631/05946470108/6310594647010810092023164120.jpeg","https://dpmzos25m8ivg.cloudfront.net/Documentos/631/05946470108/6310594647010810092023164120.jpeg")</f>
        <v>https://dpmzos25m8ivg.cloudfront.net/Documentos/631/05946470108/6310594647010810092023164120.jpeg</v>
      </c>
      <c r="H2781" s="5" t="s">
        <v>11359</v>
      </c>
    </row>
    <row r="2782" spans="1:8" x14ac:dyDescent="0.25">
      <c r="A2782" s="2" t="s">
        <v>2799</v>
      </c>
      <c r="B2782" s="3" t="s">
        <v>8</v>
      </c>
      <c r="C2782" s="3"/>
      <c r="D2782" s="3"/>
      <c r="E2782" s="5" t="str">
        <f>HYPERLINK("https://dpmzos25m8ivg.cloudfront.net/Documentos/631/05946637339/6310594663733911092023144746.jpeg","https://dpmzos25m8ivg.cloudfront.net/Documentos/631/05946637339/6310594663733911092023144746.jpeg")</f>
        <v>https://dpmzos25m8ivg.cloudfront.net/Documentos/631/05946637339/6310594663733911092023144746.jpeg</v>
      </c>
      <c r="F2782" s="5" t="str">
        <f>HYPERLINK("https://dpmzos25m8ivg.cloudfront.net/Documentos/631/05946637339/6310594663733911092023144759.jpeg","https://dpmzos25m8ivg.cloudfront.net/Documentos/631/05946637339/6310594663733911092023144759.jpeg")</f>
        <v>https://dpmzos25m8ivg.cloudfront.net/Documentos/631/05946637339/6310594663733911092023144759.jpeg</v>
      </c>
      <c r="G2782" s="5" t="str">
        <f>HYPERLINK("https://dpmzos25m8ivg.cloudfront.net/Documentos/631/05946637339/6310594663733911092023144809.jpeg","https://dpmzos25m8ivg.cloudfront.net/Documentos/631/05946637339/6310594663733911092023144809.jpeg")</f>
        <v>https://dpmzos25m8ivg.cloudfront.net/Documentos/631/05946637339/6310594663733911092023144809.jpeg</v>
      </c>
      <c r="H2782" s="5" t="s">
        <v>11360</v>
      </c>
    </row>
    <row r="2783" spans="1:8" x14ac:dyDescent="0.25">
      <c r="A2783" s="2" t="s">
        <v>2800</v>
      </c>
      <c r="B2783" s="3"/>
      <c r="C2783" s="3"/>
      <c r="D2783" s="3"/>
      <c r="E2783" s="5" t="str">
        <f>HYPERLINK("https://dpmzos25m8ivg.cloudfront.net/Documentos/631/05947075792/6310594707579213092023103652.pdf","https://dpmzos25m8ivg.cloudfront.net/Documentos/631/05947075792/6310594707579213092023103652.pdf")</f>
        <v>https://dpmzos25m8ivg.cloudfront.net/Documentos/631/05947075792/6310594707579213092023103652.pdf</v>
      </c>
      <c r="F2783" s="5" t="str">
        <f>HYPERLINK("https://dpmzos25m8ivg.cloudfront.net/Documentos/631/05947075792/6310594707579213092023103806.pdf","https://dpmzos25m8ivg.cloudfront.net/Documentos/631/05947075792/6310594707579213092023103806.pdf")</f>
        <v>https://dpmzos25m8ivg.cloudfront.net/Documentos/631/05947075792/6310594707579213092023103806.pdf</v>
      </c>
      <c r="G2783" s="5" t="str">
        <f>HYPERLINK("https://dpmzos25m8ivg.cloudfront.net/Documentos/631/05947075792/6310594707579213092023104138.pdf","https://dpmzos25m8ivg.cloudfront.net/Documentos/631/05947075792/6310594707579213092023104138.pdf")</f>
        <v>https://dpmzos25m8ivg.cloudfront.net/Documentos/631/05947075792/6310594707579213092023104138.pdf</v>
      </c>
      <c r="H2783" s="5" t="s">
        <v>11361</v>
      </c>
    </row>
    <row r="2784" spans="1:8" x14ac:dyDescent="0.25">
      <c r="A2784" s="2" t="s">
        <v>2801</v>
      </c>
      <c r="B2784" s="3"/>
      <c r="C2784" s="3"/>
      <c r="D2784" s="3"/>
      <c r="E2784" s="5" t="str">
        <f>HYPERLINK("https://dpmzos25m8ivg.cloudfront.net/Documentos/631/05947713314/6310594771331410092023134206.pdf","https://dpmzos25m8ivg.cloudfront.net/Documentos/631/05947713314/6310594771331410092023134206.pdf")</f>
        <v>https://dpmzos25m8ivg.cloudfront.net/Documentos/631/05947713314/6310594771331410092023134206.pdf</v>
      </c>
      <c r="F2784" s="5" t="str">
        <f>HYPERLINK("https://dpmzos25m8ivg.cloudfront.net/Documentos/631/05947713314/6310594771331410092023134243.pdf","https://dpmzos25m8ivg.cloudfront.net/Documentos/631/05947713314/6310594771331410092023134243.pdf")</f>
        <v>https://dpmzos25m8ivg.cloudfront.net/Documentos/631/05947713314/6310594771331410092023134243.pdf</v>
      </c>
      <c r="G2784" s="5" t="str">
        <f>HYPERLINK("https://dpmzos25m8ivg.cloudfront.net/Documentos/631/05947713314/6310594771331410092023134523.pdf","https://dpmzos25m8ivg.cloudfront.net/Documentos/631/05947713314/6310594771331410092023134523.pdf")</f>
        <v>https://dpmzos25m8ivg.cloudfront.net/Documentos/631/05947713314/6310594771331410092023134523.pdf</v>
      </c>
      <c r="H2784" s="5" t="s">
        <v>11362</v>
      </c>
    </row>
    <row r="2785" spans="1:8" x14ac:dyDescent="0.25">
      <c r="A2785" s="2" t="s">
        <v>2802</v>
      </c>
      <c r="B2785" s="3"/>
      <c r="C2785" s="3"/>
      <c r="D2785" s="3"/>
      <c r="E2785" s="5" t="str">
        <f>HYPERLINK("https://dpmzos25m8ivg.cloudfront.net/Documentos/631/05948089444/6310594808944409092023165044.jpg","https://dpmzos25m8ivg.cloudfront.net/Documentos/631/05948089444/6310594808944409092023165044.jpg")</f>
        <v>https://dpmzos25m8ivg.cloudfront.net/Documentos/631/05948089444/6310594808944409092023165044.jpg</v>
      </c>
      <c r="F2785" s="5" t="str">
        <f>HYPERLINK("https://dpmzos25m8ivg.cloudfront.net/Documentos/631/05948089444/6310594808944409092023165139.jpg","https://dpmzos25m8ivg.cloudfront.net/Documentos/631/05948089444/6310594808944409092023165139.jpg")</f>
        <v>https://dpmzos25m8ivg.cloudfront.net/Documentos/631/05948089444/6310594808944409092023165139.jpg</v>
      </c>
      <c r="G2785" s="5" t="str">
        <f>HYPERLINK("https://dpmzos25m8ivg.cloudfront.net/Documentos/631/05948089444/6310594808944409092023165212.jpg","https://dpmzos25m8ivg.cloudfront.net/Documentos/631/05948089444/6310594808944409092023165212.jpg")</f>
        <v>https://dpmzos25m8ivg.cloudfront.net/Documentos/631/05948089444/6310594808944409092023165212.jpg</v>
      </c>
      <c r="H2785" s="5" t="s">
        <v>11363</v>
      </c>
    </row>
    <row r="2786" spans="1:8" x14ac:dyDescent="0.25">
      <c r="A2786" s="2" t="s">
        <v>2803</v>
      </c>
      <c r="B2786" s="3" t="s">
        <v>8</v>
      </c>
      <c r="C2786" s="3"/>
      <c r="D2786" s="3"/>
      <c r="E2786" s="5" t="str">
        <f>HYPERLINK("https://dpmzos25m8ivg.cloudfront.net/Documentos/631/05948250164/6310594825016411092023162647.jpg","https://dpmzos25m8ivg.cloudfront.net/Documentos/631/05948250164/6310594825016411092023162647.jpg")</f>
        <v>https://dpmzos25m8ivg.cloudfront.net/Documentos/631/05948250164/6310594825016411092023162647.jpg</v>
      </c>
      <c r="F2786" s="5" t="str">
        <f>HYPERLINK("https://dpmzos25m8ivg.cloudfront.net/Documentos/631/05948250164/6310594825016411092023162703.jpg","https://dpmzos25m8ivg.cloudfront.net/Documentos/631/05948250164/6310594825016411092023162703.jpg")</f>
        <v>https://dpmzos25m8ivg.cloudfront.net/Documentos/631/05948250164/6310594825016411092023162703.jpg</v>
      </c>
      <c r="G2786" s="5" t="str">
        <f>HYPERLINK("https://dpmzos25m8ivg.cloudfront.net/Documentos/631/05948250164/6310594825016411092023162718.jpg","https://dpmzos25m8ivg.cloudfront.net/Documentos/631/05948250164/6310594825016411092023162718.jpg")</f>
        <v>https://dpmzos25m8ivg.cloudfront.net/Documentos/631/05948250164/6310594825016411092023162718.jpg</v>
      </c>
      <c r="H2786" s="5" t="s">
        <v>11364</v>
      </c>
    </row>
    <row r="2787" spans="1:8" x14ac:dyDescent="0.25">
      <c r="A2787" s="2" t="s">
        <v>2804</v>
      </c>
      <c r="B2787" s="3"/>
      <c r="C2787" s="3"/>
      <c r="D2787" s="3"/>
      <c r="E2787" s="5" t="str">
        <f>HYPERLINK("https://dpmzos25m8ivg.cloudfront.net/Documentos/631/05949466381/6310594946638105092023131923.pdf","https://dpmzos25m8ivg.cloudfront.net/Documentos/631/05949466381/6310594946638105092023131923.pdf")</f>
        <v>https://dpmzos25m8ivg.cloudfront.net/Documentos/631/05949466381/6310594946638105092023131923.pdf</v>
      </c>
      <c r="F2787" s="5" t="str">
        <f>HYPERLINK("https://dpmzos25m8ivg.cloudfront.net/Documentos/631/05949466381/6310594946638105092023131934.pdf","https://dpmzos25m8ivg.cloudfront.net/Documentos/631/05949466381/6310594946638105092023131934.pdf")</f>
        <v>https://dpmzos25m8ivg.cloudfront.net/Documentos/631/05949466381/6310594946638105092023131934.pdf</v>
      </c>
      <c r="G2787" s="5" t="str">
        <f>HYPERLINK("https://dpmzos25m8ivg.cloudfront.net/Documentos/631/05949466381/6310594946638105092023131945.pdf","https://dpmzos25m8ivg.cloudfront.net/Documentos/631/05949466381/6310594946638105092023131945.pdf")</f>
        <v>https://dpmzos25m8ivg.cloudfront.net/Documentos/631/05949466381/6310594946638105092023131945.pdf</v>
      </c>
      <c r="H2787" s="5" t="s">
        <v>11365</v>
      </c>
    </row>
    <row r="2788" spans="1:8" x14ac:dyDescent="0.25">
      <c r="A2788" s="2" t="s">
        <v>2805</v>
      </c>
      <c r="B2788" s="3"/>
      <c r="C2788" s="3"/>
      <c r="D2788" s="3"/>
      <c r="E2788" s="5" t="str">
        <f>HYPERLINK("https://dpmzos25m8ivg.cloudfront.net/Documentos/631/05949768981/6310594976898105092023135339.pdf","https://dpmzos25m8ivg.cloudfront.net/Documentos/631/05949768981/6310594976898105092023135339.pdf")</f>
        <v>https://dpmzos25m8ivg.cloudfront.net/Documentos/631/05949768981/6310594976898105092023135339.pdf</v>
      </c>
      <c r="F2788" s="5" t="str">
        <f>HYPERLINK("https://dpmzos25m8ivg.cloudfront.net/Documentos/631/05949768981/6310594976898105092023135347.pdf","https://dpmzos25m8ivg.cloudfront.net/Documentos/631/05949768981/6310594976898105092023135347.pdf")</f>
        <v>https://dpmzos25m8ivg.cloudfront.net/Documentos/631/05949768981/6310594976898105092023135347.pdf</v>
      </c>
      <c r="G2788" s="5" t="str">
        <f>HYPERLINK("https://dpmzos25m8ivg.cloudfront.net/Documentos/631/05949768981/6310594976898105092023135356.pdf","https://dpmzos25m8ivg.cloudfront.net/Documentos/631/05949768981/6310594976898105092023135356.pdf")</f>
        <v>https://dpmzos25m8ivg.cloudfront.net/Documentos/631/05949768981/6310594976898105092023135356.pdf</v>
      </c>
      <c r="H2788" s="5" t="s">
        <v>11366</v>
      </c>
    </row>
    <row r="2789" spans="1:8" x14ac:dyDescent="0.25">
      <c r="A2789" s="2" t="s">
        <v>2806</v>
      </c>
      <c r="B2789" s="3"/>
      <c r="C2789" s="3"/>
      <c r="D2789" s="3"/>
      <c r="E2789" s="5" t="str">
        <f>HYPERLINK("https://dpmzos25m8ivg.cloudfront.net/Documentos/631/05950219805/6310595021980513092023164403.pdf","https://dpmzos25m8ivg.cloudfront.net/Documentos/631/05950219805/6310595021980513092023164403.pdf")</f>
        <v>https://dpmzos25m8ivg.cloudfront.net/Documentos/631/05950219805/6310595021980513092023164403.pdf</v>
      </c>
      <c r="F2789" s="5" t="str">
        <f>HYPERLINK("https://dpmzos25m8ivg.cloudfront.net/Documentos/631/05950219805/6310595021980513092023164436.pdf","https://dpmzos25m8ivg.cloudfront.net/Documentos/631/05950219805/6310595021980513092023164436.pdf")</f>
        <v>https://dpmzos25m8ivg.cloudfront.net/Documentos/631/05950219805/6310595021980513092023164436.pdf</v>
      </c>
      <c r="G2789" s="5" t="str">
        <f>HYPERLINK("https://dpmzos25m8ivg.cloudfront.net/Documentos/631/05950219805/6310595021980513092023164519.pdf","https://dpmzos25m8ivg.cloudfront.net/Documentos/631/05950219805/6310595021980513092023164519.pdf")</f>
        <v>https://dpmzos25m8ivg.cloudfront.net/Documentos/631/05950219805/6310595021980513092023164519.pdf</v>
      </c>
      <c r="H2789" s="5" t="s">
        <v>11367</v>
      </c>
    </row>
    <row r="2790" spans="1:8" x14ac:dyDescent="0.25">
      <c r="A2790" s="2" t="s">
        <v>2807</v>
      </c>
      <c r="B2790" s="3"/>
      <c r="C2790" s="3"/>
      <c r="D2790" s="3"/>
      <c r="E2790" s="5" t="str">
        <f>HYPERLINK("https://dpmzos25m8ivg.cloudfront.net/Documentos/631/05954619131/6310595461913114092023143649.pdf","https://dpmzos25m8ivg.cloudfront.net/Documentos/631/05954619131/6310595461913114092023143649.pdf")</f>
        <v>https://dpmzos25m8ivg.cloudfront.net/Documentos/631/05954619131/6310595461913114092023143649.pdf</v>
      </c>
      <c r="F2790" s="5" t="str">
        <f>HYPERLINK("https://dpmzos25m8ivg.cloudfront.net/Documentos/631/05954619131/6310595461913114092023143658.pdf","https://dpmzos25m8ivg.cloudfront.net/Documentos/631/05954619131/6310595461913114092023143658.pdf")</f>
        <v>https://dpmzos25m8ivg.cloudfront.net/Documentos/631/05954619131/6310595461913114092023143658.pdf</v>
      </c>
      <c r="G2790" s="5" t="str">
        <f>HYPERLINK("https://dpmzos25m8ivg.cloudfront.net/Documentos/631/05954619131/6310595461913114092023143709.pdf","https://dpmzos25m8ivg.cloudfront.net/Documentos/631/05954619131/6310595461913114092023143709.pdf")</f>
        <v>https://dpmzos25m8ivg.cloudfront.net/Documentos/631/05954619131/6310595461913114092023143709.pdf</v>
      </c>
      <c r="H2790" s="5" t="s">
        <v>11368</v>
      </c>
    </row>
    <row r="2791" spans="1:8" x14ac:dyDescent="0.25">
      <c r="A2791" s="2" t="s">
        <v>2808</v>
      </c>
      <c r="B2791" s="3"/>
      <c r="C2791" s="3"/>
      <c r="D2791" s="3"/>
      <c r="E2791" s="5" t="str">
        <f>HYPERLINK("https://dpmzos25m8ivg.cloudfront.net/Documentos/631/05955010440/6310595501044011092023090716.pdf","https://dpmzos25m8ivg.cloudfront.net/Documentos/631/05955010440/6310595501044011092023090716.pdf")</f>
        <v>https://dpmzos25m8ivg.cloudfront.net/Documentos/631/05955010440/6310595501044011092023090716.pdf</v>
      </c>
      <c r="F2791" s="5" t="str">
        <f>HYPERLINK("https://dpmzos25m8ivg.cloudfront.net/Documentos/631/05955010440/6310595501044011092023090734.pdf","https://dpmzos25m8ivg.cloudfront.net/Documentos/631/05955010440/6310595501044011092023090734.pdf")</f>
        <v>https://dpmzos25m8ivg.cloudfront.net/Documentos/631/05955010440/6310595501044011092023090734.pdf</v>
      </c>
      <c r="G2791" s="5" t="str">
        <f>HYPERLINK("https://dpmzos25m8ivg.cloudfront.net/Documentos/631/05955010440/6310595501044011092023090746.pdf","https://dpmzos25m8ivg.cloudfront.net/Documentos/631/05955010440/6310595501044011092023090746.pdf")</f>
        <v>https://dpmzos25m8ivg.cloudfront.net/Documentos/631/05955010440/6310595501044011092023090746.pdf</v>
      </c>
      <c r="H2791" s="5" t="s">
        <v>11369</v>
      </c>
    </row>
    <row r="2792" spans="1:8" x14ac:dyDescent="0.25">
      <c r="A2792" s="2" t="s">
        <v>2809</v>
      </c>
      <c r="B2792" s="3"/>
      <c r="C2792" s="3"/>
      <c r="D2792" s="3"/>
      <c r="E2792" s="5" t="str">
        <f>HYPERLINK("https://dpmzos25m8ivg.cloudfront.net/Documentos/631/05956050101/6310595605010111092023141701.pdf","https://dpmzos25m8ivg.cloudfront.net/Documentos/631/05956050101/6310595605010111092023141701.pdf")</f>
        <v>https://dpmzos25m8ivg.cloudfront.net/Documentos/631/05956050101/6310595605010111092023141701.pdf</v>
      </c>
      <c r="F2792" s="5" t="str">
        <f>HYPERLINK("https://dpmzos25m8ivg.cloudfront.net/Documentos/631/05956050101/6310595605010111092023141709.pdf","https://dpmzos25m8ivg.cloudfront.net/Documentos/631/05956050101/6310595605010111092023141709.pdf")</f>
        <v>https://dpmzos25m8ivg.cloudfront.net/Documentos/631/05956050101/6310595605010111092023141709.pdf</v>
      </c>
      <c r="G2792" s="5" t="str">
        <f>HYPERLINK("https://dpmzos25m8ivg.cloudfront.net/Documentos/631/05956050101/6310595605010111092023141715.pdf","https://dpmzos25m8ivg.cloudfront.net/Documentos/631/05956050101/6310595605010111092023141715.pdf")</f>
        <v>https://dpmzos25m8ivg.cloudfront.net/Documentos/631/05956050101/6310595605010111092023141715.pdf</v>
      </c>
      <c r="H2792" s="5" t="s">
        <v>11370</v>
      </c>
    </row>
    <row r="2793" spans="1:8" x14ac:dyDescent="0.25">
      <c r="A2793" s="2" t="s">
        <v>2810</v>
      </c>
      <c r="B2793" s="3" t="s">
        <v>2358</v>
      </c>
      <c r="C2793" s="3"/>
      <c r="D2793" s="3"/>
      <c r="E2793" s="5" t="str">
        <f>HYPERLINK("https://dpmzos25m8ivg.cloudfront.net/Documentos/631/05959159651/6310595915965114092023143108.pdf","https://dpmzos25m8ivg.cloudfront.net/Documentos/631/05959159651/6310595915965114092023143108.pdf")</f>
        <v>https://dpmzos25m8ivg.cloudfront.net/Documentos/631/05959159651/6310595915965114092023143108.pdf</v>
      </c>
      <c r="F2793" s="5" t="str">
        <f>HYPERLINK("https://dpmzos25m8ivg.cloudfront.net/Documentos/631/05959159651/6310595915965114092023143134.pdf","https://dpmzos25m8ivg.cloudfront.net/Documentos/631/05959159651/6310595915965114092023143134.pdf")</f>
        <v>https://dpmzos25m8ivg.cloudfront.net/Documentos/631/05959159651/6310595915965114092023143134.pdf</v>
      </c>
      <c r="G2793" s="5" t="str">
        <f>HYPERLINK("https://dpmzos25m8ivg.cloudfront.net/Documentos/631/05959159651/6310595915965114092023143217.pdf","https://dpmzos25m8ivg.cloudfront.net/Documentos/631/05959159651/6310595915965114092023143217.pdf")</f>
        <v>https://dpmzos25m8ivg.cloudfront.net/Documentos/631/05959159651/6310595915965114092023143217.pdf</v>
      </c>
      <c r="H2793" s="5" t="s">
        <v>11371</v>
      </c>
    </row>
    <row r="2794" spans="1:8" x14ac:dyDescent="0.25">
      <c r="A2794" s="2" t="s">
        <v>2811</v>
      </c>
      <c r="B2794" s="3" t="s">
        <v>23</v>
      </c>
      <c r="C2794" s="3"/>
      <c r="D2794" s="3"/>
      <c r="E2794" s="5" t="str">
        <f>HYPERLINK("https://dpmzos25m8ivg.cloudfront.net/Documentos/631/05963765374/6310596376537407092023143613.pdf","https://dpmzos25m8ivg.cloudfront.net/Documentos/631/05963765374/6310596376537407092023143613.pdf")</f>
        <v>https://dpmzos25m8ivg.cloudfront.net/Documentos/631/05963765374/6310596376537407092023143613.pdf</v>
      </c>
      <c r="F2794" s="5" t="str">
        <f>HYPERLINK("https://dpmzos25m8ivg.cloudfront.net/Documentos/631/05963765374/6310596376537407092023143627.pdf","https://dpmzos25m8ivg.cloudfront.net/Documentos/631/05963765374/6310596376537407092023143627.pdf")</f>
        <v>https://dpmzos25m8ivg.cloudfront.net/Documentos/631/05963765374/6310596376537407092023143627.pdf</v>
      </c>
      <c r="G2794" s="5" t="str">
        <f>HYPERLINK("https://dpmzos25m8ivg.cloudfront.net/Documentos/631/05963765374/6310596376537407092023143640.pdf","https://dpmzos25m8ivg.cloudfront.net/Documentos/631/05963765374/6310596376537407092023143640.pdf")</f>
        <v>https://dpmzos25m8ivg.cloudfront.net/Documentos/631/05963765374/6310596376537407092023143640.pdf</v>
      </c>
      <c r="H2794" s="5" t="s">
        <v>11372</v>
      </c>
    </row>
    <row r="2795" spans="1:8" x14ac:dyDescent="0.25">
      <c r="A2795" s="2" t="s">
        <v>2812</v>
      </c>
      <c r="B2795" s="3"/>
      <c r="C2795" s="3"/>
      <c r="D2795" s="3"/>
      <c r="E2795" s="5" t="str">
        <f>HYPERLINK("https://dpmzos25m8ivg.cloudfront.net/Documentos/631/05964220673/6310596422067311092023095350.pdf","https://dpmzos25m8ivg.cloudfront.net/Documentos/631/05964220673/6310596422067311092023095350.pdf")</f>
        <v>https://dpmzos25m8ivg.cloudfront.net/Documentos/631/05964220673/6310596422067311092023095350.pdf</v>
      </c>
      <c r="F2795" s="5" t="str">
        <f>HYPERLINK("https://dpmzos25m8ivg.cloudfront.net/Documentos/631/05964220673/6310596422067311092023095415.pdf","https://dpmzos25m8ivg.cloudfront.net/Documentos/631/05964220673/6310596422067311092023095415.pdf")</f>
        <v>https://dpmzos25m8ivg.cloudfront.net/Documentos/631/05964220673/6310596422067311092023095415.pdf</v>
      </c>
      <c r="G2795" s="5" t="str">
        <f>HYPERLINK("https://dpmzos25m8ivg.cloudfront.net/Documentos/631/05964220673/6310596422067311092023095438.pdf","https://dpmzos25m8ivg.cloudfront.net/Documentos/631/05964220673/6310596422067311092023095438.pdf")</f>
        <v>https://dpmzos25m8ivg.cloudfront.net/Documentos/631/05964220673/6310596422067311092023095438.pdf</v>
      </c>
      <c r="H2795" s="5" t="s">
        <v>11373</v>
      </c>
    </row>
    <row r="2796" spans="1:8" x14ac:dyDescent="0.25">
      <c r="A2796" s="2" t="s">
        <v>2813</v>
      </c>
      <c r="B2796" s="3"/>
      <c r="C2796" s="3"/>
      <c r="D2796" s="3"/>
      <c r="E2796" s="5" t="str">
        <f>HYPERLINK("https://dpmzos25m8ivg.cloudfront.net/Documentos/631/05967609571/6310596760957111092023095632.pdf","https://dpmzos25m8ivg.cloudfront.net/Documentos/631/05967609571/6310596760957111092023095632.pdf")</f>
        <v>https://dpmzos25m8ivg.cloudfront.net/Documentos/631/05967609571/6310596760957111092023095632.pdf</v>
      </c>
      <c r="F2796" s="5" t="str">
        <f>HYPERLINK("https://dpmzos25m8ivg.cloudfront.net/Documentos/631/05967609571/6310596760957111092023095644.pdf","https://dpmzos25m8ivg.cloudfront.net/Documentos/631/05967609571/6310596760957111092023095644.pdf")</f>
        <v>https://dpmzos25m8ivg.cloudfront.net/Documentos/631/05967609571/6310596760957111092023095644.pdf</v>
      </c>
      <c r="G2796" s="5" t="str">
        <f>HYPERLINK("https://dpmzos25m8ivg.cloudfront.net/Documentos/631/05967609571/6310596760957111092023095654.pdf","https://dpmzos25m8ivg.cloudfront.net/Documentos/631/05967609571/6310596760957111092023095654.pdf")</f>
        <v>https://dpmzos25m8ivg.cloudfront.net/Documentos/631/05967609571/6310596760957111092023095654.pdf</v>
      </c>
      <c r="H2796" s="5" t="s">
        <v>11374</v>
      </c>
    </row>
    <row r="2797" spans="1:8" x14ac:dyDescent="0.25">
      <c r="A2797" s="2" t="s">
        <v>2814</v>
      </c>
      <c r="B2797" s="3"/>
      <c r="C2797" s="3"/>
      <c r="D2797" s="3"/>
      <c r="E2797" s="5" t="str">
        <f>HYPERLINK("https://dpmzos25m8ivg.cloudfront.net/Documentos/631/05967670130/6310596767013008092023123223.pdf","https://dpmzos25m8ivg.cloudfront.net/Documentos/631/05967670130/6310596767013008092023123223.pdf")</f>
        <v>https://dpmzos25m8ivg.cloudfront.net/Documentos/631/05967670130/6310596767013008092023123223.pdf</v>
      </c>
      <c r="F2797" s="5" t="str">
        <f>HYPERLINK("https://dpmzos25m8ivg.cloudfront.net/Documentos/631/05967670130/6310596767013008092023123231.pdf","https://dpmzos25m8ivg.cloudfront.net/Documentos/631/05967670130/6310596767013008092023123231.pdf")</f>
        <v>https://dpmzos25m8ivg.cloudfront.net/Documentos/631/05967670130/6310596767013008092023123231.pdf</v>
      </c>
      <c r="G2797" s="5" t="str">
        <f>HYPERLINK("https://dpmzos25m8ivg.cloudfront.net/Documentos/631/05967670130/6310596767013008092023123244.pdf","https://dpmzos25m8ivg.cloudfront.net/Documentos/631/05967670130/6310596767013008092023123244.pdf")</f>
        <v>https://dpmzos25m8ivg.cloudfront.net/Documentos/631/05967670130/6310596767013008092023123244.pdf</v>
      </c>
      <c r="H2797" s="5" t="s">
        <v>11375</v>
      </c>
    </row>
    <row r="2798" spans="1:8" x14ac:dyDescent="0.25">
      <c r="A2798" s="2" t="s">
        <v>2815</v>
      </c>
      <c r="B2798" s="3"/>
      <c r="C2798" s="3"/>
      <c r="D2798" s="3"/>
      <c r="E2798" s="5" t="str">
        <f>HYPERLINK("https://dpmzos25m8ivg.cloudfront.net/Documentos/631/05968753390/6310596875339009092023082807.jpg","https://dpmzos25m8ivg.cloudfront.net/Documentos/631/05968753390/6310596875339009092023082807.jpg")</f>
        <v>https://dpmzos25m8ivg.cloudfront.net/Documentos/631/05968753390/6310596875339009092023082807.jpg</v>
      </c>
      <c r="F2798" s="5" t="str">
        <f>HYPERLINK("https://dpmzos25m8ivg.cloudfront.net/Documentos/631/05968753390/6310596875339009092023082824.jpg","https://dpmzos25m8ivg.cloudfront.net/Documentos/631/05968753390/6310596875339009092023082824.jpg")</f>
        <v>https://dpmzos25m8ivg.cloudfront.net/Documentos/631/05968753390/6310596875339009092023082824.jpg</v>
      </c>
      <c r="G2798" s="5" t="str">
        <f>HYPERLINK("https://dpmzos25m8ivg.cloudfront.net/Documentos/631/05968753390/6310596875339009092023082835.jpg","https://dpmzos25m8ivg.cloudfront.net/Documentos/631/05968753390/6310596875339009092023082835.jpg")</f>
        <v>https://dpmzos25m8ivg.cloudfront.net/Documentos/631/05968753390/6310596875339009092023082835.jpg</v>
      </c>
      <c r="H2798" s="5" t="s">
        <v>11376</v>
      </c>
    </row>
    <row r="2799" spans="1:8" x14ac:dyDescent="0.25">
      <c r="A2799" s="2" t="s">
        <v>2816</v>
      </c>
      <c r="B2799" s="3"/>
      <c r="C2799" s="3"/>
      <c r="D2799" s="3"/>
      <c r="E2799" s="5" t="str">
        <f>HYPERLINK("https://dpmzos25m8ivg.cloudfront.net/Documentos/631/05973356132/6310597335613210092023235201.pdf","https://dpmzos25m8ivg.cloudfront.net/Documentos/631/05973356132/6310597335613210092023235201.pdf")</f>
        <v>https://dpmzos25m8ivg.cloudfront.net/Documentos/631/05973356132/6310597335613210092023235201.pdf</v>
      </c>
      <c r="F2799" s="5" t="str">
        <f>HYPERLINK("https://dpmzos25m8ivg.cloudfront.net/Documentos/631/05973356132/6310597335613210092023235217.pdf","https://dpmzos25m8ivg.cloudfront.net/Documentos/631/05973356132/6310597335613210092023235217.pdf")</f>
        <v>https://dpmzos25m8ivg.cloudfront.net/Documentos/631/05973356132/6310597335613210092023235217.pdf</v>
      </c>
      <c r="G2799" s="5" t="str">
        <f>HYPERLINK("https://dpmzos25m8ivg.cloudfront.net/Documentos/631/05973356132/6310597335613210092023235229.pdf","https://dpmzos25m8ivg.cloudfront.net/Documentos/631/05973356132/6310597335613210092023235229.pdf")</f>
        <v>https://dpmzos25m8ivg.cloudfront.net/Documentos/631/05973356132/6310597335613210092023235229.pdf</v>
      </c>
      <c r="H2799" s="5" t="s">
        <v>11377</v>
      </c>
    </row>
    <row r="2800" spans="1:8" x14ac:dyDescent="0.25">
      <c r="A2800" s="2" t="s">
        <v>2817</v>
      </c>
      <c r="B2800" s="3" t="s">
        <v>2358</v>
      </c>
      <c r="C2800" s="3"/>
      <c r="D2800" s="3"/>
      <c r="E2800" s="5" t="str">
        <f>HYPERLINK("https://dpmzos25m8ivg.cloudfront.net/Documentos/631/05974884523/6310597488452309092023123542.pdf","https://dpmzos25m8ivg.cloudfront.net/Documentos/631/05974884523/6310597488452309092023123542.pdf")</f>
        <v>https://dpmzos25m8ivg.cloudfront.net/Documentos/631/05974884523/6310597488452309092023123542.pdf</v>
      </c>
      <c r="F2800" s="5" t="str">
        <f>HYPERLINK("https://dpmzos25m8ivg.cloudfront.net/Documentos/631/05974884523/6310597488452309092023123606.pdf","https://dpmzos25m8ivg.cloudfront.net/Documentos/631/05974884523/6310597488452309092023123606.pdf")</f>
        <v>https://dpmzos25m8ivg.cloudfront.net/Documentos/631/05974884523/6310597488452309092023123606.pdf</v>
      </c>
      <c r="G2800" s="5" t="str">
        <f>HYPERLINK("https://dpmzos25m8ivg.cloudfront.net/Documentos/631/05974884523/6310597488452309092023123733.pdf","https://dpmzos25m8ivg.cloudfront.net/Documentos/631/05974884523/6310597488452309092023123733.pdf")</f>
        <v>https://dpmzos25m8ivg.cloudfront.net/Documentos/631/05974884523/6310597488452309092023123733.pdf</v>
      </c>
      <c r="H2800" s="5" t="s">
        <v>11378</v>
      </c>
    </row>
    <row r="2801" spans="1:8" x14ac:dyDescent="0.25">
      <c r="A2801" s="2" t="s">
        <v>2818</v>
      </c>
      <c r="B2801" s="3"/>
      <c r="C2801" s="3"/>
      <c r="D2801" s="3"/>
      <c r="E2801" s="5" t="str">
        <f>HYPERLINK("https://dpmzos25m8ivg.cloudfront.net/Documentos/631/05974952545/6310597495254508092023231119.pdf","https://dpmzos25m8ivg.cloudfront.net/Documentos/631/05974952545/6310597495254508092023231119.pdf")</f>
        <v>https://dpmzos25m8ivg.cloudfront.net/Documentos/631/05974952545/6310597495254508092023231119.pdf</v>
      </c>
      <c r="F2801" s="5" t="str">
        <f>HYPERLINK("https://dpmzos25m8ivg.cloudfront.net/Documentos/631/05974952545/6310597495254508092023231218.pdf","https://dpmzos25m8ivg.cloudfront.net/Documentos/631/05974952545/6310597495254508092023231218.pdf")</f>
        <v>https://dpmzos25m8ivg.cloudfront.net/Documentos/631/05974952545/6310597495254508092023231218.pdf</v>
      </c>
      <c r="G2801" s="5" t="str">
        <f>HYPERLINK("https://dpmzos25m8ivg.cloudfront.net/Documentos/631/05974952545/6310597495254508092023231233.pdf","https://dpmzos25m8ivg.cloudfront.net/Documentos/631/05974952545/6310597495254508092023231233.pdf")</f>
        <v>https://dpmzos25m8ivg.cloudfront.net/Documentos/631/05974952545/6310597495254508092023231233.pdf</v>
      </c>
      <c r="H2801" s="5" t="s">
        <v>11379</v>
      </c>
    </row>
    <row r="2802" spans="1:8" x14ac:dyDescent="0.25">
      <c r="A2802" s="2" t="s">
        <v>2819</v>
      </c>
      <c r="B2802" s="3"/>
      <c r="C2802" s="3"/>
      <c r="D2802" s="3"/>
      <c r="E2802" s="5" t="str">
        <f>HYPERLINK("https://dpmzos25m8ivg.cloudfront.net/Documentos/631/05979098739/6310597909873909092023012439.pdf","https://dpmzos25m8ivg.cloudfront.net/Documentos/631/05979098739/6310597909873909092023012439.pdf")</f>
        <v>https://dpmzos25m8ivg.cloudfront.net/Documentos/631/05979098739/6310597909873909092023012439.pdf</v>
      </c>
      <c r="F2802" s="5" t="str">
        <f>HYPERLINK("https://dpmzos25m8ivg.cloudfront.net/Documentos/631/05979098739/6310597909873909092023012505.pdf","https://dpmzos25m8ivg.cloudfront.net/Documentos/631/05979098739/6310597909873909092023012505.pdf")</f>
        <v>https://dpmzos25m8ivg.cloudfront.net/Documentos/631/05979098739/6310597909873909092023012505.pdf</v>
      </c>
      <c r="G2802" s="5" t="str">
        <f>HYPERLINK("https://dpmzos25m8ivg.cloudfront.net/Documentos/631/05979098739/6310597909873909092023012520.pdf","https://dpmzos25m8ivg.cloudfront.net/Documentos/631/05979098739/6310597909873909092023012520.pdf")</f>
        <v>https://dpmzos25m8ivg.cloudfront.net/Documentos/631/05979098739/6310597909873909092023012520.pdf</v>
      </c>
      <c r="H2802" s="5" t="s">
        <v>11380</v>
      </c>
    </row>
    <row r="2803" spans="1:8" x14ac:dyDescent="0.25">
      <c r="A2803" s="2" t="s">
        <v>2820</v>
      </c>
      <c r="B2803" s="3"/>
      <c r="C2803" s="3"/>
      <c r="D2803" s="3"/>
      <c r="E2803" s="5" t="str">
        <f>HYPERLINK("https://dpmzos25m8ivg.cloudfront.net/Documentos/631/05979828303/6310597982830310092023175439.pdf","https://dpmzos25m8ivg.cloudfront.net/Documentos/631/05979828303/6310597982830310092023175439.pdf")</f>
        <v>https://dpmzos25m8ivg.cloudfront.net/Documentos/631/05979828303/6310597982830310092023175439.pdf</v>
      </c>
      <c r="F2803" s="5" t="str">
        <f>HYPERLINK("https://dpmzos25m8ivg.cloudfront.net/Documentos/631/05979828303/6310597982830310092023175514.pdf","https://dpmzos25m8ivg.cloudfront.net/Documentos/631/05979828303/6310597982830310092023175514.pdf")</f>
        <v>https://dpmzos25m8ivg.cloudfront.net/Documentos/631/05979828303/6310597982830310092023175514.pdf</v>
      </c>
      <c r="G2803" s="5" t="str">
        <f>HYPERLINK("https://dpmzos25m8ivg.cloudfront.net/Documentos/631/05979828303/6310597982830310092023175531.pdf","https://dpmzos25m8ivg.cloudfront.net/Documentos/631/05979828303/6310597982830310092023175531.pdf")</f>
        <v>https://dpmzos25m8ivg.cloudfront.net/Documentos/631/05979828303/6310597982830310092023175531.pdf</v>
      </c>
      <c r="H2803" s="5" t="s">
        <v>11381</v>
      </c>
    </row>
    <row r="2804" spans="1:8" x14ac:dyDescent="0.25">
      <c r="A2804" s="2" t="s">
        <v>2821</v>
      </c>
      <c r="B2804" s="3"/>
      <c r="C2804" s="3"/>
      <c r="D2804" s="3"/>
      <c r="E2804" s="5" t="str">
        <f>HYPERLINK("https://dpmzos25m8ivg.cloudfront.net/Documentos/631/05980988106/6310598098810606092023095631.pdf","https://dpmzos25m8ivg.cloudfront.net/Documentos/631/05980988106/6310598098810606092023095631.pdf")</f>
        <v>https://dpmzos25m8ivg.cloudfront.net/Documentos/631/05980988106/6310598098810606092023095631.pdf</v>
      </c>
      <c r="F2804" s="5" t="str">
        <f>HYPERLINK("https://dpmzos25m8ivg.cloudfront.net/Documentos/631/05980988106/6310598098810606092023095637.pdf","https://dpmzos25m8ivg.cloudfront.net/Documentos/631/05980988106/6310598098810606092023095637.pdf")</f>
        <v>https://dpmzos25m8ivg.cloudfront.net/Documentos/631/05980988106/6310598098810606092023095637.pdf</v>
      </c>
      <c r="G2804" s="5" t="str">
        <f>HYPERLINK("https://dpmzos25m8ivg.cloudfront.net/Documentos/631/05980988106/6310598098810606092023095644.pdf","https://dpmzos25m8ivg.cloudfront.net/Documentos/631/05980988106/6310598098810606092023095644.pdf")</f>
        <v>https://dpmzos25m8ivg.cloudfront.net/Documentos/631/05980988106/6310598098810606092023095644.pdf</v>
      </c>
      <c r="H2804" s="5" t="s">
        <v>11382</v>
      </c>
    </row>
    <row r="2805" spans="1:8" x14ac:dyDescent="0.25">
      <c r="A2805" s="2" t="s">
        <v>2822</v>
      </c>
      <c r="B2805" s="3"/>
      <c r="C2805" s="3"/>
      <c r="D2805" s="3"/>
      <c r="E2805" s="5" t="str">
        <f>HYPERLINK("https://dpmzos25m8ivg.cloudfront.net/Documentos/631/05981156171/6310598115617111092023010439.pdf","https://dpmzos25m8ivg.cloudfront.net/Documentos/631/05981156171/6310598115617111092023010439.pdf")</f>
        <v>https://dpmzos25m8ivg.cloudfront.net/Documentos/631/05981156171/6310598115617111092023010439.pdf</v>
      </c>
      <c r="F2805" s="5" t="str">
        <f>HYPERLINK("https://dpmzos25m8ivg.cloudfront.net/Documentos/631/05981156171/6310598115617111092023010450.pdf","https://dpmzos25m8ivg.cloudfront.net/Documentos/631/05981156171/6310598115617111092023010450.pdf")</f>
        <v>https://dpmzos25m8ivg.cloudfront.net/Documentos/631/05981156171/6310598115617111092023010450.pdf</v>
      </c>
      <c r="G2805" s="5" t="str">
        <f>HYPERLINK("https://dpmzos25m8ivg.cloudfront.net/Documentos/631/05981156171/6310598115617111092023010503.pdf","https://dpmzos25m8ivg.cloudfront.net/Documentos/631/05981156171/6310598115617111092023010503.pdf")</f>
        <v>https://dpmzos25m8ivg.cloudfront.net/Documentos/631/05981156171/6310598115617111092023010503.pdf</v>
      </c>
      <c r="H2805" s="5" t="s">
        <v>11383</v>
      </c>
    </row>
    <row r="2806" spans="1:8" x14ac:dyDescent="0.25">
      <c r="A2806" s="2" t="s">
        <v>2823</v>
      </c>
      <c r="B2806" s="3"/>
      <c r="C2806" s="3"/>
      <c r="D2806" s="3"/>
      <c r="E2806" s="5" t="str">
        <f>HYPERLINK("https://dpmzos25m8ivg.cloudfront.net/Documentos/631/05981535350/6310598153535011092023165048.jpg","https://dpmzos25m8ivg.cloudfront.net/Documentos/631/05981535350/6310598153535011092023165048.jpg")</f>
        <v>https://dpmzos25m8ivg.cloudfront.net/Documentos/631/05981535350/6310598153535011092023165048.jpg</v>
      </c>
      <c r="F2806" s="5" t="str">
        <f>HYPERLINK("https://dpmzos25m8ivg.cloudfront.net/Documentos/631/05981535350/6310598153535011092023165120.jpg","https://dpmzos25m8ivg.cloudfront.net/Documentos/631/05981535350/6310598153535011092023165120.jpg")</f>
        <v>https://dpmzos25m8ivg.cloudfront.net/Documentos/631/05981535350/6310598153535011092023165120.jpg</v>
      </c>
      <c r="G2806" s="5" t="str">
        <f>HYPERLINK("https://dpmzos25m8ivg.cloudfront.net/Documentos/631/05981535350/6310598153535011092023165136.jpg","https://dpmzos25m8ivg.cloudfront.net/Documentos/631/05981535350/6310598153535011092023165136.jpg")</f>
        <v>https://dpmzos25m8ivg.cloudfront.net/Documentos/631/05981535350/6310598153535011092023165136.jpg</v>
      </c>
      <c r="H2806" s="5" t="s">
        <v>11384</v>
      </c>
    </row>
    <row r="2807" spans="1:8" x14ac:dyDescent="0.25">
      <c r="A2807" s="2" t="s">
        <v>2824</v>
      </c>
      <c r="B2807" s="3" t="s">
        <v>2358</v>
      </c>
      <c r="C2807" s="3"/>
      <c r="D2807" s="3"/>
      <c r="E2807" s="5" t="str">
        <f>HYPERLINK("https://dpmzos25m8ivg.cloudfront.net/Documentos/631/05981653558/6310598165355811092023135119.jpg","https://dpmzos25m8ivg.cloudfront.net/Documentos/631/05981653558/6310598165355811092023135119.jpg")</f>
        <v>https://dpmzos25m8ivg.cloudfront.net/Documentos/631/05981653558/6310598165355811092023135119.jpg</v>
      </c>
      <c r="F2807" s="5" t="str">
        <f>HYPERLINK("https://dpmzos25m8ivg.cloudfront.net/Documentos/631/05981653558/6310598165355811092023135131.jpg","https://dpmzos25m8ivg.cloudfront.net/Documentos/631/05981653558/6310598165355811092023135131.jpg")</f>
        <v>https://dpmzos25m8ivg.cloudfront.net/Documentos/631/05981653558/6310598165355811092023135131.jpg</v>
      </c>
      <c r="G2807" s="5" t="str">
        <f>HYPERLINK("https://dpmzos25m8ivg.cloudfront.net/Documentos/631/05981653558/6310598165355811092023135149.jpg","https://dpmzos25m8ivg.cloudfront.net/Documentos/631/05981653558/6310598165355811092023135149.jpg")</f>
        <v>https://dpmzos25m8ivg.cloudfront.net/Documentos/631/05981653558/6310598165355811092023135149.jpg</v>
      </c>
      <c r="H2807" s="5" t="s">
        <v>11385</v>
      </c>
    </row>
    <row r="2808" spans="1:8" x14ac:dyDescent="0.25">
      <c r="A2808" s="2" t="s">
        <v>2825</v>
      </c>
      <c r="B2808" s="3" t="s">
        <v>8</v>
      </c>
      <c r="C2808" s="3"/>
      <c r="D2808" s="3"/>
      <c r="E2808" s="5" t="str">
        <f>HYPERLINK("https://dpmzos25m8ivg.cloudfront.net/Documentos/631/05983208578/6310598320857806092023084932.jpg","https://dpmzos25m8ivg.cloudfront.net/Documentos/631/05983208578/6310598320857806092023084932.jpg")</f>
        <v>https://dpmzos25m8ivg.cloudfront.net/Documentos/631/05983208578/6310598320857806092023084932.jpg</v>
      </c>
      <c r="F2808" s="5" t="str">
        <f>HYPERLINK("https://dpmzos25m8ivg.cloudfront.net/Documentos/631/05983208578/6310598320857806092023084951.jpg","https://dpmzos25m8ivg.cloudfront.net/Documentos/631/05983208578/6310598320857806092023084951.jpg")</f>
        <v>https://dpmzos25m8ivg.cloudfront.net/Documentos/631/05983208578/6310598320857806092023084951.jpg</v>
      </c>
      <c r="G2808" s="5" t="str">
        <f>HYPERLINK("https://dpmzos25m8ivg.cloudfront.net/Documentos/631/05983208578/6310598320857806092023084945.jpg","https://dpmzos25m8ivg.cloudfront.net/Documentos/631/05983208578/6310598320857806092023084945.jpg")</f>
        <v>https://dpmzos25m8ivg.cloudfront.net/Documentos/631/05983208578/6310598320857806092023084945.jpg</v>
      </c>
      <c r="H2808" s="5" t="s">
        <v>11386</v>
      </c>
    </row>
    <row r="2809" spans="1:8" x14ac:dyDescent="0.25">
      <c r="A2809" s="2" t="s">
        <v>2826</v>
      </c>
      <c r="B2809" s="3"/>
      <c r="C2809" s="3"/>
      <c r="D2809" s="3"/>
      <c r="E2809" s="5" t="str">
        <f>HYPERLINK("https://dpmzos25m8ivg.cloudfront.net/Documentos/631/05985494128/6310598549412811092023164356.jpeg","https://dpmzos25m8ivg.cloudfront.net/Documentos/631/05985494128/6310598549412811092023164356.jpeg")</f>
        <v>https://dpmzos25m8ivg.cloudfront.net/Documentos/631/05985494128/6310598549412811092023164356.jpeg</v>
      </c>
      <c r="F2809" s="5" t="str">
        <f>HYPERLINK("https://dpmzos25m8ivg.cloudfront.net/Documentos/631/05985494128/6310598549412811092023164405.jpeg","https://dpmzos25m8ivg.cloudfront.net/Documentos/631/05985494128/6310598549412811092023164405.jpeg")</f>
        <v>https://dpmzos25m8ivg.cloudfront.net/Documentos/631/05985494128/6310598549412811092023164405.jpeg</v>
      </c>
      <c r="G2809" s="5" t="str">
        <f>HYPERLINK("https://dpmzos25m8ivg.cloudfront.net/Documentos/631/05985494128/6310598549412811092023164415.jpeg","https://dpmzos25m8ivg.cloudfront.net/Documentos/631/05985494128/6310598549412811092023164415.jpeg")</f>
        <v>https://dpmzos25m8ivg.cloudfront.net/Documentos/631/05985494128/6310598549412811092023164415.jpeg</v>
      </c>
      <c r="H2809" s="5" t="s">
        <v>11387</v>
      </c>
    </row>
    <row r="2810" spans="1:8" x14ac:dyDescent="0.25">
      <c r="A2810" s="2" t="s">
        <v>2827</v>
      </c>
      <c r="B2810" s="3"/>
      <c r="C2810" s="3"/>
      <c r="D2810" s="3"/>
      <c r="E2810" s="5" t="str">
        <f>HYPERLINK("https://dpmzos25m8ivg.cloudfront.net/Documentos/631/05985649504/6310598564950406092023113509.pdf","https://dpmzos25m8ivg.cloudfront.net/Documentos/631/05985649504/6310598564950406092023113509.pdf")</f>
        <v>https://dpmzos25m8ivg.cloudfront.net/Documentos/631/05985649504/6310598564950406092023113509.pdf</v>
      </c>
      <c r="F2810" s="5" t="str">
        <f>HYPERLINK("https://dpmzos25m8ivg.cloudfront.net/Documentos/631/05985649504/6310598564950406092023113521.pdf","https://dpmzos25m8ivg.cloudfront.net/Documentos/631/05985649504/6310598564950406092023113521.pdf")</f>
        <v>https://dpmzos25m8ivg.cloudfront.net/Documentos/631/05985649504/6310598564950406092023113521.pdf</v>
      </c>
      <c r="G2810" s="5" t="str">
        <f>HYPERLINK("https://dpmzos25m8ivg.cloudfront.net/Documentos/631/05985649504/6310598564950406092023113530.pdf","https://dpmzos25m8ivg.cloudfront.net/Documentos/631/05985649504/6310598564950406092023113530.pdf")</f>
        <v>https://dpmzos25m8ivg.cloudfront.net/Documentos/631/05985649504/6310598564950406092023113530.pdf</v>
      </c>
      <c r="H2810" s="5" t="s">
        <v>11388</v>
      </c>
    </row>
    <row r="2811" spans="1:8" x14ac:dyDescent="0.25">
      <c r="A2811" s="2" t="s">
        <v>2828</v>
      </c>
      <c r="B2811" s="3" t="s">
        <v>23</v>
      </c>
      <c r="C2811" s="3"/>
      <c r="D2811" s="3"/>
      <c r="E2811" s="5" t="str">
        <f>HYPERLINK("https://dpmzos25m8ivg.cloudfront.net/Documentos/631/05988770614/6310598877061405092023092648.pdf","https://dpmzos25m8ivg.cloudfront.net/Documentos/631/05988770614/6310598877061405092023092648.pdf")</f>
        <v>https://dpmzos25m8ivg.cloudfront.net/Documentos/631/05988770614/6310598877061405092023092648.pdf</v>
      </c>
      <c r="F2811" s="5" t="str">
        <f>HYPERLINK("https://dpmzos25m8ivg.cloudfront.net/Documentos/631/05988770614/6310598877061405092023092711.pdf","https://dpmzos25m8ivg.cloudfront.net/Documentos/631/05988770614/6310598877061405092023092711.pdf")</f>
        <v>https://dpmzos25m8ivg.cloudfront.net/Documentos/631/05988770614/6310598877061405092023092711.pdf</v>
      </c>
      <c r="G2811" s="5" t="str">
        <f>HYPERLINK("https://dpmzos25m8ivg.cloudfront.net/Documentos/631/05988770614/6310598877061405092023092817.pdf","https://dpmzos25m8ivg.cloudfront.net/Documentos/631/05988770614/6310598877061405092023092817.pdf")</f>
        <v>https://dpmzos25m8ivg.cloudfront.net/Documentos/631/05988770614/6310598877061405092023092817.pdf</v>
      </c>
      <c r="H2811" s="5" t="s">
        <v>11389</v>
      </c>
    </row>
    <row r="2812" spans="1:8" x14ac:dyDescent="0.25">
      <c r="A2812" s="2" t="s">
        <v>2829</v>
      </c>
      <c r="B2812" s="3"/>
      <c r="C2812" s="3"/>
      <c r="D2812" s="3"/>
      <c r="E2812" s="5" t="str">
        <f>HYPERLINK("https://dpmzos25m8ivg.cloudfront.net/Documentos/631/05990554567/6310599055456706092023203843.pdf","https://dpmzos25m8ivg.cloudfront.net/Documentos/631/05990554567/6310599055456706092023203843.pdf")</f>
        <v>https://dpmzos25m8ivg.cloudfront.net/Documentos/631/05990554567/6310599055456706092023203843.pdf</v>
      </c>
      <c r="F2812" s="5" t="str">
        <f>HYPERLINK("https://dpmzos25m8ivg.cloudfront.net/Documentos/631/05990554567/6310599055456706092023203907.pdf","https://dpmzos25m8ivg.cloudfront.net/Documentos/631/05990554567/6310599055456706092023203907.pdf")</f>
        <v>https://dpmzos25m8ivg.cloudfront.net/Documentos/631/05990554567/6310599055456706092023203907.pdf</v>
      </c>
      <c r="G2812" s="5" t="str">
        <f>HYPERLINK("https://dpmzos25m8ivg.cloudfront.net/Documentos/631/05990554567/6310599055456706092023203940.pdf","https://dpmzos25m8ivg.cloudfront.net/Documentos/631/05990554567/6310599055456706092023203940.pdf")</f>
        <v>https://dpmzos25m8ivg.cloudfront.net/Documentos/631/05990554567/6310599055456706092023203940.pdf</v>
      </c>
      <c r="H2812" s="5" t="s">
        <v>11390</v>
      </c>
    </row>
    <row r="2813" spans="1:8" x14ac:dyDescent="0.25">
      <c r="A2813" s="2" t="s">
        <v>2830</v>
      </c>
      <c r="B2813" s="3" t="s">
        <v>8</v>
      </c>
      <c r="C2813" s="3"/>
      <c r="D2813" s="3"/>
      <c r="E2813" s="5" t="str">
        <f>HYPERLINK("https://dpmzos25m8ivg.cloudfront.net/Documentos/631/05992767541/6310599276754110092023193153.pdf","https://dpmzos25m8ivg.cloudfront.net/Documentos/631/05992767541/6310599276754110092023193153.pdf")</f>
        <v>https://dpmzos25m8ivg.cloudfront.net/Documentos/631/05992767541/6310599276754110092023193153.pdf</v>
      </c>
      <c r="F2813" s="5" t="str">
        <f>HYPERLINK("https://dpmzos25m8ivg.cloudfront.net/Documentos/631/05992767541/6310599276754110092023193201.pdf","https://dpmzos25m8ivg.cloudfront.net/Documentos/631/05992767541/6310599276754110092023193201.pdf")</f>
        <v>https://dpmzos25m8ivg.cloudfront.net/Documentos/631/05992767541/6310599276754110092023193201.pdf</v>
      </c>
      <c r="G2813" s="5" t="str">
        <f>HYPERLINK("https://dpmzos25m8ivg.cloudfront.net/Documentos/631/05992767541/6310599276754110092023193212.pdf","https://dpmzos25m8ivg.cloudfront.net/Documentos/631/05992767541/6310599276754110092023193212.pdf")</f>
        <v>https://dpmzos25m8ivg.cloudfront.net/Documentos/631/05992767541/6310599276754110092023193212.pdf</v>
      </c>
      <c r="H2813" s="5" t="s">
        <v>11391</v>
      </c>
    </row>
    <row r="2814" spans="1:8" x14ac:dyDescent="0.25">
      <c r="A2814" s="2" t="s">
        <v>2831</v>
      </c>
      <c r="B2814" s="3"/>
      <c r="C2814" s="3"/>
      <c r="D2814" s="3"/>
      <c r="E2814" s="5" t="str">
        <f>HYPERLINK("https://dpmzos25m8ivg.cloudfront.net/Documentos/631/05993943157/6310599394315705092023102209.pdf","https://dpmzos25m8ivg.cloudfront.net/Documentos/631/05993943157/6310599394315705092023102209.pdf")</f>
        <v>https://dpmzos25m8ivg.cloudfront.net/Documentos/631/05993943157/6310599394315705092023102209.pdf</v>
      </c>
      <c r="F2814" s="5" t="str">
        <f>HYPERLINK("https://dpmzos25m8ivg.cloudfront.net/Documentos/631/05993943157/6310599394315705092023102236.pdf","https://dpmzos25m8ivg.cloudfront.net/Documentos/631/05993943157/6310599394315705092023102236.pdf")</f>
        <v>https://dpmzos25m8ivg.cloudfront.net/Documentos/631/05993943157/6310599394315705092023102236.pdf</v>
      </c>
      <c r="G2814" s="5" t="str">
        <f>HYPERLINK("https://dpmzos25m8ivg.cloudfront.net/Documentos/631/05993943157/6310599394315705092023102247.pdf","https://dpmzos25m8ivg.cloudfront.net/Documentos/631/05993943157/6310599394315705092023102247.pdf")</f>
        <v>https://dpmzos25m8ivg.cloudfront.net/Documentos/631/05993943157/6310599394315705092023102247.pdf</v>
      </c>
      <c r="H2814" s="5" t="s">
        <v>11392</v>
      </c>
    </row>
    <row r="2815" spans="1:8" x14ac:dyDescent="0.25">
      <c r="A2815" s="2" t="s">
        <v>2832</v>
      </c>
      <c r="B2815" s="3"/>
      <c r="C2815" s="3"/>
      <c r="D2815" s="3"/>
      <c r="E2815" s="5" t="str">
        <f>HYPERLINK("https://dpmzos25m8ivg.cloudfront.net/Documentos/631/05994170488/6310599417048811092023125820.pdf","https://dpmzos25m8ivg.cloudfront.net/Documentos/631/05994170488/6310599417048811092023125820.pdf")</f>
        <v>https://dpmzos25m8ivg.cloudfront.net/Documentos/631/05994170488/6310599417048811092023125820.pdf</v>
      </c>
      <c r="F2815" s="5" t="str">
        <f>HYPERLINK("https://dpmzos25m8ivg.cloudfront.net/Documentos/631/05994170488/6310599417048811092023125933.pdf","https://dpmzos25m8ivg.cloudfront.net/Documentos/631/05994170488/6310599417048811092023125933.pdf")</f>
        <v>https://dpmzos25m8ivg.cloudfront.net/Documentos/631/05994170488/6310599417048811092023125933.pdf</v>
      </c>
      <c r="G2815" s="5" t="str">
        <f>HYPERLINK("https://dpmzos25m8ivg.cloudfront.net/Documentos/631/05994170488/6310599417048811092023130312.pdf","https://dpmzos25m8ivg.cloudfront.net/Documentos/631/05994170488/6310599417048811092023130312.pdf")</f>
        <v>https://dpmzos25m8ivg.cloudfront.net/Documentos/631/05994170488/6310599417048811092023130312.pdf</v>
      </c>
      <c r="H2815" s="5" t="s">
        <v>11393</v>
      </c>
    </row>
    <row r="2816" spans="1:8" x14ac:dyDescent="0.25">
      <c r="A2816" s="2" t="s">
        <v>2833</v>
      </c>
      <c r="B2816" s="3"/>
      <c r="C2816" s="3"/>
      <c r="D2816" s="3"/>
      <c r="E2816" s="5" t="str">
        <f>HYPERLINK("https://dpmzos25m8ivg.cloudfront.net/Documentos/631/05994960535/6310599496053511092023103425.jpeg","https://dpmzos25m8ivg.cloudfront.net/Documentos/631/05994960535/6310599496053511092023103425.jpeg")</f>
        <v>https://dpmzos25m8ivg.cloudfront.net/Documentos/631/05994960535/6310599496053511092023103425.jpeg</v>
      </c>
      <c r="F2816" s="5" t="str">
        <f>HYPERLINK("https://dpmzos25m8ivg.cloudfront.net/Documentos/631/05994960535/6310599496053511092023103447.jpeg","https://dpmzos25m8ivg.cloudfront.net/Documentos/631/05994960535/6310599496053511092023103447.jpeg")</f>
        <v>https://dpmzos25m8ivg.cloudfront.net/Documentos/631/05994960535/6310599496053511092023103447.jpeg</v>
      </c>
      <c r="G2816" s="5" t="str">
        <f>HYPERLINK("https://dpmzos25m8ivg.cloudfront.net/Documentos/631/05994960535/6310599496053511092023103459.jpeg","https://dpmzos25m8ivg.cloudfront.net/Documentos/631/05994960535/6310599496053511092023103459.jpeg")</f>
        <v>https://dpmzos25m8ivg.cloudfront.net/Documentos/631/05994960535/6310599496053511092023103459.jpeg</v>
      </c>
      <c r="H2816" s="5" t="s">
        <v>11394</v>
      </c>
    </row>
    <row r="2817" spans="1:8" x14ac:dyDescent="0.25">
      <c r="A2817" s="2" t="s">
        <v>2834</v>
      </c>
      <c r="B2817" s="3"/>
      <c r="C2817" s="3"/>
      <c r="D2817" s="3"/>
      <c r="E2817" s="5" t="str">
        <f>HYPERLINK("https://dpmzos25m8ivg.cloudfront.net/Documentos/631/06000405502/6310600040550211092023170514.pdf","https://dpmzos25m8ivg.cloudfront.net/Documentos/631/06000405502/6310600040550211092023170514.pdf")</f>
        <v>https://dpmzos25m8ivg.cloudfront.net/Documentos/631/06000405502/6310600040550211092023170514.pdf</v>
      </c>
      <c r="F2817" s="5" t="str">
        <f>HYPERLINK("https://dpmzos25m8ivg.cloudfront.net/Documentos/631/06000405502/6310600040550211092023170525.pdf","https://dpmzos25m8ivg.cloudfront.net/Documentos/631/06000405502/6310600040550211092023170525.pdf")</f>
        <v>https://dpmzos25m8ivg.cloudfront.net/Documentos/631/06000405502/6310600040550211092023170525.pdf</v>
      </c>
      <c r="G2817" s="5" t="str">
        <f>HYPERLINK("https://dpmzos25m8ivg.cloudfront.net/Documentos/631/06000405502/6310600040550211092023170542.pdf","https://dpmzos25m8ivg.cloudfront.net/Documentos/631/06000405502/6310600040550211092023170542.pdf")</f>
        <v>https://dpmzos25m8ivg.cloudfront.net/Documentos/631/06000405502/6310600040550211092023170542.pdf</v>
      </c>
      <c r="H2817" s="5" t="s">
        <v>11395</v>
      </c>
    </row>
    <row r="2818" spans="1:8" x14ac:dyDescent="0.25">
      <c r="A2818" s="2" t="s">
        <v>2835</v>
      </c>
      <c r="B2818" s="3" t="s">
        <v>23</v>
      </c>
      <c r="C2818" s="3"/>
      <c r="D2818" s="3"/>
      <c r="E2818" s="5" t="str">
        <f>HYPERLINK("https://dpmzos25m8ivg.cloudfront.net/Documentos/631/06001671516/6310600167151609092023155339.pdf","https://dpmzos25m8ivg.cloudfront.net/Documentos/631/06001671516/6310600167151609092023155339.pdf")</f>
        <v>https://dpmzos25m8ivg.cloudfront.net/Documentos/631/06001671516/6310600167151609092023155339.pdf</v>
      </c>
      <c r="F2818" s="5" t="str">
        <f>HYPERLINK("https://dpmzos25m8ivg.cloudfront.net/Documentos/631/06001671516/6310600167151609092023155345.pdf","https://dpmzos25m8ivg.cloudfront.net/Documentos/631/06001671516/6310600167151609092023155345.pdf")</f>
        <v>https://dpmzos25m8ivg.cloudfront.net/Documentos/631/06001671516/6310600167151609092023155345.pdf</v>
      </c>
      <c r="G2818" s="5" t="str">
        <f>HYPERLINK("https://dpmzos25m8ivg.cloudfront.net/Documentos/631/06001671516/6310600167151609092023155350.pdf","https://dpmzos25m8ivg.cloudfront.net/Documentos/631/06001671516/6310600167151609092023155350.pdf")</f>
        <v>https://dpmzos25m8ivg.cloudfront.net/Documentos/631/06001671516/6310600167151609092023155350.pdf</v>
      </c>
      <c r="H2818" s="5" t="s">
        <v>11396</v>
      </c>
    </row>
    <row r="2819" spans="1:8" x14ac:dyDescent="0.25">
      <c r="A2819" s="2" t="s">
        <v>2836</v>
      </c>
      <c r="B2819" s="3" t="s">
        <v>8</v>
      </c>
      <c r="C2819" s="3"/>
      <c r="D2819" s="3"/>
      <c r="E2819" s="5" t="str">
        <f>HYPERLINK("https://dpmzos25m8ivg.cloudfront.net/Documentos/631/06003755954/6310600375595411092023153740.pdf","https://dpmzos25m8ivg.cloudfront.net/Documentos/631/06003755954/6310600375595411092023153740.pdf")</f>
        <v>https://dpmzos25m8ivg.cloudfront.net/Documentos/631/06003755954/6310600375595411092023153740.pdf</v>
      </c>
      <c r="F2819" s="5" t="str">
        <f>HYPERLINK("https://dpmzos25m8ivg.cloudfront.net/Documentos/631/06003755954/6310600375595411092023153757.pdf","https://dpmzos25m8ivg.cloudfront.net/Documentos/631/06003755954/6310600375595411092023153757.pdf")</f>
        <v>https://dpmzos25m8ivg.cloudfront.net/Documentos/631/06003755954/6310600375595411092023153757.pdf</v>
      </c>
      <c r="G2819" s="5" t="str">
        <f>HYPERLINK("https://dpmzos25m8ivg.cloudfront.net/Documentos/631/06003755954/6310600375595411092023153816.pdf","https://dpmzos25m8ivg.cloudfront.net/Documentos/631/06003755954/6310600375595411092023153816.pdf")</f>
        <v>https://dpmzos25m8ivg.cloudfront.net/Documentos/631/06003755954/6310600375595411092023153816.pdf</v>
      </c>
      <c r="H2819" s="5" t="s">
        <v>11397</v>
      </c>
    </row>
    <row r="2820" spans="1:8" x14ac:dyDescent="0.25">
      <c r="A2820" s="2" t="s">
        <v>2837</v>
      </c>
      <c r="B2820" s="3"/>
      <c r="C2820" s="3"/>
      <c r="D2820" s="3"/>
      <c r="E2820" s="5" t="str">
        <f>HYPERLINK("https://dpmzos25m8ivg.cloudfront.net/Documentos/631/06008558561/6310600855856105092023202611.pdf","https://dpmzos25m8ivg.cloudfront.net/Documentos/631/06008558561/6310600855856105092023202611.pdf")</f>
        <v>https://dpmzos25m8ivg.cloudfront.net/Documentos/631/06008558561/6310600855856105092023202611.pdf</v>
      </c>
      <c r="F2820" s="5" t="str">
        <f>HYPERLINK("https://dpmzos25m8ivg.cloudfront.net/Documentos/631/06008558561/6310600855856105092023202625.pdf","https://dpmzos25m8ivg.cloudfront.net/Documentos/631/06008558561/6310600855856105092023202625.pdf")</f>
        <v>https://dpmzos25m8ivg.cloudfront.net/Documentos/631/06008558561/6310600855856105092023202625.pdf</v>
      </c>
      <c r="G2820" s="5" t="str">
        <f>HYPERLINK("https://dpmzos25m8ivg.cloudfront.net/Documentos/631/06008558561/6310600855856105092023202639.pdf","https://dpmzos25m8ivg.cloudfront.net/Documentos/631/06008558561/6310600855856105092023202639.pdf")</f>
        <v>https://dpmzos25m8ivg.cloudfront.net/Documentos/631/06008558561/6310600855856105092023202639.pdf</v>
      </c>
      <c r="H2820" s="5" t="s">
        <v>11398</v>
      </c>
    </row>
    <row r="2821" spans="1:8" x14ac:dyDescent="0.25">
      <c r="A2821" s="2" t="s">
        <v>2838</v>
      </c>
      <c r="B2821" s="3"/>
      <c r="C2821" s="3"/>
      <c r="D2821" s="3"/>
      <c r="E2821" s="5" t="str">
        <f>HYPERLINK("https://dpmzos25m8ivg.cloudfront.net/Documentos/631/06011981909/6310601198190911092023122510.pdf","https://dpmzos25m8ivg.cloudfront.net/Documentos/631/06011981909/6310601198190911092023122510.pdf")</f>
        <v>https://dpmzos25m8ivg.cloudfront.net/Documentos/631/06011981909/6310601198190911092023122510.pdf</v>
      </c>
      <c r="F2821" s="5" t="str">
        <f>HYPERLINK("https://dpmzos25m8ivg.cloudfront.net/Documentos/631/06011981909/6310601198190911092023122523.pdf","https://dpmzos25m8ivg.cloudfront.net/Documentos/631/06011981909/6310601198190911092023122523.pdf")</f>
        <v>https://dpmzos25m8ivg.cloudfront.net/Documentos/631/06011981909/6310601198190911092023122523.pdf</v>
      </c>
      <c r="G2821" s="5" t="str">
        <f>HYPERLINK("https://dpmzos25m8ivg.cloudfront.net/Documentos/631/06011981909/6310601198190911092023122539.pdf","https://dpmzos25m8ivg.cloudfront.net/Documentos/631/06011981909/6310601198190911092023122539.pdf")</f>
        <v>https://dpmzos25m8ivg.cloudfront.net/Documentos/631/06011981909/6310601198190911092023122539.pdf</v>
      </c>
      <c r="H2821" s="5" t="s">
        <v>11399</v>
      </c>
    </row>
    <row r="2822" spans="1:8" x14ac:dyDescent="0.25">
      <c r="A2822" s="2" t="s">
        <v>2839</v>
      </c>
      <c r="B2822" s="13"/>
      <c r="C2822" s="3"/>
      <c r="D2822" s="3"/>
      <c r="E2822" s="5" t="str">
        <f>HYPERLINK("https://dpmzos25m8ivg.cloudfront.net/Documentos/631/06012490380/6310601249038011092023115751.jpeg","https://dpmzos25m8ivg.cloudfront.net/Documentos/631/06012490380/6310601249038011092023115751.jpeg")</f>
        <v>https://dpmzos25m8ivg.cloudfront.net/Documentos/631/06012490380/6310601249038011092023115751.jpeg</v>
      </c>
      <c r="F2822" s="5" t="str">
        <f>HYPERLINK("https://dpmzos25m8ivg.cloudfront.net/Documentos/631/06012490380/6310601249038011092023115804.jpeg","https://dpmzos25m8ivg.cloudfront.net/Documentos/631/06012490380/6310601249038011092023115804.jpeg")</f>
        <v>https://dpmzos25m8ivg.cloudfront.net/Documentos/631/06012490380/6310601249038011092023115804.jpeg</v>
      </c>
      <c r="G2822" s="5" t="str">
        <f>HYPERLINK("https://dpmzos25m8ivg.cloudfront.net/Documentos/631/06012490380/6310601249038011092023115819.jpeg","https://dpmzos25m8ivg.cloudfront.net/Documentos/631/06012490380/6310601249038011092023115819.jpeg")</f>
        <v>https://dpmzos25m8ivg.cloudfront.net/Documentos/631/06012490380/6310601249038011092023115819.jpeg</v>
      </c>
      <c r="H2822" s="5" t="s">
        <v>11400</v>
      </c>
    </row>
    <row r="2823" spans="1:8" x14ac:dyDescent="0.25">
      <c r="A2823" s="2" t="s">
        <v>2840</v>
      </c>
      <c r="B2823" s="3"/>
      <c r="C2823" s="3"/>
      <c r="D2823" s="3"/>
      <c r="E2823" s="5" t="str">
        <f>HYPERLINK("https://dpmzos25m8ivg.cloudfront.net/Documentos/631/06013987424/6310601398742411092023101324.jpeg","https://dpmzos25m8ivg.cloudfront.net/Documentos/631/06013987424/6310601398742411092023101324.jpeg")</f>
        <v>https://dpmzos25m8ivg.cloudfront.net/Documentos/631/06013987424/6310601398742411092023101324.jpeg</v>
      </c>
      <c r="F2823" s="5" t="str">
        <f>HYPERLINK("https://dpmzos25m8ivg.cloudfront.net/Documentos/631/06013987424/6310601398742411092023101336.jpeg","https://dpmzos25m8ivg.cloudfront.net/Documentos/631/06013987424/6310601398742411092023101336.jpeg")</f>
        <v>https://dpmzos25m8ivg.cloudfront.net/Documentos/631/06013987424/6310601398742411092023101336.jpeg</v>
      </c>
      <c r="G2823" s="5" t="str">
        <f>HYPERLINK("https://dpmzos25m8ivg.cloudfront.net/Documentos/631/06013987424/6310601398742411092023101349.jpeg","https://dpmzos25m8ivg.cloudfront.net/Documentos/631/06013987424/6310601398742411092023101349.jpeg")</f>
        <v>https://dpmzos25m8ivg.cloudfront.net/Documentos/631/06013987424/6310601398742411092023101349.jpeg</v>
      </c>
      <c r="H2823" s="5" t="s">
        <v>11401</v>
      </c>
    </row>
    <row r="2824" spans="1:8" x14ac:dyDescent="0.25">
      <c r="A2824" s="2" t="s">
        <v>2841</v>
      </c>
      <c r="B2824" s="3"/>
      <c r="C2824" s="3"/>
      <c r="D2824" s="3"/>
      <c r="E2824" s="5" t="str">
        <f>HYPERLINK("https://dpmzos25m8ivg.cloudfront.net/Documentos/631/06015587822/6310601558782209092023082515.pdf","https://dpmzos25m8ivg.cloudfront.net/Documentos/631/06015587822/6310601558782209092023082515.pdf")</f>
        <v>https://dpmzos25m8ivg.cloudfront.net/Documentos/631/06015587822/6310601558782209092023082515.pdf</v>
      </c>
      <c r="F2824" s="5" t="str">
        <f>HYPERLINK("https://dpmzos25m8ivg.cloudfront.net/Documentos/631/06015587822/6310601558782209092023082538.pdf","https://dpmzos25m8ivg.cloudfront.net/Documentos/631/06015587822/6310601558782209092023082538.pdf")</f>
        <v>https://dpmzos25m8ivg.cloudfront.net/Documentos/631/06015587822/6310601558782209092023082538.pdf</v>
      </c>
      <c r="G2824" s="5" t="str">
        <f>HYPERLINK("https://dpmzos25m8ivg.cloudfront.net/Documentos/631/06015587822/6310601558782209092023082602.pdf","https://dpmzos25m8ivg.cloudfront.net/Documentos/631/06015587822/6310601558782209092023082602.pdf")</f>
        <v>https://dpmzos25m8ivg.cloudfront.net/Documentos/631/06015587822/6310601558782209092023082602.pdf</v>
      </c>
      <c r="H2824" s="5" t="s">
        <v>11402</v>
      </c>
    </row>
    <row r="2825" spans="1:8" x14ac:dyDescent="0.25">
      <c r="A2825" s="2" t="s">
        <v>2842</v>
      </c>
      <c r="B2825" s="3"/>
      <c r="C2825" s="3"/>
      <c r="D2825" s="3"/>
      <c r="E2825" s="5" t="str">
        <f>HYPERLINK("https://dpmzos25m8ivg.cloudfront.net/Documentos/631/06016325597/6310601632559711092023101609.pdf","https://dpmzos25m8ivg.cloudfront.net/Documentos/631/06016325597/6310601632559711092023101609.pdf")</f>
        <v>https://dpmzos25m8ivg.cloudfront.net/Documentos/631/06016325597/6310601632559711092023101609.pdf</v>
      </c>
      <c r="F2825" s="5" t="str">
        <f>HYPERLINK("https://dpmzos25m8ivg.cloudfront.net/Documentos/631/06016325597/6310601632559711092023101634.pdf","https://dpmzos25m8ivg.cloudfront.net/Documentos/631/06016325597/6310601632559711092023101634.pdf")</f>
        <v>https://dpmzos25m8ivg.cloudfront.net/Documentos/631/06016325597/6310601632559711092023101634.pdf</v>
      </c>
      <c r="G2825" s="5" t="str">
        <f>HYPERLINK("https://dpmzos25m8ivg.cloudfront.net/Documentos/631/06016325597/6310601632559711092023101657.pdf","https://dpmzos25m8ivg.cloudfront.net/Documentos/631/06016325597/6310601632559711092023101657.pdf")</f>
        <v>https://dpmzos25m8ivg.cloudfront.net/Documentos/631/06016325597/6310601632559711092023101657.pdf</v>
      </c>
      <c r="H2825" s="5" t="s">
        <v>11403</v>
      </c>
    </row>
    <row r="2826" spans="1:8" x14ac:dyDescent="0.25">
      <c r="A2826" s="2" t="s">
        <v>2843</v>
      </c>
      <c r="B2826" s="3" t="s">
        <v>8</v>
      </c>
      <c r="C2826" s="3"/>
      <c r="D2826" s="3"/>
      <c r="E2826" s="5" t="str">
        <f>HYPERLINK("https://dpmzos25m8ivg.cloudfront.net/Documentos/631/06016543900/6310601654390009092023203516.jpeg","https://dpmzos25m8ivg.cloudfront.net/Documentos/631/06016543900/6310601654390009092023203516.jpeg")</f>
        <v>https://dpmzos25m8ivg.cloudfront.net/Documentos/631/06016543900/6310601654390009092023203516.jpeg</v>
      </c>
      <c r="F2826" s="5" t="str">
        <f>HYPERLINK("https://dpmzos25m8ivg.cloudfront.net/Documentos/631/06016543900/6310601654390009092023203454.jpeg","https://dpmzos25m8ivg.cloudfront.net/Documentos/631/06016543900/6310601654390009092023203454.jpeg")</f>
        <v>https://dpmzos25m8ivg.cloudfront.net/Documentos/631/06016543900/6310601654390009092023203454.jpeg</v>
      </c>
      <c r="G2826" s="5" t="str">
        <f>HYPERLINK("https://dpmzos25m8ivg.cloudfront.net/Documentos/631/06016543900/6310601654390009092023203533.jpeg","https://dpmzos25m8ivg.cloudfront.net/Documentos/631/06016543900/6310601654390009092023203533.jpeg")</f>
        <v>https://dpmzos25m8ivg.cloudfront.net/Documentos/631/06016543900/6310601654390009092023203533.jpeg</v>
      </c>
      <c r="H2826" s="5" t="s">
        <v>11404</v>
      </c>
    </row>
    <row r="2827" spans="1:8" x14ac:dyDescent="0.25">
      <c r="A2827" s="2" t="s">
        <v>2844</v>
      </c>
      <c r="B2827" s="3"/>
      <c r="C2827" s="3"/>
      <c r="D2827" s="3"/>
      <c r="E2827" s="5" t="str">
        <f>HYPERLINK("https://dpmzos25m8ivg.cloudfront.net/Documentos/631/06016573140/6310601657314011092023141831.pdf","https://dpmzos25m8ivg.cloudfront.net/Documentos/631/06016573140/6310601657314011092023141831.pdf")</f>
        <v>https://dpmzos25m8ivg.cloudfront.net/Documentos/631/06016573140/6310601657314011092023141831.pdf</v>
      </c>
      <c r="F2827" s="5" t="str">
        <f>HYPERLINK("https://dpmzos25m8ivg.cloudfront.net/Documentos/631/06016573140/6310601657314011092023141841.pdf","https://dpmzos25m8ivg.cloudfront.net/Documentos/631/06016573140/6310601657314011092023141841.pdf")</f>
        <v>https://dpmzos25m8ivg.cloudfront.net/Documentos/631/06016573140/6310601657314011092023141841.pdf</v>
      </c>
      <c r="G2827" s="5" t="str">
        <f>HYPERLINK("https://dpmzos25m8ivg.cloudfront.net/Documentos/631/06016573140/6310601657314011092023141853.pdf","https://dpmzos25m8ivg.cloudfront.net/Documentos/631/06016573140/6310601657314011092023141853.pdf")</f>
        <v>https://dpmzos25m8ivg.cloudfront.net/Documentos/631/06016573140/6310601657314011092023141853.pdf</v>
      </c>
      <c r="H2827" s="5" t="s">
        <v>11405</v>
      </c>
    </row>
    <row r="2828" spans="1:8" x14ac:dyDescent="0.25">
      <c r="A2828" s="2" t="s">
        <v>2845</v>
      </c>
      <c r="B2828" s="3"/>
      <c r="C2828" s="3"/>
      <c r="D2828" s="3"/>
      <c r="E2828" s="5" t="str">
        <f>HYPERLINK("https://dpmzos25m8ivg.cloudfront.net/Documentos/631/06020853578/6310602085357804092023232420.jpg","https://dpmzos25m8ivg.cloudfront.net/Documentos/631/06020853578/6310602085357804092023232420.jpg")</f>
        <v>https://dpmzos25m8ivg.cloudfront.net/Documentos/631/06020853578/6310602085357804092023232420.jpg</v>
      </c>
      <c r="F2828" s="5" t="str">
        <f>HYPERLINK("https://dpmzos25m8ivg.cloudfront.net/Documentos/631/06020853578/6310602085357804092023232347.jpg","https://dpmzos25m8ivg.cloudfront.net/Documentos/631/06020853578/6310602085357804092023232347.jpg")</f>
        <v>https://dpmzos25m8ivg.cloudfront.net/Documentos/631/06020853578/6310602085357804092023232347.jpg</v>
      </c>
      <c r="G2828" s="5" t="str">
        <f>HYPERLINK("https://dpmzos25m8ivg.cloudfront.net/Documentos/631/06020853578/6310602085357804092023232447.jpg","https://dpmzos25m8ivg.cloudfront.net/Documentos/631/06020853578/6310602085357804092023232447.jpg")</f>
        <v>https://dpmzos25m8ivg.cloudfront.net/Documentos/631/06020853578/6310602085357804092023232447.jpg</v>
      </c>
      <c r="H2828" s="5" t="s">
        <v>11406</v>
      </c>
    </row>
    <row r="2829" spans="1:8" x14ac:dyDescent="0.25">
      <c r="A2829" s="2" t="s">
        <v>2846</v>
      </c>
      <c r="B2829" s="3"/>
      <c r="C2829" s="3"/>
      <c r="D2829" s="3"/>
      <c r="E2829" s="5" t="str">
        <f>HYPERLINK("https://dpmzos25m8ivg.cloudfront.net/Documentos/631/06021287576/6310602128757609092023222517.jpg","https://dpmzos25m8ivg.cloudfront.net/Documentos/631/06021287576/6310602128757609092023222517.jpg")</f>
        <v>https://dpmzos25m8ivg.cloudfront.net/Documentos/631/06021287576/6310602128757609092023222517.jpg</v>
      </c>
      <c r="F2829" s="5" t="str">
        <f>HYPERLINK("https://dpmzos25m8ivg.cloudfront.net/Documentos/631/06021287576/6310602128757609092023222537.jpg","https://dpmzos25m8ivg.cloudfront.net/Documentos/631/06021287576/6310602128757609092023222537.jpg")</f>
        <v>https://dpmzos25m8ivg.cloudfront.net/Documentos/631/06021287576/6310602128757609092023222537.jpg</v>
      </c>
      <c r="G2829" s="5" t="str">
        <f>HYPERLINK("https://dpmzos25m8ivg.cloudfront.net/Documentos/631/06021287576/6310602128757609092023222554.jpg","https://dpmzos25m8ivg.cloudfront.net/Documentos/631/06021287576/6310602128757609092023222554.jpg")</f>
        <v>https://dpmzos25m8ivg.cloudfront.net/Documentos/631/06021287576/6310602128757609092023222554.jpg</v>
      </c>
      <c r="H2829" s="5" t="s">
        <v>11407</v>
      </c>
    </row>
    <row r="2830" spans="1:8" x14ac:dyDescent="0.25">
      <c r="A2830" s="2" t="s">
        <v>2847</v>
      </c>
      <c r="B2830" s="3"/>
      <c r="C2830" s="3"/>
      <c r="D2830" s="3"/>
      <c r="E2830" s="5" t="str">
        <f>HYPERLINK("https://dpmzos25m8ivg.cloudfront.net/Documentos/631/06024158530/6310602415853011092023090742.pdf","https://dpmzos25m8ivg.cloudfront.net/Documentos/631/06024158530/6310602415853011092023090742.pdf")</f>
        <v>https://dpmzos25m8ivg.cloudfront.net/Documentos/631/06024158530/6310602415853011092023090742.pdf</v>
      </c>
      <c r="F2830" s="5" t="str">
        <f>HYPERLINK("https://dpmzos25m8ivg.cloudfront.net/Documentos/631/06024158530/6310602415853011092023090754.pdf","https://dpmzos25m8ivg.cloudfront.net/Documentos/631/06024158530/6310602415853011092023090754.pdf")</f>
        <v>https://dpmzos25m8ivg.cloudfront.net/Documentos/631/06024158530/6310602415853011092023090754.pdf</v>
      </c>
      <c r="G2830" s="5" t="str">
        <f>HYPERLINK("https://dpmzos25m8ivg.cloudfront.net/Documentos/631/06024158530/6310602415853011092023090802.pdf","https://dpmzos25m8ivg.cloudfront.net/Documentos/631/06024158530/6310602415853011092023090802.pdf")</f>
        <v>https://dpmzos25m8ivg.cloudfront.net/Documentos/631/06024158530/6310602415853011092023090802.pdf</v>
      </c>
      <c r="H2830" s="5" t="s">
        <v>11408</v>
      </c>
    </row>
    <row r="2831" spans="1:8" x14ac:dyDescent="0.25">
      <c r="A2831" s="2" t="s">
        <v>2848</v>
      </c>
      <c r="B2831" s="3"/>
      <c r="C2831" s="3"/>
      <c r="D2831" s="3"/>
      <c r="E2831" s="5" t="str">
        <f>HYPERLINK("https://dpmzos25m8ivg.cloudfront.net/Documentos/631/06025387931/6310602538793105092023153312.pdf","https://dpmzos25m8ivg.cloudfront.net/Documentos/631/06025387931/6310602538793105092023153312.pdf")</f>
        <v>https://dpmzos25m8ivg.cloudfront.net/Documentos/631/06025387931/6310602538793105092023153312.pdf</v>
      </c>
      <c r="F2831" s="5" t="str">
        <f>HYPERLINK("https://dpmzos25m8ivg.cloudfront.net/Documentos/631/06025387931/6310602538793105092023153318.pdf","https://dpmzos25m8ivg.cloudfront.net/Documentos/631/06025387931/6310602538793105092023153318.pdf")</f>
        <v>https://dpmzos25m8ivg.cloudfront.net/Documentos/631/06025387931/6310602538793105092023153318.pdf</v>
      </c>
      <c r="G2831" s="5" t="str">
        <f>HYPERLINK("https://dpmzos25m8ivg.cloudfront.net/Documentos/631/06025387931/6310602538793105092023153324.pdf","https://dpmzos25m8ivg.cloudfront.net/Documentos/631/06025387931/6310602538793105092023153324.pdf")</f>
        <v>https://dpmzos25m8ivg.cloudfront.net/Documentos/631/06025387931/6310602538793105092023153324.pdf</v>
      </c>
      <c r="H2831" s="5" t="s">
        <v>11409</v>
      </c>
    </row>
    <row r="2832" spans="1:8" x14ac:dyDescent="0.25">
      <c r="A2832" s="2" t="s">
        <v>2849</v>
      </c>
      <c r="B2832" s="3"/>
      <c r="C2832" s="3"/>
      <c r="D2832" s="3"/>
      <c r="E2832" s="5" t="str">
        <f>HYPERLINK("https://dpmzos25m8ivg.cloudfront.net/Documentos/631/06027186356/6310602718635611092023161014.pdf","https://dpmzos25m8ivg.cloudfront.net/Documentos/631/06027186356/6310602718635611092023161014.pdf")</f>
        <v>https://dpmzos25m8ivg.cloudfront.net/Documentos/631/06027186356/6310602718635611092023161014.pdf</v>
      </c>
      <c r="F2832" s="5" t="str">
        <f>HYPERLINK("https://dpmzos25m8ivg.cloudfront.net/Documentos/631/06027186356/6310602718635611092023161030.pdf","https://dpmzos25m8ivg.cloudfront.net/Documentos/631/06027186356/6310602718635611092023161030.pdf")</f>
        <v>https://dpmzos25m8ivg.cloudfront.net/Documentos/631/06027186356/6310602718635611092023161030.pdf</v>
      </c>
      <c r="G2832" s="5" t="str">
        <f>HYPERLINK("https://dpmzos25m8ivg.cloudfront.net/Documentos/631/06027186356/6310602718635611092023161042.pdf","https://dpmzos25m8ivg.cloudfront.net/Documentos/631/06027186356/6310602718635611092023161042.pdf")</f>
        <v>https://dpmzos25m8ivg.cloudfront.net/Documentos/631/06027186356/6310602718635611092023161042.pdf</v>
      </c>
      <c r="H2832" s="5" t="s">
        <v>11410</v>
      </c>
    </row>
    <row r="2833" spans="1:8" x14ac:dyDescent="0.25">
      <c r="A2833" s="2" t="s">
        <v>2850</v>
      </c>
      <c r="B2833" s="3"/>
      <c r="C2833" s="3"/>
      <c r="D2833" s="3"/>
      <c r="E2833" s="5" t="str">
        <f>HYPERLINK("https://dpmzos25m8ivg.cloudfront.net/Documentos/631/06031301512/6310603130151205092023163438.pdf","https://dpmzos25m8ivg.cloudfront.net/Documentos/631/06031301512/6310603130151205092023163438.pdf")</f>
        <v>https://dpmzos25m8ivg.cloudfront.net/Documentos/631/06031301512/6310603130151205092023163438.pdf</v>
      </c>
      <c r="F2833" s="5" t="str">
        <f>HYPERLINK("https://dpmzos25m8ivg.cloudfront.net/Documentos/631/06031301512/6310603130151205092023164800.pdf","https://dpmzos25m8ivg.cloudfront.net/Documentos/631/06031301512/6310603130151205092023164800.pdf")</f>
        <v>https://dpmzos25m8ivg.cloudfront.net/Documentos/631/06031301512/6310603130151205092023164800.pdf</v>
      </c>
      <c r="G2833" s="5" t="str">
        <f>HYPERLINK("https://dpmzos25m8ivg.cloudfront.net/Documentos/631/06031301512/6310603130151205092023164808.pdf","https://dpmzos25m8ivg.cloudfront.net/Documentos/631/06031301512/6310603130151205092023164808.pdf")</f>
        <v>https://dpmzos25m8ivg.cloudfront.net/Documentos/631/06031301512/6310603130151205092023164808.pdf</v>
      </c>
      <c r="H2833" s="5" t="s">
        <v>11411</v>
      </c>
    </row>
    <row r="2834" spans="1:8" x14ac:dyDescent="0.25">
      <c r="A2834" s="2" t="s">
        <v>2851</v>
      </c>
      <c r="B2834" s="3" t="s">
        <v>8</v>
      </c>
      <c r="C2834" s="3"/>
      <c r="D2834" s="3"/>
      <c r="E2834" s="5" t="str">
        <f>HYPERLINK("https://dpmzos25m8ivg.cloudfront.net/Documentos/631/06031867346/6310603186734611092023152946.pdf","https://dpmzos25m8ivg.cloudfront.net/Documentos/631/06031867346/6310603186734611092023152946.pdf")</f>
        <v>https://dpmzos25m8ivg.cloudfront.net/Documentos/631/06031867346/6310603186734611092023152946.pdf</v>
      </c>
      <c r="F2834" s="5" t="str">
        <f>HYPERLINK("https://dpmzos25m8ivg.cloudfront.net/Documentos/631/06031867346/6310603186734611092023152959.pdf","https://dpmzos25m8ivg.cloudfront.net/Documentos/631/06031867346/6310603186734611092023152959.pdf")</f>
        <v>https://dpmzos25m8ivg.cloudfront.net/Documentos/631/06031867346/6310603186734611092023152959.pdf</v>
      </c>
      <c r="G2834" s="5" t="str">
        <f>HYPERLINK("https://dpmzos25m8ivg.cloudfront.net/Documentos/631/06031867346/6310603186734611092023153017.pdf","https://dpmzos25m8ivg.cloudfront.net/Documentos/631/06031867346/6310603186734611092023153017.pdf")</f>
        <v>https://dpmzos25m8ivg.cloudfront.net/Documentos/631/06031867346/6310603186734611092023153017.pdf</v>
      </c>
      <c r="H2834" s="5" t="s">
        <v>11412</v>
      </c>
    </row>
    <row r="2835" spans="1:8" x14ac:dyDescent="0.25">
      <c r="A2835" s="2" t="s">
        <v>2852</v>
      </c>
      <c r="B2835" s="3"/>
      <c r="C2835" s="3"/>
      <c r="D2835" s="3"/>
      <c r="E2835" s="5" t="str">
        <f>HYPERLINK("https://dpmzos25m8ivg.cloudfront.net/Documentos/631/06032490513/6310603249051311092023083411.pdf","https://dpmzos25m8ivg.cloudfront.net/Documentos/631/06032490513/6310603249051311092023083411.pdf")</f>
        <v>https://dpmzos25m8ivg.cloudfront.net/Documentos/631/06032490513/6310603249051311092023083411.pdf</v>
      </c>
      <c r="F2835" s="5" t="str">
        <f>HYPERLINK("https://dpmzos25m8ivg.cloudfront.net/Documentos/631/06032490513/6310603249051311092023083421.pdf","https://dpmzos25m8ivg.cloudfront.net/Documentos/631/06032490513/6310603249051311092023083421.pdf")</f>
        <v>https://dpmzos25m8ivg.cloudfront.net/Documentos/631/06032490513/6310603249051311092023083421.pdf</v>
      </c>
      <c r="G2835" s="5" t="str">
        <f>HYPERLINK("https://dpmzos25m8ivg.cloudfront.net/Documentos/631/06032490513/6310603249051311092023083430.pdf","https://dpmzos25m8ivg.cloudfront.net/Documentos/631/06032490513/6310603249051311092023083430.pdf")</f>
        <v>https://dpmzos25m8ivg.cloudfront.net/Documentos/631/06032490513/6310603249051311092023083430.pdf</v>
      </c>
      <c r="H2835" s="5" t="s">
        <v>11413</v>
      </c>
    </row>
    <row r="2836" spans="1:8" x14ac:dyDescent="0.25">
      <c r="A2836" s="2" t="s">
        <v>2853</v>
      </c>
      <c r="B2836" s="3" t="s">
        <v>2358</v>
      </c>
      <c r="C2836" s="3"/>
      <c r="D2836" s="3"/>
      <c r="E2836" s="5" t="str">
        <f>HYPERLINK("https://dpmzos25m8ivg.cloudfront.net/Documentos/631/06036578342/6310603657834211092023154553.pdf","https://dpmzos25m8ivg.cloudfront.net/Documentos/631/06036578342/6310603657834211092023154553.pdf")</f>
        <v>https://dpmzos25m8ivg.cloudfront.net/Documentos/631/06036578342/6310603657834211092023154553.pdf</v>
      </c>
      <c r="F2836" s="5" t="str">
        <f>HYPERLINK("https://dpmzos25m8ivg.cloudfront.net/Documentos/631/06036578342/6310603657834211092023154606.pdf","https://dpmzos25m8ivg.cloudfront.net/Documentos/631/06036578342/6310603657834211092023154606.pdf")</f>
        <v>https://dpmzos25m8ivg.cloudfront.net/Documentos/631/06036578342/6310603657834211092023154606.pdf</v>
      </c>
      <c r="G2836" s="5" t="str">
        <f>HYPERLINK("https://dpmzos25m8ivg.cloudfront.net/Documentos/631/06036578342/6310603657834211092023154619.pdf","https://dpmzos25m8ivg.cloudfront.net/Documentos/631/06036578342/6310603657834211092023154619.pdf")</f>
        <v>https://dpmzos25m8ivg.cloudfront.net/Documentos/631/06036578342/6310603657834211092023154619.pdf</v>
      </c>
      <c r="H2836" s="5" t="s">
        <v>11414</v>
      </c>
    </row>
    <row r="2837" spans="1:8" x14ac:dyDescent="0.25">
      <c r="A2837" s="2" t="s">
        <v>2854</v>
      </c>
      <c r="B2837" s="3"/>
      <c r="C2837" s="3"/>
      <c r="D2837" s="3"/>
      <c r="E2837" s="5" t="str">
        <f>HYPERLINK("https://dpmzos25m8ivg.cloudfront.net/Documentos/631/06037697566/6310603769756604092023205142.pdf","https://dpmzos25m8ivg.cloudfront.net/Documentos/631/06037697566/6310603769756604092023205142.pdf")</f>
        <v>https://dpmzos25m8ivg.cloudfront.net/Documentos/631/06037697566/6310603769756604092023205142.pdf</v>
      </c>
      <c r="F2837" s="5" t="str">
        <f>HYPERLINK("https://dpmzos25m8ivg.cloudfront.net/Documentos/631/06037697566/6310603769756604092023205305.pdf","https://dpmzos25m8ivg.cloudfront.net/Documentos/631/06037697566/6310603769756604092023205305.pdf")</f>
        <v>https://dpmzos25m8ivg.cloudfront.net/Documentos/631/06037697566/6310603769756604092023205305.pdf</v>
      </c>
      <c r="G2837" s="5" t="str">
        <f>HYPERLINK("https://dpmzos25m8ivg.cloudfront.net/Documentos/631/06037697566/6310603769756604092023205410.pdf","https://dpmzos25m8ivg.cloudfront.net/Documentos/631/06037697566/6310603769756604092023205410.pdf")</f>
        <v>https://dpmzos25m8ivg.cloudfront.net/Documentos/631/06037697566/6310603769756604092023205410.pdf</v>
      </c>
      <c r="H2837" s="5" t="s">
        <v>11415</v>
      </c>
    </row>
    <row r="2838" spans="1:8" x14ac:dyDescent="0.25">
      <c r="A2838" s="2" t="s">
        <v>2855</v>
      </c>
      <c r="B2838" s="3" t="s">
        <v>2358</v>
      </c>
      <c r="C2838" s="3"/>
      <c r="D2838" s="3"/>
      <c r="E2838" s="5" t="str">
        <f>HYPERLINK("https://dpmzos25m8ivg.cloudfront.net/Documentos/631/06037969400/6310603796940005092023091246.pdf","https://dpmzos25m8ivg.cloudfront.net/Documentos/631/06037969400/6310603796940005092023091246.pdf")</f>
        <v>https://dpmzos25m8ivg.cloudfront.net/Documentos/631/06037969400/6310603796940005092023091246.pdf</v>
      </c>
      <c r="F2838" s="5" t="str">
        <f>HYPERLINK("https://dpmzos25m8ivg.cloudfront.net/Documentos/631/06037969400/6310603796940005092023091300.pdf","https://dpmzos25m8ivg.cloudfront.net/Documentos/631/06037969400/6310603796940005092023091300.pdf")</f>
        <v>https://dpmzos25m8ivg.cloudfront.net/Documentos/631/06037969400/6310603796940005092023091300.pdf</v>
      </c>
      <c r="G2838" s="5" t="str">
        <f>HYPERLINK("https://dpmzos25m8ivg.cloudfront.net/Documentos/631/06037969400/6310603796940005092023091313.pdf","https://dpmzos25m8ivg.cloudfront.net/Documentos/631/06037969400/6310603796940005092023091313.pdf")</f>
        <v>https://dpmzos25m8ivg.cloudfront.net/Documentos/631/06037969400/6310603796940005092023091313.pdf</v>
      </c>
      <c r="H2838" s="5" t="s">
        <v>11416</v>
      </c>
    </row>
    <row r="2839" spans="1:8" x14ac:dyDescent="0.25">
      <c r="A2839" s="2" t="s">
        <v>2856</v>
      </c>
      <c r="B2839" s="3" t="s">
        <v>2358</v>
      </c>
      <c r="C2839" s="3"/>
      <c r="D2839" s="3"/>
      <c r="E2839" s="5" t="str">
        <f>HYPERLINK("https://dpmzos25m8ivg.cloudfront.net/Documentos/631/06039593504/6310603959350411092023111155.pdf","https://dpmzos25m8ivg.cloudfront.net/Documentos/631/06039593504/6310603959350411092023111155.pdf")</f>
        <v>https://dpmzos25m8ivg.cloudfront.net/Documentos/631/06039593504/6310603959350411092023111155.pdf</v>
      </c>
      <c r="F2839" s="5" t="str">
        <f>HYPERLINK("https://dpmzos25m8ivg.cloudfront.net/Documentos/631/06039593504/6310603959350411092023111209.pdf","https://dpmzos25m8ivg.cloudfront.net/Documentos/631/06039593504/6310603959350411092023111209.pdf")</f>
        <v>https://dpmzos25m8ivg.cloudfront.net/Documentos/631/06039593504/6310603959350411092023111209.pdf</v>
      </c>
      <c r="G2839" s="5" t="str">
        <f>HYPERLINK("https://dpmzos25m8ivg.cloudfront.net/Documentos/631/06039593504/6310603959350411092023111223.pdf","https://dpmzos25m8ivg.cloudfront.net/Documentos/631/06039593504/6310603959350411092023111223.pdf")</f>
        <v>https://dpmzos25m8ivg.cloudfront.net/Documentos/631/06039593504/6310603959350411092023111223.pdf</v>
      </c>
      <c r="H2839" s="5" t="s">
        <v>11417</v>
      </c>
    </row>
    <row r="2840" spans="1:8" x14ac:dyDescent="0.25">
      <c r="A2840" s="2" t="s">
        <v>2857</v>
      </c>
      <c r="B2840" s="3"/>
      <c r="C2840" s="3"/>
      <c r="D2840" s="3"/>
      <c r="E2840" s="5" t="str">
        <f>HYPERLINK("https://dpmzos25m8ivg.cloudfront.net/Documentos/631/06039727560/6310603972756007092023175009.pdf","https://dpmzos25m8ivg.cloudfront.net/Documentos/631/06039727560/6310603972756007092023175009.pdf")</f>
        <v>https://dpmzos25m8ivg.cloudfront.net/Documentos/631/06039727560/6310603972756007092023175009.pdf</v>
      </c>
      <c r="F2840" s="5" t="str">
        <f>HYPERLINK("https://dpmzos25m8ivg.cloudfront.net/Documentos/631/06039727560/6310603972756007092023175018.pdf","https://dpmzos25m8ivg.cloudfront.net/Documentos/631/06039727560/6310603972756007092023175018.pdf")</f>
        <v>https://dpmzos25m8ivg.cloudfront.net/Documentos/631/06039727560/6310603972756007092023175018.pdf</v>
      </c>
      <c r="G2840" s="5" t="str">
        <f>HYPERLINK("https://dpmzos25m8ivg.cloudfront.net/Documentos/631/06039727560/6310603972756007092023175029.pdf","https://dpmzos25m8ivg.cloudfront.net/Documentos/631/06039727560/6310603972756007092023175029.pdf")</f>
        <v>https://dpmzos25m8ivg.cloudfront.net/Documentos/631/06039727560/6310603972756007092023175029.pdf</v>
      </c>
      <c r="H2840" s="5" t="s">
        <v>11418</v>
      </c>
    </row>
    <row r="2841" spans="1:8" x14ac:dyDescent="0.25">
      <c r="A2841" s="2" t="s">
        <v>2858</v>
      </c>
      <c r="B2841" s="3"/>
      <c r="C2841" s="3"/>
      <c r="D2841" s="3"/>
      <c r="E2841" s="5" t="str">
        <f>HYPERLINK("https://dpmzos25m8ivg.cloudfront.net/Documentos/631/06040382163/6310604038216307092023171716.jpg","https://dpmzos25m8ivg.cloudfront.net/Documentos/631/06040382163/6310604038216307092023171716.jpg")</f>
        <v>https://dpmzos25m8ivg.cloudfront.net/Documentos/631/06040382163/6310604038216307092023171716.jpg</v>
      </c>
      <c r="F2841" s="5" t="str">
        <f>HYPERLINK("https://dpmzos25m8ivg.cloudfront.net/Documentos/631/06040382163/6310604038216307092023171726.jpg","https://dpmzos25m8ivg.cloudfront.net/Documentos/631/06040382163/6310604038216307092023171726.jpg")</f>
        <v>https://dpmzos25m8ivg.cloudfront.net/Documentos/631/06040382163/6310604038216307092023171726.jpg</v>
      </c>
      <c r="G2841" s="5" t="str">
        <f>HYPERLINK("https://dpmzos25m8ivg.cloudfront.net/Documentos/631/06040382163/6310604038216307092023171737.jpg","https://dpmzos25m8ivg.cloudfront.net/Documentos/631/06040382163/6310604038216307092023171737.jpg")</f>
        <v>https://dpmzos25m8ivg.cloudfront.net/Documentos/631/06040382163/6310604038216307092023171737.jpg</v>
      </c>
      <c r="H2841" s="5" t="s">
        <v>11419</v>
      </c>
    </row>
    <row r="2842" spans="1:8" x14ac:dyDescent="0.25">
      <c r="A2842" s="2" t="s">
        <v>2859</v>
      </c>
      <c r="B2842" s="3"/>
      <c r="C2842" s="3"/>
      <c r="D2842" s="3"/>
      <c r="E2842" s="5" t="str">
        <f>HYPERLINK("https://dpmzos25m8ivg.cloudfront.net/Documentos/631/06040788461/6310604078846107092023182348.jpeg","https://dpmzos25m8ivg.cloudfront.net/Documentos/631/06040788461/6310604078846107092023182348.jpeg")</f>
        <v>https://dpmzos25m8ivg.cloudfront.net/Documentos/631/06040788461/6310604078846107092023182348.jpeg</v>
      </c>
      <c r="F2842" s="5" t="str">
        <f>HYPERLINK("https://dpmzos25m8ivg.cloudfront.net/Documentos/631/06040788461/6310604078846107092023182358.jpeg","https://dpmzos25m8ivg.cloudfront.net/Documentos/631/06040788461/6310604078846107092023182358.jpeg")</f>
        <v>https://dpmzos25m8ivg.cloudfront.net/Documentos/631/06040788461/6310604078846107092023182358.jpeg</v>
      </c>
      <c r="G2842" s="5" t="str">
        <f>HYPERLINK("https://dpmzos25m8ivg.cloudfront.net/Documentos/631/06040788461/6310604078846107092023182409.jpeg","https://dpmzos25m8ivg.cloudfront.net/Documentos/631/06040788461/6310604078846107092023182409.jpeg")</f>
        <v>https://dpmzos25m8ivg.cloudfront.net/Documentos/631/06040788461/6310604078846107092023182409.jpeg</v>
      </c>
      <c r="H2842" s="5" t="s">
        <v>11420</v>
      </c>
    </row>
    <row r="2843" spans="1:8" x14ac:dyDescent="0.25">
      <c r="A2843" s="2" t="s">
        <v>2860</v>
      </c>
      <c r="B2843" s="3" t="s">
        <v>2358</v>
      </c>
      <c r="C2843" s="3"/>
      <c r="D2843" s="3"/>
      <c r="E2843" s="5" t="str">
        <f>HYPERLINK("https://dpmzos25m8ivg.cloudfront.net/Documentos/631/06042266918/6310604226691811092023020947.pdf","https://dpmzos25m8ivg.cloudfront.net/Documentos/631/06042266918/6310604226691811092023020947.pdf")</f>
        <v>https://dpmzos25m8ivg.cloudfront.net/Documentos/631/06042266918/6310604226691811092023020947.pdf</v>
      </c>
      <c r="F2843" s="5" t="str">
        <f>HYPERLINK("https://dpmzos25m8ivg.cloudfront.net/Documentos/631/06042266918/6310604226691811092023020953.pdf","https://dpmzos25m8ivg.cloudfront.net/Documentos/631/06042266918/6310604226691811092023020953.pdf")</f>
        <v>https://dpmzos25m8ivg.cloudfront.net/Documentos/631/06042266918/6310604226691811092023020953.pdf</v>
      </c>
      <c r="G2843" s="5" t="str">
        <f>HYPERLINK("https://dpmzos25m8ivg.cloudfront.net/Documentos/631/06042266918/6310604226691811092023021000.pdf","https://dpmzos25m8ivg.cloudfront.net/Documentos/631/06042266918/6310604226691811092023021000.pdf")</f>
        <v>https://dpmzos25m8ivg.cloudfront.net/Documentos/631/06042266918/6310604226691811092023021000.pdf</v>
      </c>
      <c r="H2843" s="5" t="s">
        <v>11421</v>
      </c>
    </row>
    <row r="2844" spans="1:8" x14ac:dyDescent="0.25">
      <c r="A2844" s="2" t="s">
        <v>2861</v>
      </c>
      <c r="B2844" s="3"/>
      <c r="C2844" s="3"/>
      <c r="D2844" s="3"/>
      <c r="E2844" s="5" t="str">
        <f>HYPERLINK("https://dpmzos25m8ivg.cloudfront.net/Documentos/631/06044660303/6310604466030308092023105207.jpg","https://dpmzos25m8ivg.cloudfront.net/Documentos/631/06044660303/6310604466030308092023105207.jpg")</f>
        <v>https://dpmzos25m8ivg.cloudfront.net/Documentos/631/06044660303/6310604466030308092023105207.jpg</v>
      </c>
      <c r="F2844" s="5" t="str">
        <f>HYPERLINK("https://dpmzos25m8ivg.cloudfront.net/Documentos/631/06044660303/6310604466030308092023105221.jpg","https://dpmzos25m8ivg.cloudfront.net/Documentos/631/06044660303/6310604466030308092023105221.jpg")</f>
        <v>https://dpmzos25m8ivg.cloudfront.net/Documentos/631/06044660303/6310604466030308092023105221.jpg</v>
      </c>
      <c r="G2844" s="5" t="str">
        <f>HYPERLINK("https://dpmzos25m8ivg.cloudfront.net/Documentos/631/06044660303/6310604466030308092023105239.jpg","https://dpmzos25m8ivg.cloudfront.net/Documentos/631/06044660303/6310604466030308092023105239.jpg")</f>
        <v>https://dpmzos25m8ivg.cloudfront.net/Documentos/631/06044660303/6310604466030308092023105239.jpg</v>
      </c>
      <c r="H2844" s="5" t="s">
        <v>11422</v>
      </c>
    </row>
    <row r="2845" spans="1:8" x14ac:dyDescent="0.25">
      <c r="A2845" s="2" t="s">
        <v>2862</v>
      </c>
      <c r="B2845" s="3"/>
      <c r="C2845" s="3"/>
      <c r="D2845" s="3"/>
      <c r="E2845" s="4" t="str">
        <f>HYPERLINK("https://dpmzos25m8ivg.cloudfront.net/Documentos/631/06047286542/6310604728654211092023103517.jpg","https://dpmzos25m8ivg.cloudfront.net/Documentos/631/06047286542/6310604728654211092023103517.jpg")</f>
        <v>https://dpmzos25m8ivg.cloudfront.net/Documentos/631/06047286542/6310604728654211092023103517.jpg</v>
      </c>
      <c r="F2845" s="4" t="str">
        <f>HYPERLINK("https://dpmzos25m8ivg.cloudfront.net/Documentos/631/06047286542/6310604728654211092023103538.jpg","https://dpmzos25m8ivg.cloudfront.net/Documentos/631/06047286542/6310604728654211092023103538.jpg")</f>
        <v>https://dpmzos25m8ivg.cloudfront.net/Documentos/631/06047286542/6310604728654211092023103538.jpg</v>
      </c>
      <c r="G2845" s="4" t="str">
        <f>HYPERLINK("https://dpmzos25m8ivg.cloudfront.net/Documentos/631/06047286542/6310604728654211092023103554.jpg","https://dpmzos25m8ivg.cloudfront.net/Documentos/631/06047286542/6310604728654211092023103554.jpg")</f>
        <v>https://dpmzos25m8ivg.cloudfront.net/Documentos/631/06047286542/6310604728654211092023103554.jpg</v>
      </c>
      <c r="H2845" s="4" t="s">
        <v>11423</v>
      </c>
    </row>
    <row r="2846" spans="1:8" x14ac:dyDescent="0.25">
      <c r="A2846" s="2" t="s">
        <v>2863</v>
      </c>
      <c r="B2846" s="3"/>
      <c r="C2846" s="3"/>
      <c r="D2846" s="3"/>
      <c r="E2846" s="5" t="str">
        <f>HYPERLINK("https://dpmzos25m8ivg.cloudfront.net/Documentos/631/06049355525/6310604935552508092023211155.jpg","https://dpmzos25m8ivg.cloudfront.net/Documentos/631/06049355525/6310604935552508092023211155.jpg")</f>
        <v>https://dpmzos25m8ivg.cloudfront.net/Documentos/631/06049355525/6310604935552508092023211155.jpg</v>
      </c>
      <c r="F2846" s="5" t="str">
        <f>HYPERLINK("https://dpmzos25m8ivg.cloudfront.net/Documentos/631/06049355525/6310604935552508092023211238.jpg","https://dpmzos25m8ivg.cloudfront.net/Documentos/631/06049355525/6310604935552508092023211238.jpg")</f>
        <v>https://dpmzos25m8ivg.cloudfront.net/Documentos/631/06049355525/6310604935552508092023211238.jpg</v>
      </c>
      <c r="G2846" s="5" t="str">
        <f>HYPERLINK("https://dpmzos25m8ivg.cloudfront.net/Documentos/631/06049355525/6310604935552508092023211318.jpg","https://dpmzos25m8ivg.cloudfront.net/Documentos/631/06049355525/6310604935552508092023211318.jpg")</f>
        <v>https://dpmzos25m8ivg.cloudfront.net/Documentos/631/06049355525/6310604935552508092023211318.jpg</v>
      </c>
      <c r="H2846" s="5" t="s">
        <v>11424</v>
      </c>
    </row>
    <row r="2847" spans="1:8" x14ac:dyDescent="0.25">
      <c r="A2847" s="2" t="s">
        <v>2864</v>
      </c>
      <c r="B2847" s="3"/>
      <c r="C2847" s="3"/>
      <c r="D2847" s="3"/>
      <c r="E2847" s="5" t="str">
        <f>HYPERLINK("https://dpmzos25m8ivg.cloudfront.net/Documentos/631/06049667500/6310604966750009092023115701.pdf","https://dpmzos25m8ivg.cloudfront.net/Documentos/631/06049667500/6310604966750009092023115701.pdf")</f>
        <v>https://dpmzos25m8ivg.cloudfront.net/Documentos/631/06049667500/6310604966750009092023115701.pdf</v>
      </c>
      <c r="F2847" s="5" t="str">
        <f>HYPERLINK("https://dpmzos25m8ivg.cloudfront.net/Documentos/631/06049667500/6310604966750009092023115715.pdf","https://dpmzos25m8ivg.cloudfront.net/Documentos/631/06049667500/6310604966750009092023115715.pdf")</f>
        <v>https://dpmzos25m8ivg.cloudfront.net/Documentos/631/06049667500/6310604966750009092023115715.pdf</v>
      </c>
      <c r="G2847" s="5" t="str">
        <f>HYPERLINK("https://dpmzos25m8ivg.cloudfront.net/Documentos/631/06049667500/6310604966750009092023115732.pdf","https://dpmzos25m8ivg.cloudfront.net/Documentos/631/06049667500/6310604966750009092023115732.pdf")</f>
        <v>https://dpmzos25m8ivg.cloudfront.net/Documentos/631/06049667500/6310604966750009092023115732.pdf</v>
      </c>
      <c r="H2847" s="5" t="s">
        <v>11425</v>
      </c>
    </row>
    <row r="2848" spans="1:8" x14ac:dyDescent="0.25">
      <c r="A2848" s="2" t="s">
        <v>2865</v>
      </c>
      <c r="B2848" s="3"/>
      <c r="C2848" s="3"/>
      <c r="D2848" s="3"/>
      <c r="E2848" s="5" t="str">
        <f>HYPERLINK("https://dpmzos25m8ivg.cloudfront.net/Documentos/631/06050632650/6310605063265008092023160237.pdf","https://dpmzos25m8ivg.cloudfront.net/Documentos/631/06050632650/6310605063265008092023160237.pdf")</f>
        <v>https://dpmzos25m8ivg.cloudfront.net/Documentos/631/06050632650/6310605063265008092023160237.pdf</v>
      </c>
      <c r="F2848" s="5" t="str">
        <f>HYPERLINK("https://dpmzos25m8ivg.cloudfront.net/Documentos/631/06050632650/6310605063265008092023160251.pdf","https://dpmzos25m8ivg.cloudfront.net/Documentos/631/06050632650/6310605063265008092023160251.pdf")</f>
        <v>https://dpmzos25m8ivg.cloudfront.net/Documentos/631/06050632650/6310605063265008092023160251.pdf</v>
      </c>
      <c r="G2848" s="5" t="str">
        <f>HYPERLINK("https://dpmzos25m8ivg.cloudfront.net/Documentos/631/06050632650/6310605063265008092023160310.pdf","https://dpmzos25m8ivg.cloudfront.net/Documentos/631/06050632650/6310605063265008092023160310.pdf")</f>
        <v>https://dpmzos25m8ivg.cloudfront.net/Documentos/631/06050632650/6310605063265008092023160310.pdf</v>
      </c>
      <c r="H2848" s="5" t="s">
        <v>11426</v>
      </c>
    </row>
    <row r="2849" spans="1:8" x14ac:dyDescent="0.25">
      <c r="A2849" s="2" t="s">
        <v>2866</v>
      </c>
      <c r="B2849" s="3"/>
      <c r="C2849" s="3"/>
      <c r="D2849" s="3"/>
      <c r="E2849" s="5" t="str">
        <f>HYPERLINK("https://dpmzos25m8ivg.cloudfront.net/Documentos/631/06051683500/6310605168350007092023222708.pdf","https://dpmzos25m8ivg.cloudfront.net/Documentos/631/06051683500/6310605168350007092023222708.pdf")</f>
        <v>https://dpmzos25m8ivg.cloudfront.net/Documentos/631/06051683500/6310605168350007092023222708.pdf</v>
      </c>
      <c r="F2849" s="5" t="str">
        <f>HYPERLINK("https://dpmzos25m8ivg.cloudfront.net/Documentos/631/06051683500/6310605168350007092023222922.pdf","https://dpmzos25m8ivg.cloudfront.net/Documentos/631/06051683500/6310605168350007092023222922.pdf")</f>
        <v>https://dpmzos25m8ivg.cloudfront.net/Documentos/631/06051683500/6310605168350007092023222922.pdf</v>
      </c>
      <c r="G2849" s="5" t="str">
        <f>HYPERLINK("https://dpmzos25m8ivg.cloudfront.net/Documentos/631/06051683500/6310605168350007092023222957.pdf","https://dpmzos25m8ivg.cloudfront.net/Documentos/631/06051683500/6310605168350007092023222957.pdf")</f>
        <v>https://dpmzos25m8ivg.cloudfront.net/Documentos/631/06051683500/6310605168350007092023222957.pdf</v>
      </c>
      <c r="H2849" s="5" t="s">
        <v>11427</v>
      </c>
    </row>
    <row r="2850" spans="1:8" x14ac:dyDescent="0.25">
      <c r="A2850" s="2" t="s">
        <v>2867</v>
      </c>
      <c r="B2850" s="3"/>
      <c r="C2850" s="3"/>
      <c r="D2850" s="3"/>
      <c r="E2850" s="5" t="str">
        <f>HYPERLINK("https://dpmzos25m8ivg.cloudfront.net/Documentos/631/06051849335/6310605184933511092023154537.pdf","https://dpmzos25m8ivg.cloudfront.net/Documentos/631/06051849335/6310605184933511092023154537.pdf")</f>
        <v>https://dpmzos25m8ivg.cloudfront.net/Documentos/631/06051849335/6310605184933511092023154537.pdf</v>
      </c>
      <c r="F2850" s="5" t="str">
        <f>HYPERLINK("https://dpmzos25m8ivg.cloudfront.net/Documentos/631/06051849335/6310605184933511092023154544.pdf","https://dpmzos25m8ivg.cloudfront.net/Documentos/631/06051849335/6310605184933511092023154544.pdf")</f>
        <v>https://dpmzos25m8ivg.cloudfront.net/Documentos/631/06051849335/6310605184933511092023154544.pdf</v>
      </c>
      <c r="G2850" s="5" t="str">
        <f>HYPERLINK("https://dpmzos25m8ivg.cloudfront.net/Documentos/631/06051849335/6310605184933511092023154552.pdf","https://dpmzos25m8ivg.cloudfront.net/Documentos/631/06051849335/6310605184933511092023154552.pdf")</f>
        <v>https://dpmzos25m8ivg.cloudfront.net/Documentos/631/06051849335/6310605184933511092023154552.pdf</v>
      </c>
      <c r="H2850" s="5" t="s">
        <v>11428</v>
      </c>
    </row>
    <row r="2851" spans="1:8" x14ac:dyDescent="0.25">
      <c r="A2851" s="2" t="s">
        <v>2868</v>
      </c>
      <c r="B2851" s="3" t="s">
        <v>2358</v>
      </c>
      <c r="C2851" s="3"/>
      <c r="D2851" s="3"/>
      <c r="E2851" s="5" t="str">
        <f>HYPERLINK("https://dpmzos25m8ivg.cloudfront.net/Documentos/631/06053131300/6310605313130009092023133650.pdf","https://dpmzos25m8ivg.cloudfront.net/Documentos/631/06053131300/6310605313130009092023133650.pdf")</f>
        <v>https://dpmzos25m8ivg.cloudfront.net/Documentos/631/06053131300/6310605313130009092023133650.pdf</v>
      </c>
      <c r="F2851" s="5" t="str">
        <f>HYPERLINK("https://dpmzos25m8ivg.cloudfront.net/Documentos/631/06053131300/6310605313130009092023133714.pdf","https://dpmzos25m8ivg.cloudfront.net/Documentos/631/06053131300/6310605313130009092023133714.pdf")</f>
        <v>https://dpmzos25m8ivg.cloudfront.net/Documentos/631/06053131300/6310605313130009092023133714.pdf</v>
      </c>
      <c r="G2851" s="5" t="str">
        <f>HYPERLINK("https://dpmzos25m8ivg.cloudfront.net/Documentos/631/06053131300/6310605313130009092023133739.pdf","https://dpmzos25m8ivg.cloudfront.net/Documentos/631/06053131300/6310605313130009092023133739.pdf")</f>
        <v>https://dpmzos25m8ivg.cloudfront.net/Documentos/631/06053131300/6310605313130009092023133739.pdf</v>
      </c>
      <c r="H2851" s="5" t="s">
        <v>11429</v>
      </c>
    </row>
    <row r="2852" spans="1:8" x14ac:dyDescent="0.25">
      <c r="A2852" s="2" t="s">
        <v>2869</v>
      </c>
      <c r="B2852" s="3"/>
      <c r="C2852" s="3"/>
      <c r="D2852" s="3"/>
      <c r="E2852" s="5" t="str">
        <f>HYPERLINK("https://dpmzos25m8ivg.cloudfront.net/Documentos/631/06054082540/6310605408254011092023165916.pdf","https://dpmzos25m8ivg.cloudfront.net/Documentos/631/06054082540/6310605408254011092023165916.pdf")</f>
        <v>https://dpmzos25m8ivg.cloudfront.net/Documentos/631/06054082540/6310605408254011092023165916.pdf</v>
      </c>
      <c r="F2852" s="5" t="str">
        <f>HYPERLINK("https://dpmzos25m8ivg.cloudfront.net/Documentos/631/06054082540/6310605408254011092023165928.pdf","https://dpmzos25m8ivg.cloudfront.net/Documentos/631/06054082540/6310605408254011092023165928.pdf")</f>
        <v>https://dpmzos25m8ivg.cloudfront.net/Documentos/631/06054082540/6310605408254011092023165928.pdf</v>
      </c>
      <c r="G2852" s="5" t="str">
        <f>HYPERLINK("https://dpmzos25m8ivg.cloudfront.net/Documentos/631/06054082540/6310605408254011092023165947.pdf","https://dpmzos25m8ivg.cloudfront.net/Documentos/631/06054082540/6310605408254011092023165947.pdf")</f>
        <v>https://dpmzos25m8ivg.cloudfront.net/Documentos/631/06054082540/6310605408254011092023165947.pdf</v>
      </c>
      <c r="H2852" s="5" t="s">
        <v>11430</v>
      </c>
    </row>
    <row r="2853" spans="1:8" x14ac:dyDescent="0.25">
      <c r="A2853" s="2" t="s">
        <v>2870</v>
      </c>
      <c r="B2853" s="3"/>
      <c r="C2853" s="3"/>
      <c r="D2853" s="3"/>
      <c r="E2853" s="5" t="str">
        <f>HYPERLINK("https://dpmzos25m8ivg.cloudfront.net/Documentos/631/06054646508/6310605464650806092023165428.pdf","https://dpmzos25m8ivg.cloudfront.net/Documentos/631/06054646508/6310605464650806092023165428.pdf")</f>
        <v>https://dpmzos25m8ivg.cloudfront.net/Documentos/631/06054646508/6310605464650806092023165428.pdf</v>
      </c>
      <c r="F2853" s="5" t="str">
        <f>HYPERLINK("https://dpmzos25m8ivg.cloudfront.net/Documentos/631/06054646508/6310605464650806092023165447.pdf","https://dpmzos25m8ivg.cloudfront.net/Documentos/631/06054646508/6310605464650806092023165447.pdf")</f>
        <v>https://dpmzos25m8ivg.cloudfront.net/Documentos/631/06054646508/6310605464650806092023165447.pdf</v>
      </c>
      <c r="G2853" s="5" t="str">
        <f>HYPERLINK("https://dpmzos25m8ivg.cloudfront.net/Documentos/631/06054646508/6310605464650806092023165458.pdf","https://dpmzos25m8ivg.cloudfront.net/Documentos/631/06054646508/6310605464650806092023165458.pdf")</f>
        <v>https://dpmzos25m8ivg.cloudfront.net/Documentos/631/06054646508/6310605464650806092023165458.pdf</v>
      </c>
      <c r="H2853" s="5" t="s">
        <v>11431</v>
      </c>
    </row>
    <row r="2854" spans="1:8" x14ac:dyDescent="0.25">
      <c r="A2854" s="2" t="s">
        <v>2871</v>
      </c>
      <c r="B2854" s="3"/>
      <c r="C2854" s="3"/>
      <c r="D2854" s="3"/>
      <c r="E2854" s="5" t="str">
        <f>HYPERLINK("https://dpmzos25m8ivg.cloudfront.net/Documentos/631/06055103427/6310605510342711092023120937.jpg","https://dpmzos25m8ivg.cloudfront.net/Documentos/631/06055103427/6310605510342711092023120937.jpg")</f>
        <v>https://dpmzos25m8ivg.cloudfront.net/Documentos/631/06055103427/6310605510342711092023120937.jpg</v>
      </c>
      <c r="F2854" s="5" t="str">
        <f>HYPERLINK("https://dpmzos25m8ivg.cloudfront.net/Documentos/631/06055103427/6310605510342711092023120955.jpg","https://dpmzos25m8ivg.cloudfront.net/Documentos/631/06055103427/6310605510342711092023120955.jpg")</f>
        <v>https://dpmzos25m8ivg.cloudfront.net/Documentos/631/06055103427/6310605510342711092023120955.jpg</v>
      </c>
      <c r="G2854" s="5" t="str">
        <f>HYPERLINK("https://dpmzos25m8ivg.cloudfront.net/Documentos/631/06055103427/6310605510342711092023121009.jpg","https://dpmzos25m8ivg.cloudfront.net/Documentos/631/06055103427/6310605510342711092023121009.jpg")</f>
        <v>https://dpmzos25m8ivg.cloudfront.net/Documentos/631/06055103427/6310605510342711092023121009.jpg</v>
      </c>
      <c r="H2854" s="5" t="s">
        <v>11432</v>
      </c>
    </row>
    <row r="2855" spans="1:8" x14ac:dyDescent="0.25">
      <c r="A2855" s="2" t="s">
        <v>2872</v>
      </c>
      <c r="B2855" s="3" t="s">
        <v>23</v>
      </c>
      <c r="C2855" s="3"/>
      <c r="D2855" s="3"/>
      <c r="E2855" s="5" t="str">
        <f>HYPERLINK("https://dpmzos25m8ivg.cloudfront.net/Documentos/631/06056122425/6310605612242511092023143632.pdf","https://dpmzos25m8ivg.cloudfront.net/Documentos/631/06056122425/6310605612242511092023143632.pdf")</f>
        <v>https://dpmzos25m8ivg.cloudfront.net/Documentos/631/06056122425/6310605612242511092023143632.pdf</v>
      </c>
      <c r="F2855" s="5" t="str">
        <f>HYPERLINK("https://dpmzos25m8ivg.cloudfront.net/Documentos/631/06056122425/6310605612242511092023143652.pdf","https://dpmzos25m8ivg.cloudfront.net/Documentos/631/06056122425/6310605612242511092023143652.pdf")</f>
        <v>https://dpmzos25m8ivg.cloudfront.net/Documentos/631/06056122425/6310605612242511092023143652.pdf</v>
      </c>
      <c r="G2855" s="5" t="str">
        <f>HYPERLINK("https://dpmzos25m8ivg.cloudfront.net/Documentos/631/06056122425/6310605612242511092023143706.pdf","https://dpmzos25m8ivg.cloudfront.net/Documentos/631/06056122425/6310605612242511092023143706.pdf")</f>
        <v>https://dpmzos25m8ivg.cloudfront.net/Documentos/631/06056122425/6310605612242511092023143706.pdf</v>
      </c>
      <c r="H2855" s="5" t="s">
        <v>11433</v>
      </c>
    </row>
    <row r="2856" spans="1:8" x14ac:dyDescent="0.25">
      <c r="A2856" s="2" t="s">
        <v>2873</v>
      </c>
      <c r="B2856" s="3"/>
      <c r="C2856" s="3"/>
      <c r="D2856" s="3"/>
      <c r="E2856" s="5" t="str">
        <f>HYPERLINK("https://dpmzos25m8ivg.cloudfront.net/Documentos/631/06056813762/6310605681376211092023165436.jpeg","https://dpmzos25m8ivg.cloudfront.net/Documentos/631/06056813762/6310605681376211092023165436.jpeg")</f>
        <v>https://dpmzos25m8ivg.cloudfront.net/Documentos/631/06056813762/6310605681376211092023165436.jpeg</v>
      </c>
      <c r="F2856" s="5" t="str">
        <f>HYPERLINK("https://dpmzos25m8ivg.cloudfront.net/Documentos/631/06056813762/6310605681376211092023165501.jpeg","https://dpmzos25m8ivg.cloudfront.net/Documentos/631/06056813762/6310605681376211092023165501.jpeg")</f>
        <v>https://dpmzos25m8ivg.cloudfront.net/Documentos/631/06056813762/6310605681376211092023165501.jpeg</v>
      </c>
      <c r="G2856" s="5" t="str">
        <f>HYPERLINK("https://dpmzos25m8ivg.cloudfront.net/Documentos/631/06056813762/6310605681376211092023165525.jpeg","https://dpmzos25m8ivg.cloudfront.net/Documentos/631/06056813762/6310605681376211092023165525.jpeg")</f>
        <v>https://dpmzos25m8ivg.cloudfront.net/Documentos/631/06056813762/6310605681376211092023165525.jpeg</v>
      </c>
      <c r="H2856" s="5" t="s">
        <v>11434</v>
      </c>
    </row>
    <row r="2857" spans="1:8" x14ac:dyDescent="0.25">
      <c r="A2857" s="2" t="s">
        <v>2874</v>
      </c>
      <c r="B2857" s="3"/>
      <c r="C2857" s="3"/>
      <c r="D2857" s="3"/>
      <c r="E2857" s="5" t="str">
        <f>HYPERLINK("https://dpmzos25m8ivg.cloudfront.net/Documentos/631/06059157416/6310605915741609092023202227.pdf","https://dpmzos25m8ivg.cloudfront.net/Documentos/631/06059157416/6310605915741609092023202227.pdf")</f>
        <v>https://dpmzos25m8ivg.cloudfront.net/Documentos/631/06059157416/6310605915741609092023202227.pdf</v>
      </c>
      <c r="F2857" s="5" t="str">
        <f>HYPERLINK("https://dpmzos25m8ivg.cloudfront.net/Documentos/631/06059157416/6310605915741609092023202246.pdf","https://dpmzos25m8ivg.cloudfront.net/Documentos/631/06059157416/6310605915741609092023202246.pdf")</f>
        <v>https://dpmzos25m8ivg.cloudfront.net/Documentos/631/06059157416/6310605915741609092023202246.pdf</v>
      </c>
      <c r="G2857" s="5" t="str">
        <f>HYPERLINK("https://dpmzos25m8ivg.cloudfront.net/Documentos/631/06059157416/6310605915741609092023202313.pdf","https://dpmzos25m8ivg.cloudfront.net/Documentos/631/06059157416/6310605915741609092023202313.pdf")</f>
        <v>https://dpmzos25m8ivg.cloudfront.net/Documentos/631/06059157416/6310605915741609092023202313.pdf</v>
      </c>
      <c r="H2857" s="5" t="s">
        <v>11435</v>
      </c>
    </row>
    <row r="2858" spans="1:8" x14ac:dyDescent="0.25">
      <c r="A2858" s="2" t="s">
        <v>2875</v>
      </c>
      <c r="B2858" s="3"/>
      <c r="C2858" s="3"/>
      <c r="D2858" s="3"/>
      <c r="E2858" s="5" t="str">
        <f>HYPERLINK("https://dpmzos25m8ivg.cloudfront.net/Documentos/631/06061723431/6310606172343111092023131211.pdf","https://dpmzos25m8ivg.cloudfront.net/Documentos/631/06061723431/6310606172343111092023131211.pdf")</f>
        <v>https://dpmzos25m8ivg.cloudfront.net/Documentos/631/06061723431/6310606172343111092023131211.pdf</v>
      </c>
      <c r="F2858" s="5" t="str">
        <f>HYPERLINK("https://dpmzos25m8ivg.cloudfront.net/Documentos/631/06061723431/6310606172343111092023131231.pdf","https://dpmzos25m8ivg.cloudfront.net/Documentos/631/06061723431/6310606172343111092023131231.pdf")</f>
        <v>https://dpmzos25m8ivg.cloudfront.net/Documentos/631/06061723431/6310606172343111092023131231.pdf</v>
      </c>
      <c r="G2858" s="5" t="str">
        <f>HYPERLINK("https://dpmzos25m8ivg.cloudfront.net/Documentos/631/06061723431/6310606172343111092023131245.pdf","https://dpmzos25m8ivg.cloudfront.net/Documentos/631/06061723431/6310606172343111092023131245.pdf")</f>
        <v>https://dpmzos25m8ivg.cloudfront.net/Documentos/631/06061723431/6310606172343111092023131245.pdf</v>
      </c>
      <c r="H2858" s="5" t="s">
        <v>11436</v>
      </c>
    </row>
    <row r="2859" spans="1:8" x14ac:dyDescent="0.25">
      <c r="A2859" s="2" t="s">
        <v>2876</v>
      </c>
      <c r="B2859" s="3"/>
      <c r="C2859" s="3"/>
      <c r="D2859" s="3"/>
      <c r="E2859" s="5" t="str">
        <f>HYPERLINK("https://dpmzos25m8ivg.cloudfront.net/Documentos/631/06062848343/6310606284834311092023122001.pdf","https://dpmzos25m8ivg.cloudfront.net/Documentos/631/06062848343/6310606284834311092023122001.pdf")</f>
        <v>https://dpmzos25m8ivg.cloudfront.net/Documentos/631/06062848343/6310606284834311092023122001.pdf</v>
      </c>
      <c r="F2859" s="5" t="str">
        <f>HYPERLINK("https://dpmzos25m8ivg.cloudfront.net/Documentos/631/06062848343/6310606284834311092023122037.pdf","https://dpmzos25m8ivg.cloudfront.net/Documentos/631/06062848343/6310606284834311092023122037.pdf")</f>
        <v>https://dpmzos25m8ivg.cloudfront.net/Documentos/631/06062848343/6310606284834311092023122037.pdf</v>
      </c>
      <c r="G2859" s="5" t="str">
        <f>HYPERLINK("https://dpmzos25m8ivg.cloudfront.net/Documentos/631/06062848343/6310606284834311092023122054.pdf","https://dpmzos25m8ivg.cloudfront.net/Documentos/631/06062848343/6310606284834311092023122054.pdf")</f>
        <v>https://dpmzos25m8ivg.cloudfront.net/Documentos/631/06062848343/6310606284834311092023122054.pdf</v>
      </c>
      <c r="H2859" s="5" t="s">
        <v>11437</v>
      </c>
    </row>
    <row r="2860" spans="1:8" x14ac:dyDescent="0.25">
      <c r="A2860" s="2" t="s">
        <v>2877</v>
      </c>
      <c r="B2860" s="3"/>
      <c r="C2860" s="3"/>
      <c r="D2860" s="3"/>
      <c r="E2860" s="5" t="str">
        <f>HYPERLINK("https://dpmzos25m8ivg.cloudfront.net/Documentos/631/06064479388/6310606447938811092023153612.jpg","https://dpmzos25m8ivg.cloudfront.net/Documentos/631/06064479388/6310606447938811092023153612.jpg")</f>
        <v>https://dpmzos25m8ivg.cloudfront.net/Documentos/631/06064479388/6310606447938811092023153612.jpg</v>
      </c>
      <c r="F2860" s="5" t="str">
        <f>HYPERLINK("https://dpmzos25m8ivg.cloudfront.net/Documentos/631/06064479388/6310606447938811092023153628.jpg","https://dpmzos25m8ivg.cloudfront.net/Documentos/631/06064479388/6310606447938811092023153628.jpg")</f>
        <v>https://dpmzos25m8ivg.cloudfront.net/Documentos/631/06064479388/6310606447938811092023153628.jpg</v>
      </c>
      <c r="G2860" s="5" t="str">
        <f>HYPERLINK("https://dpmzos25m8ivg.cloudfront.net/Documentos/631/06064479388/6310606447938811092023153643.jpg","https://dpmzos25m8ivg.cloudfront.net/Documentos/631/06064479388/6310606447938811092023153643.jpg")</f>
        <v>https://dpmzos25m8ivg.cloudfront.net/Documentos/631/06064479388/6310606447938811092023153643.jpg</v>
      </c>
      <c r="H2860" s="5" t="s">
        <v>11438</v>
      </c>
    </row>
    <row r="2861" spans="1:8" x14ac:dyDescent="0.25">
      <c r="A2861" s="2" t="s">
        <v>2878</v>
      </c>
      <c r="B2861" s="3" t="s">
        <v>2358</v>
      </c>
      <c r="C2861" s="3"/>
      <c r="D2861" s="3"/>
      <c r="E2861" s="5" t="str">
        <f>HYPERLINK("https://dpmzos25m8ivg.cloudfront.net/Documentos/631/06064978970/6310606497897007092023195557.jpg","https://dpmzos25m8ivg.cloudfront.net/Documentos/631/06064978970/6310606497897007092023195557.jpg")</f>
        <v>https://dpmzos25m8ivg.cloudfront.net/Documentos/631/06064978970/6310606497897007092023195557.jpg</v>
      </c>
      <c r="F2861" s="5" t="str">
        <f>HYPERLINK("https://dpmzos25m8ivg.cloudfront.net/Documentos/631/06064978970/6310606497897007092023202548.jpg","https://dpmzos25m8ivg.cloudfront.net/Documentos/631/06064978970/6310606497897007092023202548.jpg")</f>
        <v>https://dpmzos25m8ivg.cloudfront.net/Documentos/631/06064978970/6310606497897007092023202548.jpg</v>
      </c>
      <c r="G2861" s="5" t="str">
        <f>HYPERLINK("https://dpmzos25m8ivg.cloudfront.net/Documentos/631/06064978970/6310606497897007092023202555.jpg","https://dpmzos25m8ivg.cloudfront.net/Documentos/631/06064978970/6310606497897007092023202555.jpg")</f>
        <v>https://dpmzos25m8ivg.cloudfront.net/Documentos/631/06064978970/6310606497897007092023202555.jpg</v>
      </c>
      <c r="H2861" s="5" t="s">
        <v>11439</v>
      </c>
    </row>
    <row r="2862" spans="1:8" x14ac:dyDescent="0.25">
      <c r="A2862" s="2" t="s">
        <v>2879</v>
      </c>
      <c r="B2862" s="3"/>
      <c r="C2862" s="3"/>
      <c r="D2862" s="3"/>
      <c r="E2862" s="5" t="str">
        <f>HYPERLINK("https://dpmzos25m8ivg.cloudfront.net/Documentos/631/06066460196/6310606646019611092023154935.pdf","https://dpmzos25m8ivg.cloudfront.net/Documentos/631/06066460196/6310606646019611092023154935.pdf")</f>
        <v>https://dpmzos25m8ivg.cloudfront.net/Documentos/631/06066460196/6310606646019611092023154935.pdf</v>
      </c>
      <c r="F2862" s="5" t="str">
        <f>HYPERLINK("https://dpmzos25m8ivg.cloudfront.net/Documentos/631/06066460196/6310606646019611092023155006.pdf","https://dpmzos25m8ivg.cloudfront.net/Documentos/631/06066460196/6310606646019611092023155006.pdf")</f>
        <v>https://dpmzos25m8ivg.cloudfront.net/Documentos/631/06066460196/6310606646019611092023155006.pdf</v>
      </c>
      <c r="G2862" s="5" t="str">
        <f>HYPERLINK("https://dpmzos25m8ivg.cloudfront.net/Documentos/631/06066460196/6310606646019611092023155020.pdf","https://dpmzos25m8ivg.cloudfront.net/Documentos/631/06066460196/6310606646019611092023155020.pdf")</f>
        <v>https://dpmzos25m8ivg.cloudfront.net/Documentos/631/06066460196/6310606646019611092023155020.pdf</v>
      </c>
      <c r="H2862" s="5" t="s">
        <v>11440</v>
      </c>
    </row>
    <row r="2863" spans="1:8" x14ac:dyDescent="0.25">
      <c r="A2863" s="2" t="s">
        <v>2880</v>
      </c>
      <c r="B2863" s="3"/>
      <c r="C2863" s="3"/>
      <c r="D2863" s="3"/>
      <c r="E2863" s="5" t="str">
        <f>HYPERLINK("https://dpmzos25m8ivg.cloudfront.net/Documentos/631/06068538125/6310606853812514092023124925.pdf","https://dpmzos25m8ivg.cloudfront.net/Documentos/631/06068538125/6310606853812514092023124925.pdf")</f>
        <v>https://dpmzos25m8ivg.cloudfront.net/Documentos/631/06068538125/6310606853812514092023124925.pdf</v>
      </c>
      <c r="F2863" s="5" t="str">
        <f>HYPERLINK("https://dpmzos25m8ivg.cloudfront.net/Documentos/631/06068538125/6310606853812514092023124933.pdf","https://dpmzos25m8ivg.cloudfront.net/Documentos/631/06068538125/6310606853812514092023124933.pdf")</f>
        <v>https://dpmzos25m8ivg.cloudfront.net/Documentos/631/06068538125/6310606853812514092023124933.pdf</v>
      </c>
      <c r="G2863" s="5" t="str">
        <f>HYPERLINK("https://dpmzos25m8ivg.cloudfront.net/Documentos/631/06068538125/6310606853812514092023124941.pdf","https://dpmzos25m8ivg.cloudfront.net/Documentos/631/06068538125/6310606853812514092023124941.pdf")</f>
        <v>https://dpmzos25m8ivg.cloudfront.net/Documentos/631/06068538125/6310606853812514092023124941.pdf</v>
      </c>
      <c r="H2863" s="5" t="s">
        <v>11441</v>
      </c>
    </row>
    <row r="2864" spans="1:8" x14ac:dyDescent="0.25">
      <c r="A2864" s="2" t="s">
        <v>2881</v>
      </c>
      <c r="B2864" s="3"/>
      <c r="C2864" s="3"/>
      <c r="D2864" s="3"/>
      <c r="E2864" s="5" t="str">
        <f>HYPERLINK("https://dpmzos25m8ivg.cloudfront.net/Documentos/631/06069637313/6310606963731307092023180118.pdf","https://dpmzos25m8ivg.cloudfront.net/Documentos/631/06069637313/6310606963731307092023180118.pdf")</f>
        <v>https://dpmzos25m8ivg.cloudfront.net/Documentos/631/06069637313/6310606963731307092023180118.pdf</v>
      </c>
      <c r="F2864" s="5" t="str">
        <f>HYPERLINK("https://dpmzos25m8ivg.cloudfront.net/Documentos/631/06069637313/6310606963731307092023180125.pdf","https://dpmzos25m8ivg.cloudfront.net/Documentos/631/06069637313/6310606963731307092023180125.pdf")</f>
        <v>https://dpmzos25m8ivg.cloudfront.net/Documentos/631/06069637313/6310606963731307092023180125.pdf</v>
      </c>
      <c r="G2864" s="5" t="str">
        <f>HYPERLINK("https://dpmzos25m8ivg.cloudfront.net/Documentos/631/06069637313/6310606963731307092023180134.pdf","https://dpmzos25m8ivg.cloudfront.net/Documentos/631/06069637313/6310606963731307092023180134.pdf")</f>
        <v>https://dpmzos25m8ivg.cloudfront.net/Documentos/631/06069637313/6310606963731307092023180134.pdf</v>
      </c>
      <c r="H2864" s="5" t="s">
        <v>11442</v>
      </c>
    </row>
    <row r="2865" spans="1:8" x14ac:dyDescent="0.25">
      <c r="A2865" s="2" t="s">
        <v>2882</v>
      </c>
      <c r="B2865" s="3"/>
      <c r="C2865" s="3"/>
      <c r="D2865" s="3"/>
      <c r="E2865" s="5" t="str">
        <f>HYPERLINK("https://dpmzos25m8ivg.cloudfront.net/Documentos/631/06078641174/6310607864117405092023084614.pdf","https://dpmzos25m8ivg.cloudfront.net/Documentos/631/06078641174/6310607864117405092023084614.pdf")</f>
        <v>https://dpmzos25m8ivg.cloudfront.net/Documentos/631/06078641174/6310607864117405092023084614.pdf</v>
      </c>
      <c r="F2865" s="5" t="str">
        <f>HYPERLINK("https://dpmzos25m8ivg.cloudfront.net/Documentos/631/06078641174/6310607864117405092023084627.pdf","https://dpmzos25m8ivg.cloudfront.net/Documentos/631/06078641174/6310607864117405092023084627.pdf")</f>
        <v>https://dpmzos25m8ivg.cloudfront.net/Documentos/631/06078641174/6310607864117405092023084627.pdf</v>
      </c>
      <c r="G2865" s="5" t="str">
        <f>HYPERLINK("https://dpmzos25m8ivg.cloudfront.net/Documentos/631/06078641174/6310607864117405092023084650.pdf","https://dpmzos25m8ivg.cloudfront.net/Documentos/631/06078641174/6310607864117405092023084650.pdf")</f>
        <v>https://dpmzos25m8ivg.cloudfront.net/Documentos/631/06078641174/6310607864117405092023084650.pdf</v>
      </c>
      <c r="H2865" s="5" t="s">
        <v>11443</v>
      </c>
    </row>
    <row r="2866" spans="1:8" x14ac:dyDescent="0.25">
      <c r="A2866" s="2" t="s">
        <v>2883</v>
      </c>
      <c r="B2866" s="3" t="s">
        <v>8</v>
      </c>
      <c r="C2866" s="3"/>
      <c r="D2866" s="3"/>
      <c r="E2866" s="5" t="str">
        <f>HYPERLINK("https://dpmzos25m8ivg.cloudfront.net/Documentos/631/06078909754/6310607890975410092023231204.pdf","https://dpmzos25m8ivg.cloudfront.net/Documentos/631/06078909754/6310607890975410092023231204.pdf")</f>
        <v>https://dpmzos25m8ivg.cloudfront.net/Documentos/631/06078909754/6310607890975410092023231204.pdf</v>
      </c>
      <c r="F2866" s="5" t="str">
        <f>HYPERLINK("https://dpmzos25m8ivg.cloudfront.net/Documentos/631/06078909754/6310607890975410092023231219.pdf","https://dpmzos25m8ivg.cloudfront.net/Documentos/631/06078909754/6310607890975410092023231219.pdf")</f>
        <v>https://dpmzos25m8ivg.cloudfront.net/Documentos/631/06078909754/6310607890975410092023231219.pdf</v>
      </c>
      <c r="G2866" s="5" t="str">
        <f>HYPERLINK("https://dpmzos25m8ivg.cloudfront.net/Documentos/631/06078909754/6310607890975410092023231234.pdf","https://dpmzos25m8ivg.cloudfront.net/Documentos/631/06078909754/6310607890975410092023231234.pdf")</f>
        <v>https://dpmzos25m8ivg.cloudfront.net/Documentos/631/06078909754/6310607890975410092023231234.pdf</v>
      </c>
      <c r="H2866" s="5" t="s">
        <v>11444</v>
      </c>
    </row>
    <row r="2867" spans="1:8" x14ac:dyDescent="0.25">
      <c r="A2867" s="2" t="s">
        <v>2884</v>
      </c>
      <c r="B2867" s="3"/>
      <c r="C2867" s="3"/>
      <c r="D2867" s="3"/>
      <c r="E2867" s="5" t="str">
        <f>HYPERLINK("https://dpmzos25m8ivg.cloudfront.net/Documentos/631/06079616602/6310607961660209092023142525.pdf","https://dpmzos25m8ivg.cloudfront.net/Documentos/631/06079616602/6310607961660209092023142525.pdf")</f>
        <v>https://dpmzos25m8ivg.cloudfront.net/Documentos/631/06079616602/6310607961660209092023142525.pdf</v>
      </c>
      <c r="F2867" s="5" t="str">
        <f>HYPERLINK("https://dpmzos25m8ivg.cloudfront.net/Documentos/631/06079616602/6310607961660209092023143107.pdf","https://dpmzos25m8ivg.cloudfront.net/Documentos/631/06079616602/6310607961660209092023143107.pdf")</f>
        <v>https://dpmzos25m8ivg.cloudfront.net/Documentos/631/06079616602/6310607961660209092023143107.pdf</v>
      </c>
      <c r="G2867" s="5" t="str">
        <f>HYPERLINK("https://dpmzos25m8ivg.cloudfront.net/Documentos/631/06079616602/6310607961660209092023144008.pdf","https://dpmzos25m8ivg.cloudfront.net/Documentos/631/06079616602/6310607961660209092023144008.pdf")</f>
        <v>https://dpmzos25m8ivg.cloudfront.net/Documentos/631/06079616602/6310607961660209092023144008.pdf</v>
      </c>
      <c r="H2867" s="5" t="s">
        <v>11445</v>
      </c>
    </row>
    <row r="2868" spans="1:8" x14ac:dyDescent="0.25">
      <c r="A2868" s="2" t="s">
        <v>2885</v>
      </c>
      <c r="B2868" s="3"/>
      <c r="C2868" s="3"/>
      <c r="D2868" s="3"/>
      <c r="E2868" s="5" t="str">
        <f>HYPERLINK("https://dpmzos25m8ivg.cloudfront.net/Documentos/631/06080568128/6310608056812811092023131148.pdf","https://dpmzos25m8ivg.cloudfront.net/Documentos/631/06080568128/6310608056812811092023131148.pdf")</f>
        <v>https://dpmzos25m8ivg.cloudfront.net/Documentos/631/06080568128/6310608056812811092023131148.pdf</v>
      </c>
      <c r="F2868" s="5" t="str">
        <f>HYPERLINK("https://dpmzos25m8ivg.cloudfront.net/Documentos/631/06080568128/6310608056812811092023131213.pdf","https://dpmzos25m8ivg.cloudfront.net/Documentos/631/06080568128/6310608056812811092023131213.pdf")</f>
        <v>https://dpmzos25m8ivg.cloudfront.net/Documentos/631/06080568128/6310608056812811092023131213.pdf</v>
      </c>
      <c r="G2868" s="5" t="str">
        <f>HYPERLINK("https://dpmzos25m8ivg.cloudfront.net/Documentos/631/06080568128/6310608056812811092023131226.pdf","https://dpmzos25m8ivg.cloudfront.net/Documentos/631/06080568128/6310608056812811092023131226.pdf")</f>
        <v>https://dpmzos25m8ivg.cloudfront.net/Documentos/631/06080568128/6310608056812811092023131226.pdf</v>
      </c>
      <c r="H2868" s="5" t="s">
        <v>11446</v>
      </c>
    </row>
    <row r="2869" spans="1:8" x14ac:dyDescent="0.25">
      <c r="A2869" s="2" t="s">
        <v>2886</v>
      </c>
      <c r="B2869" s="3"/>
      <c r="C2869" s="3"/>
      <c r="D2869" s="3"/>
      <c r="E2869" s="5" t="str">
        <f>HYPERLINK("https://dpmzos25m8ivg.cloudfront.net/Documentos/631/06084424538/6310608442453814092023153931.pdf","https://dpmzos25m8ivg.cloudfront.net/Documentos/631/06084424538/6310608442453814092023153931.pdf")</f>
        <v>https://dpmzos25m8ivg.cloudfront.net/Documentos/631/06084424538/6310608442453814092023153931.pdf</v>
      </c>
      <c r="F2869" s="5" t="str">
        <f>HYPERLINK("https://dpmzos25m8ivg.cloudfront.net/Documentos/631/06084424538/6310608442453814092023153943.pdf","https://dpmzos25m8ivg.cloudfront.net/Documentos/631/06084424538/6310608442453814092023153943.pdf")</f>
        <v>https://dpmzos25m8ivg.cloudfront.net/Documentos/631/06084424538/6310608442453814092023153943.pdf</v>
      </c>
      <c r="G2869" s="5" t="str">
        <f>HYPERLINK("https://dpmzos25m8ivg.cloudfront.net/Documentos/631/06084424538/6310608442453814092023153954.pdf","https://dpmzos25m8ivg.cloudfront.net/Documentos/631/06084424538/6310608442453814092023153954.pdf")</f>
        <v>https://dpmzos25m8ivg.cloudfront.net/Documentos/631/06084424538/6310608442453814092023153954.pdf</v>
      </c>
      <c r="H2869" s="5" t="s">
        <v>11447</v>
      </c>
    </row>
    <row r="2870" spans="1:8" x14ac:dyDescent="0.25">
      <c r="A2870" s="2" t="s">
        <v>2887</v>
      </c>
      <c r="B2870" s="3"/>
      <c r="C2870" s="3"/>
      <c r="D2870" s="3"/>
      <c r="E2870" s="5" t="str">
        <f>HYPERLINK("https://dpmzos25m8ivg.cloudfront.net/Documentos/631/06089224391/6310608922439106092023182351.pdf","https://dpmzos25m8ivg.cloudfront.net/Documentos/631/06089224391/6310608922439106092023182351.pdf")</f>
        <v>https://dpmzos25m8ivg.cloudfront.net/Documentos/631/06089224391/6310608922439106092023182351.pdf</v>
      </c>
      <c r="F2870" s="5" t="str">
        <f>HYPERLINK("https://dpmzos25m8ivg.cloudfront.net/Documentos/631/06089224391/6310608922439106092023182415.pdf","https://dpmzos25m8ivg.cloudfront.net/Documentos/631/06089224391/6310608922439106092023182415.pdf")</f>
        <v>https://dpmzos25m8ivg.cloudfront.net/Documentos/631/06089224391/6310608922439106092023182415.pdf</v>
      </c>
      <c r="G2870" s="5" t="str">
        <f>HYPERLINK("https://dpmzos25m8ivg.cloudfront.net/Documentos/631/06089224391/6310608922439106092023182439.pdf","https://dpmzos25m8ivg.cloudfront.net/Documentos/631/06089224391/6310608922439106092023182439.pdf")</f>
        <v>https://dpmzos25m8ivg.cloudfront.net/Documentos/631/06089224391/6310608922439106092023182439.pdf</v>
      </c>
      <c r="H2870" s="5" t="s">
        <v>11448</v>
      </c>
    </row>
    <row r="2871" spans="1:8" x14ac:dyDescent="0.25">
      <c r="A2871" s="2" t="s">
        <v>2888</v>
      </c>
      <c r="B2871" s="3"/>
      <c r="C2871" s="3"/>
      <c r="D2871" s="3"/>
      <c r="E2871" s="5" t="str">
        <f>HYPERLINK("https://dpmzos25m8ivg.cloudfront.net/Documentos/631/06089846120/6310608984612011092023093703.pdf","https://dpmzos25m8ivg.cloudfront.net/Documentos/631/06089846120/6310608984612011092023093703.pdf")</f>
        <v>https://dpmzos25m8ivg.cloudfront.net/Documentos/631/06089846120/6310608984612011092023093703.pdf</v>
      </c>
      <c r="F2871" s="5" t="str">
        <f>HYPERLINK("https://dpmzos25m8ivg.cloudfront.net/Documentos/631/06089846120/6310608984612011092023093712.pdf","https://dpmzos25m8ivg.cloudfront.net/Documentos/631/06089846120/6310608984612011092023093712.pdf")</f>
        <v>https://dpmzos25m8ivg.cloudfront.net/Documentos/631/06089846120/6310608984612011092023093712.pdf</v>
      </c>
      <c r="G2871" s="5" t="str">
        <f>HYPERLINK("https://dpmzos25m8ivg.cloudfront.net/Documentos/631/06089846120/6310608984612011092023093720.pdf","https://dpmzos25m8ivg.cloudfront.net/Documentos/631/06089846120/6310608984612011092023093720.pdf")</f>
        <v>https://dpmzos25m8ivg.cloudfront.net/Documentos/631/06089846120/6310608984612011092023093720.pdf</v>
      </c>
      <c r="H2871" s="5" t="s">
        <v>11449</v>
      </c>
    </row>
    <row r="2872" spans="1:8" x14ac:dyDescent="0.25">
      <c r="A2872" s="2" t="s">
        <v>2889</v>
      </c>
      <c r="B2872" s="3"/>
      <c r="C2872" s="3"/>
      <c r="D2872" s="3"/>
      <c r="E2872" s="5" t="str">
        <f>HYPERLINK("https://dpmzos25m8ivg.cloudfront.net/Documentos/631/06093553507/6310609355350709092023210518.pdf","https://dpmzos25m8ivg.cloudfront.net/Documentos/631/06093553507/6310609355350709092023210518.pdf")</f>
        <v>https://dpmzos25m8ivg.cloudfront.net/Documentos/631/06093553507/6310609355350709092023210518.pdf</v>
      </c>
      <c r="F2872" s="5" t="str">
        <f>HYPERLINK("https://dpmzos25m8ivg.cloudfront.net/Documentos/631/06093553507/6310609355350709092023210531.pdf","https://dpmzos25m8ivg.cloudfront.net/Documentos/631/06093553507/6310609355350709092023210531.pdf")</f>
        <v>https://dpmzos25m8ivg.cloudfront.net/Documentos/631/06093553507/6310609355350709092023210531.pdf</v>
      </c>
      <c r="G2872" s="5" t="str">
        <f>HYPERLINK("https://dpmzos25m8ivg.cloudfront.net/Documentos/631/06093553507/6310609355350709092023210546.pdf","https://dpmzos25m8ivg.cloudfront.net/Documentos/631/06093553507/6310609355350709092023210546.pdf")</f>
        <v>https://dpmzos25m8ivg.cloudfront.net/Documentos/631/06093553507/6310609355350709092023210546.pdf</v>
      </c>
      <c r="H2872" s="5" t="s">
        <v>11450</v>
      </c>
    </row>
    <row r="2873" spans="1:8" x14ac:dyDescent="0.25">
      <c r="A2873" s="2" t="s">
        <v>2890</v>
      </c>
      <c r="B2873" s="3"/>
      <c r="C2873" s="3"/>
      <c r="D2873" s="3"/>
      <c r="E2873" s="5" t="str">
        <f>HYPERLINK("https://dpmzos25m8ivg.cloudfront.net/Documentos/631/06094379330/6310609437933005092023153939.pdf","https://dpmzos25m8ivg.cloudfront.net/Documentos/631/06094379330/6310609437933005092023153939.pdf")</f>
        <v>https://dpmzos25m8ivg.cloudfront.net/Documentos/631/06094379330/6310609437933005092023153939.pdf</v>
      </c>
      <c r="F2873" s="5" t="str">
        <f>HYPERLINK("https://dpmzos25m8ivg.cloudfront.net/Documentos/631/06094379330/6310609437933005092023153947.pdf","https://dpmzos25m8ivg.cloudfront.net/Documentos/631/06094379330/6310609437933005092023153947.pdf")</f>
        <v>https://dpmzos25m8ivg.cloudfront.net/Documentos/631/06094379330/6310609437933005092023153947.pdf</v>
      </c>
      <c r="G2873" s="5" t="str">
        <f>HYPERLINK("https://dpmzos25m8ivg.cloudfront.net/Documentos/631/06094379330/6310609437933005092023153958.pdf","https://dpmzos25m8ivg.cloudfront.net/Documentos/631/06094379330/6310609437933005092023153958.pdf")</f>
        <v>https://dpmzos25m8ivg.cloudfront.net/Documentos/631/06094379330/6310609437933005092023153958.pdf</v>
      </c>
      <c r="H2873" s="5" t="s">
        <v>11451</v>
      </c>
    </row>
    <row r="2874" spans="1:8" x14ac:dyDescent="0.25">
      <c r="A2874" s="2" t="s">
        <v>2891</v>
      </c>
      <c r="B2874" s="3"/>
      <c r="C2874" s="3"/>
      <c r="D2874" s="3"/>
      <c r="E2874" s="5" t="str">
        <f>HYPERLINK("https://dpmzos25m8ivg.cloudfront.net/Documentos/631/06095604419/6310609560441909092023033829.pdf","https://dpmzos25m8ivg.cloudfront.net/Documentos/631/06095604419/6310609560441909092023033829.pdf")</f>
        <v>https://dpmzos25m8ivg.cloudfront.net/Documentos/631/06095604419/6310609560441909092023033829.pdf</v>
      </c>
      <c r="F2874" s="5" t="str">
        <f>HYPERLINK("https://dpmzos25m8ivg.cloudfront.net/Documentos/631/06095604419/6310609560441909092023033857.pdf","https://dpmzos25m8ivg.cloudfront.net/Documentos/631/06095604419/6310609560441909092023033857.pdf")</f>
        <v>https://dpmzos25m8ivg.cloudfront.net/Documentos/631/06095604419/6310609560441909092023033857.pdf</v>
      </c>
      <c r="G2874" s="5" t="str">
        <f>HYPERLINK("https://dpmzos25m8ivg.cloudfront.net/Documentos/631/06095604419/6310609560441909092023033926.pdf","https://dpmzos25m8ivg.cloudfront.net/Documentos/631/06095604419/6310609560441909092023033926.pdf")</f>
        <v>https://dpmzos25m8ivg.cloudfront.net/Documentos/631/06095604419/6310609560441909092023033926.pdf</v>
      </c>
      <c r="H2874" s="5" t="s">
        <v>11452</v>
      </c>
    </row>
    <row r="2875" spans="1:8" x14ac:dyDescent="0.25">
      <c r="A2875" s="2" t="s">
        <v>2892</v>
      </c>
      <c r="B2875" s="3"/>
      <c r="C2875" s="3"/>
      <c r="D2875" s="3"/>
      <c r="E2875" s="5" t="str">
        <f>HYPERLINK("https://dpmzos25m8ivg.cloudfront.net/Documentos/631/06097963300/6310609796330006092023083411.pdf","https://dpmzos25m8ivg.cloudfront.net/Documentos/631/06097963300/6310609796330006092023083411.pdf")</f>
        <v>https://dpmzos25m8ivg.cloudfront.net/Documentos/631/06097963300/6310609796330006092023083411.pdf</v>
      </c>
      <c r="F2875" s="5" t="str">
        <f>HYPERLINK("https://dpmzos25m8ivg.cloudfront.net/Documentos/631/06097963300/6310609796330006092023083419.pdf","https://dpmzos25m8ivg.cloudfront.net/Documentos/631/06097963300/6310609796330006092023083419.pdf")</f>
        <v>https://dpmzos25m8ivg.cloudfront.net/Documentos/631/06097963300/6310609796330006092023083419.pdf</v>
      </c>
      <c r="G2875" s="5" t="str">
        <f>HYPERLINK("https://dpmzos25m8ivg.cloudfront.net/Documentos/631/06097963300/6310609796330006092023083427.pdf","https://dpmzos25m8ivg.cloudfront.net/Documentos/631/06097963300/6310609796330006092023083427.pdf")</f>
        <v>https://dpmzos25m8ivg.cloudfront.net/Documentos/631/06097963300/6310609796330006092023083427.pdf</v>
      </c>
      <c r="H2875" s="5" t="s">
        <v>11453</v>
      </c>
    </row>
    <row r="2876" spans="1:8" x14ac:dyDescent="0.25">
      <c r="A2876" s="2" t="s">
        <v>2893</v>
      </c>
      <c r="B2876" s="3"/>
      <c r="C2876" s="3"/>
      <c r="D2876" s="3"/>
      <c r="E2876" s="5" t="str">
        <f>HYPERLINK("https://dpmzos25m8ivg.cloudfront.net/Documentos/631/06101790398/6310610179039807092023153424.jpg","https://dpmzos25m8ivg.cloudfront.net/Documentos/631/06101790398/6310610179039807092023153424.jpg")</f>
        <v>https://dpmzos25m8ivg.cloudfront.net/Documentos/631/06101790398/6310610179039807092023153424.jpg</v>
      </c>
      <c r="F2876" s="5" t="str">
        <f>HYPERLINK("https://dpmzos25m8ivg.cloudfront.net/Documentos/631/06101790398/6310610179039807092023153436.jpg","https://dpmzos25m8ivg.cloudfront.net/Documentos/631/06101790398/6310610179039807092023153436.jpg")</f>
        <v>https://dpmzos25m8ivg.cloudfront.net/Documentos/631/06101790398/6310610179039807092023153436.jpg</v>
      </c>
      <c r="G2876" s="5" t="str">
        <f>HYPERLINK("https://dpmzos25m8ivg.cloudfront.net/Documentos/631/06101790398/6310610179039807092023153508.jpg","https://dpmzos25m8ivg.cloudfront.net/Documentos/631/06101790398/6310610179039807092023153508.jpg")</f>
        <v>https://dpmzos25m8ivg.cloudfront.net/Documentos/631/06101790398/6310610179039807092023153508.jpg</v>
      </c>
      <c r="H2876" s="5" t="s">
        <v>11454</v>
      </c>
    </row>
    <row r="2877" spans="1:8" x14ac:dyDescent="0.25">
      <c r="A2877" s="2" t="s">
        <v>2894</v>
      </c>
      <c r="B2877" s="3"/>
      <c r="C2877" s="3"/>
      <c r="D2877" s="3"/>
      <c r="E2877" s="5" t="str">
        <f>HYPERLINK("https://dpmzos25m8ivg.cloudfront.net/Documentos/631/06103806305/6310610380630509092023143808.pdf","https://dpmzos25m8ivg.cloudfront.net/Documentos/631/06103806305/6310610380630509092023143808.pdf")</f>
        <v>https://dpmzos25m8ivg.cloudfront.net/Documentos/631/06103806305/6310610380630509092023143808.pdf</v>
      </c>
      <c r="F2877" s="5" t="str">
        <f>HYPERLINK("https://dpmzos25m8ivg.cloudfront.net/Documentos/631/06103806305/6310610380630509092023143829.pdf","https://dpmzos25m8ivg.cloudfront.net/Documentos/631/06103806305/6310610380630509092023143829.pdf")</f>
        <v>https://dpmzos25m8ivg.cloudfront.net/Documentos/631/06103806305/6310610380630509092023143829.pdf</v>
      </c>
      <c r="G2877" s="5" t="str">
        <f>HYPERLINK("https://dpmzos25m8ivg.cloudfront.net/Documentos/631/06103806305/6310610380630509092023143907.pdf","https://dpmzos25m8ivg.cloudfront.net/Documentos/631/06103806305/6310610380630509092023143907.pdf")</f>
        <v>https://dpmzos25m8ivg.cloudfront.net/Documentos/631/06103806305/6310610380630509092023143907.pdf</v>
      </c>
      <c r="H2877" s="5" t="s">
        <v>11455</v>
      </c>
    </row>
    <row r="2878" spans="1:8" x14ac:dyDescent="0.25">
      <c r="A2878" s="2" t="s">
        <v>2895</v>
      </c>
      <c r="B2878" s="3" t="s">
        <v>8</v>
      </c>
      <c r="C2878" s="3"/>
      <c r="D2878" s="3"/>
      <c r="E2878" s="5" t="str">
        <f>HYPERLINK("https://dpmzos25m8ivg.cloudfront.net/Documentos/631/06103958318/6310610395831806092023160406.pdf","https://dpmzos25m8ivg.cloudfront.net/Documentos/631/06103958318/6310610395831806092023160406.pdf")</f>
        <v>https://dpmzos25m8ivg.cloudfront.net/Documentos/631/06103958318/6310610395831806092023160406.pdf</v>
      </c>
      <c r="F2878" s="5" t="str">
        <f>HYPERLINK("https://dpmzos25m8ivg.cloudfront.net/Documentos/631/06103958318/6310610395831806092023160413.pdf","https://dpmzos25m8ivg.cloudfront.net/Documentos/631/06103958318/6310610395831806092023160413.pdf")</f>
        <v>https://dpmzos25m8ivg.cloudfront.net/Documentos/631/06103958318/6310610395831806092023160413.pdf</v>
      </c>
      <c r="G2878" s="5" t="str">
        <f>HYPERLINK("https://dpmzos25m8ivg.cloudfront.net/Documentos/631/06103958318/6310610395831806092023160422.pdf","https://dpmzos25m8ivg.cloudfront.net/Documentos/631/06103958318/6310610395831806092023160422.pdf")</f>
        <v>https://dpmzos25m8ivg.cloudfront.net/Documentos/631/06103958318/6310610395831806092023160422.pdf</v>
      </c>
      <c r="H2878" s="5" t="s">
        <v>11456</v>
      </c>
    </row>
    <row r="2879" spans="1:8" x14ac:dyDescent="0.25">
      <c r="A2879" s="2" t="s">
        <v>2896</v>
      </c>
      <c r="B2879" s="3"/>
      <c r="C2879" s="3"/>
      <c r="D2879" s="3"/>
      <c r="E2879" s="5" t="str">
        <f>HYPERLINK("https://dpmzos25m8ivg.cloudfront.net/Documentos/631/06104792375/6310610479237506092023150940.pdf","https://dpmzos25m8ivg.cloudfront.net/Documentos/631/06104792375/6310610479237506092023150940.pdf")</f>
        <v>https://dpmzos25m8ivg.cloudfront.net/Documentos/631/06104792375/6310610479237506092023150940.pdf</v>
      </c>
      <c r="F2879" s="5" t="str">
        <f>HYPERLINK("https://dpmzos25m8ivg.cloudfront.net/Documentos/631/06104792375/6310610479237506092023150959.pdf","https://dpmzos25m8ivg.cloudfront.net/Documentos/631/06104792375/6310610479237506092023150959.pdf")</f>
        <v>https://dpmzos25m8ivg.cloudfront.net/Documentos/631/06104792375/6310610479237506092023150959.pdf</v>
      </c>
      <c r="G2879" s="5" t="str">
        <f>HYPERLINK("https://dpmzos25m8ivg.cloudfront.net/Documentos/631/06104792375/6310610479237506092023151010.pdf","https://dpmzos25m8ivg.cloudfront.net/Documentos/631/06104792375/6310610479237506092023151010.pdf")</f>
        <v>https://dpmzos25m8ivg.cloudfront.net/Documentos/631/06104792375/6310610479237506092023151010.pdf</v>
      </c>
      <c r="H2879" s="5" t="s">
        <v>11457</v>
      </c>
    </row>
    <row r="2880" spans="1:8" x14ac:dyDescent="0.25">
      <c r="A2880" s="2" t="s">
        <v>2897</v>
      </c>
      <c r="B2880" s="3" t="s">
        <v>2358</v>
      </c>
      <c r="C2880" s="3"/>
      <c r="D2880" s="3"/>
      <c r="E2880" s="5" t="str">
        <f>HYPERLINK("https://dpmzos25m8ivg.cloudfront.net/Documentos/631/06105745150/6310610574515006092023161523.pdf","https://dpmzos25m8ivg.cloudfront.net/Documentos/631/06105745150/6310610574515006092023161523.pdf")</f>
        <v>https://dpmzos25m8ivg.cloudfront.net/Documentos/631/06105745150/6310610574515006092023161523.pdf</v>
      </c>
      <c r="F2880" s="5" t="str">
        <f>HYPERLINK("https://dpmzos25m8ivg.cloudfront.net/Documentos/631/06105745150/6310610574515006092023161538.pdf","https://dpmzos25m8ivg.cloudfront.net/Documentos/631/06105745150/6310610574515006092023161538.pdf")</f>
        <v>https://dpmzos25m8ivg.cloudfront.net/Documentos/631/06105745150/6310610574515006092023161538.pdf</v>
      </c>
      <c r="G2880" s="5" t="str">
        <f>HYPERLINK("https://dpmzos25m8ivg.cloudfront.net/Documentos/631/06105745150/6310610574515006092023161556.pdf","https://dpmzos25m8ivg.cloudfront.net/Documentos/631/06105745150/6310610574515006092023161556.pdf")</f>
        <v>https://dpmzos25m8ivg.cloudfront.net/Documentos/631/06105745150/6310610574515006092023161556.pdf</v>
      </c>
      <c r="H2880" s="5" t="s">
        <v>11458</v>
      </c>
    </row>
    <row r="2881" spans="1:8" x14ac:dyDescent="0.25">
      <c r="A2881" s="2" t="s">
        <v>2898</v>
      </c>
      <c r="B2881" s="3"/>
      <c r="C2881" s="3"/>
      <c r="D2881" s="3"/>
      <c r="E2881" s="5" t="str">
        <f>HYPERLINK("https://dpmzos25m8ivg.cloudfront.net/Documentos/631/06108410337/6310610841033707092023180807.pdf","https://dpmzos25m8ivg.cloudfront.net/Documentos/631/06108410337/6310610841033707092023180807.pdf")</f>
        <v>https://dpmzos25m8ivg.cloudfront.net/Documentos/631/06108410337/6310610841033707092023180807.pdf</v>
      </c>
      <c r="F2881" s="5" t="str">
        <f>HYPERLINK("https://dpmzos25m8ivg.cloudfront.net/Documentos/631/06108410337/6310610841033707092023180832.pdf","https://dpmzos25m8ivg.cloudfront.net/Documentos/631/06108410337/6310610841033707092023180832.pdf")</f>
        <v>https://dpmzos25m8ivg.cloudfront.net/Documentos/631/06108410337/6310610841033707092023180832.pdf</v>
      </c>
      <c r="G2881" s="5" t="str">
        <f>HYPERLINK("https://dpmzos25m8ivg.cloudfront.net/Documentos/631/06108410337/6310610841033707092023180903.pdf","https://dpmzos25m8ivg.cloudfront.net/Documentos/631/06108410337/6310610841033707092023180903.pdf")</f>
        <v>https://dpmzos25m8ivg.cloudfront.net/Documentos/631/06108410337/6310610841033707092023180903.pdf</v>
      </c>
      <c r="H2881" s="5" t="s">
        <v>11459</v>
      </c>
    </row>
    <row r="2882" spans="1:8" x14ac:dyDescent="0.25">
      <c r="A2882" s="11" t="s">
        <v>2899</v>
      </c>
      <c r="B2882" s="12"/>
      <c r="C2882" s="3"/>
      <c r="D2882" s="3"/>
      <c r="E2882" s="4" t="str">
        <f>HYPERLINK("https://dpmzos25m8ivg.cloudfront.net/Documentos/631/06109335584/6310610933558405092023152550.pdf","https://dpmzos25m8ivg.cloudfront.net/Documentos/631/06109335584/6310610933558405092023152550.pdf")</f>
        <v>https://dpmzos25m8ivg.cloudfront.net/Documentos/631/06109335584/6310610933558405092023152550.pdf</v>
      </c>
      <c r="F2882" s="4" t="str">
        <f>HYPERLINK("https://dpmzos25m8ivg.cloudfront.net/Documentos/631/06109335584/6310610933558405092023152603.pdf","https://dpmzos25m8ivg.cloudfront.net/Documentos/631/06109335584/6310610933558405092023152603.pdf")</f>
        <v>https://dpmzos25m8ivg.cloudfront.net/Documentos/631/06109335584/6310610933558405092023152603.pdf</v>
      </c>
      <c r="G2882" s="4" t="str">
        <f>HYPERLINK("https://dpmzos25m8ivg.cloudfront.net/Documentos/631/06109335584/6310610933558405092023152616.pdf","https://dpmzos25m8ivg.cloudfront.net/Documentos/631/06109335584/6310610933558405092023152616.pdf")</f>
        <v>https://dpmzos25m8ivg.cloudfront.net/Documentos/631/06109335584/6310610933558405092023152616.pdf</v>
      </c>
      <c r="H2882" s="4" t="s">
        <v>11460</v>
      </c>
    </row>
    <row r="2883" spans="1:8" x14ac:dyDescent="0.25">
      <c r="A2883" s="2" t="s">
        <v>2900</v>
      </c>
      <c r="B2883" s="3" t="s">
        <v>8</v>
      </c>
      <c r="C2883" s="3"/>
      <c r="D2883" s="3"/>
      <c r="E2883" s="5" t="str">
        <f>HYPERLINK("https://dpmzos25m8ivg.cloudfront.net/Documentos/631/06110154393/6310611015439306092023194628.pdf","https://dpmzos25m8ivg.cloudfront.net/Documentos/631/06110154393/6310611015439306092023194628.pdf")</f>
        <v>https://dpmzos25m8ivg.cloudfront.net/Documentos/631/06110154393/6310611015439306092023194628.pdf</v>
      </c>
      <c r="F2883" s="5" t="str">
        <f>HYPERLINK("https://dpmzos25m8ivg.cloudfront.net/Documentos/631/06110154393/6310611015439306092023194714.pdf","https://dpmzos25m8ivg.cloudfront.net/Documentos/631/06110154393/6310611015439306092023194714.pdf")</f>
        <v>https://dpmzos25m8ivg.cloudfront.net/Documentos/631/06110154393/6310611015439306092023194714.pdf</v>
      </c>
      <c r="G2883" s="5" t="str">
        <f>HYPERLINK("https://dpmzos25m8ivg.cloudfront.net/Documentos/631/06110154393/6310611015439306092023194737.pdf","https://dpmzos25m8ivg.cloudfront.net/Documentos/631/06110154393/6310611015439306092023194737.pdf")</f>
        <v>https://dpmzos25m8ivg.cloudfront.net/Documentos/631/06110154393/6310611015439306092023194737.pdf</v>
      </c>
      <c r="H2883" s="5" t="s">
        <v>11461</v>
      </c>
    </row>
    <row r="2884" spans="1:8" x14ac:dyDescent="0.25">
      <c r="A2884" s="2" t="s">
        <v>2901</v>
      </c>
      <c r="B2884" s="3"/>
      <c r="C2884" s="3"/>
      <c r="D2884" s="3"/>
      <c r="E2884" s="5" t="str">
        <f>HYPERLINK("https://dpmzos25m8ivg.cloudfront.net/Documentos/631/06114958560/6310611495856011092023125045.jpg","https://dpmzos25m8ivg.cloudfront.net/Documentos/631/06114958560/6310611495856011092023125045.jpg")</f>
        <v>https://dpmzos25m8ivg.cloudfront.net/Documentos/631/06114958560/6310611495856011092023125045.jpg</v>
      </c>
      <c r="F2884" s="5" t="str">
        <f>HYPERLINK("https://dpmzos25m8ivg.cloudfront.net/Documentos/631/06114958560/6310611495856011092023125056.jpg","https://dpmzos25m8ivg.cloudfront.net/Documentos/631/06114958560/6310611495856011092023125056.jpg")</f>
        <v>https://dpmzos25m8ivg.cloudfront.net/Documentos/631/06114958560/6310611495856011092023125056.jpg</v>
      </c>
      <c r="G2884" s="5" t="str">
        <f>HYPERLINK("https://dpmzos25m8ivg.cloudfront.net/Documentos/631/06114958560/6310611495856011092023125105.jpg","https://dpmzos25m8ivg.cloudfront.net/Documentos/631/06114958560/6310611495856011092023125105.jpg")</f>
        <v>https://dpmzos25m8ivg.cloudfront.net/Documentos/631/06114958560/6310611495856011092023125105.jpg</v>
      </c>
      <c r="H2884" s="5" t="s">
        <v>11462</v>
      </c>
    </row>
    <row r="2885" spans="1:8" x14ac:dyDescent="0.25">
      <c r="A2885" s="2" t="s">
        <v>2902</v>
      </c>
      <c r="B2885" s="3"/>
      <c r="C2885" s="3"/>
      <c r="D2885" s="3"/>
      <c r="E2885" s="5" t="str">
        <f>HYPERLINK("https://dpmzos25m8ivg.cloudfront.net/Documentos/631/06116420346/6310611642034611092023104837.pdf","https://dpmzos25m8ivg.cloudfront.net/Documentos/631/06116420346/6310611642034611092023104837.pdf")</f>
        <v>https://dpmzos25m8ivg.cloudfront.net/Documentos/631/06116420346/6310611642034611092023104837.pdf</v>
      </c>
      <c r="F2885" s="5" t="str">
        <f>HYPERLINK("https://dpmzos25m8ivg.cloudfront.net/Documentos/631/06116420346/6310611642034611092023104853.pdf","https://dpmzos25m8ivg.cloudfront.net/Documentos/631/06116420346/6310611642034611092023104853.pdf")</f>
        <v>https://dpmzos25m8ivg.cloudfront.net/Documentos/631/06116420346/6310611642034611092023104853.pdf</v>
      </c>
      <c r="G2885" s="5" t="str">
        <f>HYPERLINK("https://dpmzos25m8ivg.cloudfront.net/Documentos/631/06116420346/6310611642034611092023104904.pdf","https://dpmzos25m8ivg.cloudfront.net/Documentos/631/06116420346/6310611642034611092023104904.pdf")</f>
        <v>https://dpmzos25m8ivg.cloudfront.net/Documentos/631/06116420346/6310611642034611092023104904.pdf</v>
      </c>
      <c r="H2885" s="5" t="s">
        <v>11463</v>
      </c>
    </row>
    <row r="2886" spans="1:8" x14ac:dyDescent="0.25">
      <c r="A2886" s="2" t="s">
        <v>2903</v>
      </c>
      <c r="B2886" s="3"/>
      <c r="C2886" s="3"/>
      <c r="D2886" s="3"/>
      <c r="E2886" s="5" t="str">
        <f>HYPERLINK("https://dpmzos25m8ivg.cloudfront.net/Documentos/631/06119449361/6310611944936111092023155725.pdf","https://dpmzos25m8ivg.cloudfront.net/Documentos/631/06119449361/6310611944936111092023155725.pdf")</f>
        <v>https://dpmzos25m8ivg.cloudfront.net/Documentos/631/06119449361/6310611944936111092023155725.pdf</v>
      </c>
      <c r="F2886" s="5" t="str">
        <f>HYPERLINK("https://dpmzos25m8ivg.cloudfront.net/Documentos/631/06119449361/6310611944936111092023155737.pdf","https://dpmzos25m8ivg.cloudfront.net/Documentos/631/06119449361/6310611944936111092023155737.pdf")</f>
        <v>https://dpmzos25m8ivg.cloudfront.net/Documentos/631/06119449361/6310611944936111092023155737.pdf</v>
      </c>
      <c r="G2886" s="5" t="str">
        <f>HYPERLINK("https://dpmzos25m8ivg.cloudfront.net/Documentos/631/06119449361/6310611944936111092023155755.pdf","https://dpmzos25m8ivg.cloudfront.net/Documentos/631/06119449361/6310611944936111092023155755.pdf")</f>
        <v>https://dpmzos25m8ivg.cloudfront.net/Documentos/631/06119449361/6310611944936111092023155755.pdf</v>
      </c>
      <c r="H2886" s="5" t="s">
        <v>11464</v>
      </c>
    </row>
    <row r="2887" spans="1:8" x14ac:dyDescent="0.25">
      <c r="A2887" s="2" t="s">
        <v>2904</v>
      </c>
      <c r="B2887" s="3"/>
      <c r="C2887" s="3"/>
      <c r="D2887" s="3"/>
      <c r="E2887" s="5" t="str">
        <f>HYPERLINK("https://dpmzos25m8ivg.cloudfront.net/Documentos/631/06120365966/6310612036596607092023155338.pdf","https://dpmzos25m8ivg.cloudfront.net/Documentos/631/06120365966/6310612036596607092023155338.pdf")</f>
        <v>https://dpmzos25m8ivg.cloudfront.net/Documentos/631/06120365966/6310612036596607092023155338.pdf</v>
      </c>
      <c r="F2887" s="5" t="str">
        <f>HYPERLINK("https://dpmzos25m8ivg.cloudfront.net/Documentos/631/06120365966/6310612036596607092023155352.pdf","https://dpmzos25m8ivg.cloudfront.net/Documentos/631/06120365966/6310612036596607092023155352.pdf")</f>
        <v>https://dpmzos25m8ivg.cloudfront.net/Documentos/631/06120365966/6310612036596607092023155352.pdf</v>
      </c>
      <c r="G2887" s="5" t="str">
        <f>HYPERLINK("https://dpmzos25m8ivg.cloudfront.net/Documentos/631/06120365966/6310612036596607092023155403.pdf","https://dpmzos25m8ivg.cloudfront.net/Documentos/631/06120365966/6310612036596607092023155403.pdf")</f>
        <v>https://dpmzos25m8ivg.cloudfront.net/Documentos/631/06120365966/6310612036596607092023155403.pdf</v>
      </c>
      <c r="H2887" s="5" t="s">
        <v>11465</v>
      </c>
    </row>
    <row r="2888" spans="1:8" x14ac:dyDescent="0.25">
      <c r="A2888" s="2" t="s">
        <v>2905</v>
      </c>
      <c r="B2888" s="3"/>
      <c r="C2888" s="3"/>
      <c r="D2888" s="3"/>
      <c r="E2888" s="5" t="str">
        <f>HYPERLINK("https://dpmzos25m8ivg.cloudfront.net/Documentos/631/06120373128/6310612037312813092023203203.pdf","https://dpmzos25m8ivg.cloudfront.net/Documentos/631/06120373128/6310612037312813092023203203.pdf")</f>
        <v>https://dpmzos25m8ivg.cloudfront.net/Documentos/631/06120373128/6310612037312813092023203203.pdf</v>
      </c>
      <c r="F2888" s="5" t="str">
        <f>HYPERLINK("https://dpmzos25m8ivg.cloudfront.net/Documentos/631/06120373128/6310612037312813092023203215.pdf","https://dpmzos25m8ivg.cloudfront.net/Documentos/631/06120373128/6310612037312813092023203215.pdf")</f>
        <v>https://dpmzos25m8ivg.cloudfront.net/Documentos/631/06120373128/6310612037312813092023203215.pdf</v>
      </c>
      <c r="G2888" s="5" t="str">
        <f>HYPERLINK("https://dpmzos25m8ivg.cloudfront.net/Documentos/631/06120373128/6310612037312813092023203234.pdf","https://dpmzos25m8ivg.cloudfront.net/Documentos/631/06120373128/6310612037312813092023203234.pdf")</f>
        <v>https://dpmzos25m8ivg.cloudfront.net/Documentos/631/06120373128/6310612037312813092023203234.pdf</v>
      </c>
      <c r="H2888" s="5" t="s">
        <v>11466</v>
      </c>
    </row>
    <row r="2889" spans="1:8" x14ac:dyDescent="0.25">
      <c r="A2889" s="2" t="s">
        <v>2906</v>
      </c>
      <c r="B2889" s="3"/>
      <c r="C2889" s="3"/>
      <c r="D2889" s="3"/>
      <c r="E2889" s="5" t="str">
        <f>HYPERLINK("https://dpmzos25m8ivg.cloudfront.net/Documentos/631/06124431599/6310612443159911092023153648.pdf","https://dpmzos25m8ivg.cloudfront.net/Documentos/631/06124431599/6310612443159911092023153648.pdf")</f>
        <v>https://dpmzos25m8ivg.cloudfront.net/Documentos/631/06124431599/6310612443159911092023153648.pdf</v>
      </c>
      <c r="F2889" s="5" t="str">
        <f>HYPERLINK("https://dpmzos25m8ivg.cloudfront.net/Documentos/631/06124431599/6310612443159911092023153701.pdf","https://dpmzos25m8ivg.cloudfront.net/Documentos/631/06124431599/6310612443159911092023153701.pdf")</f>
        <v>https://dpmzos25m8ivg.cloudfront.net/Documentos/631/06124431599/6310612443159911092023153701.pdf</v>
      </c>
      <c r="G2889" s="5" t="str">
        <f>HYPERLINK("https://dpmzos25m8ivg.cloudfront.net/Documentos/631/06124431599/6310612443159911092023153714.pdf","https://dpmzos25m8ivg.cloudfront.net/Documentos/631/06124431599/6310612443159911092023153714.pdf")</f>
        <v>https://dpmzos25m8ivg.cloudfront.net/Documentos/631/06124431599/6310612443159911092023153714.pdf</v>
      </c>
      <c r="H2889" s="5" t="s">
        <v>11467</v>
      </c>
    </row>
    <row r="2890" spans="1:8" x14ac:dyDescent="0.25">
      <c r="A2890" s="2" t="s">
        <v>2907</v>
      </c>
      <c r="B2890" s="3"/>
      <c r="C2890" s="3"/>
      <c r="D2890" s="3"/>
      <c r="E2890" s="5" t="str">
        <f>HYPERLINK("https://dpmzos25m8ivg.cloudfront.net/Documentos/631/06128648398/6310612864839811092023074632.pdf","https://dpmzos25m8ivg.cloudfront.net/Documentos/631/06128648398/6310612864839811092023074632.pdf")</f>
        <v>https://dpmzos25m8ivg.cloudfront.net/Documentos/631/06128648398/6310612864839811092023074632.pdf</v>
      </c>
      <c r="F2890" s="5" t="str">
        <f>HYPERLINK("https://dpmzos25m8ivg.cloudfront.net/Documentos/631/06128648398/6310612864839811092023110639.pdf","https://dpmzos25m8ivg.cloudfront.net/Documentos/631/06128648398/6310612864839811092023110639.pdf")</f>
        <v>https://dpmzos25m8ivg.cloudfront.net/Documentos/631/06128648398/6310612864839811092023110639.pdf</v>
      </c>
      <c r="G2890" s="5" t="str">
        <f>HYPERLINK("https://dpmzos25m8ivg.cloudfront.net/Documentos/631/06128648398/6310612864839811092023074712.pdf","https://dpmzos25m8ivg.cloudfront.net/Documentos/631/06128648398/6310612864839811092023074712.pdf")</f>
        <v>https://dpmzos25m8ivg.cloudfront.net/Documentos/631/06128648398/6310612864839811092023074712.pdf</v>
      </c>
      <c r="H2890" s="5" t="s">
        <v>11468</v>
      </c>
    </row>
    <row r="2891" spans="1:8" x14ac:dyDescent="0.25">
      <c r="A2891" s="2" t="s">
        <v>2908</v>
      </c>
      <c r="B2891" s="3"/>
      <c r="C2891" s="3"/>
      <c r="D2891" s="3"/>
      <c r="E2891" s="5" t="str">
        <f>HYPERLINK("https://dpmzos25m8ivg.cloudfront.net/Documentos/631/06128697178/6310612869717811092023133715.pdf","https://dpmzos25m8ivg.cloudfront.net/Documentos/631/06128697178/6310612869717811092023133715.pdf")</f>
        <v>https://dpmzos25m8ivg.cloudfront.net/Documentos/631/06128697178/6310612869717811092023133715.pdf</v>
      </c>
      <c r="F2891" s="5" t="str">
        <f>HYPERLINK("https://dpmzos25m8ivg.cloudfront.net/Documentos/631/06128697178/6310612869717811092023133737.pdf","https://dpmzos25m8ivg.cloudfront.net/Documentos/631/06128697178/6310612869717811092023133737.pdf")</f>
        <v>https://dpmzos25m8ivg.cloudfront.net/Documentos/631/06128697178/6310612869717811092023133737.pdf</v>
      </c>
      <c r="G2891" s="5" t="str">
        <f>HYPERLINK("https://dpmzos25m8ivg.cloudfront.net/Documentos/631/06128697178/6310612869717811092023133756.pdf","https://dpmzos25m8ivg.cloudfront.net/Documentos/631/06128697178/6310612869717811092023133756.pdf")</f>
        <v>https://dpmzos25m8ivg.cloudfront.net/Documentos/631/06128697178/6310612869717811092023133756.pdf</v>
      </c>
      <c r="H2891" s="5" t="s">
        <v>11469</v>
      </c>
    </row>
    <row r="2892" spans="1:8" x14ac:dyDescent="0.25">
      <c r="A2892" s="2" t="s">
        <v>2909</v>
      </c>
      <c r="B2892" s="3" t="s">
        <v>2358</v>
      </c>
      <c r="C2892" s="3"/>
      <c r="D2892" s="3"/>
      <c r="E2892" s="5" t="str">
        <f>HYPERLINK("https://dpmzos25m8ivg.cloudfront.net/Documentos/631/06131635757/6310613163575706092023160143.jpeg","https://dpmzos25m8ivg.cloudfront.net/Documentos/631/06131635757/6310613163575706092023160143.jpeg")</f>
        <v>https://dpmzos25m8ivg.cloudfront.net/Documentos/631/06131635757/6310613163575706092023160143.jpeg</v>
      </c>
      <c r="F2892" s="5" t="str">
        <f>HYPERLINK("https://dpmzos25m8ivg.cloudfront.net/Documentos/631/06131635757/6310613163575706092023160155.jpeg","https://dpmzos25m8ivg.cloudfront.net/Documentos/631/06131635757/6310613163575706092023160155.jpeg")</f>
        <v>https://dpmzos25m8ivg.cloudfront.net/Documentos/631/06131635757/6310613163575706092023160155.jpeg</v>
      </c>
      <c r="G2892" s="5" t="str">
        <f>HYPERLINK("https://dpmzos25m8ivg.cloudfront.net/Documentos/631/06131635757/6310613163575706092023160215.jpeg","https://dpmzos25m8ivg.cloudfront.net/Documentos/631/06131635757/6310613163575706092023160215.jpeg")</f>
        <v>https://dpmzos25m8ivg.cloudfront.net/Documentos/631/06131635757/6310613163575706092023160215.jpeg</v>
      </c>
      <c r="H2892" s="5" t="s">
        <v>11470</v>
      </c>
    </row>
    <row r="2893" spans="1:8" x14ac:dyDescent="0.25">
      <c r="A2893" s="2" t="s">
        <v>2910</v>
      </c>
      <c r="B2893" s="3" t="s">
        <v>8</v>
      </c>
      <c r="C2893" s="3"/>
      <c r="D2893" s="3"/>
      <c r="E2893" s="5" t="str">
        <f>HYPERLINK("https://dpmzos25m8ivg.cloudfront.net/Documentos/631/06135100467/6310613510046711092023165923.jpeg","https://dpmzos25m8ivg.cloudfront.net/Documentos/631/06135100467/6310613510046711092023165923.jpeg")</f>
        <v>https://dpmzos25m8ivg.cloudfront.net/Documentos/631/06135100467/6310613510046711092023165923.jpeg</v>
      </c>
      <c r="F2893" s="5" t="str">
        <f>HYPERLINK("https://dpmzos25m8ivg.cloudfront.net/Documentos/631/06135100467/6310613510046711092023165931.jpeg","https://dpmzos25m8ivg.cloudfront.net/Documentos/631/06135100467/6310613510046711092023165931.jpeg")</f>
        <v>https://dpmzos25m8ivg.cloudfront.net/Documentos/631/06135100467/6310613510046711092023165931.jpeg</v>
      </c>
      <c r="G2893" s="5" t="str">
        <f>HYPERLINK("https://dpmzos25m8ivg.cloudfront.net/Documentos/631/06135100467/6310613510046711092023165939.jpeg","https://dpmzos25m8ivg.cloudfront.net/Documentos/631/06135100467/6310613510046711092023165939.jpeg")</f>
        <v>https://dpmzos25m8ivg.cloudfront.net/Documentos/631/06135100467/6310613510046711092023165939.jpeg</v>
      </c>
      <c r="H2893" s="5" t="s">
        <v>11471</v>
      </c>
    </row>
    <row r="2894" spans="1:8" x14ac:dyDescent="0.25">
      <c r="A2894" s="2" t="s">
        <v>2911</v>
      </c>
      <c r="B2894" s="3"/>
      <c r="C2894" s="3"/>
      <c r="D2894" s="3"/>
      <c r="E2894" s="5" t="str">
        <f>HYPERLINK("https://dpmzos25m8ivg.cloudfront.net/Documentos/631/06139617901/6310613961790105092023145801.pdf","https://dpmzos25m8ivg.cloudfront.net/Documentos/631/06139617901/6310613961790105092023145801.pdf")</f>
        <v>https://dpmzos25m8ivg.cloudfront.net/Documentos/631/06139617901/6310613961790105092023145801.pdf</v>
      </c>
      <c r="F2894" s="5" t="str">
        <f>HYPERLINK("https://dpmzos25m8ivg.cloudfront.net/Documentos/631/06139617901/6310613961790105092023145812.pdf","https://dpmzos25m8ivg.cloudfront.net/Documentos/631/06139617901/6310613961790105092023145812.pdf")</f>
        <v>https://dpmzos25m8ivg.cloudfront.net/Documentos/631/06139617901/6310613961790105092023145812.pdf</v>
      </c>
      <c r="G2894" s="5" t="str">
        <f>HYPERLINK("https://dpmzos25m8ivg.cloudfront.net/Documentos/631/06139617901/6310613961790105092023145821.pdf","https://dpmzos25m8ivg.cloudfront.net/Documentos/631/06139617901/6310613961790105092023145821.pdf")</f>
        <v>https://dpmzos25m8ivg.cloudfront.net/Documentos/631/06139617901/6310613961790105092023145821.pdf</v>
      </c>
      <c r="H2894" s="5" t="s">
        <v>11472</v>
      </c>
    </row>
    <row r="2895" spans="1:8" x14ac:dyDescent="0.25">
      <c r="A2895" s="2" t="s">
        <v>2912</v>
      </c>
      <c r="B2895" s="3"/>
      <c r="C2895" s="3"/>
      <c r="D2895" s="3"/>
      <c r="E2895" s="5" t="str">
        <f>HYPERLINK("https://dpmzos25m8ivg.cloudfront.net/Documentos/631/06141538320/6310614153832011092023133655.pdf","https://dpmzos25m8ivg.cloudfront.net/Documentos/631/06141538320/6310614153832011092023133655.pdf")</f>
        <v>https://dpmzos25m8ivg.cloudfront.net/Documentos/631/06141538320/6310614153832011092023133655.pdf</v>
      </c>
      <c r="F2895" s="5" t="str">
        <f>HYPERLINK("https://dpmzos25m8ivg.cloudfront.net/Documentos/631/06141538320/6310614153832011092023133709.pdf","https://dpmzos25m8ivg.cloudfront.net/Documentos/631/06141538320/6310614153832011092023133709.pdf")</f>
        <v>https://dpmzos25m8ivg.cloudfront.net/Documentos/631/06141538320/6310614153832011092023133709.pdf</v>
      </c>
      <c r="G2895" s="5" t="str">
        <f>HYPERLINK("https://dpmzos25m8ivg.cloudfront.net/Documentos/631/06141538320/6310614153832011092023133722.pdf","https://dpmzos25m8ivg.cloudfront.net/Documentos/631/06141538320/6310614153832011092023133722.pdf")</f>
        <v>https://dpmzos25m8ivg.cloudfront.net/Documentos/631/06141538320/6310614153832011092023133722.pdf</v>
      </c>
      <c r="H2895" s="5" t="s">
        <v>11473</v>
      </c>
    </row>
    <row r="2896" spans="1:8" x14ac:dyDescent="0.25">
      <c r="A2896" s="2" t="s">
        <v>2913</v>
      </c>
      <c r="B2896" s="3"/>
      <c r="C2896" s="3"/>
      <c r="D2896" s="3"/>
      <c r="E2896" s="5" t="str">
        <f>HYPERLINK("https://dpmzos25m8ivg.cloudfront.net/Documentos/631/06143243190/6310614324319013092023174447.pdf","https://dpmzos25m8ivg.cloudfront.net/Documentos/631/06143243190/6310614324319013092023174447.pdf")</f>
        <v>https://dpmzos25m8ivg.cloudfront.net/Documentos/631/06143243190/6310614324319013092023174447.pdf</v>
      </c>
      <c r="F2896" s="5" t="str">
        <f>HYPERLINK("https://dpmzos25m8ivg.cloudfront.net/Documentos/631/06143243190/6310614324319013092023174513.pdf","https://dpmzos25m8ivg.cloudfront.net/Documentos/631/06143243190/6310614324319013092023174513.pdf")</f>
        <v>https://dpmzos25m8ivg.cloudfront.net/Documentos/631/06143243190/6310614324319013092023174513.pdf</v>
      </c>
      <c r="G2896" s="5" t="str">
        <f>HYPERLINK("https://dpmzos25m8ivg.cloudfront.net/Documentos/631/06143243190/6310614324319013092023174541.pdf","https://dpmzos25m8ivg.cloudfront.net/Documentos/631/06143243190/6310614324319013092023174541.pdf")</f>
        <v>https://dpmzos25m8ivg.cloudfront.net/Documentos/631/06143243190/6310614324319013092023174541.pdf</v>
      </c>
      <c r="H2896" s="5" t="s">
        <v>11474</v>
      </c>
    </row>
    <row r="2897" spans="1:8" x14ac:dyDescent="0.25">
      <c r="A2897" s="2" t="s">
        <v>2914</v>
      </c>
      <c r="B2897" s="3"/>
      <c r="C2897" s="3"/>
      <c r="D2897" s="3"/>
      <c r="E2897" s="5" t="str">
        <f>HYPERLINK("https://dpmzos25m8ivg.cloudfront.net/Documentos/631/06143409340/6310614340934005092023145440.pdf","https://dpmzos25m8ivg.cloudfront.net/Documentos/631/06143409340/6310614340934005092023145440.pdf")</f>
        <v>https://dpmzos25m8ivg.cloudfront.net/Documentos/631/06143409340/6310614340934005092023145440.pdf</v>
      </c>
      <c r="F2897" s="5" t="str">
        <f>HYPERLINK("https://dpmzos25m8ivg.cloudfront.net/Documentos/631/06143409340/6310614340934005092023145451.pdf","https://dpmzos25m8ivg.cloudfront.net/Documentos/631/06143409340/6310614340934005092023145451.pdf")</f>
        <v>https://dpmzos25m8ivg.cloudfront.net/Documentos/631/06143409340/6310614340934005092023145451.pdf</v>
      </c>
      <c r="G2897" s="5" t="str">
        <f>HYPERLINK("https://dpmzos25m8ivg.cloudfront.net/Documentos/631/06143409340/6310614340934005092023145502.pdf","https://dpmzos25m8ivg.cloudfront.net/Documentos/631/06143409340/6310614340934005092023145502.pdf")</f>
        <v>https://dpmzos25m8ivg.cloudfront.net/Documentos/631/06143409340/6310614340934005092023145502.pdf</v>
      </c>
      <c r="H2897" s="5" t="s">
        <v>11475</v>
      </c>
    </row>
    <row r="2898" spans="1:8" x14ac:dyDescent="0.25">
      <c r="A2898" s="2" t="s">
        <v>2915</v>
      </c>
      <c r="B2898" s="3"/>
      <c r="C2898" s="3"/>
      <c r="D2898" s="3"/>
      <c r="E2898" s="5" t="str">
        <f>HYPERLINK("https://dpmzos25m8ivg.cloudfront.net/Documentos/631/06144236198/6310614423619811092023083115.pdf","https://dpmzos25m8ivg.cloudfront.net/Documentos/631/06144236198/6310614423619811092023083115.pdf")</f>
        <v>https://dpmzos25m8ivg.cloudfront.net/Documentos/631/06144236198/6310614423619811092023083115.pdf</v>
      </c>
      <c r="F2898" s="5" t="str">
        <f>HYPERLINK("https://dpmzos25m8ivg.cloudfront.net/Documentos/631/06144236198/6310614423619811092023083203.pdf","https://dpmzos25m8ivg.cloudfront.net/Documentos/631/06144236198/6310614423619811092023083203.pdf")</f>
        <v>https://dpmzos25m8ivg.cloudfront.net/Documentos/631/06144236198/6310614423619811092023083203.pdf</v>
      </c>
      <c r="G2898" s="5" t="str">
        <f>HYPERLINK("https://dpmzos25m8ivg.cloudfront.net/Documentos/631/06144236198/6310614423619811092023083227.pdf","https://dpmzos25m8ivg.cloudfront.net/Documentos/631/06144236198/6310614423619811092023083227.pdf")</f>
        <v>https://dpmzos25m8ivg.cloudfront.net/Documentos/631/06144236198/6310614423619811092023083227.pdf</v>
      </c>
      <c r="H2898" s="5" t="s">
        <v>11476</v>
      </c>
    </row>
    <row r="2899" spans="1:8" x14ac:dyDescent="0.25">
      <c r="A2899" s="2" t="s">
        <v>2916</v>
      </c>
      <c r="B2899" s="3"/>
      <c r="C2899" s="3"/>
      <c r="D2899" s="3"/>
      <c r="E2899" s="5" t="str">
        <f>HYPERLINK("https://dpmzos25m8ivg.cloudfront.net/Documentos/631/06145495154/6310614549515410092023121045.pdf","https://dpmzos25m8ivg.cloudfront.net/Documentos/631/06145495154/6310614549515410092023121045.pdf")</f>
        <v>https://dpmzos25m8ivg.cloudfront.net/Documentos/631/06145495154/6310614549515410092023121045.pdf</v>
      </c>
      <c r="F2899" s="5" t="str">
        <f>HYPERLINK("https://dpmzos25m8ivg.cloudfront.net/Documentos/631/06145495154/6310614549515410092023121058.pdf","https://dpmzos25m8ivg.cloudfront.net/Documentos/631/06145495154/6310614549515410092023121058.pdf")</f>
        <v>https://dpmzos25m8ivg.cloudfront.net/Documentos/631/06145495154/6310614549515410092023121058.pdf</v>
      </c>
      <c r="G2899" s="5" t="str">
        <f>HYPERLINK("https://dpmzos25m8ivg.cloudfront.net/Documentos/631/06145495154/6310614549515410092023121111.pdf","https://dpmzos25m8ivg.cloudfront.net/Documentos/631/06145495154/6310614549515410092023121111.pdf")</f>
        <v>https://dpmzos25m8ivg.cloudfront.net/Documentos/631/06145495154/6310614549515410092023121111.pdf</v>
      </c>
      <c r="H2899" s="5" t="s">
        <v>11477</v>
      </c>
    </row>
    <row r="2900" spans="1:8" x14ac:dyDescent="0.25">
      <c r="A2900" s="2" t="s">
        <v>2917</v>
      </c>
      <c r="B2900" s="3"/>
      <c r="C2900" s="3"/>
      <c r="D2900" s="3"/>
      <c r="E2900" s="5" t="str">
        <f>HYPERLINK("https://dpmzos25m8ivg.cloudfront.net/Documentos/631/06146445428/6310614644542813092023115406.pdf","https://dpmzos25m8ivg.cloudfront.net/Documentos/631/06146445428/6310614644542813092023115406.pdf")</f>
        <v>https://dpmzos25m8ivg.cloudfront.net/Documentos/631/06146445428/6310614644542813092023115406.pdf</v>
      </c>
      <c r="F2900" s="5" t="str">
        <f>HYPERLINK("https://dpmzos25m8ivg.cloudfront.net/Documentos/631/06146445428/6310614644542813092023115422.pdf","https://dpmzos25m8ivg.cloudfront.net/Documentos/631/06146445428/6310614644542813092023115422.pdf")</f>
        <v>https://dpmzos25m8ivg.cloudfront.net/Documentos/631/06146445428/6310614644542813092023115422.pdf</v>
      </c>
      <c r="G2900" s="5" t="str">
        <f>HYPERLINK("https://dpmzos25m8ivg.cloudfront.net/Documentos/631/06146445428/6310614644542813092023115440.pdf","https://dpmzos25m8ivg.cloudfront.net/Documentos/631/06146445428/6310614644542813092023115440.pdf")</f>
        <v>https://dpmzos25m8ivg.cloudfront.net/Documentos/631/06146445428/6310614644542813092023115440.pdf</v>
      </c>
      <c r="H2900" s="5" t="s">
        <v>11478</v>
      </c>
    </row>
    <row r="2901" spans="1:8" x14ac:dyDescent="0.25">
      <c r="A2901" s="2" t="s">
        <v>2918</v>
      </c>
      <c r="B2901" s="3"/>
      <c r="C2901" s="3"/>
      <c r="D2901" s="3"/>
      <c r="E2901" s="5" t="str">
        <f>HYPERLINK("https://dpmzos25m8ivg.cloudfront.net/Documentos/631/06146816345/6310614681634514092023160307.pdf","https://dpmzos25m8ivg.cloudfront.net/Documentos/631/06146816345/6310614681634514092023160307.pdf")</f>
        <v>https://dpmzos25m8ivg.cloudfront.net/Documentos/631/06146816345/6310614681634514092023160307.pdf</v>
      </c>
      <c r="F2901" s="5" t="str">
        <f>HYPERLINK("https://dpmzos25m8ivg.cloudfront.net/Documentos/631/06146816345/6310614681634514092023160245.pdf","https://dpmzos25m8ivg.cloudfront.net/Documentos/631/06146816345/6310614681634514092023160245.pdf")</f>
        <v>https://dpmzos25m8ivg.cloudfront.net/Documentos/631/06146816345/6310614681634514092023160245.pdf</v>
      </c>
      <c r="G2901" s="5" t="str">
        <f>HYPERLINK("https://dpmzos25m8ivg.cloudfront.net/Documentos/631/06146816345/6310614681634514092023160215.pdf","https://dpmzos25m8ivg.cloudfront.net/Documentos/631/06146816345/6310614681634514092023160215.pdf")</f>
        <v>https://dpmzos25m8ivg.cloudfront.net/Documentos/631/06146816345/6310614681634514092023160215.pdf</v>
      </c>
      <c r="H2901" s="5" t="s">
        <v>11479</v>
      </c>
    </row>
    <row r="2902" spans="1:8" x14ac:dyDescent="0.25">
      <c r="A2902" s="2" t="s">
        <v>2919</v>
      </c>
      <c r="B2902" s="3" t="s">
        <v>8</v>
      </c>
      <c r="C2902" s="3"/>
      <c r="D2902" s="3"/>
      <c r="E2902" s="5" t="str">
        <f>HYPERLINK("https://dpmzos25m8ivg.cloudfront.net/Documentos/631/06147078542/6310614707854211092023143454.pdf","https://dpmzos25m8ivg.cloudfront.net/Documentos/631/06147078542/6310614707854211092023143454.pdf")</f>
        <v>https://dpmzos25m8ivg.cloudfront.net/Documentos/631/06147078542/6310614707854211092023143454.pdf</v>
      </c>
      <c r="F2902" s="5" t="str">
        <f>HYPERLINK("https://dpmzos25m8ivg.cloudfront.net/Documentos/631/06147078542/6310614707854211092023143507.pdf","https://dpmzos25m8ivg.cloudfront.net/Documentos/631/06147078542/6310614707854211092023143507.pdf")</f>
        <v>https://dpmzos25m8ivg.cloudfront.net/Documentos/631/06147078542/6310614707854211092023143507.pdf</v>
      </c>
      <c r="G2902" s="5" t="str">
        <f>HYPERLINK("https://dpmzos25m8ivg.cloudfront.net/Documentos/631/06147078542/6310614707854211092023143518.pdf","https://dpmzos25m8ivg.cloudfront.net/Documentos/631/06147078542/6310614707854211092023143518.pdf")</f>
        <v>https://dpmzos25m8ivg.cloudfront.net/Documentos/631/06147078542/6310614707854211092023143518.pdf</v>
      </c>
      <c r="H2902" s="5" t="s">
        <v>11480</v>
      </c>
    </row>
    <row r="2903" spans="1:8" x14ac:dyDescent="0.25">
      <c r="A2903" s="2" t="s">
        <v>2920</v>
      </c>
      <c r="B2903" s="3"/>
      <c r="C2903" s="3"/>
      <c r="D2903" s="3"/>
      <c r="E2903" s="5" t="str">
        <f>HYPERLINK("https://dpmzos25m8ivg.cloudfront.net/Documentos/631/06147163736/6310614716373606092023140819.jpg","https://dpmzos25m8ivg.cloudfront.net/Documentos/631/06147163736/6310614716373606092023140819.jpg")</f>
        <v>https://dpmzos25m8ivg.cloudfront.net/Documentos/631/06147163736/6310614716373606092023140819.jpg</v>
      </c>
      <c r="F2903" s="5" t="str">
        <f>HYPERLINK("https://dpmzos25m8ivg.cloudfront.net/Documentos/631/06147163736/6310614716373606092023140841.jpg","https://dpmzos25m8ivg.cloudfront.net/Documentos/631/06147163736/6310614716373606092023140841.jpg")</f>
        <v>https://dpmzos25m8ivg.cloudfront.net/Documentos/631/06147163736/6310614716373606092023140841.jpg</v>
      </c>
      <c r="G2903" s="5" t="str">
        <f>HYPERLINK("https://dpmzos25m8ivg.cloudfront.net/Documentos/631/06147163736/6310614716373606092023140951.jpg","https://dpmzos25m8ivg.cloudfront.net/Documentos/631/06147163736/6310614716373606092023140951.jpg")</f>
        <v>https://dpmzos25m8ivg.cloudfront.net/Documentos/631/06147163736/6310614716373606092023140951.jpg</v>
      </c>
      <c r="H2903" s="5" t="s">
        <v>11481</v>
      </c>
    </row>
    <row r="2904" spans="1:8" x14ac:dyDescent="0.25">
      <c r="A2904" s="2" t="s">
        <v>2921</v>
      </c>
      <c r="B2904" s="3"/>
      <c r="C2904" s="3"/>
      <c r="D2904" s="3"/>
      <c r="E2904" s="5" t="str">
        <f>HYPERLINK("https://dpmzos25m8ivg.cloudfront.net/Documentos/631/06147301128/6310614730112808092023105044.jpeg","https://dpmzos25m8ivg.cloudfront.net/Documentos/631/06147301128/6310614730112808092023105044.jpeg")</f>
        <v>https://dpmzos25m8ivg.cloudfront.net/Documentos/631/06147301128/6310614730112808092023105044.jpeg</v>
      </c>
      <c r="F2904" s="5" t="str">
        <f>HYPERLINK("https://dpmzos25m8ivg.cloudfront.net/Documentos/631/06147301128/6310614730112808092023105057.jpeg","https://dpmzos25m8ivg.cloudfront.net/Documentos/631/06147301128/6310614730112808092023105057.jpeg")</f>
        <v>https://dpmzos25m8ivg.cloudfront.net/Documentos/631/06147301128/6310614730112808092023105057.jpeg</v>
      </c>
      <c r="G2904" s="5" t="str">
        <f>HYPERLINK("https://dpmzos25m8ivg.cloudfront.net/Documentos/631/06147301128/6310614730112808092023105106.jpeg","https://dpmzos25m8ivg.cloudfront.net/Documentos/631/06147301128/6310614730112808092023105106.jpeg")</f>
        <v>https://dpmzos25m8ivg.cloudfront.net/Documentos/631/06147301128/6310614730112808092023105106.jpeg</v>
      </c>
      <c r="H2904" s="5" t="s">
        <v>11482</v>
      </c>
    </row>
    <row r="2905" spans="1:8" x14ac:dyDescent="0.25">
      <c r="A2905" s="2" t="s">
        <v>2922</v>
      </c>
      <c r="B2905" s="3" t="s">
        <v>2358</v>
      </c>
      <c r="C2905" s="3"/>
      <c r="D2905" s="3"/>
      <c r="E2905" s="5" t="str">
        <f>HYPERLINK("https://dpmzos25m8ivg.cloudfront.net/Documentos/631/06148105586/6310614810558605092023193130.pdf","https://dpmzos25m8ivg.cloudfront.net/Documentos/631/06148105586/6310614810558605092023193130.pdf")</f>
        <v>https://dpmzos25m8ivg.cloudfront.net/Documentos/631/06148105586/6310614810558605092023193130.pdf</v>
      </c>
      <c r="F2905" s="5" t="str">
        <f>HYPERLINK("https://dpmzos25m8ivg.cloudfront.net/Documentos/631/06148105586/6310614810558605092023193140.pdf","https://dpmzos25m8ivg.cloudfront.net/Documentos/631/06148105586/6310614810558605092023193140.pdf")</f>
        <v>https://dpmzos25m8ivg.cloudfront.net/Documentos/631/06148105586/6310614810558605092023193140.pdf</v>
      </c>
      <c r="G2905" s="5" t="str">
        <f>HYPERLINK("https://dpmzos25m8ivg.cloudfront.net/Documentos/631/06148105586/6310614810558605092023193150.pdf","https://dpmzos25m8ivg.cloudfront.net/Documentos/631/06148105586/6310614810558605092023193150.pdf")</f>
        <v>https://dpmzos25m8ivg.cloudfront.net/Documentos/631/06148105586/6310614810558605092023193150.pdf</v>
      </c>
      <c r="H2905" s="5" t="s">
        <v>11483</v>
      </c>
    </row>
    <row r="2906" spans="1:8" x14ac:dyDescent="0.25">
      <c r="A2906" s="2" t="s">
        <v>2923</v>
      </c>
      <c r="B2906" s="3"/>
      <c r="C2906" s="3"/>
      <c r="D2906" s="3"/>
      <c r="E2906" s="5" t="str">
        <f>HYPERLINK("https://dpmzos25m8ivg.cloudfront.net/Documentos/631/06152548969/6310615254896908092023094108.pdf","https://dpmzos25m8ivg.cloudfront.net/Documentos/631/06152548969/6310615254896908092023094108.pdf")</f>
        <v>https://dpmzos25m8ivg.cloudfront.net/Documentos/631/06152548969/6310615254896908092023094108.pdf</v>
      </c>
      <c r="F2906" s="5" t="str">
        <f>HYPERLINK("https://dpmzos25m8ivg.cloudfront.net/Documentos/631/06152548969/6310615254896908092023094119.pdf","https://dpmzos25m8ivg.cloudfront.net/Documentos/631/06152548969/6310615254896908092023094119.pdf")</f>
        <v>https://dpmzos25m8ivg.cloudfront.net/Documentos/631/06152548969/6310615254896908092023094119.pdf</v>
      </c>
      <c r="G2906" s="5" t="str">
        <f>HYPERLINK("https://dpmzos25m8ivg.cloudfront.net/Documentos/631/06152548969/6310615254896908092023094129.pdf","https://dpmzos25m8ivg.cloudfront.net/Documentos/631/06152548969/6310615254896908092023094129.pdf")</f>
        <v>https://dpmzos25m8ivg.cloudfront.net/Documentos/631/06152548969/6310615254896908092023094129.pdf</v>
      </c>
      <c r="H2906" s="5" t="s">
        <v>11484</v>
      </c>
    </row>
    <row r="2907" spans="1:8" x14ac:dyDescent="0.25">
      <c r="A2907" s="2" t="s">
        <v>2924</v>
      </c>
      <c r="B2907" s="3"/>
      <c r="C2907" s="3"/>
      <c r="D2907" s="3"/>
      <c r="E2907" s="5" t="str">
        <f>HYPERLINK("https://dpmzos25m8ivg.cloudfront.net/Documentos/631/06154338473/6310615433847311092023103445.jpg","https://dpmzos25m8ivg.cloudfront.net/Documentos/631/06154338473/6310615433847311092023103445.jpg")</f>
        <v>https://dpmzos25m8ivg.cloudfront.net/Documentos/631/06154338473/6310615433847311092023103445.jpg</v>
      </c>
      <c r="F2907" s="5" t="str">
        <f>HYPERLINK("https://dpmzos25m8ivg.cloudfront.net/Documentos/631/06154338473/6310615433847311092023103505.jpg","https://dpmzos25m8ivg.cloudfront.net/Documentos/631/06154338473/6310615433847311092023103505.jpg")</f>
        <v>https://dpmzos25m8ivg.cloudfront.net/Documentos/631/06154338473/6310615433847311092023103505.jpg</v>
      </c>
      <c r="G2907" s="5" t="str">
        <f>HYPERLINK("https://dpmzos25m8ivg.cloudfront.net/Documentos/631/06154338473/6310615433847311092023103524.jpg","https://dpmzos25m8ivg.cloudfront.net/Documentos/631/06154338473/6310615433847311092023103524.jpg")</f>
        <v>https://dpmzos25m8ivg.cloudfront.net/Documentos/631/06154338473/6310615433847311092023103524.jpg</v>
      </c>
      <c r="H2907" s="5" t="s">
        <v>11485</v>
      </c>
    </row>
    <row r="2908" spans="1:8" x14ac:dyDescent="0.25">
      <c r="A2908" s="2" t="s">
        <v>2925</v>
      </c>
      <c r="B2908" s="3"/>
      <c r="C2908" s="3"/>
      <c r="D2908" s="3"/>
      <c r="E2908" s="5" t="str">
        <f>HYPERLINK("https://dpmzos25m8ivg.cloudfront.net/Documentos/631/06155573506/6310615557350608092023183645.jpg","https://dpmzos25m8ivg.cloudfront.net/Documentos/631/06155573506/6310615557350608092023183645.jpg")</f>
        <v>https://dpmzos25m8ivg.cloudfront.net/Documentos/631/06155573506/6310615557350608092023183645.jpg</v>
      </c>
      <c r="F2908" s="5" t="str">
        <f>HYPERLINK("https://dpmzos25m8ivg.cloudfront.net/Documentos/631/06155573506/6310615557350608092023183657.jpg","https://dpmzos25m8ivg.cloudfront.net/Documentos/631/06155573506/6310615557350608092023183657.jpg")</f>
        <v>https://dpmzos25m8ivg.cloudfront.net/Documentos/631/06155573506/6310615557350608092023183657.jpg</v>
      </c>
      <c r="G2908" s="5" t="str">
        <f>HYPERLINK("https://dpmzos25m8ivg.cloudfront.net/Documentos/631/06155573506/6310615557350608092023183714.jpg","https://dpmzos25m8ivg.cloudfront.net/Documentos/631/06155573506/6310615557350608092023183714.jpg")</f>
        <v>https://dpmzos25m8ivg.cloudfront.net/Documentos/631/06155573506/6310615557350608092023183714.jpg</v>
      </c>
      <c r="H2908" s="5" t="s">
        <v>11486</v>
      </c>
    </row>
    <row r="2909" spans="1:8" x14ac:dyDescent="0.25">
      <c r="A2909" s="2" t="s">
        <v>2926</v>
      </c>
      <c r="B2909" s="3"/>
      <c r="C2909" s="3"/>
      <c r="D2909" s="3"/>
      <c r="E2909" s="5" t="str">
        <f>HYPERLINK("https://dpmzos25m8ivg.cloudfront.net/Documentos/631/06157271310/6310615727131011092023153019.pdf","https://dpmzos25m8ivg.cloudfront.net/Documentos/631/06157271310/6310615727131011092023153019.pdf")</f>
        <v>https://dpmzos25m8ivg.cloudfront.net/Documentos/631/06157271310/6310615727131011092023153019.pdf</v>
      </c>
      <c r="F2909" s="5" t="str">
        <f>HYPERLINK("https://dpmzos25m8ivg.cloudfront.net/Documentos/631/06157271310/6310615727131011092023140639.pdf","https://dpmzos25m8ivg.cloudfront.net/Documentos/631/06157271310/6310615727131011092023140639.pdf")</f>
        <v>https://dpmzos25m8ivg.cloudfront.net/Documentos/631/06157271310/6310615727131011092023140639.pdf</v>
      </c>
      <c r="G2909" s="5" t="str">
        <f>HYPERLINK("https://dpmzos25m8ivg.cloudfront.net/Documentos/631/06157271310/6310615727131011092023140623.pdf","https://dpmzos25m8ivg.cloudfront.net/Documentos/631/06157271310/6310615727131011092023140623.pdf")</f>
        <v>https://dpmzos25m8ivg.cloudfront.net/Documentos/631/06157271310/6310615727131011092023140623.pdf</v>
      </c>
      <c r="H2909" s="5" t="s">
        <v>11487</v>
      </c>
    </row>
    <row r="2910" spans="1:8" x14ac:dyDescent="0.25">
      <c r="A2910" s="2" t="s">
        <v>2927</v>
      </c>
      <c r="B2910" s="3"/>
      <c r="C2910" s="3"/>
      <c r="D2910" s="3"/>
      <c r="E2910" s="5" t="str">
        <f>HYPERLINK("https://dpmzos25m8ivg.cloudfront.net/Documentos/631/06158213160/6310615821316005092023113528.pdf","https://dpmzos25m8ivg.cloudfront.net/Documentos/631/06158213160/6310615821316005092023113528.pdf")</f>
        <v>https://dpmzos25m8ivg.cloudfront.net/Documentos/631/06158213160/6310615821316005092023113528.pdf</v>
      </c>
      <c r="F2910" s="5" t="str">
        <f>HYPERLINK("https://dpmzos25m8ivg.cloudfront.net/Documentos/631/06158213160/6310615821316005092023113544.pdf","https://dpmzos25m8ivg.cloudfront.net/Documentos/631/06158213160/6310615821316005092023113544.pdf")</f>
        <v>https://dpmzos25m8ivg.cloudfront.net/Documentos/631/06158213160/6310615821316005092023113544.pdf</v>
      </c>
      <c r="G2910" s="5" t="str">
        <f>HYPERLINK("https://dpmzos25m8ivg.cloudfront.net/Documentos/631/06158213160/6310615821316005092023113947.pdf","https://dpmzos25m8ivg.cloudfront.net/Documentos/631/06158213160/6310615821316005092023113947.pdf")</f>
        <v>https://dpmzos25m8ivg.cloudfront.net/Documentos/631/06158213160/6310615821316005092023113947.pdf</v>
      </c>
      <c r="H2910" s="5" t="s">
        <v>11488</v>
      </c>
    </row>
    <row r="2911" spans="1:8" x14ac:dyDescent="0.25">
      <c r="A2911" s="2" t="s">
        <v>2928</v>
      </c>
      <c r="B2911" s="3" t="s">
        <v>2358</v>
      </c>
      <c r="C2911" s="3"/>
      <c r="D2911" s="3"/>
      <c r="E2911" s="5" t="str">
        <f>HYPERLINK("https://dpmzos25m8ivg.cloudfront.net/Documentos/631/06159090194/6310615909019411092023172541.pdf","https://dpmzos25m8ivg.cloudfront.net/Documentos/631/06159090194/6310615909019411092023172541.pdf")</f>
        <v>https://dpmzos25m8ivg.cloudfront.net/Documentos/631/06159090194/6310615909019411092023172541.pdf</v>
      </c>
      <c r="F2911" s="5" t="str">
        <f>HYPERLINK("https://dpmzos25m8ivg.cloudfront.net/Documentos/631/06159090194/6310615909019411092023172554.pdf","https://dpmzos25m8ivg.cloudfront.net/Documentos/631/06159090194/6310615909019411092023172554.pdf")</f>
        <v>https://dpmzos25m8ivg.cloudfront.net/Documentos/631/06159090194/6310615909019411092023172554.pdf</v>
      </c>
      <c r="G2911" s="5" t="str">
        <f>HYPERLINK("https://dpmzos25m8ivg.cloudfront.net/Documentos/631/06159090194/6310615909019411092023172606.pdf","https://dpmzos25m8ivg.cloudfront.net/Documentos/631/06159090194/6310615909019411092023172606.pdf")</f>
        <v>https://dpmzos25m8ivg.cloudfront.net/Documentos/631/06159090194/6310615909019411092023172606.pdf</v>
      </c>
      <c r="H2911" s="5" t="s">
        <v>11489</v>
      </c>
    </row>
    <row r="2912" spans="1:8" x14ac:dyDescent="0.25">
      <c r="A2912" s="2" t="s">
        <v>2929</v>
      </c>
      <c r="B2912" s="3" t="s">
        <v>2358</v>
      </c>
      <c r="C2912" s="3"/>
      <c r="D2912" s="3"/>
      <c r="E2912" s="5" t="str">
        <f>HYPERLINK("https://dpmzos25m8ivg.cloudfront.net/Documentos/631/06160339311/6310616033931111092023140722.pdf","https://dpmzos25m8ivg.cloudfront.net/Documentos/631/06160339311/6310616033931111092023140722.pdf")</f>
        <v>https://dpmzos25m8ivg.cloudfront.net/Documentos/631/06160339311/6310616033931111092023140722.pdf</v>
      </c>
      <c r="F2912" s="5" t="str">
        <f>HYPERLINK("https://dpmzos25m8ivg.cloudfront.net/Documentos/631/06160339311/6310616033931111092023141001.pdf","https://dpmzos25m8ivg.cloudfront.net/Documentos/631/06160339311/6310616033931111092023141001.pdf")</f>
        <v>https://dpmzos25m8ivg.cloudfront.net/Documentos/631/06160339311/6310616033931111092023141001.pdf</v>
      </c>
      <c r="G2912" s="5" t="str">
        <f>HYPERLINK("https://dpmzos25m8ivg.cloudfront.net/Documentos/631/06160339311/6310616033931111092023141012.pdf","https://dpmzos25m8ivg.cloudfront.net/Documentos/631/06160339311/6310616033931111092023141012.pdf")</f>
        <v>https://dpmzos25m8ivg.cloudfront.net/Documentos/631/06160339311/6310616033931111092023141012.pdf</v>
      </c>
      <c r="H2912" s="5" t="s">
        <v>11490</v>
      </c>
    </row>
    <row r="2913" spans="1:8" x14ac:dyDescent="0.25">
      <c r="A2913" s="2" t="s">
        <v>2930</v>
      </c>
      <c r="B2913" s="3"/>
      <c r="C2913" s="3"/>
      <c r="D2913" s="3"/>
      <c r="E2913" s="5" t="str">
        <f>HYPERLINK("https://dpmzos25m8ivg.cloudfront.net/Documentos/631/06162603342/6310616260334210092023163459.pdf","https://dpmzos25m8ivg.cloudfront.net/Documentos/631/06162603342/6310616260334210092023163459.pdf")</f>
        <v>https://dpmzos25m8ivg.cloudfront.net/Documentos/631/06162603342/6310616260334210092023163459.pdf</v>
      </c>
      <c r="F2913" s="5" t="str">
        <f>HYPERLINK("https://dpmzos25m8ivg.cloudfront.net/Documentos/631/06162603342/6310616260334210092023163526.pdf","https://dpmzos25m8ivg.cloudfront.net/Documentos/631/06162603342/6310616260334210092023163526.pdf")</f>
        <v>https://dpmzos25m8ivg.cloudfront.net/Documentos/631/06162603342/6310616260334210092023163526.pdf</v>
      </c>
      <c r="G2913" s="5" t="str">
        <f>HYPERLINK("https://dpmzos25m8ivg.cloudfront.net/Documentos/631/06162603342/6310616260334210092023163536.pdf","https://dpmzos25m8ivg.cloudfront.net/Documentos/631/06162603342/6310616260334210092023163536.pdf")</f>
        <v>https://dpmzos25m8ivg.cloudfront.net/Documentos/631/06162603342/6310616260334210092023163536.pdf</v>
      </c>
      <c r="H2913" s="5" t="s">
        <v>11491</v>
      </c>
    </row>
    <row r="2914" spans="1:8" x14ac:dyDescent="0.25">
      <c r="A2914" s="2" t="s">
        <v>2931</v>
      </c>
      <c r="B2914" s="3"/>
      <c r="C2914" s="3"/>
      <c r="D2914" s="3"/>
      <c r="E2914" s="5" t="str">
        <f>HYPERLINK("https://dpmzos25m8ivg.cloudfront.net/Documentos/631/06163147367/6310616314736705092023194337.pdf","https://dpmzos25m8ivg.cloudfront.net/Documentos/631/06163147367/6310616314736705092023194337.pdf")</f>
        <v>https://dpmzos25m8ivg.cloudfront.net/Documentos/631/06163147367/6310616314736705092023194337.pdf</v>
      </c>
      <c r="F2914" s="5" t="str">
        <f>HYPERLINK("https://dpmzos25m8ivg.cloudfront.net/Documentos/631/06163147367/6310616314736705092023194405.pdf","https://dpmzos25m8ivg.cloudfront.net/Documentos/631/06163147367/6310616314736705092023194405.pdf")</f>
        <v>https://dpmzos25m8ivg.cloudfront.net/Documentos/631/06163147367/6310616314736705092023194405.pdf</v>
      </c>
      <c r="G2914" s="5" t="str">
        <f>HYPERLINK("https://dpmzos25m8ivg.cloudfront.net/Documentos/631/06163147367/6310616314736705092023194413.pdf","https://dpmzos25m8ivg.cloudfront.net/Documentos/631/06163147367/6310616314736705092023194413.pdf")</f>
        <v>https://dpmzos25m8ivg.cloudfront.net/Documentos/631/06163147367/6310616314736705092023194413.pdf</v>
      </c>
      <c r="H2914" s="5" t="s">
        <v>11492</v>
      </c>
    </row>
    <row r="2915" spans="1:8" x14ac:dyDescent="0.25">
      <c r="A2915" s="2" t="s">
        <v>2932</v>
      </c>
      <c r="B2915" s="3"/>
      <c r="C2915" s="3"/>
      <c r="D2915" s="3"/>
      <c r="E2915" s="5" t="str">
        <f>HYPERLINK("https://dpmzos25m8ivg.cloudfront.net/Documentos/631/06169011190/6310616901119008092023165632.jpg","https://dpmzos25m8ivg.cloudfront.net/Documentos/631/06169011190/6310616901119008092023165632.jpg")</f>
        <v>https://dpmzos25m8ivg.cloudfront.net/Documentos/631/06169011190/6310616901119008092023165632.jpg</v>
      </c>
      <c r="F2915" s="5" t="str">
        <f>HYPERLINK("https://dpmzos25m8ivg.cloudfront.net/Documentos/631/06169011190/6310616901119008092023165643.jpg","https://dpmzos25m8ivg.cloudfront.net/Documentos/631/06169011190/6310616901119008092023165643.jpg")</f>
        <v>https://dpmzos25m8ivg.cloudfront.net/Documentos/631/06169011190/6310616901119008092023165643.jpg</v>
      </c>
      <c r="G2915" s="5" t="str">
        <f>HYPERLINK("https://dpmzos25m8ivg.cloudfront.net/Documentos/631/06169011190/6310616901119008092023165652.jpg","https://dpmzos25m8ivg.cloudfront.net/Documentos/631/06169011190/6310616901119008092023165652.jpg")</f>
        <v>https://dpmzos25m8ivg.cloudfront.net/Documentos/631/06169011190/6310616901119008092023165652.jpg</v>
      </c>
      <c r="H2915" s="5" t="s">
        <v>11493</v>
      </c>
    </row>
    <row r="2916" spans="1:8" x14ac:dyDescent="0.25">
      <c r="A2916" s="2" t="s">
        <v>2933</v>
      </c>
      <c r="B2916" s="3"/>
      <c r="C2916" s="3"/>
      <c r="D2916" s="3"/>
      <c r="E2916" s="5" t="str">
        <f>HYPERLINK("https://dpmzos25m8ivg.cloudfront.net/Documentos/631/06171369551/6310617136955111092023004508.pdf","https://dpmzos25m8ivg.cloudfront.net/Documentos/631/06171369551/6310617136955111092023004508.pdf")</f>
        <v>https://dpmzos25m8ivg.cloudfront.net/Documentos/631/06171369551/6310617136955111092023004508.pdf</v>
      </c>
      <c r="F2916" s="5" t="str">
        <f>HYPERLINK("https://dpmzos25m8ivg.cloudfront.net/Documentos/631/06171369551/6310617136955111092023004534.pdf","https://dpmzos25m8ivg.cloudfront.net/Documentos/631/06171369551/6310617136955111092023004534.pdf")</f>
        <v>https://dpmzos25m8ivg.cloudfront.net/Documentos/631/06171369551/6310617136955111092023004534.pdf</v>
      </c>
      <c r="G2916" s="5" t="str">
        <f>HYPERLINK("https://dpmzos25m8ivg.cloudfront.net/Documentos/631/06171369551/6310617136955111092023004552.pdf","https://dpmzos25m8ivg.cloudfront.net/Documentos/631/06171369551/6310617136955111092023004552.pdf")</f>
        <v>https://dpmzos25m8ivg.cloudfront.net/Documentos/631/06171369551/6310617136955111092023004552.pdf</v>
      </c>
      <c r="H2916" s="5" t="s">
        <v>11494</v>
      </c>
    </row>
    <row r="2917" spans="1:8" x14ac:dyDescent="0.25">
      <c r="A2917" s="2" t="s">
        <v>2934</v>
      </c>
      <c r="B2917" s="3"/>
      <c r="C2917" s="3"/>
      <c r="D2917" s="3"/>
      <c r="E2917" s="5" t="str">
        <f>HYPERLINK("https://dpmzos25m8ivg.cloudfront.net/Documentos/631/06173510588/6310617351058804092023230246.pdf","https://dpmzos25m8ivg.cloudfront.net/Documentos/631/06173510588/6310617351058804092023230246.pdf")</f>
        <v>https://dpmzos25m8ivg.cloudfront.net/Documentos/631/06173510588/6310617351058804092023230246.pdf</v>
      </c>
      <c r="F2917" s="5" t="str">
        <f>HYPERLINK("https://dpmzos25m8ivg.cloudfront.net/Documentos/631/06173510588/6310617351058804092023233322.pdf","https://dpmzos25m8ivg.cloudfront.net/Documentos/631/06173510588/6310617351058804092023233322.pdf")</f>
        <v>https://dpmzos25m8ivg.cloudfront.net/Documentos/631/06173510588/6310617351058804092023233322.pdf</v>
      </c>
      <c r="G2917" s="5" t="str">
        <f>HYPERLINK("https://dpmzos25m8ivg.cloudfront.net/Documentos/631/06173510588/6310617351058804092023234716.pdf","https://dpmzos25m8ivg.cloudfront.net/Documentos/631/06173510588/6310617351058804092023234716.pdf")</f>
        <v>https://dpmzos25m8ivg.cloudfront.net/Documentos/631/06173510588/6310617351058804092023234716.pdf</v>
      </c>
      <c r="H2917" s="5" t="s">
        <v>11495</v>
      </c>
    </row>
    <row r="2918" spans="1:8" x14ac:dyDescent="0.25">
      <c r="A2918" s="2" t="s">
        <v>2935</v>
      </c>
      <c r="B2918" s="3" t="s">
        <v>2358</v>
      </c>
      <c r="C2918" s="3"/>
      <c r="D2918" s="3"/>
      <c r="E2918" s="5" t="str">
        <f>HYPERLINK("https://dpmzos25m8ivg.cloudfront.net/Documentos/631/06173753561/6310617375356105092023091857.jpeg","https://dpmzos25m8ivg.cloudfront.net/Documentos/631/06173753561/6310617375356105092023091857.jpeg")</f>
        <v>https://dpmzos25m8ivg.cloudfront.net/Documentos/631/06173753561/6310617375356105092023091857.jpeg</v>
      </c>
      <c r="F2918" s="5" t="str">
        <f>HYPERLINK("https://dpmzos25m8ivg.cloudfront.net/Documentos/631/06173753561/6310617375356105092023091911.jpeg","https://dpmzos25m8ivg.cloudfront.net/Documentos/631/06173753561/6310617375356105092023091911.jpeg")</f>
        <v>https://dpmzos25m8ivg.cloudfront.net/Documentos/631/06173753561/6310617375356105092023091911.jpeg</v>
      </c>
      <c r="G2918" s="5" t="str">
        <f>HYPERLINK("https://dpmzos25m8ivg.cloudfront.net/Documentos/631/06173753561/6310617375356105092023091947.jpeg","https://dpmzos25m8ivg.cloudfront.net/Documentos/631/06173753561/6310617375356105092023091947.jpeg")</f>
        <v>https://dpmzos25m8ivg.cloudfront.net/Documentos/631/06173753561/6310617375356105092023091947.jpeg</v>
      </c>
      <c r="H2918" s="5" t="s">
        <v>11496</v>
      </c>
    </row>
    <row r="2919" spans="1:8" x14ac:dyDescent="0.25">
      <c r="A2919" s="2" t="s">
        <v>2936</v>
      </c>
      <c r="B2919" s="3"/>
      <c r="C2919" s="3"/>
      <c r="D2919" s="3"/>
      <c r="E2919" s="5" t="str">
        <f>HYPERLINK("https://dpmzos25m8ivg.cloudfront.net/Documentos/631/06174257100/6310617425710011092023105849.pdf","https://dpmzos25m8ivg.cloudfront.net/Documentos/631/06174257100/6310617425710011092023105849.pdf")</f>
        <v>https://dpmzos25m8ivg.cloudfront.net/Documentos/631/06174257100/6310617425710011092023105849.pdf</v>
      </c>
      <c r="F2919" s="5" t="str">
        <f>HYPERLINK("https://dpmzos25m8ivg.cloudfront.net/Documentos/631/06174257100/6310617425710011092023105857.pdf","https://dpmzos25m8ivg.cloudfront.net/Documentos/631/06174257100/6310617425710011092023105857.pdf")</f>
        <v>https://dpmzos25m8ivg.cloudfront.net/Documentos/631/06174257100/6310617425710011092023105857.pdf</v>
      </c>
      <c r="G2919" s="5" t="str">
        <f>HYPERLINK("https://dpmzos25m8ivg.cloudfront.net/Documentos/631/06174257100/6310617425710011092023105905.pdf","https://dpmzos25m8ivg.cloudfront.net/Documentos/631/06174257100/6310617425710011092023105905.pdf")</f>
        <v>https://dpmzos25m8ivg.cloudfront.net/Documentos/631/06174257100/6310617425710011092023105905.pdf</v>
      </c>
      <c r="H2919" s="5" t="s">
        <v>11497</v>
      </c>
    </row>
    <row r="2920" spans="1:8" x14ac:dyDescent="0.25">
      <c r="A2920" s="2" t="s">
        <v>2937</v>
      </c>
      <c r="B2920" s="3"/>
      <c r="C2920" s="3"/>
      <c r="D2920" s="3"/>
      <c r="E2920" s="5" t="str">
        <f>HYPERLINK("https://dpmzos25m8ivg.cloudfront.net/Documentos/631/06175167902/6310617516790210092023135420.pdf","https://dpmzos25m8ivg.cloudfront.net/Documentos/631/06175167902/6310617516790210092023135420.pdf")</f>
        <v>https://dpmzos25m8ivg.cloudfront.net/Documentos/631/06175167902/6310617516790210092023135420.pdf</v>
      </c>
      <c r="F2920" s="5" t="str">
        <f>HYPERLINK("https://dpmzos25m8ivg.cloudfront.net/Documentos/631/06175167902/6310617516790210092023135437.pdf","https://dpmzos25m8ivg.cloudfront.net/Documentos/631/06175167902/6310617516790210092023135437.pdf")</f>
        <v>https://dpmzos25m8ivg.cloudfront.net/Documentos/631/06175167902/6310617516790210092023135437.pdf</v>
      </c>
      <c r="G2920" s="5" t="str">
        <f>HYPERLINK("https://dpmzos25m8ivg.cloudfront.net/Documentos/631/06175167902/6310617516790210092023135520.pdf","https://dpmzos25m8ivg.cloudfront.net/Documentos/631/06175167902/6310617516790210092023135520.pdf")</f>
        <v>https://dpmzos25m8ivg.cloudfront.net/Documentos/631/06175167902/6310617516790210092023135520.pdf</v>
      </c>
      <c r="H2920" s="5" t="s">
        <v>11498</v>
      </c>
    </row>
    <row r="2921" spans="1:8" x14ac:dyDescent="0.25">
      <c r="A2921" s="2" t="s">
        <v>2938</v>
      </c>
      <c r="B2921" s="3"/>
      <c r="C2921" s="3"/>
      <c r="D2921" s="3"/>
      <c r="E2921" s="5" t="str">
        <f>HYPERLINK("https://dpmzos25m8ivg.cloudfront.net/Documentos/631/06175483316/6310617548331605092023190010.pdf","https://dpmzos25m8ivg.cloudfront.net/Documentos/631/06175483316/6310617548331605092023190010.pdf")</f>
        <v>https://dpmzos25m8ivg.cloudfront.net/Documentos/631/06175483316/6310617548331605092023190010.pdf</v>
      </c>
      <c r="F2921" s="5" t="str">
        <f>HYPERLINK("https://dpmzos25m8ivg.cloudfront.net/Documentos/631/06175483316/6310617548331605092023190018.pdf","https://dpmzos25m8ivg.cloudfront.net/Documentos/631/06175483316/6310617548331605092023190018.pdf")</f>
        <v>https://dpmzos25m8ivg.cloudfront.net/Documentos/631/06175483316/6310617548331605092023190018.pdf</v>
      </c>
      <c r="G2921" s="5" t="str">
        <f>HYPERLINK("https://dpmzos25m8ivg.cloudfront.net/Documentos/631/06175483316/6310617548331605092023190029.pdf","https://dpmzos25m8ivg.cloudfront.net/Documentos/631/06175483316/6310617548331605092023190029.pdf")</f>
        <v>https://dpmzos25m8ivg.cloudfront.net/Documentos/631/06175483316/6310617548331605092023190029.pdf</v>
      </c>
      <c r="H2921" s="5" t="s">
        <v>11499</v>
      </c>
    </row>
    <row r="2922" spans="1:8" x14ac:dyDescent="0.25">
      <c r="A2922" s="2" t="s">
        <v>2939</v>
      </c>
      <c r="B2922" s="3"/>
      <c r="C2922" s="3"/>
      <c r="D2922" s="3"/>
      <c r="E2922" s="5" t="str">
        <f>HYPERLINK("https://dpmzos25m8ivg.cloudfront.net/Documentos/631/06176343356/6310617634335606092023163650.jpg","https://dpmzos25m8ivg.cloudfront.net/Documentos/631/06176343356/6310617634335606092023163650.jpg")</f>
        <v>https://dpmzos25m8ivg.cloudfront.net/Documentos/631/06176343356/6310617634335606092023163650.jpg</v>
      </c>
      <c r="F2922" s="5" t="str">
        <f>HYPERLINK("https://dpmzos25m8ivg.cloudfront.net/Documentos/631/06176343356/6310617634335606092023163718.jpg","https://dpmzos25m8ivg.cloudfront.net/Documentos/631/06176343356/6310617634335606092023163718.jpg")</f>
        <v>https://dpmzos25m8ivg.cloudfront.net/Documentos/631/06176343356/6310617634335606092023163718.jpg</v>
      </c>
      <c r="G2922" s="5" t="str">
        <f>HYPERLINK("https://dpmzos25m8ivg.cloudfront.net/Documentos/631/06176343356/6310617634335606092023163758.jpg","https://dpmzos25m8ivg.cloudfront.net/Documentos/631/06176343356/6310617634335606092023163758.jpg")</f>
        <v>https://dpmzos25m8ivg.cloudfront.net/Documentos/631/06176343356/6310617634335606092023163758.jpg</v>
      </c>
      <c r="H2922" s="5" t="s">
        <v>11500</v>
      </c>
    </row>
    <row r="2923" spans="1:8" x14ac:dyDescent="0.25">
      <c r="A2923" s="2" t="s">
        <v>2940</v>
      </c>
      <c r="B2923" s="3"/>
      <c r="C2923" s="3"/>
      <c r="D2923" s="3"/>
      <c r="E2923" s="5" t="str">
        <f>HYPERLINK("https://dpmzos25m8ivg.cloudfront.net/Documentos/631/06177118526/6310617711852605092023105244.pdf","https://dpmzos25m8ivg.cloudfront.net/Documentos/631/06177118526/6310617711852605092023105244.pdf")</f>
        <v>https://dpmzos25m8ivg.cloudfront.net/Documentos/631/06177118526/6310617711852605092023105244.pdf</v>
      </c>
      <c r="F2923" s="5" t="str">
        <f>HYPERLINK("https://dpmzos25m8ivg.cloudfront.net/Documentos/631/06177118526/6310617711852605092023105253.pdf","https://dpmzos25m8ivg.cloudfront.net/Documentos/631/06177118526/6310617711852605092023105253.pdf")</f>
        <v>https://dpmzos25m8ivg.cloudfront.net/Documentos/631/06177118526/6310617711852605092023105253.pdf</v>
      </c>
      <c r="G2923" s="5" t="str">
        <f>HYPERLINK("https://dpmzos25m8ivg.cloudfront.net/Documentos/631/06177118526/6310617711852605092023105304.pdf","https://dpmzos25m8ivg.cloudfront.net/Documentos/631/06177118526/6310617711852605092023105304.pdf")</f>
        <v>https://dpmzos25m8ivg.cloudfront.net/Documentos/631/06177118526/6310617711852605092023105304.pdf</v>
      </c>
      <c r="H2923" s="5" t="s">
        <v>11501</v>
      </c>
    </row>
    <row r="2924" spans="1:8" x14ac:dyDescent="0.25">
      <c r="A2924" s="2" t="s">
        <v>2941</v>
      </c>
      <c r="B2924" s="3"/>
      <c r="C2924" s="3"/>
      <c r="D2924" s="3"/>
      <c r="E2924" s="5" t="str">
        <f>HYPERLINK("https://dpmzos25m8ivg.cloudfront.net/Documentos/631/06179702543/6310617970254305092023234450.pdf","https://dpmzos25m8ivg.cloudfront.net/Documentos/631/06179702543/6310617970254305092023234450.pdf")</f>
        <v>https://dpmzos25m8ivg.cloudfront.net/Documentos/631/06179702543/6310617970254305092023234450.pdf</v>
      </c>
      <c r="F2924" s="5" t="str">
        <f>HYPERLINK("https://dpmzos25m8ivg.cloudfront.net/Documentos/631/06179702543/6310617970254305092023234500.pdf","https://dpmzos25m8ivg.cloudfront.net/Documentos/631/06179702543/6310617970254305092023234500.pdf")</f>
        <v>https://dpmzos25m8ivg.cloudfront.net/Documentos/631/06179702543/6310617970254305092023234500.pdf</v>
      </c>
      <c r="G2924" s="5" t="str">
        <f>HYPERLINK("https://dpmzos25m8ivg.cloudfront.net/Documentos/631/06179702543/6310617970254305092023234508.pdf","https://dpmzos25m8ivg.cloudfront.net/Documentos/631/06179702543/6310617970254305092023234508.pdf")</f>
        <v>https://dpmzos25m8ivg.cloudfront.net/Documentos/631/06179702543/6310617970254305092023234508.pdf</v>
      </c>
      <c r="H2924" s="5" t="s">
        <v>11502</v>
      </c>
    </row>
    <row r="2925" spans="1:8" x14ac:dyDescent="0.25">
      <c r="A2925" s="2" t="s">
        <v>2942</v>
      </c>
      <c r="B2925" s="3"/>
      <c r="C2925" s="3"/>
      <c r="D2925" s="3"/>
      <c r="E2925" s="5" t="str">
        <f>HYPERLINK("https://dpmzos25m8ivg.cloudfront.net/Documentos/631/06181518185/6310618151818511092023164805.pdf","https://dpmzos25m8ivg.cloudfront.net/Documentos/631/06181518185/6310618151818511092023164805.pdf")</f>
        <v>https://dpmzos25m8ivg.cloudfront.net/Documentos/631/06181518185/6310618151818511092023164805.pdf</v>
      </c>
      <c r="F2925" s="5" t="str">
        <f>HYPERLINK("https://dpmzos25m8ivg.cloudfront.net/Documentos/631/06181518185/6310618151818511092023164813.pdf","https://dpmzos25m8ivg.cloudfront.net/Documentos/631/06181518185/6310618151818511092023164813.pdf")</f>
        <v>https://dpmzos25m8ivg.cloudfront.net/Documentos/631/06181518185/6310618151818511092023164813.pdf</v>
      </c>
      <c r="G2925" s="5" t="str">
        <f>HYPERLINK("https://dpmzos25m8ivg.cloudfront.net/Documentos/631/06181518185/6310618151818511092023164820.pdf","https://dpmzos25m8ivg.cloudfront.net/Documentos/631/06181518185/6310618151818511092023164820.pdf")</f>
        <v>https://dpmzos25m8ivg.cloudfront.net/Documentos/631/06181518185/6310618151818511092023164820.pdf</v>
      </c>
      <c r="H2925" s="5" t="s">
        <v>11503</v>
      </c>
    </row>
    <row r="2926" spans="1:8" x14ac:dyDescent="0.25">
      <c r="A2926" s="2" t="s">
        <v>2943</v>
      </c>
      <c r="B2926" s="3"/>
      <c r="C2926" s="3"/>
      <c r="D2926" s="3"/>
      <c r="E2926" s="5" t="str">
        <f>HYPERLINK("https://dpmzos25m8ivg.cloudfront.net/Documentos/631/06181567399/6310618156739907092023143645.pdf","https://dpmzos25m8ivg.cloudfront.net/Documentos/631/06181567399/6310618156739907092023143645.pdf")</f>
        <v>https://dpmzos25m8ivg.cloudfront.net/Documentos/631/06181567399/6310618156739907092023143645.pdf</v>
      </c>
      <c r="F2926" s="5" t="str">
        <f>HYPERLINK("https://dpmzos25m8ivg.cloudfront.net/Documentos/631/06181567399/6310618156739907092023143634.pdf","https://dpmzos25m8ivg.cloudfront.net/Documentos/631/06181567399/6310618156739907092023143634.pdf")</f>
        <v>https://dpmzos25m8ivg.cloudfront.net/Documentos/631/06181567399/6310618156739907092023143634.pdf</v>
      </c>
      <c r="G2926" s="5" t="str">
        <f>HYPERLINK("https://dpmzos25m8ivg.cloudfront.net/Documentos/631/06181567399/6310618156739907092023143622.pdf","https://dpmzos25m8ivg.cloudfront.net/Documentos/631/06181567399/6310618156739907092023143622.pdf")</f>
        <v>https://dpmzos25m8ivg.cloudfront.net/Documentos/631/06181567399/6310618156739907092023143622.pdf</v>
      </c>
      <c r="H2926" s="5" t="s">
        <v>11504</v>
      </c>
    </row>
    <row r="2927" spans="1:8" x14ac:dyDescent="0.25">
      <c r="A2927" s="2" t="s">
        <v>2944</v>
      </c>
      <c r="B2927" s="3"/>
      <c r="C2927" s="3"/>
      <c r="D2927" s="3"/>
      <c r="E2927" s="5" t="str">
        <f>HYPERLINK("https://dpmzos25m8ivg.cloudfront.net/Documentos/631/06181955488/6310618195548811092023103004.jpeg","https://dpmzos25m8ivg.cloudfront.net/Documentos/631/06181955488/6310618195548811092023103004.jpeg")</f>
        <v>https://dpmzos25m8ivg.cloudfront.net/Documentos/631/06181955488/6310618195548811092023103004.jpeg</v>
      </c>
      <c r="F2927" s="5" t="str">
        <f>HYPERLINK("https://dpmzos25m8ivg.cloudfront.net/Documentos/631/06181955488/6310618195548811092023103015.jpeg","https://dpmzos25m8ivg.cloudfront.net/Documentos/631/06181955488/6310618195548811092023103015.jpeg")</f>
        <v>https://dpmzos25m8ivg.cloudfront.net/Documentos/631/06181955488/6310618195548811092023103015.jpeg</v>
      </c>
      <c r="G2927" s="5" t="str">
        <f>HYPERLINK("https://dpmzos25m8ivg.cloudfront.net/Documentos/631/06181955488/6310618195548811092023103033.jpeg","https://dpmzos25m8ivg.cloudfront.net/Documentos/631/06181955488/6310618195548811092023103033.jpeg")</f>
        <v>https://dpmzos25m8ivg.cloudfront.net/Documentos/631/06181955488/6310618195548811092023103033.jpeg</v>
      </c>
      <c r="H2927" s="5" t="s">
        <v>11505</v>
      </c>
    </row>
    <row r="2928" spans="1:8" x14ac:dyDescent="0.25">
      <c r="A2928" s="2" t="s">
        <v>2945</v>
      </c>
      <c r="B2928" s="3" t="s">
        <v>2358</v>
      </c>
      <c r="C2928" s="3"/>
      <c r="D2928" s="3"/>
      <c r="E2928" s="5" t="str">
        <f>HYPERLINK("https://dpmzos25m8ivg.cloudfront.net/Documentos/631/06182073500/6310618207350005092023113945.pdf","https://dpmzos25m8ivg.cloudfront.net/Documentos/631/06182073500/6310618207350005092023113945.pdf")</f>
        <v>https://dpmzos25m8ivg.cloudfront.net/Documentos/631/06182073500/6310618207350005092023113945.pdf</v>
      </c>
      <c r="F2928" s="5" t="str">
        <f>HYPERLINK("https://dpmzos25m8ivg.cloudfront.net/Documentos/631/06182073500/6310618207350005092023113956.pdf","https://dpmzos25m8ivg.cloudfront.net/Documentos/631/06182073500/6310618207350005092023113956.pdf")</f>
        <v>https://dpmzos25m8ivg.cloudfront.net/Documentos/631/06182073500/6310618207350005092023113956.pdf</v>
      </c>
      <c r="G2928" s="5" t="str">
        <f>HYPERLINK("https://dpmzos25m8ivg.cloudfront.net/Documentos/631/06182073500/6310618207350005092023114006.pdf","https://dpmzos25m8ivg.cloudfront.net/Documentos/631/06182073500/6310618207350005092023114006.pdf")</f>
        <v>https://dpmzos25m8ivg.cloudfront.net/Documentos/631/06182073500/6310618207350005092023114006.pdf</v>
      </c>
      <c r="H2928" s="5" t="s">
        <v>11506</v>
      </c>
    </row>
    <row r="2929" spans="1:8" x14ac:dyDescent="0.25">
      <c r="A2929" s="2" t="s">
        <v>2946</v>
      </c>
      <c r="B2929" s="3"/>
      <c r="C2929" s="3"/>
      <c r="D2929" s="3"/>
      <c r="E2929" s="5" t="str">
        <f>HYPERLINK("https://dpmzos25m8ivg.cloudfront.net/Documentos/631/06183008303/6310618300830310092023194058.pdf","https://dpmzos25m8ivg.cloudfront.net/Documentos/631/06183008303/6310618300830310092023194058.pdf")</f>
        <v>https://dpmzos25m8ivg.cloudfront.net/Documentos/631/06183008303/6310618300830310092023194058.pdf</v>
      </c>
      <c r="F2929" s="5" t="str">
        <f>HYPERLINK("https://dpmzos25m8ivg.cloudfront.net/Documentos/631/06183008303/6310618300830310092023194113.pdf","https://dpmzos25m8ivg.cloudfront.net/Documentos/631/06183008303/6310618300830310092023194113.pdf")</f>
        <v>https://dpmzos25m8ivg.cloudfront.net/Documentos/631/06183008303/6310618300830310092023194113.pdf</v>
      </c>
      <c r="G2929" s="5" t="str">
        <f>HYPERLINK("https://dpmzos25m8ivg.cloudfront.net/Documentos/631/06183008303/6310618300830310092023194127.pdf","https://dpmzos25m8ivg.cloudfront.net/Documentos/631/06183008303/6310618300830310092023194127.pdf")</f>
        <v>https://dpmzos25m8ivg.cloudfront.net/Documentos/631/06183008303/6310618300830310092023194127.pdf</v>
      </c>
      <c r="H2929" s="5" t="s">
        <v>11507</v>
      </c>
    </row>
    <row r="2930" spans="1:8" x14ac:dyDescent="0.25">
      <c r="A2930" s="2" t="s">
        <v>2947</v>
      </c>
      <c r="B2930" s="3" t="s">
        <v>2358</v>
      </c>
      <c r="C2930" s="3"/>
      <c r="D2930" s="3"/>
      <c r="E2930" s="5" t="str">
        <f>HYPERLINK("https://dpmzos25m8ivg.cloudfront.net/Documentos/631/06183079154/6310618307915405092023233524.pdf","https://dpmzos25m8ivg.cloudfront.net/Documentos/631/06183079154/6310618307915405092023233524.pdf")</f>
        <v>https://dpmzos25m8ivg.cloudfront.net/Documentos/631/06183079154/6310618307915405092023233524.pdf</v>
      </c>
      <c r="F2930" s="5" t="str">
        <f>HYPERLINK("https://dpmzos25m8ivg.cloudfront.net/Documentos/631/06183079154/6310618307915405092023233530.pdf","https://dpmzos25m8ivg.cloudfront.net/Documentos/631/06183079154/6310618307915405092023233530.pdf")</f>
        <v>https://dpmzos25m8ivg.cloudfront.net/Documentos/631/06183079154/6310618307915405092023233530.pdf</v>
      </c>
      <c r="G2930" s="5" t="str">
        <f>HYPERLINK("https://dpmzos25m8ivg.cloudfront.net/Documentos/631/06183079154/6310618307915405092023233536.pdf","https://dpmzos25m8ivg.cloudfront.net/Documentos/631/06183079154/6310618307915405092023233536.pdf")</f>
        <v>https://dpmzos25m8ivg.cloudfront.net/Documentos/631/06183079154/6310618307915405092023233536.pdf</v>
      </c>
      <c r="H2930" s="5" t="s">
        <v>11508</v>
      </c>
    </row>
    <row r="2931" spans="1:8" x14ac:dyDescent="0.25">
      <c r="A2931" s="2" t="s">
        <v>2948</v>
      </c>
      <c r="B2931" s="3"/>
      <c r="C2931" s="3"/>
      <c r="D2931" s="3"/>
      <c r="E2931" s="5" t="str">
        <f>HYPERLINK("https://dpmzos25m8ivg.cloudfront.net/Documentos/631/06185033232/6310618503323211092023121223.pdf","https://dpmzos25m8ivg.cloudfront.net/Documentos/631/06185033232/6310618503323211092023121223.pdf")</f>
        <v>https://dpmzos25m8ivg.cloudfront.net/Documentos/631/06185033232/6310618503323211092023121223.pdf</v>
      </c>
      <c r="F2931" s="5" t="str">
        <f>HYPERLINK("https://dpmzos25m8ivg.cloudfront.net/Documentos/631/06185033232/6310618503323211092023121347.pdf","https://dpmzos25m8ivg.cloudfront.net/Documentos/631/06185033232/6310618503323211092023121347.pdf")</f>
        <v>https://dpmzos25m8ivg.cloudfront.net/Documentos/631/06185033232/6310618503323211092023121347.pdf</v>
      </c>
      <c r="G2931" s="5" t="str">
        <f>HYPERLINK("https://dpmzos25m8ivg.cloudfront.net/Documentos/631/06185033232/6310618503323211092023121417.pdf","https://dpmzos25m8ivg.cloudfront.net/Documentos/631/06185033232/6310618503323211092023121417.pdf")</f>
        <v>https://dpmzos25m8ivg.cloudfront.net/Documentos/631/06185033232/6310618503323211092023121417.pdf</v>
      </c>
      <c r="H2931" s="5" t="s">
        <v>11509</v>
      </c>
    </row>
    <row r="2932" spans="1:8" x14ac:dyDescent="0.25">
      <c r="A2932" s="2" t="s">
        <v>2949</v>
      </c>
      <c r="B2932" s="3"/>
      <c r="C2932" s="3"/>
      <c r="D2932" s="3"/>
      <c r="E2932" s="5" t="str">
        <f>HYPERLINK("https://dpmzos25m8ivg.cloudfront.net/Documentos/631/06185548151/6310618554815111092023153450.pdf","https://dpmzos25m8ivg.cloudfront.net/Documentos/631/06185548151/6310618554815111092023153450.pdf")</f>
        <v>https://dpmzos25m8ivg.cloudfront.net/Documentos/631/06185548151/6310618554815111092023153450.pdf</v>
      </c>
      <c r="F2932" s="5" t="str">
        <f>HYPERLINK("https://dpmzos25m8ivg.cloudfront.net/Documentos/631/06185548151/6310618554815111092023153457.pdf","https://dpmzos25m8ivg.cloudfront.net/Documentos/631/06185548151/6310618554815111092023153457.pdf")</f>
        <v>https://dpmzos25m8ivg.cloudfront.net/Documentos/631/06185548151/6310618554815111092023153457.pdf</v>
      </c>
      <c r="G2932" s="5" t="str">
        <f>HYPERLINK("https://dpmzos25m8ivg.cloudfront.net/Documentos/631/06185548151/6310618554815111092023153505.pdf","https://dpmzos25m8ivg.cloudfront.net/Documentos/631/06185548151/6310618554815111092023153505.pdf")</f>
        <v>https://dpmzos25m8ivg.cloudfront.net/Documentos/631/06185548151/6310618554815111092023153505.pdf</v>
      </c>
      <c r="H2932" s="5" t="s">
        <v>11510</v>
      </c>
    </row>
    <row r="2933" spans="1:8" x14ac:dyDescent="0.25">
      <c r="A2933" s="2" t="s">
        <v>2950</v>
      </c>
      <c r="B2933" s="3"/>
      <c r="C2933" s="3"/>
      <c r="D2933" s="3"/>
      <c r="E2933" s="5" t="str">
        <f>HYPERLINK("https://dpmzos25m8ivg.cloudfront.net/Documentos/631/06188475538/6310618847553810092023184837.jpeg","https://dpmzos25m8ivg.cloudfront.net/Documentos/631/06188475538/6310618847553810092023184837.jpeg")</f>
        <v>https://dpmzos25m8ivg.cloudfront.net/Documentos/631/06188475538/6310618847553810092023184837.jpeg</v>
      </c>
      <c r="F2933" s="5" t="str">
        <f>HYPERLINK("https://dpmzos25m8ivg.cloudfront.net/Documentos/631/06188475538/6310618847553810092023184910.jpeg","https://dpmzos25m8ivg.cloudfront.net/Documentos/631/06188475538/6310618847553810092023184910.jpeg")</f>
        <v>https://dpmzos25m8ivg.cloudfront.net/Documentos/631/06188475538/6310618847553810092023184910.jpeg</v>
      </c>
      <c r="G2933" s="5" t="str">
        <f>HYPERLINK("https://dpmzos25m8ivg.cloudfront.net/Documentos/631/06188475538/6310618847553810092023184927.jpeg","https://dpmzos25m8ivg.cloudfront.net/Documentos/631/06188475538/6310618847553810092023184927.jpeg")</f>
        <v>https://dpmzos25m8ivg.cloudfront.net/Documentos/631/06188475538/6310618847553810092023184927.jpeg</v>
      </c>
      <c r="H2933" s="5" t="s">
        <v>11511</v>
      </c>
    </row>
    <row r="2934" spans="1:8" x14ac:dyDescent="0.25">
      <c r="A2934" s="2" t="s">
        <v>2951</v>
      </c>
      <c r="B2934" s="3"/>
      <c r="C2934" s="3"/>
      <c r="D2934" s="3"/>
      <c r="E2934" s="5" t="str">
        <f>HYPERLINK("https://dpmzos25m8ivg.cloudfront.net/Documentos/631/06189018173/6310618901817311092023140633.pdf","https://dpmzos25m8ivg.cloudfront.net/Documentos/631/06189018173/6310618901817311092023140633.pdf")</f>
        <v>https://dpmzos25m8ivg.cloudfront.net/Documentos/631/06189018173/6310618901817311092023140633.pdf</v>
      </c>
      <c r="F2934" s="5" t="str">
        <f>HYPERLINK("https://dpmzos25m8ivg.cloudfront.net/Documentos/631/06189018173/6310618901817311092023140642.pdf","https://dpmzos25m8ivg.cloudfront.net/Documentos/631/06189018173/6310618901817311092023140642.pdf")</f>
        <v>https://dpmzos25m8ivg.cloudfront.net/Documentos/631/06189018173/6310618901817311092023140642.pdf</v>
      </c>
      <c r="G2934" s="5" t="str">
        <f>HYPERLINK("https://dpmzos25m8ivg.cloudfront.net/Documentos/631/06189018173/6310618901817311092023140651.pdf","https://dpmzos25m8ivg.cloudfront.net/Documentos/631/06189018173/6310618901817311092023140651.pdf")</f>
        <v>https://dpmzos25m8ivg.cloudfront.net/Documentos/631/06189018173/6310618901817311092023140651.pdf</v>
      </c>
      <c r="H2934" s="5" t="s">
        <v>11512</v>
      </c>
    </row>
    <row r="2935" spans="1:8" x14ac:dyDescent="0.25">
      <c r="A2935" s="2" t="s">
        <v>2952</v>
      </c>
      <c r="B2935" s="3"/>
      <c r="C2935" s="3"/>
      <c r="D2935" s="3"/>
      <c r="E2935" s="5" t="str">
        <f>HYPERLINK("https://dpmzos25m8ivg.cloudfront.net/Documentos/631/06189619339/6310618961933911092023155858.pdf","https://dpmzos25m8ivg.cloudfront.net/Documentos/631/06189619339/6310618961933911092023155858.pdf")</f>
        <v>https://dpmzos25m8ivg.cloudfront.net/Documentos/631/06189619339/6310618961933911092023155858.pdf</v>
      </c>
      <c r="F2935" s="5" t="str">
        <f>HYPERLINK("https://dpmzos25m8ivg.cloudfront.net/Documentos/631/06189619339/6310618961933911092023155912.pdf","https://dpmzos25m8ivg.cloudfront.net/Documentos/631/06189619339/6310618961933911092023155912.pdf")</f>
        <v>https://dpmzos25m8ivg.cloudfront.net/Documentos/631/06189619339/6310618961933911092023155912.pdf</v>
      </c>
      <c r="G2935" s="5" t="str">
        <f>HYPERLINK("https://dpmzos25m8ivg.cloudfront.net/Documentos/631/06189619339/6310618961933911092023155927.pdf","https://dpmzos25m8ivg.cloudfront.net/Documentos/631/06189619339/6310618961933911092023155927.pdf")</f>
        <v>https://dpmzos25m8ivg.cloudfront.net/Documentos/631/06189619339/6310618961933911092023155927.pdf</v>
      </c>
      <c r="H2935" s="5" t="s">
        <v>11513</v>
      </c>
    </row>
    <row r="2936" spans="1:8" x14ac:dyDescent="0.25">
      <c r="A2936" s="2" t="s">
        <v>2953</v>
      </c>
      <c r="B2936" s="3"/>
      <c r="C2936" s="3"/>
      <c r="D2936" s="3"/>
      <c r="E2936" s="5" t="str">
        <f>HYPERLINK("https://dpmzos25m8ivg.cloudfront.net/Documentos/631/06191445130/6310619144513005092023144306.pdf","https://dpmzos25m8ivg.cloudfront.net/Documentos/631/06191445130/6310619144513005092023144306.pdf")</f>
        <v>https://dpmzos25m8ivg.cloudfront.net/Documentos/631/06191445130/6310619144513005092023144306.pdf</v>
      </c>
      <c r="F2936" s="5" t="str">
        <f>HYPERLINK("https://dpmzos25m8ivg.cloudfront.net/Documentos/631/06191445130/6310619144513005092023144321.pdf","https://dpmzos25m8ivg.cloudfront.net/Documentos/631/06191445130/6310619144513005092023144321.pdf")</f>
        <v>https://dpmzos25m8ivg.cloudfront.net/Documentos/631/06191445130/6310619144513005092023144321.pdf</v>
      </c>
      <c r="G2936" s="5" t="str">
        <f>HYPERLINK("https://dpmzos25m8ivg.cloudfront.net/Documentos/631/06191445130/6310619144513005092023144334.pdf","https://dpmzos25m8ivg.cloudfront.net/Documentos/631/06191445130/6310619144513005092023144334.pdf")</f>
        <v>https://dpmzos25m8ivg.cloudfront.net/Documentos/631/06191445130/6310619144513005092023144334.pdf</v>
      </c>
      <c r="H2936" s="5" t="s">
        <v>11514</v>
      </c>
    </row>
    <row r="2937" spans="1:8" x14ac:dyDescent="0.25">
      <c r="A2937" s="2" t="s">
        <v>2954</v>
      </c>
      <c r="B2937" s="3"/>
      <c r="C2937" s="3"/>
      <c r="D2937" s="3"/>
      <c r="E2937" s="5" t="str">
        <f>HYPERLINK("https://dpmzos25m8ivg.cloudfront.net/Documentos/631/06191820593/6310619182059311092023120620.pdf","https://dpmzos25m8ivg.cloudfront.net/Documentos/631/06191820593/6310619182059311092023120620.pdf")</f>
        <v>https://dpmzos25m8ivg.cloudfront.net/Documentos/631/06191820593/6310619182059311092023120620.pdf</v>
      </c>
      <c r="F2937" s="5" t="str">
        <f>HYPERLINK("https://dpmzos25m8ivg.cloudfront.net/Documentos/631/06191820593/6310619182059311092023120634.pdf","https://dpmzos25m8ivg.cloudfront.net/Documentos/631/06191820593/6310619182059311092023120634.pdf")</f>
        <v>https://dpmzos25m8ivg.cloudfront.net/Documentos/631/06191820593/6310619182059311092023120634.pdf</v>
      </c>
      <c r="G2937" s="5" t="str">
        <f>HYPERLINK("https://dpmzos25m8ivg.cloudfront.net/Documentos/631/06191820593/6310619182059311092023120643.pdf","https://dpmzos25m8ivg.cloudfront.net/Documentos/631/06191820593/6310619182059311092023120643.pdf")</f>
        <v>https://dpmzos25m8ivg.cloudfront.net/Documentos/631/06191820593/6310619182059311092023120643.pdf</v>
      </c>
      <c r="H2937" s="5" t="s">
        <v>11515</v>
      </c>
    </row>
    <row r="2938" spans="1:8" x14ac:dyDescent="0.25">
      <c r="A2938" s="2" t="s">
        <v>2955</v>
      </c>
      <c r="B2938" s="3"/>
      <c r="C2938" s="3"/>
      <c r="D2938" s="3"/>
      <c r="E2938" s="5" t="str">
        <f>HYPERLINK("https://dpmzos25m8ivg.cloudfront.net/Documentos/631/06192337101/6310619233710105092023155248.pdf","https://dpmzos25m8ivg.cloudfront.net/Documentos/631/06192337101/6310619233710105092023155248.pdf")</f>
        <v>https://dpmzos25m8ivg.cloudfront.net/Documentos/631/06192337101/6310619233710105092023155248.pdf</v>
      </c>
      <c r="F2938" s="5" t="str">
        <f>HYPERLINK("https://dpmzos25m8ivg.cloudfront.net/Documentos/631/06192337101/6310619233710105092023155257.pdf","https://dpmzos25m8ivg.cloudfront.net/Documentos/631/06192337101/6310619233710105092023155257.pdf")</f>
        <v>https://dpmzos25m8ivg.cloudfront.net/Documentos/631/06192337101/6310619233710105092023155257.pdf</v>
      </c>
      <c r="G2938" s="5" t="str">
        <f>HYPERLINK("https://dpmzos25m8ivg.cloudfront.net/Documentos/631/06192337101/6310619233710105092023155306.pdf","https://dpmzos25m8ivg.cloudfront.net/Documentos/631/06192337101/6310619233710105092023155306.pdf")</f>
        <v>https://dpmzos25m8ivg.cloudfront.net/Documentos/631/06192337101/6310619233710105092023155306.pdf</v>
      </c>
      <c r="H2938" s="5" t="s">
        <v>11516</v>
      </c>
    </row>
    <row r="2939" spans="1:8" x14ac:dyDescent="0.25">
      <c r="A2939" s="2" t="s">
        <v>2956</v>
      </c>
      <c r="B2939" s="3"/>
      <c r="C2939" s="3"/>
      <c r="D2939" s="3"/>
      <c r="E2939" s="5" t="str">
        <f>HYPERLINK("https://dpmzos25m8ivg.cloudfront.net/Documentos/631/06192571643/6310619257164311092023160129.jpg","https://dpmzos25m8ivg.cloudfront.net/Documentos/631/06192571643/6310619257164311092023160129.jpg")</f>
        <v>https://dpmzos25m8ivg.cloudfront.net/Documentos/631/06192571643/6310619257164311092023160129.jpg</v>
      </c>
      <c r="F2939" s="5" t="str">
        <f>HYPERLINK("https://dpmzos25m8ivg.cloudfront.net/Documentos/631/06192571643/6310619257164311092023160141.jpg","https://dpmzos25m8ivg.cloudfront.net/Documentos/631/06192571643/6310619257164311092023160141.jpg")</f>
        <v>https://dpmzos25m8ivg.cloudfront.net/Documentos/631/06192571643/6310619257164311092023160141.jpg</v>
      </c>
      <c r="G2939" s="5" t="str">
        <f>HYPERLINK("https://dpmzos25m8ivg.cloudfront.net/Documentos/631/06192571643/6310619257164311092023160059.jpg","https://dpmzos25m8ivg.cloudfront.net/Documentos/631/06192571643/6310619257164311092023160059.jpg")</f>
        <v>https://dpmzos25m8ivg.cloudfront.net/Documentos/631/06192571643/6310619257164311092023160059.jpg</v>
      </c>
      <c r="H2939" s="5" t="s">
        <v>11517</v>
      </c>
    </row>
    <row r="2940" spans="1:8" x14ac:dyDescent="0.25">
      <c r="A2940" s="2" t="s">
        <v>2957</v>
      </c>
      <c r="B2940" s="3"/>
      <c r="C2940" s="3"/>
      <c r="D2940" s="3"/>
      <c r="E2940" s="5" t="str">
        <f>HYPERLINK("https://dpmzos25m8ivg.cloudfront.net/Documentos/631/06201463380/6310620146338009092023201100.pdf","https://dpmzos25m8ivg.cloudfront.net/Documentos/631/06201463380/6310620146338009092023201100.pdf")</f>
        <v>https://dpmzos25m8ivg.cloudfront.net/Documentos/631/06201463380/6310620146338009092023201100.pdf</v>
      </c>
      <c r="F2940" s="5" t="str">
        <f>HYPERLINK("https://dpmzos25m8ivg.cloudfront.net/Documentos/631/06201463380/6310620146338009092023201121.pdf","https://dpmzos25m8ivg.cloudfront.net/Documentos/631/06201463380/6310620146338009092023201121.pdf")</f>
        <v>https://dpmzos25m8ivg.cloudfront.net/Documentos/631/06201463380/6310620146338009092023201121.pdf</v>
      </c>
      <c r="G2940" s="5" t="str">
        <f>HYPERLINK("https://dpmzos25m8ivg.cloudfront.net/Documentos/631/06201463380/6310620146338009092023201134.pdf","https://dpmzos25m8ivg.cloudfront.net/Documentos/631/06201463380/6310620146338009092023201134.pdf")</f>
        <v>https://dpmzos25m8ivg.cloudfront.net/Documentos/631/06201463380/6310620146338009092023201134.pdf</v>
      </c>
      <c r="H2940" s="5" t="s">
        <v>11518</v>
      </c>
    </row>
    <row r="2941" spans="1:8" x14ac:dyDescent="0.25">
      <c r="A2941" s="2" t="s">
        <v>2958</v>
      </c>
      <c r="B2941" s="3" t="s">
        <v>2358</v>
      </c>
      <c r="C2941" s="3"/>
      <c r="D2941" s="3"/>
      <c r="E2941" s="5" t="str">
        <f>HYPERLINK("https://dpmzos25m8ivg.cloudfront.net/Documentos/631/06202230304/6310620223030411092023164029.pdf","https://dpmzos25m8ivg.cloudfront.net/Documentos/631/06202230304/6310620223030411092023164029.pdf")</f>
        <v>https://dpmzos25m8ivg.cloudfront.net/Documentos/631/06202230304/6310620223030411092023164029.pdf</v>
      </c>
      <c r="F2941" s="5" t="str">
        <f>HYPERLINK("https://dpmzos25m8ivg.cloudfront.net/Documentos/631/06202230304/6310620223030411092023164037.pdf","https://dpmzos25m8ivg.cloudfront.net/Documentos/631/06202230304/6310620223030411092023164037.pdf")</f>
        <v>https://dpmzos25m8ivg.cloudfront.net/Documentos/631/06202230304/6310620223030411092023164037.pdf</v>
      </c>
      <c r="G2941" s="5" t="str">
        <f>HYPERLINK("https://dpmzos25m8ivg.cloudfront.net/Documentos/631/06202230304/6310620223030411092023164044.pdf","https://dpmzos25m8ivg.cloudfront.net/Documentos/631/06202230304/6310620223030411092023164044.pdf")</f>
        <v>https://dpmzos25m8ivg.cloudfront.net/Documentos/631/06202230304/6310620223030411092023164044.pdf</v>
      </c>
      <c r="H2941" s="5" t="s">
        <v>11519</v>
      </c>
    </row>
    <row r="2942" spans="1:8" x14ac:dyDescent="0.25">
      <c r="A2942" s="2" t="s">
        <v>2959</v>
      </c>
      <c r="B2942" s="3"/>
      <c r="C2942" s="3"/>
      <c r="D2942" s="3"/>
      <c r="E2942" s="5" t="str">
        <f>HYPERLINK("https://dpmzos25m8ivg.cloudfront.net/Documentos/631/06202828439/6310620282843905092023112309.pdf","https://dpmzos25m8ivg.cloudfront.net/Documentos/631/06202828439/6310620282843905092023112309.pdf")</f>
        <v>https://dpmzos25m8ivg.cloudfront.net/Documentos/631/06202828439/6310620282843905092023112309.pdf</v>
      </c>
      <c r="F2942" s="5" t="str">
        <f>HYPERLINK("https://dpmzos25m8ivg.cloudfront.net/Documentos/631/06202828439/6310620282843905092023112336.pdf","https://dpmzos25m8ivg.cloudfront.net/Documentos/631/06202828439/6310620282843905092023112336.pdf")</f>
        <v>https://dpmzos25m8ivg.cloudfront.net/Documentos/631/06202828439/6310620282843905092023112336.pdf</v>
      </c>
      <c r="G2942" s="5" t="str">
        <f>HYPERLINK("https://dpmzos25m8ivg.cloudfront.net/Documentos/631/06202828439/6310620282843905092023112352.pdf","https://dpmzos25m8ivg.cloudfront.net/Documentos/631/06202828439/6310620282843905092023112352.pdf")</f>
        <v>https://dpmzos25m8ivg.cloudfront.net/Documentos/631/06202828439/6310620282843905092023112352.pdf</v>
      </c>
      <c r="H2942" s="5" t="s">
        <v>11520</v>
      </c>
    </row>
    <row r="2943" spans="1:8" x14ac:dyDescent="0.25">
      <c r="A2943" s="2" t="s">
        <v>2960</v>
      </c>
      <c r="B2943" s="3"/>
      <c r="C2943" s="3"/>
      <c r="D2943" s="3"/>
      <c r="E2943" s="5" t="str">
        <f>HYPERLINK("https://dpmzos25m8ivg.cloudfront.net/Documentos/631/06204775553/6310620477555307092023232731.pdf","https://dpmzos25m8ivg.cloudfront.net/Documentos/631/06204775553/6310620477555307092023232731.pdf")</f>
        <v>https://dpmzos25m8ivg.cloudfront.net/Documentos/631/06204775553/6310620477555307092023232731.pdf</v>
      </c>
      <c r="F2943" s="5" t="str">
        <f>HYPERLINK("https://dpmzos25m8ivg.cloudfront.net/Documentos/631/06204775553/6310620477555307092023232741.pdf","https://dpmzos25m8ivg.cloudfront.net/Documentos/631/06204775553/6310620477555307092023232741.pdf")</f>
        <v>https://dpmzos25m8ivg.cloudfront.net/Documentos/631/06204775553/6310620477555307092023232741.pdf</v>
      </c>
      <c r="G2943" s="5" t="str">
        <f>HYPERLINK("https://dpmzos25m8ivg.cloudfront.net/Documentos/631/06204775553/6310620477555307092023232753.pdf","https://dpmzos25m8ivg.cloudfront.net/Documentos/631/06204775553/6310620477555307092023232753.pdf")</f>
        <v>https://dpmzos25m8ivg.cloudfront.net/Documentos/631/06204775553/6310620477555307092023232753.pdf</v>
      </c>
      <c r="H2943" s="5" t="s">
        <v>11521</v>
      </c>
    </row>
    <row r="2944" spans="1:8" x14ac:dyDescent="0.25">
      <c r="A2944" s="2" t="s">
        <v>2961</v>
      </c>
      <c r="B2944" s="3"/>
      <c r="C2944" s="3"/>
      <c r="D2944" s="3"/>
      <c r="E2944" s="5" t="str">
        <f>HYPERLINK("https://dpmzos25m8ivg.cloudfront.net/Documentos/631/06204804596/6310620480459611092023001442.pdf","https://dpmzos25m8ivg.cloudfront.net/Documentos/631/06204804596/6310620480459611092023001442.pdf")</f>
        <v>https://dpmzos25m8ivg.cloudfront.net/Documentos/631/06204804596/6310620480459611092023001442.pdf</v>
      </c>
      <c r="F2944" s="5" t="str">
        <f>HYPERLINK("https://dpmzos25m8ivg.cloudfront.net/Documentos/631/06204804596/6310620480459611092023001453.pdf","https://dpmzos25m8ivg.cloudfront.net/Documentos/631/06204804596/6310620480459611092023001453.pdf")</f>
        <v>https://dpmzos25m8ivg.cloudfront.net/Documentos/631/06204804596/6310620480459611092023001453.pdf</v>
      </c>
      <c r="G2944" s="5" t="str">
        <f>HYPERLINK("https://dpmzos25m8ivg.cloudfront.net/Documentos/631/06204804596/6310620480459611092023001503.pdf","https://dpmzos25m8ivg.cloudfront.net/Documentos/631/06204804596/6310620480459611092023001503.pdf")</f>
        <v>https://dpmzos25m8ivg.cloudfront.net/Documentos/631/06204804596/6310620480459611092023001503.pdf</v>
      </c>
      <c r="H2944" s="5" t="s">
        <v>11522</v>
      </c>
    </row>
    <row r="2945" spans="1:8" x14ac:dyDescent="0.25">
      <c r="A2945" s="2" t="s">
        <v>2962</v>
      </c>
      <c r="B2945" s="3" t="s">
        <v>2358</v>
      </c>
      <c r="C2945" s="3"/>
      <c r="D2945" s="3"/>
      <c r="E2945" s="5" t="str">
        <f>HYPERLINK("https://dpmzos25m8ivg.cloudfront.net/Documentos/631/06210532365/6310621053236514092023121822.jpg","https://dpmzos25m8ivg.cloudfront.net/Documentos/631/06210532365/6310621053236514092023121822.jpg")</f>
        <v>https://dpmzos25m8ivg.cloudfront.net/Documentos/631/06210532365/6310621053236514092023121822.jpg</v>
      </c>
      <c r="F2945" s="5" t="str">
        <f>HYPERLINK("https://dpmzos25m8ivg.cloudfront.net/Documentos/631/06210532365/6310621053236514092023121846.jpg","https://dpmzos25m8ivg.cloudfront.net/Documentos/631/06210532365/6310621053236514092023121846.jpg")</f>
        <v>https://dpmzos25m8ivg.cloudfront.net/Documentos/631/06210532365/6310621053236514092023121846.jpg</v>
      </c>
      <c r="G2945" s="5" t="str">
        <f>HYPERLINK("https://dpmzos25m8ivg.cloudfront.net/Documentos/631/06210532365/6310621053236514092023121856.jpg","https://dpmzos25m8ivg.cloudfront.net/Documentos/631/06210532365/6310621053236514092023121856.jpg")</f>
        <v>https://dpmzos25m8ivg.cloudfront.net/Documentos/631/06210532365/6310621053236514092023121856.jpg</v>
      </c>
      <c r="H2945" s="5" t="s">
        <v>11523</v>
      </c>
    </row>
    <row r="2946" spans="1:8" x14ac:dyDescent="0.25">
      <c r="A2946" s="2" t="s">
        <v>2963</v>
      </c>
      <c r="B2946" s="3"/>
      <c r="C2946" s="3"/>
      <c r="D2946" s="3"/>
      <c r="E2946" s="5" t="str">
        <f>HYPERLINK("https://dpmzos25m8ivg.cloudfront.net/Documentos/631/06214041447/6310621404144706092023153408.pdf","https://dpmzos25m8ivg.cloudfront.net/Documentos/631/06214041447/6310621404144706092023153408.pdf")</f>
        <v>https://dpmzos25m8ivg.cloudfront.net/Documentos/631/06214041447/6310621404144706092023153408.pdf</v>
      </c>
      <c r="F2946" s="5" t="str">
        <f>HYPERLINK("https://dpmzos25m8ivg.cloudfront.net/Documentos/631/06214041447/6310621404144706092023153418.pdf","https://dpmzos25m8ivg.cloudfront.net/Documentos/631/06214041447/6310621404144706092023153418.pdf")</f>
        <v>https://dpmzos25m8ivg.cloudfront.net/Documentos/631/06214041447/6310621404144706092023153418.pdf</v>
      </c>
      <c r="G2946" s="5" t="str">
        <f>HYPERLINK("https://dpmzos25m8ivg.cloudfront.net/Documentos/631/06214041447/6310621404144706092023153427.pdf","https://dpmzos25m8ivg.cloudfront.net/Documentos/631/06214041447/6310621404144706092023153427.pdf")</f>
        <v>https://dpmzos25m8ivg.cloudfront.net/Documentos/631/06214041447/6310621404144706092023153427.pdf</v>
      </c>
      <c r="H2946" s="5" t="s">
        <v>11524</v>
      </c>
    </row>
    <row r="2947" spans="1:8" x14ac:dyDescent="0.25">
      <c r="A2947" s="2" t="s">
        <v>2964</v>
      </c>
      <c r="B2947" s="3"/>
      <c r="C2947" s="3"/>
      <c r="D2947" s="3"/>
      <c r="E2947" s="5" t="str">
        <f>HYPERLINK("https://dpmzos25m8ivg.cloudfront.net/Documentos/631/06216681176/6310621668117609092023095630.pdf","https://dpmzos25m8ivg.cloudfront.net/Documentos/631/06216681176/6310621668117609092023095630.pdf")</f>
        <v>https://dpmzos25m8ivg.cloudfront.net/Documentos/631/06216681176/6310621668117609092023095630.pdf</v>
      </c>
      <c r="F2947" s="5" t="str">
        <f>HYPERLINK("https://dpmzos25m8ivg.cloudfront.net/Documentos/631/06216681176/6310621668117609092023095648.pdf","https://dpmzos25m8ivg.cloudfront.net/Documentos/631/06216681176/6310621668117609092023095648.pdf")</f>
        <v>https://dpmzos25m8ivg.cloudfront.net/Documentos/631/06216681176/6310621668117609092023095648.pdf</v>
      </c>
      <c r="G2947" s="5" t="str">
        <f>HYPERLINK("https://dpmzos25m8ivg.cloudfront.net/Documentos/631/06216681176/6310621668117609092023095556.pdf","https://dpmzos25m8ivg.cloudfront.net/Documentos/631/06216681176/6310621668117609092023095556.pdf")</f>
        <v>https://dpmzos25m8ivg.cloudfront.net/Documentos/631/06216681176/6310621668117609092023095556.pdf</v>
      </c>
      <c r="H2947" s="5" t="s">
        <v>11525</v>
      </c>
    </row>
    <row r="2948" spans="1:8" x14ac:dyDescent="0.25">
      <c r="A2948" s="2" t="s">
        <v>2965</v>
      </c>
      <c r="B2948" s="3" t="s">
        <v>2358</v>
      </c>
      <c r="C2948" s="3"/>
      <c r="D2948" s="3"/>
      <c r="E2948" s="5" t="str">
        <f>HYPERLINK("https://dpmzos25m8ivg.cloudfront.net/Documentos/631/06219905741/6310621990574111092023164329.pdf","https://dpmzos25m8ivg.cloudfront.net/Documentos/631/06219905741/6310621990574111092023164329.pdf")</f>
        <v>https://dpmzos25m8ivg.cloudfront.net/Documentos/631/06219905741/6310621990574111092023164329.pdf</v>
      </c>
      <c r="F2948" s="5" t="str">
        <f>HYPERLINK("https://dpmzos25m8ivg.cloudfront.net/Documentos/631/06219905741/6310621990574111092023164347.pdf","https://dpmzos25m8ivg.cloudfront.net/Documentos/631/06219905741/6310621990574111092023164347.pdf")</f>
        <v>https://dpmzos25m8ivg.cloudfront.net/Documentos/631/06219905741/6310621990574111092023164347.pdf</v>
      </c>
      <c r="G2948" s="5" t="str">
        <f>HYPERLINK("https://dpmzos25m8ivg.cloudfront.net/Documentos/631/06219905741/6310621990574111092023164416.pdf","https://dpmzos25m8ivg.cloudfront.net/Documentos/631/06219905741/6310621990574111092023164416.pdf")</f>
        <v>https://dpmzos25m8ivg.cloudfront.net/Documentos/631/06219905741/6310621990574111092023164416.pdf</v>
      </c>
      <c r="H2948" s="5" t="s">
        <v>11526</v>
      </c>
    </row>
    <row r="2949" spans="1:8" x14ac:dyDescent="0.25">
      <c r="A2949" s="2" t="s">
        <v>2966</v>
      </c>
      <c r="B2949" s="3"/>
      <c r="C2949" s="3"/>
      <c r="D2949" s="3"/>
      <c r="E2949" s="5" t="str">
        <f>HYPERLINK("https://dpmzos25m8ivg.cloudfront.net/Documentos/631/06220608305/6310622060830511092023112755.pdf","https://dpmzos25m8ivg.cloudfront.net/Documentos/631/06220608305/6310622060830511092023112755.pdf")</f>
        <v>https://dpmzos25m8ivg.cloudfront.net/Documentos/631/06220608305/6310622060830511092023112755.pdf</v>
      </c>
      <c r="F2949" s="5" t="str">
        <f>HYPERLINK("https://dpmzos25m8ivg.cloudfront.net/Documentos/631/06220608305/6310622060830511092023112857.pdf","https://dpmzos25m8ivg.cloudfront.net/Documentos/631/06220608305/6310622060830511092023112857.pdf")</f>
        <v>https://dpmzos25m8ivg.cloudfront.net/Documentos/631/06220608305/6310622060830511092023112857.pdf</v>
      </c>
      <c r="G2949" s="5" t="str">
        <f>HYPERLINK("https://dpmzos25m8ivg.cloudfront.net/Documentos/631/06220608305/6310622060830511092023113001.pdf","https://dpmzos25m8ivg.cloudfront.net/Documentos/631/06220608305/6310622060830511092023113001.pdf")</f>
        <v>https://dpmzos25m8ivg.cloudfront.net/Documentos/631/06220608305/6310622060830511092023113001.pdf</v>
      </c>
      <c r="H2949" s="5" t="s">
        <v>11527</v>
      </c>
    </row>
    <row r="2950" spans="1:8" x14ac:dyDescent="0.25">
      <c r="A2950" s="2" t="s">
        <v>2967</v>
      </c>
      <c r="B2950" s="3"/>
      <c r="C2950" s="3"/>
      <c r="D2950" s="3"/>
      <c r="E2950" s="5" t="str">
        <f>HYPERLINK("https://dpmzos25m8ivg.cloudfront.net/Documentos/631/06220787390/6310622078739011092023153928.pdf","https://dpmzos25m8ivg.cloudfront.net/Documentos/631/06220787390/6310622078739011092023153928.pdf")</f>
        <v>https://dpmzos25m8ivg.cloudfront.net/Documentos/631/06220787390/6310622078739011092023153928.pdf</v>
      </c>
      <c r="F2950" s="5" t="str">
        <f>HYPERLINK("https://dpmzos25m8ivg.cloudfront.net/Documentos/631/06220787390/6310622078739011092023154114.pdf","https://dpmzos25m8ivg.cloudfront.net/Documentos/631/06220787390/6310622078739011092023154114.pdf")</f>
        <v>https://dpmzos25m8ivg.cloudfront.net/Documentos/631/06220787390/6310622078739011092023154114.pdf</v>
      </c>
      <c r="G2950" s="5" t="str">
        <f>HYPERLINK("https://dpmzos25m8ivg.cloudfront.net/Documentos/631/06220787390/6310622078739011092023154245.pdf","https://dpmzos25m8ivg.cloudfront.net/Documentos/631/06220787390/6310622078739011092023154245.pdf")</f>
        <v>https://dpmzos25m8ivg.cloudfront.net/Documentos/631/06220787390/6310622078739011092023154245.pdf</v>
      </c>
      <c r="H2950" s="5" t="s">
        <v>11528</v>
      </c>
    </row>
    <row r="2951" spans="1:8" x14ac:dyDescent="0.25">
      <c r="A2951" s="2" t="s">
        <v>2968</v>
      </c>
      <c r="B2951" s="3"/>
      <c r="C2951" s="3"/>
      <c r="D2951" s="3"/>
      <c r="E2951" s="5" t="str">
        <f>HYPERLINK("https://dpmzos25m8ivg.cloudfront.net/Documentos/631/06220917510/6310622091751008092023115621.jpg","https://dpmzos25m8ivg.cloudfront.net/Documentos/631/06220917510/6310622091751008092023115621.jpg")</f>
        <v>https://dpmzos25m8ivg.cloudfront.net/Documentos/631/06220917510/6310622091751008092023115621.jpg</v>
      </c>
      <c r="F2951" s="5" t="str">
        <f>HYPERLINK("https://dpmzos25m8ivg.cloudfront.net/Documentos/631/06220917510/6310622091751008092023115633.jpg","https://dpmzos25m8ivg.cloudfront.net/Documentos/631/06220917510/6310622091751008092023115633.jpg")</f>
        <v>https://dpmzos25m8ivg.cloudfront.net/Documentos/631/06220917510/6310622091751008092023115633.jpg</v>
      </c>
      <c r="G2951" s="5" t="str">
        <f>HYPERLINK("https://dpmzos25m8ivg.cloudfront.net/Documentos/631/06220917510/6310622091751008092023115648.jpg","https://dpmzos25m8ivg.cloudfront.net/Documentos/631/06220917510/6310622091751008092023115648.jpg")</f>
        <v>https://dpmzos25m8ivg.cloudfront.net/Documentos/631/06220917510/6310622091751008092023115648.jpg</v>
      </c>
      <c r="H2951" s="5" t="s">
        <v>11529</v>
      </c>
    </row>
    <row r="2952" spans="1:8" x14ac:dyDescent="0.25">
      <c r="A2952" s="2" t="s">
        <v>2969</v>
      </c>
      <c r="B2952" s="3"/>
      <c r="C2952" s="3"/>
      <c r="D2952" s="3"/>
      <c r="E2952" s="5" t="str">
        <f>HYPERLINK("https://dpmzos25m8ivg.cloudfront.net/Documentos/631/06222459617/6310622245961705092023191451.pdf","https://dpmzos25m8ivg.cloudfront.net/Documentos/631/06222459617/6310622245961705092023191451.pdf")</f>
        <v>https://dpmzos25m8ivg.cloudfront.net/Documentos/631/06222459617/6310622245961705092023191451.pdf</v>
      </c>
      <c r="F2952" s="5" t="str">
        <f>HYPERLINK("https://dpmzos25m8ivg.cloudfront.net/Documentos/631/06222459617/6310622245961705092023191459.pdf","https://dpmzos25m8ivg.cloudfront.net/Documentos/631/06222459617/6310622245961705092023191459.pdf")</f>
        <v>https://dpmzos25m8ivg.cloudfront.net/Documentos/631/06222459617/6310622245961705092023191459.pdf</v>
      </c>
      <c r="G2952" s="5" t="str">
        <f>HYPERLINK("https://dpmzos25m8ivg.cloudfront.net/Documentos/631/06222459617/6310622245961705092023191507.pdf","https://dpmzos25m8ivg.cloudfront.net/Documentos/631/06222459617/6310622245961705092023191507.pdf")</f>
        <v>https://dpmzos25m8ivg.cloudfront.net/Documentos/631/06222459617/6310622245961705092023191507.pdf</v>
      </c>
      <c r="H2952" s="5" t="s">
        <v>11530</v>
      </c>
    </row>
    <row r="2953" spans="1:8" x14ac:dyDescent="0.25">
      <c r="A2953" s="2" t="s">
        <v>2970</v>
      </c>
      <c r="B2953" s="3"/>
      <c r="C2953" s="3"/>
      <c r="D2953" s="3"/>
      <c r="E2953" s="5" t="str">
        <f>HYPERLINK("https://dpmzos25m8ivg.cloudfront.net/Documentos/631/06228942930/6310622894293011092023143126.jpeg","https://dpmzos25m8ivg.cloudfront.net/Documentos/631/06228942930/6310622894293011092023143126.jpeg")</f>
        <v>https://dpmzos25m8ivg.cloudfront.net/Documentos/631/06228942930/6310622894293011092023143126.jpeg</v>
      </c>
      <c r="F2953" s="5" t="str">
        <f>HYPERLINK("https://dpmzos25m8ivg.cloudfront.net/Documentos/631/06228942930/6310622894293011092023143143.jpeg","https://dpmzos25m8ivg.cloudfront.net/Documentos/631/06228942930/6310622894293011092023143143.jpeg")</f>
        <v>https://dpmzos25m8ivg.cloudfront.net/Documentos/631/06228942930/6310622894293011092023143143.jpeg</v>
      </c>
      <c r="G2953" s="5" t="str">
        <f>HYPERLINK("https://dpmzos25m8ivg.cloudfront.net/Documentos/631/06228942930/6310622894293011092023143152.jpeg","https://dpmzos25m8ivg.cloudfront.net/Documentos/631/06228942930/6310622894293011092023143152.jpeg")</f>
        <v>https://dpmzos25m8ivg.cloudfront.net/Documentos/631/06228942930/6310622894293011092023143152.jpeg</v>
      </c>
      <c r="H2953" s="5" t="s">
        <v>11531</v>
      </c>
    </row>
    <row r="2954" spans="1:8" x14ac:dyDescent="0.25">
      <c r="A2954" s="2" t="s">
        <v>2971</v>
      </c>
      <c r="B2954" s="3" t="s">
        <v>2358</v>
      </c>
      <c r="C2954" s="3"/>
      <c r="D2954" s="3"/>
      <c r="E2954" s="5" t="str">
        <f>HYPERLINK("https://dpmzos25m8ivg.cloudfront.net/Documentos/631/06229688662/6310622968866210092023175936.pdf","https://dpmzos25m8ivg.cloudfront.net/Documentos/631/06229688662/6310622968866210092023175936.pdf")</f>
        <v>https://dpmzos25m8ivg.cloudfront.net/Documentos/631/06229688662/6310622968866210092023175936.pdf</v>
      </c>
      <c r="F2954" s="5" t="str">
        <f>HYPERLINK("https://dpmzos25m8ivg.cloudfront.net/Documentos/631/06229688662/6310622968866210092023180032.pdf","https://dpmzos25m8ivg.cloudfront.net/Documentos/631/06229688662/6310622968866210092023180032.pdf")</f>
        <v>https://dpmzos25m8ivg.cloudfront.net/Documentos/631/06229688662/6310622968866210092023180032.pdf</v>
      </c>
      <c r="G2954" s="5" t="str">
        <f>HYPERLINK("https://dpmzos25m8ivg.cloudfront.net/Documentos/631/06229688662/6310622968866210092023180055.pdf","https://dpmzos25m8ivg.cloudfront.net/Documentos/631/06229688662/6310622968866210092023180055.pdf")</f>
        <v>https://dpmzos25m8ivg.cloudfront.net/Documentos/631/06229688662/6310622968866210092023180055.pdf</v>
      </c>
      <c r="H2954" s="5" t="s">
        <v>11532</v>
      </c>
    </row>
    <row r="2955" spans="1:8" x14ac:dyDescent="0.25">
      <c r="A2955" s="2" t="s">
        <v>2972</v>
      </c>
      <c r="B2955" s="3" t="s">
        <v>2358</v>
      </c>
      <c r="C2955" s="3"/>
      <c r="D2955" s="3"/>
      <c r="E2955" s="5" t="str">
        <f>HYPERLINK("https://dpmzos25m8ivg.cloudfront.net/Documentos/631/06232082532/6310623208253205092023234545.jpg","https://dpmzos25m8ivg.cloudfront.net/Documentos/631/06232082532/6310623208253205092023234545.jpg")</f>
        <v>https://dpmzos25m8ivg.cloudfront.net/Documentos/631/06232082532/6310623208253205092023234545.jpg</v>
      </c>
      <c r="F2955" s="5" t="str">
        <f>HYPERLINK("https://dpmzos25m8ivg.cloudfront.net/Documentos/631/06232082532/6310623208253205092023234602.jpg","https://dpmzos25m8ivg.cloudfront.net/Documentos/631/06232082532/6310623208253205092023234602.jpg")</f>
        <v>https://dpmzos25m8ivg.cloudfront.net/Documentos/631/06232082532/6310623208253205092023234602.jpg</v>
      </c>
      <c r="G2955" s="5" t="str">
        <f>HYPERLINK("https://dpmzos25m8ivg.cloudfront.net/Documentos/631/06232082532/6310623208253205092023234625.jpg","https://dpmzos25m8ivg.cloudfront.net/Documentos/631/06232082532/6310623208253205092023234625.jpg")</f>
        <v>https://dpmzos25m8ivg.cloudfront.net/Documentos/631/06232082532/6310623208253205092023234625.jpg</v>
      </c>
      <c r="H2955" s="5" t="s">
        <v>11533</v>
      </c>
    </row>
    <row r="2956" spans="1:8" x14ac:dyDescent="0.25">
      <c r="A2956" s="2" t="s">
        <v>2973</v>
      </c>
      <c r="B2956" s="3" t="s">
        <v>8</v>
      </c>
      <c r="C2956" s="3"/>
      <c r="D2956" s="3"/>
      <c r="E2956" s="5" t="str">
        <f>HYPERLINK("https://dpmzos25m8ivg.cloudfront.net/Documentos/631/06232177592/6310623217759209092023201926.pdf","https://dpmzos25m8ivg.cloudfront.net/Documentos/631/06232177592/6310623217759209092023201926.pdf")</f>
        <v>https://dpmzos25m8ivg.cloudfront.net/Documentos/631/06232177592/6310623217759209092023201926.pdf</v>
      </c>
      <c r="F2956" s="5" t="str">
        <f>HYPERLINK("https://dpmzos25m8ivg.cloudfront.net/Documentos/631/06232177592/6310623217759209092023201938.pdf","https://dpmzos25m8ivg.cloudfront.net/Documentos/631/06232177592/6310623217759209092023201938.pdf")</f>
        <v>https://dpmzos25m8ivg.cloudfront.net/Documentos/631/06232177592/6310623217759209092023201938.pdf</v>
      </c>
      <c r="G2956" s="5" t="str">
        <f>HYPERLINK("https://dpmzos25m8ivg.cloudfront.net/Documentos/631/06232177592/6310623217759209092023201948.pdf","https://dpmzos25m8ivg.cloudfront.net/Documentos/631/06232177592/6310623217759209092023201948.pdf")</f>
        <v>https://dpmzos25m8ivg.cloudfront.net/Documentos/631/06232177592/6310623217759209092023201948.pdf</v>
      </c>
      <c r="H2956" s="5" t="s">
        <v>11534</v>
      </c>
    </row>
    <row r="2957" spans="1:8" x14ac:dyDescent="0.25">
      <c r="A2957" s="2" t="s">
        <v>2974</v>
      </c>
      <c r="B2957" s="3"/>
      <c r="C2957" s="3"/>
      <c r="D2957" s="3"/>
      <c r="E2957" s="5" t="str">
        <f>HYPERLINK("https://dpmzos25m8ivg.cloudfront.net/Documentos/631/06234072135/6310623407213511092023145108.pdf","https://dpmzos25m8ivg.cloudfront.net/Documentos/631/06234072135/6310623407213511092023145108.pdf")</f>
        <v>https://dpmzos25m8ivg.cloudfront.net/Documentos/631/06234072135/6310623407213511092023145108.pdf</v>
      </c>
      <c r="F2957" s="5" t="str">
        <f>HYPERLINK("https://dpmzos25m8ivg.cloudfront.net/Documentos/631/06234072135/6310623407213511092023145120.pdf","https://dpmzos25m8ivg.cloudfront.net/Documentos/631/06234072135/6310623407213511092023145120.pdf")</f>
        <v>https://dpmzos25m8ivg.cloudfront.net/Documentos/631/06234072135/6310623407213511092023145120.pdf</v>
      </c>
      <c r="G2957" s="5" t="str">
        <f>HYPERLINK("https://dpmzos25m8ivg.cloudfront.net/Documentos/631/06234072135/6310623407213511092023145127.pdf","https://dpmzos25m8ivg.cloudfront.net/Documentos/631/06234072135/6310623407213511092023145127.pdf")</f>
        <v>https://dpmzos25m8ivg.cloudfront.net/Documentos/631/06234072135/6310623407213511092023145127.pdf</v>
      </c>
      <c r="H2957" s="5" t="s">
        <v>11535</v>
      </c>
    </row>
    <row r="2958" spans="1:8" x14ac:dyDescent="0.25">
      <c r="A2958" s="2" t="s">
        <v>2975</v>
      </c>
      <c r="B2958" s="3"/>
      <c r="C2958" s="3"/>
      <c r="D2958" s="3"/>
      <c r="E2958" s="5" t="str">
        <f>HYPERLINK("https://dpmzos25m8ivg.cloudfront.net/Documentos/631/06234790100/6310623479010008092023205521.pdf","https://dpmzos25m8ivg.cloudfront.net/Documentos/631/06234790100/6310623479010008092023205521.pdf")</f>
        <v>https://dpmzos25m8ivg.cloudfront.net/Documentos/631/06234790100/6310623479010008092023205521.pdf</v>
      </c>
      <c r="F2958" s="5" t="str">
        <f>HYPERLINK("https://dpmzos25m8ivg.cloudfront.net/Documentos/631/06234790100/6310623479010008092023205535.pdf","https://dpmzos25m8ivg.cloudfront.net/Documentos/631/06234790100/6310623479010008092023205535.pdf")</f>
        <v>https://dpmzos25m8ivg.cloudfront.net/Documentos/631/06234790100/6310623479010008092023205535.pdf</v>
      </c>
      <c r="G2958" s="5" t="str">
        <f>HYPERLINK("https://dpmzos25m8ivg.cloudfront.net/Documentos/631/06234790100/6310623479010008092023205546.pdf","https://dpmzos25m8ivg.cloudfront.net/Documentos/631/06234790100/6310623479010008092023205546.pdf")</f>
        <v>https://dpmzos25m8ivg.cloudfront.net/Documentos/631/06234790100/6310623479010008092023205546.pdf</v>
      </c>
      <c r="H2958" s="5" t="s">
        <v>11536</v>
      </c>
    </row>
    <row r="2959" spans="1:8" x14ac:dyDescent="0.25">
      <c r="A2959" s="2" t="s">
        <v>2976</v>
      </c>
      <c r="B2959" s="3"/>
      <c r="C2959" s="3"/>
      <c r="D2959" s="3"/>
      <c r="E2959" s="5" t="str">
        <f>HYPERLINK("https://dpmzos25m8ivg.cloudfront.net/Documentos/631/06237173102/6310623717310209092023160856.jpg","https://dpmzos25m8ivg.cloudfront.net/Documentos/631/06237173102/6310623717310209092023160856.jpg")</f>
        <v>https://dpmzos25m8ivg.cloudfront.net/Documentos/631/06237173102/6310623717310209092023160856.jpg</v>
      </c>
      <c r="F2959" s="5" t="str">
        <f>HYPERLINK("https://dpmzos25m8ivg.cloudfront.net/Documentos/631/06237173102/6310623717310209092023160907.jpg","https://dpmzos25m8ivg.cloudfront.net/Documentos/631/06237173102/6310623717310209092023160907.jpg")</f>
        <v>https://dpmzos25m8ivg.cloudfront.net/Documentos/631/06237173102/6310623717310209092023160907.jpg</v>
      </c>
      <c r="G2959" s="5" t="str">
        <f>HYPERLINK("https://dpmzos25m8ivg.cloudfront.net/Documentos/631/06237173102/6310623717310209092023160919.jpg","https://dpmzos25m8ivg.cloudfront.net/Documentos/631/06237173102/6310623717310209092023160919.jpg")</f>
        <v>https://dpmzos25m8ivg.cloudfront.net/Documentos/631/06237173102/6310623717310209092023160919.jpg</v>
      </c>
      <c r="H2959" s="5" t="s">
        <v>11537</v>
      </c>
    </row>
    <row r="2960" spans="1:8" x14ac:dyDescent="0.25">
      <c r="A2960" s="2" t="s">
        <v>2977</v>
      </c>
      <c r="B2960" s="3"/>
      <c r="C2960" s="3"/>
      <c r="D2960" s="3"/>
      <c r="E2960" s="5" t="str">
        <f>HYPERLINK("https://dpmzos25m8ivg.cloudfront.net/Documentos/631/06237727604/6310623772760411092023112041.pdf","https://dpmzos25m8ivg.cloudfront.net/Documentos/631/06237727604/6310623772760411092023112041.pdf")</f>
        <v>https://dpmzos25m8ivg.cloudfront.net/Documentos/631/06237727604/6310623772760411092023112041.pdf</v>
      </c>
      <c r="F2960" s="5" t="str">
        <f>HYPERLINK("https://dpmzos25m8ivg.cloudfront.net/Documentos/631/06237727604/6310623772760411092023112100.pdf","https://dpmzos25m8ivg.cloudfront.net/Documentos/631/06237727604/6310623772760411092023112100.pdf")</f>
        <v>https://dpmzos25m8ivg.cloudfront.net/Documentos/631/06237727604/6310623772760411092023112100.pdf</v>
      </c>
      <c r="G2960" s="5" t="str">
        <f>HYPERLINK("https://dpmzos25m8ivg.cloudfront.net/Documentos/631/06237727604/6310623772760411092023112118.pdf","https://dpmzos25m8ivg.cloudfront.net/Documentos/631/06237727604/6310623772760411092023112118.pdf")</f>
        <v>https://dpmzos25m8ivg.cloudfront.net/Documentos/631/06237727604/6310623772760411092023112118.pdf</v>
      </c>
      <c r="H2960" s="5" t="s">
        <v>11538</v>
      </c>
    </row>
    <row r="2961" spans="1:8" x14ac:dyDescent="0.25">
      <c r="A2961" s="2" t="s">
        <v>2978</v>
      </c>
      <c r="B2961" s="3"/>
      <c r="C2961" s="3"/>
      <c r="D2961" s="3"/>
      <c r="E2961" s="5" t="str">
        <f>HYPERLINK("https://dpmzos25m8ivg.cloudfront.net/Documentos/631/06239294144/6310623929414411092023160728.pdf","https://dpmzos25m8ivg.cloudfront.net/Documentos/631/06239294144/6310623929414411092023160728.pdf")</f>
        <v>https://dpmzos25m8ivg.cloudfront.net/Documentos/631/06239294144/6310623929414411092023160728.pdf</v>
      </c>
      <c r="F2961" s="5" t="str">
        <f>HYPERLINK("https://dpmzos25m8ivg.cloudfront.net/Documentos/631/06239294144/6310623929414411092023160736.pdf","https://dpmzos25m8ivg.cloudfront.net/Documentos/631/06239294144/6310623929414411092023160736.pdf")</f>
        <v>https://dpmzos25m8ivg.cloudfront.net/Documentos/631/06239294144/6310623929414411092023160736.pdf</v>
      </c>
      <c r="G2961" s="5" t="str">
        <f>HYPERLINK("https://dpmzos25m8ivg.cloudfront.net/Documentos/631/06239294144/6310623929414411092023160822.pdf","https://dpmzos25m8ivg.cloudfront.net/Documentos/631/06239294144/6310623929414411092023160822.pdf")</f>
        <v>https://dpmzos25m8ivg.cloudfront.net/Documentos/631/06239294144/6310623929414411092023160822.pdf</v>
      </c>
      <c r="H2961" s="5" t="s">
        <v>11539</v>
      </c>
    </row>
    <row r="2962" spans="1:8" x14ac:dyDescent="0.25">
      <c r="A2962" s="2" t="s">
        <v>2979</v>
      </c>
      <c r="B2962" s="3"/>
      <c r="C2962" s="3"/>
      <c r="D2962" s="3"/>
      <c r="E2962" s="5" t="str">
        <f>HYPERLINK("https://dpmzos25m8ivg.cloudfront.net/Documentos/631/06240045110/6310624004511011092023122656.pdf","https://dpmzos25m8ivg.cloudfront.net/Documentos/631/06240045110/6310624004511011092023122656.pdf")</f>
        <v>https://dpmzos25m8ivg.cloudfront.net/Documentos/631/06240045110/6310624004511011092023122656.pdf</v>
      </c>
      <c r="F2962" s="5" t="str">
        <f>HYPERLINK("https://dpmzos25m8ivg.cloudfront.net/Documentos/631/06240045110/6310624004511011092023122742.pdf","https://dpmzos25m8ivg.cloudfront.net/Documentos/631/06240045110/6310624004511011092023122742.pdf")</f>
        <v>https://dpmzos25m8ivg.cloudfront.net/Documentos/631/06240045110/6310624004511011092023122742.pdf</v>
      </c>
      <c r="G2962" s="5" t="str">
        <f>HYPERLINK("https://dpmzos25m8ivg.cloudfront.net/Documentos/631/06240045110/6310624004511011092023122812.pdf","https://dpmzos25m8ivg.cloudfront.net/Documentos/631/06240045110/6310624004511011092023122812.pdf")</f>
        <v>https://dpmzos25m8ivg.cloudfront.net/Documentos/631/06240045110/6310624004511011092023122812.pdf</v>
      </c>
      <c r="H2962" s="5" t="s">
        <v>11540</v>
      </c>
    </row>
    <row r="2963" spans="1:8" x14ac:dyDescent="0.25">
      <c r="A2963" s="14" t="s">
        <v>2980</v>
      </c>
      <c r="B2963" s="15"/>
      <c r="C2963" s="3"/>
      <c r="D2963" s="3"/>
      <c r="E2963" s="9" t="str">
        <f>HYPERLINK("https://dpmzos25m8ivg.cloudfront.net/Documentos/631/06240384755/6310624038475509092023212050.pdf","https://dpmzos25m8ivg.cloudfront.net/Documentos/631/06240384755/6310624038475509092023212050.pdf")</f>
        <v>https://dpmzos25m8ivg.cloudfront.net/Documentos/631/06240384755/6310624038475509092023212050.pdf</v>
      </c>
      <c r="F2963" s="9" t="str">
        <f>HYPERLINK("https://dpmzos25m8ivg.cloudfront.net/Documentos/631/06240384755/6310624038475509092023212115.pdf","https://dpmzos25m8ivg.cloudfront.net/Documentos/631/06240384755/6310624038475509092023212115.pdf")</f>
        <v>https://dpmzos25m8ivg.cloudfront.net/Documentos/631/06240384755/6310624038475509092023212115.pdf</v>
      </c>
      <c r="G2963" s="9" t="str">
        <f>HYPERLINK("https://dpmzos25m8ivg.cloudfront.net/Documentos/631/06240384755/6310624038475509092023212159.pdf","https://dpmzos25m8ivg.cloudfront.net/Documentos/631/06240384755/6310624038475509092023212159.pdf")</f>
        <v>https://dpmzos25m8ivg.cloudfront.net/Documentos/631/06240384755/6310624038475509092023212159.pdf</v>
      </c>
      <c r="H2963" s="9" t="s">
        <v>11541</v>
      </c>
    </row>
    <row r="2964" spans="1:8" x14ac:dyDescent="0.25">
      <c r="A2964" s="2" t="s">
        <v>2981</v>
      </c>
      <c r="B2964" s="3"/>
      <c r="C2964" s="3"/>
      <c r="D2964" s="3"/>
      <c r="E2964" s="5" t="str">
        <f>HYPERLINK("https://dpmzos25m8ivg.cloudfront.net/Documentos/631/06241491539/6310624149153906092023082441.pdf","https://dpmzos25m8ivg.cloudfront.net/Documentos/631/06241491539/6310624149153906092023082441.pdf")</f>
        <v>https://dpmzos25m8ivg.cloudfront.net/Documentos/631/06241491539/6310624149153906092023082441.pdf</v>
      </c>
      <c r="F2964" s="5" t="str">
        <f>HYPERLINK("https://dpmzos25m8ivg.cloudfront.net/Documentos/631/06241491539/6310624149153906092023082450.pdf","https://dpmzos25m8ivg.cloudfront.net/Documentos/631/06241491539/6310624149153906092023082450.pdf")</f>
        <v>https://dpmzos25m8ivg.cloudfront.net/Documentos/631/06241491539/6310624149153906092023082450.pdf</v>
      </c>
      <c r="G2964" s="5" t="str">
        <f>HYPERLINK("https://dpmzos25m8ivg.cloudfront.net/Documentos/631/06241491539/6310624149153906092023082458.pdf","https://dpmzos25m8ivg.cloudfront.net/Documentos/631/06241491539/6310624149153906092023082458.pdf")</f>
        <v>https://dpmzos25m8ivg.cloudfront.net/Documentos/631/06241491539/6310624149153906092023082458.pdf</v>
      </c>
      <c r="H2964" s="5" t="s">
        <v>11542</v>
      </c>
    </row>
    <row r="2965" spans="1:8" x14ac:dyDescent="0.25">
      <c r="A2965" s="2" t="s">
        <v>2982</v>
      </c>
      <c r="B2965" s="3"/>
      <c r="C2965" s="3"/>
      <c r="D2965" s="3"/>
      <c r="E2965" s="5" t="str">
        <f>HYPERLINK("https://dpmzos25m8ivg.cloudfront.net/Documentos/631/06242296535/6310624229653505092023093823.jpeg","https://dpmzos25m8ivg.cloudfront.net/Documentos/631/06242296535/6310624229653505092023093823.jpeg")</f>
        <v>https://dpmzos25m8ivg.cloudfront.net/Documentos/631/06242296535/6310624229653505092023093823.jpeg</v>
      </c>
      <c r="F2965" s="5" t="str">
        <f>HYPERLINK("https://dpmzos25m8ivg.cloudfront.net/Documentos/631/06242296535/6310624229653505092023093840.jpeg","https://dpmzos25m8ivg.cloudfront.net/Documentos/631/06242296535/6310624229653505092023093840.jpeg")</f>
        <v>https://dpmzos25m8ivg.cloudfront.net/Documentos/631/06242296535/6310624229653505092023093840.jpeg</v>
      </c>
      <c r="G2965" s="5" t="str">
        <f>HYPERLINK("https://dpmzos25m8ivg.cloudfront.net/Documentos/631/06242296535/6310624229653505092023093850.jpeg","https://dpmzos25m8ivg.cloudfront.net/Documentos/631/06242296535/6310624229653505092023093850.jpeg")</f>
        <v>https://dpmzos25m8ivg.cloudfront.net/Documentos/631/06242296535/6310624229653505092023093850.jpeg</v>
      </c>
      <c r="H2965" s="5" t="s">
        <v>11543</v>
      </c>
    </row>
    <row r="2966" spans="1:8" x14ac:dyDescent="0.25">
      <c r="A2966" s="2" t="s">
        <v>2983</v>
      </c>
      <c r="B2966" s="3" t="s">
        <v>23</v>
      </c>
      <c r="C2966" s="3"/>
      <c r="D2966" s="3"/>
      <c r="E2966" s="5" t="str">
        <f>HYPERLINK("https://dpmzos25m8ivg.cloudfront.net/Documentos/631/06242400103/6310624240010309092023182241.jpg","https://dpmzos25m8ivg.cloudfront.net/Documentos/631/06242400103/6310624240010309092023182241.jpg")</f>
        <v>https://dpmzos25m8ivg.cloudfront.net/Documentos/631/06242400103/6310624240010309092023182241.jpg</v>
      </c>
      <c r="F2966" s="5" t="str">
        <f>HYPERLINK("https://dpmzos25m8ivg.cloudfront.net/Documentos/631/06242400103/6310624240010309092023182400.jpg","https://dpmzos25m8ivg.cloudfront.net/Documentos/631/06242400103/6310624240010309092023182400.jpg")</f>
        <v>https://dpmzos25m8ivg.cloudfront.net/Documentos/631/06242400103/6310624240010309092023182400.jpg</v>
      </c>
      <c r="G2966" s="5" t="str">
        <f>HYPERLINK("https://dpmzos25m8ivg.cloudfront.net/Documentos/631/06242400103/6310624240010309092023182325.jpg","https://dpmzos25m8ivg.cloudfront.net/Documentos/631/06242400103/6310624240010309092023182325.jpg")</f>
        <v>https://dpmzos25m8ivg.cloudfront.net/Documentos/631/06242400103/6310624240010309092023182325.jpg</v>
      </c>
      <c r="H2966" s="5" t="s">
        <v>11544</v>
      </c>
    </row>
    <row r="2967" spans="1:8" x14ac:dyDescent="0.25">
      <c r="A2967" s="2" t="s">
        <v>2984</v>
      </c>
      <c r="B2967" s="3" t="s">
        <v>23</v>
      </c>
      <c r="C2967" s="3"/>
      <c r="D2967" s="3"/>
      <c r="E2967" s="5" t="str">
        <f>HYPERLINK("https://dpmzos25m8ivg.cloudfront.net/Documentos/631/06242776316/6310624277631605092023152640.pdf","https://dpmzos25m8ivg.cloudfront.net/Documentos/631/06242776316/6310624277631605092023152640.pdf")</f>
        <v>https://dpmzos25m8ivg.cloudfront.net/Documentos/631/06242776316/6310624277631605092023152640.pdf</v>
      </c>
      <c r="F2967" s="5" t="str">
        <f>HYPERLINK("https://dpmzos25m8ivg.cloudfront.net/Documentos/631/06242776316/6310624277631605092023152658.pdf","https://dpmzos25m8ivg.cloudfront.net/Documentos/631/06242776316/6310624277631605092023152658.pdf")</f>
        <v>https://dpmzos25m8ivg.cloudfront.net/Documentos/631/06242776316/6310624277631605092023152658.pdf</v>
      </c>
      <c r="G2967" s="5" t="str">
        <f>HYPERLINK("https://dpmzos25m8ivg.cloudfront.net/Documentos/631/06242776316/6310624277631605092023152713.pdf","https://dpmzos25m8ivg.cloudfront.net/Documentos/631/06242776316/6310624277631605092023152713.pdf")</f>
        <v>https://dpmzos25m8ivg.cloudfront.net/Documentos/631/06242776316/6310624277631605092023152713.pdf</v>
      </c>
      <c r="H2967" s="5" t="s">
        <v>11545</v>
      </c>
    </row>
    <row r="2968" spans="1:8" x14ac:dyDescent="0.25">
      <c r="A2968" s="2" t="s">
        <v>2985</v>
      </c>
      <c r="B2968" s="3" t="s">
        <v>2358</v>
      </c>
      <c r="C2968" s="3"/>
      <c r="D2968" s="3"/>
      <c r="E2968" s="5" t="str">
        <f>HYPERLINK("https://dpmzos25m8ivg.cloudfront.net/Documentos/631/06243788539/6310624378853911092023155711.pdf","https://dpmzos25m8ivg.cloudfront.net/Documentos/631/06243788539/6310624378853911092023155711.pdf")</f>
        <v>https://dpmzos25m8ivg.cloudfront.net/Documentos/631/06243788539/6310624378853911092023155711.pdf</v>
      </c>
      <c r="F2968" s="5" t="str">
        <f>HYPERLINK("https://dpmzos25m8ivg.cloudfront.net/Documentos/631/06243788539/6310624378853911092023155728.pdf","https://dpmzos25m8ivg.cloudfront.net/Documentos/631/06243788539/6310624378853911092023155728.pdf")</f>
        <v>https://dpmzos25m8ivg.cloudfront.net/Documentos/631/06243788539/6310624378853911092023155728.pdf</v>
      </c>
      <c r="G2968" s="5" t="str">
        <f>HYPERLINK("https://dpmzos25m8ivg.cloudfront.net/Documentos/631/06243788539/6310624378853911092023155739.pdf","https://dpmzos25m8ivg.cloudfront.net/Documentos/631/06243788539/6310624378853911092023155739.pdf")</f>
        <v>https://dpmzos25m8ivg.cloudfront.net/Documentos/631/06243788539/6310624378853911092023155739.pdf</v>
      </c>
      <c r="H2968" s="5" t="s">
        <v>11546</v>
      </c>
    </row>
    <row r="2969" spans="1:8" x14ac:dyDescent="0.25">
      <c r="A2969" s="2" t="s">
        <v>2986</v>
      </c>
      <c r="B2969" s="3" t="s">
        <v>2358</v>
      </c>
      <c r="C2969" s="3"/>
      <c r="D2969" s="3"/>
      <c r="E2969" s="5" t="str">
        <f>HYPERLINK("https://dpmzos25m8ivg.cloudfront.net/Documentos/631/06244664345/6310624466434507092023142936.pdf","https://dpmzos25m8ivg.cloudfront.net/Documentos/631/06244664345/6310624466434507092023142936.pdf")</f>
        <v>https://dpmzos25m8ivg.cloudfront.net/Documentos/631/06244664345/6310624466434507092023142936.pdf</v>
      </c>
      <c r="F2969" s="5" t="str">
        <f>HYPERLINK("https://dpmzos25m8ivg.cloudfront.net/Documentos/631/06244664345/6310624466434507092023142950.pdf","https://dpmzos25m8ivg.cloudfront.net/Documentos/631/06244664345/6310624466434507092023142950.pdf")</f>
        <v>https://dpmzos25m8ivg.cloudfront.net/Documentos/631/06244664345/6310624466434507092023142950.pdf</v>
      </c>
      <c r="G2969" s="5" t="str">
        <f>HYPERLINK("https://dpmzos25m8ivg.cloudfront.net/Documentos/631/06244664345/6310624466434507092023143004.pdf","https://dpmzos25m8ivg.cloudfront.net/Documentos/631/06244664345/6310624466434507092023143004.pdf")</f>
        <v>https://dpmzos25m8ivg.cloudfront.net/Documentos/631/06244664345/6310624466434507092023143004.pdf</v>
      </c>
      <c r="H2969" s="5" t="s">
        <v>11547</v>
      </c>
    </row>
    <row r="2970" spans="1:8" x14ac:dyDescent="0.25">
      <c r="A2970" s="2" t="s">
        <v>2987</v>
      </c>
      <c r="B2970" s="3"/>
      <c r="C2970" s="3"/>
      <c r="D2970" s="3"/>
      <c r="E2970" s="5" t="str">
        <f>HYPERLINK("https://dpmzos25m8ivg.cloudfront.net/Documentos/631/06245103363/6310624510336304092023231418.pdf","https://dpmzos25m8ivg.cloudfront.net/Documentos/631/06245103363/6310624510336304092023231418.pdf")</f>
        <v>https://dpmzos25m8ivg.cloudfront.net/Documentos/631/06245103363/6310624510336304092023231418.pdf</v>
      </c>
      <c r="F2970" s="5" t="str">
        <f>HYPERLINK("https://dpmzos25m8ivg.cloudfront.net/Documentos/631/06245103363/6310624510336304092023231242.pdf","https://dpmzos25m8ivg.cloudfront.net/Documentos/631/06245103363/6310624510336304092023231242.pdf")</f>
        <v>https://dpmzos25m8ivg.cloudfront.net/Documentos/631/06245103363/6310624510336304092023231242.pdf</v>
      </c>
      <c r="G2970" s="5" t="str">
        <f>HYPERLINK("https://dpmzos25m8ivg.cloudfront.net/Documentos/631/06245103363/6310624510336304092023211501.jpeg","https://dpmzos25m8ivg.cloudfront.net/Documentos/631/06245103363/6310624510336304092023211501.jpeg")</f>
        <v>https://dpmzos25m8ivg.cloudfront.net/Documentos/631/06245103363/6310624510336304092023211501.jpeg</v>
      </c>
      <c r="H2970" s="5" t="s">
        <v>11548</v>
      </c>
    </row>
    <row r="2971" spans="1:8" x14ac:dyDescent="0.25">
      <c r="A2971" s="2" t="s">
        <v>2988</v>
      </c>
      <c r="B2971" s="3"/>
      <c r="C2971" s="3"/>
      <c r="D2971" s="3"/>
      <c r="E2971" s="5" t="str">
        <f>HYPERLINK("https://dpmzos25m8ivg.cloudfront.net/Documentos/631/06245428580/6310624542858010092023195941.pdf","https://dpmzos25m8ivg.cloudfront.net/Documentos/631/06245428580/6310624542858010092023195941.pdf")</f>
        <v>https://dpmzos25m8ivg.cloudfront.net/Documentos/631/06245428580/6310624542858010092023195941.pdf</v>
      </c>
      <c r="F2971" s="5" t="str">
        <f>HYPERLINK("https://dpmzos25m8ivg.cloudfront.net/Documentos/631/06245428580/6310624542858010092023195953.pdf","https://dpmzos25m8ivg.cloudfront.net/Documentos/631/06245428580/6310624542858010092023195953.pdf")</f>
        <v>https://dpmzos25m8ivg.cloudfront.net/Documentos/631/06245428580/6310624542858010092023195953.pdf</v>
      </c>
      <c r="G2971" s="5" t="str">
        <f>HYPERLINK("https://dpmzos25m8ivg.cloudfront.net/Documentos/631/06245428580/6310624542858010092023200008.pdf","https://dpmzos25m8ivg.cloudfront.net/Documentos/631/06245428580/6310624542858010092023200008.pdf")</f>
        <v>https://dpmzos25m8ivg.cloudfront.net/Documentos/631/06245428580/6310624542858010092023200008.pdf</v>
      </c>
      <c r="H2971" s="5" t="s">
        <v>11549</v>
      </c>
    </row>
    <row r="2972" spans="1:8" x14ac:dyDescent="0.25">
      <c r="A2972" s="2" t="s">
        <v>2989</v>
      </c>
      <c r="B2972" s="3"/>
      <c r="C2972" s="3"/>
      <c r="D2972" s="3"/>
      <c r="E2972" s="5" t="str">
        <f>HYPERLINK("https://dpmzos25m8ivg.cloudfront.net/Documentos/631/06249778543/6310624977854306092023151448.jpeg","https://dpmzos25m8ivg.cloudfront.net/Documentos/631/06249778543/6310624977854306092023151448.jpeg")</f>
        <v>https://dpmzos25m8ivg.cloudfront.net/Documentos/631/06249778543/6310624977854306092023151448.jpeg</v>
      </c>
      <c r="F2972" s="5" t="str">
        <f>HYPERLINK("https://dpmzos25m8ivg.cloudfront.net/Documentos/631/06249778543/6310624977854306092023151511.jpeg","https://dpmzos25m8ivg.cloudfront.net/Documentos/631/06249778543/6310624977854306092023151511.jpeg")</f>
        <v>https://dpmzos25m8ivg.cloudfront.net/Documentos/631/06249778543/6310624977854306092023151511.jpeg</v>
      </c>
      <c r="G2972" s="5" t="str">
        <f>HYPERLINK("https://dpmzos25m8ivg.cloudfront.net/Documentos/631/06249778543/6310624977854306092023151525.jpeg","https://dpmzos25m8ivg.cloudfront.net/Documentos/631/06249778543/6310624977854306092023151525.jpeg")</f>
        <v>https://dpmzos25m8ivg.cloudfront.net/Documentos/631/06249778543/6310624977854306092023151525.jpeg</v>
      </c>
      <c r="H2972" s="5" t="s">
        <v>11550</v>
      </c>
    </row>
    <row r="2973" spans="1:8" x14ac:dyDescent="0.25">
      <c r="A2973" s="2" t="s">
        <v>2990</v>
      </c>
      <c r="B2973" s="3"/>
      <c r="C2973" s="3"/>
      <c r="D2973" s="3"/>
      <c r="E2973" s="5" t="str">
        <f>HYPERLINK("https://dpmzos25m8ivg.cloudfront.net/Documentos/631/06250267484/6310625026748406092023102225.pdf","https://dpmzos25m8ivg.cloudfront.net/Documentos/631/06250267484/6310625026748406092023102225.pdf")</f>
        <v>https://dpmzos25m8ivg.cloudfront.net/Documentos/631/06250267484/6310625026748406092023102225.pdf</v>
      </c>
      <c r="F2973" s="5" t="str">
        <f>HYPERLINK("https://dpmzos25m8ivg.cloudfront.net/Documentos/631/06250267484/6310625026748406092023102237.pdf","https://dpmzos25m8ivg.cloudfront.net/Documentos/631/06250267484/6310625026748406092023102237.pdf")</f>
        <v>https://dpmzos25m8ivg.cloudfront.net/Documentos/631/06250267484/6310625026748406092023102237.pdf</v>
      </c>
      <c r="G2973" s="5" t="str">
        <f>HYPERLINK("https://dpmzos25m8ivg.cloudfront.net/Documentos/631/06250267484/6310625026748406092023102248.pdf","https://dpmzos25m8ivg.cloudfront.net/Documentos/631/06250267484/6310625026748406092023102248.pdf")</f>
        <v>https://dpmzos25m8ivg.cloudfront.net/Documentos/631/06250267484/6310625026748406092023102248.pdf</v>
      </c>
      <c r="H2973" s="5" t="s">
        <v>11551</v>
      </c>
    </row>
    <row r="2974" spans="1:8" x14ac:dyDescent="0.25">
      <c r="A2974" s="2" t="s">
        <v>2991</v>
      </c>
      <c r="B2974" s="3"/>
      <c r="C2974" s="3"/>
      <c r="D2974" s="3"/>
      <c r="E2974" s="5" t="str">
        <f>HYPERLINK("https://dpmzos25m8ivg.cloudfront.net/Documentos/631/06250545123/6310625054512308092023155548.pdf","https://dpmzos25m8ivg.cloudfront.net/Documentos/631/06250545123/6310625054512308092023155548.pdf")</f>
        <v>https://dpmzos25m8ivg.cloudfront.net/Documentos/631/06250545123/6310625054512308092023155548.pdf</v>
      </c>
      <c r="F2974" s="5" t="str">
        <f>HYPERLINK("https://dpmzos25m8ivg.cloudfront.net/Documentos/631/06250545123/6310625054512308092023155606.pdf","https://dpmzos25m8ivg.cloudfront.net/Documentos/631/06250545123/6310625054512308092023155606.pdf")</f>
        <v>https://dpmzos25m8ivg.cloudfront.net/Documentos/631/06250545123/6310625054512308092023155606.pdf</v>
      </c>
      <c r="G2974" s="5" t="str">
        <f>HYPERLINK("https://dpmzos25m8ivg.cloudfront.net/Documentos/631/06250545123/6310625054512308092023155621.pdf","https://dpmzos25m8ivg.cloudfront.net/Documentos/631/06250545123/6310625054512308092023155621.pdf")</f>
        <v>https://dpmzos25m8ivg.cloudfront.net/Documentos/631/06250545123/6310625054512308092023155621.pdf</v>
      </c>
      <c r="H2974" s="5" t="s">
        <v>11552</v>
      </c>
    </row>
    <row r="2975" spans="1:8" x14ac:dyDescent="0.25">
      <c r="A2975" s="2" t="s">
        <v>2992</v>
      </c>
      <c r="B2975" s="3"/>
      <c r="C2975" s="3"/>
      <c r="D2975" s="3"/>
      <c r="E2975" s="5" t="str">
        <f>HYPERLINK("https://dpmzos25m8ivg.cloudfront.net/Documentos/631/06252995150/6310625299515014092023162930.pdf","https://dpmzos25m8ivg.cloudfront.net/Documentos/631/06252995150/6310625299515014092023162930.pdf")</f>
        <v>https://dpmzos25m8ivg.cloudfront.net/Documentos/631/06252995150/6310625299515014092023162930.pdf</v>
      </c>
      <c r="F2975" s="5" t="str">
        <f>HYPERLINK("https://dpmzos25m8ivg.cloudfront.net/Documentos/631/06252995150/6310625299515014092023162918.pdf","https://dpmzos25m8ivg.cloudfront.net/Documentos/631/06252995150/6310625299515014092023162918.pdf")</f>
        <v>https://dpmzos25m8ivg.cloudfront.net/Documentos/631/06252995150/6310625299515014092023162918.pdf</v>
      </c>
      <c r="G2975" s="5" t="str">
        <f>HYPERLINK("https://dpmzos25m8ivg.cloudfront.net/Documentos/631/06252995150/6310625299515014092023162907.pdf","https://dpmzos25m8ivg.cloudfront.net/Documentos/631/06252995150/6310625299515014092023162907.pdf")</f>
        <v>https://dpmzos25m8ivg.cloudfront.net/Documentos/631/06252995150/6310625299515014092023162907.pdf</v>
      </c>
      <c r="H2975" s="5" t="s">
        <v>11553</v>
      </c>
    </row>
    <row r="2976" spans="1:8" x14ac:dyDescent="0.25">
      <c r="A2976" s="2" t="s">
        <v>2993</v>
      </c>
      <c r="B2976" s="3"/>
      <c r="C2976" s="3"/>
      <c r="D2976" s="3"/>
      <c r="E2976" s="5" t="str">
        <f>HYPERLINK("https://dpmzos25m8ivg.cloudfront.net/Documentos/631/06254013525/6310625401352511092023150651.pdf","https://dpmzos25m8ivg.cloudfront.net/Documentos/631/06254013525/6310625401352511092023150651.pdf")</f>
        <v>https://dpmzos25m8ivg.cloudfront.net/Documentos/631/06254013525/6310625401352511092023150651.pdf</v>
      </c>
      <c r="F2976" s="5" t="str">
        <f>HYPERLINK("https://dpmzos25m8ivg.cloudfront.net/Documentos/631/06254013525/6310625401352511092023150737.pdf","https://dpmzos25m8ivg.cloudfront.net/Documentos/631/06254013525/6310625401352511092023150737.pdf")</f>
        <v>https://dpmzos25m8ivg.cloudfront.net/Documentos/631/06254013525/6310625401352511092023150737.pdf</v>
      </c>
      <c r="G2976" s="5" t="str">
        <f>HYPERLINK("https://dpmzos25m8ivg.cloudfront.net/Documentos/631/06254013525/6310625401352511092023150750.pdf","https://dpmzos25m8ivg.cloudfront.net/Documentos/631/06254013525/6310625401352511092023150750.pdf")</f>
        <v>https://dpmzos25m8ivg.cloudfront.net/Documentos/631/06254013525/6310625401352511092023150750.pdf</v>
      </c>
      <c r="H2976" s="5" t="s">
        <v>11554</v>
      </c>
    </row>
    <row r="2977" spans="1:8" x14ac:dyDescent="0.25">
      <c r="A2977" s="2" t="s">
        <v>2994</v>
      </c>
      <c r="B2977" s="3"/>
      <c r="C2977" s="3"/>
      <c r="D2977" s="3"/>
      <c r="E2977" s="5" t="str">
        <f>HYPERLINK("https://dpmzos25m8ivg.cloudfront.net/Documentos/631/06254757559/6310625475755905092023095631.pdf","https://dpmzos25m8ivg.cloudfront.net/Documentos/631/06254757559/6310625475755905092023095631.pdf")</f>
        <v>https://dpmzos25m8ivg.cloudfront.net/Documentos/631/06254757559/6310625475755905092023095631.pdf</v>
      </c>
      <c r="F2977" s="5" t="str">
        <f>HYPERLINK("https://dpmzos25m8ivg.cloudfront.net/Documentos/631/06254757559/6310625475755905092023095647.pdf","https://dpmzos25m8ivg.cloudfront.net/Documentos/631/06254757559/6310625475755905092023095647.pdf")</f>
        <v>https://dpmzos25m8ivg.cloudfront.net/Documentos/631/06254757559/6310625475755905092023095647.pdf</v>
      </c>
      <c r="G2977" s="5" t="str">
        <f>HYPERLINK("https://dpmzos25m8ivg.cloudfront.net/Documentos/631/06254757559/6310625475755905092023095720.pdf","https://dpmzos25m8ivg.cloudfront.net/Documentos/631/06254757559/6310625475755905092023095720.pdf")</f>
        <v>https://dpmzos25m8ivg.cloudfront.net/Documentos/631/06254757559/6310625475755905092023095720.pdf</v>
      </c>
      <c r="H2977" s="5" t="s">
        <v>11555</v>
      </c>
    </row>
    <row r="2978" spans="1:8" x14ac:dyDescent="0.25">
      <c r="A2978" s="2" t="s">
        <v>2995</v>
      </c>
      <c r="B2978" s="3"/>
      <c r="C2978" s="3"/>
      <c r="D2978" s="3"/>
      <c r="E2978" s="5" t="str">
        <f>HYPERLINK("https://dpmzos25m8ivg.cloudfront.net/Documentos/631/06255700577/6310625570057706092023165442.pdf","https://dpmzos25m8ivg.cloudfront.net/Documentos/631/06255700577/6310625570057706092023165442.pdf")</f>
        <v>https://dpmzos25m8ivg.cloudfront.net/Documentos/631/06255700577/6310625570057706092023165442.pdf</v>
      </c>
      <c r="F2978" s="5" t="str">
        <f>HYPERLINK("https://dpmzos25m8ivg.cloudfront.net/Documentos/631/06255700577/6310625570057706092023165453.pdf","https://dpmzos25m8ivg.cloudfront.net/Documentos/631/06255700577/6310625570057706092023165453.pdf")</f>
        <v>https://dpmzos25m8ivg.cloudfront.net/Documentos/631/06255700577/6310625570057706092023165453.pdf</v>
      </c>
      <c r="G2978" s="5" t="str">
        <f>HYPERLINK("https://dpmzos25m8ivg.cloudfront.net/Documentos/631/06255700577/6310625570057706092023165503.pdf","https://dpmzos25m8ivg.cloudfront.net/Documentos/631/06255700577/6310625570057706092023165503.pdf")</f>
        <v>https://dpmzos25m8ivg.cloudfront.net/Documentos/631/06255700577/6310625570057706092023165503.pdf</v>
      </c>
      <c r="H2978" s="5" t="s">
        <v>11556</v>
      </c>
    </row>
    <row r="2979" spans="1:8" x14ac:dyDescent="0.25">
      <c r="A2979" s="2" t="s">
        <v>2996</v>
      </c>
      <c r="B2979" s="3"/>
      <c r="C2979" s="3"/>
      <c r="D2979" s="3"/>
      <c r="E2979" s="5" t="str">
        <f>HYPERLINK("https://dpmzos25m8ivg.cloudfront.net/Documentos/631/06259122179/6310625912217911092023021428.pdf","https://dpmzos25m8ivg.cloudfront.net/Documentos/631/06259122179/6310625912217911092023021428.pdf")</f>
        <v>https://dpmzos25m8ivg.cloudfront.net/Documentos/631/06259122179/6310625912217911092023021428.pdf</v>
      </c>
      <c r="F2979" s="5" t="str">
        <f>HYPERLINK("https://dpmzos25m8ivg.cloudfront.net/Documentos/631/06259122179/6310625912217911092023021438.pdf","https://dpmzos25m8ivg.cloudfront.net/Documentos/631/06259122179/6310625912217911092023021438.pdf")</f>
        <v>https://dpmzos25m8ivg.cloudfront.net/Documentos/631/06259122179/6310625912217911092023021438.pdf</v>
      </c>
      <c r="G2979" s="5" t="str">
        <f>HYPERLINK("https://dpmzos25m8ivg.cloudfront.net/Documentos/631/06259122179/6310625912217911092023021447.pdf","https://dpmzos25m8ivg.cloudfront.net/Documentos/631/06259122179/6310625912217911092023021447.pdf")</f>
        <v>https://dpmzos25m8ivg.cloudfront.net/Documentos/631/06259122179/6310625912217911092023021447.pdf</v>
      </c>
      <c r="H2979" s="5" t="s">
        <v>11557</v>
      </c>
    </row>
    <row r="2980" spans="1:8" x14ac:dyDescent="0.25">
      <c r="A2980" s="2" t="s">
        <v>2997</v>
      </c>
      <c r="B2980" s="3"/>
      <c r="C2980" s="3"/>
      <c r="D2980" s="3"/>
      <c r="E2980" s="5" t="str">
        <f>HYPERLINK("https://dpmzos25m8ivg.cloudfront.net/Documentos/631/06259729103/6310625972910305092023211519.pdf","https://dpmzos25m8ivg.cloudfront.net/Documentos/631/06259729103/6310625972910305092023211519.pdf")</f>
        <v>https://dpmzos25m8ivg.cloudfront.net/Documentos/631/06259729103/6310625972910305092023211519.pdf</v>
      </c>
      <c r="F2980" s="5" t="str">
        <f>HYPERLINK("https://dpmzos25m8ivg.cloudfront.net/Documentos/631/06259729103/6310625972910305092023211529.pdf","https://dpmzos25m8ivg.cloudfront.net/Documentos/631/06259729103/6310625972910305092023211529.pdf")</f>
        <v>https://dpmzos25m8ivg.cloudfront.net/Documentos/631/06259729103/6310625972910305092023211529.pdf</v>
      </c>
      <c r="G2980" s="5" t="str">
        <f>HYPERLINK("https://dpmzos25m8ivg.cloudfront.net/Documentos/631/06259729103/6310625972910305092023211538.pdf","https://dpmzos25m8ivg.cloudfront.net/Documentos/631/06259729103/6310625972910305092023211538.pdf")</f>
        <v>https://dpmzos25m8ivg.cloudfront.net/Documentos/631/06259729103/6310625972910305092023211538.pdf</v>
      </c>
      <c r="H2980" s="5" t="s">
        <v>11558</v>
      </c>
    </row>
    <row r="2981" spans="1:8" x14ac:dyDescent="0.25">
      <c r="A2981" s="2" t="s">
        <v>2998</v>
      </c>
      <c r="B2981" s="3"/>
      <c r="C2981" s="3"/>
      <c r="D2981" s="3"/>
      <c r="E2981" s="5" t="str">
        <f>HYPERLINK("https://dpmzos25m8ivg.cloudfront.net/Documentos/631/06261025614/6310626102561408092023165546.pdf","https://dpmzos25m8ivg.cloudfront.net/Documentos/631/06261025614/6310626102561408092023165546.pdf")</f>
        <v>https://dpmzos25m8ivg.cloudfront.net/Documentos/631/06261025614/6310626102561408092023165546.pdf</v>
      </c>
      <c r="F2981" s="5" t="str">
        <f>HYPERLINK("https://dpmzos25m8ivg.cloudfront.net/Documentos/631/06261025614/6310626102561408092023165556.pdf","https://dpmzos25m8ivg.cloudfront.net/Documentos/631/06261025614/6310626102561408092023165556.pdf")</f>
        <v>https://dpmzos25m8ivg.cloudfront.net/Documentos/631/06261025614/6310626102561408092023165556.pdf</v>
      </c>
      <c r="G2981" s="5" t="str">
        <f>HYPERLINK("https://dpmzos25m8ivg.cloudfront.net/Documentos/631/06261025614/6310626102561408092023165603.pdf","https://dpmzos25m8ivg.cloudfront.net/Documentos/631/06261025614/6310626102561408092023165603.pdf")</f>
        <v>https://dpmzos25m8ivg.cloudfront.net/Documentos/631/06261025614/6310626102561408092023165603.pdf</v>
      </c>
      <c r="H2981" s="5" t="s">
        <v>11559</v>
      </c>
    </row>
    <row r="2982" spans="1:8" x14ac:dyDescent="0.25">
      <c r="A2982" s="2" t="s">
        <v>2999</v>
      </c>
      <c r="B2982" s="3"/>
      <c r="C2982" s="3"/>
      <c r="D2982" s="3"/>
      <c r="E2982" s="5" t="str">
        <f>HYPERLINK("https://dpmzos25m8ivg.cloudfront.net/Documentos/631/06266111489/6310626611148911092023164300.pdf","https://dpmzos25m8ivg.cloudfront.net/Documentos/631/06266111489/6310626611148911092023164300.pdf")</f>
        <v>https://dpmzos25m8ivg.cloudfront.net/Documentos/631/06266111489/6310626611148911092023164300.pdf</v>
      </c>
      <c r="F2982" s="5" t="str">
        <f>HYPERLINK("https://dpmzos25m8ivg.cloudfront.net/Documentos/631/06266111489/6310626611148911092023164329.pdf","https://dpmzos25m8ivg.cloudfront.net/Documentos/631/06266111489/6310626611148911092023164329.pdf")</f>
        <v>https://dpmzos25m8ivg.cloudfront.net/Documentos/631/06266111489/6310626611148911092023164329.pdf</v>
      </c>
      <c r="G2982" s="5" t="str">
        <f>HYPERLINK("https://dpmzos25m8ivg.cloudfront.net/Documentos/631/06266111489/6310626611148911092023164349.pdf","https://dpmzos25m8ivg.cloudfront.net/Documentos/631/06266111489/6310626611148911092023164349.pdf")</f>
        <v>https://dpmzos25m8ivg.cloudfront.net/Documentos/631/06266111489/6310626611148911092023164349.pdf</v>
      </c>
      <c r="H2982" s="5" t="s">
        <v>11560</v>
      </c>
    </row>
    <row r="2983" spans="1:8" x14ac:dyDescent="0.25">
      <c r="A2983" s="2" t="s">
        <v>3000</v>
      </c>
      <c r="B2983" s="3" t="s">
        <v>8</v>
      </c>
      <c r="C2983" s="3"/>
      <c r="D2983" s="3"/>
      <c r="E2983" s="5" t="str">
        <f>HYPERLINK("https://dpmzos25m8ivg.cloudfront.net/Documentos/631/06267853594/6310626785359411092023143407.jpeg","https://dpmzos25m8ivg.cloudfront.net/Documentos/631/06267853594/6310626785359411092023143407.jpeg")</f>
        <v>https://dpmzos25m8ivg.cloudfront.net/Documentos/631/06267853594/6310626785359411092023143407.jpeg</v>
      </c>
      <c r="F2983" s="5" t="str">
        <f>HYPERLINK("https://dpmzos25m8ivg.cloudfront.net/Documentos/631/06267853594/6310626785359411092023143422.jpeg","https://dpmzos25m8ivg.cloudfront.net/Documentos/631/06267853594/6310626785359411092023143422.jpeg")</f>
        <v>https://dpmzos25m8ivg.cloudfront.net/Documentos/631/06267853594/6310626785359411092023143422.jpeg</v>
      </c>
      <c r="G2983" s="5" t="str">
        <f>HYPERLINK("https://dpmzos25m8ivg.cloudfront.net/Documentos/631/06267853594/6310626785359411092023143439.jpeg","https://dpmzos25m8ivg.cloudfront.net/Documentos/631/06267853594/6310626785359411092023143439.jpeg")</f>
        <v>https://dpmzos25m8ivg.cloudfront.net/Documentos/631/06267853594/6310626785359411092023143439.jpeg</v>
      </c>
      <c r="H2983" s="5" t="s">
        <v>11561</v>
      </c>
    </row>
    <row r="2984" spans="1:8" x14ac:dyDescent="0.25">
      <c r="A2984" s="2" t="s">
        <v>3001</v>
      </c>
      <c r="B2984" s="3"/>
      <c r="C2984" s="3"/>
      <c r="D2984" s="3"/>
      <c r="E2984" s="5" t="str">
        <f>HYPERLINK("https://dpmzos25m8ivg.cloudfront.net/Documentos/631/06274255184/6310627425518411092023134510.pdf","https://dpmzos25m8ivg.cloudfront.net/Documentos/631/06274255184/6310627425518411092023134510.pdf")</f>
        <v>https://dpmzos25m8ivg.cloudfront.net/Documentos/631/06274255184/6310627425518411092023134510.pdf</v>
      </c>
      <c r="F2984" s="5" t="str">
        <f>HYPERLINK("https://dpmzos25m8ivg.cloudfront.net/Documentos/631/06274255184/6310627425518411092023134519.pdf","https://dpmzos25m8ivg.cloudfront.net/Documentos/631/06274255184/6310627425518411092023134519.pdf")</f>
        <v>https://dpmzos25m8ivg.cloudfront.net/Documentos/631/06274255184/6310627425518411092023134519.pdf</v>
      </c>
      <c r="G2984" s="5" t="str">
        <f>HYPERLINK("https://dpmzos25m8ivg.cloudfront.net/Documentos/631/06274255184/6310627425518411092023134530.pdf","https://dpmzos25m8ivg.cloudfront.net/Documentos/631/06274255184/6310627425518411092023134530.pdf")</f>
        <v>https://dpmzos25m8ivg.cloudfront.net/Documentos/631/06274255184/6310627425518411092023134530.pdf</v>
      </c>
      <c r="H2984" s="5" t="s">
        <v>11562</v>
      </c>
    </row>
    <row r="2985" spans="1:8" x14ac:dyDescent="0.25">
      <c r="A2985" s="2" t="s">
        <v>3002</v>
      </c>
      <c r="B2985" s="3"/>
      <c r="C2985" s="3"/>
      <c r="D2985" s="3"/>
      <c r="E2985" s="5" t="str">
        <f>HYPERLINK("https://dpmzos25m8ivg.cloudfront.net/Documentos/631/06275355506/6310627535550606092023081333.pdf","https://dpmzos25m8ivg.cloudfront.net/Documentos/631/06275355506/6310627535550606092023081333.pdf")</f>
        <v>https://dpmzos25m8ivg.cloudfront.net/Documentos/631/06275355506/6310627535550606092023081333.pdf</v>
      </c>
      <c r="F2985" s="5" t="str">
        <f>HYPERLINK("https://dpmzos25m8ivg.cloudfront.net/Documentos/631/06275355506/6310627535550606092023081340.pdf","https://dpmzos25m8ivg.cloudfront.net/Documentos/631/06275355506/6310627535550606092023081340.pdf")</f>
        <v>https://dpmzos25m8ivg.cloudfront.net/Documentos/631/06275355506/6310627535550606092023081340.pdf</v>
      </c>
      <c r="G2985" s="5" t="str">
        <f>HYPERLINK("https://dpmzos25m8ivg.cloudfront.net/Documentos/631/06275355506/6310627535550606092023081348.pdf","https://dpmzos25m8ivg.cloudfront.net/Documentos/631/06275355506/6310627535550606092023081348.pdf")</f>
        <v>https://dpmzos25m8ivg.cloudfront.net/Documentos/631/06275355506/6310627535550606092023081348.pdf</v>
      </c>
      <c r="H2985" s="5" t="s">
        <v>11563</v>
      </c>
    </row>
    <row r="2986" spans="1:8" x14ac:dyDescent="0.25">
      <c r="A2986" s="2" t="s">
        <v>3003</v>
      </c>
      <c r="B2986" s="3" t="s">
        <v>2358</v>
      </c>
      <c r="C2986" s="3"/>
      <c r="D2986" s="3"/>
      <c r="E2986" s="5" t="str">
        <f>HYPERLINK("https://dpmzos25m8ivg.cloudfront.net/Documentos/631/06277967533/6310627796753305092023115443.pdf","https://dpmzos25m8ivg.cloudfront.net/Documentos/631/06277967533/6310627796753305092023115443.pdf")</f>
        <v>https://dpmzos25m8ivg.cloudfront.net/Documentos/631/06277967533/6310627796753305092023115443.pdf</v>
      </c>
      <c r="F2986" s="5" t="str">
        <f>HYPERLINK("https://dpmzos25m8ivg.cloudfront.net/Documentos/631/06277967533/6310627796753305092023115453.pdf","https://dpmzos25m8ivg.cloudfront.net/Documentos/631/06277967533/6310627796753305092023115453.pdf")</f>
        <v>https://dpmzos25m8ivg.cloudfront.net/Documentos/631/06277967533/6310627796753305092023115453.pdf</v>
      </c>
      <c r="G2986" s="5" t="str">
        <f>HYPERLINK("https://dpmzos25m8ivg.cloudfront.net/Documentos/631/06277967533/6310627796753305092023115501.pdf","https://dpmzos25m8ivg.cloudfront.net/Documentos/631/06277967533/6310627796753305092023115501.pdf")</f>
        <v>https://dpmzos25m8ivg.cloudfront.net/Documentos/631/06277967533/6310627796753305092023115501.pdf</v>
      </c>
      <c r="H2986" s="5" t="s">
        <v>11564</v>
      </c>
    </row>
    <row r="2987" spans="1:8" x14ac:dyDescent="0.25">
      <c r="A2987" s="2" t="s">
        <v>3004</v>
      </c>
      <c r="B2987" s="3"/>
      <c r="C2987" s="3"/>
      <c r="D2987" s="3"/>
      <c r="E2987" s="5" t="str">
        <f>HYPERLINK("https://dpmzos25m8ivg.cloudfront.net/Documentos/631/06279754456/6310627975445612092023230638.jpg","https://dpmzos25m8ivg.cloudfront.net/Documentos/631/06279754456/6310627975445612092023230638.jpg")</f>
        <v>https://dpmzos25m8ivg.cloudfront.net/Documentos/631/06279754456/6310627975445612092023230638.jpg</v>
      </c>
      <c r="F2987" s="5" t="str">
        <f>HYPERLINK("https://dpmzos25m8ivg.cloudfront.net/Documentos/631/06279754456/6310627975445612092023230644.jpg","https://dpmzos25m8ivg.cloudfront.net/Documentos/631/06279754456/6310627975445612092023230644.jpg")</f>
        <v>https://dpmzos25m8ivg.cloudfront.net/Documentos/631/06279754456/6310627975445612092023230644.jpg</v>
      </c>
      <c r="G2987" s="5" t="str">
        <f>HYPERLINK("https://dpmzos25m8ivg.cloudfront.net/Documentos/631/06279754456/6310627975445612092023230649.jpg","https://dpmzos25m8ivg.cloudfront.net/Documentos/631/06279754456/6310627975445612092023230649.jpg")</f>
        <v>https://dpmzos25m8ivg.cloudfront.net/Documentos/631/06279754456/6310627975445612092023230649.jpg</v>
      </c>
      <c r="H2987" s="5" t="s">
        <v>11565</v>
      </c>
    </row>
    <row r="2988" spans="1:8" x14ac:dyDescent="0.25">
      <c r="A2988" s="2" t="s">
        <v>3005</v>
      </c>
      <c r="B2988" s="3"/>
      <c r="C2988" s="3"/>
      <c r="D2988" s="3"/>
      <c r="E2988" s="5" t="str">
        <f>HYPERLINK("https://dpmzos25m8ivg.cloudfront.net/Documentos/631/06281431413/6310628143141313092023104030.jpeg","https://dpmzos25m8ivg.cloudfront.net/Documentos/631/06281431413/6310628143141313092023104030.jpeg")</f>
        <v>https://dpmzos25m8ivg.cloudfront.net/Documentos/631/06281431413/6310628143141313092023104030.jpeg</v>
      </c>
      <c r="F2988" s="5" t="str">
        <f>HYPERLINK("https://dpmzos25m8ivg.cloudfront.net/Documentos/631/06281431413/6310628143141313092023104048.jpeg","https://dpmzos25m8ivg.cloudfront.net/Documentos/631/06281431413/6310628143141313092023104048.jpeg")</f>
        <v>https://dpmzos25m8ivg.cloudfront.net/Documentos/631/06281431413/6310628143141313092023104048.jpeg</v>
      </c>
      <c r="G2988" s="5" t="str">
        <f>HYPERLINK("https://dpmzos25m8ivg.cloudfront.net/Documentos/631/06281431413/6310628143141313092023104106.jpeg","https://dpmzos25m8ivg.cloudfront.net/Documentos/631/06281431413/6310628143141313092023104106.jpeg")</f>
        <v>https://dpmzos25m8ivg.cloudfront.net/Documentos/631/06281431413/6310628143141313092023104106.jpeg</v>
      </c>
      <c r="H2988" s="5" t="s">
        <v>11566</v>
      </c>
    </row>
    <row r="2989" spans="1:8" x14ac:dyDescent="0.25">
      <c r="A2989" s="2" t="s">
        <v>3006</v>
      </c>
      <c r="B2989" s="3"/>
      <c r="C2989" s="3"/>
      <c r="D2989" s="3"/>
      <c r="E2989" s="5" t="str">
        <f>HYPERLINK("https://dpmzos25m8ivg.cloudfront.net/Documentos/631/06282013895/6310628201389511092023002338.jpeg","https://dpmzos25m8ivg.cloudfront.net/Documentos/631/06282013895/6310628201389511092023002338.jpeg")</f>
        <v>https://dpmzos25m8ivg.cloudfront.net/Documentos/631/06282013895/6310628201389511092023002338.jpeg</v>
      </c>
      <c r="F2989" s="5" t="str">
        <f>HYPERLINK("https://dpmzos25m8ivg.cloudfront.net/Documentos/631/06282013895/6310628201389511092023002353.jpeg","https://dpmzos25m8ivg.cloudfront.net/Documentos/631/06282013895/6310628201389511092023002353.jpeg")</f>
        <v>https://dpmzos25m8ivg.cloudfront.net/Documentos/631/06282013895/6310628201389511092023002353.jpeg</v>
      </c>
      <c r="G2989" s="5" t="str">
        <f>HYPERLINK("https://dpmzos25m8ivg.cloudfront.net/Documentos/631/06282013895/6310628201389511092023002411.jpeg","https://dpmzos25m8ivg.cloudfront.net/Documentos/631/06282013895/6310628201389511092023002411.jpeg")</f>
        <v>https://dpmzos25m8ivg.cloudfront.net/Documentos/631/06282013895/6310628201389511092023002411.jpeg</v>
      </c>
      <c r="H2989" s="5" t="s">
        <v>11567</v>
      </c>
    </row>
    <row r="2990" spans="1:8" x14ac:dyDescent="0.25">
      <c r="A2990" s="2" t="s">
        <v>3007</v>
      </c>
      <c r="B2990" s="3" t="s">
        <v>23</v>
      </c>
      <c r="C2990" s="3"/>
      <c r="D2990" s="3"/>
      <c r="E2990" s="5" t="str">
        <f>HYPERLINK("https://dpmzos25m8ivg.cloudfront.net/Documentos/631/06287447575/6310628744757508092023212259.pdf","https://dpmzos25m8ivg.cloudfront.net/Documentos/631/06287447575/6310628744757508092023212259.pdf")</f>
        <v>https://dpmzos25m8ivg.cloudfront.net/Documentos/631/06287447575/6310628744757508092023212259.pdf</v>
      </c>
      <c r="F2990" s="5" t="str">
        <f>HYPERLINK("https://dpmzos25m8ivg.cloudfront.net/Documentos/631/06287447575/6310628744757508092023212308.pdf","https://dpmzos25m8ivg.cloudfront.net/Documentos/631/06287447575/6310628744757508092023212308.pdf")</f>
        <v>https://dpmzos25m8ivg.cloudfront.net/Documentos/631/06287447575/6310628744757508092023212308.pdf</v>
      </c>
      <c r="G2990" s="5" t="str">
        <f>HYPERLINK("https://dpmzos25m8ivg.cloudfront.net/Documentos/631/06287447575/6310628744757508092023212322.pdf","https://dpmzos25m8ivg.cloudfront.net/Documentos/631/06287447575/6310628744757508092023212322.pdf")</f>
        <v>https://dpmzos25m8ivg.cloudfront.net/Documentos/631/06287447575/6310628744757508092023212322.pdf</v>
      </c>
      <c r="H2990" s="5" t="s">
        <v>11568</v>
      </c>
    </row>
    <row r="2991" spans="1:8" x14ac:dyDescent="0.25">
      <c r="A2991" s="2" t="s">
        <v>3008</v>
      </c>
      <c r="B2991" s="3"/>
      <c r="C2991" s="3"/>
      <c r="D2991" s="3"/>
      <c r="E2991" s="5" t="str">
        <f>HYPERLINK("https://dpmzos25m8ivg.cloudfront.net/Documentos/631/06287758902/6310628775890211092023001123.pdf","https://dpmzos25m8ivg.cloudfront.net/Documentos/631/06287758902/6310628775890211092023001123.pdf")</f>
        <v>https://dpmzos25m8ivg.cloudfront.net/Documentos/631/06287758902/6310628775890211092023001123.pdf</v>
      </c>
      <c r="F2991" s="5" t="str">
        <f>HYPERLINK("https://dpmzos25m8ivg.cloudfront.net/Documentos/631/06287758902/6310628775890211092023001147.pdf","https://dpmzos25m8ivg.cloudfront.net/Documentos/631/06287758902/6310628775890211092023001147.pdf")</f>
        <v>https://dpmzos25m8ivg.cloudfront.net/Documentos/631/06287758902/6310628775890211092023001147.pdf</v>
      </c>
      <c r="G2991" s="5" t="str">
        <f>HYPERLINK("https://dpmzos25m8ivg.cloudfront.net/Documentos/631/06287758902/6310628775890211092023001217.pdf","https://dpmzos25m8ivg.cloudfront.net/Documentos/631/06287758902/6310628775890211092023001217.pdf")</f>
        <v>https://dpmzos25m8ivg.cloudfront.net/Documentos/631/06287758902/6310628775890211092023001217.pdf</v>
      </c>
      <c r="H2991" s="5" t="s">
        <v>11569</v>
      </c>
    </row>
    <row r="2992" spans="1:8" x14ac:dyDescent="0.25">
      <c r="A2992" s="2" t="s">
        <v>3009</v>
      </c>
      <c r="B2992" s="3"/>
      <c r="C2992" s="3"/>
      <c r="D2992" s="3"/>
      <c r="E2992" s="5" t="str">
        <f>HYPERLINK("https://dpmzos25m8ivg.cloudfront.net/Documentos/631/06287993499/6310628799349910092023135907.pdf","https://dpmzos25m8ivg.cloudfront.net/Documentos/631/06287993499/6310628799349910092023135907.pdf")</f>
        <v>https://dpmzos25m8ivg.cloudfront.net/Documentos/631/06287993499/6310628799349910092023135907.pdf</v>
      </c>
      <c r="F2992" s="5" t="str">
        <f>HYPERLINK("https://dpmzos25m8ivg.cloudfront.net/Documentos/631/06287993499/6310628799349910092023135942.pdf","https://dpmzos25m8ivg.cloudfront.net/Documentos/631/06287993499/6310628799349910092023135942.pdf")</f>
        <v>https://dpmzos25m8ivg.cloudfront.net/Documentos/631/06287993499/6310628799349910092023135942.pdf</v>
      </c>
      <c r="G2992" s="5" t="str">
        <f>HYPERLINK("https://dpmzos25m8ivg.cloudfront.net/Documentos/631/06287993499/6310628799349910092023140007.pdf","https://dpmzos25m8ivg.cloudfront.net/Documentos/631/06287993499/6310628799349910092023140007.pdf")</f>
        <v>https://dpmzos25m8ivg.cloudfront.net/Documentos/631/06287993499/6310628799349910092023140007.pdf</v>
      </c>
      <c r="H2992" s="5" t="s">
        <v>11570</v>
      </c>
    </row>
    <row r="2993" spans="1:8" x14ac:dyDescent="0.25">
      <c r="A2993" s="2" t="s">
        <v>3010</v>
      </c>
      <c r="B2993" s="3"/>
      <c r="C2993" s="3"/>
      <c r="D2993" s="3"/>
      <c r="E2993" s="5" t="str">
        <f>HYPERLINK("https://dpmzos25m8ivg.cloudfront.net/Documentos/631/06289107623/6310628910762309092023151800.jpg","https://dpmzos25m8ivg.cloudfront.net/Documentos/631/06289107623/6310628910762309092023151800.jpg")</f>
        <v>https://dpmzos25m8ivg.cloudfront.net/Documentos/631/06289107623/6310628910762309092023151800.jpg</v>
      </c>
      <c r="F2993" s="5" t="str">
        <f>HYPERLINK("https://dpmzos25m8ivg.cloudfront.net/Documentos/631/06289107623/6310628910762309092023151817.jpg","https://dpmzos25m8ivg.cloudfront.net/Documentos/631/06289107623/6310628910762309092023151817.jpg")</f>
        <v>https://dpmzos25m8ivg.cloudfront.net/Documentos/631/06289107623/6310628910762309092023151817.jpg</v>
      </c>
      <c r="G2993" s="5" t="str">
        <f>HYPERLINK("https://dpmzos25m8ivg.cloudfront.net/Documentos/631/06289107623/6310628910762309092023151829.jpg","https://dpmzos25m8ivg.cloudfront.net/Documentos/631/06289107623/6310628910762309092023151829.jpg")</f>
        <v>https://dpmzos25m8ivg.cloudfront.net/Documentos/631/06289107623/6310628910762309092023151829.jpg</v>
      </c>
      <c r="H2993" s="5" t="s">
        <v>11571</v>
      </c>
    </row>
    <row r="2994" spans="1:8" x14ac:dyDescent="0.25">
      <c r="A2994" s="2" t="s">
        <v>3011</v>
      </c>
      <c r="B2994" s="3"/>
      <c r="C2994" s="3"/>
      <c r="D2994" s="3"/>
      <c r="E2994" s="5" t="str">
        <f>HYPERLINK("https://dpmzos25m8ivg.cloudfront.net/Documentos/631/06289716565/6310628971656511092023131735.jpeg","https://dpmzos25m8ivg.cloudfront.net/Documentos/631/06289716565/6310628971656511092023131735.jpeg")</f>
        <v>https://dpmzos25m8ivg.cloudfront.net/Documentos/631/06289716565/6310628971656511092023131735.jpeg</v>
      </c>
      <c r="F2994" s="5" t="str">
        <f>HYPERLINK("https://dpmzos25m8ivg.cloudfront.net/Documentos/631/06289716565/6310628971656511092023131750.jpeg","https://dpmzos25m8ivg.cloudfront.net/Documentos/631/06289716565/6310628971656511092023131750.jpeg")</f>
        <v>https://dpmzos25m8ivg.cloudfront.net/Documentos/631/06289716565/6310628971656511092023131750.jpeg</v>
      </c>
      <c r="G2994" s="5" t="str">
        <f>HYPERLINK("https://dpmzos25m8ivg.cloudfront.net/Documentos/631/06289716565/6310628971656511092023131800.jpeg","https://dpmzos25m8ivg.cloudfront.net/Documentos/631/06289716565/6310628971656511092023131800.jpeg")</f>
        <v>https://dpmzos25m8ivg.cloudfront.net/Documentos/631/06289716565/6310628971656511092023131800.jpeg</v>
      </c>
      <c r="H2994" s="5" t="s">
        <v>11572</v>
      </c>
    </row>
    <row r="2995" spans="1:8" x14ac:dyDescent="0.25">
      <c r="A2995" s="2" t="s">
        <v>3012</v>
      </c>
      <c r="B2995" s="3"/>
      <c r="C2995" s="3"/>
      <c r="D2995" s="3"/>
      <c r="E2995" s="5" t="str">
        <f>HYPERLINK("https://dpmzos25m8ivg.cloudfront.net/Documentos/631/06289760548/6310628976054811092023111053.pdf","https://dpmzos25m8ivg.cloudfront.net/Documentos/631/06289760548/6310628976054811092023111053.pdf")</f>
        <v>https://dpmzos25m8ivg.cloudfront.net/Documentos/631/06289760548/6310628976054811092023111053.pdf</v>
      </c>
      <c r="F2995" s="5" t="str">
        <f>HYPERLINK("https://dpmzos25m8ivg.cloudfront.net/Documentos/631/06289760548/6310628976054811092023111233.pdf","https://dpmzos25m8ivg.cloudfront.net/Documentos/631/06289760548/6310628976054811092023111233.pdf")</f>
        <v>https://dpmzos25m8ivg.cloudfront.net/Documentos/631/06289760548/6310628976054811092023111233.pdf</v>
      </c>
      <c r="G2995" s="5" t="str">
        <f>HYPERLINK("https://dpmzos25m8ivg.cloudfront.net/Documentos/631/06289760548/6310628976054811092023111240.pdf","https://dpmzos25m8ivg.cloudfront.net/Documentos/631/06289760548/6310628976054811092023111240.pdf")</f>
        <v>https://dpmzos25m8ivg.cloudfront.net/Documentos/631/06289760548/6310628976054811092023111240.pdf</v>
      </c>
      <c r="H2995" s="5" t="s">
        <v>11573</v>
      </c>
    </row>
    <row r="2996" spans="1:8" x14ac:dyDescent="0.25">
      <c r="A2996" s="2" t="s">
        <v>3013</v>
      </c>
      <c r="B2996" s="3"/>
      <c r="C2996" s="3"/>
      <c r="D2996" s="3"/>
      <c r="E2996" s="5" t="str">
        <f>HYPERLINK("https://dpmzos25m8ivg.cloudfront.net/Documentos/631/06291024306/6310629102430611092023123613.pdf","https://dpmzos25m8ivg.cloudfront.net/Documentos/631/06291024306/6310629102430611092023123613.pdf")</f>
        <v>https://dpmzos25m8ivg.cloudfront.net/Documentos/631/06291024306/6310629102430611092023123613.pdf</v>
      </c>
      <c r="F2996" s="5" t="str">
        <f>HYPERLINK("https://dpmzos25m8ivg.cloudfront.net/Documentos/631/06291024306/6310629102430611092023123621.pdf","https://dpmzos25m8ivg.cloudfront.net/Documentos/631/06291024306/6310629102430611092023123621.pdf")</f>
        <v>https://dpmzos25m8ivg.cloudfront.net/Documentos/631/06291024306/6310629102430611092023123621.pdf</v>
      </c>
      <c r="G2996" s="5" t="str">
        <f>HYPERLINK("https://dpmzos25m8ivg.cloudfront.net/Documentos/631/06291024306/6310629102430611092023123630.pdf","https://dpmzos25m8ivg.cloudfront.net/Documentos/631/06291024306/6310629102430611092023123630.pdf")</f>
        <v>https://dpmzos25m8ivg.cloudfront.net/Documentos/631/06291024306/6310629102430611092023123630.pdf</v>
      </c>
      <c r="H2996" s="5" t="s">
        <v>11574</v>
      </c>
    </row>
    <row r="2997" spans="1:8" x14ac:dyDescent="0.25">
      <c r="A2997" s="2" t="s">
        <v>3014</v>
      </c>
      <c r="B2997" s="3"/>
      <c r="C2997" s="3"/>
      <c r="D2997" s="3"/>
      <c r="E2997" s="5" t="str">
        <f>HYPERLINK("https://dpmzos25m8ivg.cloudfront.net/Documentos/631/06292184552/6310629218455208092023201728.pdf","https://dpmzos25m8ivg.cloudfront.net/Documentos/631/06292184552/6310629218455208092023201728.pdf")</f>
        <v>https://dpmzos25m8ivg.cloudfront.net/Documentos/631/06292184552/6310629218455208092023201728.pdf</v>
      </c>
      <c r="F2997" s="5" t="str">
        <f>HYPERLINK("https://dpmzos25m8ivg.cloudfront.net/Documentos/631/06292184552/6310629218455208092023201711.pdf","https://dpmzos25m8ivg.cloudfront.net/Documentos/631/06292184552/6310629218455208092023201711.pdf")</f>
        <v>https://dpmzos25m8ivg.cloudfront.net/Documentos/631/06292184552/6310629218455208092023201711.pdf</v>
      </c>
      <c r="G2997" s="5" t="str">
        <f>HYPERLINK("https://dpmzos25m8ivg.cloudfront.net/Documentos/631/06292184552/6310629218455208092023201645.pdf","https://dpmzos25m8ivg.cloudfront.net/Documentos/631/06292184552/6310629218455208092023201645.pdf")</f>
        <v>https://dpmzos25m8ivg.cloudfront.net/Documentos/631/06292184552/6310629218455208092023201645.pdf</v>
      </c>
      <c r="H2997" s="5" t="s">
        <v>11575</v>
      </c>
    </row>
    <row r="2998" spans="1:8" x14ac:dyDescent="0.25">
      <c r="A2998" s="2" t="s">
        <v>3015</v>
      </c>
      <c r="B2998" s="3"/>
      <c r="C2998" s="3"/>
      <c r="D2998" s="3"/>
      <c r="E2998" s="5" t="str">
        <f>HYPERLINK("https://dpmzos25m8ivg.cloudfront.net/Documentos/631/06292673324/6310629267332414092023100928.pdf","https://dpmzos25m8ivg.cloudfront.net/Documentos/631/06292673324/6310629267332414092023100928.pdf")</f>
        <v>https://dpmzos25m8ivg.cloudfront.net/Documentos/631/06292673324/6310629267332414092023100928.pdf</v>
      </c>
      <c r="F2998" s="5" t="str">
        <f>HYPERLINK("https://dpmzos25m8ivg.cloudfront.net/Documentos/631/06292673324/6310629267332414092023100943.pdf","https://dpmzos25m8ivg.cloudfront.net/Documentos/631/06292673324/6310629267332414092023100943.pdf")</f>
        <v>https://dpmzos25m8ivg.cloudfront.net/Documentos/631/06292673324/6310629267332414092023100943.pdf</v>
      </c>
      <c r="G2998" s="5" t="str">
        <f>HYPERLINK("https://dpmzos25m8ivg.cloudfront.net/Documentos/631/06292673324/6310629267332414092023100958.pdf","https://dpmzos25m8ivg.cloudfront.net/Documentos/631/06292673324/6310629267332414092023100958.pdf")</f>
        <v>https://dpmzos25m8ivg.cloudfront.net/Documentos/631/06292673324/6310629267332414092023100958.pdf</v>
      </c>
      <c r="H2998" s="5" t="s">
        <v>11576</v>
      </c>
    </row>
    <row r="2999" spans="1:8" x14ac:dyDescent="0.25">
      <c r="A2999" s="2" t="s">
        <v>3016</v>
      </c>
      <c r="B2999" s="3" t="s">
        <v>8</v>
      </c>
      <c r="C2999" s="3"/>
      <c r="D2999" s="3"/>
      <c r="E2999" s="5" t="str">
        <f>HYPERLINK("https://dpmzos25m8ivg.cloudfront.net/Documentos/631/06294397960/6310629439796011092023082832.pdf","https://dpmzos25m8ivg.cloudfront.net/Documentos/631/06294397960/6310629439796011092023082832.pdf")</f>
        <v>https://dpmzos25m8ivg.cloudfront.net/Documentos/631/06294397960/6310629439796011092023082832.pdf</v>
      </c>
      <c r="F2999" s="5" t="str">
        <f>HYPERLINK("https://dpmzos25m8ivg.cloudfront.net/Documentos/631/06294397960/6310629439796011092023082855.pdf","https://dpmzos25m8ivg.cloudfront.net/Documentos/631/06294397960/6310629439796011092023082855.pdf")</f>
        <v>https://dpmzos25m8ivg.cloudfront.net/Documentos/631/06294397960/6310629439796011092023082855.pdf</v>
      </c>
      <c r="G2999" s="5" t="str">
        <f>HYPERLINK("https://dpmzos25m8ivg.cloudfront.net/Documentos/631/06294397960/6310629439796011092023082910.pdf","https://dpmzos25m8ivg.cloudfront.net/Documentos/631/06294397960/6310629439796011092023082910.pdf")</f>
        <v>https://dpmzos25m8ivg.cloudfront.net/Documentos/631/06294397960/6310629439796011092023082910.pdf</v>
      </c>
      <c r="H2999" s="5" t="s">
        <v>11577</v>
      </c>
    </row>
    <row r="3000" spans="1:8" x14ac:dyDescent="0.25">
      <c r="A3000" s="2" t="s">
        <v>3017</v>
      </c>
      <c r="B3000" s="3"/>
      <c r="C3000" s="3"/>
      <c r="D3000" s="3"/>
      <c r="E3000" s="5" t="str">
        <f>HYPERLINK("https://dpmzos25m8ivg.cloudfront.net/Documentos/631/06294491398/6310629449139811092023165844.jpeg","https://dpmzos25m8ivg.cloudfront.net/Documentos/631/06294491398/6310629449139811092023165844.jpeg")</f>
        <v>https://dpmzos25m8ivg.cloudfront.net/Documentos/631/06294491398/6310629449139811092023165844.jpeg</v>
      </c>
      <c r="F3000" s="5" t="str">
        <f>HYPERLINK("https://dpmzos25m8ivg.cloudfront.net/Documentos/631/06294491398/6310629449139811092023165909.jpeg","https://dpmzos25m8ivg.cloudfront.net/Documentos/631/06294491398/6310629449139811092023165909.jpeg")</f>
        <v>https://dpmzos25m8ivg.cloudfront.net/Documentos/631/06294491398/6310629449139811092023165909.jpeg</v>
      </c>
      <c r="G3000" s="5" t="str">
        <f>HYPERLINK("https://dpmzos25m8ivg.cloudfront.net/Documentos/631/06294491398/6310629449139811092023165934.jpeg","https://dpmzos25m8ivg.cloudfront.net/Documentos/631/06294491398/6310629449139811092023165934.jpeg")</f>
        <v>https://dpmzos25m8ivg.cloudfront.net/Documentos/631/06294491398/6310629449139811092023165934.jpeg</v>
      </c>
      <c r="H3000" s="5" t="s">
        <v>11578</v>
      </c>
    </row>
    <row r="3001" spans="1:8" x14ac:dyDescent="0.25">
      <c r="A3001" s="2" t="s">
        <v>3018</v>
      </c>
      <c r="B3001" s="3"/>
      <c r="C3001" s="3"/>
      <c r="D3001" s="3"/>
      <c r="E3001" s="5" t="str">
        <f>HYPERLINK("https://dpmzos25m8ivg.cloudfront.net/Documentos/631/06295278140/6310629527814006092023143651.pdf","https://dpmzos25m8ivg.cloudfront.net/Documentos/631/06295278140/6310629527814006092023143651.pdf")</f>
        <v>https://dpmzos25m8ivg.cloudfront.net/Documentos/631/06295278140/6310629527814006092023143651.pdf</v>
      </c>
      <c r="F3001" s="5" t="str">
        <f>HYPERLINK("https://dpmzos25m8ivg.cloudfront.net/Documentos/631/06295278140/6310629527814006092023143700.pdf","https://dpmzos25m8ivg.cloudfront.net/Documentos/631/06295278140/6310629527814006092023143700.pdf")</f>
        <v>https://dpmzos25m8ivg.cloudfront.net/Documentos/631/06295278140/6310629527814006092023143700.pdf</v>
      </c>
      <c r="G3001" s="5" t="str">
        <f>HYPERLINK("https://dpmzos25m8ivg.cloudfront.net/Documentos/631/06295278140/6310629527814006092023143710.pdf","https://dpmzos25m8ivg.cloudfront.net/Documentos/631/06295278140/6310629527814006092023143710.pdf")</f>
        <v>https://dpmzos25m8ivg.cloudfront.net/Documentos/631/06295278140/6310629527814006092023143710.pdf</v>
      </c>
      <c r="H3001" s="5" t="s">
        <v>11579</v>
      </c>
    </row>
    <row r="3002" spans="1:8" x14ac:dyDescent="0.25">
      <c r="A3002" s="2" t="s">
        <v>3019</v>
      </c>
      <c r="B3002" s="3"/>
      <c r="C3002" s="3"/>
      <c r="D3002" s="3"/>
      <c r="E3002" s="5" t="str">
        <f>HYPERLINK("https://dpmzos25m8ivg.cloudfront.net/Documentos/631/06297211574/6310629721157405092023201926.pdf","https://dpmzos25m8ivg.cloudfront.net/Documentos/631/06297211574/6310629721157405092023201926.pdf")</f>
        <v>https://dpmzos25m8ivg.cloudfront.net/Documentos/631/06297211574/6310629721157405092023201926.pdf</v>
      </c>
      <c r="F3002" s="5" t="str">
        <f>HYPERLINK("https://dpmzos25m8ivg.cloudfront.net/Documentos/631/06297211574/6310629721157405092023201936.pdf","https://dpmzos25m8ivg.cloudfront.net/Documentos/631/06297211574/6310629721157405092023201936.pdf")</f>
        <v>https://dpmzos25m8ivg.cloudfront.net/Documentos/631/06297211574/6310629721157405092023201936.pdf</v>
      </c>
      <c r="G3002" s="5" t="str">
        <f>HYPERLINK("https://dpmzos25m8ivg.cloudfront.net/Documentos/631/06297211574/6310629721157405092023202358.pdf","https://dpmzos25m8ivg.cloudfront.net/Documentos/631/06297211574/6310629721157405092023202358.pdf")</f>
        <v>https://dpmzos25m8ivg.cloudfront.net/Documentos/631/06297211574/6310629721157405092023202358.pdf</v>
      </c>
      <c r="H3002" s="5" t="s">
        <v>11580</v>
      </c>
    </row>
    <row r="3003" spans="1:8" x14ac:dyDescent="0.25">
      <c r="A3003" s="2" t="s">
        <v>3020</v>
      </c>
      <c r="B3003" s="3"/>
      <c r="C3003" s="3"/>
      <c r="D3003" s="3"/>
      <c r="E3003" s="5" t="str">
        <f>HYPERLINK("https://dpmzos25m8ivg.cloudfront.net/Documentos/631/06300249107/6310630024910711092023165145.pdf","https://dpmzos25m8ivg.cloudfront.net/Documentos/631/06300249107/6310630024910711092023165145.pdf")</f>
        <v>https://dpmzos25m8ivg.cloudfront.net/Documentos/631/06300249107/6310630024910711092023165145.pdf</v>
      </c>
      <c r="F3003" s="5" t="str">
        <f>HYPERLINK("https://dpmzos25m8ivg.cloudfront.net/Documentos/631/06300249107/6310630024910711092023165159.pdf","https://dpmzos25m8ivg.cloudfront.net/Documentos/631/06300249107/6310630024910711092023165159.pdf")</f>
        <v>https://dpmzos25m8ivg.cloudfront.net/Documentos/631/06300249107/6310630024910711092023165159.pdf</v>
      </c>
      <c r="G3003" s="5" t="str">
        <f>HYPERLINK("https://dpmzos25m8ivg.cloudfront.net/Documentos/631/06300249107/6310630024910711092023165218.pdf","https://dpmzos25m8ivg.cloudfront.net/Documentos/631/06300249107/6310630024910711092023165218.pdf")</f>
        <v>https://dpmzos25m8ivg.cloudfront.net/Documentos/631/06300249107/6310630024910711092023165218.pdf</v>
      </c>
      <c r="H3003" s="5" t="s">
        <v>11581</v>
      </c>
    </row>
    <row r="3004" spans="1:8" x14ac:dyDescent="0.25">
      <c r="A3004" s="2" t="s">
        <v>3021</v>
      </c>
      <c r="B3004" s="3" t="s">
        <v>23</v>
      </c>
      <c r="C3004" s="3"/>
      <c r="D3004" s="3"/>
      <c r="E3004" s="5" t="str">
        <f>HYPERLINK("https://dpmzos25m8ivg.cloudfront.net/Documentos/631/06303982328/6310630398232811092023151314.jpg","https://dpmzos25m8ivg.cloudfront.net/Documentos/631/06303982328/6310630398232811092023151314.jpg")</f>
        <v>https://dpmzos25m8ivg.cloudfront.net/Documentos/631/06303982328/6310630398232811092023151314.jpg</v>
      </c>
      <c r="F3004" s="5" t="str">
        <f>HYPERLINK("https://dpmzos25m8ivg.cloudfront.net/Documentos/631/06303982328/6310630398232811092023151333.jpg","https://dpmzos25m8ivg.cloudfront.net/Documentos/631/06303982328/6310630398232811092023151333.jpg")</f>
        <v>https://dpmzos25m8ivg.cloudfront.net/Documentos/631/06303982328/6310630398232811092023151333.jpg</v>
      </c>
      <c r="G3004" s="5" t="str">
        <f>HYPERLINK("https://dpmzos25m8ivg.cloudfront.net/Documentos/631/06303982328/6310630398232811092023151344.jpg","https://dpmzos25m8ivg.cloudfront.net/Documentos/631/06303982328/6310630398232811092023151344.jpg")</f>
        <v>https://dpmzos25m8ivg.cloudfront.net/Documentos/631/06303982328/6310630398232811092023151344.jpg</v>
      </c>
      <c r="H3004" s="5" t="s">
        <v>11582</v>
      </c>
    </row>
    <row r="3005" spans="1:8" x14ac:dyDescent="0.25">
      <c r="A3005" s="2" t="s">
        <v>3022</v>
      </c>
      <c r="B3005" s="3"/>
      <c r="C3005" s="3"/>
      <c r="D3005" s="3"/>
      <c r="E3005" s="5" t="str">
        <f>HYPERLINK("https://dpmzos25m8ivg.cloudfront.net/Documentos/631/06304035110/6310630403511011092023120523.pdf","https://dpmzos25m8ivg.cloudfront.net/Documentos/631/06304035110/6310630403511011092023120523.pdf")</f>
        <v>https://dpmzos25m8ivg.cloudfront.net/Documentos/631/06304035110/6310630403511011092023120523.pdf</v>
      </c>
      <c r="F3005" s="5" t="str">
        <f>HYPERLINK("https://dpmzos25m8ivg.cloudfront.net/Documentos/631/06304035110/6310630403511011092023120532.pdf","https://dpmzos25m8ivg.cloudfront.net/Documentos/631/06304035110/6310630403511011092023120532.pdf")</f>
        <v>https://dpmzos25m8ivg.cloudfront.net/Documentos/631/06304035110/6310630403511011092023120532.pdf</v>
      </c>
      <c r="G3005" s="5" t="str">
        <f>HYPERLINK("https://dpmzos25m8ivg.cloudfront.net/Documentos/631/06304035110/6310630403511011092023120552.pdf","https://dpmzos25m8ivg.cloudfront.net/Documentos/631/06304035110/6310630403511011092023120552.pdf")</f>
        <v>https://dpmzos25m8ivg.cloudfront.net/Documentos/631/06304035110/6310630403511011092023120552.pdf</v>
      </c>
      <c r="H3005" s="5" t="s">
        <v>11583</v>
      </c>
    </row>
    <row r="3006" spans="1:8" x14ac:dyDescent="0.25">
      <c r="A3006" s="2" t="s">
        <v>3023</v>
      </c>
      <c r="B3006" s="3"/>
      <c r="C3006" s="3"/>
      <c r="D3006" s="3"/>
      <c r="E3006" s="5" t="str">
        <f>HYPERLINK("https://dpmzos25m8ivg.cloudfront.net/Documentos/631/06305346674/6310630534667411092023132311.pdf","https://dpmzos25m8ivg.cloudfront.net/Documentos/631/06305346674/6310630534667411092023132311.pdf")</f>
        <v>https://dpmzos25m8ivg.cloudfront.net/Documentos/631/06305346674/6310630534667411092023132311.pdf</v>
      </c>
      <c r="F3006" s="5" t="str">
        <f>HYPERLINK("https://dpmzos25m8ivg.cloudfront.net/Documentos/631/06305346674/6310630534667411092023132358.pdf","https://dpmzos25m8ivg.cloudfront.net/Documentos/631/06305346674/6310630534667411092023132358.pdf")</f>
        <v>https://dpmzos25m8ivg.cloudfront.net/Documentos/631/06305346674/6310630534667411092023132358.pdf</v>
      </c>
      <c r="G3006" s="5" t="str">
        <f>HYPERLINK("https://dpmzos25m8ivg.cloudfront.net/Documentos/631/06305346674/6310630534667411092023132412.pdf","https://dpmzos25m8ivg.cloudfront.net/Documentos/631/06305346674/6310630534667411092023132412.pdf")</f>
        <v>https://dpmzos25m8ivg.cloudfront.net/Documentos/631/06305346674/6310630534667411092023132412.pdf</v>
      </c>
      <c r="H3006" s="5" t="s">
        <v>11584</v>
      </c>
    </row>
    <row r="3007" spans="1:8" x14ac:dyDescent="0.25">
      <c r="A3007" s="2" t="s">
        <v>3024</v>
      </c>
      <c r="B3007" s="3"/>
      <c r="C3007" s="3"/>
      <c r="D3007" s="3"/>
      <c r="E3007" s="5" t="str">
        <f>HYPERLINK("https://dpmzos25m8ivg.cloudfront.net/Documentos/631/06307431342/6310630743134211092023022715.jpg","https://dpmzos25m8ivg.cloudfront.net/Documentos/631/06307431342/6310630743134211092023022715.jpg")</f>
        <v>https://dpmzos25m8ivg.cloudfront.net/Documentos/631/06307431342/6310630743134211092023022715.jpg</v>
      </c>
      <c r="F3007" s="5" t="str">
        <f>HYPERLINK("https://dpmzos25m8ivg.cloudfront.net/Documentos/631/06307431342/6310630743134211092023022733.jpg","https://dpmzos25m8ivg.cloudfront.net/Documentos/631/06307431342/6310630743134211092023022733.jpg")</f>
        <v>https://dpmzos25m8ivg.cloudfront.net/Documentos/631/06307431342/6310630743134211092023022733.jpg</v>
      </c>
      <c r="G3007" s="5" t="str">
        <f>HYPERLINK("https://dpmzos25m8ivg.cloudfront.net/Documentos/631/06307431342/6310630743134211092023022743.jpg","https://dpmzos25m8ivg.cloudfront.net/Documentos/631/06307431342/6310630743134211092023022743.jpg")</f>
        <v>https://dpmzos25m8ivg.cloudfront.net/Documentos/631/06307431342/6310630743134211092023022743.jpg</v>
      </c>
      <c r="H3007" s="5" t="s">
        <v>11585</v>
      </c>
    </row>
    <row r="3008" spans="1:8" x14ac:dyDescent="0.25">
      <c r="A3008" s="2" t="s">
        <v>3025</v>
      </c>
      <c r="B3008" s="3"/>
      <c r="C3008" s="3"/>
      <c r="D3008" s="3"/>
      <c r="E3008" s="5" t="str">
        <f>HYPERLINK("https://dpmzos25m8ivg.cloudfront.net/Documentos/631/06310609106/6310631060910611092023140819.pdf","https://dpmzos25m8ivg.cloudfront.net/Documentos/631/06310609106/6310631060910611092023140819.pdf")</f>
        <v>https://dpmzos25m8ivg.cloudfront.net/Documentos/631/06310609106/6310631060910611092023140819.pdf</v>
      </c>
      <c r="F3008" s="5" t="str">
        <f>HYPERLINK("https://dpmzos25m8ivg.cloudfront.net/Documentos/631/06310609106/6310631060910611092023151227.pdf","https://dpmzos25m8ivg.cloudfront.net/Documentos/631/06310609106/6310631060910611092023151227.pdf")</f>
        <v>https://dpmzos25m8ivg.cloudfront.net/Documentos/631/06310609106/6310631060910611092023151227.pdf</v>
      </c>
      <c r="G3008" s="5" t="str">
        <f>HYPERLINK("https://dpmzos25m8ivg.cloudfront.net/Documentos/631/06310609106/6310631060910611092023151416.pdf","https://dpmzos25m8ivg.cloudfront.net/Documentos/631/06310609106/6310631060910611092023151416.pdf")</f>
        <v>https://dpmzos25m8ivg.cloudfront.net/Documentos/631/06310609106/6310631060910611092023151416.pdf</v>
      </c>
      <c r="H3008" s="5" t="s">
        <v>11586</v>
      </c>
    </row>
    <row r="3009" spans="1:8" x14ac:dyDescent="0.25">
      <c r="A3009" s="2" t="s">
        <v>3026</v>
      </c>
      <c r="B3009" s="3"/>
      <c r="C3009" s="3"/>
      <c r="D3009" s="3"/>
      <c r="E3009" s="5" t="str">
        <f>HYPERLINK("https://dpmzos25m8ivg.cloudfront.net/Documentos/631/06317191131/6310631719113111092023160446.pdf","https://dpmzos25m8ivg.cloudfront.net/Documentos/631/06317191131/6310631719113111092023160446.pdf")</f>
        <v>https://dpmzos25m8ivg.cloudfront.net/Documentos/631/06317191131/6310631719113111092023160446.pdf</v>
      </c>
      <c r="F3009" s="5" t="str">
        <f>HYPERLINK("https://dpmzos25m8ivg.cloudfront.net/Documentos/631/06317191131/6310631719113111092023160457.pdf","https://dpmzos25m8ivg.cloudfront.net/Documentos/631/06317191131/6310631719113111092023160457.pdf")</f>
        <v>https://dpmzos25m8ivg.cloudfront.net/Documentos/631/06317191131/6310631719113111092023160457.pdf</v>
      </c>
      <c r="G3009" s="5" t="str">
        <f>HYPERLINK("https://dpmzos25m8ivg.cloudfront.net/Documentos/631/06317191131/6310631719113111092023160513.pdf","https://dpmzos25m8ivg.cloudfront.net/Documentos/631/06317191131/6310631719113111092023160513.pdf")</f>
        <v>https://dpmzos25m8ivg.cloudfront.net/Documentos/631/06317191131/6310631719113111092023160513.pdf</v>
      </c>
      <c r="H3009" s="5" t="s">
        <v>11587</v>
      </c>
    </row>
    <row r="3010" spans="1:8" x14ac:dyDescent="0.25">
      <c r="A3010" s="2" t="s">
        <v>3027</v>
      </c>
      <c r="B3010" s="3" t="s">
        <v>8</v>
      </c>
      <c r="C3010" s="3"/>
      <c r="D3010" s="3"/>
      <c r="E3010" s="5" t="str">
        <f>HYPERLINK("https://dpmzos25m8ivg.cloudfront.net/Documentos/631/06317615438/6310631761543809092023142115.jpg","https://dpmzos25m8ivg.cloudfront.net/Documentos/631/06317615438/6310631761543809092023142115.jpg")</f>
        <v>https://dpmzos25m8ivg.cloudfront.net/Documentos/631/06317615438/6310631761543809092023142115.jpg</v>
      </c>
      <c r="F3010" s="5" t="str">
        <f>HYPERLINK("https://dpmzos25m8ivg.cloudfront.net/Documentos/631/06317615438/6310631761543809092023142219.jpg","https://dpmzos25m8ivg.cloudfront.net/Documentos/631/06317615438/6310631761543809092023142219.jpg")</f>
        <v>https://dpmzos25m8ivg.cloudfront.net/Documentos/631/06317615438/6310631761543809092023142219.jpg</v>
      </c>
      <c r="G3010" s="5" t="str">
        <f>HYPERLINK("https://dpmzos25m8ivg.cloudfront.net/Documentos/631/06317615438/6310631761543809092023142327.jpg","https://dpmzos25m8ivg.cloudfront.net/Documentos/631/06317615438/6310631761543809092023142327.jpg")</f>
        <v>https://dpmzos25m8ivg.cloudfront.net/Documentos/631/06317615438/6310631761543809092023142327.jpg</v>
      </c>
      <c r="H3010" s="5" t="s">
        <v>11588</v>
      </c>
    </row>
    <row r="3011" spans="1:8" x14ac:dyDescent="0.25">
      <c r="A3011" s="2" t="s">
        <v>3028</v>
      </c>
      <c r="B3011" s="3" t="s">
        <v>197</v>
      </c>
      <c r="C3011" s="3"/>
      <c r="D3011" s="3"/>
      <c r="E3011" s="5" t="str">
        <f>HYPERLINK("https://dpmzos25m8ivg.cloudfront.net/Documentos/631/06320516470/6310632051647009092023114227.pdf","https://dpmzos25m8ivg.cloudfront.net/Documentos/631/06320516470/6310632051647009092023114227.pdf")</f>
        <v>https://dpmzos25m8ivg.cloudfront.net/Documentos/631/06320516470/6310632051647009092023114227.pdf</v>
      </c>
      <c r="F3011" s="5" t="str">
        <f>HYPERLINK("https://dpmzos25m8ivg.cloudfront.net/Documentos/631/06320516470/6310632051647009092023114253.pdf","https://dpmzos25m8ivg.cloudfront.net/Documentos/631/06320516470/6310632051647009092023114253.pdf")</f>
        <v>https://dpmzos25m8ivg.cloudfront.net/Documentos/631/06320516470/6310632051647009092023114253.pdf</v>
      </c>
      <c r="G3011" s="5" t="str">
        <f>HYPERLINK("https://dpmzos25m8ivg.cloudfront.net/Documentos/631/06320516470/6310632051647009092023114309.pdf","https://dpmzos25m8ivg.cloudfront.net/Documentos/631/06320516470/6310632051647009092023114309.pdf")</f>
        <v>https://dpmzos25m8ivg.cloudfront.net/Documentos/631/06320516470/6310632051647009092023114309.pdf</v>
      </c>
      <c r="H3011" s="5" t="s">
        <v>11589</v>
      </c>
    </row>
    <row r="3012" spans="1:8" x14ac:dyDescent="0.25">
      <c r="A3012" s="2" t="s">
        <v>3029</v>
      </c>
      <c r="B3012" s="3"/>
      <c r="C3012" s="3"/>
      <c r="D3012" s="3"/>
      <c r="E3012" s="5" t="str">
        <f>HYPERLINK("https://dpmzos25m8ivg.cloudfront.net/Documentos/631/06322205382/6310632220538214092023104031.pdf","https://dpmzos25m8ivg.cloudfront.net/Documentos/631/06322205382/6310632220538214092023104031.pdf")</f>
        <v>https://dpmzos25m8ivg.cloudfront.net/Documentos/631/06322205382/6310632220538214092023104031.pdf</v>
      </c>
      <c r="F3012" s="5" t="str">
        <f>HYPERLINK("https://dpmzos25m8ivg.cloudfront.net/Documentos/631/06322205382/6310632220538214092023104051.pdf","https://dpmzos25m8ivg.cloudfront.net/Documentos/631/06322205382/6310632220538214092023104051.pdf")</f>
        <v>https://dpmzos25m8ivg.cloudfront.net/Documentos/631/06322205382/6310632220538214092023104051.pdf</v>
      </c>
      <c r="G3012" s="5" t="str">
        <f>HYPERLINK("https://dpmzos25m8ivg.cloudfront.net/Documentos/631/06322205382/6310632220538214092023104106.pdf","https://dpmzos25m8ivg.cloudfront.net/Documentos/631/06322205382/6310632220538214092023104106.pdf")</f>
        <v>https://dpmzos25m8ivg.cloudfront.net/Documentos/631/06322205382/6310632220538214092023104106.pdf</v>
      </c>
      <c r="H3012" s="5" t="s">
        <v>11590</v>
      </c>
    </row>
    <row r="3013" spans="1:8" x14ac:dyDescent="0.25">
      <c r="A3013" s="2" t="s">
        <v>3030</v>
      </c>
      <c r="B3013" s="3"/>
      <c r="C3013" s="3"/>
      <c r="D3013" s="3"/>
      <c r="E3013" s="5" t="str">
        <f>HYPERLINK("https://dpmzos25m8ivg.cloudfront.net/Documentos/631/06325049608/6310632504960806092023182754.pdf","https://dpmzos25m8ivg.cloudfront.net/Documentos/631/06325049608/6310632504960806092023182754.pdf")</f>
        <v>https://dpmzos25m8ivg.cloudfront.net/Documentos/631/06325049608/6310632504960806092023182754.pdf</v>
      </c>
      <c r="F3013" s="5" t="str">
        <f>HYPERLINK("https://dpmzos25m8ivg.cloudfront.net/Documentos/631/06325049608/6310632504960806092023182803.pdf","https://dpmzos25m8ivg.cloudfront.net/Documentos/631/06325049608/6310632504960806092023182803.pdf")</f>
        <v>https://dpmzos25m8ivg.cloudfront.net/Documentos/631/06325049608/6310632504960806092023182803.pdf</v>
      </c>
      <c r="G3013" s="5" t="str">
        <f>HYPERLINK("https://dpmzos25m8ivg.cloudfront.net/Documentos/631/06325049608/6310632504960806092023182813.pdf","https://dpmzos25m8ivg.cloudfront.net/Documentos/631/06325049608/6310632504960806092023182813.pdf")</f>
        <v>https://dpmzos25m8ivg.cloudfront.net/Documentos/631/06325049608/6310632504960806092023182813.pdf</v>
      </c>
      <c r="H3013" s="5" t="s">
        <v>11591</v>
      </c>
    </row>
    <row r="3014" spans="1:8" x14ac:dyDescent="0.25">
      <c r="A3014" s="2" t="s">
        <v>3031</v>
      </c>
      <c r="B3014" s="3"/>
      <c r="C3014" s="3"/>
      <c r="D3014" s="3"/>
      <c r="E3014" s="5" t="str">
        <f>HYPERLINK("https://dpmzos25m8ivg.cloudfront.net/Documentos/631/06325767586/6310632576758611092023143302.jpeg","https://dpmzos25m8ivg.cloudfront.net/Documentos/631/06325767586/6310632576758611092023143302.jpeg")</f>
        <v>https://dpmzos25m8ivg.cloudfront.net/Documentos/631/06325767586/6310632576758611092023143302.jpeg</v>
      </c>
      <c r="F3014" s="5" t="str">
        <f>HYPERLINK("https://dpmzos25m8ivg.cloudfront.net/Documentos/631/06325767586/6310632576758611092023143313.jpeg","https://dpmzos25m8ivg.cloudfront.net/Documentos/631/06325767586/6310632576758611092023143313.jpeg")</f>
        <v>https://dpmzos25m8ivg.cloudfront.net/Documentos/631/06325767586/6310632576758611092023143313.jpeg</v>
      </c>
      <c r="G3014" s="5" t="str">
        <f>HYPERLINK("https://dpmzos25m8ivg.cloudfront.net/Documentos/631/06325767586/6310632576758611092023143324.jpeg","https://dpmzos25m8ivg.cloudfront.net/Documentos/631/06325767586/6310632576758611092023143324.jpeg")</f>
        <v>https://dpmzos25m8ivg.cloudfront.net/Documentos/631/06325767586/6310632576758611092023143324.jpeg</v>
      </c>
      <c r="H3014" s="5" t="s">
        <v>11592</v>
      </c>
    </row>
    <row r="3015" spans="1:8" x14ac:dyDescent="0.25">
      <c r="A3015" s="2" t="s">
        <v>3032</v>
      </c>
      <c r="B3015" s="3" t="s">
        <v>8</v>
      </c>
      <c r="C3015" s="3"/>
      <c r="D3015" s="3"/>
      <c r="E3015" s="5" t="str">
        <f>HYPERLINK("https://dpmzos25m8ivg.cloudfront.net/Documentos/631/06325849396/6310632584939611092023150414.jpg","https://dpmzos25m8ivg.cloudfront.net/Documentos/631/06325849396/6310632584939611092023150414.jpg")</f>
        <v>https://dpmzos25m8ivg.cloudfront.net/Documentos/631/06325849396/6310632584939611092023150414.jpg</v>
      </c>
      <c r="F3015" s="5" t="str">
        <f>HYPERLINK("https://dpmzos25m8ivg.cloudfront.net/Documentos/631/06325849396/6310632584939611092023150441.jpg","https://dpmzos25m8ivg.cloudfront.net/Documentos/631/06325849396/6310632584939611092023150441.jpg")</f>
        <v>https://dpmzos25m8ivg.cloudfront.net/Documentos/631/06325849396/6310632584939611092023150441.jpg</v>
      </c>
      <c r="G3015" s="5" t="str">
        <f>HYPERLINK("https://dpmzos25m8ivg.cloudfront.net/Documentos/631/06325849396/6310632584939611092023150522.jpg","https://dpmzos25m8ivg.cloudfront.net/Documentos/631/06325849396/6310632584939611092023150522.jpg")</f>
        <v>https://dpmzos25m8ivg.cloudfront.net/Documentos/631/06325849396/6310632584939611092023150522.jpg</v>
      </c>
      <c r="H3015" s="5" t="s">
        <v>11593</v>
      </c>
    </row>
    <row r="3016" spans="1:8" x14ac:dyDescent="0.25">
      <c r="A3016" s="2" t="s">
        <v>3033</v>
      </c>
      <c r="B3016" s="3"/>
      <c r="C3016" s="3"/>
      <c r="D3016" s="3"/>
      <c r="E3016" s="5" t="str">
        <f>HYPERLINK("https://dpmzos25m8ivg.cloudfront.net/Documentos/631/06326182131/6310632618213112092023170524.pdf","https://dpmzos25m8ivg.cloudfront.net/Documentos/631/06326182131/6310632618213112092023170524.pdf")</f>
        <v>https://dpmzos25m8ivg.cloudfront.net/Documentos/631/06326182131/6310632618213112092023170524.pdf</v>
      </c>
      <c r="F3016" s="5" t="str">
        <f>HYPERLINK("https://dpmzos25m8ivg.cloudfront.net/Documentos/631/06326182131/6310632618213112092023170819.pdf","https://dpmzos25m8ivg.cloudfront.net/Documentos/631/06326182131/6310632618213112092023170819.pdf")</f>
        <v>https://dpmzos25m8ivg.cloudfront.net/Documentos/631/06326182131/6310632618213112092023170819.pdf</v>
      </c>
      <c r="G3016" s="5" t="str">
        <f>HYPERLINK("https://dpmzos25m8ivg.cloudfront.net/Documentos/631/06326182131/6310632618213112092023170830.pdf","https://dpmzos25m8ivg.cloudfront.net/Documentos/631/06326182131/6310632618213112092023170830.pdf")</f>
        <v>https://dpmzos25m8ivg.cloudfront.net/Documentos/631/06326182131/6310632618213112092023170830.pdf</v>
      </c>
      <c r="H3016" s="5" t="s">
        <v>11594</v>
      </c>
    </row>
    <row r="3017" spans="1:8" x14ac:dyDescent="0.25">
      <c r="A3017" s="2" t="s">
        <v>3034</v>
      </c>
      <c r="B3017" s="3"/>
      <c r="C3017" s="3"/>
      <c r="D3017" s="3"/>
      <c r="E3017" s="5" t="str">
        <f>HYPERLINK("https://dpmzos25m8ivg.cloudfront.net/Documentos/631/06328597339/6310632859733912092023185320.pdf","https://dpmzos25m8ivg.cloudfront.net/Documentos/631/06328597339/6310632859733912092023185320.pdf")</f>
        <v>https://dpmzos25m8ivg.cloudfront.net/Documentos/631/06328597339/6310632859733912092023185320.pdf</v>
      </c>
      <c r="F3017" s="5" t="str">
        <f>HYPERLINK("https://dpmzos25m8ivg.cloudfront.net/Documentos/631/06328597339/6310632859733912092023185337.pdf","https://dpmzos25m8ivg.cloudfront.net/Documentos/631/06328597339/6310632859733912092023185337.pdf")</f>
        <v>https://dpmzos25m8ivg.cloudfront.net/Documentos/631/06328597339/6310632859733912092023185337.pdf</v>
      </c>
      <c r="G3017" s="5" t="str">
        <f>HYPERLINK("https://dpmzos25m8ivg.cloudfront.net/Documentos/631/06328597339/6310632859733912092023185353.pdf","https://dpmzos25m8ivg.cloudfront.net/Documentos/631/06328597339/6310632859733912092023185353.pdf")</f>
        <v>https://dpmzos25m8ivg.cloudfront.net/Documentos/631/06328597339/6310632859733912092023185353.pdf</v>
      </c>
      <c r="H3017" s="5" t="s">
        <v>11595</v>
      </c>
    </row>
    <row r="3018" spans="1:8" x14ac:dyDescent="0.25">
      <c r="A3018" s="2" t="s">
        <v>3035</v>
      </c>
      <c r="B3018" s="3"/>
      <c r="C3018" s="3"/>
      <c r="D3018" s="3"/>
      <c r="E3018" s="5" t="str">
        <f>HYPERLINK("https://dpmzos25m8ivg.cloudfront.net/Documentos/631/06330748101/6310633074810111092023104330.jpeg","https://dpmzos25m8ivg.cloudfront.net/Documentos/631/06330748101/6310633074810111092023104330.jpeg")</f>
        <v>https://dpmzos25m8ivg.cloudfront.net/Documentos/631/06330748101/6310633074810111092023104330.jpeg</v>
      </c>
      <c r="F3018" s="5" t="str">
        <f>HYPERLINK("https://dpmzos25m8ivg.cloudfront.net/Documentos/631/06330748101/6310633074810111092023104432.jpeg","https://dpmzos25m8ivg.cloudfront.net/Documentos/631/06330748101/6310633074810111092023104432.jpeg")</f>
        <v>https://dpmzos25m8ivg.cloudfront.net/Documentos/631/06330748101/6310633074810111092023104432.jpeg</v>
      </c>
      <c r="G3018" s="5" t="str">
        <f>HYPERLINK("https://dpmzos25m8ivg.cloudfront.net/Documentos/631/06330748101/6310633074810111092023104518.jpeg","https://dpmzos25m8ivg.cloudfront.net/Documentos/631/06330748101/6310633074810111092023104518.jpeg")</f>
        <v>https://dpmzos25m8ivg.cloudfront.net/Documentos/631/06330748101/6310633074810111092023104518.jpeg</v>
      </c>
      <c r="H3018" s="5" t="s">
        <v>11596</v>
      </c>
    </row>
    <row r="3019" spans="1:8" x14ac:dyDescent="0.25">
      <c r="A3019" s="2" t="s">
        <v>3036</v>
      </c>
      <c r="B3019" s="3"/>
      <c r="C3019" s="3"/>
      <c r="D3019" s="3"/>
      <c r="E3019" s="5" t="str">
        <f>HYPERLINK("https://dpmzos25m8ivg.cloudfront.net/Documentos/631/06330793590/6310633079359010092023104140.pdf","https://dpmzos25m8ivg.cloudfront.net/Documentos/631/06330793590/6310633079359010092023104140.pdf")</f>
        <v>https://dpmzos25m8ivg.cloudfront.net/Documentos/631/06330793590/6310633079359010092023104140.pdf</v>
      </c>
      <c r="F3019" s="5" t="str">
        <f>HYPERLINK("https://dpmzos25m8ivg.cloudfront.net/Documentos/631/06330793590/6310633079359010092023104157.pdf","https://dpmzos25m8ivg.cloudfront.net/Documentos/631/06330793590/6310633079359010092023104157.pdf")</f>
        <v>https://dpmzos25m8ivg.cloudfront.net/Documentos/631/06330793590/6310633079359010092023104157.pdf</v>
      </c>
      <c r="G3019" s="5" t="str">
        <f>HYPERLINK("https://dpmzos25m8ivg.cloudfront.net/Documentos/631/06330793590/6310633079359010092023104213.pdf","https://dpmzos25m8ivg.cloudfront.net/Documentos/631/06330793590/6310633079359010092023104213.pdf")</f>
        <v>https://dpmzos25m8ivg.cloudfront.net/Documentos/631/06330793590/6310633079359010092023104213.pdf</v>
      </c>
      <c r="H3019" s="5" t="s">
        <v>11597</v>
      </c>
    </row>
    <row r="3020" spans="1:8" x14ac:dyDescent="0.25">
      <c r="A3020" s="2" t="s">
        <v>3037</v>
      </c>
      <c r="B3020" s="3"/>
      <c r="C3020" s="3"/>
      <c r="D3020" s="3"/>
      <c r="E3020" s="5" t="str">
        <f>HYPERLINK("https://dpmzos25m8ivg.cloudfront.net/Documentos/631/06331313508/6310633131350811092023110320.pdf","https://dpmzos25m8ivg.cloudfront.net/Documentos/631/06331313508/6310633131350811092023110320.pdf")</f>
        <v>https://dpmzos25m8ivg.cloudfront.net/Documentos/631/06331313508/6310633131350811092023110320.pdf</v>
      </c>
      <c r="F3020" s="5" t="str">
        <f>HYPERLINK("https://dpmzos25m8ivg.cloudfront.net/Documentos/631/06331313508/6310633131350811092023110355.pdf","https://dpmzos25m8ivg.cloudfront.net/Documentos/631/06331313508/6310633131350811092023110355.pdf")</f>
        <v>https://dpmzos25m8ivg.cloudfront.net/Documentos/631/06331313508/6310633131350811092023110355.pdf</v>
      </c>
      <c r="G3020" s="5" t="str">
        <f>HYPERLINK("https://dpmzos25m8ivg.cloudfront.net/Documentos/631/06331313508/6310633131350811092023110440.pdf","https://dpmzos25m8ivg.cloudfront.net/Documentos/631/06331313508/6310633131350811092023110440.pdf")</f>
        <v>https://dpmzos25m8ivg.cloudfront.net/Documentos/631/06331313508/6310633131350811092023110440.pdf</v>
      </c>
      <c r="H3020" s="5" t="s">
        <v>11598</v>
      </c>
    </row>
    <row r="3021" spans="1:8" x14ac:dyDescent="0.25">
      <c r="A3021" s="2" t="s">
        <v>3038</v>
      </c>
      <c r="B3021" s="3" t="s">
        <v>2358</v>
      </c>
      <c r="C3021" s="3"/>
      <c r="D3021" s="3"/>
      <c r="E3021" s="5" t="str">
        <f>HYPERLINK("https://dpmzos25m8ivg.cloudfront.net/Documentos/631/06332273909/6310633227390911092023131653.pdf","https://dpmzos25m8ivg.cloudfront.net/Documentos/631/06332273909/6310633227390911092023131653.pdf")</f>
        <v>https://dpmzos25m8ivg.cloudfront.net/Documentos/631/06332273909/6310633227390911092023131653.pdf</v>
      </c>
      <c r="F3021" s="5" t="str">
        <f>HYPERLINK("https://dpmzos25m8ivg.cloudfront.net/Documentos/631/06332273909/6310633227390911092023131756.pdf","https://dpmzos25m8ivg.cloudfront.net/Documentos/631/06332273909/6310633227390911092023131756.pdf")</f>
        <v>https://dpmzos25m8ivg.cloudfront.net/Documentos/631/06332273909/6310633227390911092023131756.pdf</v>
      </c>
      <c r="G3021" s="5" t="str">
        <f>HYPERLINK("https://dpmzos25m8ivg.cloudfront.net/Documentos/631/06332273909/6310633227390911092023131819.pdf","https://dpmzos25m8ivg.cloudfront.net/Documentos/631/06332273909/6310633227390911092023131819.pdf")</f>
        <v>https://dpmzos25m8ivg.cloudfront.net/Documentos/631/06332273909/6310633227390911092023131819.pdf</v>
      </c>
      <c r="H3021" s="5" t="s">
        <v>11599</v>
      </c>
    </row>
    <row r="3022" spans="1:8" x14ac:dyDescent="0.25">
      <c r="A3022" s="2" t="s">
        <v>3039</v>
      </c>
      <c r="B3022" s="3"/>
      <c r="C3022" s="3"/>
      <c r="D3022" s="3"/>
      <c r="E3022" s="5" t="str">
        <f>HYPERLINK("https://dpmzos25m8ivg.cloudfront.net/Documentos/631/06337500695/6310633750069511092023151348.jpg","https://dpmzos25m8ivg.cloudfront.net/Documentos/631/06337500695/6310633750069511092023151348.jpg")</f>
        <v>https://dpmzos25m8ivg.cloudfront.net/Documentos/631/06337500695/6310633750069511092023151348.jpg</v>
      </c>
      <c r="F3022" s="5" t="str">
        <f>HYPERLINK("https://dpmzos25m8ivg.cloudfront.net/Documentos/631/06337500695/6310633750069511092023151436.jpg","https://dpmzos25m8ivg.cloudfront.net/Documentos/631/06337500695/6310633750069511092023151436.jpg")</f>
        <v>https://dpmzos25m8ivg.cloudfront.net/Documentos/631/06337500695/6310633750069511092023151436.jpg</v>
      </c>
      <c r="G3022" s="5" t="str">
        <f>HYPERLINK("https://dpmzos25m8ivg.cloudfront.net/Documentos/631/06337500695/6310633750069511092023151531.jpg","https://dpmzos25m8ivg.cloudfront.net/Documentos/631/06337500695/6310633750069511092023151531.jpg")</f>
        <v>https://dpmzos25m8ivg.cloudfront.net/Documentos/631/06337500695/6310633750069511092023151531.jpg</v>
      </c>
      <c r="H3022" s="5" t="s">
        <v>11600</v>
      </c>
    </row>
    <row r="3023" spans="1:8" x14ac:dyDescent="0.25">
      <c r="A3023" s="2" t="s">
        <v>3040</v>
      </c>
      <c r="B3023" s="3"/>
      <c r="C3023" s="3"/>
      <c r="D3023" s="3"/>
      <c r="E3023" s="5" t="str">
        <f>HYPERLINK("https://dpmzos25m8ivg.cloudfront.net/Documentos/631/06337778545/6310633777854511092023151013.jpg","https://dpmzos25m8ivg.cloudfront.net/Documentos/631/06337778545/6310633777854511092023151013.jpg")</f>
        <v>https://dpmzos25m8ivg.cloudfront.net/Documentos/631/06337778545/6310633777854511092023151013.jpg</v>
      </c>
      <c r="F3023" s="5" t="str">
        <f>HYPERLINK("https://dpmzos25m8ivg.cloudfront.net/Documentos/631/06337778545/6310633777854511092023151025.jpg","https://dpmzos25m8ivg.cloudfront.net/Documentos/631/06337778545/6310633777854511092023151025.jpg")</f>
        <v>https://dpmzos25m8ivg.cloudfront.net/Documentos/631/06337778545/6310633777854511092023151025.jpg</v>
      </c>
      <c r="G3023" s="5" t="str">
        <f>HYPERLINK("https://dpmzos25m8ivg.cloudfront.net/Documentos/631/06337778545/6310633777854511092023151036.jpg","https://dpmzos25m8ivg.cloudfront.net/Documentos/631/06337778545/6310633777854511092023151036.jpg")</f>
        <v>https://dpmzos25m8ivg.cloudfront.net/Documentos/631/06337778545/6310633777854511092023151036.jpg</v>
      </c>
      <c r="H3023" s="5" t="s">
        <v>11601</v>
      </c>
    </row>
    <row r="3024" spans="1:8" x14ac:dyDescent="0.25">
      <c r="A3024" s="2" t="s">
        <v>3041</v>
      </c>
      <c r="B3024" s="3" t="s">
        <v>2358</v>
      </c>
      <c r="C3024" s="3"/>
      <c r="D3024" s="3"/>
      <c r="E3024" s="5" t="str">
        <f>HYPERLINK("https://dpmzos25m8ivg.cloudfront.net/Documentos/631/06337793340/6310633779334011092023133040.jpg","https://dpmzos25m8ivg.cloudfront.net/Documentos/631/06337793340/6310633779334011092023133040.jpg")</f>
        <v>https://dpmzos25m8ivg.cloudfront.net/Documentos/631/06337793340/6310633779334011092023133040.jpg</v>
      </c>
      <c r="F3024" s="5" t="str">
        <f>HYPERLINK("https://dpmzos25m8ivg.cloudfront.net/Documentos/631/06337793340/6310633779334011092023133054.jpg","https://dpmzos25m8ivg.cloudfront.net/Documentos/631/06337793340/6310633779334011092023133054.jpg")</f>
        <v>https://dpmzos25m8ivg.cloudfront.net/Documentos/631/06337793340/6310633779334011092023133054.jpg</v>
      </c>
      <c r="G3024" s="5" t="str">
        <f>HYPERLINK("https://dpmzos25m8ivg.cloudfront.net/Documentos/631/06337793340/6310633779334011092023133105.jpg","https://dpmzos25m8ivg.cloudfront.net/Documentos/631/06337793340/6310633779334011092023133105.jpg")</f>
        <v>https://dpmzos25m8ivg.cloudfront.net/Documentos/631/06337793340/6310633779334011092023133105.jpg</v>
      </c>
      <c r="H3024" s="5" t="s">
        <v>11602</v>
      </c>
    </row>
    <row r="3025" spans="1:8" x14ac:dyDescent="0.25">
      <c r="A3025" s="2" t="s">
        <v>3042</v>
      </c>
      <c r="B3025" s="3"/>
      <c r="C3025" s="3"/>
      <c r="D3025" s="3"/>
      <c r="E3025" s="5" t="str">
        <f>HYPERLINK("https://dpmzos25m8ivg.cloudfront.net/Documentos/631/06339264506/6310633926450611092023140529.pdf","https://dpmzos25m8ivg.cloudfront.net/Documentos/631/06339264506/6310633926450611092023140529.pdf")</f>
        <v>https://dpmzos25m8ivg.cloudfront.net/Documentos/631/06339264506/6310633926450611092023140529.pdf</v>
      </c>
      <c r="F3025" s="5" t="str">
        <f>HYPERLINK("https://dpmzos25m8ivg.cloudfront.net/Documentos/631/06339264506/6310633926450611092023140602.pdf","https://dpmzos25m8ivg.cloudfront.net/Documentos/631/06339264506/6310633926450611092023140602.pdf")</f>
        <v>https://dpmzos25m8ivg.cloudfront.net/Documentos/631/06339264506/6310633926450611092023140602.pdf</v>
      </c>
      <c r="G3025" s="5" t="str">
        <f>HYPERLINK("https://dpmzos25m8ivg.cloudfront.net/Documentos/631/06339264506/6310633926450611092023140616.pdf","https://dpmzos25m8ivg.cloudfront.net/Documentos/631/06339264506/6310633926450611092023140616.pdf")</f>
        <v>https://dpmzos25m8ivg.cloudfront.net/Documentos/631/06339264506/6310633926450611092023140616.pdf</v>
      </c>
      <c r="H3025" s="5" t="s">
        <v>11603</v>
      </c>
    </row>
    <row r="3026" spans="1:8" x14ac:dyDescent="0.25">
      <c r="A3026" s="2" t="s">
        <v>3043</v>
      </c>
      <c r="B3026" s="3"/>
      <c r="C3026" s="3"/>
      <c r="D3026" s="3"/>
      <c r="E3026" s="5" t="str">
        <f>HYPERLINK("https://dpmzos25m8ivg.cloudfront.net/Documentos/631/06341350317/6310634135031707092023100556.pdf","https://dpmzos25m8ivg.cloudfront.net/Documentos/631/06341350317/6310634135031707092023100556.pdf")</f>
        <v>https://dpmzos25m8ivg.cloudfront.net/Documentos/631/06341350317/6310634135031707092023100556.pdf</v>
      </c>
      <c r="F3026" s="5" t="str">
        <f>HYPERLINK("https://dpmzos25m8ivg.cloudfront.net/Documentos/631/06341350317/6310634135031707092023100612.pdf","https://dpmzos25m8ivg.cloudfront.net/Documentos/631/06341350317/6310634135031707092023100612.pdf")</f>
        <v>https://dpmzos25m8ivg.cloudfront.net/Documentos/631/06341350317/6310634135031707092023100612.pdf</v>
      </c>
      <c r="G3026" s="5" t="str">
        <f>HYPERLINK("https://dpmzos25m8ivg.cloudfront.net/Documentos/631/06341350317/6310634135031707092023100630.pdf","https://dpmzos25m8ivg.cloudfront.net/Documentos/631/06341350317/6310634135031707092023100630.pdf")</f>
        <v>https://dpmzos25m8ivg.cloudfront.net/Documentos/631/06341350317/6310634135031707092023100630.pdf</v>
      </c>
      <c r="H3026" s="5" t="s">
        <v>11604</v>
      </c>
    </row>
    <row r="3027" spans="1:8" x14ac:dyDescent="0.25">
      <c r="A3027" s="2" t="s">
        <v>3044</v>
      </c>
      <c r="B3027" s="3"/>
      <c r="C3027" s="3"/>
      <c r="D3027" s="3"/>
      <c r="E3027" s="5" t="str">
        <f>HYPERLINK("https://dpmzos25m8ivg.cloudfront.net/Documentos/631/06342152640/6310634215264005092023165329.pdf","https://dpmzos25m8ivg.cloudfront.net/Documentos/631/06342152640/6310634215264005092023165329.pdf")</f>
        <v>https://dpmzos25m8ivg.cloudfront.net/Documentos/631/06342152640/6310634215264005092023165329.pdf</v>
      </c>
      <c r="F3027" s="5" t="str">
        <f>HYPERLINK("https://dpmzos25m8ivg.cloudfront.net/Documentos/631/06342152640/6310634215264005092023165337.pdf","https://dpmzos25m8ivg.cloudfront.net/Documentos/631/06342152640/6310634215264005092023165337.pdf")</f>
        <v>https://dpmzos25m8ivg.cloudfront.net/Documentos/631/06342152640/6310634215264005092023165337.pdf</v>
      </c>
      <c r="G3027" s="5" t="str">
        <f>HYPERLINK("https://dpmzos25m8ivg.cloudfront.net/Documentos/631/06342152640/6310634215264005092023165347.pdf","https://dpmzos25m8ivg.cloudfront.net/Documentos/631/06342152640/6310634215264005092023165347.pdf")</f>
        <v>https://dpmzos25m8ivg.cloudfront.net/Documentos/631/06342152640/6310634215264005092023165347.pdf</v>
      </c>
      <c r="H3027" s="5" t="s">
        <v>11605</v>
      </c>
    </row>
    <row r="3028" spans="1:8" x14ac:dyDescent="0.25">
      <c r="A3028" s="2" t="s">
        <v>3045</v>
      </c>
      <c r="B3028" s="3" t="s">
        <v>2358</v>
      </c>
      <c r="C3028" s="3"/>
      <c r="D3028" s="3"/>
      <c r="E3028" s="5" t="str">
        <f>HYPERLINK("https://dpmzos25m8ivg.cloudfront.net/Documentos/631/06343141308/6310634314130806092023083458.jpeg","https://dpmzos25m8ivg.cloudfront.net/Documentos/631/06343141308/6310634314130806092023083458.jpeg")</f>
        <v>https://dpmzos25m8ivg.cloudfront.net/Documentos/631/06343141308/6310634314130806092023083458.jpeg</v>
      </c>
      <c r="F3028" s="5" t="str">
        <f>HYPERLINK("https://dpmzos25m8ivg.cloudfront.net/Documentos/631/06343141308/6310634314130806092023083508.jpeg","https://dpmzos25m8ivg.cloudfront.net/Documentos/631/06343141308/6310634314130806092023083508.jpeg")</f>
        <v>https://dpmzos25m8ivg.cloudfront.net/Documentos/631/06343141308/6310634314130806092023083508.jpeg</v>
      </c>
      <c r="G3028" s="5" t="str">
        <f>HYPERLINK("https://dpmzos25m8ivg.cloudfront.net/Documentos/631/06343141308/6310634314130806092023083519.jpeg","https://dpmzos25m8ivg.cloudfront.net/Documentos/631/06343141308/6310634314130806092023083519.jpeg")</f>
        <v>https://dpmzos25m8ivg.cloudfront.net/Documentos/631/06343141308/6310634314130806092023083519.jpeg</v>
      </c>
      <c r="H3028" s="5" t="s">
        <v>11606</v>
      </c>
    </row>
    <row r="3029" spans="1:8" x14ac:dyDescent="0.25">
      <c r="A3029" s="2" t="s">
        <v>3046</v>
      </c>
      <c r="B3029" s="3"/>
      <c r="C3029" s="3"/>
      <c r="D3029" s="3"/>
      <c r="E3029" s="5" t="str">
        <f>HYPERLINK("https://dpmzos25m8ivg.cloudfront.net/Documentos/631/06353402163/6310635340216311092023163156.pdf","https://dpmzos25m8ivg.cloudfront.net/Documentos/631/06353402163/6310635340216311092023163156.pdf")</f>
        <v>https://dpmzos25m8ivg.cloudfront.net/Documentos/631/06353402163/6310635340216311092023163156.pdf</v>
      </c>
      <c r="F3029" s="5" t="str">
        <f>HYPERLINK("https://dpmzos25m8ivg.cloudfront.net/Documentos/631/06353402163/6310635340216311092023163209.pdf","https://dpmzos25m8ivg.cloudfront.net/Documentos/631/06353402163/6310635340216311092023163209.pdf")</f>
        <v>https://dpmzos25m8ivg.cloudfront.net/Documentos/631/06353402163/6310635340216311092023163209.pdf</v>
      </c>
      <c r="G3029" s="5" t="str">
        <f>HYPERLINK("https://dpmzos25m8ivg.cloudfront.net/Documentos/631/06353402163/6310635340216311092023163219.pdf","https://dpmzos25m8ivg.cloudfront.net/Documentos/631/06353402163/6310635340216311092023163219.pdf")</f>
        <v>https://dpmzos25m8ivg.cloudfront.net/Documentos/631/06353402163/6310635340216311092023163219.pdf</v>
      </c>
      <c r="H3029" s="5" t="s">
        <v>11607</v>
      </c>
    </row>
    <row r="3030" spans="1:8" x14ac:dyDescent="0.25">
      <c r="A3030" s="2" t="s">
        <v>3047</v>
      </c>
      <c r="B3030" s="3"/>
      <c r="C3030" s="3"/>
      <c r="D3030" s="3"/>
      <c r="E3030" s="5" t="str">
        <f>HYPERLINK("https://dpmzos25m8ivg.cloudfront.net/Documentos/631/06354935190/6310635493519008092023202743.pdf","https://dpmzos25m8ivg.cloudfront.net/Documentos/631/06354935190/6310635493519008092023202743.pdf")</f>
        <v>https://dpmzos25m8ivg.cloudfront.net/Documentos/631/06354935190/6310635493519008092023202743.pdf</v>
      </c>
      <c r="F3030" s="5" t="str">
        <f>HYPERLINK("https://dpmzos25m8ivg.cloudfront.net/Documentos/631/06354935190/6310635493519008092023202813.pdf","https://dpmzos25m8ivg.cloudfront.net/Documentos/631/06354935190/6310635493519008092023202813.pdf")</f>
        <v>https://dpmzos25m8ivg.cloudfront.net/Documentos/631/06354935190/6310635493519008092023202813.pdf</v>
      </c>
      <c r="G3030" s="5" t="str">
        <f>HYPERLINK("https://dpmzos25m8ivg.cloudfront.net/Documentos/631/06354935190/6310635493519008092023202903.pdf","https://dpmzos25m8ivg.cloudfront.net/Documentos/631/06354935190/6310635493519008092023202903.pdf")</f>
        <v>https://dpmzos25m8ivg.cloudfront.net/Documentos/631/06354935190/6310635493519008092023202903.pdf</v>
      </c>
      <c r="H3030" s="5" t="s">
        <v>11608</v>
      </c>
    </row>
    <row r="3031" spans="1:8" x14ac:dyDescent="0.25">
      <c r="A3031" s="2" t="s">
        <v>3048</v>
      </c>
      <c r="B3031" s="3"/>
      <c r="C3031" s="3"/>
      <c r="D3031" s="3"/>
      <c r="E3031" s="5" t="str">
        <f>HYPERLINK("https://dpmzos25m8ivg.cloudfront.net/Documentos/631/06357054356/6310635705435612092023210330.pdf","https://dpmzos25m8ivg.cloudfront.net/Documentos/631/06357054356/6310635705435612092023210330.pdf")</f>
        <v>https://dpmzos25m8ivg.cloudfront.net/Documentos/631/06357054356/6310635705435612092023210330.pdf</v>
      </c>
      <c r="F3031" s="5" t="str">
        <f>HYPERLINK("https://dpmzos25m8ivg.cloudfront.net/Documentos/631/06357054356/6310635705435612092023210352.pdf","https://dpmzos25m8ivg.cloudfront.net/Documentos/631/06357054356/6310635705435612092023210352.pdf")</f>
        <v>https://dpmzos25m8ivg.cloudfront.net/Documentos/631/06357054356/6310635705435612092023210352.pdf</v>
      </c>
      <c r="G3031" s="5" t="str">
        <f>HYPERLINK("https://dpmzos25m8ivg.cloudfront.net/Documentos/631/06357054356/6310635705435612092023210405.pdf","https://dpmzos25m8ivg.cloudfront.net/Documentos/631/06357054356/6310635705435612092023210405.pdf")</f>
        <v>https://dpmzos25m8ivg.cloudfront.net/Documentos/631/06357054356/6310635705435612092023210405.pdf</v>
      </c>
      <c r="H3031" s="5" t="s">
        <v>11609</v>
      </c>
    </row>
    <row r="3032" spans="1:8" x14ac:dyDescent="0.25">
      <c r="A3032" s="2" t="s">
        <v>3049</v>
      </c>
      <c r="B3032" s="3"/>
      <c r="C3032" s="3"/>
      <c r="D3032" s="3"/>
      <c r="E3032" s="5" t="str">
        <f>HYPERLINK("https://dpmzos25m8ivg.cloudfront.net/Documentos/631/06358234382/6310635823438211092023132945.pdf","https://dpmzos25m8ivg.cloudfront.net/Documentos/631/06358234382/6310635823438211092023132945.pdf")</f>
        <v>https://dpmzos25m8ivg.cloudfront.net/Documentos/631/06358234382/6310635823438211092023132945.pdf</v>
      </c>
      <c r="F3032" s="5" t="str">
        <f>HYPERLINK("https://dpmzos25m8ivg.cloudfront.net/Documentos/631/06358234382/6310635823438211092023132921.pdf","https://dpmzos25m8ivg.cloudfront.net/Documentos/631/06358234382/6310635823438211092023132921.pdf")</f>
        <v>https://dpmzos25m8ivg.cloudfront.net/Documentos/631/06358234382/6310635823438211092023132921.pdf</v>
      </c>
      <c r="G3032" s="5" t="str">
        <f>HYPERLINK("https://dpmzos25m8ivg.cloudfront.net/Documentos/631/06358234382/6310635823438211092023132832.pdf","https://dpmzos25m8ivg.cloudfront.net/Documentos/631/06358234382/6310635823438211092023132832.pdf")</f>
        <v>https://dpmzos25m8ivg.cloudfront.net/Documentos/631/06358234382/6310635823438211092023132832.pdf</v>
      </c>
      <c r="H3032" s="5" t="s">
        <v>11610</v>
      </c>
    </row>
    <row r="3033" spans="1:8" x14ac:dyDescent="0.25">
      <c r="A3033" s="2" t="s">
        <v>3050</v>
      </c>
      <c r="B3033" s="3"/>
      <c r="C3033" s="3"/>
      <c r="D3033" s="3"/>
      <c r="E3033" s="5" t="str">
        <f>HYPERLINK("https://dpmzos25m8ivg.cloudfront.net/Documentos/631/06359044382/6310635904438211092023140958.pdf","https://dpmzos25m8ivg.cloudfront.net/Documentos/631/06359044382/6310635904438211092023140958.pdf")</f>
        <v>https://dpmzos25m8ivg.cloudfront.net/Documentos/631/06359044382/6310635904438211092023140958.pdf</v>
      </c>
      <c r="F3033" s="5" t="str">
        <f>HYPERLINK("https://dpmzos25m8ivg.cloudfront.net/Documentos/631/06359044382/6310635904438211092023141006.pdf","https://dpmzos25m8ivg.cloudfront.net/Documentos/631/06359044382/6310635904438211092023141006.pdf")</f>
        <v>https://dpmzos25m8ivg.cloudfront.net/Documentos/631/06359044382/6310635904438211092023141006.pdf</v>
      </c>
      <c r="G3033" s="5" t="str">
        <f>HYPERLINK("https://dpmzos25m8ivg.cloudfront.net/Documentos/631/06359044382/6310635904438211092023141014.pdf","https://dpmzos25m8ivg.cloudfront.net/Documentos/631/06359044382/6310635904438211092023141014.pdf")</f>
        <v>https://dpmzos25m8ivg.cloudfront.net/Documentos/631/06359044382/6310635904438211092023141014.pdf</v>
      </c>
      <c r="H3033" s="5" t="s">
        <v>11611</v>
      </c>
    </row>
    <row r="3034" spans="1:8" x14ac:dyDescent="0.25">
      <c r="A3034" s="2" t="s">
        <v>3051</v>
      </c>
      <c r="B3034" s="3" t="s">
        <v>2358</v>
      </c>
      <c r="C3034" s="3"/>
      <c r="D3034" s="3"/>
      <c r="E3034" s="5" t="str">
        <f>HYPERLINK("https://dpmzos25m8ivg.cloudfront.net/Documentos/631/06360622521/6310636062252106092023111323.pdf","https://dpmzos25m8ivg.cloudfront.net/Documentos/631/06360622521/6310636062252106092023111323.pdf")</f>
        <v>https://dpmzos25m8ivg.cloudfront.net/Documentos/631/06360622521/6310636062252106092023111323.pdf</v>
      </c>
      <c r="F3034" s="5" t="str">
        <f>HYPERLINK("https://dpmzos25m8ivg.cloudfront.net/Documentos/631/06360622521/6310636062252106092023111330.pdf","https://dpmzos25m8ivg.cloudfront.net/Documentos/631/06360622521/6310636062252106092023111330.pdf")</f>
        <v>https://dpmzos25m8ivg.cloudfront.net/Documentos/631/06360622521/6310636062252106092023111330.pdf</v>
      </c>
      <c r="G3034" s="5" t="str">
        <f>HYPERLINK("https://dpmzos25m8ivg.cloudfront.net/Documentos/631/06360622521/6310636062252106092023111336.pdf","https://dpmzos25m8ivg.cloudfront.net/Documentos/631/06360622521/6310636062252106092023111336.pdf")</f>
        <v>https://dpmzos25m8ivg.cloudfront.net/Documentos/631/06360622521/6310636062252106092023111336.pdf</v>
      </c>
      <c r="H3034" s="5" t="s">
        <v>11612</v>
      </c>
    </row>
    <row r="3035" spans="1:8" x14ac:dyDescent="0.25">
      <c r="A3035" s="2" t="s">
        <v>3052</v>
      </c>
      <c r="B3035" s="3" t="s">
        <v>2358</v>
      </c>
      <c r="C3035" s="3"/>
      <c r="D3035" s="3"/>
      <c r="E3035" s="5" t="str">
        <f>HYPERLINK("https://dpmzos25m8ivg.cloudfront.net/Documentos/631/06361217558/6310636121755805092023122038.pdf","https://dpmzos25m8ivg.cloudfront.net/Documentos/631/06361217558/6310636121755805092023122038.pdf")</f>
        <v>https://dpmzos25m8ivg.cloudfront.net/Documentos/631/06361217558/6310636121755805092023122038.pdf</v>
      </c>
      <c r="F3035" s="5" t="str">
        <f>HYPERLINK("https://dpmzos25m8ivg.cloudfront.net/Documentos/631/06361217558/6310636121755805092023122245.pdf","https://dpmzos25m8ivg.cloudfront.net/Documentos/631/06361217558/6310636121755805092023122245.pdf")</f>
        <v>https://dpmzos25m8ivg.cloudfront.net/Documentos/631/06361217558/6310636121755805092023122245.pdf</v>
      </c>
      <c r="G3035" s="5" t="str">
        <f>HYPERLINK("https://dpmzos25m8ivg.cloudfront.net/Documentos/631/06361217558/6310636121755805092023122255.pdf","https://dpmzos25m8ivg.cloudfront.net/Documentos/631/06361217558/6310636121755805092023122255.pdf")</f>
        <v>https://dpmzos25m8ivg.cloudfront.net/Documentos/631/06361217558/6310636121755805092023122255.pdf</v>
      </c>
      <c r="H3035" s="5" t="s">
        <v>11613</v>
      </c>
    </row>
    <row r="3036" spans="1:8" x14ac:dyDescent="0.25">
      <c r="A3036" s="2" t="s">
        <v>3053</v>
      </c>
      <c r="B3036" s="3"/>
      <c r="C3036" s="3"/>
      <c r="D3036" s="3"/>
      <c r="E3036" s="5" t="str">
        <f>HYPERLINK("https://dpmzos25m8ivg.cloudfront.net/Documentos/631/06362671996/6310636267199611092023155225.pdf","https://dpmzos25m8ivg.cloudfront.net/Documentos/631/06362671996/6310636267199611092023155225.pdf")</f>
        <v>https://dpmzos25m8ivg.cloudfront.net/Documentos/631/06362671996/6310636267199611092023155225.pdf</v>
      </c>
      <c r="F3036" s="5" t="str">
        <f>HYPERLINK("https://dpmzos25m8ivg.cloudfront.net/Documentos/631/06362671996/6310636267199611092023155238.pdf","https://dpmzos25m8ivg.cloudfront.net/Documentos/631/06362671996/6310636267199611092023155238.pdf")</f>
        <v>https://dpmzos25m8ivg.cloudfront.net/Documentos/631/06362671996/6310636267199611092023155238.pdf</v>
      </c>
      <c r="G3036" s="5" t="str">
        <f>HYPERLINK("https://dpmzos25m8ivg.cloudfront.net/Documentos/631/06362671996/6310636267199611092023155245.pdf","https://dpmzos25m8ivg.cloudfront.net/Documentos/631/06362671996/6310636267199611092023155245.pdf")</f>
        <v>https://dpmzos25m8ivg.cloudfront.net/Documentos/631/06362671996/6310636267199611092023155245.pdf</v>
      </c>
      <c r="H3036" s="5" t="s">
        <v>11614</v>
      </c>
    </row>
    <row r="3037" spans="1:8" x14ac:dyDescent="0.25">
      <c r="A3037" s="2" t="s">
        <v>3054</v>
      </c>
      <c r="B3037" s="3"/>
      <c r="C3037" s="3"/>
      <c r="D3037" s="3"/>
      <c r="E3037" s="5" t="str">
        <f>HYPERLINK("https://dpmzos25m8ivg.cloudfront.net/Documentos/631/06362792513/6310636279251311092023155534.pdf","https://dpmzos25m8ivg.cloudfront.net/Documentos/631/06362792513/6310636279251311092023155534.pdf")</f>
        <v>https://dpmzos25m8ivg.cloudfront.net/Documentos/631/06362792513/6310636279251311092023155534.pdf</v>
      </c>
      <c r="F3037" s="5" t="str">
        <f>HYPERLINK("https://dpmzos25m8ivg.cloudfront.net/Documentos/631/06362792513/6310636279251311092023155638.pdf","https://dpmzos25m8ivg.cloudfront.net/Documentos/631/06362792513/6310636279251311092023155638.pdf")</f>
        <v>https://dpmzos25m8ivg.cloudfront.net/Documentos/631/06362792513/6310636279251311092023155638.pdf</v>
      </c>
      <c r="G3037" s="5" t="str">
        <f>HYPERLINK("https://dpmzos25m8ivg.cloudfront.net/Documentos/631/06362792513/6310636279251311092023155703.pdf","https://dpmzos25m8ivg.cloudfront.net/Documentos/631/06362792513/6310636279251311092023155703.pdf")</f>
        <v>https://dpmzos25m8ivg.cloudfront.net/Documentos/631/06362792513/6310636279251311092023155703.pdf</v>
      </c>
      <c r="H3037" s="5" t="s">
        <v>11615</v>
      </c>
    </row>
    <row r="3038" spans="1:8" x14ac:dyDescent="0.25">
      <c r="A3038" s="2" t="s">
        <v>3055</v>
      </c>
      <c r="B3038" s="3"/>
      <c r="C3038" s="3"/>
      <c r="D3038" s="3"/>
      <c r="E3038" s="5" t="str">
        <f>HYPERLINK("https://dpmzos25m8ivg.cloudfront.net/Documentos/631/06362919874/6310636291987411092023121843.jpg","https://dpmzos25m8ivg.cloudfront.net/Documentos/631/06362919874/6310636291987411092023121843.jpg")</f>
        <v>https://dpmzos25m8ivg.cloudfront.net/Documentos/631/06362919874/6310636291987411092023121843.jpg</v>
      </c>
      <c r="F3038" s="5" t="str">
        <f>HYPERLINK("https://dpmzos25m8ivg.cloudfront.net/Documentos/631/06362919874/6310636291987411092023122003.jpg","https://dpmzos25m8ivg.cloudfront.net/Documentos/631/06362919874/6310636291987411092023122003.jpg")</f>
        <v>https://dpmzos25m8ivg.cloudfront.net/Documentos/631/06362919874/6310636291987411092023122003.jpg</v>
      </c>
      <c r="G3038" s="5" t="str">
        <f>HYPERLINK("https://dpmzos25m8ivg.cloudfront.net/Documentos/631/06362919874/6310636291987411092023122042.jpg","https://dpmzos25m8ivg.cloudfront.net/Documentos/631/06362919874/6310636291987411092023122042.jpg")</f>
        <v>https://dpmzos25m8ivg.cloudfront.net/Documentos/631/06362919874/6310636291987411092023122042.jpg</v>
      </c>
      <c r="H3038" s="5" t="s">
        <v>11616</v>
      </c>
    </row>
    <row r="3039" spans="1:8" x14ac:dyDescent="0.25">
      <c r="A3039" s="2" t="s">
        <v>3056</v>
      </c>
      <c r="B3039" s="3"/>
      <c r="C3039" s="3"/>
      <c r="D3039" s="3"/>
      <c r="E3039" s="5" t="str">
        <f>HYPERLINK("https://dpmzos25m8ivg.cloudfront.net/Documentos/631/06364073654/6310636407365405092023141535.pdf","https://dpmzos25m8ivg.cloudfront.net/Documentos/631/06364073654/6310636407365405092023141535.pdf")</f>
        <v>https://dpmzos25m8ivg.cloudfront.net/Documentos/631/06364073654/6310636407365405092023141535.pdf</v>
      </c>
      <c r="F3039" s="5" t="str">
        <f>HYPERLINK("https://dpmzos25m8ivg.cloudfront.net/Documentos/631/06364073654/6310636407365405092023141559.pdf","https://dpmzos25m8ivg.cloudfront.net/Documentos/631/06364073654/6310636407365405092023141559.pdf")</f>
        <v>https://dpmzos25m8ivg.cloudfront.net/Documentos/631/06364073654/6310636407365405092023141559.pdf</v>
      </c>
      <c r="G3039" s="5" t="str">
        <f>HYPERLINK("https://dpmzos25m8ivg.cloudfront.net/Documentos/631/06364073654/6310636407365405092023141621.pdf","https://dpmzos25m8ivg.cloudfront.net/Documentos/631/06364073654/6310636407365405092023141621.pdf")</f>
        <v>https://dpmzos25m8ivg.cloudfront.net/Documentos/631/06364073654/6310636407365405092023141621.pdf</v>
      </c>
      <c r="H3039" s="5" t="s">
        <v>11617</v>
      </c>
    </row>
    <row r="3040" spans="1:8" x14ac:dyDescent="0.25">
      <c r="A3040" s="2" t="s">
        <v>3057</v>
      </c>
      <c r="B3040" s="3"/>
      <c r="C3040" s="3"/>
      <c r="D3040" s="3"/>
      <c r="E3040" s="5" t="str">
        <f>HYPERLINK("https://dpmzos25m8ivg.cloudfront.net/Documentos/631/06364448569/6310636444856910092023145225.pdf","https://dpmzos25m8ivg.cloudfront.net/Documentos/631/06364448569/6310636444856910092023145225.pdf")</f>
        <v>https://dpmzos25m8ivg.cloudfront.net/Documentos/631/06364448569/6310636444856910092023145225.pdf</v>
      </c>
      <c r="F3040" s="5" t="str">
        <f>HYPERLINK("https://dpmzos25m8ivg.cloudfront.net/Documentos/631/06364448569/6310636444856910092023145243.pdf","https://dpmzos25m8ivg.cloudfront.net/Documentos/631/06364448569/6310636444856910092023145243.pdf")</f>
        <v>https://dpmzos25m8ivg.cloudfront.net/Documentos/631/06364448569/6310636444856910092023145243.pdf</v>
      </c>
      <c r="G3040" s="5" t="str">
        <f>HYPERLINK("https://dpmzos25m8ivg.cloudfront.net/Documentos/631/06364448569/6310636444856910092023145256.pdf","https://dpmzos25m8ivg.cloudfront.net/Documentos/631/06364448569/6310636444856910092023145256.pdf")</f>
        <v>https://dpmzos25m8ivg.cloudfront.net/Documentos/631/06364448569/6310636444856910092023145256.pdf</v>
      </c>
      <c r="H3040" s="5" t="s">
        <v>11618</v>
      </c>
    </row>
    <row r="3041" spans="1:8" x14ac:dyDescent="0.25">
      <c r="A3041" s="2" t="s">
        <v>3058</v>
      </c>
      <c r="B3041" s="3"/>
      <c r="C3041" s="3"/>
      <c r="D3041" s="3"/>
      <c r="E3041" s="5" t="str">
        <f>HYPERLINK("https://dpmzos25m8ivg.cloudfront.net/Documentos/631/06364922147/6310636492214708092023170702.pdf","https://dpmzos25m8ivg.cloudfront.net/Documentos/631/06364922147/6310636492214708092023170702.pdf")</f>
        <v>https://dpmzos25m8ivg.cloudfront.net/Documentos/631/06364922147/6310636492214708092023170702.pdf</v>
      </c>
      <c r="F3041" s="5" t="str">
        <f>HYPERLINK("https://dpmzos25m8ivg.cloudfront.net/Documentos/631/06364922147/6310636492214708092023170710.pdf","https://dpmzos25m8ivg.cloudfront.net/Documentos/631/06364922147/6310636492214708092023170710.pdf")</f>
        <v>https://dpmzos25m8ivg.cloudfront.net/Documentos/631/06364922147/6310636492214708092023170710.pdf</v>
      </c>
      <c r="G3041" s="5" t="str">
        <f>HYPERLINK("https://dpmzos25m8ivg.cloudfront.net/Documentos/631/06364922147/6310636492214708092023170718.pdf","https://dpmzos25m8ivg.cloudfront.net/Documentos/631/06364922147/6310636492214708092023170718.pdf")</f>
        <v>https://dpmzos25m8ivg.cloudfront.net/Documentos/631/06364922147/6310636492214708092023170718.pdf</v>
      </c>
      <c r="H3041" s="5" t="s">
        <v>11619</v>
      </c>
    </row>
    <row r="3042" spans="1:8" x14ac:dyDescent="0.25">
      <c r="A3042" s="2" t="s">
        <v>3059</v>
      </c>
      <c r="B3042" s="3"/>
      <c r="C3042" s="3"/>
      <c r="D3042" s="3"/>
      <c r="E3042" s="5" t="str">
        <f>HYPERLINK("https://dpmzos25m8ivg.cloudfront.net/Documentos/631/06367694536/6310636769453608092023171550.pdf","https://dpmzos25m8ivg.cloudfront.net/Documentos/631/06367694536/6310636769453608092023171550.pdf")</f>
        <v>https://dpmzos25m8ivg.cloudfront.net/Documentos/631/06367694536/6310636769453608092023171550.pdf</v>
      </c>
      <c r="F3042" s="5" t="str">
        <f>HYPERLINK("https://dpmzos25m8ivg.cloudfront.net/Documentos/631/06367694536/6310636769453608092023171602.pdf","https://dpmzos25m8ivg.cloudfront.net/Documentos/631/06367694536/6310636769453608092023171602.pdf")</f>
        <v>https://dpmzos25m8ivg.cloudfront.net/Documentos/631/06367694536/6310636769453608092023171602.pdf</v>
      </c>
      <c r="G3042" s="5" t="str">
        <f>HYPERLINK("https://dpmzos25m8ivg.cloudfront.net/Documentos/631/06367694536/6310636769453608092023171621.pdf","https://dpmzos25m8ivg.cloudfront.net/Documentos/631/06367694536/6310636769453608092023171621.pdf")</f>
        <v>https://dpmzos25m8ivg.cloudfront.net/Documentos/631/06367694536/6310636769453608092023171621.pdf</v>
      </c>
      <c r="H3042" s="5" t="s">
        <v>11620</v>
      </c>
    </row>
    <row r="3043" spans="1:8" x14ac:dyDescent="0.25">
      <c r="A3043" s="2" t="s">
        <v>3060</v>
      </c>
      <c r="B3043" s="3"/>
      <c r="C3043" s="3"/>
      <c r="D3043" s="3"/>
      <c r="E3043" s="5" t="str">
        <f>HYPERLINK("https://dpmzos25m8ivg.cloudfront.net/Documentos/631/06367946527/6310636794652711092023125223.pdf","https://dpmzos25m8ivg.cloudfront.net/Documentos/631/06367946527/6310636794652711092023125223.pdf")</f>
        <v>https://dpmzos25m8ivg.cloudfront.net/Documentos/631/06367946527/6310636794652711092023125223.pdf</v>
      </c>
      <c r="F3043" s="5" t="str">
        <f>HYPERLINK("https://dpmzos25m8ivg.cloudfront.net/Documentos/631/06367946527/6310636794652711092023125229.pdf","https://dpmzos25m8ivg.cloudfront.net/Documentos/631/06367946527/6310636794652711092023125229.pdf")</f>
        <v>https://dpmzos25m8ivg.cloudfront.net/Documentos/631/06367946527/6310636794652711092023125229.pdf</v>
      </c>
      <c r="G3043" s="5" t="str">
        <f>HYPERLINK("https://dpmzos25m8ivg.cloudfront.net/Documentos/631/06367946527/6310636794652711092023125235.pdf","https://dpmzos25m8ivg.cloudfront.net/Documentos/631/06367946527/6310636794652711092023125235.pdf")</f>
        <v>https://dpmzos25m8ivg.cloudfront.net/Documentos/631/06367946527/6310636794652711092023125235.pdf</v>
      </c>
      <c r="H3043" s="5" t="s">
        <v>11621</v>
      </c>
    </row>
    <row r="3044" spans="1:8" x14ac:dyDescent="0.25">
      <c r="A3044" s="2" t="s">
        <v>3061</v>
      </c>
      <c r="B3044" s="3"/>
      <c r="C3044" s="3"/>
      <c r="D3044" s="3"/>
      <c r="E3044" s="5" t="str">
        <f>HYPERLINK("https://dpmzos25m8ivg.cloudfront.net/Documentos/631/06367988360/6310636798836011092023130553.pdf","https://dpmzos25m8ivg.cloudfront.net/Documentos/631/06367988360/6310636798836011092023130553.pdf")</f>
        <v>https://dpmzos25m8ivg.cloudfront.net/Documentos/631/06367988360/6310636798836011092023130553.pdf</v>
      </c>
      <c r="F3044" s="5" t="str">
        <f>HYPERLINK("https://dpmzos25m8ivg.cloudfront.net/Documentos/631/06367988360/6310636798836011092023130655.pdf","https://dpmzos25m8ivg.cloudfront.net/Documentos/631/06367988360/6310636798836011092023130655.pdf")</f>
        <v>https://dpmzos25m8ivg.cloudfront.net/Documentos/631/06367988360/6310636798836011092023130655.pdf</v>
      </c>
      <c r="G3044" s="5" t="str">
        <f>HYPERLINK("https://dpmzos25m8ivg.cloudfront.net/Documentos/631/06367988360/6310636798836011092023130804.pdf","https://dpmzos25m8ivg.cloudfront.net/Documentos/631/06367988360/6310636798836011092023130804.pdf")</f>
        <v>https://dpmzos25m8ivg.cloudfront.net/Documentos/631/06367988360/6310636798836011092023130804.pdf</v>
      </c>
      <c r="H3044" s="5" t="s">
        <v>11622</v>
      </c>
    </row>
    <row r="3045" spans="1:8" x14ac:dyDescent="0.25">
      <c r="A3045" s="2" t="s">
        <v>3062</v>
      </c>
      <c r="B3045" s="3"/>
      <c r="C3045" s="3"/>
      <c r="D3045" s="3"/>
      <c r="E3045" s="5" t="str">
        <f>HYPERLINK("https://dpmzos25m8ivg.cloudfront.net/Documentos/631/06369297445/6310636929744506092023133035.pdf","https://dpmzos25m8ivg.cloudfront.net/Documentos/631/06369297445/6310636929744506092023133035.pdf")</f>
        <v>https://dpmzos25m8ivg.cloudfront.net/Documentos/631/06369297445/6310636929744506092023133035.pdf</v>
      </c>
      <c r="F3045" s="5" t="str">
        <f>HYPERLINK("https://dpmzos25m8ivg.cloudfront.net/Documentos/631/06369297445/6310636929744506092023133051.pdf","https://dpmzos25m8ivg.cloudfront.net/Documentos/631/06369297445/6310636929744506092023133051.pdf")</f>
        <v>https://dpmzos25m8ivg.cloudfront.net/Documentos/631/06369297445/6310636929744506092023133051.pdf</v>
      </c>
      <c r="G3045" s="5" t="str">
        <f>HYPERLINK("https://dpmzos25m8ivg.cloudfront.net/Documentos/631/06369297445/6310636929744506092023133105.pdf","https://dpmzos25m8ivg.cloudfront.net/Documentos/631/06369297445/6310636929744506092023133105.pdf")</f>
        <v>https://dpmzos25m8ivg.cloudfront.net/Documentos/631/06369297445/6310636929744506092023133105.pdf</v>
      </c>
      <c r="H3045" s="5" t="s">
        <v>11623</v>
      </c>
    </row>
    <row r="3046" spans="1:8" x14ac:dyDescent="0.25">
      <c r="A3046" s="2" t="s">
        <v>3063</v>
      </c>
      <c r="B3046" s="3"/>
      <c r="C3046" s="3"/>
      <c r="D3046" s="3"/>
      <c r="E3046" s="5" t="str">
        <f>HYPERLINK("https://dpmzos25m8ivg.cloudfront.net/Documentos/631/06374444426/6310637444442610092023211418.jpeg","https://dpmzos25m8ivg.cloudfront.net/Documentos/631/06374444426/6310637444442610092023211418.jpeg")</f>
        <v>https://dpmzos25m8ivg.cloudfront.net/Documentos/631/06374444426/6310637444442610092023211418.jpeg</v>
      </c>
      <c r="F3046" s="5" t="str">
        <f>HYPERLINK("https://dpmzos25m8ivg.cloudfront.net/Documentos/631/06374444426/6310637444442610092023211432.jpeg","https://dpmzos25m8ivg.cloudfront.net/Documentos/631/06374444426/6310637444442610092023211432.jpeg")</f>
        <v>https://dpmzos25m8ivg.cloudfront.net/Documentos/631/06374444426/6310637444442610092023211432.jpeg</v>
      </c>
      <c r="G3046" s="5" t="str">
        <f>HYPERLINK("https://dpmzos25m8ivg.cloudfront.net/Documentos/631/06374444426/6310637444442610092023211443.jpeg","https://dpmzos25m8ivg.cloudfront.net/Documentos/631/06374444426/6310637444442610092023211443.jpeg")</f>
        <v>https://dpmzos25m8ivg.cloudfront.net/Documentos/631/06374444426/6310637444442610092023211443.jpeg</v>
      </c>
      <c r="H3046" s="5" t="s">
        <v>11624</v>
      </c>
    </row>
    <row r="3047" spans="1:8" x14ac:dyDescent="0.25">
      <c r="A3047" s="2" t="s">
        <v>3064</v>
      </c>
      <c r="B3047" s="3"/>
      <c r="C3047" s="3"/>
      <c r="D3047" s="3"/>
      <c r="E3047" s="5" t="str">
        <f>HYPERLINK("https://dpmzos25m8ivg.cloudfront.net/Documentos/631/06379510850/6310637951085005092023135149.pdf","https://dpmzos25m8ivg.cloudfront.net/Documentos/631/06379510850/6310637951085005092023135149.pdf")</f>
        <v>https://dpmzos25m8ivg.cloudfront.net/Documentos/631/06379510850/6310637951085005092023135149.pdf</v>
      </c>
      <c r="F3047" s="5" t="str">
        <f>HYPERLINK("https://dpmzos25m8ivg.cloudfront.net/Documentos/631/06379510850/6310637951085005092023135210.pdf","https://dpmzos25m8ivg.cloudfront.net/Documentos/631/06379510850/6310637951085005092023135210.pdf")</f>
        <v>https://dpmzos25m8ivg.cloudfront.net/Documentos/631/06379510850/6310637951085005092023135210.pdf</v>
      </c>
      <c r="G3047" s="5" t="str">
        <f>HYPERLINK("https://dpmzos25m8ivg.cloudfront.net/Documentos/631/06379510850/6310637951085005092023135228.pdf","https://dpmzos25m8ivg.cloudfront.net/Documentos/631/06379510850/6310637951085005092023135228.pdf")</f>
        <v>https://dpmzos25m8ivg.cloudfront.net/Documentos/631/06379510850/6310637951085005092023135228.pdf</v>
      </c>
      <c r="H3047" s="5" t="s">
        <v>11625</v>
      </c>
    </row>
    <row r="3048" spans="1:8" x14ac:dyDescent="0.25">
      <c r="A3048" s="2" t="s">
        <v>3065</v>
      </c>
      <c r="B3048" s="3"/>
      <c r="C3048" s="3"/>
      <c r="D3048" s="3"/>
      <c r="E3048" s="5" t="str">
        <f>HYPERLINK("https://dpmzos25m8ivg.cloudfront.net/Documentos/631/06379665382/6310637966538211092023124241.pdf","https://dpmzos25m8ivg.cloudfront.net/Documentos/631/06379665382/6310637966538211092023124241.pdf")</f>
        <v>https://dpmzos25m8ivg.cloudfront.net/Documentos/631/06379665382/6310637966538211092023124241.pdf</v>
      </c>
      <c r="F3048" s="5" t="str">
        <f>HYPERLINK("https://dpmzos25m8ivg.cloudfront.net/Documentos/631/06379665382/6310637966538211092023124258.pdf","https://dpmzos25m8ivg.cloudfront.net/Documentos/631/06379665382/6310637966538211092023124258.pdf")</f>
        <v>https://dpmzos25m8ivg.cloudfront.net/Documentos/631/06379665382/6310637966538211092023124258.pdf</v>
      </c>
      <c r="G3048" s="5" t="str">
        <f>HYPERLINK("https://dpmzos25m8ivg.cloudfront.net/Documentos/631/06379665382/6310637966538211092023124320.pdf","https://dpmzos25m8ivg.cloudfront.net/Documentos/631/06379665382/6310637966538211092023124320.pdf")</f>
        <v>https://dpmzos25m8ivg.cloudfront.net/Documentos/631/06379665382/6310637966538211092023124320.pdf</v>
      </c>
      <c r="H3048" s="5" t="s">
        <v>11626</v>
      </c>
    </row>
    <row r="3049" spans="1:8" x14ac:dyDescent="0.25">
      <c r="A3049" s="2" t="s">
        <v>3066</v>
      </c>
      <c r="B3049" s="3"/>
      <c r="C3049" s="3"/>
      <c r="D3049" s="3"/>
      <c r="E3049" s="5" t="str">
        <f>HYPERLINK("https://dpmzos25m8ivg.cloudfront.net/Documentos/631/06379813756/6310637981375610092023215730.pdf","https://dpmzos25m8ivg.cloudfront.net/Documentos/631/06379813756/6310637981375610092023215730.pdf")</f>
        <v>https://dpmzos25m8ivg.cloudfront.net/Documentos/631/06379813756/6310637981375610092023215730.pdf</v>
      </c>
      <c r="F3049" s="5" t="str">
        <f>HYPERLINK("https://dpmzos25m8ivg.cloudfront.net/Documentos/631/06379813756/6310637981375610092023215745.pdf","https://dpmzos25m8ivg.cloudfront.net/Documentos/631/06379813756/6310637981375610092023215745.pdf")</f>
        <v>https://dpmzos25m8ivg.cloudfront.net/Documentos/631/06379813756/6310637981375610092023215745.pdf</v>
      </c>
      <c r="G3049" s="5" t="str">
        <f>HYPERLINK("https://dpmzos25m8ivg.cloudfront.net/Documentos/631/06379813756/6310637981375610092023215800.pdf","https://dpmzos25m8ivg.cloudfront.net/Documentos/631/06379813756/6310637981375610092023215800.pdf")</f>
        <v>https://dpmzos25m8ivg.cloudfront.net/Documentos/631/06379813756/6310637981375610092023215800.pdf</v>
      </c>
      <c r="H3049" s="5" t="s">
        <v>11627</v>
      </c>
    </row>
    <row r="3050" spans="1:8" x14ac:dyDescent="0.25">
      <c r="A3050" s="2" t="s">
        <v>3067</v>
      </c>
      <c r="B3050" s="3" t="s">
        <v>2358</v>
      </c>
      <c r="C3050" s="3"/>
      <c r="D3050" s="3"/>
      <c r="E3050" s="5" t="str">
        <f>HYPERLINK("https://dpmzos25m8ivg.cloudfront.net/Documentos/631/06380685502/6310638068550208092023113208.pdf","https://dpmzos25m8ivg.cloudfront.net/Documentos/631/06380685502/6310638068550208092023113208.pdf")</f>
        <v>https://dpmzos25m8ivg.cloudfront.net/Documentos/631/06380685502/6310638068550208092023113208.pdf</v>
      </c>
      <c r="F3050" s="5" t="str">
        <f>HYPERLINK("https://dpmzos25m8ivg.cloudfront.net/Documentos/631/06380685502/6310638068550208092023113240.pdf","https://dpmzos25m8ivg.cloudfront.net/Documentos/631/06380685502/6310638068550208092023113240.pdf")</f>
        <v>https://dpmzos25m8ivg.cloudfront.net/Documentos/631/06380685502/6310638068550208092023113240.pdf</v>
      </c>
      <c r="G3050" s="5" t="str">
        <f>HYPERLINK("https://dpmzos25m8ivg.cloudfront.net/Documentos/631/06380685502/6310638068550208092023113225.pdf","https://dpmzos25m8ivg.cloudfront.net/Documentos/631/06380685502/6310638068550208092023113225.pdf")</f>
        <v>https://dpmzos25m8ivg.cloudfront.net/Documentos/631/06380685502/6310638068550208092023113225.pdf</v>
      </c>
      <c r="H3050" s="5" t="s">
        <v>11628</v>
      </c>
    </row>
    <row r="3051" spans="1:8" x14ac:dyDescent="0.25">
      <c r="A3051" s="2" t="s">
        <v>3068</v>
      </c>
      <c r="B3051" s="3" t="s">
        <v>8</v>
      </c>
      <c r="C3051" s="3"/>
      <c r="D3051" s="3"/>
      <c r="E3051" s="5" t="str">
        <f>HYPERLINK("https://dpmzos25m8ivg.cloudfront.net/Documentos/631/06383870947/6310638387094711092023134816.pdf","https://dpmzos25m8ivg.cloudfront.net/Documentos/631/06383870947/6310638387094711092023134816.pdf")</f>
        <v>https://dpmzos25m8ivg.cloudfront.net/Documentos/631/06383870947/6310638387094711092023134816.pdf</v>
      </c>
      <c r="F3051" s="5" t="str">
        <f>HYPERLINK("https://dpmzos25m8ivg.cloudfront.net/Documentos/631/06383870947/6310638387094711092023134832.pdf","https://dpmzos25m8ivg.cloudfront.net/Documentos/631/06383870947/6310638387094711092023134832.pdf")</f>
        <v>https://dpmzos25m8ivg.cloudfront.net/Documentos/631/06383870947/6310638387094711092023134832.pdf</v>
      </c>
      <c r="G3051" s="5" t="str">
        <f>HYPERLINK("https://dpmzos25m8ivg.cloudfront.net/Documentos/631/06383870947/6310638387094711092023134843.pdf","https://dpmzos25m8ivg.cloudfront.net/Documentos/631/06383870947/6310638387094711092023134843.pdf")</f>
        <v>https://dpmzos25m8ivg.cloudfront.net/Documentos/631/06383870947/6310638387094711092023134843.pdf</v>
      </c>
      <c r="H3051" s="5" t="s">
        <v>11629</v>
      </c>
    </row>
    <row r="3052" spans="1:8" x14ac:dyDescent="0.25">
      <c r="A3052" s="2" t="s">
        <v>3069</v>
      </c>
      <c r="B3052" s="3" t="s">
        <v>2358</v>
      </c>
      <c r="C3052" s="3"/>
      <c r="D3052" s="3"/>
      <c r="E3052" s="5" t="str">
        <f>HYPERLINK("https://dpmzos25m8ivg.cloudfront.net/Documentos/631/06384538520/6310638453852009092023155604.pdf","https://dpmzos25m8ivg.cloudfront.net/Documentos/631/06384538520/6310638453852009092023155604.pdf")</f>
        <v>https://dpmzos25m8ivg.cloudfront.net/Documentos/631/06384538520/6310638453852009092023155604.pdf</v>
      </c>
      <c r="F3052" s="5" t="str">
        <f>HYPERLINK("https://dpmzos25m8ivg.cloudfront.net/Documentos/631/06384538520/6310638453852009092023155612.pdf","https://dpmzos25m8ivg.cloudfront.net/Documentos/631/06384538520/6310638453852009092023155612.pdf")</f>
        <v>https://dpmzos25m8ivg.cloudfront.net/Documentos/631/06384538520/6310638453852009092023155612.pdf</v>
      </c>
      <c r="G3052" s="5" t="str">
        <f>HYPERLINK("https://dpmzos25m8ivg.cloudfront.net/Documentos/631/06384538520/6310638453852009092023155623.pdf","https://dpmzos25m8ivg.cloudfront.net/Documentos/631/06384538520/6310638453852009092023155623.pdf")</f>
        <v>https://dpmzos25m8ivg.cloudfront.net/Documentos/631/06384538520/6310638453852009092023155623.pdf</v>
      </c>
      <c r="H3052" s="5" t="s">
        <v>11630</v>
      </c>
    </row>
    <row r="3053" spans="1:8" x14ac:dyDescent="0.25">
      <c r="A3053" s="2" t="s">
        <v>3070</v>
      </c>
      <c r="B3053" s="3" t="s">
        <v>2358</v>
      </c>
      <c r="C3053" s="3"/>
      <c r="D3053" s="3"/>
      <c r="E3053" s="5" t="str">
        <f>HYPERLINK("https://dpmzos25m8ivg.cloudfront.net/Documentos/631/06386006500/6310638600650010092023224546.pdf","https://dpmzos25m8ivg.cloudfront.net/Documentos/631/06386006500/6310638600650010092023224546.pdf")</f>
        <v>https://dpmzos25m8ivg.cloudfront.net/Documentos/631/06386006500/6310638600650010092023224546.pdf</v>
      </c>
      <c r="F3053" s="5" t="str">
        <f>HYPERLINK("https://dpmzos25m8ivg.cloudfront.net/Documentos/631/06386006500/6310638600650010092023224629.pdf","https://dpmzos25m8ivg.cloudfront.net/Documentos/631/06386006500/6310638600650010092023224629.pdf")</f>
        <v>https://dpmzos25m8ivg.cloudfront.net/Documentos/631/06386006500/6310638600650010092023224629.pdf</v>
      </c>
      <c r="G3053" s="5" t="str">
        <f>HYPERLINK("https://dpmzos25m8ivg.cloudfront.net/Documentos/631/06386006500/6310638600650010092023224639.pdf","https://dpmzos25m8ivg.cloudfront.net/Documentos/631/06386006500/6310638600650010092023224639.pdf")</f>
        <v>https://dpmzos25m8ivg.cloudfront.net/Documentos/631/06386006500/6310638600650010092023224639.pdf</v>
      </c>
      <c r="H3053" s="5" t="s">
        <v>11631</v>
      </c>
    </row>
    <row r="3054" spans="1:8" x14ac:dyDescent="0.25">
      <c r="A3054" s="2" t="s">
        <v>3071</v>
      </c>
      <c r="B3054" s="3"/>
      <c r="C3054" s="3"/>
      <c r="D3054" s="3"/>
      <c r="E3054" s="5" t="str">
        <f>HYPERLINK("https://dpmzos25m8ivg.cloudfront.net/Documentos/631/06386235533/6310638623553306092023151054.pdf","https://dpmzos25m8ivg.cloudfront.net/Documentos/631/06386235533/6310638623553306092023151054.pdf")</f>
        <v>https://dpmzos25m8ivg.cloudfront.net/Documentos/631/06386235533/6310638623553306092023151054.pdf</v>
      </c>
      <c r="F3054" s="5" t="str">
        <f>HYPERLINK("https://dpmzos25m8ivg.cloudfront.net/Documentos/631/06386235533/6310638623553306092023151223.pdf","https://dpmzos25m8ivg.cloudfront.net/Documentos/631/06386235533/6310638623553306092023151223.pdf")</f>
        <v>https://dpmzos25m8ivg.cloudfront.net/Documentos/631/06386235533/6310638623553306092023151223.pdf</v>
      </c>
      <c r="G3054" s="5" t="str">
        <f>HYPERLINK("https://dpmzos25m8ivg.cloudfront.net/Documentos/631/06386235533/6310638623553306092023151238.pdf","https://dpmzos25m8ivg.cloudfront.net/Documentos/631/06386235533/6310638623553306092023151238.pdf")</f>
        <v>https://dpmzos25m8ivg.cloudfront.net/Documentos/631/06386235533/6310638623553306092023151238.pdf</v>
      </c>
      <c r="H3054" s="5" t="s">
        <v>11632</v>
      </c>
    </row>
    <row r="3055" spans="1:8" x14ac:dyDescent="0.25">
      <c r="A3055" s="2" t="s">
        <v>3072</v>
      </c>
      <c r="B3055" s="3" t="s">
        <v>2358</v>
      </c>
      <c r="C3055" s="3"/>
      <c r="D3055" s="3"/>
      <c r="E3055" s="5" t="str">
        <f>HYPERLINK("https://dpmzos25m8ivg.cloudfront.net/Documentos/631/06386626567/6310638662656711092023143908.jpeg","https://dpmzos25m8ivg.cloudfront.net/Documentos/631/06386626567/6310638662656711092023143908.jpeg")</f>
        <v>https://dpmzos25m8ivg.cloudfront.net/Documentos/631/06386626567/6310638662656711092023143908.jpeg</v>
      </c>
      <c r="F3055" s="5" t="str">
        <f>HYPERLINK("https://dpmzos25m8ivg.cloudfront.net/Documentos/631/06386626567/6310638662656711092023143918.jpeg","https://dpmzos25m8ivg.cloudfront.net/Documentos/631/06386626567/6310638662656711092023143918.jpeg")</f>
        <v>https://dpmzos25m8ivg.cloudfront.net/Documentos/631/06386626567/6310638662656711092023143918.jpeg</v>
      </c>
      <c r="G3055" s="5" t="str">
        <f>HYPERLINK("https://dpmzos25m8ivg.cloudfront.net/Documentos/631/06386626567/6310638662656711092023143929.jpeg","https://dpmzos25m8ivg.cloudfront.net/Documentos/631/06386626567/6310638662656711092023143929.jpeg")</f>
        <v>https://dpmzos25m8ivg.cloudfront.net/Documentos/631/06386626567/6310638662656711092023143929.jpeg</v>
      </c>
      <c r="H3055" s="5" t="s">
        <v>11633</v>
      </c>
    </row>
    <row r="3056" spans="1:8" x14ac:dyDescent="0.25">
      <c r="A3056" s="2" t="s">
        <v>3073</v>
      </c>
      <c r="B3056" s="3" t="s">
        <v>2358</v>
      </c>
      <c r="C3056" s="3"/>
      <c r="D3056" s="3"/>
      <c r="E3056" s="5" t="str">
        <f>HYPERLINK("https://dpmzos25m8ivg.cloudfront.net/Documentos/631/06387141761/6310638714176113092023231637.jpg","https://dpmzos25m8ivg.cloudfront.net/Documentos/631/06387141761/6310638714176113092023231637.jpg")</f>
        <v>https://dpmzos25m8ivg.cloudfront.net/Documentos/631/06387141761/6310638714176113092023231637.jpg</v>
      </c>
      <c r="F3056" s="5" t="str">
        <f>HYPERLINK("https://dpmzos25m8ivg.cloudfront.net/Documentos/631/06387141761/6310638714176113092023231702.jpg","https://dpmzos25m8ivg.cloudfront.net/Documentos/631/06387141761/6310638714176113092023231702.jpg")</f>
        <v>https://dpmzos25m8ivg.cloudfront.net/Documentos/631/06387141761/6310638714176113092023231702.jpg</v>
      </c>
      <c r="G3056" s="5" t="str">
        <f>HYPERLINK("https://dpmzos25m8ivg.cloudfront.net/Documentos/631/06387141761/6310638714176113092023231723.jpg","https://dpmzos25m8ivg.cloudfront.net/Documentos/631/06387141761/6310638714176113092023231723.jpg")</f>
        <v>https://dpmzos25m8ivg.cloudfront.net/Documentos/631/06387141761/6310638714176113092023231723.jpg</v>
      </c>
      <c r="H3056" s="5" t="s">
        <v>11634</v>
      </c>
    </row>
    <row r="3057" spans="1:8" x14ac:dyDescent="0.25">
      <c r="A3057" s="2" t="s">
        <v>3074</v>
      </c>
      <c r="B3057" s="3" t="s">
        <v>8</v>
      </c>
      <c r="C3057" s="3"/>
      <c r="D3057" s="3"/>
      <c r="E3057" s="5" t="str">
        <f>HYPERLINK("https://dpmzos25m8ivg.cloudfront.net/Documentos/631/06388346600/6310638834660005092023170723.pdf","https://dpmzos25m8ivg.cloudfront.net/Documentos/631/06388346600/6310638834660005092023170723.pdf")</f>
        <v>https://dpmzos25m8ivg.cloudfront.net/Documentos/631/06388346600/6310638834660005092023170723.pdf</v>
      </c>
      <c r="F3057" s="5" t="str">
        <f>HYPERLINK("https://dpmzos25m8ivg.cloudfront.net/Documentos/631/06388346600/6310638834660005092023170735.pdf","https://dpmzos25m8ivg.cloudfront.net/Documentos/631/06388346600/6310638834660005092023170735.pdf")</f>
        <v>https://dpmzos25m8ivg.cloudfront.net/Documentos/631/06388346600/6310638834660005092023170735.pdf</v>
      </c>
      <c r="G3057" s="5" t="str">
        <f>HYPERLINK("https://dpmzos25m8ivg.cloudfront.net/Documentos/631/06388346600/6310638834660005092023170751.pdf","https://dpmzos25m8ivg.cloudfront.net/Documentos/631/06388346600/6310638834660005092023170751.pdf")</f>
        <v>https://dpmzos25m8ivg.cloudfront.net/Documentos/631/06388346600/6310638834660005092023170751.pdf</v>
      </c>
      <c r="H3057" s="5" t="s">
        <v>11635</v>
      </c>
    </row>
    <row r="3058" spans="1:8" x14ac:dyDescent="0.25">
      <c r="A3058" s="2" t="s">
        <v>3075</v>
      </c>
      <c r="B3058" s="3"/>
      <c r="C3058" s="3"/>
      <c r="D3058" s="3"/>
      <c r="E3058" s="5" t="str">
        <f>HYPERLINK("https://dpmzos25m8ivg.cloudfront.net/Documentos/631/06390260954/6310639026095414092023155236.pdf","https://dpmzos25m8ivg.cloudfront.net/Documentos/631/06390260954/6310639026095414092023155236.pdf")</f>
        <v>https://dpmzos25m8ivg.cloudfront.net/Documentos/631/06390260954/6310639026095414092023155236.pdf</v>
      </c>
      <c r="F3058" s="5" t="str">
        <f>HYPERLINK("https://dpmzos25m8ivg.cloudfront.net/Documentos/631/06390260954/6310639026095414092023155251.pdf","https://dpmzos25m8ivg.cloudfront.net/Documentos/631/06390260954/6310639026095414092023155251.pdf")</f>
        <v>https://dpmzos25m8ivg.cloudfront.net/Documentos/631/06390260954/6310639026095414092023155251.pdf</v>
      </c>
      <c r="G3058" s="5" t="str">
        <f>HYPERLINK("https://dpmzos25m8ivg.cloudfront.net/Documentos/631/06390260954/6310639026095414092023155309.pdf","https://dpmzos25m8ivg.cloudfront.net/Documentos/631/06390260954/6310639026095414092023155309.pdf")</f>
        <v>https://dpmzos25m8ivg.cloudfront.net/Documentos/631/06390260954/6310639026095414092023155309.pdf</v>
      </c>
      <c r="H3058" s="5" t="s">
        <v>11636</v>
      </c>
    </row>
    <row r="3059" spans="1:8" x14ac:dyDescent="0.25">
      <c r="A3059" s="2" t="s">
        <v>3076</v>
      </c>
      <c r="B3059" s="3"/>
      <c r="C3059" s="3"/>
      <c r="D3059" s="3"/>
      <c r="E3059" s="5" t="str">
        <f>HYPERLINK("https://dpmzos25m8ivg.cloudfront.net/Documentos/631/06394122386/6310639412238611092023144645.pdf","https://dpmzos25m8ivg.cloudfront.net/Documentos/631/06394122386/6310639412238611092023144645.pdf")</f>
        <v>https://dpmzos25m8ivg.cloudfront.net/Documentos/631/06394122386/6310639412238611092023144645.pdf</v>
      </c>
      <c r="F3059" s="5" t="str">
        <f>HYPERLINK("https://dpmzos25m8ivg.cloudfront.net/Documentos/631/06394122386/6310639412238611092023144702.pdf","https://dpmzos25m8ivg.cloudfront.net/Documentos/631/06394122386/6310639412238611092023144702.pdf")</f>
        <v>https://dpmzos25m8ivg.cloudfront.net/Documentos/631/06394122386/6310639412238611092023144702.pdf</v>
      </c>
      <c r="G3059" s="5" t="str">
        <f>HYPERLINK("https://dpmzos25m8ivg.cloudfront.net/Documentos/631/06394122386/6310639412238611092023144718.pdf","https://dpmzos25m8ivg.cloudfront.net/Documentos/631/06394122386/6310639412238611092023144718.pdf")</f>
        <v>https://dpmzos25m8ivg.cloudfront.net/Documentos/631/06394122386/6310639412238611092023144718.pdf</v>
      </c>
      <c r="H3059" s="5" t="s">
        <v>11637</v>
      </c>
    </row>
    <row r="3060" spans="1:8" x14ac:dyDescent="0.25">
      <c r="A3060" s="2" t="s">
        <v>3077</v>
      </c>
      <c r="B3060" s="3"/>
      <c r="C3060" s="3"/>
      <c r="D3060" s="3"/>
      <c r="E3060" s="5" t="str">
        <f>HYPERLINK("https://dpmzos25m8ivg.cloudfront.net/Documentos/631/06396830108/6310639683010806092023094532.pdf","https://dpmzos25m8ivg.cloudfront.net/Documentos/631/06396830108/6310639683010806092023094532.pdf")</f>
        <v>https://dpmzos25m8ivg.cloudfront.net/Documentos/631/06396830108/6310639683010806092023094532.pdf</v>
      </c>
      <c r="F3060" s="5" t="str">
        <f>HYPERLINK("https://dpmzos25m8ivg.cloudfront.net/Documentos/631/06396830108/6310639683010806092023094519.pdf","https://dpmzos25m8ivg.cloudfront.net/Documentos/631/06396830108/6310639683010806092023094519.pdf")</f>
        <v>https://dpmzos25m8ivg.cloudfront.net/Documentos/631/06396830108/6310639683010806092023094519.pdf</v>
      </c>
      <c r="G3060" s="5" t="str">
        <f>HYPERLINK("https://dpmzos25m8ivg.cloudfront.net/Documentos/631/06396830108/6310639683010806092023094509.pdf","https://dpmzos25m8ivg.cloudfront.net/Documentos/631/06396830108/6310639683010806092023094509.pdf")</f>
        <v>https://dpmzos25m8ivg.cloudfront.net/Documentos/631/06396830108/6310639683010806092023094509.pdf</v>
      </c>
      <c r="H3060" s="5" t="s">
        <v>11638</v>
      </c>
    </row>
    <row r="3061" spans="1:8" x14ac:dyDescent="0.25">
      <c r="A3061" s="2" t="s">
        <v>3078</v>
      </c>
      <c r="B3061" s="3"/>
      <c r="C3061" s="3"/>
      <c r="D3061" s="3"/>
      <c r="E3061" s="5" t="str">
        <f>HYPERLINK("https://dpmzos25m8ivg.cloudfront.net/Documentos/631/06402158666/6310640215866605092023101728.jpg","https://dpmzos25m8ivg.cloudfront.net/Documentos/631/06402158666/6310640215866605092023101728.jpg")</f>
        <v>https://dpmzos25m8ivg.cloudfront.net/Documentos/631/06402158666/6310640215866605092023101728.jpg</v>
      </c>
      <c r="F3061" s="5" t="str">
        <f>HYPERLINK("https://dpmzos25m8ivg.cloudfront.net/Documentos/631/06402158666/6310640215866605092023101805.jpg","https://dpmzos25m8ivg.cloudfront.net/Documentos/631/06402158666/6310640215866605092023101805.jpg")</f>
        <v>https://dpmzos25m8ivg.cloudfront.net/Documentos/631/06402158666/6310640215866605092023101805.jpg</v>
      </c>
      <c r="G3061" s="5" t="str">
        <f>HYPERLINK("https://dpmzos25m8ivg.cloudfront.net/Documentos/631/06402158666/6310640215866605092023101832.jpg","https://dpmzos25m8ivg.cloudfront.net/Documentos/631/06402158666/6310640215866605092023101832.jpg")</f>
        <v>https://dpmzos25m8ivg.cloudfront.net/Documentos/631/06402158666/6310640215866605092023101832.jpg</v>
      </c>
      <c r="H3061" s="5" t="s">
        <v>11639</v>
      </c>
    </row>
    <row r="3062" spans="1:8" x14ac:dyDescent="0.25">
      <c r="A3062" s="2" t="s">
        <v>3079</v>
      </c>
      <c r="B3062" s="3"/>
      <c r="C3062" s="3"/>
      <c r="D3062" s="3"/>
      <c r="E3062" s="5" t="str">
        <f>HYPERLINK("https://dpmzos25m8ivg.cloudfront.net/Documentos/631/06402355496/6310640235549609092023011002.pdf","https://dpmzos25m8ivg.cloudfront.net/Documentos/631/06402355496/6310640235549609092023011002.pdf")</f>
        <v>https://dpmzos25m8ivg.cloudfront.net/Documentos/631/06402355496/6310640235549609092023011002.pdf</v>
      </c>
      <c r="F3062" s="5" t="str">
        <f>HYPERLINK("https://dpmzos25m8ivg.cloudfront.net/Documentos/631/06402355496/6310640235549609092023011013.pdf","https://dpmzos25m8ivg.cloudfront.net/Documentos/631/06402355496/6310640235549609092023011013.pdf")</f>
        <v>https://dpmzos25m8ivg.cloudfront.net/Documentos/631/06402355496/6310640235549609092023011013.pdf</v>
      </c>
      <c r="G3062" s="5" t="str">
        <f>HYPERLINK("https://dpmzos25m8ivg.cloudfront.net/Documentos/631/06402355496/6310640235549609092023011026.pdf","https://dpmzos25m8ivg.cloudfront.net/Documentos/631/06402355496/6310640235549609092023011026.pdf")</f>
        <v>https://dpmzos25m8ivg.cloudfront.net/Documentos/631/06402355496/6310640235549609092023011026.pdf</v>
      </c>
      <c r="H3062" s="5" t="s">
        <v>11640</v>
      </c>
    </row>
    <row r="3063" spans="1:8" x14ac:dyDescent="0.25">
      <c r="A3063" s="2" t="s">
        <v>3080</v>
      </c>
      <c r="B3063" s="3" t="s">
        <v>3081</v>
      </c>
      <c r="C3063" s="3"/>
      <c r="D3063" s="3"/>
      <c r="E3063" s="5" t="str">
        <f>HYPERLINK("https://dpmzos25m8ivg.cloudfront.net/Documentos/631/06402383511/6310640238351110092023213258.jpeg","https://dpmzos25m8ivg.cloudfront.net/Documentos/631/06402383511/6310640238351110092023213258.jpeg")</f>
        <v>https://dpmzos25m8ivg.cloudfront.net/Documentos/631/06402383511/6310640238351110092023213258.jpeg</v>
      </c>
      <c r="F3063" s="5" t="str">
        <f>HYPERLINK("https://dpmzos25m8ivg.cloudfront.net/Documentos/631/06402383511/6310640238351110092023213318.jpeg","https://dpmzos25m8ivg.cloudfront.net/Documentos/631/06402383511/6310640238351110092023213318.jpeg")</f>
        <v>https://dpmzos25m8ivg.cloudfront.net/Documentos/631/06402383511/6310640238351110092023213318.jpeg</v>
      </c>
      <c r="G3063" s="5" t="str">
        <f>HYPERLINK("https://dpmzos25m8ivg.cloudfront.net/Documentos/631/06402383511/6310640238351110092023213332.jpeg","https://dpmzos25m8ivg.cloudfront.net/Documentos/631/06402383511/6310640238351110092023213332.jpeg")</f>
        <v>https://dpmzos25m8ivg.cloudfront.net/Documentos/631/06402383511/6310640238351110092023213332.jpeg</v>
      </c>
      <c r="H3063" s="5" t="s">
        <v>11641</v>
      </c>
    </row>
    <row r="3064" spans="1:8" x14ac:dyDescent="0.25">
      <c r="A3064" s="2" t="s">
        <v>3082</v>
      </c>
      <c r="B3064" s="3" t="s">
        <v>90</v>
      </c>
      <c r="C3064" s="3"/>
      <c r="D3064" s="3"/>
      <c r="E3064" s="5" t="str">
        <f>HYPERLINK("https://dpmzos25m8ivg.cloudfront.net/Documentos/631/06402979198/6310640297919807092023095711.jpeg","https://dpmzos25m8ivg.cloudfront.net/Documentos/631/06402979198/6310640297919807092023095711.jpeg")</f>
        <v>https://dpmzos25m8ivg.cloudfront.net/Documentos/631/06402979198/6310640297919807092023095711.jpeg</v>
      </c>
      <c r="F3064" s="5" t="str">
        <f>HYPERLINK("https://dpmzos25m8ivg.cloudfront.net/Documentos/631/06402979198/6310640297919807092023095737.jpeg","https://dpmzos25m8ivg.cloudfront.net/Documentos/631/06402979198/6310640297919807092023095737.jpeg")</f>
        <v>https://dpmzos25m8ivg.cloudfront.net/Documentos/631/06402979198/6310640297919807092023095737.jpeg</v>
      </c>
      <c r="G3064" s="5" t="str">
        <f>HYPERLINK("https://dpmzos25m8ivg.cloudfront.net/Documentos/631/06402979198/6310640297919807092023095755.jpeg","https://dpmzos25m8ivg.cloudfront.net/Documentos/631/06402979198/6310640297919807092023095755.jpeg")</f>
        <v>https://dpmzos25m8ivg.cloudfront.net/Documentos/631/06402979198/6310640297919807092023095755.jpeg</v>
      </c>
      <c r="H3064" s="5" t="s">
        <v>11642</v>
      </c>
    </row>
    <row r="3065" spans="1:8" x14ac:dyDescent="0.25">
      <c r="A3065" s="2" t="s">
        <v>3083</v>
      </c>
      <c r="B3065" s="3"/>
      <c r="C3065" s="3"/>
      <c r="D3065" s="3"/>
      <c r="E3065" s="5" t="str">
        <f>HYPERLINK("https://dpmzos25m8ivg.cloudfront.net/Documentos/631/06407033560/6310640703356011092023161755.pdf","https://dpmzos25m8ivg.cloudfront.net/Documentos/631/06407033560/6310640703356011092023161755.pdf")</f>
        <v>https://dpmzos25m8ivg.cloudfront.net/Documentos/631/06407033560/6310640703356011092023161755.pdf</v>
      </c>
      <c r="F3065" s="5" t="str">
        <f>HYPERLINK("https://dpmzos25m8ivg.cloudfront.net/Documentos/631/06407033560/6310640703356011092023161809.pdf","https://dpmzos25m8ivg.cloudfront.net/Documentos/631/06407033560/6310640703356011092023161809.pdf")</f>
        <v>https://dpmzos25m8ivg.cloudfront.net/Documentos/631/06407033560/6310640703356011092023161809.pdf</v>
      </c>
      <c r="G3065" s="5" t="str">
        <f>HYPERLINK("https://dpmzos25m8ivg.cloudfront.net/Documentos/631/06407033560/6310640703356011092023161822.pdf","https://dpmzos25m8ivg.cloudfront.net/Documentos/631/06407033560/6310640703356011092023161822.pdf")</f>
        <v>https://dpmzos25m8ivg.cloudfront.net/Documentos/631/06407033560/6310640703356011092023161822.pdf</v>
      </c>
      <c r="H3065" s="5" t="s">
        <v>11643</v>
      </c>
    </row>
    <row r="3066" spans="1:8" x14ac:dyDescent="0.25">
      <c r="A3066" s="2" t="s">
        <v>3084</v>
      </c>
      <c r="B3066" s="3"/>
      <c r="C3066" s="3"/>
      <c r="D3066" s="3"/>
      <c r="E3066" s="5" t="str">
        <f>HYPERLINK("https://dpmzos25m8ivg.cloudfront.net/Documentos/631/06409228139/6310640922813911092023102502.pdf","https://dpmzos25m8ivg.cloudfront.net/Documentos/631/06409228139/6310640922813911092023102502.pdf")</f>
        <v>https://dpmzos25m8ivg.cloudfront.net/Documentos/631/06409228139/6310640922813911092023102502.pdf</v>
      </c>
      <c r="F3066" s="5" t="str">
        <f>HYPERLINK("https://dpmzos25m8ivg.cloudfront.net/Documentos/631/06409228139/6310640922813911092023102512.pdf","https://dpmzos25m8ivg.cloudfront.net/Documentos/631/06409228139/6310640922813911092023102512.pdf")</f>
        <v>https://dpmzos25m8ivg.cloudfront.net/Documentos/631/06409228139/6310640922813911092023102512.pdf</v>
      </c>
      <c r="G3066" s="5" t="str">
        <f>HYPERLINK("https://dpmzos25m8ivg.cloudfront.net/Documentos/631/06409228139/6310640922813911092023102523.pdf","https://dpmzos25m8ivg.cloudfront.net/Documentos/631/06409228139/6310640922813911092023102523.pdf")</f>
        <v>https://dpmzos25m8ivg.cloudfront.net/Documentos/631/06409228139/6310640922813911092023102523.pdf</v>
      </c>
      <c r="H3066" s="5" t="s">
        <v>11644</v>
      </c>
    </row>
    <row r="3067" spans="1:8" x14ac:dyDescent="0.25">
      <c r="A3067" s="2" t="s">
        <v>3085</v>
      </c>
      <c r="B3067" s="3"/>
      <c r="C3067" s="3"/>
      <c r="D3067" s="3"/>
      <c r="E3067" s="5" t="str">
        <f>HYPERLINK("https://dpmzos25m8ivg.cloudfront.net/Documentos/631/06409816588/6310640981658809092023224521.pdf","https://dpmzos25m8ivg.cloudfront.net/Documentos/631/06409816588/6310640981658809092023224521.pdf")</f>
        <v>https://dpmzos25m8ivg.cloudfront.net/Documentos/631/06409816588/6310640981658809092023224521.pdf</v>
      </c>
      <c r="F3067" s="5" t="str">
        <f>HYPERLINK("https://dpmzos25m8ivg.cloudfront.net/Documentos/631/06409816588/6310640981658809092023224538.pdf","https://dpmzos25m8ivg.cloudfront.net/Documentos/631/06409816588/6310640981658809092023224538.pdf")</f>
        <v>https://dpmzos25m8ivg.cloudfront.net/Documentos/631/06409816588/6310640981658809092023224538.pdf</v>
      </c>
      <c r="G3067" s="5" t="str">
        <f>HYPERLINK("https://dpmzos25m8ivg.cloudfront.net/Documentos/631/06409816588/6310640981658809092023224556.pdf","https://dpmzos25m8ivg.cloudfront.net/Documentos/631/06409816588/6310640981658809092023224556.pdf")</f>
        <v>https://dpmzos25m8ivg.cloudfront.net/Documentos/631/06409816588/6310640981658809092023224556.pdf</v>
      </c>
      <c r="H3067" s="5" t="s">
        <v>11645</v>
      </c>
    </row>
    <row r="3068" spans="1:8" x14ac:dyDescent="0.25">
      <c r="A3068" s="2" t="s">
        <v>3086</v>
      </c>
      <c r="B3068" s="3"/>
      <c r="C3068" s="3"/>
      <c r="D3068" s="3"/>
      <c r="E3068" s="5" t="str">
        <f>HYPERLINK("https://dpmzos25m8ivg.cloudfront.net/Documentos/631/06410025483/6310641002548305092023132543.pdf","https://dpmzos25m8ivg.cloudfront.net/Documentos/631/06410025483/6310641002548305092023132543.pdf")</f>
        <v>https://dpmzos25m8ivg.cloudfront.net/Documentos/631/06410025483/6310641002548305092023132543.pdf</v>
      </c>
      <c r="F3068" s="5" t="str">
        <f>HYPERLINK("https://dpmzos25m8ivg.cloudfront.net/Documentos/631/06410025483/6310641002548305092023132558.pdf","https://dpmzos25m8ivg.cloudfront.net/Documentos/631/06410025483/6310641002548305092023132558.pdf")</f>
        <v>https://dpmzos25m8ivg.cloudfront.net/Documentos/631/06410025483/6310641002548305092023132558.pdf</v>
      </c>
      <c r="G3068" s="5" t="str">
        <f>HYPERLINK("https://dpmzos25m8ivg.cloudfront.net/Documentos/631/06410025483/6310641002548305092023132613.pdf","https://dpmzos25m8ivg.cloudfront.net/Documentos/631/06410025483/6310641002548305092023132613.pdf")</f>
        <v>https://dpmzos25m8ivg.cloudfront.net/Documentos/631/06410025483/6310641002548305092023132613.pdf</v>
      </c>
      <c r="H3068" s="5" t="s">
        <v>11646</v>
      </c>
    </row>
    <row r="3069" spans="1:8" x14ac:dyDescent="0.25">
      <c r="A3069" s="2" t="s">
        <v>3087</v>
      </c>
      <c r="B3069" s="3"/>
      <c r="C3069" s="3"/>
      <c r="D3069" s="3"/>
      <c r="E3069" s="5" t="str">
        <f>HYPERLINK("https://dpmzos25m8ivg.cloudfront.net/Documentos/631/06411281505/6310641128150511092023135614.pdf","https://dpmzos25m8ivg.cloudfront.net/Documentos/631/06411281505/6310641128150511092023135614.pdf")</f>
        <v>https://dpmzos25m8ivg.cloudfront.net/Documentos/631/06411281505/6310641128150511092023135614.pdf</v>
      </c>
      <c r="F3069" s="5" t="str">
        <f>HYPERLINK("https://dpmzos25m8ivg.cloudfront.net/Documentos/631/06411281505/6310641128150511092023135628.pdf","https://dpmzos25m8ivg.cloudfront.net/Documentos/631/06411281505/6310641128150511092023135628.pdf")</f>
        <v>https://dpmzos25m8ivg.cloudfront.net/Documentos/631/06411281505/6310641128150511092023135628.pdf</v>
      </c>
      <c r="G3069" s="5" t="str">
        <f>HYPERLINK("https://dpmzos25m8ivg.cloudfront.net/Documentos/631/06411281505/6310641128150511092023135642.pdf","https://dpmzos25m8ivg.cloudfront.net/Documentos/631/06411281505/6310641128150511092023135642.pdf")</f>
        <v>https://dpmzos25m8ivg.cloudfront.net/Documentos/631/06411281505/6310641128150511092023135642.pdf</v>
      </c>
      <c r="H3069" s="5" t="s">
        <v>11647</v>
      </c>
    </row>
    <row r="3070" spans="1:8" x14ac:dyDescent="0.25">
      <c r="A3070" s="2" t="s">
        <v>3088</v>
      </c>
      <c r="B3070" s="3"/>
      <c r="C3070" s="3"/>
      <c r="D3070" s="3"/>
      <c r="E3070" s="5" t="str">
        <f>HYPERLINK("https://dpmzos25m8ivg.cloudfront.net/Documentos/631/06413138530/6310641313853010092023193143.pdf","https://dpmzos25m8ivg.cloudfront.net/Documentos/631/06413138530/6310641313853010092023193143.pdf")</f>
        <v>https://dpmzos25m8ivg.cloudfront.net/Documentos/631/06413138530/6310641313853010092023193143.pdf</v>
      </c>
      <c r="F3070" s="5" t="str">
        <f>HYPERLINK("https://dpmzos25m8ivg.cloudfront.net/Documentos/631/06413138530/6310641313853010092023193202.pdf","https://dpmzos25m8ivg.cloudfront.net/Documentos/631/06413138530/6310641313853010092023193202.pdf")</f>
        <v>https://dpmzos25m8ivg.cloudfront.net/Documentos/631/06413138530/6310641313853010092023193202.pdf</v>
      </c>
      <c r="G3070" s="5" t="str">
        <f>HYPERLINK("https://dpmzos25m8ivg.cloudfront.net/Documentos/631/06413138530/6310641313853010092023193218.pdf","https://dpmzos25m8ivg.cloudfront.net/Documentos/631/06413138530/6310641313853010092023193218.pdf")</f>
        <v>https://dpmzos25m8ivg.cloudfront.net/Documentos/631/06413138530/6310641313853010092023193218.pdf</v>
      </c>
      <c r="H3070" s="5" t="s">
        <v>11648</v>
      </c>
    </row>
    <row r="3071" spans="1:8" x14ac:dyDescent="0.25">
      <c r="A3071" s="2" t="s">
        <v>3089</v>
      </c>
      <c r="B3071" s="3"/>
      <c r="C3071" s="3"/>
      <c r="D3071" s="3"/>
      <c r="E3071" s="5" t="str">
        <f>HYPERLINK("https://dpmzos25m8ivg.cloudfront.net/Documentos/631/06416585596/6310641658559605092023181818.pdf","https://dpmzos25m8ivg.cloudfront.net/Documentos/631/06416585596/6310641658559605092023181818.pdf")</f>
        <v>https://dpmzos25m8ivg.cloudfront.net/Documentos/631/06416585596/6310641658559605092023181818.pdf</v>
      </c>
      <c r="F3071" s="5" t="str">
        <f>HYPERLINK("https://dpmzos25m8ivg.cloudfront.net/Documentos/631/06416585596/6310641658559605092023181830.pdf","https://dpmzos25m8ivg.cloudfront.net/Documentos/631/06416585596/6310641658559605092023181830.pdf")</f>
        <v>https://dpmzos25m8ivg.cloudfront.net/Documentos/631/06416585596/6310641658559605092023181830.pdf</v>
      </c>
      <c r="G3071" s="5" t="str">
        <f>HYPERLINK("https://dpmzos25m8ivg.cloudfront.net/Documentos/631/06416585596/6310641658559605092023181840.pdf","https://dpmzos25m8ivg.cloudfront.net/Documentos/631/06416585596/6310641658559605092023181840.pdf")</f>
        <v>https://dpmzos25m8ivg.cloudfront.net/Documentos/631/06416585596/6310641658559605092023181840.pdf</v>
      </c>
      <c r="H3071" s="5" t="s">
        <v>11649</v>
      </c>
    </row>
    <row r="3072" spans="1:8" x14ac:dyDescent="0.25">
      <c r="A3072" s="2" t="s">
        <v>3090</v>
      </c>
      <c r="B3072" s="3"/>
      <c r="C3072" s="3"/>
      <c r="D3072" s="3"/>
      <c r="E3072" s="5" t="str">
        <f>HYPERLINK("https://dpmzos25m8ivg.cloudfront.net/Documentos/631/06420804965/6310642080496511092023103711.pdf","https://dpmzos25m8ivg.cloudfront.net/Documentos/631/06420804965/6310642080496511092023103711.pdf")</f>
        <v>https://dpmzos25m8ivg.cloudfront.net/Documentos/631/06420804965/6310642080496511092023103711.pdf</v>
      </c>
      <c r="F3072" s="5" t="str">
        <f>HYPERLINK("https://dpmzos25m8ivg.cloudfront.net/Documentos/631/06420804965/6310642080496511092023103743.pdf","https://dpmzos25m8ivg.cloudfront.net/Documentos/631/06420804965/6310642080496511092023103743.pdf")</f>
        <v>https://dpmzos25m8ivg.cloudfront.net/Documentos/631/06420804965/6310642080496511092023103743.pdf</v>
      </c>
      <c r="G3072" s="5" t="str">
        <f>HYPERLINK("https://dpmzos25m8ivg.cloudfront.net/Documentos/631/06420804965/6310642080496511092023103754.pdf","https://dpmzos25m8ivg.cloudfront.net/Documentos/631/06420804965/6310642080496511092023103754.pdf")</f>
        <v>https://dpmzos25m8ivg.cloudfront.net/Documentos/631/06420804965/6310642080496511092023103754.pdf</v>
      </c>
      <c r="H3072" s="5" t="s">
        <v>11650</v>
      </c>
    </row>
    <row r="3073" spans="1:8" x14ac:dyDescent="0.25">
      <c r="A3073" s="2" t="s">
        <v>3091</v>
      </c>
      <c r="B3073" s="3"/>
      <c r="C3073" s="3"/>
      <c r="D3073" s="3"/>
      <c r="E3073" s="5" t="str">
        <f>HYPERLINK("https://dpmzos25m8ivg.cloudfront.net/Documentos/631/06421194494/6310642119449404092023195753.jpg","https://dpmzos25m8ivg.cloudfront.net/Documentos/631/06421194494/6310642119449404092023195753.jpg")</f>
        <v>https://dpmzos25m8ivg.cloudfront.net/Documentos/631/06421194494/6310642119449404092023195753.jpg</v>
      </c>
      <c r="F3073" s="5" t="str">
        <f>HYPERLINK("https://dpmzos25m8ivg.cloudfront.net/Documentos/631/06421194494/6310642119449404092023200530.jpg","https://dpmzos25m8ivg.cloudfront.net/Documentos/631/06421194494/6310642119449404092023200530.jpg")</f>
        <v>https://dpmzos25m8ivg.cloudfront.net/Documentos/631/06421194494/6310642119449404092023200530.jpg</v>
      </c>
      <c r="G3073" s="5" t="str">
        <f>HYPERLINK("https://dpmzos25m8ivg.cloudfront.net/Documentos/631/06421194494/6310642119449404092023200232.jpg","https://dpmzos25m8ivg.cloudfront.net/Documentos/631/06421194494/6310642119449404092023200232.jpg")</f>
        <v>https://dpmzos25m8ivg.cloudfront.net/Documentos/631/06421194494/6310642119449404092023200232.jpg</v>
      </c>
      <c r="H3073" s="5" t="s">
        <v>11651</v>
      </c>
    </row>
    <row r="3074" spans="1:8" x14ac:dyDescent="0.25">
      <c r="A3074" s="2" t="s">
        <v>3092</v>
      </c>
      <c r="B3074" s="3"/>
      <c r="C3074" s="3"/>
      <c r="D3074" s="3"/>
      <c r="E3074" s="5" t="str">
        <f>HYPERLINK("https://dpmzos25m8ivg.cloudfront.net/Documentos/631/06421368581/6310642136858105092023191942.pdf","https://dpmzos25m8ivg.cloudfront.net/Documentos/631/06421368581/6310642136858105092023191942.pdf")</f>
        <v>https://dpmzos25m8ivg.cloudfront.net/Documentos/631/06421368581/6310642136858105092023191942.pdf</v>
      </c>
      <c r="F3074" s="5" t="str">
        <f>HYPERLINK("https://dpmzos25m8ivg.cloudfront.net/Documentos/631/06421368581/6310642136858105092023192023.pdf","https://dpmzos25m8ivg.cloudfront.net/Documentos/631/06421368581/6310642136858105092023192023.pdf")</f>
        <v>https://dpmzos25m8ivg.cloudfront.net/Documentos/631/06421368581/6310642136858105092023192023.pdf</v>
      </c>
      <c r="G3074" s="5" t="str">
        <f>HYPERLINK("https://dpmzos25m8ivg.cloudfront.net/Documentos/631/06421368581/6310642136858105092023192046.pdf","https://dpmzos25m8ivg.cloudfront.net/Documentos/631/06421368581/6310642136858105092023192046.pdf")</f>
        <v>https://dpmzos25m8ivg.cloudfront.net/Documentos/631/06421368581/6310642136858105092023192046.pdf</v>
      </c>
      <c r="H3074" s="5" t="s">
        <v>11652</v>
      </c>
    </row>
    <row r="3075" spans="1:8" x14ac:dyDescent="0.25">
      <c r="A3075" s="2" t="s">
        <v>3093</v>
      </c>
      <c r="B3075" s="3"/>
      <c r="C3075" s="3"/>
      <c r="D3075" s="3"/>
      <c r="E3075" s="5" t="str">
        <f>HYPERLINK("https://dpmzos25m8ivg.cloudfront.net/Documentos/631/06421841600/6310642184160009092023111204.pdf","https://dpmzos25m8ivg.cloudfront.net/Documentos/631/06421841600/6310642184160009092023111204.pdf")</f>
        <v>https://dpmzos25m8ivg.cloudfront.net/Documentos/631/06421841600/6310642184160009092023111204.pdf</v>
      </c>
      <c r="F3075" s="5" t="str">
        <f>HYPERLINK("https://dpmzos25m8ivg.cloudfront.net/Documentos/631/06421841600/6310642184160009092023111447.pdf","https://dpmzos25m8ivg.cloudfront.net/Documentos/631/06421841600/6310642184160009092023111447.pdf")</f>
        <v>https://dpmzos25m8ivg.cloudfront.net/Documentos/631/06421841600/6310642184160009092023111447.pdf</v>
      </c>
      <c r="G3075" s="5" t="str">
        <f>HYPERLINK("https://dpmzos25m8ivg.cloudfront.net/Documentos/631/06421841600/6310642184160009092023111808.pdf","https://dpmzos25m8ivg.cloudfront.net/Documentos/631/06421841600/6310642184160009092023111808.pdf")</f>
        <v>https://dpmzos25m8ivg.cloudfront.net/Documentos/631/06421841600/6310642184160009092023111808.pdf</v>
      </c>
      <c r="H3075" s="5" t="s">
        <v>11653</v>
      </c>
    </row>
    <row r="3076" spans="1:8" x14ac:dyDescent="0.25">
      <c r="A3076" s="2" t="s">
        <v>3094</v>
      </c>
      <c r="B3076" s="3"/>
      <c r="C3076" s="3"/>
      <c r="D3076" s="3"/>
      <c r="E3076" s="5" t="str">
        <f>HYPERLINK("https://dpmzos25m8ivg.cloudfront.net/Documentos/631/06422140347/6310642214034709092023150423.pdf","https://dpmzos25m8ivg.cloudfront.net/Documentos/631/06422140347/6310642214034709092023150423.pdf")</f>
        <v>https://dpmzos25m8ivg.cloudfront.net/Documentos/631/06422140347/6310642214034709092023150423.pdf</v>
      </c>
      <c r="F3076" s="5" t="str">
        <f>HYPERLINK("https://dpmzos25m8ivg.cloudfront.net/Documentos/631/06422140347/6310642214034709092023150442.pdf","https://dpmzos25m8ivg.cloudfront.net/Documentos/631/06422140347/6310642214034709092023150442.pdf")</f>
        <v>https://dpmzos25m8ivg.cloudfront.net/Documentos/631/06422140347/6310642214034709092023150442.pdf</v>
      </c>
      <c r="G3076" s="5" t="str">
        <f>HYPERLINK("https://dpmzos25m8ivg.cloudfront.net/Documentos/631/06422140347/6310642214034709092023150459.pdf","https://dpmzos25m8ivg.cloudfront.net/Documentos/631/06422140347/6310642214034709092023150459.pdf")</f>
        <v>https://dpmzos25m8ivg.cloudfront.net/Documentos/631/06422140347/6310642214034709092023150459.pdf</v>
      </c>
      <c r="H3076" s="5" t="s">
        <v>11654</v>
      </c>
    </row>
    <row r="3077" spans="1:8" x14ac:dyDescent="0.25">
      <c r="A3077" s="2" t="s">
        <v>3095</v>
      </c>
      <c r="B3077" s="3"/>
      <c r="C3077" s="3"/>
      <c r="D3077" s="3"/>
      <c r="E3077" s="5" t="str">
        <f>HYPERLINK("https://dpmzos25m8ivg.cloudfront.net/Documentos/631/06423018596/6310642301859610092023171508.jpeg","https://dpmzos25m8ivg.cloudfront.net/Documentos/631/06423018596/6310642301859610092023171508.jpeg")</f>
        <v>https://dpmzos25m8ivg.cloudfront.net/Documentos/631/06423018596/6310642301859610092023171508.jpeg</v>
      </c>
      <c r="F3077" s="5" t="str">
        <f>HYPERLINK("https://dpmzos25m8ivg.cloudfront.net/Documentos/631/06423018596/6310642301859610092023171514.jpeg","https://dpmzos25m8ivg.cloudfront.net/Documentos/631/06423018596/6310642301859610092023171514.jpeg")</f>
        <v>https://dpmzos25m8ivg.cloudfront.net/Documentos/631/06423018596/6310642301859610092023171514.jpeg</v>
      </c>
      <c r="G3077" s="5" t="str">
        <f>HYPERLINK("https://dpmzos25m8ivg.cloudfront.net/Documentos/631/06423018596/6310642301859610092023171521.jpeg","https://dpmzos25m8ivg.cloudfront.net/Documentos/631/06423018596/6310642301859610092023171521.jpeg")</f>
        <v>https://dpmzos25m8ivg.cloudfront.net/Documentos/631/06423018596/6310642301859610092023171521.jpeg</v>
      </c>
      <c r="H3077" s="5" t="s">
        <v>11655</v>
      </c>
    </row>
    <row r="3078" spans="1:8" x14ac:dyDescent="0.25">
      <c r="A3078" s="2" t="s">
        <v>3096</v>
      </c>
      <c r="B3078" s="3"/>
      <c r="C3078" s="3"/>
      <c r="D3078" s="3"/>
      <c r="E3078" s="5" t="str">
        <f>HYPERLINK("https://dpmzos25m8ivg.cloudfront.net/Documentos/631/06423294356/6310642329435610092023231226.pdf","https://dpmzos25m8ivg.cloudfront.net/Documentos/631/06423294356/6310642329435610092023231226.pdf")</f>
        <v>https://dpmzos25m8ivg.cloudfront.net/Documentos/631/06423294356/6310642329435610092023231226.pdf</v>
      </c>
      <c r="F3078" s="5" t="str">
        <f>HYPERLINK("https://dpmzos25m8ivg.cloudfront.net/Documentos/631/06423294356/6310642329435610092023231249.pdf","https://dpmzos25m8ivg.cloudfront.net/Documentos/631/06423294356/6310642329435610092023231249.pdf")</f>
        <v>https://dpmzos25m8ivg.cloudfront.net/Documentos/631/06423294356/6310642329435610092023231249.pdf</v>
      </c>
      <c r="G3078" s="5" t="str">
        <f>HYPERLINK("https://dpmzos25m8ivg.cloudfront.net/Documentos/631/06423294356/6310642329435610092023231313.pdf","https://dpmzos25m8ivg.cloudfront.net/Documentos/631/06423294356/6310642329435610092023231313.pdf")</f>
        <v>https://dpmzos25m8ivg.cloudfront.net/Documentos/631/06423294356/6310642329435610092023231313.pdf</v>
      </c>
      <c r="H3078" s="5" t="s">
        <v>11656</v>
      </c>
    </row>
    <row r="3079" spans="1:8" x14ac:dyDescent="0.25">
      <c r="A3079" s="2" t="s">
        <v>3097</v>
      </c>
      <c r="B3079" s="3"/>
      <c r="C3079" s="3"/>
      <c r="D3079" s="3"/>
      <c r="E3079" s="5" t="str">
        <f>HYPERLINK("https://dpmzos25m8ivg.cloudfront.net/Documentos/631/06424148400/6310642414840014092023141324.pdf","https://dpmzos25m8ivg.cloudfront.net/Documentos/631/06424148400/6310642414840014092023141324.pdf")</f>
        <v>https://dpmzos25m8ivg.cloudfront.net/Documentos/631/06424148400/6310642414840014092023141324.pdf</v>
      </c>
      <c r="F3079" s="5" t="str">
        <f>HYPERLINK("https://dpmzos25m8ivg.cloudfront.net/Documentos/631/06424148400/6310642414840014092023141359.pdf","https://dpmzos25m8ivg.cloudfront.net/Documentos/631/06424148400/6310642414840014092023141359.pdf")</f>
        <v>https://dpmzos25m8ivg.cloudfront.net/Documentos/631/06424148400/6310642414840014092023141359.pdf</v>
      </c>
      <c r="G3079" s="5" t="str">
        <f>HYPERLINK("https://dpmzos25m8ivg.cloudfront.net/Documentos/631/06424148400/6310642414840014092023141434.pdf","https://dpmzos25m8ivg.cloudfront.net/Documentos/631/06424148400/6310642414840014092023141434.pdf")</f>
        <v>https://dpmzos25m8ivg.cloudfront.net/Documentos/631/06424148400/6310642414840014092023141434.pdf</v>
      </c>
      <c r="H3079" s="5" t="s">
        <v>11657</v>
      </c>
    </row>
    <row r="3080" spans="1:8" x14ac:dyDescent="0.25">
      <c r="A3080" s="2" t="s">
        <v>3098</v>
      </c>
      <c r="B3080" s="3" t="s">
        <v>90</v>
      </c>
      <c r="C3080" s="3"/>
      <c r="D3080" s="3"/>
      <c r="E3080" s="5" t="str">
        <f>HYPERLINK("https://dpmzos25m8ivg.cloudfront.net/Documentos/631/06424919929/6310642491992911092023162904.jpg","https://dpmzos25m8ivg.cloudfront.net/Documentos/631/06424919929/6310642491992911092023162904.jpg")</f>
        <v>https://dpmzos25m8ivg.cloudfront.net/Documentos/631/06424919929/6310642491992911092023162904.jpg</v>
      </c>
      <c r="F3080" s="5" t="str">
        <f>HYPERLINK("https://dpmzos25m8ivg.cloudfront.net/Documentos/631/06424919929/6310642491992911092023162932.jpg","https://dpmzos25m8ivg.cloudfront.net/Documentos/631/06424919929/6310642491992911092023162932.jpg")</f>
        <v>https://dpmzos25m8ivg.cloudfront.net/Documentos/631/06424919929/6310642491992911092023162932.jpg</v>
      </c>
      <c r="G3080" s="5" t="str">
        <f>HYPERLINK("https://dpmzos25m8ivg.cloudfront.net/Documentos/631/06424919929/6310642491992911092023162949.jpg","https://dpmzos25m8ivg.cloudfront.net/Documentos/631/06424919929/6310642491992911092023162949.jpg")</f>
        <v>https://dpmzos25m8ivg.cloudfront.net/Documentos/631/06424919929/6310642491992911092023162949.jpg</v>
      </c>
      <c r="H3080" s="5" t="s">
        <v>11658</v>
      </c>
    </row>
    <row r="3081" spans="1:8" x14ac:dyDescent="0.25">
      <c r="A3081" s="2" t="s">
        <v>3099</v>
      </c>
      <c r="B3081" s="3" t="s">
        <v>90</v>
      </c>
      <c r="C3081" s="3"/>
      <c r="D3081" s="3"/>
      <c r="E3081" s="5" t="str">
        <f>HYPERLINK("https://dpmzos25m8ivg.cloudfront.net/Documentos/631/06425468785/6310642546878514092023090749.pdf","https://dpmzos25m8ivg.cloudfront.net/Documentos/631/06425468785/6310642546878514092023090749.pdf")</f>
        <v>https://dpmzos25m8ivg.cloudfront.net/Documentos/631/06425468785/6310642546878514092023090749.pdf</v>
      </c>
      <c r="F3081" s="5" t="str">
        <f>HYPERLINK("https://dpmzos25m8ivg.cloudfront.net/Documentos/631/06425468785/6310642546878514092023090758.pdf","https://dpmzos25m8ivg.cloudfront.net/Documentos/631/06425468785/6310642546878514092023090758.pdf")</f>
        <v>https://dpmzos25m8ivg.cloudfront.net/Documentos/631/06425468785/6310642546878514092023090758.pdf</v>
      </c>
      <c r="G3081" s="5" t="str">
        <f>HYPERLINK("https://dpmzos25m8ivg.cloudfront.net/Documentos/631/06425468785/6310642546878514092023090813.pdf","https://dpmzos25m8ivg.cloudfront.net/Documentos/631/06425468785/6310642546878514092023090813.pdf")</f>
        <v>https://dpmzos25m8ivg.cloudfront.net/Documentos/631/06425468785/6310642546878514092023090813.pdf</v>
      </c>
      <c r="H3081" s="5" t="s">
        <v>11659</v>
      </c>
    </row>
    <row r="3082" spans="1:8" x14ac:dyDescent="0.25">
      <c r="A3082" s="2" t="s">
        <v>3100</v>
      </c>
      <c r="B3082" s="3" t="s">
        <v>90</v>
      </c>
      <c r="C3082" s="3"/>
      <c r="D3082" s="3"/>
      <c r="E3082" s="5" t="str">
        <f>HYPERLINK("https://dpmzos25m8ivg.cloudfront.net/Documentos/631/06426678619/6310642667861914092023165619.jpg","https://dpmzos25m8ivg.cloudfront.net/Documentos/631/06426678619/6310642667861914092023165619.jpg")</f>
        <v>https://dpmzos25m8ivg.cloudfront.net/Documentos/631/06426678619/6310642667861914092023165619.jpg</v>
      </c>
      <c r="F3082" s="5" t="str">
        <f>HYPERLINK("https://dpmzos25m8ivg.cloudfront.net/Documentos/631/06426678619/6310642667861914092023165631.jpg","https://dpmzos25m8ivg.cloudfront.net/Documentos/631/06426678619/6310642667861914092023165631.jpg")</f>
        <v>https://dpmzos25m8ivg.cloudfront.net/Documentos/631/06426678619/6310642667861914092023165631.jpg</v>
      </c>
      <c r="G3082" s="5" t="str">
        <f>HYPERLINK("https://dpmzos25m8ivg.cloudfront.net/Documentos/631/06426678619/6310642667861914092023165646.jpg","https://dpmzos25m8ivg.cloudfront.net/Documentos/631/06426678619/6310642667861914092023165646.jpg")</f>
        <v>https://dpmzos25m8ivg.cloudfront.net/Documentos/631/06426678619/6310642667861914092023165646.jpg</v>
      </c>
      <c r="H3082" s="5" t="s">
        <v>11660</v>
      </c>
    </row>
    <row r="3083" spans="1:8" x14ac:dyDescent="0.25">
      <c r="A3083" s="2" t="s">
        <v>3101</v>
      </c>
      <c r="B3083" s="3" t="s">
        <v>90</v>
      </c>
      <c r="C3083" s="3"/>
      <c r="D3083" s="3"/>
      <c r="E3083" s="5" t="str">
        <f>HYPERLINK("https://dpmzos25m8ivg.cloudfront.net/Documentos/631/06427036122/6310642703612205092023130410.pdf","https://dpmzos25m8ivg.cloudfront.net/Documentos/631/06427036122/6310642703612205092023130410.pdf")</f>
        <v>https://dpmzos25m8ivg.cloudfront.net/Documentos/631/06427036122/6310642703612205092023130410.pdf</v>
      </c>
      <c r="F3083" s="5" t="str">
        <f>HYPERLINK("https://dpmzos25m8ivg.cloudfront.net/Documentos/631/06427036122/6310642703612205092023131952.pdf","https://dpmzos25m8ivg.cloudfront.net/Documentos/631/06427036122/6310642703612205092023131952.pdf")</f>
        <v>https://dpmzos25m8ivg.cloudfront.net/Documentos/631/06427036122/6310642703612205092023131952.pdf</v>
      </c>
      <c r="G3083" s="5" t="str">
        <f>HYPERLINK("https://dpmzos25m8ivg.cloudfront.net/Documentos/631/06427036122/6310642703612205092023132011.pdf","https://dpmzos25m8ivg.cloudfront.net/Documentos/631/06427036122/6310642703612205092023132011.pdf")</f>
        <v>https://dpmzos25m8ivg.cloudfront.net/Documentos/631/06427036122/6310642703612205092023132011.pdf</v>
      </c>
      <c r="H3083" s="5" t="s">
        <v>11661</v>
      </c>
    </row>
    <row r="3084" spans="1:8" x14ac:dyDescent="0.25">
      <c r="A3084" s="2" t="s">
        <v>3102</v>
      </c>
      <c r="B3084" s="3"/>
      <c r="C3084" s="3"/>
      <c r="D3084" s="3"/>
      <c r="E3084" s="5" t="str">
        <f>HYPERLINK("https://dpmzos25m8ivg.cloudfront.net/Documentos/631/06431850971/6310643185097111092023140133.jpeg","https://dpmzos25m8ivg.cloudfront.net/Documentos/631/06431850971/6310643185097111092023140133.jpeg")</f>
        <v>https://dpmzos25m8ivg.cloudfront.net/Documentos/631/06431850971/6310643185097111092023140133.jpeg</v>
      </c>
      <c r="F3084" s="5" t="str">
        <f>HYPERLINK("https://dpmzos25m8ivg.cloudfront.net/Documentos/631/06431850971/6310643185097111092023140141.jpeg","https://dpmzos25m8ivg.cloudfront.net/Documentos/631/06431850971/6310643185097111092023140141.jpeg")</f>
        <v>https://dpmzos25m8ivg.cloudfront.net/Documentos/631/06431850971/6310643185097111092023140141.jpeg</v>
      </c>
      <c r="G3084" s="5" t="str">
        <f>HYPERLINK("https://dpmzos25m8ivg.cloudfront.net/Documentos/631/06431850971/6310643185097112092023172508.jpeg","https://dpmzos25m8ivg.cloudfront.net/Documentos/631/06431850971/6310643185097112092023172508.jpeg")</f>
        <v>https://dpmzos25m8ivg.cloudfront.net/Documentos/631/06431850971/6310643185097112092023172508.jpeg</v>
      </c>
      <c r="H3084" s="5" t="s">
        <v>11662</v>
      </c>
    </row>
    <row r="3085" spans="1:8" x14ac:dyDescent="0.25">
      <c r="A3085" s="2" t="s">
        <v>3103</v>
      </c>
      <c r="B3085" s="3"/>
      <c r="C3085" s="3"/>
      <c r="D3085" s="3"/>
      <c r="E3085" s="5" t="str">
        <f>HYPERLINK("https://dpmzos25m8ivg.cloudfront.net/Documentos/631/06437682540/6310643768254011092023141622.pdf","https://dpmzos25m8ivg.cloudfront.net/Documentos/631/06437682540/6310643768254011092023141622.pdf")</f>
        <v>https://dpmzos25m8ivg.cloudfront.net/Documentos/631/06437682540/6310643768254011092023141622.pdf</v>
      </c>
      <c r="F3085" s="5" t="str">
        <f>HYPERLINK("https://dpmzos25m8ivg.cloudfront.net/Documentos/631/06437682540/6310643768254011092023141709.pdf","https://dpmzos25m8ivg.cloudfront.net/Documentos/631/06437682540/6310643768254011092023141709.pdf")</f>
        <v>https://dpmzos25m8ivg.cloudfront.net/Documentos/631/06437682540/6310643768254011092023141709.pdf</v>
      </c>
      <c r="G3085" s="5" t="str">
        <f>HYPERLINK("https://dpmzos25m8ivg.cloudfront.net/Documentos/631/06437682540/6310643768254011092023141730.pdf","https://dpmzos25m8ivg.cloudfront.net/Documentos/631/06437682540/6310643768254011092023141730.pdf")</f>
        <v>https://dpmzos25m8ivg.cloudfront.net/Documentos/631/06437682540/6310643768254011092023141730.pdf</v>
      </c>
      <c r="H3085" s="5" t="s">
        <v>11663</v>
      </c>
    </row>
    <row r="3086" spans="1:8" x14ac:dyDescent="0.25">
      <c r="A3086" s="2" t="s">
        <v>3104</v>
      </c>
      <c r="B3086" s="3" t="s">
        <v>23</v>
      </c>
      <c r="C3086" s="3"/>
      <c r="D3086" s="3"/>
      <c r="E3086" s="5" t="str">
        <f>HYPERLINK("https://dpmzos25m8ivg.cloudfront.net/Documentos/631/06440055135/6310644005513506092023165400.pdf","https://dpmzos25m8ivg.cloudfront.net/Documentos/631/06440055135/6310644005513506092023165400.pdf")</f>
        <v>https://dpmzos25m8ivg.cloudfront.net/Documentos/631/06440055135/6310644005513506092023165400.pdf</v>
      </c>
      <c r="F3086" s="5" t="str">
        <f>HYPERLINK("https://dpmzos25m8ivg.cloudfront.net/Documentos/631/06440055135/6310644005513506092023165410.pdf","https://dpmzos25m8ivg.cloudfront.net/Documentos/631/06440055135/6310644005513506092023165410.pdf")</f>
        <v>https://dpmzos25m8ivg.cloudfront.net/Documentos/631/06440055135/6310644005513506092023165410.pdf</v>
      </c>
      <c r="G3086" s="5" t="str">
        <f>HYPERLINK("https://dpmzos25m8ivg.cloudfront.net/Documentos/631/06440055135/6310644005513506092023165425.pdf","https://dpmzos25m8ivg.cloudfront.net/Documentos/631/06440055135/6310644005513506092023165425.pdf")</f>
        <v>https://dpmzos25m8ivg.cloudfront.net/Documentos/631/06440055135/6310644005513506092023165425.pdf</v>
      </c>
      <c r="H3086" s="5" t="s">
        <v>11664</v>
      </c>
    </row>
    <row r="3087" spans="1:8" x14ac:dyDescent="0.25">
      <c r="A3087" s="2" t="s">
        <v>3105</v>
      </c>
      <c r="B3087" s="3"/>
      <c r="C3087" s="3"/>
      <c r="D3087" s="3"/>
      <c r="E3087" s="5" t="str">
        <f>HYPERLINK("https://dpmzos25m8ivg.cloudfront.net/Documentos/631/06441627590/6310644162759011092023165222.pdf","https://dpmzos25m8ivg.cloudfront.net/Documentos/631/06441627590/6310644162759011092023165222.pdf")</f>
        <v>https://dpmzos25m8ivg.cloudfront.net/Documentos/631/06441627590/6310644162759011092023165222.pdf</v>
      </c>
      <c r="F3087" s="5" t="str">
        <f>HYPERLINK("https://dpmzos25m8ivg.cloudfront.net/Documentos/631/06441627590/6310644162759011092023165232.pdf","https://dpmzos25m8ivg.cloudfront.net/Documentos/631/06441627590/6310644162759011092023165232.pdf")</f>
        <v>https://dpmzos25m8ivg.cloudfront.net/Documentos/631/06441627590/6310644162759011092023165232.pdf</v>
      </c>
      <c r="G3087" s="5" t="str">
        <f>HYPERLINK("https://dpmzos25m8ivg.cloudfront.net/Documentos/631/06441627590/6310644162759011092023165242.pdf","https://dpmzos25m8ivg.cloudfront.net/Documentos/631/06441627590/6310644162759011092023165242.pdf")</f>
        <v>https://dpmzos25m8ivg.cloudfront.net/Documentos/631/06441627590/6310644162759011092023165242.pdf</v>
      </c>
      <c r="H3087" s="5" t="s">
        <v>11665</v>
      </c>
    </row>
    <row r="3088" spans="1:8" x14ac:dyDescent="0.25">
      <c r="A3088" s="2" t="s">
        <v>3106</v>
      </c>
      <c r="B3088" s="3"/>
      <c r="C3088" s="3"/>
      <c r="D3088" s="3"/>
      <c r="E3088" s="5" t="str">
        <f>HYPERLINK("https://dpmzos25m8ivg.cloudfront.net/Documentos/631/06444268109/6310644426810911092023150731.jpeg","https://dpmzos25m8ivg.cloudfront.net/Documentos/631/06444268109/6310644426810911092023150731.jpeg")</f>
        <v>https://dpmzos25m8ivg.cloudfront.net/Documentos/631/06444268109/6310644426810911092023150731.jpeg</v>
      </c>
      <c r="F3088" s="5" t="str">
        <f>HYPERLINK("https://dpmzos25m8ivg.cloudfront.net/Documentos/631/06444268109/6310644426810911092023152656.jpeg","https://dpmzos25m8ivg.cloudfront.net/Documentos/631/06444268109/6310644426810911092023152656.jpeg")</f>
        <v>https://dpmzos25m8ivg.cloudfront.net/Documentos/631/06444268109/6310644426810911092023152656.jpeg</v>
      </c>
      <c r="G3088" s="5" t="str">
        <f>HYPERLINK("https://dpmzos25m8ivg.cloudfront.net/Documentos/631/06444268109/6310644426810911092023152709.jpeg","https://dpmzos25m8ivg.cloudfront.net/Documentos/631/06444268109/6310644426810911092023152709.jpeg")</f>
        <v>https://dpmzos25m8ivg.cloudfront.net/Documentos/631/06444268109/6310644426810911092023152709.jpeg</v>
      </c>
      <c r="H3088" s="5" t="s">
        <v>11666</v>
      </c>
    </row>
    <row r="3089" spans="1:8" x14ac:dyDescent="0.25">
      <c r="A3089" s="2" t="s">
        <v>3107</v>
      </c>
      <c r="B3089" s="3" t="s">
        <v>90</v>
      </c>
      <c r="C3089" s="3"/>
      <c r="D3089" s="3"/>
      <c r="E3089" s="5" t="str">
        <f>HYPERLINK("https://dpmzos25m8ivg.cloudfront.net/Documentos/631/06445052576/6310644505257611092023170200.jpg","https://dpmzos25m8ivg.cloudfront.net/Documentos/631/06445052576/6310644505257611092023170200.jpg")</f>
        <v>https://dpmzos25m8ivg.cloudfront.net/Documentos/631/06445052576/6310644505257611092023170200.jpg</v>
      </c>
      <c r="F3089" s="5" t="str">
        <f>HYPERLINK("https://dpmzos25m8ivg.cloudfront.net/Documentos/631/06445052576/6310644505257611092023170211.jpg","https://dpmzos25m8ivg.cloudfront.net/Documentos/631/06445052576/6310644505257611092023170211.jpg")</f>
        <v>https://dpmzos25m8ivg.cloudfront.net/Documentos/631/06445052576/6310644505257611092023170211.jpg</v>
      </c>
      <c r="G3089" s="5" t="str">
        <f>HYPERLINK("https://dpmzos25m8ivg.cloudfront.net/Documentos/631/06445052576/6310644505257611092023170219.jpg","https://dpmzos25m8ivg.cloudfront.net/Documentos/631/06445052576/6310644505257611092023170219.jpg")</f>
        <v>https://dpmzos25m8ivg.cloudfront.net/Documentos/631/06445052576/6310644505257611092023170219.jpg</v>
      </c>
      <c r="H3089" s="5" t="s">
        <v>11667</v>
      </c>
    </row>
    <row r="3090" spans="1:8" x14ac:dyDescent="0.25">
      <c r="A3090" s="2" t="s">
        <v>3108</v>
      </c>
      <c r="B3090" s="3" t="s">
        <v>23</v>
      </c>
      <c r="C3090" s="3"/>
      <c r="D3090" s="3"/>
      <c r="E3090" s="5" t="str">
        <f>HYPERLINK("https://dpmzos25m8ivg.cloudfront.net/Documentos/631/06445474306/6310644547430610092023125039.pdf","https://dpmzos25m8ivg.cloudfront.net/Documentos/631/06445474306/6310644547430610092023125039.pdf")</f>
        <v>https://dpmzos25m8ivg.cloudfront.net/Documentos/631/06445474306/6310644547430610092023125039.pdf</v>
      </c>
      <c r="F3090" s="5" t="str">
        <f>HYPERLINK("https://dpmzos25m8ivg.cloudfront.net/Documentos/631/06445474306/6310644547430610092023125125.pdf","https://dpmzos25m8ivg.cloudfront.net/Documentos/631/06445474306/6310644547430610092023125125.pdf")</f>
        <v>https://dpmzos25m8ivg.cloudfront.net/Documentos/631/06445474306/6310644547430610092023125125.pdf</v>
      </c>
      <c r="G3090" s="5" t="str">
        <f>HYPERLINK("https://dpmzos25m8ivg.cloudfront.net/Documentos/631/06445474306/6310644547430610092023125135.pdf","https://dpmzos25m8ivg.cloudfront.net/Documentos/631/06445474306/6310644547430610092023125135.pdf")</f>
        <v>https://dpmzos25m8ivg.cloudfront.net/Documentos/631/06445474306/6310644547430610092023125135.pdf</v>
      </c>
      <c r="H3090" s="5" t="s">
        <v>11668</v>
      </c>
    </row>
    <row r="3091" spans="1:8" x14ac:dyDescent="0.25">
      <c r="A3091" s="2" t="s">
        <v>3109</v>
      </c>
      <c r="B3091" s="3"/>
      <c r="C3091" s="3"/>
      <c r="D3091" s="3"/>
      <c r="E3091" s="5" t="str">
        <f>HYPERLINK("https://dpmzos25m8ivg.cloudfront.net/Documentos/631/06446300514/6310644630051407092023161336.pdf","https://dpmzos25m8ivg.cloudfront.net/Documentos/631/06446300514/6310644630051407092023161336.pdf")</f>
        <v>https://dpmzos25m8ivg.cloudfront.net/Documentos/631/06446300514/6310644630051407092023161336.pdf</v>
      </c>
      <c r="F3091" s="5" t="str">
        <f>HYPERLINK("https://dpmzos25m8ivg.cloudfront.net/Documentos/631/06446300514/6310644630051407092023161346.pdf","https://dpmzos25m8ivg.cloudfront.net/Documentos/631/06446300514/6310644630051407092023161346.pdf")</f>
        <v>https://dpmzos25m8ivg.cloudfront.net/Documentos/631/06446300514/6310644630051407092023161346.pdf</v>
      </c>
      <c r="G3091" s="5" t="str">
        <f>HYPERLINK("https://dpmzos25m8ivg.cloudfront.net/Documentos/631/06446300514/6310644630051407092023161356.pdf","https://dpmzos25m8ivg.cloudfront.net/Documentos/631/06446300514/6310644630051407092023161356.pdf")</f>
        <v>https://dpmzos25m8ivg.cloudfront.net/Documentos/631/06446300514/6310644630051407092023161356.pdf</v>
      </c>
      <c r="H3091" s="5" t="s">
        <v>11669</v>
      </c>
    </row>
    <row r="3092" spans="1:8" x14ac:dyDescent="0.25">
      <c r="A3092" s="2" t="s">
        <v>3110</v>
      </c>
      <c r="B3092" s="3"/>
      <c r="C3092" s="3"/>
      <c r="D3092" s="3"/>
      <c r="E3092" s="5" t="str">
        <f>HYPERLINK("https://dpmzos25m8ivg.cloudfront.net/Documentos/631/06446610890/6310644661089011092023042653.jpg","https://dpmzos25m8ivg.cloudfront.net/Documentos/631/06446610890/6310644661089011092023042653.jpg")</f>
        <v>https://dpmzos25m8ivg.cloudfront.net/Documentos/631/06446610890/6310644661089011092023042653.jpg</v>
      </c>
      <c r="F3092" s="5" t="str">
        <f>HYPERLINK("https://dpmzos25m8ivg.cloudfront.net/Documentos/631/06446610890/6310644661089011092023042706.jpg","https://dpmzos25m8ivg.cloudfront.net/Documentos/631/06446610890/6310644661089011092023042706.jpg")</f>
        <v>https://dpmzos25m8ivg.cloudfront.net/Documentos/631/06446610890/6310644661089011092023042706.jpg</v>
      </c>
      <c r="G3092" s="5" t="str">
        <f>HYPERLINK("https://dpmzos25m8ivg.cloudfront.net/Documentos/631/06446610890/6310644661089011092023042719.jpg","https://dpmzos25m8ivg.cloudfront.net/Documentos/631/06446610890/6310644661089011092023042719.jpg")</f>
        <v>https://dpmzos25m8ivg.cloudfront.net/Documentos/631/06446610890/6310644661089011092023042719.jpg</v>
      </c>
      <c r="H3092" s="5" t="s">
        <v>11670</v>
      </c>
    </row>
    <row r="3093" spans="1:8" x14ac:dyDescent="0.25">
      <c r="A3093" s="2" t="s">
        <v>3111</v>
      </c>
      <c r="B3093" s="3"/>
      <c r="C3093" s="3"/>
      <c r="D3093" s="3"/>
      <c r="E3093" s="5" t="str">
        <f>HYPERLINK("https://dpmzos25m8ivg.cloudfront.net/Documentos/631/06446758537/6310644675853711092023100438.jpeg","https://dpmzos25m8ivg.cloudfront.net/Documentos/631/06446758537/6310644675853711092023100438.jpeg")</f>
        <v>https://dpmzos25m8ivg.cloudfront.net/Documentos/631/06446758537/6310644675853711092023100438.jpeg</v>
      </c>
      <c r="F3093" s="5" t="str">
        <f>HYPERLINK("https://dpmzos25m8ivg.cloudfront.net/Documentos/631/06446758537/6310644675853711092023100450.jpeg","https://dpmzos25m8ivg.cloudfront.net/Documentos/631/06446758537/6310644675853711092023100450.jpeg")</f>
        <v>https://dpmzos25m8ivg.cloudfront.net/Documentos/631/06446758537/6310644675853711092023100450.jpeg</v>
      </c>
      <c r="G3093" s="5" t="str">
        <f>HYPERLINK("https://dpmzos25m8ivg.cloudfront.net/Documentos/631/06446758537/6310644675853711092023100504.jpeg","https://dpmzos25m8ivg.cloudfront.net/Documentos/631/06446758537/6310644675853711092023100504.jpeg")</f>
        <v>https://dpmzos25m8ivg.cloudfront.net/Documentos/631/06446758537/6310644675853711092023100504.jpeg</v>
      </c>
      <c r="H3093" s="5" t="s">
        <v>11671</v>
      </c>
    </row>
    <row r="3094" spans="1:8" x14ac:dyDescent="0.25">
      <c r="A3094" s="2" t="s">
        <v>3112</v>
      </c>
      <c r="B3094" s="3"/>
      <c r="C3094" s="3"/>
      <c r="D3094" s="3"/>
      <c r="E3094" s="5" t="str">
        <f>HYPERLINK("https://dpmzos25m8ivg.cloudfront.net/Documentos/631/06447649375/6310644764937512092023235700.jpeg","https://dpmzos25m8ivg.cloudfront.net/Documentos/631/06447649375/6310644764937512092023235700.jpeg")</f>
        <v>https://dpmzos25m8ivg.cloudfront.net/Documentos/631/06447649375/6310644764937512092023235700.jpeg</v>
      </c>
      <c r="F3094" s="5" t="str">
        <f>HYPERLINK("https://dpmzos25m8ivg.cloudfront.net/Documentos/631/06447649375/6310644764937512092023235709.jpeg","https://dpmzos25m8ivg.cloudfront.net/Documentos/631/06447649375/6310644764937512092023235709.jpeg")</f>
        <v>https://dpmzos25m8ivg.cloudfront.net/Documentos/631/06447649375/6310644764937512092023235709.jpeg</v>
      </c>
      <c r="G3094" s="5" t="str">
        <f>HYPERLINK("https://dpmzos25m8ivg.cloudfront.net/Documentos/631/06447649375/6310644764937512092023235718.jpeg","https://dpmzos25m8ivg.cloudfront.net/Documentos/631/06447649375/6310644764937512092023235718.jpeg")</f>
        <v>https://dpmzos25m8ivg.cloudfront.net/Documentos/631/06447649375/6310644764937512092023235718.jpeg</v>
      </c>
      <c r="H3094" s="5" t="s">
        <v>11672</v>
      </c>
    </row>
    <row r="3095" spans="1:8" x14ac:dyDescent="0.25">
      <c r="A3095" s="2" t="s">
        <v>3113</v>
      </c>
      <c r="B3095" s="3"/>
      <c r="C3095" s="3"/>
      <c r="D3095" s="3"/>
      <c r="E3095" s="5" t="str">
        <f>HYPERLINK("https://dpmzos25m8ivg.cloudfront.net/Documentos/631/06447820309/6310644782030910092023184715.jpg","https://dpmzos25m8ivg.cloudfront.net/Documentos/631/06447820309/6310644782030910092023184715.jpg")</f>
        <v>https://dpmzos25m8ivg.cloudfront.net/Documentos/631/06447820309/6310644782030910092023184715.jpg</v>
      </c>
      <c r="F3095" s="5" t="str">
        <f>HYPERLINK("https://dpmzos25m8ivg.cloudfront.net/Documentos/631/06447820309/6310644782030910092023184728.jpg","https://dpmzos25m8ivg.cloudfront.net/Documentos/631/06447820309/6310644782030910092023184728.jpg")</f>
        <v>https://dpmzos25m8ivg.cloudfront.net/Documentos/631/06447820309/6310644782030910092023184728.jpg</v>
      </c>
      <c r="G3095" s="5" t="str">
        <f>HYPERLINK("https://dpmzos25m8ivg.cloudfront.net/Documentos/631/06447820309/6310644782030910092023184743.jpg","https://dpmzos25m8ivg.cloudfront.net/Documentos/631/06447820309/6310644782030910092023184743.jpg")</f>
        <v>https://dpmzos25m8ivg.cloudfront.net/Documentos/631/06447820309/6310644782030910092023184743.jpg</v>
      </c>
      <c r="H3095" s="5" t="s">
        <v>11673</v>
      </c>
    </row>
    <row r="3096" spans="1:8" x14ac:dyDescent="0.25">
      <c r="A3096" s="2" t="s">
        <v>3114</v>
      </c>
      <c r="B3096" s="3"/>
      <c r="C3096" s="3"/>
      <c r="D3096" s="3"/>
      <c r="E3096" s="5" t="str">
        <f>HYPERLINK("https://dpmzos25m8ivg.cloudfront.net/Documentos/631/06451990361/6310645199036113092023110330.pdf","https://dpmzos25m8ivg.cloudfront.net/Documentos/631/06451990361/6310645199036113092023110330.pdf")</f>
        <v>https://dpmzos25m8ivg.cloudfront.net/Documentos/631/06451990361/6310645199036113092023110330.pdf</v>
      </c>
      <c r="F3096" s="5" t="str">
        <f>HYPERLINK("https://dpmzos25m8ivg.cloudfront.net/Documentos/631/06451990361/6310645199036113092023110341.pdf","https://dpmzos25m8ivg.cloudfront.net/Documentos/631/06451990361/6310645199036113092023110341.pdf")</f>
        <v>https://dpmzos25m8ivg.cloudfront.net/Documentos/631/06451990361/6310645199036113092023110341.pdf</v>
      </c>
      <c r="G3096" s="5" t="str">
        <f>HYPERLINK("https://dpmzos25m8ivg.cloudfront.net/Documentos/631/06451990361/6310645199036113092023110349.pdf","https://dpmzos25m8ivg.cloudfront.net/Documentos/631/06451990361/6310645199036113092023110349.pdf")</f>
        <v>https://dpmzos25m8ivg.cloudfront.net/Documentos/631/06451990361/6310645199036113092023110349.pdf</v>
      </c>
      <c r="H3096" s="5" t="s">
        <v>11674</v>
      </c>
    </row>
    <row r="3097" spans="1:8" x14ac:dyDescent="0.25">
      <c r="A3097" s="2" t="s">
        <v>3115</v>
      </c>
      <c r="B3097" s="3"/>
      <c r="C3097" s="3"/>
      <c r="D3097" s="3"/>
      <c r="E3097" s="5" t="str">
        <f>HYPERLINK("https://dpmzos25m8ivg.cloudfront.net/Documentos/631/06453829576/6310645382957610092023125150.pdf","https://dpmzos25m8ivg.cloudfront.net/Documentos/631/06453829576/6310645382957610092023125150.pdf")</f>
        <v>https://dpmzos25m8ivg.cloudfront.net/Documentos/631/06453829576/6310645382957610092023125150.pdf</v>
      </c>
      <c r="F3097" s="5" t="str">
        <f>HYPERLINK("https://dpmzos25m8ivg.cloudfront.net/Documentos/631/06453829576/6310645382957610092023125159.pdf","https://dpmzos25m8ivg.cloudfront.net/Documentos/631/06453829576/6310645382957610092023125159.pdf")</f>
        <v>https://dpmzos25m8ivg.cloudfront.net/Documentos/631/06453829576/6310645382957610092023125159.pdf</v>
      </c>
      <c r="G3097" s="5" t="str">
        <f>HYPERLINK("https://dpmzos25m8ivg.cloudfront.net/Documentos/631/06453829576/6310645382957610092023125208.pdf","https://dpmzos25m8ivg.cloudfront.net/Documentos/631/06453829576/6310645382957610092023125208.pdf")</f>
        <v>https://dpmzos25m8ivg.cloudfront.net/Documentos/631/06453829576/6310645382957610092023125208.pdf</v>
      </c>
      <c r="H3097" s="5" t="s">
        <v>11675</v>
      </c>
    </row>
    <row r="3098" spans="1:8" x14ac:dyDescent="0.25">
      <c r="A3098" s="2" t="s">
        <v>3116</v>
      </c>
      <c r="B3098" s="3"/>
      <c r="C3098" s="3"/>
      <c r="D3098" s="3"/>
      <c r="E3098" s="5" t="str">
        <f>HYPERLINK("https://dpmzos25m8ivg.cloudfront.net/Documentos/631/06453982412/6310645398241205092023154956.jpg","https://dpmzos25m8ivg.cloudfront.net/Documentos/631/06453982412/6310645398241205092023154956.jpg")</f>
        <v>https://dpmzos25m8ivg.cloudfront.net/Documentos/631/06453982412/6310645398241205092023154956.jpg</v>
      </c>
      <c r="F3098" s="5" t="str">
        <f>HYPERLINK("https://dpmzos25m8ivg.cloudfront.net/Documentos/631/06453982412/6310645398241205092023155011.jpg","https://dpmzos25m8ivg.cloudfront.net/Documentos/631/06453982412/6310645398241205092023155011.jpg")</f>
        <v>https://dpmzos25m8ivg.cloudfront.net/Documentos/631/06453982412/6310645398241205092023155011.jpg</v>
      </c>
      <c r="G3098" s="5" t="str">
        <f>HYPERLINK("https://dpmzos25m8ivg.cloudfront.net/Documentos/631/06453982412/6310645398241205092023155024.jpg","https://dpmzos25m8ivg.cloudfront.net/Documentos/631/06453982412/6310645398241205092023155024.jpg")</f>
        <v>https://dpmzos25m8ivg.cloudfront.net/Documentos/631/06453982412/6310645398241205092023155024.jpg</v>
      </c>
      <c r="H3098" s="5" t="s">
        <v>11676</v>
      </c>
    </row>
    <row r="3099" spans="1:8" x14ac:dyDescent="0.25">
      <c r="A3099" s="2" t="s">
        <v>3117</v>
      </c>
      <c r="B3099" s="3"/>
      <c r="C3099" s="3"/>
      <c r="D3099" s="3"/>
      <c r="E3099" s="5" t="str">
        <f>HYPERLINK("https://dpmzos25m8ivg.cloudfront.net/Documentos/631/06454139336/6310645413933607092023100742.pdf","https://dpmzos25m8ivg.cloudfront.net/Documentos/631/06454139336/6310645413933607092023100742.pdf")</f>
        <v>https://dpmzos25m8ivg.cloudfront.net/Documentos/631/06454139336/6310645413933607092023100742.pdf</v>
      </c>
      <c r="F3099" s="5" t="str">
        <f>HYPERLINK("https://dpmzos25m8ivg.cloudfront.net/Documentos/631/06454139336/6310645413933607092023100809.pdf","https://dpmzos25m8ivg.cloudfront.net/Documentos/631/06454139336/6310645413933607092023100809.pdf")</f>
        <v>https://dpmzos25m8ivg.cloudfront.net/Documentos/631/06454139336/6310645413933607092023100809.pdf</v>
      </c>
      <c r="G3099" s="5" t="str">
        <f>HYPERLINK("https://dpmzos25m8ivg.cloudfront.net/Documentos/631/06454139336/6310645413933607092023100830.pdf","https://dpmzos25m8ivg.cloudfront.net/Documentos/631/06454139336/6310645413933607092023100830.pdf")</f>
        <v>https://dpmzos25m8ivg.cloudfront.net/Documentos/631/06454139336/6310645413933607092023100830.pdf</v>
      </c>
      <c r="H3099" s="5" t="s">
        <v>11677</v>
      </c>
    </row>
    <row r="3100" spans="1:8" x14ac:dyDescent="0.25">
      <c r="A3100" s="2" t="s">
        <v>3118</v>
      </c>
      <c r="B3100" s="3"/>
      <c r="C3100" s="3"/>
      <c r="D3100" s="3"/>
      <c r="E3100" s="5" t="str">
        <f>HYPERLINK("https://dpmzos25m8ivg.cloudfront.net/Documentos/631/06455062140/6310645506214011092023125721.pdf","https://dpmzos25m8ivg.cloudfront.net/Documentos/631/06455062140/6310645506214011092023125721.pdf")</f>
        <v>https://dpmzos25m8ivg.cloudfront.net/Documentos/631/06455062140/6310645506214011092023125721.pdf</v>
      </c>
      <c r="F3100" s="5" t="str">
        <f>HYPERLINK("https://dpmzos25m8ivg.cloudfront.net/Documentos/631/06455062140/6310645506214011092023134711.pdf","https://dpmzos25m8ivg.cloudfront.net/Documentos/631/06455062140/6310645506214011092023134711.pdf")</f>
        <v>https://dpmzos25m8ivg.cloudfront.net/Documentos/631/06455062140/6310645506214011092023134711.pdf</v>
      </c>
      <c r="G3100" s="5" t="str">
        <f>HYPERLINK("https://dpmzos25m8ivg.cloudfront.net/Documentos/631/06455062140/6310645506214011092023134721.pdf","https://dpmzos25m8ivg.cloudfront.net/Documentos/631/06455062140/6310645506214011092023134721.pdf")</f>
        <v>https://dpmzos25m8ivg.cloudfront.net/Documentos/631/06455062140/6310645506214011092023134721.pdf</v>
      </c>
      <c r="H3100" s="5" t="s">
        <v>11678</v>
      </c>
    </row>
    <row r="3101" spans="1:8" x14ac:dyDescent="0.25">
      <c r="A3101" s="2" t="s">
        <v>3119</v>
      </c>
      <c r="B3101" s="3" t="s">
        <v>23</v>
      </c>
      <c r="C3101" s="3"/>
      <c r="D3101" s="3"/>
      <c r="E3101" s="5" t="str">
        <f>HYPERLINK("https://dpmzos25m8ivg.cloudfront.net/Documentos/631/06458507569/6310645850756914092023094826.jpeg","https://dpmzos25m8ivg.cloudfront.net/Documentos/631/06458507569/6310645850756914092023094826.jpeg")</f>
        <v>https://dpmzos25m8ivg.cloudfront.net/Documentos/631/06458507569/6310645850756914092023094826.jpeg</v>
      </c>
      <c r="F3101" s="5" t="str">
        <f>HYPERLINK("https://dpmzos25m8ivg.cloudfront.net/Documentos/631/06458507569/6310645850756914092023094832.jpeg","https://dpmzos25m8ivg.cloudfront.net/Documentos/631/06458507569/6310645850756914092023094832.jpeg")</f>
        <v>https://dpmzos25m8ivg.cloudfront.net/Documentos/631/06458507569/6310645850756914092023094832.jpeg</v>
      </c>
      <c r="G3101" s="5" t="str">
        <f>HYPERLINK("https://dpmzos25m8ivg.cloudfront.net/Documentos/631/06458507569/6310645850756914092023094839.jpeg","https://dpmzos25m8ivg.cloudfront.net/Documentos/631/06458507569/6310645850756914092023094839.jpeg")</f>
        <v>https://dpmzos25m8ivg.cloudfront.net/Documentos/631/06458507569/6310645850756914092023094839.jpeg</v>
      </c>
      <c r="H3101" s="5" t="s">
        <v>11679</v>
      </c>
    </row>
    <row r="3102" spans="1:8" x14ac:dyDescent="0.25">
      <c r="A3102" s="2" t="s">
        <v>3120</v>
      </c>
      <c r="B3102" s="3"/>
      <c r="C3102" s="3"/>
      <c r="D3102" s="3"/>
      <c r="E3102" s="5" t="str">
        <f>HYPERLINK("https://dpmzos25m8ivg.cloudfront.net/Documentos/631/06462293543/6310646229354310092023140321.jpeg","https://dpmzos25m8ivg.cloudfront.net/Documentos/631/06462293543/6310646229354310092023140321.jpeg")</f>
        <v>https://dpmzos25m8ivg.cloudfront.net/Documentos/631/06462293543/6310646229354310092023140321.jpeg</v>
      </c>
      <c r="F3102" s="5" t="str">
        <f>HYPERLINK("https://dpmzos25m8ivg.cloudfront.net/Documentos/631/06462293543/6310646229354310092023140312.jpeg","https://dpmzos25m8ivg.cloudfront.net/Documentos/631/06462293543/6310646229354310092023140312.jpeg")</f>
        <v>https://dpmzos25m8ivg.cloudfront.net/Documentos/631/06462293543/6310646229354310092023140312.jpeg</v>
      </c>
      <c r="G3102" s="5" t="str">
        <f>HYPERLINK("https://dpmzos25m8ivg.cloudfront.net/Documentos/631/06462293543/6310646229354310092023140300.jpeg","https://dpmzos25m8ivg.cloudfront.net/Documentos/631/06462293543/6310646229354310092023140300.jpeg")</f>
        <v>https://dpmzos25m8ivg.cloudfront.net/Documentos/631/06462293543/6310646229354310092023140300.jpeg</v>
      </c>
      <c r="H3102" s="5" t="s">
        <v>11680</v>
      </c>
    </row>
    <row r="3103" spans="1:8" x14ac:dyDescent="0.25">
      <c r="A3103" s="2" t="s">
        <v>3121</v>
      </c>
      <c r="B3103" s="3"/>
      <c r="C3103" s="3"/>
      <c r="D3103" s="3"/>
      <c r="E3103" s="5" t="str">
        <f>HYPERLINK("https://dpmzos25m8ivg.cloudfront.net/Documentos/631/06468536600/6310646853660013092023220146.pdf","https://dpmzos25m8ivg.cloudfront.net/Documentos/631/06468536600/6310646853660013092023220146.pdf")</f>
        <v>https://dpmzos25m8ivg.cloudfront.net/Documentos/631/06468536600/6310646853660013092023220146.pdf</v>
      </c>
      <c r="F3103" s="5" t="str">
        <f>HYPERLINK("https://dpmzos25m8ivg.cloudfront.net/Documentos/631/06468536600/6310646853660013092023220207.pdf","https://dpmzos25m8ivg.cloudfront.net/Documentos/631/06468536600/6310646853660013092023220207.pdf")</f>
        <v>https://dpmzos25m8ivg.cloudfront.net/Documentos/631/06468536600/6310646853660013092023220207.pdf</v>
      </c>
      <c r="G3103" s="5" t="str">
        <f>HYPERLINK("https://dpmzos25m8ivg.cloudfront.net/Documentos/631/06468536600/6310646853660013092023220224.pdf","https://dpmzos25m8ivg.cloudfront.net/Documentos/631/06468536600/6310646853660013092023220224.pdf")</f>
        <v>https://dpmzos25m8ivg.cloudfront.net/Documentos/631/06468536600/6310646853660013092023220224.pdf</v>
      </c>
      <c r="H3103" s="5" t="s">
        <v>11681</v>
      </c>
    </row>
    <row r="3104" spans="1:8" x14ac:dyDescent="0.25">
      <c r="A3104" s="2" t="s">
        <v>3122</v>
      </c>
      <c r="B3104" s="3" t="s">
        <v>90</v>
      </c>
      <c r="C3104" s="3"/>
      <c r="D3104" s="3"/>
      <c r="E3104" s="5" t="str">
        <f>HYPERLINK("https://dpmzos25m8ivg.cloudfront.net/Documentos/631/06469333532/6310646933353211092023144001.pdf","https://dpmzos25m8ivg.cloudfront.net/Documentos/631/06469333532/6310646933353211092023144001.pdf")</f>
        <v>https://dpmzos25m8ivg.cloudfront.net/Documentos/631/06469333532/6310646933353211092023144001.pdf</v>
      </c>
      <c r="F3104" s="5" t="str">
        <f>HYPERLINK("https://dpmzos25m8ivg.cloudfront.net/Documentos/631/06469333532/6310646933353211092023144241.pdf","https://dpmzos25m8ivg.cloudfront.net/Documentos/631/06469333532/6310646933353211092023144241.pdf")</f>
        <v>https://dpmzos25m8ivg.cloudfront.net/Documentos/631/06469333532/6310646933353211092023144241.pdf</v>
      </c>
      <c r="G3104" s="5" t="str">
        <f>HYPERLINK("https://dpmzos25m8ivg.cloudfront.net/Documentos/631/06469333532/6310646933353211092023144321.pdf","https://dpmzos25m8ivg.cloudfront.net/Documentos/631/06469333532/6310646933353211092023144321.pdf")</f>
        <v>https://dpmzos25m8ivg.cloudfront.net/Documentos/631/06469333532/6310646933353211092023144321.pdf</v>
      </c>
      <c r="H3104" s="5" t="s">
        <v>11682</v>
      </c>
    </row>
    <row r="3105" spans="1:8" x14ac:dyDescent="0.25">
      <c r="A3105" s="2" t="s">
        <v>3123</v>
      </c>
      <c r="B3105" s="3"/>
      <c r="C3105" s="3"/>
      <c r="D3105" s="3"/>
      <c r="E3105" s="5" t="str">
        <f>HYPERLINK("https://dpmzos25m8ivg.cloudfront.net/Documentos/631/06470397530/6310647039753011092023114056.pdf","https://dpmzos25m8ivg.cloudfront.net/Documentos/631/06470397530/6310647039753011092023114056.pdf")</f>
        <v>https://dpmzos25m8ivg.cloudfront.net/Documentos/631/06470397530/6310647039753011092023114056.pdf</v>
      </c>
      <c r="F3105" s="5" t="str">
        <f>HYPERLINK("https://dpmzos25m8ivg.cloudfront.net/Documentos/631/06470397530/6310647039753011092023114306.pdf","https://dpmzos25m8ivg.cloudfront.net/Documentos/631/06470397530/6310647039753011092023114306.pdf")</f>
        <v>https://dpmzos25m8ivg.cloudfront.net/Documentos/631/06470397530/6310647039753011092023114306.pdf</v>
      </c>
      <c r="G3105" s="5" t="str">
        <f>HYPERLINK("https://dpmzos25m8ivg.cloudfront.net/Documentos/631/06470397530/6310647039753011092023114333.pdf","https://dpmzos25m8ivg.cloudfront.net/Documentos/631/06470397530/6310647039753011092023114333.pdf")</f>
        <v>https://dpmzos25m8ivg.cloudfront.net/Documentos/631/06470397530/6310647039753011092023114333.pdf</v>
      </c>
      <c r="H3105" s="5" t="s">
        <v>11683</v>
      </c>
    </row>
    <row r="3106" spans="1:8" x14ac:dyDescent="0.25">
      <c r="A3106" s="2" t="s">
        <v>3124</v>
      </c>
      <c r="B3106" s="3"/>
      <c r="C3106" s="3"/>
      <c r="D3106" s="3"/>
      <c r="E3106" s="5" t="str">
        <f>HYPERLINK("https://dpmzos25m8ivg.cloudfront.net/Documentos/631/06472135592/6310647213559211092023150027.pdf","https://dpmzos25m8ivg.cloudfront.net/Documentos/631/06472135592/6310647213559211092023150027.pdf")</f>
        <v>https://dpmzos25m8ivg.cloudfront.net/Documentos/631/06472135592/6310647213559211092023150027.pdf</v>
      </c>
      <c r="F3106" s="5" t="str">
        <f>HYPERLINK("https://dpmzos25m8ivg.cloudfront.net/Documentos/631/06472135592/6310647213559211092023150039.pdf","https://dpmzos25m8ivg.cloudfront.net/Documentos/631/06472135592/6310647213559211092023150039.pdf")</f>
        <v>https://dpmzos25m8ivg.cloudfront.net/Documentos/631/06472135592/6310647213559211092023150039.pdf</v>
      </c>
      <c r="G3106" s="5" t="str">
        <f>HYPERLINK("https://dpmzos25m8ivg.cloudfront.net/Documentos/631/06472135592/6310647213559211092023150055.pdf","https://dpmzos25m8ivg.cloudfront.net/Documentos/631/06472135592/6310647213559211092023150055.pdf")</f>
        <v>https://dpmzos25m8ivg.cloudfront.net/Documentos/631/06472135592/6310647213559211092023150055.pdf</v>
      </c>
      <c r="H3106" s="5" t="s">
        <v>11684</v>
      </c>
    </row>
    <row r="3107" spans="1:8" x14ac:dyDescent="0.25">
      <c r="A3107" s="2" t="s">
        <v>3125</v>
      </c>
      <c r="B3107" s="3"/>
      <c r="C3107" s="3"/>
      <c r="D3107" s="3"/>
      <c r="E3107" s="5" t="str">
        <f>HYPERLINK("https://dpmzos25m8ivg.cloudfront.net/Documentos/631/06472599904/6310647259990411092023105726.jpg","https://dpmzos25m8ivg.cloudfront.net/Documentos/631/06472599904/6310647259990411092023105726.jpg")</f>
        <v>https://dpmzos25m8ivg.cloudfront.net/Documentos/631/06472599904/6310647259990411092023105726.jpg</v>
      </c>
      <c r="F3107" s="5" t="str">
        <f>HYPERLINK("https://dpmzos25m8ivg.cloudfront.net/Documentos/631/06472599904/6310647259990411092023105801.jpg","https://dpmzos25m8ivg.cloudfront.net/Documentos/631/06472599904/6310647259990411092023105801.jpg")</f>
        <v>https://dpmzos25m8ivg.cloudfront.net/Documentos/631/06472599904/6310647259990411092023105801.jpg</v>
      </c>
      <c r="G3107" s="5" t="str">
        <f>HYPERLINK("https://dpmzos25m8ivg.cloudfront.net/Documentos/631/06472599904/6310647259990411092023105830.jpg","https://dpmzos25m8ivg.cloudfront.net/Documentos/631/06472599904/6310647259990411092023105830.jpg")</f>
        <v>https://dpmzos25m8ivg.cloudfront.net/Documentos/631/06472599904/6310647259990411092023105830.jpg</v>
      </c>
      <c r="H3107" s="5" t="s">
        <v>11685</v>
      </c>
    </row>
    <row r="3108" spans="1:8" x14ac:dyDescent="0.25">
      <c r="A3108" s="2" t="s">
        <v>3126</v>
      </c>
      <c r="B3108" s="3"/>
      <c r="C3108" s="3"/>
      <c r="D3108" s="3"/>
      <c r="E3108" s="5" t="str">
        <f>HYPERLINK("https://dpmzos25m8ivg.cloudfront.net/Documentos/631/06473010599/6310647301059914092023155856.pdf","https://dpmzos25m8ivg.cloudfront.net/Documentos/631/06473010599/6310647301059914092023155856.pdf")</f>
        <v>https://dpmzos25m8ivg.cloudfront.net/Documentos/631/06473010599/6310647301059914092023155856.pdf</v>
      </c>
      <c r="F3108" s="5" t="str">
        <f>HYPERLINK("https://dpmzos25m8ivg.cloudfront.net/Documentos/631/06473010599/6310647301059914092023155911.pdf","https://dpmzos25m8ivg.cloudfront.net/Documentos/631/06473010599/6310647301059914092023155911.pdf")</f>
        <v>https://dpmzos25m8ivg.cloudfront.net/Documentos/631/06473010599/6310647301059914092023155911.pdf</v>
      </c>
      <c r="G3108" s="5" t="str">
        <f>HYPERLINK("https://dpmzos25m8ivg.cloudfront.net/Documentos/631/06473010599/6310647301059914092023155925.pdf","https://dpmzos25m8ivg.cloudfront.net/Documentos/631/06473010599/6310647301059914092023155925.pdf")</f>
        <v>https://dpmzos25m8ivg.cloudfront.net/Documentos/631/06473010599/6310647301059914092023155925.pdf</v>
      </c>
      <c r="H3108" s="5" t="s">
        <v>11686</v>
      </c>
    </row>
    <row r="3109" spans="1:8" x14ac:dyDescent="0.25">
      <c r="A3109" s="2" t="s">
        <v>3127</v>
      </c>
      <c r="B3109" s="3"/>
      <c r="C3109" s="3"/>
      <c r="D3109" s="3"/>
      <c r="E3109" s="5" t="str">
        <f>HYPERLINK("https://dpmzos25m8ivg.cloudfront.net/Documentos/631/06474445424/6310647444542407092023094143.jpg","https://dpmzos25m8ivg.cloudfront.net/Documentos/631/06474445424/6310647444542407092023094143.jpg")</f>
        <v>https://dpmzos25m8ivg.cloudfront.net/Documentos/631/06474445424/6310647444542407092023094143.jpg</v>
      </c>
      <c r="F3109" s="5" t="str">
        <f>HYPERLINK("https://dpmzos25m8ivg.cloudfront.net/Documentos/631/06474445424/6310647444542407092023094158.jpg","https://dpmzos25m8ivg.cloudfront.net/Documentos/631/06474445424/6310647444542407092023094158.jpg")</f>
        <v>https://dpmzos25m8ivg.cloudfront.net/Documentos/631/06474445424/6310647444542407092023094158.jpg</v>
      </c>
      <c r="G3109" s="5" t="str">
        <f>HYPERLINK("https://dpmzos25m8ivg.cloudfront.net/Documentos/631/06474445424/6310647444542407092023094208.jpg","https://dpmzos25m8ivg.cloudfront.net/Documentos/631/06474445424/6310647444542407092023094208.jpg")</f>
        <v>https://dpmzos25m8ivg.cloudfront.net/Documentos/631/06474445424/6310647444542407092023094208.jpg</v>
      </c>
      <c r="H3109" s="5" t="s">
        <v>11687</v>
      </c>
    </row>
    <row r="3110" spans="1:8" x14ac:dyDescent="0.25">
      <c r="A3110" s="2" t="s">
        <v>3128</v>
      </c>
      <c r="B3110" s="3"/>
      <c r="C3110" s="3"/>
      <c r="D3110" s="3"/>
      <c r="E3110" s="5" t="str">
        <f>HYPERLINK("https://dpmzos25m8ivg.cloudfront.net/Documentos/631/06474768606/6310647476860605092023150040.jpg","https://dpmzos25m8ivg.cloudfront.net/Documentos/631/06474768606/6310647476860605092023150040.jpg")</f>
        <v>https://dpmzos25m8ivg.cloudfront.net/Documentos/631/06474768606/6310647476860605092023150040.jpg</v>
      </c>
      <c r="F3110" s="5" t="str">
        <f>HYPERLINK("https://dpmzos25m8ivg.cloudfront.net/Documentos/631/06474768606/6310647476860605092023150120.jpg","https://dpmzos25m8ivg.cloudfront.net/Documentos/631/06474768606/6310647476860605092023150120.jpg")</f>
        <v>https://dpmzos25m8ivg.cloudfront.net/Documentos/631/06474768606/6310647476860605092023150120.jpg</v>
      </c>
      <c r="G3110" s="5" t="str">
        <f>HYPERLINK("https://dpmzos25m8ivg.cloudfront.net/Documentos/631/06474768606/6310647476860605092023150139.jpg","https://dpmzos25m8ivg.cloudfront.net/Documentos/631/06474768606/6310647476860605092023150139.jpg")</f>
        <v>https://dpmzos25m8ivg.cloudfront.net/Documentos/631/06474768606/6310647476860605092023150139.jpg</v>
      </c>
      <c r="H3110" s="5" t="s">
        <v>11688</v>
      </c>
    </row>
    <row r="3111" spans="1:8" x14ac:dyDescent="0.25">
      <c r="A3111" s="2" t="s">
        <v>3129</v>
      </c>
      <c r="B3111" s="3"/>
      <c r="C3111" s="3"/>
      <c r="D3111" s="3"/>
      <c r="E3111" s="5" t="str">
        <f>HYPERLINK("https://dpmzos25m8ivg.cloudfront.net/Documentos/631/06475430447/6310647543044705092023090827.pdf","https://dpmzos25m8ivg.cloudfront.net/Documentos/631/06475430447/6310647543044705092023090827.pdf")</f>
        <v>https://dpmzos25m8ivg.cloudfront.net/Documentos/631/06475430447/6310647543044705092023090827.pdf</v>
      </c>
      <c r="F3111" s="5" t="str">
        <f>HYPERLINK("https://dpmzos25m8ivg.cloudfront.net/Documentos/631/06475430447/6310647543044705092023090836.pdf","https://dpmzos25m8ivg.cloudfront.net/Documentos/631/06475430447/6310647543044705092023090836.pdf")</f>
        <v>https://dpmzos25m8ivg.cloudfront.net/Documentos/631/06475430447/6310647543044705092023090836.pdf</v>
      </c>
      <c r="G3111" s="5" t="str">
        <f>HYPERLINK("https://dpmzos25m8ivg.cloudfront.net/Documentos/631/06475430447/6310647543044705092023090844.pdf","https://dpmzos25m8ivg.cloudfront.net/Documentos/631/06475430447/6310647543044705092023090844.pdf")</f>
        <v>https://dpmzos25m8ivg.cloudfront.net/Documentos/631/06475430447/6310647543044705092023090844.pdf</v>
      </c>
      <c r="H3111" s="5" t="s">
        <v>11689</v>
      </c>
    </row>
    <row r="3112" spans="1:8" x14ac:dyDescent="0.25">
      <c r="A3112" s="2" t="s">
        <v>3130</v>
      </c>
      <c r="B3112" s="3"/>
      <c r="C3112" s="3"/>
      <c r="D3112" s="3"/>
      <c r="E3112" s="5" t="str">
        <f>HYPERLINK("https://dpmzos25m8ivg.cloudfront.net/Documentos/631/06476460137/6310647646013711092023151234.pdf","https://dpmzos25m8ivg.cloudfront.net/Documentos/631/06476460137/6310647646013711092023151234.pdf")</f>
        <v>https://dpmzos25m8ivg.cloudfront.net/Documentos/631/06476460137/6310647646013711092023151234.pdf</v>
      </c>
      <c r="F3112" s="5" t="str">
        <f>HYPERLINK("https://dpmzos25m8ivg.cloudfront.net/Documentos/631/06476460137/6310647646013711092023151314.pdf","https://dpmzos25m8ivg.cloudfront.net/Documentos/631/06476460137/6310647646013711092023151314.pdf")</f>
        <v>https://dpmzos25m8ivg.cloudfront.net/Documentos/631/06476460137/6310647646013711092023151314.pdf</v>
      </c>
      <c r="G3112" s="5" t="str">
        <f>HYPERLINK("https://dpmzos25m8ivg.cloudfront.net/Documentos/631/06476460137/6310647646013711092023151610.pdf","https://dpmzos25m8ivg.cloudfront.net/Documentos/631/06476460137/6310647646013711092023151610.pdf")</f>
        <v>https://dpmzos25m8ivg.cloudfront.net/Documentos/631/06476460137/6310647646013711092023151610.pdf</v>
      </c>
      <c r="H3112" s="5" t="s">
        <v>11690</v>
      </c>
    </row>
    <row r="3113" spans="1:8" x14ac:dyDescent="0.25">
      <c r="A3113" s="2" t="s">
        <v>3131</v>
      </c>
      <c r="B3113" s="3" t="s">
        <v>8</v>
      </c>
      <c r="C3113" s="3"/>
      <c r="D3113" s="3"/>
      <c r="E3113" s="5" t="str">
        <f>HYPERLINK("https://dpmzos25m8ivg.cloudfront.net/Documentos/631/06483413300/6310648341330011092023133139.jpeg","https://dpmzos25m8ivg.cloudfront.net/Documentos/631/06483413300/6310648341330011092023133139.jpeg")</f>
        <v>https://dpmzos25m8ivg.cloudfront.net/Documentos/631/06483413300/6310648341330011092023133139.jpeg</v>
      </c>
      <c r="F3113" s="5" t="str">
        <f>HYPERLINK("https://dpmzos25m8ivg.cloudfront.net/Documentos/631/06483413300/6310648341330011092023133208.jpeg","https://dpmzos25m8ivg.cloudfront.net/Documentos/631/06483413300/6310648341330011092023133208.jpeg")</f>
        <v>https://dpmzos25m8ivg.cloudfront.net/Documentos/631/06483413300/6310648341330011092023133208.jpeg</v>
      </c>
      <c r="G3113" s="5" t="str">
        <f>HYPERLINK("https://dpmzos25m8ivg.cloudfront.net/Documentos/631/06483413300/6310648341330011092023133252.jpeg","https://dpmzos25m8ivg.cloudfront.net/Documentos/631/06483413300/6310648341330011092023133252.jpeg")</f>
        <v>https://dpmzos25m8ivg.cloudfront.net/Documentos/631/06483413300/6310648341330011092023133252.jpeg</v>
      </c>
      <c r="H3113" s="5" t="s">
        <v>11691</v>
      </c>
    </row>
    <row r="3114" spans="1:8" x14ac:dyDescent="0.25">
      <c r="A3114" s="2" t="s">
        <v>3132</v>
      </c>
      <c r="B3114" s="3"/>
      <c r="C3114" s="3"/>
      <c r="D3114" s="3"/>
      <c r="E3114" s="5" t="str">
        <f>HYPERLINK("https://dpmzos25m8ivg.cloudfront.net/Documentos/631/06484677409/6310648467740906092023202711.pdf","https://dpmzos25m8ivg.cloudfront.net/Documentos/631/06484677409/6310648467740906092023202711.pdf")</f>
        <v>https://dpmzos25m8ivg.cloudfront.net/Documentos/631/06484677409/6310648467740906092023202711.pdf</v>
      </c>
      <c r="F3114" s="5" t="str">
        <f>HYPERLINK("https://dpmzos25m8ivg.cloudfront.net/Documentos/631/06484677409/6310648467740906092023202802.pdf","https://dpmzos25m8ivg.cloudfront.net/Documentos/631/06484677409/6310648467740906092023202802.pdf")</f>
        <v>https://dpmzos25m8ivg.cloudfront.net/Documentos/631/06484677409/6310648467740906092023202802.pdf</v>
      </c>
      <c r="G3114" s="5" t="str">
        <f>HYPERLINK("https://dpmzos25m8ivg.cloudfront.net/Documentos/631/06484677409/6310648467740906092023202841.pdf","https://dpmzos25m8ivg.cloudfront.net/Documentos/631/06484677409/6310648467740906092023202841.pdf")</f>
        <v>https://dpmzos25m8ivg.cloudfront.net/Documentos/631/06484677409/6310648467740906092023202841.pdf</v>
      </c>
      <c r="H3114" s="5" t="s">
        <v>11692</v>
      </c>
    </row>
    <row r="3115" spans="1:8" x14ac:dyDescent="0.25">
      <c r="A3115" s="2" t="s">
        <v>3133</v>
      </c>
      <c r="B3115" s="3" t="s">
        <v>8</v>
      </c>
      <c r="C3115" s="3"/>
      <c r="D3115" s="3"/>
      <c r="E3115" s="5" t="str">
        <f>HYPERLINK("https://dpmzos25m8ivg.cloudfront.net/Documentos/631/06484943494/6310648494349408092023130023.pdf","https://dpmzos25m8ivg.cloudfront.net/Documentos/631/06484943494/6310648494349408092023130023.pdf")</f>
        <v>https://dpmzos25m8ivg.cloudfront.net/Documentos/631/06484943494/6310648494349408092023130023.pdf</v>
      </c>
      <c r="F3115" s="5" t="str">
        <f>HYPERLINK("https://dpmzos25m8ivg.cloudfront.net/Documentos/631/06484943494/6310648494349408092023130046.pdf","https://dpmzos25m8ivg.cloudfront.net/Documentos/631/06484943494/6310648494349408092023130046.pdf")</f>
        <v>https://dpmzos25m8ivg.cloudfront.net/Documentos/631/06484943494/6310648494349408092023130046.pdf</v>
      </c>
      <c r="G3115" s="5" t="str">
        <f>HYPERLINK("https://dpmzos25m8ivg.cloudfront.net/Documentos/631/06484943494/6310648494349408092023130112.pdf","https://dpmzos25m8ivg.cloudfront.net/Documentos/631/06484943494/6310648494349408092023130112.pdf")</f>
        <v>https://dpmzos25m8ivg.cloudfront.net/Documentos/631/06484943494/6310648494349408092023130112.pdf</v>
      </c>
      <c r="H3115" s="5" t="s">
        <v>11693</v>
      </c>
    </row>
    <row r="3116" spans="1:8" x14ac:dyDescent="0.25">
      <c r="A3116" s="2" t="s">
        <v>3134</v>
      </c>
      <c r="B3116" s="3"/>
      <c r="C3116" s="3"/>
      <c r="D3116" s="3"/>
      <c r="E3116" s="5" t="str">
        <f>HYPERLINK("https://dpmzos25m8ivg.cloudfront.net/Documentos/631/06485573593/6310648557359310092023182620.jpeg","https://dpmzos25m8ivg.cloudfront.net/Documentos/631/06485573593/6310648557359310092023182620.jpeg")</f>
        <v>https://dpmzos25m8ivg.cloudfront.net/Documentos/631/06485573593/6310648557359310092023182620.jpeg</v>
      </c>
      <c r="F3116" s="5" t="str">
        <f>HYPERLINK("https://dpmzos25m8ivg.cloudfront.net/Documentos/631/06485573593/6310648557359310092023182635.jpeg","https://dpmzos25m8ivg.cloudfront.net/Documentos/631/06485573593/6310648557359310092023182635.jpeg")</f>
        <v>https://dpmzos25m8ivg.cloudfront.net/Documentos/631/06485573593/6310648557359310092023182635.jpeg</v>
      </c>
      <c r="G3116" s="5" t="str">
        <f>HYPERLINK("https://dpmzos25m8ivg.cloudfront.net/Documentos/631/06485573593/6310648557359310092023182654.jpeg","https://dpmzos25m8ivg.cloudfront.net/Documentos/631/06485573593/6310648557359310092023182654.jpeg")</f>
        <v>https://dpmzos25m8ivg.cloudfront.net/Documentos/631/06485573593/6310648557359310092023182654.jpeg</v>
      </c>
      <c r="H3116" s="5" t="s">
        <v>11694</v>
      </c>
    </row>
    <row r="3117" spans="1:8" x14ac:dyDescent="0.25">
      <c r="A3117" s="2" t="s">
        <v>3135</v>
      </c>
      <c r="B3117" s="3"/>
      <c r="C3117" s="3"/>
      <c r="D3117" s="3"/>
      <c r="E3117" s="5" t="str">
        <f>HYPERLINK("https://dpmzos25m8ivg.cloudfront.net/Documentos/631/06485779108/6310648577910811092023115620.pdf","https://dpmzos25m8ivg.cloudfront.net/Documentos/631/06485779108/6310648577910811092023115620.pdf")</f>
        <v>https://dpmzos25m8ivg.cloudfront.net/Documentos/631/06485779108/6310648577910811092023115620.pdf</v>
      </c>
      <c r="F3117" s="5" t="str">
        <f>HYPERLINK("https://dpmzos25m8ivg.cloudfront.net/Documentos/631/06485779108/6310648577910811092023115633.pdf","https://dpmzos25m8ivg.cloudfront.net/Documentos/631/06485779108/6310648577910811092023115633.pdf")</f>
        <v>https://dpmzos25m8ivg.cloudfront.net/Documentos/631/06485779108/6310648577910811092023115633.pdf</v>
      </c>
      <c r="G3117" s="5" t="str">
        <f>HYPERLINK("https://dpmzos25m8ivg.cloudfront.net/Documentos/631/06485779108/6310648577910811092023115701.pdf","https://dpmzos25m8ivg.cloudfront.net/Documentos/631/06485779108/6310648577910811092023115701.pdf")</f>
        <v>https://dpmzos25m8ivg.cloudfront.net/Documentos/631/06485779108/6310648577910811092023115701.pdf</v>
      </c>
      <c r="H3117" s="5" t="s">
        <v>11695</v>
      </c>
    </row>
    <row r="3118" spans="1:8" x14ac:dyDescent="0.25">
      <c r="A3118" s="2" t="s">
        <v>3136</v>
      </c>
      <c r="B3118" s="3" t="s">
        <v>90</v>
      </c>
      <c r="C3118" s="3"/>
      <c r="D3118" s="3"/>
      <c r="E3118" s="5" t="str">
        <f>HYPERLINK("https://dpmzos25m8ivg.cloudfront.net/Documentos/631/06488373510/6310648837351008092023175326.pdf","https://dpmzos25m8ivg.cloudfront.net/Documentos/631/06488373510/6310648837351008092023175326.pdf")</f>
        <v>https://dpmzos25m8ivg.cloudfront.net/Documentos/631/06488373510/6310648837351008092023175326.pdf</v>
      </c>
      <c r="F3118" s="5" t="str">
        <f>HYPERLINK("https://dpmzos25m8ivg.cloudfront.net/Documentos/631/06488373510/6310648837351008092023175349.pdf","https://dpmzos25m8ivg.cloudfront.net/Documentos/631/06488373510/6310648837351008092023175349.pdf")</f>
        <v>https://dpmzos25m8ivg.cloudfront.net/Documentos/631/06488373510/6310648837351008092023175349.pdf</v>
      </c>
      <c r="G3118" s="5" t="str">
        <f>HYPERLINK("https://dpmzos25m8ivg.cloudfront.net/Documentos/631/06488373510/6310648837351008092023175402.pdf","https://dpmzos25m8ivg.cloudfront.net/Documentos/631/06488373510/6310648837351008092023175402.pdf")</f>
        <v>https://dpmzos25m8ivg.cloudfront.net/Documentos/631/06488373510/6310648837351008092023175402.pdf</v>
      </c>
      <c r="H3118" s="5" t="s">
        <v>11696</v>
      </c>
    </row>
    <row r="3119" spans="1:8" x14ac:dyDescent="0.25">
      <c r="A3119" s="2" t="s">
        <v>3137</v>
      </c>
      <c r="B3119" s="3"/>
      <c r="C3119" s="3"/>
      <c r="D3119" s="3"/>
      <c r="E3119" s="5" t="str">
        <f>HYPERLINK("https://dpmzos25m8ivg.cloudfront.net/Documentos/631/06489447517/6310648944751707092023155554.pdf","https://dpmzos25m8ivg.cloudfront.net/Documentos/631/06489447517/6310648944751707092023155554.pdf")</f>
        <v>https://dpmzos25m8ivg.cloudfront.net/Documentos/631/06489447517/6310648944751707092023155554.pdf</v>
      </c>
      <c r="F3119" s="5" t="str">
        <f>HYPERLINK("https://dpmzos25m8ivg.cloudfront.net/Documentos/631/06489447517/6310648944751707092023155628.pdf","https://dpmzos25m8ivg.cloudfront.net/Documentos/631/06489447517/6310648944751707092023155628.pdf")</f>
        <v>https://dpmzos25m8ivg.cloudfront.net/Documentos/631/06489447517/6310648944751707092023155628.pdf</v>
      </c>
      <c r="G3119" s="5" t="str">
        <f>HYPERLINK("https://dpmzos25m8ivg.cloudfront.net/Documentos/631/06489447517/6310648944751707092023155701.pdf","https://dpmzos25m8ivg.cloudfront.net/Documentos/631/06489447517/6310648944751707092023155701.pdf")</f>
        <v>https://dpmzos25m8ivg.cloudfront.net/Documentos/631/06489447517/6310648944751707092023155701.pdf</v>
      </c>
      <c r="H3119" s="5" t="s">
        <v>11697</v>
      </c>
    </row>
    <row r="3120" spans="1:8" x14ac:dyDescent="0.25">
      <c r="A3120" s="2" t="s">
        <v>3138</v>
      </c>
      <c r="B3120" s="3"/>
      <c r="C3120" s="3"/>
      <c r="D3120" s="3"/>
      <c r="E3120" s="5" t="str">
        <f>HYPERLINK("https://dpmzos25m8ivg.cloudfront.net/Documentos/631/06489752581/6310648975258106092023220250.pdf","https://dpmzos25m8ivg.cloudfront.net/Documentos/631/06489752581/6310648975258106092023220250.pdf")</f>
        <v>https://dpmzos25m8ivg.cloudfront.net/Documentos/631/06489752581/6310648975258106092023220250.pdf</v>
      </c>
      <c r="F3120" s="5" t="str">
        <f>HYPERLINK("https://dpmzos25m8ivg.cloudfront.net/Documentos/631/06489752581/6310648975258106092023220348.pdf","https://dpmzos25m8ivg.cloudfront.net/Documentos/631/06489752581/6310648975258106092023220348.pdf")</f>
        <v>https://dpmzos25m8ivg.cloudfront.net/Documentos/631/06489752581/6310648975258106092023220348.pdf</v>
      </c>
      <c r="G3120" s="5" t="str">
        <f>HYPERLINK("https://dpmzos25m8ivg.cloudfront.net/Documentos/631/06489752581/6310648975258106092023220417.pdf","https://dpmzos25m8ivg.cloudfront.net/Documentos/631/06489752581/6310648975258106092023220417.pdf")</f>
        <v>https://dpmzos25m8ivg.cloudfront.net/Documentos/631/06489752581/6310648975258106092023220417.pdf</v>
      </c>
      <c r="H3120" s="5" t="s">
        <v>11698</v>
      </c>
    </row>
    <row r="3121" spans="1:8" x14ac:dyDescent="0.25">
      <c r="A3121" s="2" t="s">
        <v>3139</v>
      </c>
      <c r="B3121" s="3"/>
      <c r="C3121" s="3"/>
      <c r="D3121" s="3"/>
      <c r="E3121" s="5" t="str">
        <f>HYPERLINK("https://dpmzos25m8ivg.cloudfront.net/Documentos/631/06491738132/6310649173813211092023093928.pdf","https://dpmzos25m8ivg.cloudfront.net/Documentos/631/06491738132/6310649173813211092023093928.pdf")</f>
        <v>https://dpmzos25m8ivg.cloudfront.net/Documentos/631/06491738132/6310649173813211092023093928.pdf</v>
      </c>
      <c r="F3121" s="5" t="str">
        <f>HYPERLINK("https://dpmzos25m8ivg.cloudfront.net/Documentos/631/06491738132/6310649173813211092023093948.pdf","https://dpmzos25m8ivg.cloudfront.net/Documentos/631/06491738132/6310649173813211092023093948.pdf")</f>
        <v>https://dpmzos25m8ivg.cloudfront.net/Documentos/631/06491738132/6310649173813211092023093948.pdf</v>
      </c>
      <c r="G3121" s="5" t="str">
        <f>HYPERLINK("https://dpmzos25m8ivg.cloudfront.net/Documentos/631/06491738132/6310649173813211092023094013.pdf","https://dpmzos25m8ivg.cloudfront.net/Documentos/631/06491738132/6310649173813211092023094013.pdf")</f>
        <v>https://dpmzos25m8ivg.cloudfront.net/Documentos/631/06491738132/6310649173813211092023094013.pdf</v>
      </c>
      <c r="H3121" s="5" t="s">
        <v>11699</v>
      </c>
    </row>
    <row r="3122" spans="1:8" x14ac:dyDescent="0.25">
      <c r="A3122" s="2" t="s">
        <v>3140</v>
      </c>
      <c r="B3122" s="3"/>
      <c r="C3122" s="3"/>
      <c r="D3122" s="3"/>
      <c r="E3122" s="5" t="str">
        <f>HYPERLINK("https://dpmzos25m8ivg.cloudfront.net/Documentos/631/06492962575/6310649296257507092023203713.jpg","https://dpmzos25m8ivg.cloudfront.net/Documentos/631/06492962575/6310649296257507092023203713.jpg")</f>
        <v>https://dpmzos25m8ivg.cloudfront.net/Documentos/631/06492962575/6310649296257507092023203713.jpg</v>
      </c>
      <c r="F3122" s="5" t="str">
        <f>HYPERLINK("https://dpmzos25m8ivg.cloudfront.net/Documentos/631/06492962575/6310649296257507092023203838.jpg","https://dpmzos25m8ivg.cloudfront.net/Documentos/631/06492962575/6310649296257507092023203838.jpg")</f>
        <v>https://dpmzos25m8ivg.cloudfront.net/Documentos/631/06492962575/6310649296257507092023203838.jpg</v>
      </c>
      <c r="G3122" s="5" t="str">
        <f>HYPERLINK("https://dpmzos25m8ivg.cloudfront.net/Documentos/631/06492962575/6310649296257507092023203946.jpg","https://dpmzos25m8ivg.cloudfront.net/Documentos/631/06492962575/6310649296257507092023203946.jpg")</f>
        <v>https://dpmzos25m8ivg.cloudfront.net/Documentos/631/06492962575/6310649296257507092023203946.jpg</v>
      </c>
      <c r="H3122" s="5" t="s">
        <v>11700</v>
      </c>
    </row>
    <row r="3123" spans="1:8" x14ac:dyDescent="0.25">
      <c r="A3123" s="2" t="s">
        <v>3141</v>
      </c>
      <c r="B3123" s="3"/>
      <c r="C3123" s="3"/>
      <c r="D3123" s="3"/>
      <c r="E3123" s="5" t="str">
        <f>HYPERLINK("https://dpmzos25m8ivg.cloudfront.net/Documentos/631/06494239412/6310649423941205092023192134.jpg","https://dpmzos25m8ivg.cloudfront.net/Documentos/631/06494239412/6310649423941205092023192134.jpg")</f>
        <v>https://dpmzos25m8ivg.cloudfront.net/Documentos/631/06494239412/6310649423941205092023192134.jpg</v>
      </c>
      <c r="F3123" s="5" t="str">
        <f>HYPERLINK("https://dpmzos25m8ivg.cloudfront.net/Documentos/631/06494239412/6310649423941205092023192158.jpg","https://dpmzos25m8ivg.cloudfront.net/Documentos/631/06494239412/6310649423941205092023192158.jpg")</f>
        <v>https://dpmzos25m8ivg.cloudfront.net/Documentos/631/06494239412/6310649423941205092023192158.jpg</v>
      </c>
      <c r="G3123" s="5" t="str">
        <f>HYPERLINK("https://dpmzos25m8ivg.cloudfront.net/Documentos/631/06494239412/6310649423941205092023192211.jpg","https://dpmzos25m8ivg.cloudfront.net/Documentos/631/06494239412/6310649423941205092023192211.jpg")</f>
        <v>https://dpmzos25m8ivg.cloudfront.net/Documentos/631/06494239412/6310649423941205092023192211.jpg</v>
      </c>
      <c r="H3123" s="5" t="s">
        <v>11701</v>
      </c>
    </row>
    <row r="3124" spans="1:8" x14ac:dyDescent="0.25">
      <c r="A3124" s="2" t="s">
        <v>3142</v>
      </c>
      <c r="B3124" s="3" t="s">
        <v>90</v>
      </c>
      <c r="C3124" s="3"/>
      <c r="D3124" s="3"/>
      <c r="E3124" s="5" t="str">
        <f>HYPERLINK("https://dpmzos25m8ivg.cloudfront.net/Documentos/631/06494256341/6310649425634111092023111242.jpg","https://dpmzos25m8ivg.cloudfront.net/Documentos/631/06494256341/6310649425634111092023111242.jpg")</f>
        <v>https://dpmzos25m8ivg.cloudfront.net/Documentos/631/06494256341/6310649425634111092023111242.jpg</v>
      </c>
      <c r="F3124" s="5" t="str">
        <f>HYPERLINK("https://dpmzos25m8ivg.cloudfront.net/Documentos/631/06494256341/6310649425634111092023111252.jpg","https://dpmzos25m8ivg.cloudfront.net/Documentos/631/06494256341/6310649425634111092023111252.jpg")</f>
        <v>https://dpmzos25m8ivg.cloudfront.net/Documentos/631/06494256341/6310649425634111092023111252.jpg</v>
      </c>
      <c r="G3124" s="5" t="str">
        <f>HYPERLINK("https://dpmzos25m8ivg.cloudfront.net/Documentos/631/06494256341/6310649425634111092023111304.jpg","https://dpmzos25m8ivg.cloudfront.net/Documentos/631/06494256341/6310649425634111092023111304.jpg")</f>
        <v>https://dpmzos25m8ivg.cloudfront.net/Documentos/631/06494256341/6310649425634111092023111304.jpg</v>
      </c>
      <c r="H3124" s="5" t="s">
        <v>11702</v>
      </c>
    </row>
    <row r="3125" spans="1:8" x14ac:dyDescent="0.25">
      <c r="A3125" s="2" t="s">
        <v>3143</v>
      </c>
      <c r="B3125" s="3"/>
      <c r="C3125" s="3"/>
      <c r="D3125" s="3"/>
      <c r="E3125" s="5" t="str">
        <f>HYPERLINK("https://dpmzos25m8ivg.cloudfront.net/Documentos/631/06494336450/6310649433645008092023224434.pdf","https://dpmzos25m8ivg.cloudfront.net/Documentos/631/06494336450/6310649433645008092023224434.pdf")</f>
        <v>https://dpmzos25m8ivg.cloudfront.net/Documentos/631/06494336450/6310649433645008092023224434.pdf</v>
      </c>
      <c r="F3125" s="5" t="str">
        <f>HYPERLINK("https://dpmzos25m8ivg.cloudfront.net/Documentos/631/06494336450/6310649433645008092023224456.pdf","https://dpmzos25m8ivg.cloudfront.net/Documentos/631/06494336450/6310649433645008092023224456.pdf")</f>
        <v>https://dpmzos25m8ivg.cloudfront.net/Documentos/631/06494336450/6310649433645008092023224456.pdf</v>
      </c>
      <c r="G3125" s="5" t="str">
        <f>HYPERLINK("https://dpmzos25m8ivg.cloudfront.net/Documentos/631/06494336450/6310649433645008092023224519.pdf","https://dpmzos25m8ivg.cloudfront.net/Documentos/631/06494336450/6310649433645008092023224519.pdf")</f>
        <v>https://dpmzos25m8ivg.cloudfront.net/Documentos/631/06494336450/6310649433645008092023224519.pdf</v>
      </c>
      <c r="H3125" s="5" t="s">
        <v>11703</v>
      </c>
    </row>
    <row r="3126" spans="1:8" x14ac:dyDescent="0.25">
      <c r="A3126" s="2" t="s">
        <v>3144</v>
      </c>
      <c r="B3126" s="3"/>
      <c r="C3126" s="3"/>
      <c r="D3126" s="3"/>
      <c r="E3126" s="5" t="str">
        <f>HYPERLINK("https://dpmzos25m8ivg.cloudfront.net/Documentos/631/06495765193/6310649576519311092023112107.pdf","https://dpmzos25m8ivg.cloudfront.net/Documentos/631/06495765193/6310649576519311092023112107.pdf")</f>
        <v>https://dpmzos25m8ivg.cloudfront.net/Documentos/631/06495765193/6310649576519311092023112107.pdf</v>
      </c>
      <c r="F3126" s="5" t="str">
        <f>HYPERLINK("https://dpmzos25m8ivg.cloudfront.net/Documentos/631/06495765193/6310649576519311092023112101.pdf","https://dpmzos25m8ivg.cloudfront.net/Documentos/631/06495765193/6310649576519311092023112101.pdf")</f>
        <v>https://dpmzos25m8ivg.cloudfront.net/Documentos/631/06495765193/6310649576519311092023112101.pdf</v>
      </c>
      <c r="G3126" s="5" t="str">
        <f>HYPERLINK("https://dpmzos25m8ivg.cloudfront.net/Documentos/631/06495765193/6310649576519311092023112054.pdf","https://dpmzos25m8ivg.cloudfront.net/Documentos/631/06495765193/6310649576519311092023112054.pdf")</f>
        <v>https://dpmzos25m8ivg.cloudfront.net/Documentos/631/06495765193/6310649576519311092023112054.pdf</v>
      </c>
      <c r="H3126" s="5" t="s">
        <v>11704</v>
      </c>
    </row>
    <row r="3127" spans="1:8" x14ac:dyDescent="0.25">
      <c r="A3127" s="2" t="s">
        <v>3145</v>
      </c>
      <c r="B3127" s="3" t="s">
        <v>90</v>
      </c>
      <c r="C3127" s="3"/>
      <c r="D3127" s="3"/>
      <c r="E3127" s="5" t="str">
        <f>HYPERLINK("https://dpmzos25m8ivg.cloudfront.net/Documentos/631/06495855184/6310649585518411092023164629.pdf","https://dpmzos25m8ivg.cloudfront.net/Documentos/631/06495855184/6310649585518411092023164629.pdf")</f>
        <v>https://dpmzos25m8ivg.cloudfront.net/Documentos/631/06495855184/6310649585518411092023164629.pdf</v>
      </c>
      <c r="F3127" s="5" t="str">
        <f>HYPERLINK("https://dpmzos25m8ivg.cloudfront.net/Documentos/631/06495855184/6310649585518411092023164638.pdf","https://dpmzos25m8ivg.cloudfront.net/Documentos/631/06495855184/6310649585518411092023164638.pdf")</f>
        <v>https://dpmzos25m8ivg.cloudfront.net/Documentos/631/06495855184/6310649585518411092023164638.pdf</v>
      </c>
      <c r="G3127" s="5" t="str">
        <f>HYPERLINK("https://dpmzos25m8ivg.cloudfront.net/Documentos/631/06495855184/6310649585518411092023164646.pdf","https://dpmzos25m8ivg.cloudfront.net/Documentos/631/06495855184/6310649585518411092023164646.pdf")</f>
        <v>https://dpmzos25m8ivg.cloudfront.net/Documentos/631/06495855184/6310649585518411092023164646.pdf</v>
      </c>
      <c r="H3127" s="5" t="s">
        <v>11705</v>
      </c>
    </row>
    <row r="3128" spans="1:8" x14ac:dyDescent="0.25">
      <c r="A3128" s="2" t="s">
        <v>3146</v>
      </c>
      <c r="B3128" s="3"/>
      <c r="C3128" s="3"/>
      <c r="D3128" s="3"/>
      <c r="E3128" s="5" t="str">
        <f>HYPERLINK("https://dpmzos25m8ivg.cloudfront.net/Documentos/631/06498959916/6310649895991608092023142648.pdf","https://dpmzos25m8ivg.cloudfront.net/Documentos/631/06498959916/6310649895991608092023142648.pdf")</f>
        <v>https://dpmzos25m8ivg.cloudfront.net/Documentos/631/06498959916/6310649895991608092023142648.pdf</v>
      </c>
      <c r="F3128" s="5" t="str">
        <f>HYPERLINK("https://dpmzos25m8ivg.cloudfront.net/Documentos/631/06498959916/6310649895991608092023142737.pdf","https://dpmzos25m8ivg.cloudfront.net/Documentos/631/06498959916/6310649895991608092023142737.pdf")</f>
        <v>https://dpmzos25m8ivg.cloudfront.net/Documentos/631/06498959916/6310649895991608092023142737.pdf</v>
      </c>
      <c r="G3128" s="5" t="str">
        <f>HYPERLINK("https://dpmzos25m8ivg.cloudfront.net/Documentos/631/06498959916/6310649895991608092023142809.pdf","https://dpmzos25m8ivg.cloudfront.net/Documentos/631/06498959916/6310649895991608092023142809.pdf")</f>
        <v>https://dpmzos25m8ivg.cloudfront.net/Documentos/631/06498959916/6310649895991608092023142809.pdf</v>
      </c>
      <c r="H3128" s="5" t="s">
        <v>11706</v>
      </c>
    </row>
    <row r="3129" spans="1:8" x14ac:dyDescent="0.25">
      <c r="A3129" s="2" t="s">
        <v>3147</v>
      </c>
      <c r="B3129" s="3"/>
      <c r="C3129" s="3"/>
      <c r="D3129" s="3"/>
      <c r="E3129" s="5" t="str">
        <f>HYPERLINK("https://dpmzos25m8ivg.cloudfront.net/Documentos/631/06498994150/6310649899415011092023170506.pdf","https://dpmzos25m8ivg.cloudfront.net/Documentos/631/06498994150/6310649899415011092023170506.pdf")</f>
        <v>https://dpmzos25m8ivg.cloudfront.net/Documentos/631/06498994150/6310649899415011092023170506.pdf</v>
      </c>
      <c r="F3129" s="5" t="str">
        <f>HYPERLINK("https://dpmzos25m8ivg.cloudfront.net/Documentos/631/06498994150/6310649899415011092023170515.pdf","https://dpmzos25m8ivg.cloudfront.net/Documentos/631/06498994150/6310649899415011092023170515.pdf")</f>
        <v>https://dpmzos25m8ivg.cloudfront.net/Documentos/631/06498994150/6310649899415011092023170515.pdf</v>
      </c>
      <c r="G3129" s="5" t="str">
        <f>HYPERLINK("https://dpmzos25m8ivg.cloudfront.net/Documentos/631/06498994150/6310649899415011092023170522.pdf","https://dpmzos25m8ivg.cloudfront.net/Documentos/631/06498994150/6310649899415011092023170522.pdf")</f>
        <v>https://dpmzos25m8ivg.cloudfront.net/Documentos/631/06498994150/6310649899415011092023170522.pdf</v>
      </c>
      <c r="H3129" s="5" t="s">
        <v>11707</v>
      </c>
    </row>
    <row r="3130" spans="1:8" x14ac:dyDescent="0.25">
      <c r="A3130" s="2" t="s">
        <v>3148</v>
      </c>
      <c r="B3130" s="3"/>
      <c r="C3130" s="3"/>
      <c r="D3130" s="3"/>
      <c r="E3130" s="5" t="str">
        <f>HYPERLINK("https://dpmzos25m8ivg.cloudfront.net/Documentos/631/06499263150/6310649926315005092023111157.pdf","https://dpmzos25m8ivg.cloudfront.net/Documentos/631/06499263150/6310649926315005092023111157.pdf")</f>
        <v>https://dpmzos25m8ivg.cloudfront.net/Documentos/631/06499263150/6310649926315005092023111157.pdf</v>
      </c>
      <c r="F3130" s="5" t="str">
        <f>HYPERLINK("https://dpmzos25m8ivg.cloudfront.net/Documentos/631/06499263150/6310649926315005092023111214.pdf","https://dpmzos25m8ivg.cloudfront.net/Documentos/631/06499263150/6310649926315005092023111214.pdf")</f>
        <v>https://dpmzos25m8ivg.cloudfront.net/Documentos/631/06499263150/6310649926315005092023111214.pdf</v>
      </c>
      <c r="G3130" s="5" t="str">
        <f>HYPERLINK("https://dpmzos25m8ivg.cloudfront.net/Documentos/631/06499263150/6310649926315005092023111225.pdf","https://dpmzos25m8ivg.cloudfront.net/Documentos/631/06499263150/6310649926315005092023111225.pdf")</f>
        <v>https://dpmzos25m8ivg.cloudfront.net/Documentos/631/06499263150/6310649926315005092023111225.pdf</v>
      </c>
      <c r="H3130" s="5" t="s">
        <v>11708</v>
      </c>
    </row>
    <row r="3131" spans="1:8" x14ac:dyDescent="0.25">
      <c r="A3131" s="2" t="s">
        <v>3149</v>
      </c>
      <c r="B3131" s="3"/>
      <c r="C3131" s="3"/>
      <c r="D3131" s="3"/>
      <c r="E3131" s="5" t="str">
        <f>HYPERLINK("https://dpmzos25m8ivg.cloudfront.net/Documentos/631/06500371119/6310650037111911092023085856.pdf","https://dpmzos25m8ivg.cloudfront.net/Documentos/631/06500371119/6310650037111911092023085856.pdf")</f>
        <v>https://dpmzos25m8ivg.cloudfront.net/Documentos/631/06500371119/6310650037111911092023085856.pdf</v>
      </c>
      <c r="F3131" s="5" t="str">
        <f>HYPERLINK("https://dpmzos25m8ivg.cloudfront.net/Documentos/631/06500371119/6310650037111911092023085908.pdf","https://dpmzos25m8ivg.cloudfront.net/Documentos/631/06500371119/6310650037111911092023085908.pdf")</f>
        <v>https://dpmzos25m8ivg.cloudfront.net/Documentos/631/06500371119/6310650037111911092023085908.pdf</v>
      </c>
      <c r="G3131" s="5" t="str">
        <f>HYPERLINK("https://dpmzos25m8ivg.cloudfront.net/Documentos/631/06500371119/6310650037111911092023085917.pdf","https://dpmzos25m8ivg.cloudfront.net/Documentos/631/06500371119/6310650037111911092023085917.pdf")</f>
        <v>https://dpmzos25m8ivg.cloudfront.net/Documentos/631/06500371119/6310650037111911092023085917.pdf</v>
      </c>
      <c r="H3131" s="5" t="s">
        <v>11709</v>
      </c>
    </row>
    <row r="3132" spans="1:8" x14ac:dyDescent="0.25">
      <c r="A3132" s="2" t="s">
        <v>3150</v>
      </c>
      <c r="B3132" s="3"/>
      <c r="C3132" s="3"/>
      <c r="D3132" s="3"/>
      <c r="E3132" s="5" t="str">
        <f>HYPERLINK("https://dpmzos25m8ivg.cloudfront.net/Documentos/631/06501695570/6310650169557011092023164946.pdf","https://dpmzos25m8ivg.cloudfront.net/Documentos/631/06501695570/6310650169557011092023164946.pdf")</f>
        <v>https://dpmzos25m8ivg.cloudfront.net/Documentos/631/06501695570/6310650169557011092023164946.pdf</v>
      </c>
      <c r="F3132" s="5" t="str">
        <f>HYPERLINK("https://dpmzos25m8ivg.cloudfront.net/Documentos/631/06501695570/6310650169557011092023164959.pdf","https://dpmzos25m8ivg.cloudfront.net/Documentos/631/06501695570/6310650169557011092023164959.pdf")</f>
        <v>https://dpmzos25m8ivg.cloudfront.net/Documentos/631/06501695570/6310650169557011092023164959.pdf</v>
      </c>
      <c r="G3132" s="5" t="str">
        <f>HYPERLINK("https://dpmzos25m8ivg.cloudfront.net/Documentos/631/06501695570/6310650169557011092023165014.pdf","https://dpmzos25m8ivg.cloudfront.net/Documentos/631/06501695570/6310650169557011092023165014.pdf")</f>
        <v>https://dpmzos25m8ivg.cloudfront.net/Documentos/631/06501695570/6310650169557011092023165014.pdf</v>
      </c>
      <c r="H3132" s="5" t="s">
        <v>11710</v>
      </c>
    </row>
    <row r="3133" spans="1:8" x14ac:dyDescent="0.25">
      <c r="A3133" s="2" t="s">
        <v>3151</v>
      </c>
      <c r="B3133" s="3"/>
      <c r="C3133" s="3"/>
      <c r="D3133" s="3"/>
      <c r="E3133" s="5" t="str">
        <f>HYPERLINK("https://dpmzos25m8ivg.cloudfront.net/Documentos/631/06503635311/6310650363531112092023230011.pdf","https://dpmzos25m8ivg.cloudfront.net/Documentos/631/06503635311/6310650363531112092023230011.pdf")</f>
        <v>https://dpmzos25m8ivg.cloudfront.net/Documentos/631/06503635311/6310650363531112092023230011.pdf</v>
      </c>
      <c r="F3133" s="5" t="str">
        <f>HYPERLINK("https://dpmzos25m8ivg.cloudfront.net/Documentos/631/06503635311/6310650363531112092023230021.pdf","https://dpmzos25m8ivg.cloudfront.net/Documentos/631/06503635311/6310650363531112092023230021.pdf")</f>
        <v>https://dpmzos25m8ivg.cloudfront.net/Documentos/631/06503635311/6310650363531112092023230021.pdf</v>
      </c>
      <c r="G3133" s="5" t="str">
        <f>HYPERLINK("https://dpmzos25m8ivg.cloudfront.net/Documentos/631/06503635311/6310650363531112092023230031.pdf","https://dpmzos25m8ivg.cloudfront.net/Documentos/631/06503635311/6310650363531112092023230031.pdf")</f>
        <v>https://dpmzos25m8ivg.cloudfront.net/Documentos/631/06503635311/6310650363531112092023230031.pdf</v>
      </c>
      <c r="H3133" s="5" t="s">
        <v>11711</v>
      </c>
    </row>
    <row r="3134" spans="1:8" x14ac:dyDescent="0.25">
      <c r="A3134" s="14" t="s">
        <v>3152</v>
      </c>
      <c r="B3134" s="15" t="s">
        <v>23</v>
      </c>
      <c r="C3134" s="3"/>
      <c r="D3134" s="3"/>
      <c r="E3134" s="9" t="str">
        <f>HYPERLINK("https://dpmzos25m8ivg.cloudfront.net/Documentos/631/06505493336/6310650549333614092023115232.pdf","https://dpmzos25m8ivg.cloudfront.net/Documentos/631/06505493336/6310650549333614092023115232.pdf")</f>
        <v>https://dpmzos25m8ivg.cloudfront.net/Documentos/631/06505493336/6310650549333614092023115232.pdf</v>
      </c>
      <c r="F3134" s="9" t="str">
        <f>HYPERLINK("https://dpmzos25m8ivg.cloudfront.net/Documentos/631/06505493336/6310650549333614092023115243.pdf","https://dpmzos25m8ivg.cloudfront.net/Documentos/631/06505493336/6310650549333614092023115243.pdf")</f>
        <v>https://dpmzos25m8ivg.cloudfront.net/Documentos/631/06505493336/6310650549333614092023115243.pdf</v>
      </c>
      <c r="G3134" s="9" t="str">
        <f>HYPERLINK("https://dpmzos25m8ivg.cloudfront.net/Documentos/631/06505493336/6310650549333614092023115256.pdf","https://dpmzos25m8ivg.cloudfront.net/Documentos/631/06505493336/6310650549333614092023115256.pdf")</f>
        <v>https://dpmzos25m8ivg.cloudfront.net/Documentos/631/06505493336/6310650549333614092023115256.pdf</v>
      </c>
      <c r="H3134" s="9" t="s">
        <v>11712</v>
      </c>
    </row>
    <row r="3135" spans="1:8" x14ac:dyDescent="0.25">
      <c r="A3135" s="2" t="s">
        <v>3153</v>
      </c>
      <c r="B3135" s="3"/>
      <c r="C3135" s="3"/>
      <c r="D3135" s="3"/>
      <c r="E3135" s="5" t="str">
        <f>HYPERLINK("https://dpmzos25m8ivg.cloudfront.net/Documentos/631/06510785986/6310651078598608092023220225.pdf","https://dpmzos25m8ivg.cloudfront.net/Documentos/631/06510785986/6310651078598608092023220225.pdf")</f>
        <v>https://dpmzos25m8ivg.cloudfront.net/Documentos/631/06510785986/6310651078598608092023220225.pdf</v>
      </c>
      <c r="F3135" s="5" t="str">
        <f>HYPERLINK("https://dpmzos25m8ivg.cloudfront.net/Documentos/631/06510785986/6310651078598608092023220255.pdf","https://dpmzos25m8ivg.cloudfront.net/Documentos/631/06510785986/6310651078598608092023220255.pdf")</f>
        <v>https://dpmzos25m8ivg.cloudfront.net/Documentos/631/06510785986/6310651078598608092023220255.pdf</v>
      </c>
      <c r="G3135" s="5" t="str">
        <f>HYPERLINK("https://dpmzos25m8ivg.cloudfront.net/Documentos/631/06510785986/6310651078598608092023220321.pdf","https://dpmzos25m8ivg.cloudfront.net/Documentos/631/06510785986/6310651078598608092023220321.pdf")</f>
        <v>https://dpmzos25m8ivg.cloudfront.net/Documentos/631/06510785986/6310651078598608092023220321.pdf</v>
      </c>
      <c r="H3135" s="5" t="s">
        <v>11713</v>
      </c>
    </row>
    <row r="3136" spans="1:8" x14ac:dyDescent="0.25">
      <c r="A3136" s="2" t="s">
        <v>3154</v>
      </c>
      <c r="B3136" s="3"/>
      <c r="C3136" s="3"/>
      <c r="D3136" s="3"/>
      <c r="E3136" s="5" t="str">
        <f>HYPERLINK("https://dpmzos25m8ivg.cloudfront.net/Documentos/631/06510980509/6310651098050911092023160310.pdf","https://dpmzos25m8ivg.cloudfront.net/Documentos/631/06510980509/6310651098050911092023160310.pdf")</f>
        <v>https://dpmzos25m8ivg.cloudfront.net/Documentos/631/06510980509/6310651098050911092023160310.pdf</v>
      </c>
      <c r="F3136" s="5" t="str">
        <f>HYPERLINK("https://dpmzos25m8ivg.cloudfront.net/Documentos/631/06510980509/6310651098050911092023160326.pdf","https://dpmzos25m8ivg.cloudfront.net/Documentos/631/06510980509/6310651098050911092023160326.pdf")</f>
        <v>https://dpmzos25m8ivg.cloudfront.net/Documentos/631/06510980509/6310651098050911092023160326.pdf</v>
      </c>
      <c r="G3136" s="5" t="str">
        <f>HYPERLINK("https://dpmzos25m8ivg.cloudfront.net/Documentos/631/06510980509/6310651098050911092023160336.pdf","https://dpmzos25m8ivg.cloudfront.net/Documentos/631/06510980509/6310651098050911092023160336.pdf")</f>
        <v>https://dpmzos25m8ivg.cloudfront.net/Documentos/631/06510980509/6310651098050911092023160336.pdf</v>
      </c>
      <c r="H3136" s="5" t="s">
        <v>11714</v>
      </c>
    </row>
    <row r="3137" spans="1:8" x14ac:dyDescent="0.25">
      <c r="A3137" s="2" t="s">
        <v>3155</v>
      </c>
      <c r="B3137" s="3"/>
      <c r="C3137" s="3"/>
      <c r="D3137" s="3"/>
      <c r="E3137" s="5" t="str">
        <f>HYPERLINK("https://dpmzos25m8ivg.cloudfront.net/Documentos/631/06515351585/6310651535158512092023221237.jpeg","https://dpmzos25m8ivg.cloudfront.net/Documentos/631/06515351585/6310651535158512092023221237.jpeg")</f>
        <v>https://dpmzos25m8ivg.cloudfront.net/Documentos/631/06515351585/6310651535158512092023221237.jpeg</v>
      </c>
      <c r="F3137" s="5" t="str">
        <f>HYPERLINK("https://dpmzos25m8ivg.cloudfront.net/Documentos/631/06515351585/6310651535158512092023221255.jpeg","https://dpmzos25m8ivg.cloudfront.net/Documentos/631/06515351585/6310651535158512092023221255.jpeg")</f>
        <v>https://dpmzos25m8ivg.cloudfront.net/Documentos/631/06515351585/6310651535158512092023221255.jpeg</v>
      </c>
      <c r="G3137" s="5" t="str">
        <f>HYPERLINK("https://dpmzos25m8ivg.cloudfront.net/Documentos/631/06515351585/6310651535158512092023221307.jpeg","https://dpmzos25m8ivg.cloudfront.net/Documentos/631/06515351585/6310651535158512092023221307.jpeg")</f>
        <v>https://dpmzos25m8ivg.cloudfront.net/Documentos/631/06515351585/6310651535158512092023221307.jpeg</v>
      </c>
      <c r="H3137" s="5" t="s">
        <v>11715</v>
      </c>
    </row>
    <row r="3138" spans="1:8" x14ac:dyDescent="0.25">
      <c r="A3138" s="2" t="s">
        <v>3156</v>
      </c>
      <c r="B3138" s="3"/>
      <c r="C3138" s="3"/>
      <c r="D3138" s="3"/>
      <c r="E3138" s="5" t="str">
        <f>HYPERLINK("https://dpmzos25m8ivg.cloudfront.net/Documentos/631/06516336997/6310651633699711092023135521.pdf","https://dpmzos25m8ivg.cloudfront.net/Documentos/631/06516336997/6310651633699711092023135521.pdf")</f>
        <v>https://dpmzos25m8ivg.cloudfront.net/Documentos/631/06516336997/6310651633699711092023135521.pdf</v>
      </c>
      <c r="F3138" s="5" t="str">
        <f>HYPERLINK("https://dpmzos25m8ivg.cloudfront.net/Documentos/631/06516336997/6310651633699711092023135536.pdf","https://dpmzos25m8ivg.cloudfront.net/Documentos/631/06516336997/6310651633699711092023135536.pdf")</f>
        <v>https://dpmzos25m8ivg.cloudfront.net/Documentos/631/06516336997/6310651633699711092023135536.pdf</v>
      </c>
      <c r="G3138" s="5" t="str">
        <f>HYPERLINK("https://dpmzos25m8ivg.cloudfront.net/Documentos/631/06516336997/6310651633699711092023135548.pdf","https://dpmzos25m8ivg.cloudfront.net/Documentos/631/06516336997/6310651633699711092023135548.pdf")</f>
        <v>https://dpmzos25m8ivg.cloudfront.net/Documentos/631/06516336997/6310651633699711092023135548.pdf</v>
      </c>
      <c r="H3138" s="5" t="s">
        <v>11716</v>
      </c>
    </row>
    <row r="3139" spans="1:8" x14ac:dyDescent="0.25">
      <c r="A3139" s="2" t="s">
        <v>3157</v>
      </c>
      <c r="B3139" s="3" t="s">
        <v>42</v>
      </c>
      <c r="C3139" s="3"/>
      <c r="D3139" s="3"/>
      <c r="E3139" s="5" t="str">
        <f>HYPERLINK("https://dpmzos25m8ivg.cloudfront.net/Documentos/631/06516489556/6310651648955611092023152523.pdf","https://dpmzos25m8ivg.cloudfront.net/Documentos/631/06516489556/6310651648955611092023152523.pdf")</f>
        <v>https://dpmzos25m8ivg.cloudfront.net/Documentos/631/06516489556/6310651648955611092023152523.pdf</v>
      </c>
      <c r="F3139" s="5" t="str">
        <f>HYPERLINK("https://dpmzos25m8ivg.cloudfront.net/Documentos/631/06516489556/6310651648955611092023152535.pdf","https://dpmzos25m8ivg.cloudfront.net/Documentos/631/06516489556/6310651648955611092023152535.pdf")</f>
        <v>https://dpmzos25m8ivg.cloudfront.net/Documentos/631/06516489556/6310651648955611092023152535.pdf</v>
      </c>
      <c r="G3139" s="5" t="str">
        <f>HYPERLINK("https://dpmzos25m8ivg.cloudfront.net/Documentos/631/06516489556/6310651648955611092023152545.pdf","https://dpmzos25m8ivg.cloudfront.net/Documentos/631/06516489556/6310651648955611092023152545.pdf")</f>
        <v>https://dpmzos25m8ivg.cloudfront.net/Documentos/631/06516489556/6310651648955611092023152545.pdf</v>
      </c>
      <c r="H3139" s="5" t="s">
        <v>11717</v>
      </c>
    </row>
    <row r="3140" spans="1:8" x14ac:dyDescent="0.25">
      <c r="A3140" s="2" t="s">
        <v>3158</v>
      </c>
      <c r="B3140" s="3"/>
      <c r="C3140" s="3"/>
      <c r="D3140" s="3"/>
      <c r="E3140" s="5" t="str">
        <f>HYPERLINK("https://dpmzos25m8ivg.cloudfront.net/Documentos/631/06517106693/6310651710669306092023065147.jpg","https://dpmzos25m8ivg.cloudfront.net/Documentos/631/06517106693/6310651710669306092023065147.jpg")</f>
        <v>https://dpmzos25m8ivg.cloudfront.net/Documentos/631/06517106693/6310651710669306092023065147.jpg</v>
      </c>
      <c r="F3140" s="5" t="str">
        <f>HYPERLINK("https://dpmzos25m8ivg.cloudfront.net/Documentos/631/06517106693/6310651710669306092023065202.jpg","https://dpmzos25m8ivg.cloudfront.net/Documentos/631/06517106693/6310651710669306092023065202.jpg")</f>
        <v>https://dpmzos25m8ivg.cloudfront.net/Documentos/631/06517106693/6310651710669306092023065202.jpg</v>
      </c>
      <c r="G3140" s="5" t="str">
        <f>HYPERLINK("https://dpmzos25m8ivg.cloudfront.net/Documentos/631/06517106693/6310651710669306092023065231.jpg","https://dpmzos25m8ivg.cloudfront.net/Documentos/631/06517106693/6310651710669306092023065231.jpg")</f>
        <v>https://dpmzos25m8ivg.cloudfront.net/Documentos/631/06517106693/6310651710669306092023065231.jpg</v>
      </c>
      <c r="H3140" s="5" t="s">
        <v>11718</v>
      </c>
    </row>
    <row r="3141" spans="1:8" x14ac:dyDescent="0.25">
      <c r="A3141" s="2" t="s">
        <v>3159</v>
      </c>
      <c r="B3141" s="3" t="s">
        <v>8</v>
      </c>
      <c r="C3141" s="3"/>
      <c r="D3141" s="3"/>
      <c r="E3141" s="5" t="str">
        <f>HYPERLINK("https://dpmzos25m8ivg.cloudfront.net/Documentos/631/06521083341/6310652108334105092023143626.pdf","https://dpmzos25m8ivg.cloudfront.net/Documentos/631/06521083341/6310652108334105092023143626.pdf")</f>
        <v>https://dpmzos25m8ivg.cloudfront.net/Documentos/631/06521083341/6310652108334105092023143626.pdf</v>
      </c>
      <c r="F3141" s="5" t="str">
        <f>HYPERLINK("https://dpmzos25m8ivg.cloudfront.net/Documentos/631/06521083341/6310652108334111092023145417.pdf","https://dpmzos25m8ivg.cloudfront.net/Documentos/631/06521083341/6310652108334111092023145417.pdf")</f>
        <v>https://dpmzos25m8ivg.cloudfront.net/Documentos/631/06521083341/6310652108334111092023145417.pdf</v>
      </c>
      <c r="G3141" s="5" t="str">
        <f>HYPERLINK("https://dpmzos25m8ivg.cloudfront.net/Documentos/631/06521083341/6310652108334111092023145442.pdf","https://dpmzos25m8ivg.cloudfront.net/Documentos/631/06521083341/6310652108334111092023145442.pdf")</f>
        <v>https://dpmzos25m8ivg.cloudfront.net/Documentos/631/06521083341/6310652108334111092023145442.pdf</v>
      </c>
      <c r="H3141" s="5" t="s">
        <v>11719</v>
      </c>
    </row>
    <row r="3142" spans="1:8" x14ac:dyDescent="0.25">
      <c r="A3142" s="2" t="s">
        <v>3160</v>
      </c>
      <c r="B3142" s="3"/>
      <c r="C3142" s="3"/>
      <c r="D3142" s="3"/>
      <c r="E3142" s="5" t="str">
        <f>HYPERLINK("https://dpmzos25m8ivg.cloudfront.net/Documentos/631/06522294338/6310652229433811092023161143.pdf","https://dpmzos25m8ivg.cloudfront.net/Documentos/631/06522294338/6310652229433811092023161143.pdf")</f>
        <v>https://dpmzos25m8ivg.cloudfront.net/Documentos/631/06522294338/6310652229433811092023161143.pdf</v>
      </c>
      <c r="F3142" s="5" t="str">
        <f>HYPERLINK("https://dpmzos25m8ivg.cloudfront.net/Documentos/631/06522294338/6310652229433811092023161155.pdf","https://dpmzos25m8ivg.cloudfront.net/Documentos/631/06522294338/6310652229433811092023161155.pdf")</f>
        <v>https://dpmzos25m8ivg.cloudfront.net/Documentos/631/06522294338/6310652229433811092023161155.pdf</v>
      </c>
      <c r="G3142" s="5" t="str">
        <f>HYPERLINK("https://dpmzos25m8ivg.cloudfront.net/Documentos/631/06522294338/6310652229433811092023161206.pdf","https://dpmzos25m8ivg.cloudfront.net/Documentos/631/06522294338/6310652229433811092023161206.pdf")</f>
        <v>https://dpmzos25m8ivg.cloudfront.net/Documentos/631/06522294338/6310652229433811092023161206.pdf</v>
      </c>
      <c r="H3142" s="5" t="s">
        <v>11720</v>
      </c>
    </row>
    <row r="3143" spans="1:8" x14ac:dyDescent="0.25">
      <c r="A3143" s="2" t="s">
        <v>3161</v>
      </c>
      <c r="B3143" s="3"/>
      <c r="C3143" s="3"/>
      <c r="D3143" s="3"/>
      <c r="E3143" s="5" t="str">
        <f>HYPERLINK("https://dpmzos25m8ivg.cloudfront.net/Documentos/631/06523103625/6310652310362505092023090036.pdf","https://dpmzos25m8ivg.cloudfront.net/Documentos/631/06523103625/6310652310362505092023090036.pdf")</f>
        <v>https://dpmzos25m8ivg.cloudfront.net/Documentos/631/06523103625/6310652310362505092023090036.pdf</v>
      </c>
      <c r="F3143" s="5" t="str">
        <f>HYPERLINK("https://dpmzos25m8ivg.cloudfront.net/Documentos/631/06523103625/6310652310362505092023090047.pdf","https://dpmzos25m8ivg.cloudfront.net/Documentos/631/06523103625/6310652310362505092023090047.pdf")</f>
        <v>https://dpmzos25m8ivg.cloudfront.net/Documentos/631/06523103625/6310652310362505092023090047.pdf</v>
      </c>
      <c r="G3143" s="5" t="str">
        <f>HYPERLINK("https://dpmzos25m8ivg.cloudfront.net/Documentos/631/06523103625/6310652310362505092023090055.pdf","https://dpmzos25m8ivg.cloudfront.net/Documentos/631/06523103625/6310652310362505092023090055.pdf")</f>
        <v>https://dpmzos25m8ivg.cloudfront.net/Documentos/631/06523103625/6310652310362505092023090055.pdf</v>
      </c>
      <c r="H3143" s="5" t="s">
        <v>11721</v>
      </c>
    </row>
    <row r="3144" spans="1:8" x14ac:dyDescent="0.25">
      <c r="A3144" s="2" t="s">
        <v>3162</v>
      </c>
      <c r="B3144" s="3"/>
      <c r="C3144" s="3"/>
      <c r="D3144" s="3"/>
      <c r="E3144" s="5" t="str">
        <f>HYPERLINK("https://dpmzos25m8ivg.cloudfront.net/Documentos/631/06535121127/6310653512112710092023155025.pdf","https://dpmzos25m8ivg.cloudfront.net/Documentos/631/06535121127/6310653512112710092023155025.pdf")</f>
        <v>https://dpmzos25m8ivg.cloudfront.net/Documentos/631/06535121127/6310653512112710092023155025.pdf</v>
      </c>
      <c r="F3144" s="5" t="str">
        <f>HYPERLINK("https://dpmzos25m8ivg.cloudfront.net/Documentos/631/06535121127/6310653512112710092023155036.pdf","https://dpmzos25m8ivg.cloudfront.net/Documentos/631/06535121127/6310653512112710092023155036.pdf")</f>
        <v>https://dpmzos25m8ivg.cloudfront.net/Documentos/631/06535121127/6310653512112710092023155036.pdf</v>
      </c>
      <c r="G3144" s="5" t="str">
        <f>HYPERLINK("https://dpmzos25m8ivg.cloudfront.net/Documentos/631/06535121127/6310653512112710092023155051.pdf","https://dpmzos25m8ivg.cloudfront.net/Documentos/631/06535121127/6310653512112710092023155051.pdf")</f>
        <v>https://dpmzos25m8ivg.cloudfront.net/Documentos/631/06535121127/6310653512112710092023155051.pdf</v>
      </c>
      <c r="H3144" s="5" t="s">
        <v>11722</v>
      </c>
    </row>
    <row r="3145" spans="1:8" x14ac:dyDescent="0.25">
      <c r="A3145" s="2" t="s">
        <v>3163</v>
      </c>
      <c r="B3145" s="3"/>
      <c r="C3145" s="3"/>
      <c r="D3145" s="3"/>
      <c r="E3145" s="5" t="str">
        <f>HYPERLINK("https://dpmzos25m8ivg.cloudfront.net/Documentos/631/06535177343/6310653517734311092023102431.pdf","https://dpmzos25m8ivg.cloudfront.net/Documentos/631/06535177343/6310653517734311092023102431.pdf")</f>
        <v>https://dpmzos25m8ivg.cloudfront.net/Documentos/631/06535177343/6310653517734311092023102431.pdf</v>
      </c>
      <c r="F3145" s="5" t="str">
        <f>HYPERLINK("https://dpmzos25m8ivg.cloudfront.net/Documentos/631/06535177343/6310653517734311092023102439.pdf","https://dpmzos25m8ivg.cloudfront.net/Documentos/631/06535177343/6310653517734311092023102439.pdf")</f>
        <v>https://dpmzos25m8ivg.cloudfront.net/Documentos/631/06535177343/6310653517734311092023102439.pdf</v>
      </c>
      <c r="G3145" s="5" t="str">
        <f>HYPERLINK("https://dpmzos25m8ivg.cloudfront.net/Documentos/631/06535177343/6310653517734311092023102447.pdf","https://dpmzos25m8ivg.cloudfront.net/Documentos/631/06535177343/6310653517734311092023102447.pdf")</f>
        <v>https://dpmzos25m8ivg.cloudfront.net/Documentos/631/06535177343/6310653517734311092023102447.pdf</v>
      </c>
      <c r="H3145" s="5" t="s">
        <v>11723</v>
      </c>
    </row>
    <row r="3146" spans="1:8" x14ac:dyDescent="0.25">
      <c r="A3146" s="2" t="s">
        <v>3164</v>
      </c>
      <c r="B3146" s="3"/>
      <c r="C3146" s="3"/>
      <c r="D3146" s="3"/>
      <c r="E3146" s="5" t="str">
        <f>HYPERLINK("https://dpmzos25m8ivg.cloudfront.net/Documentos/631/06537231566/6310653723156608092023235238.pdf","https://dpmzos25m8ivg.cloudfront.net/Documentos/631/06537231566/6310653723156608092023235238.pdf")</f>
        <v>https://dpmzos25m8ivg.cloudfront.net/Documentos/631/06537231566/6310653723156608092023235238.pdf</v>
      </c>
      <c r="F3146" s="5" t="str">
        <f>HYPERLINK("https://dpmzos25m8ivg.cloudfront.net/Documentos/631/06537231566/6310653723156608092023235333.pdf","https://dpmzos25m8ivg.cloudfront.net/Documentos/631/06537231566/6310653723156608092023235333.pdf")</f>
        <v>https://dpmzos25m8ivg.cloudfront.net/Documentos/631/06537231566/6310653723156608092023235333.pdf</v>
      </c>
      <c r="G3146" s="5" t="str">
        <f>HYPERLINK("https://dpmzos25m8ivg.cloudfront.net/Documentos/631/06537231566/6310653723156608092023235358.pdf","https://dpmzos25m8ivg.cloudfront.net/Documentos/631/06537231566/6310653723156608092023235358.pdf")</f>
        <v>https://dpmzos25m8ivg.cloudfront.net/Documentos/631/06537231566/6310653723156608092023235358.pdf</v>
      </c>
      <c r="H3146" s="5" t="s">
        <v>11724</v>
      </c>
    </row>
    <row r="3147" spans="1:8" x14ac:dyDescent="0.25">
      <c r="A3147" s="2" t="s">
        <v>3165</v>
      </c>
      <c r="B3147" s="3"/>
      <c r="C3147" s="3"/>
      <c r="D3147" s="3"/>
      <c r="E3147" s="5" t="str">
        <f>HYPERLINK("https://dpmzos25m8ivg.cloudfront.net/Documentos/631/06538187420/6310653818742006092023183304.jpg","https://dpmzos25m8ivg.cloudfront.net/Documentos/631/06538187420/6310653818742006092023183304.jpg")</f>
        <v>https://dpmzos25m8ivg.cloudfront.net/Documentos/631/06538187420/6310653818742006092023183304.jpg</v>
      </c>
      <c r="F3147" s="5" t="str">
        <f>HYPERLINK("https://dpmzos25m8ivg.cloudfront.net/Documentos/631/06538187420/6310653818742006092023183318.jpg","https://dpmzos25m8ivg.cloudfront.net/Documentos/631/06538187420/6310653818742006092023183318.jpg")</f>
        <v>https://dpmzos25m8ivg.cloudfront.net/Documentos/631/06538187420/6310653818742006092023183318.jpg</v>
      </c>
      <c r="G3147" s="5" t="str">
        <f>HYPERLINK("https://dpmzos25m8ivg.cloudfront.net/Documentos/631/06538187420/6310653818742006092023183340.jpg","https://dpmzos25m8ivg.cloudfront.net/Documentos/631/06538187420/6310653818742006092023183340.jpg")</f>
        <v>https://dpmzos25m8ivg.cloudfront.net/Documentos/631/06538187420/6310653818742006092023183340.jpg</v>
      </c>
      <c r="H3147" s="5" t="s">
        <v>11725</v>
      </c>
    </row>
    <row r="3148" spans="1:8" x14ac:dyDescent="0.25">
      <c r="A3148" s="2" t="s">
        <v>3166</v>
      </c>
      <c r="B3148" s="3"/>
      <c r="C3148" s="3"/>
      <c r="D3148" s="3"/>
      <c r="E3148" s="5" t="str">
        <f>HYPERLINK("https://dpmzos25m8ivg.cloudfront.net/Documentos/631/06539604505/6310653960450511092023110810.pdf","https://dpmzos25m8ivg.cloudfront.net/Documentos/631/06539604505/6310653960450511092023110810.pdf")</f>
        <v>https://dpmzos25m8ivg.cloudfront.net/Documentos/631/06539604505/6310653960450511092023110810.pdf</v>
      </c>
      <c r="F3148" s="5" t="str">
        <f>HYPERLINK("https://dpmzos25m8ivg.cloudfront.net/Documentos/631/06539604505/6310653960450511092023110829.pdf","https://dpmzos25m8ivg.cloudfront.net/Documentos/631/06539604505/6310653960450511092023110829.pdf")</f>
        <v>https://dpmzos25m8ivg.cloudfront.net/Documentos/631/06539604505/6310653960450511092023110829.pdf</v>
      </c>
      <c r="G3148" s="5" t="str">
        <f>HYPERLINK("https://dpmzos25m8ivg.cloudfront.net/Documentos/631/06539604505/6310653960450511092023110851.pdf","https://dpmzos25m8ivg.cloudfront.net/Documentos/631/06539604505/6310653960450511092023110851.pdf")</f>
        <v>https://dpmzos25m8ivg.cloudfront.net/Documentos/631/06539604505/6310653960450511092023110851.pdf</v>
      </c>
      <c r="H3148" s="5" t="s">
        <v>11726</v>
      </c>
    </row>
    <row r="3149" spans="1:8" x14ac:dyDescent="0.25">
      <c r="A3149" s="2" t="s">
        <v>3167</v>
      </c>
      <c r="B3149" s="3"/>
      <c r="C3149" s="3"/>
      <c r="D3149" s="3"/>
      <c r="E3149" s="5" t="str">
        <f>HYPERLINK("https://dpmzos25m8ivg.cloudfront.net/Documentos/631/06541724393/6310654172439310092023105513.pdf","https://dpmzos25m8ivg.cloudfront.net/Documentos/631/06541724393/6310654172439310092023105513.pdf")</f>
        <v>https://dpmzos25m8ivg.cloudfront.net/Documentos/631/06541724393/6310654172439310092023105513.pdf</v>
      </c>
      <c r="F3149" s="5" t="str">
        <f>HYPERLINK("https://dpmzos25m8ivg.cloudfront.net/Documentos/631/06541724393/6310654172439310092023105525.pdf","https://dpmzos25m8ivg.cloudfront.net/Documentos/631/06541724393/6310654172439310092023105525.pdf")</f>
        <v>https://dpmzos25m8ivg.cloudfront.net/Documentos/631/06541724393/6310654172439310092023105525.pdf</v>
      </c>
      <c r="G3149" s="5" t="str">
        <f>HYPERLINK("https://dpmzos25m8ivg.cloudfront.net/Documentos/631/06541724393/6310654172439310092023105537.pdf","https://dpmzos25m8ivg.cloudfront.net/Documentos/631/06541724393/6310654172439310092023105537.pdf")</f>
        <v>https://dpmzos25m8ivg.cloudfront.net/Documentos/631/06541724393/6310654172439310092023105537.pdf</v>
      </c>
      <c r="H3149" s="5" t="s">
        <v>11727</v>
      </c>
    </row>
    <row r="3150" spans="1:8" x14ac:dyDescent="0.25">
      <c r="A3150" s="2" t="s">
        <v>3168</v>
      </c>
      <c r="B3150" s="3"/>
      <c r="C3150" s="3"/>
      <c r="D3150" s="3"/>
      <c r="E3150" s="5" t="str">
        <f>HYPERLINK("https://dpmzos25m8ivg.cloudfront.net/Documentos/631/06543722339/6310654372233910092023172148.pdf","https://dpmzos25m8ivg.cloudfront.net/Documentos/631/06543722339/6310654372233910092023172148.pdf")</f>
        <v>https://dpmzos25m8ivg.cloudfront.net/Documentos/631/06543722339/6310654372233910092023172148.pdf</v>
      </c>
      <c r="F3150" s="5" t="str">
        <f>HYPERLINK("https://dpmzos25m8ivg.cloudfront.net/Documentos/631/06543722339/6310654372233910092023172204.pdf","https://dpmzos25m8ivg.cloudfront.net/Documentos/631/06543722339/6310654372233910092023172204.pdf")</f>
        <v>https://dpmzos25m8ivg.cloudfront.net/Documentos/631/06543722339/6310654372233910092023172204.pdf</v>
      </c>
      <c r="G3150" s="5" t="str">
        <f>HYPERLINK("https://dpmzos25m8ivg.cloudfront.net/Documentos/631/06543722339/6310654372233910092023172225.pdf","https://dpmzos25m8ivg.cloudfront.net/Documentos/631/06543722339/6310654372233910092023172225.pdf")</f>
        <v>https://dpmzos25m8ivg.cloudfront.net/Documentos/631/06543722339/6310654372233910092023172225.pdf</v>
      </c>
      <c r="H3150" s="5" t="s">
        <v>11728</v>
      </c>
    </row>
    <row r="3151" spans="1:8" x14ac:dyDescent="0.25">
      <c r="A3151" s="2" t="s">
        <v>3169</v>
      </c>
      <c r="B3151" s="3"/>
      <c r="C3151" s="3"/>
      <c r="D3151" s="3"/>
      <c r="E3151" s="5" t="str">
        <f>HYPERLINK("https://dpmzos25m8ivg.cloudfront.net/Documentos/631/06544076490/6310654407649007092023220144.pdf","https://dpmzos25m8ivg.cloudfront.net/Documentos/631/06544076490/6310654407649007092023220144.pdf")</f>
        <v>https://dpmzos25m8ivg.cloudfront.net/Documentos/631/06544076490/6310654407649007092023220144.pdf</v>
      </c>
      <c r="F3151" s="5" t="str">
        <f>HYPERLINK("https://dpmzos25m8ivg.cloudfront.net/Documentos/631/06544076490/6310654407649007092023220224.pdf","https://dpmzos25m8ivg.cloudfront.net/Documentos/631/06544076490/6310654407649007092023220224.pdf")</f>
        <v>https://dpmzos25m8ivg.cloudfront.net/Documentos/631/06544076490/6310654407649007092023220224.pdf</v>
      </c>
      <c r="G3151" s="5" t="str">
        <f>HYPERLINK("https://dpmzos25m8ivg.cloudfront.net/Documentos/631/06544076490/6310654407649007092023220257.pdf","https://dpmzos25m8ivg.cloudfront.net/Documentos/631/06544076490/6310654407649007092023220257.pdf")</f>
        <v>https://dpmzos25m8ivg.cloudfront.net/Documentos/631/06544076490/6310654407649007092023220257.pdf</v>
      </c>
      <c r="H3151" s="5" t="s">
        <v>11729</v>
      </c>
    </row>
    <row r="3152" spans="1:8" x14ac:dyDescent="0.25">
      <c r="A3152" s="2" t="s">
        <v>3170</v>
      </c>
      <c r="B3152" s="3"/>
      <c r="C3152" s="3"/>
      <c r="D3152" s="3"/>
      <c r="E3152" s="5" t="str">
        <f>HYPERLINK("https://dpmzos25m8ivg.cloudfront.net/Documentos/631/06550802105/6310655080210506092023163553.pdf","https://dpmzos25m8ivg.cloudfront.net/Documentos/631/06550802105/6310655080210506092023163553.pdf")</f>
        <v>https://dpmzos25m8ivg.cloudfront.net/Documentos/631/06550802105/6310655080210506092023163553.pdf</v>
      </c>
      <c r="F3152" s="5" t="str">
        <f>HYPERLINK("https://dpmzos25m8ivg.cloudfront.net/Documentos/631/06550802105/6310655080210506092023163608.pdf","https://dpmzos25m8ivg.cloudfront.net/Documentos/631/06550802105/6310655080210506092023163608.pdf")</f>
        <v>https://dpmzos25m8ivg.cloudfront.net/Documentos/631/06550802105/6310655080210506092023163608.pdf</v>
      </c>
      <c r="G3152" s="5" t="str">
        <f>HYPERLINK("https://dpmzos25m8ivg.cloudfront.net/Documentos/631/06550802105/6310655080210506092023163617.pdf","https://dpmzos25m8ivg.cloudfront.net/Documentos/631/06550802105/6310655080210506092023163617.pdf")</f>
        <v>https://dpmzos25m8ivg.cloudfront.net/Documentos/631/06550802105/6310655080210506092023163617.pdf</v>
      </c>
      <c r="H3152" s="5" t="s">
        <v>11730</v>
      </c>
    </row>
    <row r="3153" spans="1:8" x14ac:dyDescent="0.25">
      <c r="A3153" s="2" t="s">
        <v>3171</v>
      </c>
      <c r="B3153" s="3"/>
      <c r="C3153" s="3"/>
      <c r="D3153" s="3"/>
      <c r="E3153" s="5" t="str">
        <f>HYPERLINK("https://dpmzos25m8ivg.cloudfront.net/Documentos/631/06552075111/6310655207511111092023155134.pdf","https://dpmzos25m8ivg.cloudfront.net/Documentos/631/06552075111/6310655207511111092023155134.pdf")</f>
        <v>https://dpmzos25m8ivg.cloudfront.net/Documentos/631/06552075111/6310655207511111092023155134.pdf</v>
      </c>
      <c r="F3153" s="5" t="str">
        <f>HYPERLINK("https://dpmzos25m8ivg.cloudfront.net/Documentos/631/06552075111/6310655207511111092023155147.pdf","https://dpmzos25m8ivg.cloudfront.net/Documentos/631/06552075111/6310655207511111092023155147.pdf")</f>
        <v>https://dpmzos25m8ivg.cloudfront.net/Documentos/631/06552075111/6310655207511111092023155147.pdf</v>
      </c>
      <c r="G3153" s="5" t="str">
        <f>HYPERLINK("https://dpmzos25m8ivg.cloudfront.net/Documentos/631/06552075111/6310655207511111092023155201.pdf","https://dpmzos25m8ivg.cloudfront.net/Documentos/631/06552075111/6310655207511111092023155201.pdf")</f>
        <v>https://dpmzos25m8ivg.cloudfront.net/Documentos/631/06552075111/6310655207511111092023155201.pdf</v>
      </c>
      <c r="H3153" s="5" t="s">
        <v>11731</v>
      </c>
    </row>
    <row r="3154" spans="1:8" x14ac:dyDescent="0.25">
      <c r="A3154" s="2" t="s">
        <v>3172</v>
      </c>
      <c r="B3154" s="3"/>
      <c r="C3154" s="3"/>
      <c r="D3154" s="3"/>
      <c r="E3154" s="5" t="str">
        <f>HYPERLINK("https://dpmzos25m8ivg.cloudfront.net/Documentos/631/06552740573/6310655274057310092023142410.pdf","https://dpmzos25m8ivg.cloudfront.net/Documentos/631/06552740573/6310655274057310092023142410.pdf")</f>
        <v>https://dpmzos25m8ivg.cloudfront.net/Documentos/631/06552740573/6310655274057310092023142410.pdf</v>
      </c>
      <c r="F3154" s="5" t="str">
        <f>HYPERLINK("https://dpmzos25m8ivg.cloudfront.net/Documentos/631/06552740573/6310655274057310092023142429.pdf","https://dpmzos25m8ivg.cloudfront.net/Documentos/631/06552740573/6310655274057310092023142429.pdf")</f>
        <v>https://dpmzos25m8ivg.cloudfront.net/Documentos/631/06552740573/6310655274057310092023142429.pdf</v>
      </c>
      <c r="G3154" s="5" t="str">
        <f>HYPERLINK("https://dpmzos25m8ivg.cloudfront.net/Documentos/631/06552740573/6310655274057310092023142448.pdf","https://dpmzos25m8ivg.cloudfront.net/Documentos/631/06552740573/6310655274057310092023142448.pdf")</f>
        <v>https://dpmzos25m8ivg.cloudfront.net/Documentos/631/06552740573/6310655274057310092023142448.pdf</v>
      </c>
      <c r="H3154" s="5" t="s">
        <v>11732</v>
      </c>
    </row>
    <row r="3155" spans="1:8" x14ac:dyDescent="0.25">
      <c r="A3155" s="2" t="s">
        <v>3173</v>
      </c>
      <c r="B3155" s="3"/>
      <c r="C3155" s="3"/>
      <c r="D3155" s="3"/>
      <c r="E3155" s="5" t="str">
        <f>HYPERLINK("https://dpmzos25m8ivg.cloudfront.net/Documentos/631/06552904193/6310655290419309092023180605.pdf","https://dpmzos25m8ivg.cloudfront.net/Documentos/631/06552904193/6310655290419309092023180605.pdf")</f>
        <v>https://dpmzos25m8ivg.cloudfront.net/Documentos/631/06552904193/6310655290419309092023180605.pdf</v>
      </c>
      <c r="F3155" s="5" t="str">
        <f>HYPERLINK("https://dpmzos25m8ivg.cloudfront.net/Documentos/631/06552904193/6310655290419309092023180619.pdf","https://dpmzos25m8ivg.cloudfront.net/Documentos/631/06552904193/6310655290419309092023180619.pdf")</f>
        <v>https://dpmzos25m8ivg.cloudfront.net/Documentos/631/06552904193/6310655290419309092023180619.pdf</v>
      </c>
      <c r="G3155" s="5" t="str">
        <f>HYPERLINK("https://dpmzos25m8ivg.cloudfront.net/Documentos/631/06552904193/6310655290419309092023180639.pdf","https://dpmzos25m8ivg.cloudfront.net/Documentos/631/06552904193/6310655290419309092023180639.pdf")</f>
        <v>https://dpmzos25m8ivg.cloudfront.net/Documentos/631/06552904193/6310655290419309092023180639.pdf</v>
      </c>
      <c r="H3155" s="5" t="s">
        <v>11733</v>
      </c>
    </row>
    <row r="3156" spans="1:8" x14ac:dyDescent="0.25">
      <c r="A3156" s="2" t="s">
        <v>3174</v>
      </c>
      <c r="B3156" s="3" t="s">
        <v>2358</v>
      </c>
      <c r="C3156" s="3"/>
      <c r="D3156" s="3"/>
      <c r="E3156" s="5" t="str">
        <f>HYPERLINK("https://dpmzos25m8ivg.cloudfront.net/Documentos/631/06554098313/6310655409831311092023090313.pdf","https://dpmzos25m8ivg.cloudfront.net/Documentos/631/06554098313/6310655409831311092023090313.pdf")</f>
        <v>https://dpmzos25m8ivg.cloudfront.net/Documentos/631/06554098313/6310655409831311092023090313.pdf</v>
      </c>
      <c r="F3156" s="5" t="str">
        <f>HYPERLINK("https://dpmzos25m8ivg.cloudfront.net/Documentos/631/06554098313/6310655409831311092023090323.pdf","https://dpmzos25m8ivg.cloudfront.net/Documentos/631/06554098313/6310655409831311092023090323.pdf")</f>
        <v>https://dpmzos25m8ivg.cloudfront.net/Documentos/631/06554098313/6310655409831311092023090323.pdf</v>
      </c>
      <c r="G3156" s="5" t="str">
        <f>HYPERLINK("https://dpmzos25m8ivg.cloudfront.net/Documentos/631/06554098313/6310655409831311092023090331.pdf","https://dpmzos25m8ivg.cloudfront.net/Documentos/631/06554098313/6310655409831311092023090331.pdf")</f>
        <v>https://dpmzos25m8ivg.cloudfront.net/Documentos/631/06554098313/6310655409831311092023090331.pdf</v>
      </c>
      <c r="H3156" s="5" t="s">
        <v>11734</v>
      </c>
    </row>
    <row r="3157" spans="1:8" x14ac:dyDescent="0.25">
      <c r="A3157" s="2" t="s">
        <v>3175</v>
      </c>
      <c r="B3157" s="3"/>
      <c r="C3157" s="3"/>
      <c r="D3157" s="3"/>
      <c r="E3157" s="5" t="str">
        <f>HYPERLINK("https://dpmzos25m8ivg.cloudfront.net/Documentos/631/06554896570/6310655489657011092023141957.pdf","https://dpmzos25m8ivg.cloudfront.net/Documentos/631/06554896570/6310655489657011092023141957.pdf")</f>
        <v>https://dpmzos25m8ivg.cloudfront.net/Documentos/631/06554896570/6310655489657011092023141957.pdf</v>
      </c>
      <c r="F3157" s="5" t="str">
        <f>HYPERLINK("https://dpmzos25m8ivg.cloudfront.net/Documentos/631/06554896570/6310655489657011092023142006.pdf","https://dpmzos25m8ivg.cloudfront.net/Documentos/631/06554896570/6310655489657011092023142006.pdf")</f>
        <v>https://dpmzos25m8ivg.cloudfront.net/Documentos/631/06554896570/6310655489657011092023142006.pdf</v>
      </c>
      <c r="G3157" s="5" t="str">
        <f>HYPERLINK("https://dpmzos25m8ivg.cloudfront.net/Documentos/631/06554896570/6310655489657011092023142014.pdf","https://dpmzos25m8ivg.cloudfront.net/Documentos/631/06554896570/6310655489657011092023142014.pdf")</f>
        <v>https://dpmzos25m8ivg.cloudfront.net/Documentos/631/06554896570/6310655489657011092023142014.pdf</v>
      </c>
      <c r="H3157" s="5" t="s">
        <v>11735</v>
      </c>
    </row>
    <row r="3158" spans="1:8" x14ac:dyDescent="0.25">
      <c r="A3158" s="2" t="s">
        <v>3176</v>
      </c>
      <c r="B3158" s="3"/>
      <c r="C3158" s="3"/>
      <c r="D3158" s="3"/>
      <c r="E3158" s="5" t="str">
        <f>HYPERLINK("https://dpmzos25m8ivg.cloudfront.net/Documentos/631/06556487392/6310655648739209092023153358.pdf","https://dpmzos25m8ivg.cloudfront.net/Documentos/631/06556487392/6310655648739209092023153358.pdf")</f>
        <v>https://dpmzos25m8ivg.cloudfront.net/Documentos/631/06556487392/6310655648739209092023153358.pdf</v>
      </c>
      <c r="F3158" s="5" t="str">
        <f>HYPERLINK("https://dpmzos25m8ivg.cloudfront.net/Documentos/631/06556487392/6310655648739209092023153413.pdf","https://dpmzos25m8ivg.cloudfront.net/Documentos/631/06556487392/6310655648739209092023153413.pdf")</f>
        <v>https://dpmzos25m8ivg.cloudfront.net/Documentos/631/06556487392/6310655648739209092023153413.pdf</v>
      </c>
      <c r="G3158" s="5" t="str">
        <f>HYPERLINK("https://dpmzos25m8ivg.cloudfront.net/Documentos/631/06556487392/6310655648739209092023153428.pdf","https://dpmzos25m8ivg.cloudfront.net/Documentos/631/06556487392/6310655648739209092023153428.pdf")</f>
        <v>https://dpmzos25m8ivg.cloudfront.net/Documentos/631/06556487392/6310655648739209092023153428.pdf</v>
      </c>
      <c r="H3158" s="5" t="s">
        <v>11736</v>
      </c>
    </row>
    <row r="3159" spans="1:8" x14ac:dyDescent="0.25">
      <c r="A3159" s="2" t="s">
        <v>3177</v>
      </c>
      <c r="B3159" s="3"/>
      <c r="C3159" s="3"/>
      <c r="D3159" s="3"/>
      <c r="E3159" s="5" t="str">
        <f>HYPERLINK("https://dpmzos25m8ivg.cloudfront.net/Documentos/631/06556542164/6310655654216409092023185138.pdf","https://dpmzos25m8ivg.cloudfront.net/Documentos/631/06556542164/6310655654216409092023185138.pdf")</f>
        <v>https://dpmzos25m8ivg.cloudfront.net/Documentos/631/06556542164/6310655654216409092023185138.pdf</v>
      </c>
      <c r="F3159" s="5" t="str">
        <f>HYPERLINK("https://dpmzos25m8ivg.cloudfront.net/Documentos/631/06556542164/6310655654216409092023185146.pdf","https://dpmzos25m8ivg.cloudfront.net/Documentos/631/06556542164/6310655654216409092023185146.pdf")</f>
        <v>https://dpmzos25m8ivg.cloudfront.net/Documentos/631/06556542164/6310655654216409092023185146.pdf</v>
      </c>
      <c r="G3159" s="5" t="str">
        <f>HYPERLINK("https://dpmzos25m8ivg.cloudfront.net/Documentos/631/06556542164/6310655654216409092023185154.pdf","https://dpmzos25m8ivg.cloudfront.net/Documentos/631/06556542164/6310655654216409092023185154.pdf")</f>
        <v>https://dpmzos25m8ivg.cloudfront.net/Documentos/631/06556542164/6310655654216409092023185154.pdf</v>
      </c>
      <c r="H3159" s="5" t="s">
        <v>11737</v>
      </c>
    </row>
    <row r="3160" spans="1:8" x14ac:dyDescent="0.25">
      <c r="A3160" s="2" t="s">
        <v>3178</v>
      </c>
      <c r="B3160" s="3"/>
      <c r="C3160" s="3"/>
      <c r="D3160" s="3"/>
      <c r="E3160" s="5" t="str">
        <f>HYPERLINK("https://dpmzos25m8ivg.cloudfront.net/Documentos/631/06556931578/6310655693157810092023225515.pdf","https://dpmzos25m8ivg.cloudfront.net/Documentos/631/06556931578/6310655693157810092023225515.pdf")</f>
        <v>https://dpmzos25m8ivg.cloudfront.net/Documentos/631/06556931578/6310655693157810092023225515.pdf</v>
      </c>
      <c r="F3160" s="5" t="str">
        <f>HYPERLINK("https://dpmzos25m8ivg.cloudfront.net/Documentos/631/06556931578/6310655693157810092023225547.pdf","https://dpmzos25m8ivg.cloudfront.net/Documentos/631/06556931578/6310655693157810092023225547.pdf")</f>
        <v>https://dpmzos25m8ivg.cloudfront.net/Documentos/631/06556931578/6310655693157810092023225547.pdf</v>
      </c>
      <c r="G3160" s="5" t="str">
        <f>HYPERLINK("https://dpmzos25m8ivg.cloudfront.net/Documentos/631/06556931578/6310655693157810092023225600.pdf","https://dpmzos25m8ivg.cloudfront.net/Documentos/631/06556931578/6310655693157810092023225600.pdf")</f>
        <v>https://dpmzos25m8ivg.cloudfront.net/Documentos/631/06556931578/6310655693157810092023225600.pdf</v>
      </c>
      <c r="H3160" s="5" t="s">
        <v>11738</v>
      </c>
    </row>
    <row r="3161" spans="1:8" x14ac:dyDescent="0.25">
      <c r="A3161" s="2" t="s">
        <v>3179</v>
      </c>
      <c r="B3161" s="3"/>
      <c r="C3161" s="3"/>
      <c r="D3161" s="3"/>
      <c r="E3161" s="5" t="str">
        <f>HYPERLINK("https://dpmzos25m8ivg.cloudfront.net/Documentos/631/06558942330/6310655894233014092023133413.pdf","https://dpmzos25m8ivg.cloudfront.net/Documentos/631/06558942330/6310655894233014092023133413.pdf")</f>
        <v>https://dpmzos25m8ivg.cloudfront.net/Documentos/631/06558942330/6310655894233014092023133413.pdf</v>
      </c>
      <c r="F3161" s="5" t="str">
        <f>HYPERLINK("https://dpmzos25m8ivg.cloudfront.net/Documentos/631/06558942330/6310655894233014092023133423.pdf","https://dpmzos25m8ivg.cloudfront.net/Documentos/631/06558942330/6310655894233014092023133423.pdf")</f>
        <v>https://dpmzos25m8ivg.cloudfront.net/Documentos/631/06558942330/6310655894233014092023133423.pdf</v>
      </c>
      <c r="G3161" s="5" t="str">
        <f>HYPERLINK("https://dpmzos25m8ivg.cloudfront.net/Documentos/631/06558942330/6310655894233014092023133434.pdf","https://dpmzos25m8ivg.cloudfront.net/Documentos/631/06558942330/6310655894233014092023133434.pdf")</f>
        <v>https://dpmzos25m8ivg.cloudfront.net/Documentos/631/06558942330/6310655894233014092023133434.pdf</v>
      </c>
      <c r="H3161" s="5" t="s">
        <v>11739</v>
      </c>
    </row>
    <row r="3162" spans="1:8" x14ac:dyDescent="0.25">
      <c r="A3162" s="2" t="s">
        <v>3180</v>
      </c>
      <c r="B3162" s="3"/>
      <c r="C3162" s="3"/>
      <c r="D3162" s="3"/>
      <c r="E3162" s="5" t="str">
        <f>HYPERLINK("https://dpmzos25m8ivg.cloudfront.net/Documentos/631/06559932400/6310655993240006092023001916.pdf","https://dpmzos25m8ivg.cloudfront.net/Documentos/631/06559932400/6310655993240006092023001916.pdf")</f>
        <v>https://dpmzos25m8ivg.cloudfront.net/Documentos/631/06559932400/6310655993240006092023001916.pdf</v>
      </c>
      <c r="F3162" s="5" t="str">
        <f>HYPERLINK("https://dpmzos25m8ivg.cloudfront.net/Documentos/631/06559932400/6310655993240006092023001936.pdf","https://dpmzos25m8ivg.cloudfront.net/Documentos/631/06559932400/6310655993240006092023001936.pdf")</f>
        <v>https://dpmzos25m8ivg.cloudfront.net/Documentos/631/06559932400/6310655993240006092023001936.pdf</v>
      </c>
      <c r="G3162" s="5" t="str">
        <f>HYPERLINK("https://dpmzos25m8ivg.cloudfront.net/Documentos/631/06559932400/6310655993240006092023001956.pdf","https://dpmzos25m8ivg.cloudfront.net/Documentos/631/06559932400/6310655993240006092023001956.pdf")</f>
        <v>https://dpmzos25m8ivg.cloudfront.net/Documentos/631/06559932400/6310655993240006092023001956.pdf</v>
      </c>
      <c r="H3162" s="5" t="s">
        <v>11740</v>
      </c>
    </row>
    <row r="3163" spans="1:8" x14ac:dyDescent="0.25">
      <c r="A3163" s="2" t="s">
        <v>3181</v>
      </c>
      <c r="B3163" s="3"/>
      <c r="C3163" s="3"/>
      <c r="D3163" s="3"/>
      <c r="E3163" s="5" t="str">
        <f>HYPERLINK("https://dpmzos25m8ivg.cloudfront.net/Documentos/631/06560462366/6310656046236608092023182423.pdf","https://dpmzos25m8ivg.cloudfront.net/Documentos/631/06560462366/6310656046236608092023182423.pdf")</f>
        <v>https://dpmzos25m8ivg.cloudfront.net/Documentos/631/06560462366/6310656046236608092023182423.pdf</v>
      </c>
      <c r="F3163" s="5" t="str">
        <f>HYPERLINK("https://dpmzos25m8ivg.cloudfront.net/Documentos/631/06560462366/6310656046236608092023182441.pdf","https://dpmzos25m8ivg.cloudfront.net/Documentos/631/06560462366/6310656046236608092023182441.pdf")</f>
        <v>https://dpmzos25m8ivg.cloudfront.net/Documentos/631/06560462366/6310656046236608092023182441.pdf</v>
      </c>
      <c r="G3163" s="5" t="str">
        <f>HYPERLINK("https://dpmzos25m8ivg.cloudfront.net/Documentos/631/06560462366/6310656046236608092023182511.pdf","https://dpmzos25m8ivg.cloudfront.net/Documentos/631/06560462366/6310656046236608092023182511.pdf")</f>
        <v>https://dpmzos25m8ivg.cloudfront.net/Documentos/631/06560462366/6310656046236608092023182511.pdf</v>
      </c>
      <c r="H3163" s="5" t="s">
        <v>11741</v>
      </c>
    </row>
    <row r="3164" spans="1:8" x14ac:dyDescent="0.25">
      <c r="A3164" s="2" t="s">
        <v>3182</v>
      </c>
      <c r="B3164" s="3"/>
      <c r="C3164" s="3"/>
      <c r="D3164" s="3"/>
      <c r="E3164" s="5" t="str">
        <f>HYPERLINK("https://dpmzos25m8ivg.cloudfront.net/Documentos/631/06561758340/6310656175834011092023003129.pdf","https://dpmzos25m8ivg.cloudfront.net/Documentos/631/06561758340/6310656175834011092023003129.pdf")</f>
        <v>https://dpmzos25m8ivg.cloudfront.net/Documentos/631/06561758340/6310656175834011092023003129.pdf</v>
      </c>
      <c r="F3164" s="5" t="str">
        <f>HYPERLINK("https://dpmzos25m8ivg.cloudfront.net/Documentos/631/06561758340/6310656175834011092023003140.pdf","https://dpmzos25m8ivg.cloudfront.net/Documentos/631/06561758340/6310656175834011092023003140.pdf")</f>
        <v>https://dpmzos25m8ivg.cloudfront.net/Documentos/631/06561758340/6310656175834011092023003140.pdf</v>
      </c>
      <c r="G3164" s="5" t="str">
        <f>HYPERLINK("https://dpmzos25m8ivg.cloudfront.net/Documentos/631/06561758340/6310656175834011092023003152.pdf","https://dpmzos25m8ivg.cloudfront.net/Documentos/631/06561758340/6310656175834011092023003152.pdf")</f>
        <v>https://dpmzos25m8ivg.cloudfront.net/Documentos/631/06561758340/6310656175834011092023003152.pdf</v>
      </c>
      <c r="H3164" s="5" t="s">
        <v>11742</v>
      </c>
    </row>
    <row r="3165" spans="1:8" x14ac:dyDescent="0.25">
      <c r="A3165" s="2" t="s">
        <v>3183</v>
      </c>
      <c r="B3165" s="3"/>
      <c r="C3165" s="3"/>
      <c r="D3165" s="3"/>
      <c r="E3165" s="5" t="str">
        <f>HYPERLINK("https://dpmzos25m8ivg.cloudfront.net/Documentos/631/06565081328/6310656508132809092023170655.pdf","https://dpmzos25m8ivg.cloudfront.net/Documentos/631/06565081328/6310656508132809092023170655.pdf")</f>
        <v>https://dpmzos25m8ivg.cloudfront.net/Documentos/631/06565081328/6310656508132809092023170655.pdf</v>
      </c>
      <c r="F3165" s="5" t="str">
        <f>HYPERLINK("https://dpmzos25m8ivg.cloudfront.net/Documentos/631/06565081328/6310656508132809092023170706.pdf","https://dpmzos25m8ivg.cloudfront.net/Documentos/631/06565081328/6310656508132809092023170706.pdf")</f>
        <v>https://dpmzos25m8ivg.cloudfront.net/Documentos/631/06565081328/6310656508132809092023170706.pdf</v>
      </c>
      <c r="G3165" s="5" t="str">
        <f>HYPERLINK("https://dpmzos25m8ivg.cloudfront.net/Documentos/631/06565081328/6310656508132809092023170717.pdf","https://dpmzos25m8ivg.cloudfront.net/Documentos/631/06565081328/6310656508132809092023170717.pdf")</f>
        <v>https://dpmzos25m8ivg.cloudfront.net/Documentos/631/06565081328/6310656508132809092023170717.pdf</v>
      </c>
      <c r="H3165" s="5" t="s">
        <v>11743</v>
      </c>
    </row>
    <row r="3166" spans="1:8" x14ac:dyDescent="0.25">
      <c r="A3166" s="2" t="s">
        <v>3184</v>
      </c>
      <c r="B3166" s="3"/>
      <c r="C3166" s="3"/>
      <c r="D3166" s="3"/>
      <c r="E3166" s="5" t="str">
        <f>HYPERLINK("https://dpmzos25m8ivg.cloudfront.net/Documentos/631/06566104500/6310656610450006092023132601.jpg","https://dpmzos25m8ivg.cloudfront.net/Documentos/631/06566104500/6310656610450006092023132601.jpg")</f>
        <v>https://dpmzos25m8ivg.cloudfront.net/Documentos/631/06566104500/6310656610450006092023132601.jpg</v>
      </c>
      <c r="F3166" s="5" t="str">
        <f>HYPERLINK("https://dpmzos25m8ivg.cloudfront.net/Documentos/631/06566104500/6310656610450006092023132620.jpg","https://dpmzos25m8ivg.cloudfront.net/Documentos/631/06566104500/6310656610450006092023132620.jpg")</f>
        <v>https://dpmzos25m8ivg.cloudfront.net/Documentos/631/06566104500/6310656610450006092023132620.jpg</v>
      </c>
      <c r="G3166" s="5" t="str">
        <f>HYPERLINK("https://dpmzos25m8ivg.cloudfront.net/Documentos/631/06566104500/6310656610450006092023132633.jpg","https://dpmzos25m8ivg.cloudfront.net/Documentos/631/06566104500/6310656610450006092023132633.jpg")</f>
        <v>https://dpmzos25m8ivg.cloudfront.net/Documentos/631/06566104500/6310656610450006092023132633.jpg</v>
      </c>
      <c r="H3166" s="5" t="s">
        <v>11744</v>
      </c>
    </row>
    <row r="3167" spans="1:8" x14ac:dyDescent="0.25">
      <c r="A3167" s="2" t="s">
        <v>3185</v>
      </c>
      <c r="B3167" s="3"/>
      <c r="C3167" s="3"/>
      <c r="D3167" s="3"/>
      <c r="E3167" s="5" t="str">
        <f>HYPERLINK("https://dpmzos25m8ivg.cloudfront.net/Documentos/631/06574272505/6310657427250511092023145454.pdf","https://dpmzos25m8ivg.cloudfront.net/Documentos/631/06574272505/6310657427250511092023145454.pdf")</f>
        <v>https://dpmzos25m8ivg.cloudfront.net/Documentos/631/06574272505/6310657427250511092023145454.pdf</v>
      </c>
      <c r="F3167" s="5" t="str">
        <f>HYPERLINK("https://dpmzos25m8ivg.cloudfront.net/Documentos/631/06574272505/6310657427250511092023145505.pdf","https://dpmzos25m8ivg.cloudfront.net/Documentos/631/06574272505/6310657427250511092023145505.pdf")</f>
        <v>https://dpmzos25m8ivg.cloudfront.net/Documentos/631/06574272505/6310657427250511092023145505.pdf</v>
      </c>
      <c r="G3167" s="5" t="str">
        <f>HYPERLINK("https://dpmzos25m8ivg.cloudfront.net/Documentos/631/06574272505/6310657427250511092023145519.pdf","https://dpmzos25m8ivg.cloudfront.net/Documentos/631/06574272505/6310657427250511092023145519.pdf")</f>
        <v>https://dpmzos25m8ivg.cloudfront.net/Documentos/631/06574272505/6310657427250511092023145519.pdf</v>
      </c>
      <c r="H3167" s="5" t="s">
        <v>11745</v>
      </c>
    </row>
    <row r="3168" spans="1:8" x14ac:dyDescent="0.25">
      <c r="A3168" s="2" t="s">
        <v>3186</v>
      </c>
      <c r="B3168" s="3"/>
      <c r="C3168" s="3"/>
      <c r="D3168" s="3"/>
      <c r="E3168" s="5" t="str">
        <f>HYPERLINK("https://dpmzos25m8ivg.cloudfront.net/Documentos/631/06578939431/6310657893943108092023192537.pdf","https://dpmzos25m8ivg.cloudfront.net/Documentos/631/06578939431/6310657893943108092023192537.pdf")</f>
        <v>https://dpmzos25m8ivg.cloudfront.net/Documentos/631/06578939431/6310657893943108092023192537.pdf</v>
      </c>
      <c r="F3168" s="5" t="str">
        <f>HYPERLINK("https://dpmzos25m8ivg.cloudfront.net/Documentos/631/06578939431/6310657893943108092023194559.pdf","https://dpmzos25m8ivg.cloudfront.net/Documentos/631/06578939431/6310657893943108092023194559.pdf")</f>
        <v>https://dpmzos25m8ivg.cloudfront.net/Documentos/631/06578939431/6310657893943108092023194559.pdf</v>
      </c>
      <c r="G3168" s="5" t="str">
        <f>HYPERLINK("https://dpmzos25m8ivg.cloudfront.net/Documentos/631/06578939431/6310657893943108092023192617.pdf","https://dpmzos25m8ivg.cloudfront.net/Documentos/631/06578939431/6310657893943108092023192617.pdf")</f>
        <v>https://dpmzos25m8ivg.cloudfront.net/Documentos/631/06578939431/6310657893943108092023192617.pdf</v>
      </c>
      <c r="H3168" s="5" t="s">
        <v>11746</v>
      </c>
    </row>
    <row r="3169" spans="1:8" x14ac:dyDescent="0.25">
      <c r="A3169" s="2" t="s">
        <v>3187</v>
      </c>
      <c r="B3169" s="3"/>
      <c r="C3169" s="3"/>
      <c r="D3169" s="3"/>
      <c r="E3169" s="5" t="str">
        <f>HYPERLINK("https://dpmzos25m8ivg.cloudfront.net/Documentos/631/06585008480/6310658500848011092023095343.jpeg","https://dpmzos25m8ivg.cloudfront.net/Documentos/631/06585008480/6310658500848011092023095343.jpeg")</f>
        <v>https://dpmzos25m8ivg.cloudfront.net/Documentos/631/06585008480/6310658500848011092023095343.jpeg</v>
      </c>
      <c r="F3169" s="5" t="str">
        <f>HYPERLINK("https://dpmzos25m8ivg.cloudfront.net/Documentos/631/06585008480/6310658500848011092023095351.jpeg","https://dpmzos25m8ivg.cloudfront.net/Documentos/631/06585008480/6310658500848011092023095351.jpeg")</f>
        <v>https://dpmzos25m8ivg.cloudfront.net/Documentos/631/06585008480/6310658500848011092023095351.jpeg</v>
      </c>
      <c r="G3169" s="5" t="str">
        <f>HYPERLINK("https://dpmzos25m8ivg.cloudfront.net/Documentos/631/06585008480/6310658500848011092023095401.jpeg","https://dpmzos25m8ivg.cloudfront.net/Documentos/631/06585008480/6310658500848011092023095401.jpeg")</f>
        <v>https://dpmzos25m8ivg.cloudfront.net/Documentos/631/06585008480/6310658500848011092023095401.jpeg</v>
      </c>
      <c r="H3169" s="5" t="s">
        <v>11747</v>
      </c>
    </row>
    <row r="3170" spans="1:8" x14ac:dyDescent="0.25">
      <c r="A3170" s="2" t="s">
        <v>3188</v>
      </c>
      <c r="B3170" s="3"/>
      <c r="C3170" s="3"/>
      <c r="D3170" s="3"/>
      <c r="E3170" s="5" t="str">
        <f>HYPERLINK("https://dpmzos25m8ivg.cloudfront.net/Documentos/631/06589321523/6310658932152311092023161913.jpeg","https://dpmzos25m8ivg.cloudfront.net/Documentos/631/06589321523/6310658932152311092023161913.jpeg")</f>
        <v>https://dpmzos25m8ivg.cloudfront.net/Documentos/631/06589321523/6310658932152311092023161913.jpeg</v>
      </c>
      <c r="F3170" s="5" t="str">
        <f>HYPERLINK("https://dpmzos25m8ivg.cloudfront.net/Documentos/631/06589321523/6310658932152311092023161933.jpeg","https://dpmzos25m8ivg.cloudfront.net/Documentos/631/06589321523/6310658932152311092023161933.jpeg")</f>
        <v>https://dpmzos25m8ivg.cloudfront.net/Documentos/631/06589321523/6310658932152311092023161933.jpeg</v>
      </c>
      <c r="G3170" s="5" t="str">
        <f>HYPERLINK("https://dpmzos25m8ivg.cloudfront.net/Documentos/631/06589321523/6310658932152311092023161945.jpeg","https://dpmzos25m8ivg.cloudfront.net/Documentos/631/06589321523/6310658932152311092023161945.jpeg")</f>
        <v>https://dpmzos25m8ivg.cloudfront.net/Documentos/631/06589321523/6310658932152311092023161945.jpeg</v>
      </c>
      <c r="H3170" s="5" t="s">
        <v>11748</v>
      </c>
    </row>
    <row r="3171" spans="1:8" x14ac:dyDescent="0.25">
      <c r="A3171" s="2" t="s">
        <v>3189</v>
      </c>
      <c r="B3171" s="3"/>
      <c r="C3171" s="3"/>
      <c r="D3171" s="3"/>
      <c r="E3171" s="5" t="str">
        <f>HYPERLINK("https://dpmzos25m8ivg.cloudfront.net/Documentos/631/06592587300/6310659258730009092023110126.pdf","https://dpmzos25m8ivg.cloudfront.net/Documentos/631/06592587300/6310659258730009092023110126.pdf")</f>
        <v>https://dpmzos25m8ivg.cloudfront.net/Documentos/631/06592587300/6310659258730009092023110126.pdf</v>
      </c>
      <c r="F3171" s="5" t="str">
        <f>HYPERLINK("https://dpmzos25m8ivg.cloudfront.net/Documentos/631/06592587300/6310659258730009092023110136.pdf","https://dpmzos25m8ivg.cloudfront.net/Documentos/631/06592587300/6310659258730009092023110136.pdf")</f>
        <v>https://dpmzos25m8ivg.cloudfront.net/Documentos/631/06592587300/6310659258730009092023110136.pdf</v>
      </c>
      <c r="G3171" s="5" t="str">
        <f>HYPERLINK("https://dpmzos25m8ivg.cloudfront.net/Documentos/631/06592587300/6310659258730009092023110148.pdf","https://dpmzos25m8ivg.cloudfront.net/Documentos/631/06592587300/6310659258730009092023110148.pdf")</f>
        <v>https://dpmzos25m8ivg.cloudfront.net/Documentos/631/06592587300/6310659258730009092023110148.pdf</v>
      </c>
      <c r="H3171" s="5" t="s">
        <v>11749</v>
      </c>
    </row>
    <row r="3172" spans="1:8" x14ac:dyDescent="0.25">
      <c r="A3172" s="2" t="s">
        <v>3190</v>
      </c>
      <c r="B3172" s="3"/>
      <c r="C3172" s="3"/>
      <c r="D3172" s="3"/>
      <c r="E3172" s="5" t="str">
        <f>HYPERLINK("https://dpmzos25m8ivg.cloudfront.net/Documentos/631/06592965517/6310659296551707092023203142.pdf","https://dpmzos25m8ivg.cloudfront.net/Documentos/631/06592965517/6310659296551707092023203142.pdf")</f>
        <v>https://dpmzos25m8ivg.cloudfront.net/Documentos/631/06592965517/6310659296551707092023203142.pdf</v>
      </c>
      <c r="F3172" s="5" t="str">
        <f>HYPERLINK("https://dpmzos25m8ivg.cloudfront.net/Documentos/631/06592965517/6310659296551707092023203157.pdf","https://dpmzos25m8ivg.cloudfront.net/Documentos/631/06592965517/6310659296551707092023203157.pdf")</f>
        <v>https://dpmzos25m8ivg.cloudfront.net/Documentos/631/06592965517/6310659296551707092023203157.pdf</v>
      </c>
      <c r="G3172" s="5" t="str">
        <f>HYPERLINK("https://dpmzos25m8ivg.cloudfront.net/Documentos/631/06592965517/6310659296551707092023203236.pdf","https://dpmzos25m8ivg.cloudfront.net/Documentos/631/06592965517/6310659296551707092023203236.pdf")</f>
        <v>https://dpmzos25m8ivg.cloudfront.net/Documentos/631/06592965517/6310659296551707092023203236.pdf</v>
      </c>
      <c r="H3172" s="5" t="s">
        <v>11750</v>
      </c>
    </row>
    <row r="3173" spans="1:8" x14ac:dyDescent="0.25">
      <c r="A3173" s="2" t="s">
        <v>3191</v>
      </c>
      <c r="B3173" s="3"/>
      <c r="C3173" s="3"/>
      <c r="D3173" s="3"/>
      <c r="E3173" s="5" t="str">
        <f>HYPERLINK("https://dpmzos25m8ivg.cloudfront.net/Documentos/631/06593544540/6310659354454014092023075841.pdf","https://dpmzos25m8ivg.cloudfront.net/Documentos/631/06593544540/6310659354454014092023075841.pdf")</f>
        <v>https://dpmzos25m8ivg.cloudfront.net/Documentos/631/06593544540/6310659354454014092023075841.pdf</v>
      </c>
      <c r="F3173" s="5" t="str">
        <f>HYPERLINK("https://dpmzos25m8ivg.cloudfront.net/Documentos/631/06593544540/6310659354454014092023082759.pdf","https://dpmzos25m8ivg.cloudfront.net/Documentos/631/06593544540/6310659354454014092023082759.pdf")</f>
        <v>https://dpmzos25m8ivg.cloudfront.net/Documentos/631/06593544540/6310659354454014092023082759.pdf</v>
      </c>
      <c r="G3173" s="5" t="str">
        <f>HYPERLINK("https://dpmzos25m8ivg.cloudfront.net/Documentos/631/06593544540/6310659354454014092023082806.pdf","https://dpmzos25m8ivg.cloudfront.net/Documentos/631/06593544540/6310659354454014092023082806.pdf")</f>
        <v>https://dpmzos25m8ivg.cloudfront.net/Documentos/631/06593544540/6310659354454014092023082806.pdf</v>
      </c>
      <c r="H3173" s="5" t="s">
        <v>11751</v>
      </c>
    </row>
    <row r="3174" spans="1:8" x14ac:dyDescent="0.25">
      <c r="A3174" s="2" t="s">
        <v>3192</v>
      </c>
      <c r="B3174" s="3"/>
      <c r="C3174" s="3"/>
      <c r="D3174" s="3"/>
      <c r="E3174" s="5" t="str">
        <f>HYPERLINK("https://dpmzos25m8ivg.cloudfront.net/Documentos/631/06594747517/6310659474751710092023090130.jpeg","https://dpmzos25m8ivg.cloudfront.net/Documentos/631/06594747517/6310659474751710092023090130.jpeg")</f>
        <v>https://dpmzos25m8ivg.cloudfront.net/Documentos/631/06594747517/6310659474751710092023090130.jpeg</v>
      </c>
      <c r="F3174" s="5" t="str">
        <f>HYPERLINK("https://dpmzos25m8ivg.cloudfront.net/Documentos/631/06594747517/6310659474751710092023090202.jpeg","https://dpmzos25m8ivg.cloudfront.net/Documentos/631/06594747517/6310659474751710092023090202.jpeg")</f>
        <v>https://dpmzos25m8ivg.cloudfront.net/Documentos/631/06594747517/6310659474751710092023090202.jpeg</v>
      </c>
      <c r="G3174" s="5" t="str">
        <f>HYPERLINK("https://dpmzos25m8ivg.cloudfront.net/Documentos/631/06594747517/6310659474751710092023090233.jpeg","https://dpmzos25m8ivg.cloudfront.net/Documentos/631/06594747517/6310659474751710092023090233.jpeg")</f>
        <v>https://dpmzos25m8ivg.cloudfront.net/Documentos/631/06594747517/6310659474751710092023090233.jpeg</v>
      </c>
      <c r="H3174" s="5" t="s">
        <v>11752</v>
      </c>
    </row>
    <row r="3175" spans="1:8" x14ac:dyDescent="0.25">
      <c r="A3175" s="2" t="s">
        <v>3193</v>
      </c>
      <c r="B3175" s="3"/>
      <c r="C3175" s="3"/>
      <c r="D3175" s="3"/>
      <c r="E3175" s="5" t="str">
        <f>HYPERLINK("https://dpmzos25m8ivg.cloudfront.net/Documentos/631/06595623595/6310659562359508092023120709.pdf","https://dpmzos25m8ivg.cloudfront.net/Documentos/631/06595623595/6310659562359508092023120709.pdf")</f>
        <v>https://dpmzos25m8ivg.cloudfront.net/Documentos/631/06595623595/6310659562359508092023120709.pdf</v>
      </c>
      <c r="F3175" s="5" t="str">
        <f>HYPERLINK("https://dpmzos25m8ivg.cloudfront.net/Documentos/631/06595623595/6310659562359508092023120744.pdf","https://dpmzos25m8ivg.cloudfront.net/Documentos/631/06595623595/6310659562359508092023120744.pdf")</f>
        <v>https://dpmzos25m8ivg.cloudfront.net/Documentos/631/06595623595/6310659562359508092023120744.pdf</v>
      </c>
      <c r="G3175" s="5" t="str">
        <f>HYPERLINK("https://dpmzos25m8ivg.cloudfront.net/Documentos/631/06595623595/6310659562359508092023120754.pdf","https://dpmzos25m8ivg.cloudfront.net/Documentos/631/06595623595/6310659562359508092023120754.pdf")</f>
        <v>https://dpmzos25m8ivg.cloudfront.net/Documentos/631/06595623595/6310659562359508092023120754.pdf</v>
      </c>
      <c r="H3175" s="5" t="s">
        <v>11753</v>
      </c>
    </row>
    <row r="3176" spans="1:8" x14ac:dyDescent="0.25">
      <c r="A3176" s="2" t="s">
        <v>3194</v>
      </c>
      <c r="B3176" s="3"/>
      <c r="C3176" s="3"/>
      <c r="D3176" s="3"/>
      <c r="E3176" s="5" t="str">
        <f>HYPERLINK("https://dpmzos25m8ivg.cloudfront.net/Documentos/631/06599219527/6310659921952707092023161256.pdf","https://dpmzos25m8ivg.cloudfront.net/Documentos/631/06599219527/6310659921952707092023161256.pdf")</f>
        <v>https://dpmzos25m8ivg.cloudfront.net/Documentos/631/06599219527/6310659921952707092023161256.pdf</v>
      </c>
      <c r="F3176" s="5" t="str">
        <f>HYPERLINK("https://dpmzos25m8ivg.cloudfront.net/Documentos/631/06599219527/6310659921952707092023161313.pdf","https://dpmzos25m8ivg.cloudfront.net/Documentos/631/06599219527/6310659921952707092023161313.pdf")</f>
        <v>https://dpmzos25m8ivg.cloudfront.net/Documentos/631/06599219527/6310659921952707092023161313.pdf</v>
      </c>
      <c r="G3176" s="5" t="str">
        <f>HYPERLINK("https://dpmzos25m8ivg.cloudfront.net/Documentos/631/06599219527/6310659921952707092023161336.pdf","https://dpmzos25m8ivg.cloudfront.net/Documentos/631/06599219527/6310659921952707092023161336.pdf")</f>
        <v>https://dpmzos25m8ivg.cloudfront.net/Documentos/631/06599219527/6310659921952707092023161336.pdf</v>
      </c>
      <c r="H3176" s="5" t="s">
        <v>11754</v>
      </c>
    </row>
    <row r="3177" spans="1:8" x14ac:dyDescent="0.25">
      <c r="A3177" s="2" t="s">
        <v>3195</v>
      </c>
      <c r="B3177" s="3"/>
      <c r="C3177" s="3"/>
      <c r="D3177" s="3"/>
      <c r="E3177" s="5" t="str">
        <f>HYPERLINK("https://dpmzos25m8ivg.cloudfront.net/Documentos/631/06600857129/6310660085712911092023094511.pdf","https://dpmzos25m8ivg.cloudfront.net/Documentos/631/06600857129/6310660085712911092023094511.pdf")</f>
        <v>https://dpmzos25m8ivg.cloudfront.net/Documentos/631/06600857129/6310660085712911092023094511.pdf</v>
      </c>
      <c r="F3177" s="5" t="str">
        <f>HYPERLINK("https://dpmzos25m8ivg.cloudfront.net/Documentos/631/06600857129/6310660085712911092023094522.pdf","https://dpmzos25m8ivg.cloudfront.net/Documentos/631/06600857129/6310660085712911092023094522.pdf")</f>
        <v>https://dpmzos25m8ivg.cloudfront.net/Documentos/631/06600857129/6310660085712911092023094522.pdf</v>
      </c>
      <c r="G3177" s="5" t="str">
        <f>HYPERLINK("https://dpmzos25m8ivg.cloudfront.net/Documentos/631/06600857129/6310660085712911092023094533.pdf","https://dpmzos25m8ivg.cloudfront.net/Documentos/631/06600857129/6310660085712911092023094533.pdf")</f>
        <v>https://dpmzos25m8ivg.cloudfront.net/Documentos/631/06600857129/6310660085712911092023094533.pdf</v>
      </c>
      <c r="H3177" s="5" t="s">
        <v>11755</v>
      </c>
    </row>
    <row r="3178" spans="1:8" x14ac:dyDescent="0.25">
      <c r="A3178" s="2" t="s">
        <v>3196</v>
      </c>
      <c r="B3178" s="3"/>
      <c r="C3178" s="3"/>
      <c r="D3178" s="3"/>
      <c r="E3178" s="5" t="str">
        <f>HYPERLINK("https://dpmzos25m8ivg.cloudfront.net/Documentos/631/06602155946/6310660215594611092023154140.pdf","https://dpmzos25m8ivg.cloudfront.net/Documentos/631/06602155946/6310660215594611092023154140.pdf")</f>
        <v>https://dpmzos25m8ivg.cloudfront.net/Documentos/631/06602155946/6310660215594611092023154140.pdf</v>
      </c>
      <c r="F3178" s="5" t="str">
        <f>HYPERLINK("https://dpmzos25m8ivg.cloudfront.net/Documentos/631/06602155946/6310660215594611092023154154.pdf","https://dpmzos25m8ivg.cloudfront.net/Documentos/631/06602155946/6310660215594611092023154154.pdf")</f>
        <v>https://dpmzos25m8ivg.cloudfront.net/Documentos/631/06602155946/6310660215594611092023154154.pdf</v>
      </c>
      <c r="G3178" s="5" t="str">
        <f>HYPERLINK("https://dpmzos25m8ivg.cloudfront.net/Documentos/631/06602155946/6310660215594611092023154205.pdf","https://dpmzos25m8ivg.cloudfront.net/Documentos/631/06602155946/6310660215594611092023154205.pdf")</f>
        <v>https://dpmzos25m8ivg.cloudfront.net/Documentos/631/06602155946/6310660215594611092023154205.pdf</v>
      </c>
      <c r="H3178" s="5" t="s">
        <v>11756</v>
      </c>
    </row>
    <row r="3179" spans="1:8" x14ac:dyDescent="0.25">
      <c r="A3179" s="2" t="s">
        <v>3197</v>
      </c>
      <c r="B3179" s="3"/>
      <c r="C3179" s="3"/>
      <c r="D3179" s="3"/>
      <c r="E3179" s="5" t="str">
        <f>HYPERLINK("https://dpmzos25m8ivg.cloudfront.net/Documentos/631/06607908403/6310660790840308092023120425.pdf","https://dpmzos25m8ivg.cloudfront.net/Documentos/631/06607908403/6310660790840308092023120425.pdf")</f>
        <v>https://dpmzos25m8ivg.cloudfront.net/Documentos/631/06607908403/6310660790840308092023120425.pdf</v>
      </c>
      <c r="F3179" s="5" t="str">
        <f>HYPERLINK("https://dpmzos25m8ivg.cloudfront.net/Documentos/631/06607908403/6310660790840308092023120438.pdf","https://dpmzos25m8ivg.cloudfront.net/Documentos/631/06607908403/6310660790840308092023120438.pdf")</f>
        <v>https://dpmzos25m8ivg.cloudfront.net/Documentos/631/06607908403/6310660790840308092023120438.pdf</v>
      </c>
      <c r="G3179" s="5" t="str">
        <f>HYPERLINK("https://dpmzos25m8ivg.cloudfront.net/Documentos/631/06607908403/6310660790840308092023120451.pdf","https://dpmzos25m8ivg.cloudfront.net/Documentos/631/06607908403/6310660790840308092023120451.pdf")</f>
        <v>https://dpmzos25m8ivg.cloudfront.net/Documentos/631/06607908403/6310660790840308092023120451.pdf</v>
      </c>
      <c r="H3179" s="5" t="s">
        <v>11757</v>
      </c>
    </row>
    <row r="3180" spans="1:8" x14ac:dyDescent="0.25">
      <c r="A3180" s="2" t="s">
        <v>3198</v>
      </c>
      <c r="B3180" s="3"/>
      <c r="C3180" s="3"/>
      <c r="D3180" s="3"/>
      <c r="E3180" s="5" t="str">
        <f>HYPERLINK("https://dpmzos25m8ivg.cloudfront.net/Documentos/631/06612062541/6310661206254108092023145719.pdf","https://dpmzos25m8ivg.cloudfront.net/Documentos/631/06612062541/6310661206254108092023145719.pdf")</f>
        <v>https://dpmzos25m8ivg.cloudfront.net/Documentos/631/06612062541/6310661206254108092023145719.pdf</v>
      </c>
      <c r="F3180" s="5" t="str">
        <f>HYPERLINK("https://dpmzos25m8ivg.cloudfront.net/Documentos/631/06612062541/6310661206254108092023145728.pdf","https://dpmzos25m8ivg.cloudfront.net/Documentos/631/06612062541/6310661206254108092023145728.pdf")</f>
        <v>https://dpmzos25m8ivg.cloudfront.net/Documentos/631/06612062541/6310661206254108092023145728.pdf</v>
      </c>
      <c r="G3180" s="5" t="str">
        <f>HYPERLINK("https://dpmzos25m8ivg.cloudfront.net/Documentos/631/06612062541/6310661206254108092023145738.pdf","https://dpmzos25m8ivg.cloudfront.net/Documentos/631/06612062541/6310661206254108092023145738.pdf")</f>
        <v>https://dpmzos25m8ivg.cloudfront.net/Documentos/631/06612062541/6310661206254108092023145738.pdf</v>
      </c>
      <c r="H3180" s="5" t="s">
        <v>11758</v>
      </c>
    </row>
    <row r="3181" spans="1:8" x14ac:dyDescent="0.25">
      <c r="A3181" s="2" t="s">
        <v>3199</v>
      </c>
      <c r="B3181" s="3"/>
      <c r="C3181" s="3"/>
      <c r="D3181" s="3"/>
      <c r="E3181" s="5" t="str">
        <f>HYPERLINK("https://dpmzos25m8ivg.cloudfront.net/Documentos/631/06613393517/6310661339351711092023125232.pdf","https://dpmzos25m8ivg.cloudfront.net/Documentos/631/06613393517/6310661339351711092023125232.pdf")</f>
        <v>https://dpmzos25m8ivg.cloudfront.net/Documentos/631/06613393517/6310661339351711092023125232.pdf</v>
      </c>
      <c r="F3181" s="5" t="str">
        <f>HYPERLINK("https://dpmzos25m8ivg.cloudfront.net/Documentos/631/06613393517/6310661339351711092023125247.pdf","https://dpmzos25m8ivg.cloudfront.net/Documentos/631/06613393517/6310661339351711092023125247.pdf")</f>
        <v>https://dpmzos25m8ivg.cloudfront.net/Documentos/631/06613393517/6310661339351711092023125247.pdf</v>
      </c>
      <c r="G3181" s="5" t="str">
        <f>HYPERLINK("https://dpmzos25m8ivg.cloudfront.net/Documentos/631/06613393517/6310661339351711092023125306.pdf","https://dpmzos25m8ivg.cloudfront.net/Documentos/631/06613393517/6310661339351711092023125306.pdf")</f>
        <v>https://dpmzos25m8ivg.cloudfront.net/Documentos/631/06613393517/6310661339351711092023125306.pdf</v>
      </c>
      <c r="H3181" s="5" t="s">
        <v>11759</v>
      </c>
    </row>
    <row r="3182" spans="1:8" x14ac:dyDescent="0.25">
      <c r="A3182" s="2" t="s">
        <v>3200</v>
      </c>
      <c r="B3182" s="3"/>
      <c r="C3182" s="3"/>
      <c r="D3182" s="3"/>
      <c r="E3182" s="5" t="str">
        <f>HYPERLINK("https://dpmzos25m8ivg.cloudfront.net/Documentos/631/06613798410/6310661379841005092023193827.jpg","https://dpmzos25m8ivg.cloudfront.net/Documentos/631/06613798410/6310661379841005092023193827.jpg")</f>
        <v>https://dpmzos25m8ivg.cloudfront.net/Documentos/631/06613798410/6310661379841005092023193827.jpg</v>
      </c>
      <c r="F3182" s="5" t="str">
        <f>HYPERLINK("https://dpmzos25m8ivg.cloudfront.net/Documentos/631/06613798410/6310661379841005092023193857.jpg","https://dpmzos25m8ivg.cloudfront.net/Documentos/631/06613798410/6310661379841005092023193857.jpg")</f>
        <v>https://dpmzos25m8ivg.cloudfront.net/Documentos/631/06613798410/6310661379841005092023193857.jpg</v>
      </c>
      <c r="G3182" s="5" t="str">
        <f>HYPERLINK("https://dpmzos25m8ivg.cloudfront.net/Documentos/631/06613798410/6310661379841005092023193922.jpg","https://dpmzos25m8ivg.cloudfront.net/Documentos/631/06613798410/6310661379841005092023193922.jpg")</f>
        <v>https://dpmzos25m8ivg.cloudfront.net/Documentos/631/06613798410/6310661379841005092023193922.jpg</v>
      </c>
      <c r="H3182" s="5" t="s">
        <v>11760</v>
      </c>
    </row>
    <row r="3183" spans="1:8" x14ac:dyDescent="0.25">
      <c r="A3183" s="2" t="s">
        <v>3201</v>
      </c>
      <c r="B3183" s="3" t="s">
        <v>8</v>
      </c>
      <c r="C3183" s="3"/>
      <c r="D3183" s="3"/>
      <c r="E3183" s="5" t="str">
        <f>HYPERLINK("https://dpmzos25m8ivg.cloudfront.net/Documentos/631/06615458306/6310661545830611092023161456.pdf","https://dpmzos25m8ivg.cloudfront.net/Documentos/631/06615458306/6310661545830611092023161456.pdf")</f>
        <v>https://dpmzos25m8ivg.cloudfront.net/Documentos/631/06615458306/6310661545830611092023161456.pdf</v>
      </c>
      <c r="F3183" s="5" t="str">
        <f>HYPERLINK("https://dpmzos25m8ivg.cloudfront.net/Documentos/631/06615458306/6310661545830611092023161512.pdf","https://dpmzos25m8ivg.cloudfront.net/Documentos/631/06615458306/6310661545830611092023161512.pdf")</f>
        <v>https://dpmzos25m8ivg.cloudfront.net/Documentos/631/06615458306/6310661545830611092023161512.pdf</v>
      </c>
      <c r="G3183" s="5" t="str">
        <f>HYPERLINK("https://dpmzos25m8ivg.cloudfront.net/Documentos/631/06615458306/6310661545830611092023161529.pdf","https://dpmzos25m8ivg.cloudfront.net/Documentos/631/06615458306/6310661545830611092023161529.pdf")</f>
        <v>https://dpmzos25m8ivg.cloudfront.net/Documentos/631/06615458306/6310661545830611092023161529.pdf</v>
      </c>
      <c r="H3183" s="5" t="s">
        <v>11761</v>
      </c>
    </row>
    <row r="3184" spans="1:8" x14ac:dyDescent="0.25">
      <c r="A3184" s="2" t="s">
        <v>3202</v>
      </c>
      <c r="B3184" s="3"/>
      <c r="C3184" s="3"/>
      <c r="D3184" s="3"/>
      <c r="E3184" s="5" t="str">
        <f>HYPERLINK("https://dpmzos25m8ivg.cloudfront.net/Documentos/631/06615749548/6310661574954805092023214759.jpg","https://dpmzos25m8ivg.cloudfront.net/Documentos/631/06615749548/6310661574954805092023214759.jpg")</f>
        <v>https://dpmzos25m8ivg.cloudfront.net/Documentos/631/06615749548/6310661574954805092023214759.jpg</v>
      </c>
      <c r="F3184" s="5" t="str">
        <f>HYPERLINK("https://dpmzos25m8ivg.cloudfront.net/Documentos/631/06615749548/6310661574954805092023214834.jpg","https://dpmzos25m8ivg.cloudfront.net/Documentos/631/06615749548/6310661574954805092023214834.jpg")</f>
        <v>https://dpmzos25m8ivg.cloudfront.net/Documentos/631/06615749548/6310661574954805092023214834.jpg</v>
      </c>
      <c r="G3184" s="5" t="str">
        <f>HYPERLINK("https://dpmzos25m8ivg.cloudfront.net/Documentos/631/06615749548/6310661574954805092023214854.jpg","https://dpmzos25m8ivg.cloudfront.net/Documentos/631/06615749548/6310661574954805092023214854.jpg")</f>
        <v>https://dpmzos25m8ivg.cloudfront.net/Documentos/631/06615749548/6310661574954805092023214854.jpg</v>
      </c>
      <c r="H3184" s="5" t="s">
        <v>11762</v>
      </c>
    </row>
    <row r="3185" spans="1:8" x14ac:dyDescent="0.25">
      <c r="A3185" s="2" t="s">
        <v>3203</v>
      </c>
      <c r="B3185" s="3" t="s">
        <v>8</v>
      </c>
      <c r="C3185" s="3"/>
      <c r="D3185" s="3"/>
      <c r="E3185" s="5" t="str">
        <f>HYPERLINK("https://dpmzos25m8ivg.cloudfront.net/Documentos/631/06618557593/6310661855759309092023220039.pdf","https://dpmzos25m8ivg.cloudfront.net/Documentos/631/06618557593/6310661855759309092023220039.pdf")</f>
        <v>https://dpmzos25m8ivg.cloudfront.net/Documentos/631/06618557593/6310661855759309092023220039.pdf</v>
      </c>
      <c r="F3185" s="5" t="str">
        <f>HYPERLINK("https://dpmzos25m8ivg.cloudfront.net/Documentos/631/06618557593/6310661855759309092023220106.pdf","https://dpmzos25m8ivg.cloudfront.net/Documentos/631/06618557593/6310661855759309092023220106.pdf")</f>
        <v>https://dpmzos25m8ivg.cloudfront.net/Documentos/631/06618557593/6310661855759309092023220106.pdf</v>
      </c>
      <c r="G3185" s="5" t="str">
        <f>HYPERLINK("https://dpmzos25m8ivg.cloudfront.net/Documentos/631/06618557593/6310661855759309092023220129.pdf","https://dpmzos25m8ivg.cloudfront.net/Documentos/631/06618557593/6310661855759309092023220129.pdf")</f>
        <v>https://dpmzos25m8ivg.cloudfront.net/Documentos/631/06618557593/6310661855759309092023220129.pdf</v>
      </c>
      <c r="H3185" s="5" t="s">
        <v>11763</v>
      </c>
    </row>
    <row r="3186" spans="1:8" x14ac:dyDescent="0.25">
      <c r="A3186" s="2" t="s">
        <v>3204</v>
      </c>
      <c r="B3186" s="3"/>
      <c r="C3186" s="3"/>
      <c r="D3186" s="3"/>
      <c r="E3186" s="5" t="str">
        <f>HYPERLINK("https://dpmzos25m8ivg.cloudfront.net/Documentos/631/06619064345/6310661906434510092023134330.pdf","https://dpmzos25m8ivg.cloudfront.net/Documentos/631/06619064345/6310661906434510092023134330.pdf")</f>
        <v>https://dpmzos25m8ivg.cloudfront.net/Documentos/631/06619064345/6310661906434510092023134330.pdf</v>
      </c>
      <c r="F3186" s="5" t="str">
        <f>HYPERLINK("https://dpmzos25m8ivg.cloudfront.net/Documentos/631/06619064345/6310661906434510092023134348.pdf","https://dpmzos25m8ivg.cloudfront.net/Documentos/631/06619064345/6310661906434510092023134348.pdf")</f>
        <v>https://dpmzos25m8ivg.cloudfront.net/Documentos/631/06619064345/6310661906434510092023134348.pdf</v>
      </c>
      <c r="G3186" s="5" t="str">
        <f>HYPERLINK("https://dpmzos25m8ivg.cloudfront.net/Documentos/631/06619064345/6310661906434510092023135727.pdf","https://dpmzos25m8ivg.cloudfront.net/Documentos/631/06619064345/6310661906434510092023135727.pdf")</f>
        <v>https://dpmzos25m8ivg.cloudfront.net/Documentos/631/06619064345/6310661906434510092023135727.pdf</v>
      </c>
      <c r="H3186" s="5" t="s">
        <v>11764</v>
      </c>
    </row>
    <row r="3187" spans="1:8" x14ac:dyDescent="0.25">
      <c r="A3187" s="2" t="s">
        <v>3205</v>
      </c>
      <c r="B3187" s="3"/>
      <c r="C3187" s="3"/>
      <c r="D3187" s="3"/>
      <c r="E3187" s="5" t="str">
        <f>HYPERLINK("https://dpmzos25m8ivg.cloudfront.net/Documentos/631/06619812589/6310661981258912092023170903.pdf","https://dpmzos25m8ivg.cloudfront.net/Documentos/631/06619812589/6310661981258912092023170903.pdf")</f>
        <v>https://dpmzos25m8ivg.cloudfront.net/Documentos/631/06619812589/6310661981258912092023170903.pdf</v>
      </c>
      <c r="F3187" s="5" t="str">
        <f>HYPERLINK("https://dpmzos25m8ivg.cloudfront.net/Documentos/631/06619812589/6310661981258912092023170923.pdf","https://dpmzos25m8ivg.cloudfront.net/Documentos/631/06619812589/6310661981258912092023170923.pdf")</f>
        <v>https://dpmzos25m8ivg.cloudfront.net/Documentos/631/06619812589/6310661981258912092023170923.pdf</v>
      </c>
      <c r="G3187" s="5" t="str">
        <f>HYPERLINK("https://dpmzos25m8ivg.cloudfront.net/Documentos/631/06619812589/6310661981258912092023170936.pdf","https://dpmzos25m8ivg.cloudfront.net/Documentos/631/06619812589/6310661981258912092023170936.pdf")</f>
        <v>https://dpmzos25m8ivg.cloudfront.net/Documentos/631/06619812589/6310661981258912092023170936.pdf</v>
      </c>
      <c r="H3187" s="5" t="s">
        <v>11765</v>
      </c>
    </row>
    <row r="3188" spans="1:8" x14ac:dyDescent="0.25">
      <c r="A3188" s="2" t="s">
        <v>3206</v>
      </c>
      <c r="B3188" s="3" t="s">
        <v>8</v>
      </c>
      <c r="C3188" s="3"/>
      <c r="D3188" s="3"/>
      <c r="E3188" s="5" t="str">
        <f>HYPERLINK("https://dpmzos25m8ivg.cloudfront.net/Documentos/631/06621214570/6310662121457011092023155320.jpg","https://dpmzos25m8ivg.cloudfront.net/Documentos/631/06621214570/6310662121457011092023155320.jpg")</f>
        <v>https://dpmzos25m8ivg.cloudfront.net/Documentos/631/06621214570/6310662121457011092023155320.jpg</v>
      </c>
      <c r="F3188" s="5" t="str">
        <f>HYPERLINK("https://dpmzos25m8ivg.cloudfront.net/Documentos/631/06621214570/6310662121457011092023155333.jpg","https://dpmzos25m8ivg.cloudfront.net/Documentos/631/06621214570/6310662121457011092023155333.jpg")</f>
        <v>https://dpmzos25m8ivg.cloudfront.net/Documentos/631/06621214570/6310662121457011092023155333.jpg</v>
      </c>
      <c r="G3188" s="5" t="str">
        <f>HYPERLINK("https://dpmzos25m8ivg.cloudfront.net/Documentos/631/06621214570/6310662121457011092023155349.jpg","https://dpmzos25m8ivg.cloudfront.net/Documentos/631/06621214570/6310662121457011092023155349.jpg")</f>
        <v>https://dpmzos25m8ivg.cloudfront.net/Documentos/631/06621214570/6310662121457011092023155349.jpg</v>
      </c>
      <c r="H3188" s="5" t="s">
        <v>11766</v>
      </c>
    </row>
    <row r="3189" spans="1:8" x14ac:dyDescent="0.25">
      <c r="A3189" s="2" t="s">
        <v>3207</v>
      </c>
      <c r="B3189" s="16" t="s">
        <v>2358</v>
      </c>
      <c r="C3189" s="3"/>
      <c r="D3189" s="3"/>
      <c r="E3189" s="5" t="str">
        <f>HYPERLINK("https://dpmzos25m8ivg.cloudfront.net/Documentos/631/06621382529/6310662138252911092023162548.jpeg","https://dpmzos25m8ivg.cloudfront.net/Documentos/631/06621382529/6310662138252911092023162548.jpeg")</f>
        <v>https://dpmzos25m8ivg.cloudfront.net/Documentos/631/06621382529/6310662138252911092023162548.jpeg</v>
      </c>
      <c r="F3189" s="5" t="str">
        <f>HYPERLINK("https://dpmzos25m8ivg.cloudfront.net/Documentos/631/06621382529/6310662138252911092023162603.jpeg","https://dpmzos25m8ivg.cloudfront.net/Documentos/631/06621382529/6310662138252911092023162603.jpeg")</f>
        <v>https://dpmzos25m8ivg.cloudfront.net/Documentos/631/06621382529/6310662138252911092023162603.jpeg</v>
      </c>
      <c r="G3189" s="5" t="str">
        <f>HYPERLINK("https://dpmzos25m8ivg.cloudfront.net/Documentos/631/06621382529/6310662138252911092023162619.jpeg","https://dpmzos25m8ivg.cloudfront.net/Documentos/631/06621382529/6310662138252911092023162619.jpeg")</f>
        <v>https://dpmzos25m8ivg.cloudfront.net/Documentos/631/06621382529/6310662138252911092023162619.jpeg</v>
      </c>
      <c r="H3189" s="5" t="s">
        <v>11767</v>
      </c>
    </row>
    <row r="3190" spans="1:8" x14ac:dyDescent="0.25">
      <c r="A3190" s="2" t="s">
        <v>3208</v>
      </c>
      <c r="B3190" s="3"/>
      <c r="C3190" s="3"/>
      <c r="D3190" s="3"/>
      <c r="E3190" s="5" t="str">
        <f>HYPERLINK("https://dpmzos25m8ivg.cloudfront.net/Documentos/631/06622473536/6310662247353611092023140259.pdf","https://dpmzos25m8ivg.cloudfront.net/Documentos/631/06622473536/6310662247353611092023140259.pdf")</f>
        <v>https://dpmzos25m8ivg.cloudfront.net/Documentos/631/06622473536/6310662247353611092023140259.pdf</v>
      </c>
      <c r="F3190" s="5" t="str">
        <f>HYPERLINK("https://dpmzos25m8ivg.cloudfront.net/Documentos/631/06622473536/6310662247353611092023140306.pdf","https://dpmzos25m8ivg.cloudfront.net/Documentos/631/06622473536/6310662247353611092023140306.pdf")</f>
        <v>https://dpmzos25m8ivg.cloudfront.net/Documentos/631/06622473536/6310662247353611092023140306.pdf</v>
      </c>
      <c r="G3190" s="5" t="str">
        <f>HYPERLINK("https://dpmzos25m8ivg.cloudfront.net/Documentos/631/06622473536/6310662247353611092023140313.pdf","https://dpmzos25m8ivg.cloudfront.net/Documentos/631/06622473536/6310662247353611092023140313.pdf")</f>
        <v>https://dpmzos25m8ivg.cloudfront.net/Documentos/631/06622473536/6310662247353611092023140313.pdf</v>
      </c>
      <c r="H3190" s="5" t="s">
        <v>11768</v>
      </c>
    </row>
    <row r="3191" spans="1:8" x14ac:dyDescent="0.25">
      <c r="A3191" s="2" t="s">
        <v>3209</v>
      </c>
      <c r="B3191" s="3"/>
      <c r="C3191" s="3"/>
      <c r="D3191" s="3"/>
      <c r="E3191" s="5" t="str">
        <f>HYPERLINK("https://dpmzos25m8ivg.cloudfront.net/Documentos/631/06627300389/6310662730038905092023123202.jpeg","https://dpmzos25m8ivg.cloudfront.net/Documentos/631/06627300389/6310662730038905092023123202.jpeg")</f>
        <v>https://dpmzos25m8ivg.cloudfront.net/Documentos/631/06627300389/6310662730038905092023123202.jpeg</v>
      </c>
      <c r="F3191" s="5" t="str">
        <f>HYPERLINK("https://dpmzos25m8ivg.cloudfront.net/Documentos/631/06627300389/6310662730038905092023123300.jpeg","https://dpmzos25m8ivg.cloudfront.net/Documentos/631/06627300389/6310662730038905092023123300.jpeg")</f>
        <v>https://dpmzos25m8ivg.cloudfront.net/Documentos/631/06627300389/6310662730038905092023123300.jpeg</v>
      </c>
      <c r="G3191" s="5" t="str">
        <f>HYPERLINK("https://dpmzos25m8ivg.cloudfront.net/Documentos/631/06627300389/6310662730038905092023123407.jpeg","https://dpmzos25m8ivg.cloudfront.net/Documentos/631/06627300389/6310662730038905092023123407.jpeg")</f>
        <v>https://dpmzos25m8ivg.cloudfront.net/Documentos/631/06627300389/6310662730038905092023123407.jpeg</v>
      </c>
      <c r="H3191" s="5" t="s">
        <v>11769</v>
      </c>
    </row>
    <row r="3192" spans="1:8" x14ac:dyDescent="0.25">
      <c r="A3192" s="2" t="s">
        <v>3210</v>
      </c>
      <c r="B3192" s="3"/>
      <c r="C3192" s="3"/>
      <c r="D3192" s="3"/>
      <c r="E3192" s="5" t="str">
        <f>HYPERLINK("https://dpmzos25m8ivg.cloudfront.net/Documentos/631/06628159396/6310662815939605092023120739.pdf","https://dpmzos25m8ivg.cloudfront.net/Documentos/631/06628159396/6310662815939605092023120739.pdf")</f>
        <v>https://dpmzos25m8ivg.cloudfront.net/Documentos/631/06628159396/6310662815939605092023120739.pdf</v>
      </c>
      <c r="F3192" s="5" t="str">
        <f>HYPERLINK("https://dpmzos25m8ivg.cloudfront.net/Documentos/631/06628159396/6310662815939605092023120809.pdf","https://dpmzos25m8ivg.cloudfront.net/Documentos/631/06628159396/6310662815939605092023120809.pdf")</f>
        <v>https://dpmzos25m8ivg.cloudfront.net/Documentos/631/06628159396/6310662815939605092023120809.pdf</v>
      </c>
      <c r="G3192" s="5" t="str">
        <f>HYPERLINK("https://dpmzos25m8ivg.cloudfront.net/Documentos/631/06628159396/6310662815939605092023120906.pdf","https://dpmzos25m8ivg.cloudfront.net/Documentos/631/06628159396/6310662815939605092023120906.pdf")</f>
        <v>https://dpmzos25m8ivg.cloudfront.net/Documentos/631/06628159396/6310662815939605092023120906.pdf</v>
      </c>
      <c r="H3192" s="5" t="s">
        <v>11770</v>
      </c>
    </row>
    <row r="3193" spans="1:8" x14ac:dyDescent="0.25">
      <c r="A3193" s="14" t="s">
        <v>3211</v>
      </c>
      <c r="B3193" s="15"/>
      <c r="C3193" s="3"/>
      <c r="D3193" s="3"/>
      <c r="E3193" s="5" t="str">
        <f>HYPERLINK("https://dpmzos25m8ivg.cloudfront.net/Documentos/631/06633215576/6310663321557614092023091422.jpeg","https://dpmzos25m8ivg.cloudfront.net/Documentos/631/06633215576/6310663321557614092023091422.jpeg")</f>
        <v>https://dpmzos25m8ivg.cloudfront.net/Documentos/631/06633215576/6310663321557614092023091422.jpeg</v>
      </c>
      <c r="F3193" s="5" t="str">
        <f>HYPERLINK("https://dpmzos25m8ivg.cloudfront.net/Documentos/631/06633215576/6310663321557614092023091449.jpeg","https://dpmzos25m8ivg.cloudfront.net/Documentos/631/06633215576/6310663321557614092023091449.jpeg")</f>
        <v>https://dpmzos25m8ivg.cloudfront.net/Documentos/631/06633215576/6310663321557614092023091449.jpeg</v>
      </c>
      <c r="G3193" s="5" t="str">
        <f>HYPERLINK("https://dpmzos25m8ivg.cloudfront.net/Documentos/631/06633215576/6310663321557614092023091537.jpeg","https://dpmzos25m8ivg.cloudfront.net/Documentos/631/06633215576/6310663321557614092023091537.jpeg")</f>
        <v>https://dpmzos25m8ivg.cloudfront.net/Documentos/631/06633215576/6310663321557614092023091537.jpeg</v>
      </c>
      <c r="H3193" s="9" t="s">
        <v>11771</v>
      </c>
    </row>
    <row r="3194" spans="1:8" x14ac:dyDescent="0.25">
      <c r="A3194" s="2" t="s">
        <v>3212</v>
      </c>
      <c r="B3194" s="3"/>
      <c r="C3194" s="3"/>
      <c r="D3194" s="3"/>
      <c r="E3194" s="5" t="str">
        <f>HYPERLINK("https://dpmzos25m8ivg.cloudfront.net/Documentos/631/06638343335/6310663834333511092023123853.pdf","https://dpmzos25m8ivg.cloudfront.net/Documentos/631/06638343335/6310663834333511092023123853.pdf")</f>
        <v>https://dpmzos25m8ivg.cloudfront.net/Documentos/631/06638343335/6310663834333511092023123853.pdf</v>
      </c>
      <c r="F3194" s="5" t="str">
        <f>HYPERLINK("https://dpmzos25m8ivg.cloudfront.net/Documentos/631/06638343335/6310663834333511092023123917.pdf","https://dpmzos25m8ivg.cloudfront.net/Documentos/631/06638343335/6310663834333511092023123917.pdf")</f>
        <v>https://dpmzos25m8ivg.cloudfront.net/Documentos/631/06638343335/6310663834333511092023123917.pdf</v>
      </c>
      <c r="G3194" s="5" t="str">
        <f>HYPERLINK("https://dpmzos25m8ivg.cloudfront.net/Documentos/631/06638343335/6310663834333511092023123957.pdf","https://dpmzos25m8ivg.cloudfront.net/Documentos/631/06638343335/6310663834333511092023123957.pdf")</f>
        <v>https://dpmzos25m8ivg.cloudfront.net/Documentos/631/06638343335/6310663834333511092023123957.pdf</v>
      </c>
      <c r="H3194" s="5" t="s">
        <v>11772</v>
      </c>
    </row>
    <row r="3195" spans="1:8" x14ac:dyDescent="0.25">
      <c r="A3195" s="2" t="s">
        <v>3213</v>
      </c>
      <c r="B3195" s="3"/>
      <c r="C3195" s="3"/>
      <c r="D3195" s="3"/>
      <c r="E3195" s="5" t="str">
        <f>HYPERLINK("https://dpmzos25m8ivg.cloudfront.net/Documentos/631/06643163528/6310664316352811092023114443.pdf","https://dpmzos25m8ivg.cloudfront.net/Documentos/631/06643163528/6310664316352811092023114443.pdf")</f>
        <v>https://dpmzos25m8ivg.cloudfront.net/Documentos/631/06643163528/6310664316352811092023114443.pdf</v>
      </c>
      <c r="F3195" s="5" t="str">
        <f>HYPERLINK("https://dpmzos25m8ivg.cloudfront.net/Documentos/631/06643163528/6310664316352811092023114456.pdf","https://dpmzos25m8ivg.cloudfront.net/Documentos/631/06643163528/6310664316352811092023114456.pdf")</f>
        <v>https://dpmzos25m8ivg.cloudfront.net/Documentos/631/06643163528/6310664316352811092023114456.pdf</v>
      </c>
      <c r="G3195" s="5" t="str">
        <f>HYPERLINK("https://dpmzos25m8ivg.cloudfront.net/Documentos/631/06643163528/6310664316352811092023114532.pdf","https://dpmzos25m8ivg.cloudfront.net/Documentos/631/06643163528/6310664316352811092023114532.pdf")</f>
        <v>https://dpmzos25m8ivg.cloudfront.net/Documentos/631/06643163528/6310664316352811092023114532.pdf</v>
      </c>
      <c r="H3195" s="5" t="s">
        <v>11773</v>
      </c>
    </row>
    <row r="3196" spans="1:8" x14ac:dyDescent="0.25">
      <c r="A3196" s="2" t="s">
        <v>3214</v>
      </c>
      <c r="B3196" s="3"/>
      <c r="C3196" s="3"/>
      <c r="D3196" s="3"/>
      <c r="E3196" s="5" t="str">
        <f>HYPERLINK("https://dpmzos25m8ivg.cloudfront.net/Documentos/631/06645727313/6310664572731311092023160943.pdf","https://dpmzos25m8ivg.cloudfront.net/Documentos/631/06645727313/6310664572731311092023160943.pdf")</f>
        <v>https://dpmzos25m8ivg.cloudfront.net/Documentos/631/06645727313/6310664572731311092023160943.pdf</v>
      </c>
      <c r="F3196" s="5" t="str">
        <f>HYPERLINK("https://dpmzos25m8ivg.cloudfront.net/Documentos/631/06645727313/6310664572731311092023160951.pdf","https://dpmzos25m8ivg.cloudfront.net/Documentos/631/06645727313/6310664572731311092023160951.pdf")</f>
        <v>https://dpmzos25m8ivg.cloudfront.net/Documentos/631/06645727313/6310664572731311092023160951.pdf</v>
      </c>
      <c r="G3196" s="5" t="str">
        <f>HYPERLINK("https://dpmzos25m8ivg.cloudfront.net/Documentos/631/06645727313/6310664572731311092023160958.pdf","https://dpmzos25m8ivg.cloudfront.net/Documentos/631/06645727313/6310664572731311092023160958.pdf")</f>
        <v>https://dpmzos25m8ivg.cloudfront.net/Documentos/631/06645727313/6310664572731311092023160958.pdf</v>
      </c>
      <c r="H3196" s="5" t="s">
        <v>11774</v>
      </c>
    </row>
    <row r="3197" spans="1:8" x14ac:dyDescent="0.25">
      <c r="A3197" s="2" t="s">
        <v>3215</v>
      </c>
      <c r="B3197" s="3" t="s">
        <v>8</v>
      </c>
      <c r="C3197" s="3"/>
      <c r="D3197" s="3"/>
      <c r="E3197" s="5" t="str">
        <f>HYPERLINK("https://dpmzos25m8ivg.cloudfront.net/Documentos/631/06649938424/6310664993842410092023230148.pdf","https://dpmzos25m8ivg.cloudfront.net/Documentos/631/06649938424/6310664993842410092023230148.pdf")</f>
        <v>https://dpmzos25m8ivg.cloudfront.net/Documentos/631/06649938424/6310664993842410092023230148.pdf</v>
      </c>
      <c r="F3197" s="5" t="str">
        <f>HYPERLINK("https://dpmzos25m8ivg.cloudfront.net/Documentos/631/06649938424/6310664993842410092023230217.pdf","https://dpmzos25m8ivg.cloudfront.net/Documentos/631/06649938424/6310664993842410092023230217.pdf")</f>
        <v>https://dpmzos25m8ivg.cloudfront.net/Documentos/631/06649938424/6310664993842410092023230217.pdf</v>
      </c>
      <c r="G3197" s="5" t="str">
        <f>HYPERLINK("https://dpmzos25m8ivg.cloudfront.net/Documentos/631/06649938424/6310664993842410092023230249.pdf","https://dpmzos25m8ivg.cloudfront.net/Documentos/631/06649938424/6310664993842410092023230249.pdf")</f>
        <v>https://dpmzos25m8ivg.cloudfront.net/Documentos/631/06649938424/6310664993842410092023230249.pdf</v>
      </c>
      <c r="H3197" s="5" t="s">
        <v>11775</v>
      </c>
    </row>
    <row r="3198" spans="1:8" x14ac:dyDescent="0.25">
      <c r="A3198" s="2" t="s">
        <v>3216</v>
      </c>
      <c r="B3198" s="3"/>
      <c r="C3198" s="3"/>
      <c r="D3198" s="3"/>
      <c r="E3198" s="5" t="str">
        <f>HYPERLINK("https://dpmzos25m8ivg.cloudfront.net/Documentos/631/06650193518/6310665019351809092023101523.jpeg","https://dpmzos25m8ivg.cloudfront.net/Documentos/631/06650193518/6310665019351809092023101523.jpeg")</f>
        <v>https://dpmzos25m8ivg.cloudfront.net/Documentos/631/06650193518/6310665019351809092023101523.jpeg</v>
      </c>
      <c r="F3198" s="5" t="str">
        <f>HYPERLINK("https://dpmzos25m8ivg.cloudfront.net/Documentos/631/06650193518/6310665019351809092023101605.jpeg","https://dpmzos25m8ivg.cloudfront.net/Documentos/631/06650193518/6310665019351809092023101605.jpeg")</f>
        <v>https://dpmzos25m8ivg.cloudfront.net/Documentos/631/06650193518/6310665019351809092023101605.jpeg</v>
      </c>
      <c r="G3198" s="5" t="str">
        <f>HYPERLINK("https://dpmzos25m8ivg.cloudfront.net/Documentos/631/06650193518/6310665019351809092023101711.jpeg","https://dpmzos25m8ivg.cloudfront.net/Documentos/631/06650193518/6310665019351809092023101711.jpeg")</f>
        <v>https://dpmzos25m8ivg.cloudfront.net/Documentos/631/06650193518/6310665019351809092023101711.jpeg</v>
      </c>
      <c r="H3198" s="5" t="s">
        <v>11776</v>
      </c>
    </row>
    <row r="3199" spans="1:8" x14ac:dyDescent="0.25">
      <c r="A3199" s="2" t="s">
        <v>3217</v>
      </c>
      <c r="B3199" s="3"/>
      <c r="C3199" s="3"/>
      <c r="D3199" s="3"/>
      <c r="E3199" s="5" t="str">
        <f>HYPERLINK("https://dpmzos25m8ivg.cloudfront.net/Documentos/631/06650346608/6310665034660805092023134127.jpeg","https://dpmzos25m8ivg.cloudfront.net/Documentos/631/06650346608/6310665034660805092023134127.jpeg")</f>
        <v>https://dpmzos25m8ivg.cloudfront.net/Documentos/631/06650346608/6310665034660805092023134127.jpeg</v>
      </c>
      <c r="F3199" s="5" t="str">
        <f>HYPERLINK("https://dpmzos25m8ivg.cloudfront.net/Documentos/631/06650346608/6310665034660805092023134140.jpeg","https://dpmzos25m8ivg.cloudfront.net/Documentos/631/06650346608/6310665034660805092023134140.jpeg")</f>
        <v>https://dpmzos25m8ivg.cloudfront.net/Documentos/631/06650346608/6310665034660805092023134140.jpeg</v>
      </c>
      <c r="G3199" s="5" t="str">
        <f>HYPERLINK("https://dpmzos25m8ivg.cloudfront.net/Documentos/631/06650346608/6310665034660805092023134200.jpeg","https://dpmzos25m8ivg.cloudfront.net/Documentos/631/06650346608/6310665034660805092023134200.jpeg")</f>
        <v>https://dpmzos25m8ivg.cloudfront.net/Documentos/631/06650346608/6310665034660805092023134200.jpeg</v>
      </c>
      <c r="H3199" s="5" t="s">
        <v>11777</v>
      </c>
    </row>
    <row r="3200" spans="1:8" x14ac:dyDescent="0.25">
      <c r="A3200" s="2" t="s">
        <v>3218</v>
      </c>
      <c r="B3200" s="3"/>
      <c r="C3200" s="3"/>
      <c r="D3200" s="3"/>
      <c r="E3200" s="5" t="str">
        <f>HYPERLINK("https://dpmzos25m8ivg.cloudfront.net/Documentos/631/06652201542/6310665220154211092023135521.jpg","https://dpmzos25m8ivg.cloudfront.net/Documentos/631/06652201542/6310665220154211092023135521.jpg")</f>
        <v>https://dpmzos25m8ivg.cloudfront.net/Documentos/631/06652201542/6310665220154211092023135521.jpg</v>
      </c>
      <c r="F3200" s="5" t="str">
        <f>HYPERLINK("https://dpmzos25m8ivg.cloudfront.net/Documentos/631/06652201542/6310665220154211092023135534.jpg","https://dpmzos25m8ivg.cloudfront.net/Documentos/631/06652201542/6310665220154211092023135534.jpg")</f>
        <v>https://dpmzos25m8ivg.cloudfront.net/Documentos/631/06652201542/6310665220154211092023135534.jpg</v>
      </c>
      <c r="G3200" s="5" t="str">
        <f>HYPERLINK("https://dpmzos25m8ivg.cloudfront.net/Documentos/631/06652201542/6310665220154211092023135557.jpg","https://dpmzos25m8ivg.cloudfront.net/Documentos/631/06652201542/6310665220154211092023135557.jpg")</f>
        <v>https://dpmzos25m8ivg.cloudfront.net/Documentos/631/06652201542/6310665220154211092023135557.jpg</v>
      </c>
      <c r="H3200" s="5" t="s">
        <v>11778</v>
      </c>
    </row>
    <row r="3201" spans="1:8" x14ac:dyDescent="0.25">
      <c r="A3201" s="2" t="s">
        <v>3219</v>
      </c>
      <c r="B3201" s="3"/>
      <c r="C3201" s="3"/>
      <c r="D3201" s="3"/>
      <c r="E3201" s="5" t="str">
        <f>HYPERLINK("https://dpmzos25m8ivg.cloudfront.net/Documentos/631/06654667816/6310665466781605092023163032.pdf","https://dpmzos25m8ivg.cloudfront.net/Documentos/631/06654667816/6310665466781605092023163032.pdf")</f>
        <v>https://dpmzos25m8ivg.cloudfront.net/Documentos/631/06654667816/6310665466781605092023163032.pdf</v>
      </c>
      <c r="F3201" s="5" t="str">
        <f>HYPERLINK("https://dpmzos25m8ivg.cloudfront.net/Documentos/631/06654667816/6310665466781605092023163110.pdf","https://dpmzos25m8ivg.cloudfront.net/Documentos/631/06654667816/6310665466781605092023163110.pdf")</f>
        <v>https://dpmzos25m8ivg.cloudfront.net/Documentos/631/06654667816/6310665466781605092023163110.pdf</v>
      </c>
      <c r="G3201" s="5" t="str">
        <f>HYPERLINK("https://dpmzos25m8ivg.cloudfront.net/Documentos/631/06654667816/6310665466781605092023163139.pdf","https://dpmzos25m8ivg.cloudfront.net/Documentos/631/06654667816/6310665466781605092023163139.pdf")</f>
        <v>https://dpmzos25m8ivg.cloudfront.net/Documentos/631/06654667816/6310665466781605092023163139.pdf</v>
      </c>
      <c r="H3201" s="5" t="s">
        <v>11779</v>
      </c>
    </row>
    <row r="3202" spans="1:8" x14ac:dyDescent="0.25">
      <c r="A3202" s="2" t="s">
        <v>3220</v>
      </c>
      <c r="B3202" s="3"/>
      <c r="C3202" s="3"/>
      <c r="D3202" s="3"/>
      <c r="E3202" s="5" t="str">
        <f>HYPERLINK("https://dpmzos25m8ivg.cloudfront.net/Documentos/631/06656643388/6310665664338811092023103738.pdf","https://dpmzos25m8ivg.cloudfront.net/Documentos/631/06656643388/6310665664338811092023103738.pdf")</f>
        <v>https://dpmzos25m8ivg.cloudfront.net/Documentos/631/06656643388/6310665664338811092023103738.pdf</v>
      </c>
      <c r="F3202" s="5" t="str">
        <f>HYPERLINK("https://dpmzos25m8ivg.cloudfront.net/Documentos/631/06656643388/6310665664338811092023103756.pdf","https://dpmzos25m8ivg.cloudfront.net/Documentos/631/06656643388/6310665664338811092023103756.pdf")</f>
        <v>https://dpmzos25m8ivg.cloudfront.net/Documentos/631/06656643388/6310665664338811092023103756.pdf</v>
      </c>
      <c r="G3202" s="5" t="str">
        <f>HYPERLINK("https://dpmzos25m8ivg.cloudfront.net/Documentos/631/06656643388/6310665664338811092023103814.pdf","https://dpmzos25m8ivg.cloudfront.net/Documentos/631/06656643388/6310665664338811092023103814.pdf")</f>
        <v>https://dpmzos25m8ivg.cloudfront.net/Documentos/631/06656643388/6310665664338811092023103814.pdf</v>
      </c>
      <c r="H3202" s="5" t="s">
        <v>11780</v>
      </c>
    </row>
    <row r="3203" spans="1:8" x14ac:dyDescent="0.25">
      <c r="A3203" s="2" t="s">
        <v>3221</v>
      </c>
      <c r="B3203" s="3" t="s">
        <v>2358</v>
      </c>
      <c r="C3203" s="3"/>
      <c r="D3203" s="3"/>
      <c r="E3203" s="5" t="str">
        <f>HYPERLINK("https://dpmzos25m8ivg.cloudfront.net/Documentos/631/06659474374/6310665947437414092023135028.pdf","https://dpmzos25m8ivg.cloudfront.net/Documentos/631/06659474374/6310665947437414092023135028.pdf")</f>
        <v>https://dpmzos25m8ivg.cloudfront.net/Documentos/631/06659474374/6310665947437414092023135028.pdf</v>
      </c>
      <c r="F3203" s="5" t="str">
        <f>HYPERLINK("https://dpmzos25m8ivg.cloudfront.net/Documentos/631/06659474374/6310665947437414092023135040.pdf","https://dpmzos25m8ivg.cloudfront.net/Documentos/631/06659474374/6310665947437414092023135040.pdf")</f>
        <v>https://dpmzos25m8ivg.cloudfront.net/Documentos/631/06659474374/6310665947437414092023135040.pdf</v>
      </c>
      <c r="G3203" s="5" t="str">
        <f>HYPERLINK("https://dpmzos25m8ivg.cloudfront.net/Documentos/631/06659474374/6310665947437414092023135515.pdf","https://dpmzos25m8ivg.cloudfront.net/Documentos/631/06659474374/6310665947437414092023135515.pdf")</f>
        <v>https://dpmzos25m8ivg.cloudfront.net/Documentos/631/06659474374/6310665947437414092023135515.pdf</v>
      </c>
      <c r="H3203" s="5" t="s">
        <v>11781</v>
      </c>
    </row>
    <row r="3204" spans="1:8" x14ac:dyDescent="0.25">
      <c r="A3204" s="2" t="s">
        <v>3222</v>
      </c>
      <c r="B3204" s="3" t="s">
        <v>23</v>
      </c>
      <c r="C3204" s="3"/>
      <c r="D3204" s="3"/>
      <c r="E3204" s="5" t="str">
        <f>HYPERLINK("https://dpmzos25m8ivg.cloudfront.net/Documentos/631/06660617507/6310666061750705092023084505.jpeg","https://dpmzos25m8ivg.cloudfront.net/Documentos/631/06660617507/6310666061750705092023084505.jpeg")</f>
        <v>https://dpmzos25m8ivg.cloudfront.net/Documentos/631/06660617507/6310666061750705092023084505.jpeg</v>
      </c>
      <c r="F3204" s="5" t="str">
        <f>HYPERLINK("https://dpmzos25m8ivg.cloudfront.net/Documentos/631/06660617507/6310666061750710092023124509.jpg","https://dpmzos25m8ivg.cloudfront.net/Documentos/631/06660617507/6310666061750710092023124509.jpg")</f>
        <v>https://dpmzos25m8ivg.cloudfront.net/Documentos/631/06660617507/6310666061750710092023124509.jpg</v>
      </c>
      <c r="G3204" s="5" t="str">
        <f>HYPERLINK("https://dpmzos25m8ivg.cloudfront.net/Documentos/631/06660617507/6310666061750710092023124424.jpg","https://dpmzos25m8ivg.cloudfront.net/Documentos/631/06660617507/6310666061750710092023124424.jpg")</f>
        <v>https://dpmzos25m8ivg.cloudfront.net/Documentos/631/06660617507/6310666061750710092023124424.jpg</v>
      </c>
      <c r="H3204" s="5" t="s">
        <v>11782</v>
      </c>
    </row>
    <row r="3205" spans="1:8" x14ac:dyDescent="0.25">
      <c r="A3205" s="2" t="s">
        <v>3223</v>
      </c>
      <c r="B3205" s="3" t="s">
        <v>8</v>
      </c>
      <c r="C3205" s="3"/>
      <c r="D3205" s="3"/>
      <c r="E3205" s="5" t="str">
        <f>HYPERLINK("https://dpmzos25m8ivg.cloudfront.net/Documentos/631/06666409477/6310666640947711092023141303.jpeg","https://dpmzos25m8ivg.cloudfront.net/Documentos/631/06666409477/6310666640947711092023141303.jpeg")</f>
        <v>https://dpmzos25m8ivg.cloudfront.net/Documentos/631/06666409477/6310666640947711092023141303.jpeg</v>
      </c>
      <c r="F3205" s="5" t="str">
        <f>HYPERLINK("https://dpmzos25m8ivg.cloudfront.net/Documentos/631/06666409477/6310666640947711092023141353.jpeg","https://dpmzos25m8ivg.cloudfront.net/Documentos/631/06666409477/6310666640947711092023141353.jpeg")</f>
        <v>https://dpmzos25m8ivg.cloudfront.net/Documentos/631/06666409477/6310666640947711092023141353.jpeg</v>
      </c>
      <c r="G3205" s="5" t="str">
        <f>HYPERLINK("https://dpmzos25m8ivg.cloudfront.net/Documentos/631/06666409477/6310666640947711092023141418.jpeg","https://dpmzos25m8ivg.cloudfront.net/Documentos/631/06666409477/6310666640947711092023141418.jpeg")</f>
        <v>https://dpmzos25m8ivg.cloudfront.net/Documentos/631/06666409477/6310666640947711092023141418.jpeg</v>
      </c>
      <c r="H3205" s="5" t="s">
        <v>11783</v>
      </c>
    </row>
    <row r="3206" spans="1:8" x14ac:dyDescent="0.25">
      <c r="A3206" s="2" t="s">
        <v>3224</v>
      </c>
      <c r="B3206" s="3"/>
      <c r="C3206" s="3"/>
      <c r="D3206" s="3"/>
      <c r="E3206" s="5" t="str">
        <f>HYPERLINK("https://dpmzos25m8ivg.cloudfront.net/Documentos/631/06668303471/6310666830347106092023112134.pdf","https://dpmzos25m8ivg.cloudfront.net/Documentos/631/06668303471/6310666830347106092023112134.pdf")</f>
        <v>https://dpmzos25m8ivg.cloudfront.net/Documentos/631/06668303471/6310666830347106092023112134.pdf</v>
      </c>
      <c r="F3206" s="5" t="str">
        <f>HYPERLINK("https://dpmzos25m8ivg.cloudfront.net/Documentos/631/06668303471/6310666830347106092023112231.pdf","https://dpmzos25m8ivg.cloudfront.net/Documentos/631/06668303471/6310666830347106092023112231.pdf")</f>
        <v>https://dpmzos25m8ivg.cloudfront.net/Documentos/631/06668303471/6310666830347106092023112231.pdf</v>
      </c>
      <c r="G3206" s="5" t="str">
        <f>HYPERLINK("https://dpmzos25m8ivg.cloudfront.net/Documentos/631/06668303471/6310666830347106092023112155.pdf","https://dpmzos25m8ivg.cloudfront.net/Documentos/631/06668303471/6310666830347106092023112155.pdf")</f>
        <v>https://dpmzos25m8ivg.cloudfront.net/Documentos/631/06668303471/6310666830347106092023112155.pdf</v>
      </c>
      <c r="H3206" s="5" t="s">
        <v>11784</v>
      </c>
    </row>
    <row r="3207" spans="1:8" x14ac:dyDescent="0.25">
      <c r="A3207" s="2" t="s">
        <v>3225</v>
      </c>
      <c r="B3207" s="3"/>
      <c r="C3207" s="3"/>
      <c r="D3207" s="3"/>
      <c r="E3207" s="5" t="str">
        <f>HYPERLINK("https://dpmzos25m8ivg.cloudfront.net/Documentos/631/06668400914/6310666840091405092023110057.pdf","https://dpmzos25m8ivg.cloudfront.net/Documentos/631/06668400914/6310666840091405092023110057.pdf")</f>
        <v>https://dpmzos25m8ivg.cloudfront.net/Documentos/631/06668400914/6310666840091405092023110057.pdf</v>
      </c>
      <c r="F3207" s="5" t="str">
        <f>HYPERLINK("https://dpmzos25m8ivg.cloudfront.net/Documentos/631/06668400914/6310666840091405092023110102.pdf","https://dpmzos25m8ivg.cloudfront.net/Documentos/631/06668400914/6310666840091405092023110102.pdf")</f>
        <v>https://dpmzos25m8ivg.cloudfront.net/Documentos/631/06668400914/6310666840091405092023110102.pdf</v>
      </c>
      <c r="G3207" s="5" t="str">
        <f>HYPERLINK("https://dpmzos25m8ivg.cloudfront.net/Documentos/631/06668400914/6310666840091405092023110109.pdf","https://dpmzos25m8ivg.cloudfront.net/Documentos/631/06668400914/6310666840091405092023110109.pdf")</f>
        <v>https://dpmzos25m8ivg.cloudfront.net/Documentos/631/06668400914/6310666840091405092023110109.pdf</v>
      </c>
      <c r="H3207" s="5" t="s">
        <v>11785</v>
      </c>
    </row>
    <row r="3208" spans="1:8" x14ac:dyDescent="0.25">
      <c r="A3208" s="2" t="s">
        <v>3226</v>
      </c>
      <c r="B3208" s="3" t="s">
        <v>8</v>
      </c>
      <c r="C3208" s="3"/>
      <c r="D3208" s="3"/>
      <c r="E3208" s="5" t="str">
        <f>HYPERLINK("https://dpmzos25m8ivg.cloudfront.net/Documentos/631/06670936486/6310667093648607092023145630.pdf","https://dpmzos25m8ivg.cloudfront.net/Documentos/631/06670936486/6310667093648607092023145630.pdf")</f>
        <v>https://dpmzos25m8ivg.cloudfront.net/Documentos/631/06670936486/6310667093648607092023145630.pdf</v>
      </c>
      <c r="F3208" s="5" t="str">
        <f>HYPERLINK("https://dpmzos25m8ivg.cloudfront.net/Documentos/631/06670936486/6310667093648607092023145642.pdf","https://dpmzos25m8ivg.cloudfront.net/Documentos/631/06670936486/6310667093648607092023145642.pdf")</f>
        <v>https://dpmzos25m8ivg.cloudfront.net/Documentos/631/06670936486/6310667093648607092023145642.pdf</v>
      </c>
      <c r="G3208" s="5" t="str">
        <f>HYPERLINK("https://dpmzos25m8ivg.cloudfront.net/Documentos/631/06670936486/6310667093648607092023145557.pdf","https://dpmzos25m8ivg.cloudfront.net/Documentos/631/06670936486/6310667093648607092023145557.pdf")</f>
        <v>https://dpmzos25m8ivg.cloudfront.net/Documentos/631/06670936486/6310667093648607092023145557.pdf</v>
      </c>
      <c r="H3208" s="5" t="s">
        <v>11786</v>
      </c>
    </row>
    <row r="3209" spans="1:8" x14ac:dyDescent="0.25">
      <c r="A3209" s="2" t="s">
        <v>3227</v>
      </c>
      <c r="B3209" s="3"/>
      <c r="C3209" s="3"/>
      <c r="D3209" s="3"/>
      <c r="E3209" s="5" t="str">
        <f>HYPERLINK("https://dpmzos25m8ivg.cloudfront.net/Documentos/631/06671491399/6310667149139906092023113838.pdf","https://dpmzos25m8ivg.cloudfront.net/Documentos/631/06671491399/6310667149139906092023113838.pdf")</f>
        <v>https://dpmzos25m8ivg.cloudfront.net/Documentos/631/06671491399/6310667149139906092023113838.pdf</v>
      </c>
      <c r="F3209" s="5" t="str">
        <f>HYPERLINK("https://dpmzos25m8ivg.cloudfront.net/Documentos/631/06671491399/6310667149139906092023113849.pdf","https://dpmzos25m8ivg.cloudfront.net/Documentos/631/06671491399/6310667149139906092023113849.pdf")</f>
        <v>https://dpmzos25m8ivg.cloudfront.net/Documentos/631/06671491399/6310667149139906092023113849.pdf</v>
      </c>
      <c r="G3209" s="5" t="str">
        <f>HYPERLINK("https://dpmzos25m8ivg.cloudfront.net/Documentos/631/06671491399/6310667149139906092023114009.pdf","https://dpmzos25m8ivg.cloudfront.net/Documentos/631/06671491399/6310667149139906092023114009.pdf")</f>
        <v>https://dpmzos25m8ivg.cloudfront.net/Documentos/631/06671491399/6310667149139906092023114009.pdf</v>
      </c>
      <c r="H3209" s="5" t="s">
        <v>11787</v>
      </c>
    </row>
    <row r="3210" spans="1:8" x14ac:dyDescent="0.25">
      <c r="A3210" s="2" t="s">
        <v>3228</v>
      </c>
      <c r="B3210" s="3"/>
      <c r="C3210" s="3"/>
      <c r="D3210" s="3"/>
      <c r="E3210" s="5" t="str">
        <f>HYPERLINK("https://dpmzos25m8ivg.cloudfront.net/Documentos/631/06672327100/6310667232710010092023193719.jpg","https://dpmzos25m8ivg.cloudfront.net/Documentos/631/06672327100/6310667232710010092023193719.jpg")</f>
        <v>https://dpmzos25m8ivg.cloudfront.net/Documentos/631/06672327100/6310667232710010092023193719.jpg</v>
      </c>
      <c r="F3210" s="5" t="str">
        <f>HYPERLINK("https://dpmzos25m8ivg.cloudfront.net/Documentos/631/06672327100/6310667232710010092023193745.jpg","https://dpmzos25m8ivg.cloudfront.net/Documentos/631/06672327100/6310667232710010092023193745.jpg")</f>
        <v>https://dpmzos25m8ivg.cloudfront.net/Documentos/631/06672327100/6310667232710010092023193745.jpg</v>
      </c>
      <c r="G3210" s="5" t="str">
        <f>HYPERLINK("https://dpmzos25m8ivg.cloudfront.net/Documentos/631/06672327100/6310667232710010092023193948.jpg","https://dpmzos25m8ivg.cloudfront.net/Documentos/631/06672327100/6310667232710010092023193948.jpg")</f>
        <v>https://dpmzos25m8ivg.cloudfront.net/Documentos/631/06672327100/6310667232710010092023193948.jpg</v>
      </c>
      <c r="H3210" s="5" t="s">
        <v>11788</v>
      </c>
    </row>
    <row r="3211" spans="1:8" x14ac:dyDescent="0.25">
      <c r="A3211" s="2" t="s">
        <v>3229</v>
      </c>
      <c r="B3211" s="3"/>
      <c r="C3211" s="3"/>
      <c r="D3211" s="3"/>
      <c r="E3211" s="5" t="str">
        <f>HYPERLINK("https://dpmzos25m8ivg.cloudfront.net/Documentos/631/06676387506/6310667638750608092023203706.jpeg","https://dpmzos25m8ivg.cloudfront.net/Documentos/631/06676387506/6310667638750608092023203706.jpeg")</f>
        <v>https://dpmzos25m8ivg.cloudfront.net/Documentos/631/06676387506/6310667638750608092023203706.jpeg</v>
      </c>
      <c r="F3211" s="5" t="str">
        <f>HYPERLINK("https://dpmzos25m8ivg.cloudfront.net/Documentos/631/06676387506/6310667638750608092023203750.jpeg","https://dpmzos25m8ivg.cloudfront.net/Documentos/631/06676387506/6310667638750608092023203750.jpeg")</f>
        <v>https://dpmzos25m8ivg.cloudfront.net/Documentos/631/06676387506/6310667638750608092023203750.jpeg</v>
      </c>
      <c r="G3211" s="5" t="str">
        <f>HYPERLINK("https://dpmzos25m8ivg.cloudfront.net/Documentos/631/06676387506/6310667638750608092023203809.jpeg","https://dpmzos25m8ivg.cloudfront.net/Documentos/631/06676387506/6310667638750608092023203809.jpeg")</f>
        <v>https://dpmzos25m8ivg.cloudfront.net/Documentos/631/06676387506/6310667638750608092023203809.jpeg</v>
      </c>
      <c r="H3211" s="5" t="s">
        <v>11789</v>
      </c>
    </row>
    <row r="3212" spans="1:8" x14ac:dyDescent="0.25">
      <c r="A3212" s="2" t="s">
        <v>3230</v>
      </c>
      <c r="B3212" s="3"/>
      <c r="C3212" s="3"/>
      <c r="D3212" s="3"/>
      <c r="E3212" s="5" t="str">
        <f>HYPERLINK("https://dpmzos25m8ivg.cloudfront.net/Documentos/631/06676873435/6310667687343505092023182304.pdf","https://dpmzos25m8ivg.cloudfront.net/Documentos/631/06676873435/6310667687343505092023182304.pdf")</f>
        <v>https://dpmzos25m8ivg.cloudfront.net/Documentos/631/06676873435/6310667687343505092023182304.pdf</v>
      </c>
      <c r="F3212" s="5" t="str">
        <f>HYPERLINK("https://dpmzos25m8ivg.cloudfront.net/Documentos/631/06676873435/6310667687343505092023182322.pdf","https://dpmzos25m8ivg.cloudfront.net/Documentos/631/06676873435/6310667687343505092023182322.pdf")</f>
        <v>https://dpmzos25m8ivg.cloudfront.net/Documentos/631/06676873435/6310667687343505092023182322.pdf</v>
      </c>
      <c r="G3212" s="5" t="str">
        <f>HYPERLINK("https://dpmzos25m8ivg.cloudfront.net/Documentos/631/06676873435/6310667687343505092023182344.pdf","https://dpmzos25m8ivg.cloudfront.net/Documentos/631/06676873435/6310667687343505092023182344.pdf")</f>
        <v>https://dpmzos25m8ivg.cloudfront.net/Documentos/631/06676873435/6310667687343505092023182344.pdf</v>
      </c>
      <c r="H3212" s="5" t="s">
        <v>11790</v>
      </c>
    </row>
    <row r="3213" spans="1:8" x14ac:dyDescent="0.25">
      <c r="A3213" s="2" t="s">
        <v>3231</v>
      </c>
      <c r="B3213" s="3"/>
      <c r="C3213" s="3"/>
      <c r="D3213" s="3"/>
      <c r="E3213" s="5" t="str">
        <f>HYPERLINK("https://dpmzos25m8ivg.cloudfront.net/Documentos/631/06677328619/6310667732861911092023114348.pdf","https://dpmzos25m8ivg.cloudfront.net/Documentos/631/06677328619/6310667732861911092023114348.pdf")</f>
        <v>https://dpmzos25m8ivg.cloudfront.net/Documentos/631/06677328619/6310667732861911092023114348.pdf</v>
      </c>
      <c r="F3213" s="5" t="str">
        <f>HYPERLINK("https://dpmzos25m8ivg.cloudfront.net/Documentos/631/06677328619/6310667732861911092023114405.pdf","https://dpmzos25m8ivg.cloudfront.net/Documentos/631/06677328619/6310667732861911092023114405.pdf")</f>
        <v>https://dpmzos25m8ivg.cloudfront.net/Documentos/631/06677328619/6310667732861911092023114405.pdf</v>
      </c>
      <c r="G3213" s="5" t="str">
        <f>HYPERLINK("https://dpmzos25m8ivg.cloudfront.net/Documentos/631/06677328619/6310667732861911092023141949.pdf","https://dpmzos25m8ivg.cloudfront.net/Documentos/631/06677328619/6310667732861911092023141949.pdf")</f>
        <v>https://dpmzos25m8ivg.cloudfront.net/Documentos/631/06677328619/6310667732861911092023141949.pdf</v>
      </c>
      <c r="H3213" s="5" t="s">
        <v>11791</v>
      </c>
    </row>
    <row r="3214" spans="1:8" x14ac:dyDescent="0.25">
      <c r="A3214" s="2" t="s">
        <v>3232</v>
      </c>
      <c r="B3214" s="3" t="s">
        <v>8</v>
      </c>
      <c r="C3214" s="3"/>
      <c r="D3214" s="3"/>
      <c r="E3214" s="5" t="str">
        <f>HYPERLINK("https://dpmzos25m8ivg.cloudfront.net/Documentos/631/06679401119/6310667940111913092023132550.pdf","https://dpmzos25m8ivg.cloudfront.net/Documentos/631/06679401119/6310667940111913092023132550.pdf")</f>
        <v>https://dpmzos25m8ivg.cloudfront.net/Documentos/631/06679401119/6310667940111913092023132550.pdf</v>
      </c>
      <c r="F3214" s="5" t="str">
        <f>HYPERLINK("https://dpmzos25m8ivg.cloudfront.net/Documentos/631/06679401119/6310667940111913092023132559.pdf","https://dpmzos25m8ivg.cloudfront.net/Documentos/631/06679401119/6310667940111913092023132559.pdf")</f>
        <v>https://dpmzos25m8ivg.cloudfront.net/Documentos/631/06679401119/6310667940111913092023132559.pdf</v>
      </c>
      <c r="G3214" s="5" t="str">
        <f>HYPERLINK("https://dpmzos25m8ivg.cloudfront.net/Documentos/631/06679401119/6310667940111913092023132606.pdf","https://dpmzos25m8ivg.cloudfront.net/Documentos/631/06679401119/6310667940111913092023132606.pdf")</f>
        <v>https://dpmzos25m8ivg.cloudfront.net/Documentos/631/06679401119/6310667940111913092023132606.pdf</v>
      </c>
      <c r="H3214" s="5" t="s">
        <v>11792</v>
      </c>
    </row>
    <row r="3215" spans="1:8" x14ac:dyDescent="0.25">
      <c r="A3215" s="2" t="s">
        <v>3233</v>
      </c>
      <c r="B3215" s="3"/>
      <c r="C3215" s="3"/>
      <c r="D3215" s="3"/>
      <c r="E3215" s="5" t="str">
        <f>HYPERLINK("https://dpmzos25m8ivg.cloudfront.net/Documentos/631/06680040108/6310668004010805092023194157.pdf","https://dpmzos25m8ivg.cloudfront.net/Documentos/631/06680040108/6310668004010805092023194157.pdf")</f>
        <v>https://dpmzos25m8ivg.cloudfront.net/Documentos/631/06680040108/6310668004010805092023194157.pdf</v>
      </c>
      <c r="F3215" s="5" t="str">
        <f>HYPERLINK("https://dpmzos25m8ivg.cloudfront.net/Documentos/631/06680040108/6310668004010805092023194212.pdf","https://dpmzos25m8ivg.cloudfront.net/Documentos/631/06680040108/6310668004010805092023194212.pdf")</f>
        <v>https://dpmzos25m8ivg.cloudfront.net/Documentos/631/06680040108/6310668004010805092023194212.pdf</v>
      </c>
      <c r="G3215" s="5" t="str">
        <f>HYPERLINK("https://dpmzos25m8ivg.cloudfront.net/Documentos/631/06680040108/6310668004010805092023194224.pdf","https://dpmzos25m8ivg.cloudfront.net/Documentos/631/06680040108/6310668004010805092023194224.pdf")</f>
        <v>https://dpmzos25m8ivg.cloudfront.net/Documentos/631/06680040108/6310668004010805092023194224.pdf</v>
      </c>
      <c r="H3215" s="5" t="s">
        <v>11793</v>
      </c>
    </row>
    <row r="3216" spans="1:8" x14ac:dyDescent="0.25">
      <c r="A3216" s="2" t="s">
        <v>3234</v>
      </c>
      <c r="B3216" s="3"/>
      <c r="C3216" s="3"/>
      <c r="D3216" s="3"/>
      <c r="E3216" s="5" t="str">
        <f>HYPERLINK("https://dpmzos25m8ivg.cloudfront.net/Documentos/631/06684429484/6310668442948412092023233654.jpeg","https://dpmzos25m8ivg.cloudfront.net/Documentos/631/06684429484/6310668442948412092023233654.jpeg")</f>
        <v>https://dpmzos25m8ivg.cloudfront.net/Documentos/631/06684429484/6310668442948412092023233654.jpeg</v>
      </c>
      <c r="F3216" s="5" t="str">
        <f>HYPERLINK("https://dpmzos25m8ivg.cloudfront.net/Documentos/631/06684429484/6310668442948412092023233705.jpeg","https://dpmzos25m8ivg.cloudfront.net/Documentos/631/06684429484/6310668442948412092023233705.jpeg")</f>
        <v>https://dpmzos25m8ivg.cloudfront.net/Documentos/631/06684429484/6310668442948412092023233705.jpeg</v>
      </c>
      <c r="G3216" s="5" t="str">
        <f>HYPERLINK("https://dpmzos25m8ivg.cloudfront.net/Documentos/631/06684429484/6310668442948412092023233715.jpeg","https://dpmzos25m8ivg.cloudfront.net/Documentos/631/06684429484/6310668442948412092023233715.jpeg")</f>
        <v>https://dpmzos25m8ivg.cloudfront.net/Documentos/631/06684429484/6310668442948412092023233715.jpeg</v>
      </c>
      <c r="H3216" s="5" t="s">
        <v>11794</v>
      </c>
    </row>
    <row r="3217" spans="1:8" x14ac:dyDescent="0.25">
      <c r="A3217" s="2" t="s">
        <v>3235</v>
      </c>
      <c r="B3217" s="3"/>
      <c r="C3217" s="3"/>
      <c r="D3217" s="3"/>
      <c r="E3217" s="5" t="str">
        <f>HYPERLINK("https://dpmzos25m8ivg.cloudfront.net/Documentos/631/06684662430/6310668466243013092023155515.pdf","https://dpmzos25m8ivg.cloudfront.net/Documentos/631/06684662430/6310668466243013092023155515.pdf")</f>
        <v>https://dpmzos25m8ivg.cloudfront.net/Documentos/631/06684662430/6310668466243013092023155515.pdf</v>
      </c>
      <c r="F3217" s="5" t="str">
        <f>HYPERLINK("https://dpmzos25m8ivg.cloudfront.net/Documentos/631/06684662430/6310668466243013092023155541.pdf","https://dpmzos25m8ivg.cloudfront.net/Documentos/631/06684662430/6310668466243013092023155541.pdf")</f>
        <v>https://dpmzos25m8ivg.cloudfront.net/Documentos/631/06684662430/6310668466243013092023155541.pdf</v>
      </c>
      <c r="G3217" s="5" t="str">
        <f>HYPERLINK("https://dpmzos25m8ivg.cloudfront.net/Documentos/631/06684662430/6310668466243013092023155624.pdf","https://dpmzos25m8ivg.cloudfront.net/Documentos/631/06684662430/6310668466243013092023155624.pdf")</f>
        <v>https://dpmzos25m8ivg.cloudfront.net/Documentos/631/06684662430/6310668466243013092023155624.pdf</v>
      </c>
      <c r="H3217" s="5" t="s">
        <v>11795</v>
      </c>
    </row>
    <row r="3218" spans="1:8" x14ac:dyDescent="0.25">
      <c r="A3218" s="2" t="s">
        <v>3236</v>
      </c>
      <c r="B3218" s="3"/>
      <c r="C3218" s="3"/>
      <c r="D3218" s="3"/>
      <c r="E3218" s="5" t="str">
        <f>HYPERLINK("https://dpmzos25m8ivg.cloudfront.net/Documentos/631/06686963119/6310668696311911092023152739.pdf","https://dpmzos25m8ivg.cloudfront.net/Documentos/631/06686963119/6310668696311911092023152739.pdf")</f>
        <v>https://dpmzos25m8ivg.cloudfront.net/Documentos/631/06686963119/6310668696311911092023152739.pdf</v>
      </c>
      <c r="F3218" s="5" t="str">
        <f>HYPERLINK("https://dpmzos25m8ivg.cloudfront.net/Documentos/631/06686963119/6310668696311911092023152752.pdf","https://dpmzos25m8ivg.cloudfront.net/Documentos/631/06686963119/6310668696311911092023152752.pdf")</f>
        <v>https://dpmzos25m8ivg.cloudfront.net/Documentos/631/06686963119/6310668696311911092023152752.pdf</v>
      </c>
      <c r="G3218" s="5" t="str">
        <f>HYPERLINK("https://dpmzos25m8ivg.cloudfront.net/Documentos/631/06686963119/6310668696311911092023152804.pdf","https://dpmzos25m8ivg.cloudfront.net/Documentos/631/06686963119/6310668696311911092023152804.pdf")</f>
        <v>https://dpmzos25m8ivg.cloudfront.net/Documentos/631/06686963119/6310668696311911092023152804.pdf</v>
      </c>
      <c r="H3218" s="5" t="s">
        <v>11796</v>
      </c>
    </row>
    <row r="3219" spans="1:8" x14ac:dyDescent="0.25">
      <c r="A3219" s="2" t="s">
        <v>3237</v>
      </c>
      <c r="B3219" s="3"/>
      <c r="C3219" s="3"/>
      <c r="D3219" s="3"/>
      <c r="E3219" s="5" t="str">
        <f>HYPERLINK("https://dpmzos25m8ivg.cloudfront.net/Documentos/631/06687207512/6310668720751211092023144458.pdf","https://dpmzos25m8ivg.cloudfront.net/Documentos/631/06687207512/6310668720751211092023144458.pdf")</f>
        <v>https://dpmzos25m8ivg.cloudfront.net/Documentos/631/06687207512/6310668720751211092023144458.pdf</v>
      </c>
      <c r="F3219" s="5" t="str">
        <f>HYPERLINK("https://dpmzos25m8ivg.cloudfront.net/Documentos/631/06687207512/6310668720751211092023144512.pdf","https://dpmzos25m8ivg.cloudfront.net/Documentos/631/06687207512/6310668720751211092023144512.pdf")</f>
        <v>https://dpmzos25m8ivg.cloudfront.net/Documentos/631/06687207512/6310668720751211092023144512.pdf</v>
      </c>
      <c r="G3219" s="5" t="str">
        <f>HYPERLINK("https://dpmzos25m8ivg.cloudfront.net/Documentos/631/06687207512/6310668720751211092023144522.pdf","https://dpmzos25m8ivg.cloudfront.net/Documentos/631/06687207512/6310668720751211092023144522.pdf")</f>
        <v>https://dpmzos25m8ivg.cloudfront.net/Documentos/631/06687207512/6310668720751211092023144522.pdf</v>
      </c>
      <c r="H3219" s="5" t="s">
        <v>11797</v>
      </c>
    </row>
    <row r="3220" spans="1:8" x14ac:dyDescent="0.25">
      <c r="A3220" s="2" t="s">
        <v>3238</v>
      </c>
      <c r="B3220" s="3"/>
      <c r="C3220" s="3"/>
      <c r="D3220" s="3"/>
      <c r="E3220" s="5" t="str">
        <f>HYPERLINK("https://dpmzos25m8ivg.cloudfront.net/Documentos/631/06688917939/6310668891793908092023153050.pdf","https://dpmzos25m8ivg.cloudfront.net/Documentos/631/06688917939/6310668891793908092023153050.pdf")</f>
        <v>https://dpmzos25m8ivg.cloudfront.net/Documentos/631/06688917939/6310668891793908092023153050.pdf</v>
      </c>
      <c r="F3220" s="5" t="str">
        <f>HYPERLINK("https://dpmzos25m8ivg.cloudfront.net/Documentos/631/06688917939/6310668891793908092023153059.pdf","https://dpmzos25m8ivg.cloudfront.net/Documentos/631/06688917939/6310668891793908092023153059.pdf")</f>
        <v>https://dpmzos25m8ivg.cloudfront.net/Documentos/631/06688917939/6310668891793908092023153059.pdf</v>
      </c>
      <c r="G3220" s="5" t="str">
        <f>HYPERLINK("https://dpmzos25m8ivg.cloudfront.net/Documentos/631/06688917939/6310668891793908092023153115.pdf","https://dpmzos25m8ivg.cloudfront.net/Documentos/631/06688917939/6310668891793908092023153115.pdf")</f>
        <v>https://dpmzos25m8ivg.cloudfront.net/Documentos/631/06688917939/6310668891793908092023153115.pdf</v>
      </c>
      <c r="H3220" s="5" t="s">
        <v>11798</v>
      </c>
    </row>
    <row r="3221" spans="1:8" x14ac:dyDescent="0.25">
      <c r="A3221" s="2" t="s">
        <v>3239</v>
      </c>
      <c r="B3221" s="3"/>
      <c r="C3221" s="3"/>
      <c r="D3221" s="3"/>
      <c r="E3221" s="5" t="str">
        <f>HYPERLINK("https://dpmzos25m8ivg.cloudfront.net/Documentos/631/06689189422/6310668918942211092023013417.pdf","https://dpmzos25m8ivg.cloudfront.net/Documentos/631/06689189422/6310668918942211092023013417.pdf")</f>
        <v>https://dpmzos25m8ivg.cloudfront.net/Documentos/631/06689189422/6310668918942211092023013417.pdf</v>
      </c>
      <c r="F3221" s="5" t="str">
        <f>HYPERLINK("https://dpmzos25m8ivg.cloudfront.net/Documentos/631/06689189422/6310668918942211092023013433.pdf","https://dpmzos25m8ivg.cloudfront.net/Documentos/631/06689189422/6310668918942211092023013433.pdf")</f>
        <v>https://dpmzos25m8ivg.cloudfront.net/Documentos/631/06689189422/6310668918942211092023013433.pdf</v>
      </c>
      <c r="G3221" s="5" t="str">
        <f>HYPERLINK("https://dpmzos25m8ivg.cloudfront.net/Documentos/631/06689189422/6310668918942211092023013506.pdf","https://dpmzos25m8ivg.cloudfront.net/Documentos/631/06689189422/6310668918942211092023013506.pdf")</f>
        <v>https://dpmzos25m8ivg.cloudfront.net/Documentos/631/06689189422/6310668918942211092023013506.pdf</v>
      </c>
      <c r="H3221" s="5" t="s">
        <v>11799</v>
      </c>
    </row>
    <row r="3222" spans="1:8" x14ac:dyDescent="0.25">
      <c r="A3222" s="2" t="s">
        <v>3240</v>
      </c>
      <c r="B3222" s="3" t="s">
        <v>23</v>
      </c>
      <c r="C3222" s="3"/>
      <c r="D3222" s="3"/>
      <c r="E3222" s="5" t="str">
        <f>HYPERLINK("https://dpmzos25m8ivg.cloudfront.net/Documentos/631/06690310116/6310669031011611092023161002.pdf","https://dpmzos25m8ivg.cloudfront.net/Documentos/631/06690310116/6310669031011611092023161002.pdf")</f>
        <v>https://dpmzos25m8ivg.cloudfront.net/Documentos/631/06690310116/6310669031011611092023161002.pdf</v>
      </c>
      <c r="F3222" s="5" t="str">
        <f>HYPERLINK("https://dpmzos25m8ivg.cloudfront.net/Documentos/631/06690310116/6310669031011611092023161014.pdf","https://dpmzos25m8ivg.cloudfront.net/Documentos/631/06690310116/6310669031011611092023161014.pdf")</f>
        <v>https://dpmzos25m8ivg.cloudfront.net/Documentos/631/06690310116/6310669031011611092023161014.pdf</v>
      </c>
      <c r="G3222" s="5" t="str">
        <f>HYPERLINK("https://dpmzos25m8ivg.cloudfront.net/Documentos/631/06690310116/6310669031011611092023161027.pdf","https://dpmzos25m8ivg.cloudfront.net/Documentos/631/06690310116/6310669031011611092023161027.pdf")</f>
        <v>https://dpmzos25m8ivg.cloudfront.net/Documentos/631/06690310116/6310669031011611092023161027.pdf</v>
      </c>
      <c r="H3222" s="5" t="s">
        <v>11800</v>
      </c>
    </row>
    <row r="3223" spans="1:8" x14ac:dyDescent="0.25">
      <c r="A3223" s="2" t="s">
        <v>3241</v>
      </c>
      <c r="B3223" s="3"/>
      <c r="C3223" s="3"/>
      <c r="D3223" s="3"/>
      <c r="E3223" s="5" t="str">
        <f>HYPERLINK("https://dpmzos25m8ivg.cloudfront.net/Documentos/631/06691868641/6310669186864113092023125416.jpeg","https://dpmzos25m8ivg.cloudfront.net/Documentos/631/06691868641/6310669186864113092023125416.jpeg")</f>
        <v>https://dpmzos25m8ivg.cloudfront.net/Documentos/631/06691868641/6310669186864113092023125416.jpeg</v>
      </c>
      <c r="F3223" s="5" t="str">
        <f>HYPERLINK("https://dpmzos25m8ivg.cloudfront.net/Documentos/631/06691868641/6310669186864113092023125424.jpeg","https://dpmzos25m8ivg.cloudfront.net/Documentos/631/06691868641/6310669186864113092023125424.jpeg")</f>
        <v>https://dpmzos25m8ivg.cloudfront.net/Documentos/631/06691868641/6310669186864113092023125424.jpeg</v>
      </c>
      <c r="G3223" s="5" t="str">
        <f>HYPERLINK("https://dpmzos25m8ivg.cloudfront.net/Documentos/631/06691868641/6310669186864113092023125432.jpeg","https://dpmzos25m8ivg.cloudfront.net/Documentos/631/06691868641/6310669186864113092023125432.jpeg")</f>
        <v>https://dpmzos25m8ivg.cloudfront.net/Documentos/631/06691868641/6310669186864113092023125432.jpeg</v>
      </c>
      <c r="H3223" s="5" t="s">
        <v>11801</v>
      </c>
    </row>
    <row r="3224" spans="1:8" x14ac:dyDescent="0.25">
      <c r="A3224" s="2" t="s">
        <v>3242</v>
      </c>
      <c r="B3224" s="3"/>
      <c r="C3224" s="3"/>
      <c r="D3224" s="3"/>
      <c r="E3224" s="5" t="str">
        <f>HYPERLINK("https://dpmzos25m8ivg.cloudfront.net/Documentos/631/06693099580/6310669309958011092023164954.pdf","https://dpmzos25m8ivg.cloudfront.net/Documentos/631/06693099580/6310669309958011092023164954.pdf")</f>
        <v>https://dpmzos25m8ivg.cloudfront.net/Documentos/631/06693099580/6310669309958011092023164954.pdf</v>
      </c>
      <c r="F3224" s="5" t="str">
        <f>HYPERLINK("https://dpmzos25m8ivg.cloudfront.net/Documentos/631/06693099580/6310669309958011092023165004.pdf","https://dpmzos25m8ivg.cloudfront.net/Documentos/631/06693099580/6310669309958011092023165004.pdf")</f>
        <v>https://dpmzos25m8ivg.cloudfront.net/Documentos/631/06693099580/6310669309958011092023165004.pdf</v>
      </c>
      <c r="G3224" s="5" t="str">
        <f>HYPERLINK("https://dpmzos25m8ivg.cloudfront.net/Documentos/631/06693099580/6310669309958011092023165013.pdf","https://dpmzos25m8ivg.cloudfront.net/Documentos/631/06693099580/6310669309958011092023165013.pdf")</f>
        <v>https://dpmzos25m8ivg.cloudfront.net/Documentos/631/06693099580/6310669309958011092023165013.pdf</v>
      </c>
      <c r="H3224" s="5" t="s">
        <v>11802</v>
      </c>
    </row>
    <row r="3225" spans="1:8" x14ac:dyDescent="0.25">
      <c r="A3225" s="2" t="s">
        <v>3243</v>
      </c>
      <c r="B3225" s="3"/>
      <c r="C3225" s="3"/>
      <c r="D3225" s="3"/>
      <c r="E3225" s="5" t="str">
        <f>HYPERLINK("https://dpmzos25m8ivg.cloudfront.net/Documentos/631/06695462160/6310669546216009092023193410.pdf","https://dpmzos25m8ivg.cloudfront.net/Documentos/631/06695462160/6310669546216009092023193410.pdf")</f>
        <v>https://dpmzos25m8ivg.cloudfront.net/Documentos/631/06695462160/6310669546216009092023193410.pdf</v>
      </c>
      <c r="F3225" s="5" t="str">
        <f>HYPERLINK("https://dpmzos25m8ivg.cloudfront.net/Documentos/631/06695462160/6310669546216009092023193423.pdf","https://dpmzos25m8ivg.cloudfront.net/Documentos/631/06695462160/6310669546216009092023193423.pdf")</f>
        <v>https://dpmzos25m8ivg.cloudfront.net/Documentos/631/06695462160/6310669546216009092023193423.pdf</v>
      </c>
      <c r="G3225" s="5" t="str">
        <f>HYPERLINK("https://dpmzos25m8ivg.cloudfront.net/Documentos/631/06695462160/6310669546216009092023193438.pdf","https://dpmzos25m8ivg.cloudfront.net/Documentos/631/06695462160/6310669546216009092023193438.pdf")</f>
        <v>https://dpmzos25m8ivg.cloudfront.net/Documentos/631/06695462160/6310669546216009092023193438.pdf</v>
      </c>
      <c r="H3225" s="5" t="s">
        <v>11803</v>
      </c>
    </row>
    <row r="3226" spans="1:8" x14ac:dyDescent="0.25">
      <c r="A3226" s="2" t="s">
        <v>3244</v>
      </c>
      <c r="B3226" s="15" t="s">
        <v>2358</v>
      </c>
      <c r="C3226" s="3"/>
      <c r="D3226" s="3"/>
      <c r="E3226" s="5" t="str">
        <f>HYPERLINK("https://dpmzos25m8ivg.cloudfront.net/Documentos/631/06695562466/6310669556246608092023083208.pdf","https://dpmzos25m8ivg.cloudfront.net/Documentos/631/06695562466/6310669556246608092023083208.pdf")</f>
        <v>https://dpmzos25m8ivg.cloudfront.net/Documentos/631/06695562466/6310669556246608092023083208.pdf</v>
      </c>
      <c r="F3226" s="5" t="str">
        <f>HYPERLINK("https://dpmzos25m8ivg.cloudfront.net/Documentos/631/06695562466/6310669556246608092023083231.pdf","https://dpmzos25m8ivg.cloudfront.net/Documentos/631/06695562466/6310669556246608092023083231.pdf")</f>
        <v>https://dpmzos25m8ivg.cloudfront.net/Documentos/631/06695562466/6310669556246608092023083231.pdf</v>
      </c>
      <c r="G3226" s="5" t="str">
        <f>HYPERLINK("https://dpmzos25m8ivg.cloudfront.net/Documentos/631/06695562466/6310669556246608092023083250.pdf","https://dpmzos25m8ivg.cloudfront.net/Documentos/631/06695562466/6310669556246608092023083250.pdf")</f>
        <v>https://dpmzos25m8ivg.cloudfront.net/Documentos/631/06695562466/6310669556246608092023083250.pdf</v>
      </c>
      <c r="H3226" s="5" t="s">
        <v>11804</v>
      </c>
    </row>
    <row r="3227" spans="1:8" x14ac:dyDescent="0.25">
      <c r="A3227" s="2" t="s">
        <v>3245</v>
      </c>
      <c r="B3227" s="3" t="s">
        <v>8</v>
      </c>
      <c r="C3227" s="3"/>
      <c r="D3227" s="3"/>
      <c r="E3227" s="5" t="str">
        <f>HYPERLINK("https://dpmzos25m8ivg.cloudfront.net/Documentos/631/06699834460/6310669983446010092023171533.jpg","https://dpmzos25m8ivg.cloudfront.net/Documentos/631/06699834460/6310669983446010092023171533.jpg")</f>
        <v>https://dpmzos25m8ivg.cloudfront.net/Documentos/631/06699834460/6310669983446010092023171533.jpg</v>
      </c>
      <c r="F3227" s="5" t="str">
        <f>HYPERLINK("https://dpmzos25m8ivg.cloudfront.net/Documentos/631/06699834460/6310669983446010092023171641.jpg","https://dpmzos25m8ivg.cloudfront.net/Documentos/631/06699834460/6310669983446010092023171641.jpg")</f>
        <v>https://dpmzos25m8ivg.cloudfront.net/Documentos/631/06699834460/6310669983446010092023171641.jpg</v>
      </c>
      <c r="G3227" s="5" t="str">
        <f>HYPERLINK("https://dpmzos25m8ivg.cloudfront.net/Documentos/631/06699834460/6310669983446010092023171718.jpg","https://dpmzos25m8ivg.cloudfront.net/Documentos/631/06699834460/6310669983446010092023171718.jpg")</f>
        <v>https://dpmzos25m8ivg.cloudfront.net/Documentos/631/06699834460/6310669983446010092023171718.jpg</v>
      </c>
      <c r="H3227" s="5" t="s">
        <v>11805</v>
      </c>
    </row>
    <row r="3228" spans="1:8" x14ac:dyDescent="0.25">
      <c r="A3228" s="2" t="s">
        <v>3246</v>
      </c>
      <c r="B3228" s="3"/>
      <c r="C3228" s="3"/>
      <c r="D3228" s="3"/>
      <c r="E3228" s="5" t="str">
        <f>HYPERLINK("https://dpmzos25m8ivg.cloudfront.net/Documentos/631/06700090164/6310670009016405092023132016.jpg","https://dpmzos25m8ivg.cloudfront.net/Documentos/631/06700090164/6310670009016405092023132016.jpg")</f>
        <v>https://dpmzos25m8ivg.cloudfront.net/Documentos/631/06700090164/6310670009016405092023132016.jpg</v>
      </c>
      <c r="F3228" s="5" t="str">
        <f>HYPERLINK("https://dpmzos25m8ivg.cloudfront.net/Documentos/631/06700090164/6310670009016405092023132037.jpg","https://dpmzos25m8ivg.cloudfront.net/Documentos/631/06700090164/6310670009016405092023132037.jpg")</f>
        <v>https://dpmzos25m8ivg.cloudfront.net/Documentos/631/06700090164/6310670009016405092023132037.jpg</v>
      </c>
      <c r="G3228" s="5" t="str">
        <f>HYPERLINK("https://dpmzos25m8ivg.cloudfront.net/Documentos/631/06700090164/6310670009016405092023132051.jpg","https://dpmzos25m8ivg.cloudfront.net/Documentos/631/06700090164/6310670009016405092023132051.jpg")</f>
        <v>https://dpmzos25m8ivg.cloudfront.net/Documentos/631/06700090164/6310670009016405092023132051.jpg</v>
      </c>
      <c r="H3228" s="5" t="s">
        <v>11806</v>
      </c>
    </row>
    <row r="3229" spans="1:8" x14ac:dyDescent="0.25">
      <c r="A3229" s="2" t="s">
        <v>3247</v>
      </c>
      <c r="B3229" s="3"/>
      <c r="C3229" s="3"/>
      <c r="D3229" s="3"/>
      <c r="E3229" s="5" t="str">
        <f>HYPERLINK("https://dpmzos25m8ivg.cloudfront.net/Documentos/631/06702542402/6310670254240208092023231219.pdf","https://dpmzos25m8ivg.cloudfront.net/Documentos/631/06702542402/6310670254240208092023231219.pdf")</f>
        <v>https://dpmzos25m8ivg.cloudfront.net/Documentos/631/06702542402/6310670254240208092023231219.pdf</v>
      </c>
      <c r="F3229" s="5" t="str">
        <f>HYPERLINK("https://dpmzos25m8ivg.cloudfront.net/Documentos/631/06702542402/6310670254240208092023231255.pdf","https://dpmzos25m8ivg.cloudfront.net/Documentos/631/06702542402/6310670254240208092023231255.pdf")</f>
        <v>https://dpmzos25m8ivg.cloudfront.net/Documentos/631/06702542402/6310670254240208092023231255.pdf</v>
      </c>
      <c r="G3229" s="5" t="str">
        <f>HYPERLINK("https://dpmzos25m8ivg.cloudfront.net/Documentos/631/06702542402/6310670254240208092023231328.pdf","https://dpmzos25m8ivg.cloudfront.net/Documentos/631/06702542402/6310670254240208092023231328.pdf")</f>
        <v>https://dpmzos25m8ivg.cloudfront.net/Documentos/631/06702542402/6310670254240208092023231328.pdf</v>
      </c>
      <c r="H3229" s="5" t="s">
        <v>11807</v>
      </c>
    </row>
    <row r="3230" spans="1:8" x14ac:dyDescent="0.25">
      <c r="A3230" s="2" t="s">
        <v>3248</v>
      </c>
      <c r="B3230" s="3"/>
      <c r="C3230" s="3"/>
      <c r="D3230" s="3"/>
      <c r="E3230" s="5" t="str">
        <f>HYPERLINK("https://dpmzos25m8ivg.cloudfront.net/Documentos/631/06702951329/6310670295132911092023155008.pdf","https://dpmzos25m8ivg.cloudfront.net/Documentos/631/06702951329/6310670295132911092023155008.pdf")</f>
        <v>https://dpmzos25m8ivg.cloudfront.net/Documentos/631/06702951329/6310670295132911092023155008.pdf</v>
      </c>
      <c r="F3230" s="5" t="str">
        <f>HYPERLINK("https://dpmzos25m8ivg.cloudfront.net/Documentos/631/06702951329/6310670295132911092023154954.pdf","https://dpmzos25m8ivg.cloudfront.net/Documentos/631/06702951329/6310670295132911092023154954.pdf")</f>
        <v>https://dpmzos25m8ivg.cloudfront.net/Documentos/631/06702951329/6310670295132911092023154954.pdf</v>
      </c>
      <c r="G3230" s="5" t="str">
        <f>HYPERLINK("https://dpmzos25m8ivg.cloudfront.net/Documentos/631/06702951329/6310670295132911092023154943.pdf","https://dpmzos25m8ivg.cloudfront.net/Documentos/631/06702951329/6310670295132911092023154943.pdf")</f>
        <v>https://dpmzos25m8ivg.cloudfront.net/Documentos/631/06702951329/6310670295132911092023154943.pdf</v>
      </c>
      <c r="H3230" s="5" t="s">
        <v>11808</v>
      </c>
    </row>
    <row r="3231" spans="1:8" x14ac:dyDescent="0.25">
      <c r="A3231" s="2" t="s">
        <v>3249</v>
      </c>
      <c r="B3231" s="3"/>
      <c r="C3231" s="3"/>
      <c r="D3231" s="3"/>
      <c r="E3231" s="5" t="str">
        <f>HYPERLINK("https://dpmzos25m8ivg.cloudfront.net/Documentos/631/06706999423/6310670699942310092023093719.pdf","https://dpmzos25m8ivg.cloudfront.net/Documentos/631/06706999423/6310670699942310092023093719.pdf")</f>
        <v>https://dpmzos25m8ivg.cloudfront.net/Documentos/631/06706999423/6310670699942310092023093719.pdf</v>
      </c>
      <c r="F3231" s="5" t="str">
        <f>HYPERLINK("https://dpmzos25m8ivg.cloudfront.net/Documentos/631/06706999423/6310670699942310092023093742.pdf","https://dpmzos25m8ivg.cloudfront.net/Documentos/631/06706999423/6310670699942310092023093742.pdf")</f>
        <v>https://dpmzos25m8ivg.cloudfront.net/Documentos/631/06706999423/6310670699942310092023093742.pdf</v>
      </c>
      <c r="G3231" s="5" t="str">
        <f>HYPERLINK("https://dpmzos25m8ivg.cloudfront.net/Documentos/631/06706999423/6310670699942310092023093822.pdf","https://dpmzos25m8ivg.cloudfront.net/Documentos/631/06706999423/6310670699942310092023093822.pdf")</f>
        <v>https://dpmzos25m8ivg.cloudfront.net/Documentos/631/06706999423/6310670699942310092023093822.pdf</v>
      </c>
      <c r="H3231" s="5" t="s">
        <v>11809</v>
      </c>
    </row>
    <row r="3232" spans="1:8" x14ac:dyDescent="0.25">
      <c r="A3232" s="2" t="s">
        <v>3250</v>
      </c>
      <c r="B3232" s="3"/>
      <c r="C3232" s="3"/>
      <c r="D3232" s="3"/>
      <c r="E3232" s="5" t="str">
        <f>HYPERLINK("https://dpmzos25m8ivg.cloudfront.net/Documentos/631/06707957635/6310670795763509092023134805.jpeg","https://dpmzos25m8ivg.cloudfront.net/Documentos/631/06707957635/6310670795763509092023134805.jpeg")</f>
        <v>https://dpmzos25m8ivg.cloudfront.net/Documentos/631/06707957635/6310670795763509092023134805.jpeg</v>
      </c>
      <c r="F3232" s="5" t="str">
        <f>HYPERLINK("https://dpmzos25m8ivg.cloudfront.net/Documentos/631/06707957635/6310670795763509092023134835.jpeg","https://dpmzos25m8ivg.cloudfront.net/Documentos/631/06707957635/6310670795763509092023134835.jpeg")</f>
        <v>https://dpmzos25m8ivg.cloudfront.net/Documentos/631/06707957635/6310670795763509092023134835.jpeg</v>
      </c>
      <c r="G3232" s="5" t="str">
        <f>HYPERLINK("https://dpmzos25m8ivg.cloudfront.net/Documentos/631/06707957635/6310670795763509092023134856.jpeg","https://dpmzos25m8ivg.cloudfront.net/Documentos/631/06707957635/6310670795763509092023134856.jpeg")</f>
        <v>https://dpmzos25m8ivg.cloudfront.net/Documentos/631/06707957635/6310670795763509092023134856.jpeg</v>
      </c>
      <c r="H3232" s="5" t="s">
        <v>11810</v>
      </c>
    </row>
    <row r="3233" spans="1:8" x14ac:dyDescent="0.25">
      <c r="A3233" s="2" t="s">
        <v>3251</v>
      </c>
      <c r="B3233" s="3"/>
      <c r="C3233" s="3"/>
      <c r="D3233" s="3"/>
      <c r="E3233" s="5" t="str">
        <f>HYPERLINK("https://dpmzos25m8ivg.cloudfront.net/Documentos/631/06708395312/6310670839531211092023153507.pdf","https://dpmzos25m8ivg.cloudfront.net/Documentos/631/06708395312/6310670839531211092023153507.pdf")</f>
        <v>https://dpmzos25m8ivg.cloudfront.net/Documentos/631/06708395312/6310670839531211092023153507.pdf</v>
      </c>
      <c r="F3233" s="5" t="str">
        <f>HYPERLINK("https://dpmzos25m8ivg.cloudfront.net/Documentos/631/06708395312/6310670839531211092023153609.pdf","https://dpmzos25m8ivg.cloudfront.net/Documentos/631/06708395312/6310670839531211092023153609.pdf")</f>
        <v>https://dpmzos25m8ivg.cloudfront.net/Documentos/631/06708395312/6310670839531211092023153609.pdf</v>
      </c>
      <c r="G3233" s="5" t="str">
        <f>HYPERLINK("https://dpmzos25m8ivg.cloudfront.net/Documentos/631/06708395312/6310670839531211092023153706.pdf","https://dpmzos25m8ivg.cloudfront.net/Documentos/631/06708395312/6310670839531211092023153706.pdf")</f>
        <v>https://dpmzos25m8ivg.cloudfront.net/Documentos/631/06708395312/6310670839531211092023153706.pdf</v>
      </c>
      <c r="H3233" s="5" t="s">
        <v>11811</v>
      </c>
    </row>
    <row r="3234" spans="1:8" x14ac:dyDescent="0.25">
      <c r="A3234" s="2" t="s">
        <v>3252</v>
      </c>
      <c r="B3234" s="3" t="s">
        <v>2358</v>
      </c>
      <c r="C3234" s="3"/>
      <c r="D3234" s="3"/>
      <c r="E3234" s="5" t="str">
        <f>HYPERLINK("https://dpmzos25m8ivg.cloudfront.net/Documentos/631/06709420302/6310670942030214092023110345.jpeg","https://dpmzos25m8ivg.cloudfront.net/Documentos/631/06709420302/6310670942030214092023110345.jpeg")</f>
        <v>https://dpmzos25m8ivg.cloudfront.net/Documentos/631/06709420302/6310670942030214092023110345.jpeg</v>
      </c>
      <c r="F3234" s="5" t="str">
        <f>HYPERLINK("https://dpmzos25m8ivg.cloudfront.net/Documentos/631/06709420302/6310670942030214092023110409.jpeg","https://dpmzos25m8ivg.cloudfront.net/Documentos/631/06709420302/6310670942030214092023110409.jpeg")</f>
        <v>https://dpmzos25m8ivg.cloudfront.net/Documentos/631/06709420302/6310670942030214092023110409.jpeg</v>
      </c>
      <c r="G3234" s="5" t="str">
        <f>HYPERLINK("https://dpmzos25m8ivg.cloudfront.net/Documentos/631/06709420302/6310670942030214092023110421.jpeg","https://dpmzos25m8ivg.cloudfront.net/Documentos/631/06709420302/6310670942030214092023110421.jpeg")</f>
        <v>https://dpmzos25m8ivg.cloudfront.net/Documentos/631/06709420302/6310670942030214092023110421.jpeg</v>
      </c>
      <c r="H3234" s="5" t="s">
        <v>11812</v>
      </c>
    </row>
    <row r="3235" spans="1:8" x14ac:dyDescent="0.25">
      <c r="A3235" s="2" t="s">
        <v>3253</v>
      </c>
      <c r="B3235" s="3" t="s">
        <v>8</v>
      </c>
      <c r="C3235" s="3"/>
      <c r="D3235" s="3"/>
      <c r="E3235" s="5" t="str">
        <f>HYPERLINK("https://dpmzos25m8ivg.cloudfront.net/Documentos/631/06714004109/6310671400410908092023141659.pdf","https://dpmzos25m8ivg.cloudfront.net/Documentos/631/06714004109/6310671400410908092023141659.pdf")</f>
        <v>https://dpmzos25m8ivg.cloudfront.net/Documentos/631/06714004109/6310671400410908092023141659.pdf</v>
      </c>
      <c r="F3235" s="5" t="str">
        <f>HYPERLINK("https://dpmzos25m8ivg.cloudfront.net/Documentos/631/06714004109/6310671400410908092023141727.pdf","https://dpmzos25m8ivg.cloudfront.net/Documentos/631/06714004109/6310671400410908092023141727.pdf")</f>
        <v>https://dpmzos25m8ivg.cloudfront.net/Documentos/631/06714004109/6310671400410908092023141727.pdf</v>
      </c>
      <c r="G3235" s="5" t="str">
        <f>HYPERLINK("https://dpmzos25m8ivg.cloudfront.net/Documentos/631/06714004109/6310671400410908092023141749.pdf","https://dpmzos25m8ivg.cloudfront.net/Documentos/631/06714004109/6310671400410908092023141749.pdf")</f>
        <v>https://dpmzos25m8ivg.cloudfront.net/Documentos/631/06714004109/6310671400410908092023141749.pdf</v>
      </c>
      <c r="H3235" s="5" t="s">
        <v>11813</v>
      </c>
    </row>
    <row r="3236" spans="1:8" x14ac:dyDescent="0.25">
      <c r="A3236" s="2" t="s">
        <v>3254</v>
      </c>
      <c r="B3236" s="3"/>
      <c r="C3236" s="3"/>
      <c r="D3236" s="3"/>
      <c r="E3236" s="5" t="str">
        <f>HYPERLINK("https://dpmzos25m8ivg.cloudfront.net/Documentos/631/06716305394/6310671630539413092023211117.pdf","https://dpmzos25m8ivg.cloudfront.net/Documentos/631/06716305394/6310671630539413092023211117.pdf")</f>
        <v>https://dpmzos25m8ivg.cloudfront.net/Documentos/631/06716305394/6310671630539413092023211117.pdf</v>
      </c>
      <c r="F3236" s="5" t="str">
        <f>HYPERLINK("https://dpmzos25m8ivg.cloudfront.net/Documentos/631/06716305394/6310671630539413092023211134.pdf","https://dpmzos25m8ivg.cloudfront.net/Documentos/631/06716305394/6310671630539413092023211134.pdf")</f>
        <v>https://dpmzos25m8ivg.cloudfront.net/Documentos/631/06716305394/6310671630539413092023211134.pdf</v>
      </c>
      <c r="G3236" s="5" t="str">
        <f>HYPERLINK("https://dpmzos25m8ivg.cloudfront.net/Documentos/631/06716305394/6310671630539413092023211154.pdf","https://dpmzos25m8ivg.cloudfront.net/Documentos/631/06716305394/6310671630539413092023211154.pdf")</f>
        <v>https://dpmzos25m8ivg.cloudfront.net/Documentos/631/06716305394/6310671630539413092023211154.pdf</v>
      </c>
      <c r="H3236" s="5" t="s">
        <v>11814</v>
      </c>
    </row>
    <row r="3237" spans="1:8" x14ac:dyDescent="0.25">
      <c r="A3237" s="2" t="s">
        <v>3255</v>
      </c>
      <c r="B3237" s="3"/>
      <c r="C3237" s="3"/>
      <c r="D3237" s="3"/>
      <c r="E3237" s="5" t="str">
        <f>HYPERLINK("https://dpmzos25m8ivg.cloudfront.net/Documentos/631/06717621338/6310671762133805092023233609.pdf","https://dpmzos25m8ivg.cloudfront.net/Documentos/631/06717621338/6310671762133805092023233609.pdf")</f>
        <v>https://dpmzos25m8ivg.cloudfront.net/Documentos/631/06717621338/6310671762133805092023233609.pdf</v>
      </c>
      <c r="F3237" s="5" t="str">
        <f>HYPERLINK("https://dpmzos25m8ivg.cloudfront.net/Documentos/631/06717621338/6310671762133805092023233923.pdf","https://dpmzos25m8ivg.cloudfront.net/Documentos/631/06717621338/6310671762133805092023233923.pdf")</f>
        <v>https://dpmzos25m8ivg.cloudfront.net/Documentos/631/06717621338/6310671762133805092023233923.pdf</v>
      </c>
      <c r="G3237" s="5" t="str">
        <f>HYPERLINK("https://dpmzos25m8ivg.cloudfront.net/Documentos/631/06717621338/6310671762133805092023234128.pdf","https://dpmzos25m8ivg.cloudfront.net/Documentos/631/06717621338/6310671762133805092023234128.pdf")</f>
        <v>https://dpmzos25m8ivg.cloudfront.net/Documentos/631/06717621338/6310671762133805092023234128.pdf</v>
      </c>
      <c r="H3237" s="5" t="s">
        <v>11815</v>
      </c>
    </row>
    <row r="3238" spans="1:8" x14ac:dyDescent="0.25">
      <c r="A3238" s="2" t="s">
        <v>3256</v>
      </c>
      <c r="B3238" s="3" t="s">
        <v>2358</v>
      </c>
      <c r="C3238" s="3"/>
      <c r="D3238" s="3"/>
      <c r="E3238" s="5" t="str">
        <f>HYPERLINK("https://dpmzos25m8ivg.cloudfront.net/Documentos/631/06718006807/6310671800680707092023081448.jpg","https://dpmzos25m8ivg.cloudfront.net/Documentos/631/06718006807/6310671800680707092023081448.jpg")</f>
        <v>https://dpmzos25m8ivg.cloudfront.net/Documentos/631/06718006807/6310671800680707092023081448.jpg</v>
      </c>
      <c r="F3238" s="5" t="str">
        <f>HYPERLINK("https://dpmzos25m8ivg.cloudfront.net/Documentos/631/06718006807/6310671800680707092023081712.jpg","https://dpmzos25m8ivg.cloudfront.net/Documentos/631/06718006807/6310671800680707092023081712.jpg")</f>
        <v>https://dpmzos25m8ivg.cloudfront.net/Documentos/631/06718006807/6310671800680707092023081712.jpg</v>
      </c>
      <c r="G3238" s="5" t="str">
        <f>HYPERLINK("https://dpmzos25m8ivg.cloudfront.net/Documentos/631/06718006807/6310671800680707092023081921.jpg","https://dpmzos25m8ivg.cloudfront.net/Documentos/631/06718006807/6310671800680707092023081921.jpg")</f>
        <v>https://dpmzos25m8ivg.cloudfront.net/Documentos/631/06718006807/6310671800680707092023081921.jpg</v>
      </c>
      <c r="H3238" s="5" t="s">
        <v>11816</v>
      </c>
    </row>
    <row r="3239" spans="1:8" x14ac:dyDescent="0.25">
      <c r="A3239" s="2" t="s">
        <v>3257</v>
      </c>
      <c r="B3239" s="3"/>
      <c r="C3239" s="3"/>
      <c r="D3239" s="3"/>
      <c r="E3239" s="5" t="str">
        <f>HYPERLINK("https://dpmzos25m8ivg.cloudfront.net/Documentos/631/06718666564/6310671866656405092023202331.pdf","https://dpmzos25m8ivg.cloudfront.net/Documentos/631/06718666564/6310671866656405092023202331.pdf")</f>
        <v>https://dpmzos25m8ivg.cloudfront.net/Documentos/631/06718666564/6310671866656405092023202331.pdf</v>
      </c>
      <c r="F3239" s="5" t="str">
        <f>HYPERLINK("https://dpmzos25m8ivg.cloudfront.net/Documentos/631/06718666564/6310671866656405092023202353.pdf","https://dpmzos25m8ivg.cloudfront.net/Documentos/631/06718666564/6310671866656405092023202353.pdf")</f>
        <v>https://dpmzos25m8ivg.cloudfront.net/Documentos/631/06718666564/6310671866656405092023202353.pdf</v>
      </c>
      <c r="G3239" s="5" t="str">
        <f>HYPERLINK("https://dpmzos25m8ivg.cloudfront.net/Documentos/631/06718666564/6310671866656405092023202413.pdf","https://dpmzos25m8ivg.cloudfront.net/Documentos/631/06718666564/6310671866656405092023202413.pdf")</f>
        <v>https://dpmzos25m8ivg.cloudfront.net/Documentos/631/06718666564/6310671866656405092023202413.pdf</v>
      </c>
      <c r="H3239" s="5" t="s">
        <v>11817</v>
      </c>
    </row>
    <row r="3240" spans="1:8" x14ac:dyDescent="0.25">
      <c r="A3240" s="2" t="s">
        <v>3258</v>
      </c>
      <c r="B3240" s="3"/>
      <c r="C3240" s="3"/>
      <c r="D3240" s="3"/>
      <c r="E3240" s="5" t="str">
        <f>HYPERLINK("https://dpmzos25m8ivg.cloudfront.net/Documentos/631/06721317575/6310672131757511092023104636.jpeg","https://dpmzos25m8ivg.cloudfront.net/Documentos/631/06721317575/6310672131757511092023104636.jpeg")</f>
        <v>https://dpmzos25m8ivg.cloudfront.net/Documentos/631/06721317575/6310672131757511092023104636.jpeg</v>
      </c>
      <c r="F3240" s="5" t="str">
        <f>HYPERLINK("https://dpmzos25m8ivg.cloudfront.net/Documentos/631/06721317575/6310672131757511092023104645.jpeg","https://dpmzos25m8ivg.cloudfront.net/Documentos/631/06721317575/6310672131757511092023104645.jpeg")</f>
        <v>https://dpmzos25m8ivg.cloudfront.net/Documentos/631/06721317575/6310672131757511092023104645.jpeg</v>
      </c>
      <c r="G3240" s="5" t="str">
        <f>HYPERLINK("https://dpmzos25m8ivg.cloudfront.net/Documentos/631/06721317575/6310672131757511092023104654.jpeg","https://dpmzos25m8ivg.cloudfront.net/Documentos/631/06721317575/6310672131757511092023104654.jpeg")</f>
        <v>https://dpmzos25m8ivg.cloudfront.net/Documentos/631/06721317575/6310672131757511092023104654.jpeg</v>
      </c>
      <c r="H3240" s="5" t="s">
        <v>11818</v>
      </c>
    </row>
    <row r="3241" spans="1:8" x14ac:dyDescent="0.25">
      <c r="A3241" s="2" t="s">
        <v>3259</v>
      </c>
      <c r="B3241" s="3"/>
      <c r="C3241" s="3"/>
      <c r="D3241" s="3"/>
      <c r="E3241" s="5" t="str">
        <f>HYPERLINK("https://dpmzos25m8ivg.cloudfront.net/Documentos/631/06726902174/6310672690217411092023140513.pdf","https://dpmzos25m8ivg.cloudfront.net/Documentos/631/06726902174/6310672690217411092023140513.pdf")</f>
        <v>https://dpmzos25m8ivg.cloudfront.net/Documentos/631/06726902174/6310672690217411092023140513.pdf</v>
      </c>
      <c r="F3241" s="5" t="str">
        <f>HYPERLINK("https://dpmzos25m8ivg.cloudfront.net/Documentos/631/06726902174/6310672690217411092023140526.pdf","https://dpmzos25m8ivg.cloudfront.net/Documentos/631/06726902174/6310672690217411092023140526.pdf")</f>
        <v>https://dpmzos25m8ivg.cloudfront.net/Documentos/631/06726902174/6310672690217411092023140526.pdf</v>
      </c>
      <c r="G3241" s="5" t="str">
        <f>HYPERLINK("https://dpmzos25m8ivg.cloudfront.net/Documentos/631/06726902174/6310672690217411092023140535.jpg","https://dpmzos25m8ivg.cloudfront.net/Documentos/631/06726902174/6310672690217411092023140535.jpg")</f>
        <v>https://dpmzos25m8ivg.cloudfront.net/Documentos/631/06726902174/6310672690217411092023140535.jpg</v>
      </c>
      <c r="H3241" s="5" t="s">
        <v>11819</v>
      </c>
    </row>
    <row r="3242" spans="1:8" x14ac:dyDescent="0.25">
      <c r="A3242" s="2" t="s">
        <v>3260</v>
      </c>
      <c r="B3242" s="3"/>
      <c r="C3242" s="3"/>
      <c r="D3242" s="3"/>
      <c r="E3242" s="5" t="str">
        <f>HYPERLINK("https://dpmzos25m8ivg.cloudfront.net/Documentos/631/06728672141/6310672867214107092023153022.pdf","https://dpmzos25m8ivg.cloudfront.net/Documentos/631/06728672141/6310672867214107092023153022.pdf")</f>
        <v>https://dpmzos25m8ivg.cloudfront.net/Documentos/631/06728672141/6310672867214107092023153022.pdf</v>
      </c>
      <c r="F3242" s="5" t="str">
        <f>HYPERLINK("https://dpmzos25m8ivg.cloudfront.net/Documentos/631/06728672141/6310672867214107092023153039.pdf","https://dpmzos25m8ivg.cloudfront.net/Documentos/631/06728672141/6310672867214107092023153039.pdf")</f>
        <v>https://dpmzos25m8ivg.cloudfront.net/Documentos/631/06728672141/6310672867214107092023153039.pdf</v>
      </c>
      <c r="G3242" s="5" t="str">
        <f>HYPERLINK("https://dpmzos25m8ivg.cloudfront.net/Documentos/631/06728672141/6310672867214107092023153054.pdf","https://dpmzos25m8ivg.cloudfront.net/Documentos/631/06728672141/6310672867214107092023153054.pdf")</f>
        <v>https://dpmzos25m8ivg.cloudfront.net/Documentos/631/06728672141/6310672867214107092023153054.pdf</v>
      </c>
      <c r="H3242" s="5" t="s">
        <v>11820</v>
      </c>
    </row>
    <row r="3243" spans="1:8" x14ac:dyDescent="0.25">
      <c r="A3243" s="2" t="s">
        <v>3261</v>
      </c>
      <c r="B3243" s="3" t="s">
        <v>23</v>
      </c>
      <c r="C3243" s="3"/>
      <c r="D3243" s="3"/>
      <c r="E3243" s="5" t="str">
        <f>HYPERLINK("https://dpmzos25m8ivg.cloudfront.net/Documentos/631/06732433547/6310673243354706092023115914.jpeg","https://dpmzos25m8ivg.cloudfront.net/Documentos/631/06732433547/6310673243354706092023115914.jpeg")</f>
        <v>https://dpmzos25m8ivg.cloudfront.net/Documentos/631/06732433547/6310673243354706092023115914.jpeg</v>
      </c>
      <c r="F3243" s="5" t="str">
        <f>HYPERLINK("https://dpmzos25m8ivg.cloudfront.net/Documentos/631/06732433547/6310673243354706092023115934.jpeg","https://dpmzos25m8ivg.cloudfront.net/Documentos/631/06732433547/6310673243354706092023115934.jpeg")</f>
        <v>https://dpmzos25m8ivg.cloudfront.net/Documentos/631/06732433547/6310673243354706092023115934.jpeg</v>
      </c>
      <c r="G3243" s="5" t="str">
        <f>HYPERLINK("https://dpmzos25m8ivg.cloudfront.net/Documentos/631/06732433547/6310673243354706092023120430.jpeg","https://dpmzos25m8ivg.cloudfront.net/Documentos/631/06732433547/6310673243354706092023120430.jpeg")</f>
        <v>https://dpmzos25m8ivg.cloudfront.net/Documentos/631/06732433547/6310673243354706092023120430.jpeg</v>
      </c>
      <c r="H3243" s="5" t="s">
        <v>11821</v>
      </c>
    </row>
    <row r="3244" spans="1:8" x14ac:dyDescent="0.25">
      <c r="A3244" s="2" t="s">
        <v>3262</v>
      </c>
      <c r="B3244" s="3"/>
      <c r="C3244" s="3"/>
      <c r="D3244" s="3"/>
      <c r="E3244" s="5" t="str">
        <f>HYPERLINK("https://dpmzos25m8ivg.cloudfront.net/Documentos/631/06734078531/6310673407853111092023151409.pdf","https://dpmzos25m8ivg.cloudfront.net/Documentos/631/06734078531/6310673407853111092023151409.pdf")</f>
        <v>https://dpmzos25m8ivg.cloudfront.net/Documentos/631/06734078531/6310673407853111092023151409.pdf</v>
      </c>
      <c r="F3244" s="5" t="str">
        <f>HYPERLINK("https://dpmzos25m8ivg.cloudfront.net/Documentos/631/06734078531/6310673407853111092023151420.pdf","https://dpmzos25m8ivg.cloudfront.net/Documentos/631/06734078531/6310673407853111092023151420.pdf")</f>
        <v>https://dpmzos25m8ivg.cloudfront.net/Documentos/631/06734078531/6310673407853111092023151420.pdf</v>
      </c>
      <c r="G3244" s="5" t="str">
        <f>HYPERLINK("https://dpmzos25m8ivg.cloudfront.net/Documentos/631/06734078531/6310673407853111092023151433.pdf","https://dpmzos25m8ivg.cloudfront.net/Documentos/631/06734078531/6310673407853111092023151433.pdf")</f>
        <v>https://dpmzos25m8ivg.cloudfront.net/Documentos/631/06734078531/6310673407853111092023151433.pdf</v>
      </c>
      <c r="H3244" s="5" t="s">
        <v>11822</v>
      </c>
    </row>
    <row r="3245" spans="1:8" x14ac:dyDescent="0.25">
      <c r="A3245" s="2" t="s">
        <v>3263</v>
      </c>
      <c r="B3245" s="3" t="s">
        <v>2358</v>
      </c>
      <c r="C3245" s="3"/>
      <c r="D3245" s="3"/>
      <c r="E3245" s="5" t="str">
        <f>HYPERLINK("https://dpmzos25m8ivg.cloudfront.net/Documentos/631/06737912621/6310673791262110092023182028.pdf","https://dpmzos25m8ivg.cloudfront.net/Documentos/631/06737912621/6310673791262110092023182028.pdf")</f>
        <v>https://dpmzos25m8ivg.cloudfront.net/Documentos/631/06737912621/6310673791262110092023182028.pdf</v>
      </c>
      <c r="F3245" s="5" t="str">
        <f>HYPERLINK("https://dpmzos25m8ivg.cloudfront.net/Documentos/631/06737912621/6310673791262110092023182049.pdf","https://dpmzos25m8ivg.cloudfront.net/Documentos/631/06737912621/6310673791262110092023182049.pdf")</f>
        <v>https://dpmzos25m8ivg.cloudfront.net/Documentos/631/06737912621/6310673791262110092023182049.pdf</v>
      </c>
      <c r="G3245" s="5" t="str">
        <f>HYPERLINK("https://dpmzos25m8ivg.cloudfront.net/Documentos/631/06737912621/6310673791262110092023182116.pdf","https://dpmzos25m8ivg.cloudfront.net/Documentos/631/06737912621/6310673791262110092023182116.pdf")</f>
        <v>https://dpmzos25m8ivg.cloudfront.net/Documentos/631/06737912621/6310673791262110092023182116.pdf</v>
      </c>
      <c r="H3245" s="5" t="s">
        <v>11823</v>
      </c>
    </row>
    <row r="3246" spans="1:8" x14ac:dyDescent="0.25">
      <c r="A3246" s="2" t="s">
        <v>3264</v>
      </c>
      <c r="B3246" s="3"/>
      <c r="C3246" s="3"/>
      <c r="D3246" s="3"/>
      <c r="E3246" s="5" t="str">
        <f>HYPERLINK("https://dpmzos25m8ivg.cloudfront.net/Documentos/631/06741358145/6310674135814506092023184031.pdf","https://dpmzos25m8ivg.cloudfront.net/Documentos/631/06741358145/6310674135814506092023184031.pdf")</f>
        <v>https://dpmzos25m8ivg.cloudfront.net/Documentos/631/06741358145/6310674135814506092023184031.pdf</v>
      </c>
      <c r="F3246" s="5" t="str">
        <f>HYPERLINK("https://dpmzos25m8ivg.cloudfront.net/Documentos/631/06741358145/6310674135814506092023184159.pdf","https://dpmzos25m8ivg.cloudfront.net/Documentos/631/06741358145/6310674135814506092023184159.pdf")</f>
        <v>https://dpmzos25m8ivg.cloudfront.net/Documentos/631/06741358145/6310674135814506092023184159.pdf</v>
      </c>
      <c r="G3246" s="5" t="str">
        <f>HYPERLINK("https://dpmzos25m8ivg.cloudfront.net/Documentos/631/06741358145/6310674135814506092023184225.pdf","https://dpmzos25m8ivg.cloudfront.net/Documentos/631/06741358145/6310674135814506092023184225.pdf")</f>
        <v>https://dpmzos25m8ivg.cloudfront.net/Documentos/631/06741358145/6310674135814506092023184225.pdf</v>
      </c>
      <c r="H3246" s="5" t="s">
        <v>11824</v>
      </c>
    </row>
    <row r="3247" spans="1:8" x14ac:dyDescent="0.25">
      <c r="A3247" s="2" t="s">
        <v>3265</v>
      </c>
      <c r="B3247" s="3"/>
      <c r="C3247" s="3"/>
      <c r="D3247" s="3"/>
      <c r="E3247" s="5" t="str">
        <f>HYPERLINK("https://dpmzos25m8ivg.cloudfront.net/Documentos/631/06747123581/6310674712358114092023133353.pdf","https://dpmzos25m8ivg.cloudfront.net/Documentos/631/06747123581/6310674712358114092023133353.pdf")</f>
        <v>https://dpmzos25m8ivg.cloudfront.net/Documentos/631/06747123581/6310674712358114092023133353.pdf</v>
      </c>
      <c r="F3247" s="5" t="str">
        <f>HYPERLINK("https://dpmzos25m8ivg.cloudfront.net/Documentos/631/06747123581/6310674712358114092023133404.pdf","https://dpmzos25m8ivg.cloudfront.net/Documentos/631/06747123581/6310674712358114092023133404.pdf")</f>
        <v>https://dpmzos25m8ivg.cloudfront.net/Documentos/631/06747123581/6310674712358114092023133404.pdf</v>
      </c>
      <c r="G3247" s="5" t="str">
        <f>HYPERLINK("https://dpmzos25m8ivg.cloudfront.net/Documentos/631/06747123581/6310674712358114092023133412.pdf","https://dpmzos25m8ivg.cloudfront.net/Documentos/631/06747123581/6310674712358114092023133412.pdf")</f>
        <v>https://dpmzos25m8ivg.cloudfront.net/Documentos/631/06747123581/6310674712358114092023133412.pdf</v>
      </c>
      <c r="H3247" s="5" t="s">
        <v>11825</v>
      </c>
    </row>
    <row r="3248" spans="1:8" x14ac:dyDescent="0.25">
      <c r="A3248" s="2" t="s">
        <v>3266</v>
      </c>
      <c r="B3248" s="3"/>
      <c r="C3248" s="3"/>
      <c r="D3248" s="3"/>
      <c r="E3248" s="5" t="str">
        <f>HYPERLINK("https://dpmzos25m8ivg.cloudfront.net/Documentos/631/06752317445/6310675231744508092023200414.jpg","https://dpmzos25m8ivg.cloudfront.net/Documentos/631/06752317445/6310675231744508092023200414.jpg")</f>
        <v>https://dpmzos25m8ivg.cloudfront.net/Documentos/631/06752317445/6310675231744508092023200414.jpg</v>
      </c>
      <c r="F3248" s="5" t="str">
        <f>HYPERLINK("https://dpmzos25m8ivg.cloudfront.net/Documentos/631/06752317445/6310675231744508092023200625.jpg","https://dpmzos25m8ivg.cloudfront.net/Documentos/631/06752317445/6310675231744508092023200625.jpg")</f>
        <v>https://dpmzos25m8ivg.cloudfront.net/Documentos/631/06752317445/6310675231744508092023200625.jpg</v>
      </c>
      <c r="G3248" s="5" t="str">
        <f>HYPERLINK("https://dpmzos25m8ivg.cloudfront.net/Documentos/631/06752317445/6310675231744508092023200914.jpg","https://dpmzos25m8ivg.cloudfront.net/Documentos/631/06752317445/6310675231744508092023200914.jpg")</f>
        <v>https://dpmzos25m8ivg.cloudfront.net/Documentos/631/06752317445/6310675231744508092023200914.jpg</v>
      </c>
      <c r="H3248" s="5" t="s">
        <v>11826</v>
      </c>
    </row>
    <row r="3249" spans="1:8" x14ac:dyDescent="0.25">
      <c r="A3249" s="2" t="s">
        <v>3267</v>
      </c>
      <c r="B3249" s="3"/>
      <c r="C3249" s="3"/>
      <c r="D3249" s="3"/>
      <c r="E3249" s="5" t="str">
        <f>HYPERLINK("https://dpmzos25m8ivg.cloudfront.net/Documentos/631/06754547197/6310675454719708092023154350.pdf","https://dpmzos25m8ivg.cloudfront.net/Documentos/631/06754547197/6310675454719708092023154350.pdf")</f>
        <v>https://dpmzos25m8ivg.cloudfront.net/Documentos/631/06754547197/6310675454719708092023154350.pdf</v>
      </c>
      <c r="F3249" s="5" t="str">
        <f>HYPERLINK("https://dpmzos25m8ivg.cloudfront.net/Documentos/631/06754547197/6310675454719708092023154403.pdf","https://dpmzos25m8ivg.cloudfront.net/Documentos/631/06754547197/6310675454719708092023154403.pdf")</f>
        <v>https://dpmzos25m8ivg.cloudfront.net/Documentos/631/06754547197/6310675454719708092023154403.pdf</v>
      </c>
      <c r="G3249" s="5" t="str">
        <f>HYPERLINK("https://dpmzos25m8ivg.cloudfront.net/Documentos/631/06754547197/6310675454719708092023154416.pdf","https://dpmzos25m8ivg.cloudfront.net/Documentos/631/06754547197/6310675454719708092023154416.pdf")</f>
        <v>https://dpmzos25m8ivg.cloudfront.net/Documentos/631/06754547197/6310675454719708092023154416.pdf</v>
      </c>
      <c r="H3249" s="5" t="s">
        <v>11827</v>
      </c>
    </row>
    <row r="3250" spans="1:8" x14ac:dyDescent="0.25">
      <c r="A3250" s="2" t="s">
        <v>3268</v>
      </c>
      <c r="B3250" s="3"/>
      <c r="C3250" s="3"/>
      <c r="D3250" s="3"/>
      <c r="E3250" s="5" t="str">
        <f>HYPERLINK("https://dpmzos25m8ivg.cloudfront.net/Documentos/631/06758016560/6310675801656011092023000251.pdf","https://dpmzos25m8ivg.cloudfront.net/Documentos/631/06758016560/6310675801656011092023000251.pdf")</f>
        <v>https://dpmzos25m8ivg.cloudfront.net/Documentos/631/06758016560/6310675801656011092023000251.pdf</v>
      </c>
      <c r="F3250" s="5" t="str">
        <f>HYPERLINK("https://dpmzos25m8ivg.cloudfront.net/Documentos/631/06758016560/6310675801656011092023000243.pdf","https://dpmzos25m8ivg.cloudfront.net/Documentos/631/06758016560/6310675801656011092023000243.pdf")</f>
        <v>https://dpmzos25m8ivg.cloudfront.net/Documentos/631/06758016560/6310675801656011092023000243.pdf</v>
      </c>
      <c r="G3250" s="5" t="str">
        <f>HYPERLINK("https://dpmzos25m8ivg.cloudfront.net/Documentos/631/06758016560/6310675801656011092023000233.pdf","https://dpmzos25m8ivg.cloudfront.net/Documentos/631/06758016560/6310675801656011092023000233.pdf")</f>
        <v>https://dpmzos25m8ivg.cloudfront.net/Documentos/631/06758016560/6310675801656011092023000233.pdf</v>
      </c>
      <c r="H3250" s="5" t="s">
        <v>11828</v>
      </c>
    </row>
    <row r="3251" spans="1:8" x14ac:dyDescent="0.25">
      <c r="A3251" s="2" t="s">
        <v>3269</v>
      </c>
      <c r="B3251" s="3"/>
      <c r="C3251" s="3"/>
      <c r="D3251" s="3"/>
      <c r="E3251" s="5" t="str">
        <f>HYPERLINK("https://dpmzos25m8ivg.cloudfront.net/Documentos/631/06758121518/6310675812151811092023160807.pdf","https://dpmzos25m8ivg.cloudfront.net/Documentos/631/06758121518/6310675812151811092023160807.pdf")</f>
        <v>https://dpmzos25m8ivg.cloudfront.net/Documentos/631/06758121518/6310675812151811092023160807.pdf</v>
      </c>
      <c r="F3251" s="5" t="str">
        <f>HYPERLINK("https://dpmzos25m8ivg.cloudfront.net/Documentos/631/06758121518/6310675812151811092023160831.pdf","https://dpmzos25m8ivg.cloudfront.net/Documentos/631/06758121518/6310675812151811092023160831.pdf")</f>
        <v>https://dpmzos25m8ivg.cloudfront.net/Documentos/631/06758121518/6310675812151811092023160831.pdf</v>
      </c>
      <c r="G3251" s="5" t="str">
        <f>HYPERLINK("https://dpmzos25m8ivg.cloudfront.net/Documentos/631/06758121518/6310675812151811092023160842.pdf","https://dpmzos25m8ivg.cloudfront.net/Documentos/631/06758121518/6310675812151811092023160842.pdf")</f>
        <v>https://dpmzos25m8ivg.cloudfront.net/Documentos/631/06758121518/6310675812151811092023160842.pdf</v>
      </c>
      <c r="H3251" s="5" t="s">
        <v>11829</v>
      </c>
    </row>
    <row r="3252" spans="1:8" x14ac:dyDescent="0.25">
      <c r="A3252" s="2" t="s">
        <v>3270</v>
      </c>
      <c r="B3252" s="3" t="s">
        <v>2358</v>
      </c>
      <c r="C3252" s="3"/>
      <c r="D3252" s="3"/>
      <c r="E3252" s="5" t="str">
        <f>HYPERLINK("https://dpmzos25m8ivg.cloudfront.net/Documentos/631/06758129411/6310675812941108092023165110.pdf","https://dpmzos25m8ivg.cloudfront.net/Documentos/631/06758129411/6310675812941108092023165110.pdf")</f>
        <v>https://dpmzos25m8ivg.cloudfront.net/Documentos/631/06758129411/6310675812941108092023165110.pdf</v>
      </c>
      <c r="F3252" s="5" t="str">
        <f>HYPERLINK("https://dpmzos25m8ivg.cloudfront.net/Documentos/631/06758129411/6310675812941108092023165119.pdf","https://dpmzos25m8ivg.cloudfront.net/Documentos/631/06758129411/6310675812941108092023165119.pdf")</f>
        <v>https://dpmzos25m8ivg.cloudfront.net/Documentos/631/06758129411/6310675812941108092023165119.pdf</v>
      </c>
      <c r="G3252" s="5" t="str">
        <f>HYPERLINK("https://dpmzos25m8ivg.cloudfront.net/Documentos/631/06758129411/6310675812941108092023165128.pdf","https://dpmzos25m8ivg.cloudfront.net/Documentos/631/06758129411/6310675812941108092023165128.pdf")</f>
        <v>https://dpmzos25m8ivg.cloudfront.net/Documentos/631/06758129411/6310675812941108092023165128.pdf</v>
      </c>
      <c r="H3252" s="5" t="s">
        <v>11830</v>
      </c>
    </row>
    <row r="3253" spans="1:8" x14ac:dyDescent="0.25">
      <c r="A3253" s="2" t="s">
        <v>3271</v>
      </c>
      <c r="B3253" s="3"/>
      <c r="C3253" s="3"/>
      <c r="D3253" s="3"/>
      <c r="E3253" s="5" t="str">
        <f>HYPERLINK("https://dpmzos25m8ivg.cloudfront.net/Documentos/631/06760563182/6310676056318210092023125442.jpg","https://dpmzos25m8ivg.cloudfront.net/Documentos/631/06760563182/6310676056318210092023125442.jpg")</f>
        <v>https://dpmzos25m8ivg.cloudfront.net/Documentos/631/06760563182/6310676056318210092023125442.jpg</v>
      </c>
      <c r="F3253" s="5" t="str">
        <f>HYPERLINK("https://dpmzos25m8ivg.cloudfront.net/Documentos/631/06760563182/6310676056318210092023125451.jpg","https://dpmzos25m8ivg.cloudfront.net/Documentos/631/06760563182/6310676056318210092023125451.jpg")</f>
        <v>https://dpmzos25m8ivg.cloudfront.net/Documentos/631/06760563182/6310676056318210092023125451.jpg</v>
      </c>
      <c r="G3253" s="5" t="str">
        <f>HYPERLINK("https://dpmzos25m8ivg.cloudfront.net/Documentos/631/06760563182/6310676056318210092023125500.jpg","https://dpmzos25m8ivg.cloudfront.net/Documentos/631/06760563182/6310676056318210092023125500.jpg")</f>
        <v>https://dpmzos25m8ivg.cloudfront.net/Documentos/631/06760563182/6310676056318210092023125500.jpg</v>
      </c>
      <c r="H3253" s="5" t="s">
        <v>11831</v>
      </c>
    </row>
    <row r="3254" spans="1:8" x14ac:dyDescent="0.25">
      <c r="A3254" s="2" t="s">
        <v>3272</v>
      </c>
      <c r="B3254" s="3"/>
      <c r="C3254" s="3"/>
      <c r="D3254" s="3"/>
      <c r="E3254" s="5" t="str">
        <f>HYPERLINK("https://dpmzos25m8ivg.cloudfront.net/Documentos/631/06762370616/6310676237061611092023155746.pdf","https://dpmzos25m8ivg.cloudfront.net/Documentos/631/06762370616/6310676237061611092023155746.pdf")</f>
        <v>https://dpmzos25m8ivg.cloudfront.net/Documentos/631/06762370616/6310676237061611092023155746.pdf</v>
      </c>
      <c r="F3254" s="5" t="str">
        <f>HYPERLINK("https://dpmzos25m8ivg.cloudfront.net/Documentos/631/06762370616/6310676237061611092023160015.pdf","https://dpmzos25m8ivg.cloudfront.net/Documentos/631/06762370616/6310676237061611092023160015.pdf")</f>
        <v>https://dpmzos25m8ivg.cloudfront.net/Documentos/631/06762370616/6310676237061611092023160015.pdf</v>
      </c>
      <c r="G3254" s="5" t="str">
        <f>HYPERLINK("https://dpmzos25m8ivg.cloudfront.net/Documentos/631/06762370616/6310676237061611092023160029.pdf","https://dpmzos25m8ivg.cloudfront.net/Documentos/631/06762370616/6310676237061611092023160029.pdf")</f>
        <v>https://dpmzos25m8ivg.cloudfront.net/Documentos/631/06762370616/6310676237061611092023160029.pdf</v>
      </c>
      <c r="H3254" s="5" t="s">
        <v>11832</v>
      </c>
    </row>
    <row r="3255" spans="1:8" x14ac:dyDescent="0.25">
      <c r="A3255" s="2" t="s">
        <v>3273</v>
      </c>
      <c r="B3255" s="3" t="s">
        <v>2358</v>
      </c>
      <c r="C3255" s="3"/>
      <c r="D3255" s="3"/>
      <c r="E3255" s="5" t="str">
        <f>HYPERLINK("https://dpmzos25m8ivg.cloudfront.net/Documentos/631/06762933602/6310676293360211092023165141.jpeg","https://dpmzos25m8ivg.cloudfront.net/Documentos/631/06762933602/6310676293360211092023165141.jpeg")</f>
        <v>https://dpmzos25m8ivg.cloudfront.net/Documentos/631/06762933602/6310676293360211092023165141.jpeg</v>
      </c>
      <c r="F3255" s="5" t="str">
        <f>HYPERLINK("https://dpmzos25m8ivg.cloudfront.net/Documentos/631/06762933602/6310676293360211092023165147.jpeg","https://dpmzos25m8ivg.cloudfront.net/Documentos/631/06762933602/6310676293360211092023165147.jpeg")</f>
        <v>https://dpmzos25m8ivg.cloudfront.net/Documentos/631/06762933602/6310676293360211092023165147.jpeg</v>
      </c>
      <c r="G3255" s="5" t="str">
        <f>HYPERLINK("https://dpmzos25m8ivg.cloudfront.net/Documentos/631/06762933602/6310676293360211092023165152.jpeg","https://dpmzos25m8ivg.cloudfront.net/Documentos/631/06762933602/6310676293360211092023165152.jpeg")</f>
        <v>https://dpmzos25m8ivg.cloudfront.net/Documentos/631/06762933602/6310676293360211092023165152.jpeg</v>
      </c>
      <c r="H3255" s="5" t="s">
        <v>11833</v>
      </c>
    </row>
    <row r="3256" spans="1:8" x14ac:dyDescent="0.25">
      <c r="A3256" s="2" t="s">
        <v>3274</v>
      </c>
      <c r="B3256" s="3"/>
      <c r="C3256" s="3"/>
      <c r="D3256" s="3"/>
      <c r="E3256" s="5" t="str">
        <f>HYPERLINK("https://dpmzos25m8ivg.cloudfront.net/Documentos/631/06773153174/6310677315317411092023150256.pdf","https://dpmzos25m8ivg.cloudfront.net/Documentos/631/06773153174/6310677315317411092023150256.pdf")</f>
        <v>https://dpmzos25m8ivg.cloudfront.net/Documentos/631/06773153174/6310677315317411092023150256.pdf</v>
      </c>
      <c r="F3256" s="5" t="str">
        <f>HYPERLINK("https://dpmzos25m8ivg.cloudfront.net/Documentos/631/06773153174/6310677315317411092023150311.pdf","https://dpmzos25m8ivg.cloudfront.net/Documentos/631/06773153174/6310677315317411092023150311.pdf")</f>
        <v>https://dpmzos25m8ivg.cloudfront.net/Documentos/631/06773153174/6310677315317411092023150311.pdf</v>
      </c>
      <c r="G3256" s="5" t="str">
        <f>HYPERLINK("https://dpmzos25m8ivg.cloudfront.net/Documentos/631/06773153174/6310677315317411092023150327.pdf","https://dpmzos25m8ivg.cloudfront.net/Documentos/631/06773153174/6310677315317411092023150327.pdf")</f>
        <v>https://dpmzos25m8ivg.cloudfront.net/Documentos/631/06773153174/6310677315317411092023150327.pdf</v>
      </c>
      <c r="H3256" s="5" t="s">
        <v>11834</v>
      </c>
    </row>
    <row r="3257" spans="1:8" x14ac:dyDescent="0.25">
      <c r="A3257" s="2" t="s">
        <v>3275</v>
      </c>
      <c r="B3257" s="3"/>
      <c r="C3257" s="3"/>
      <c r="D3257" s="3"/>
      <c r="E3257" s="5" t="str">
        <f>HYPERLINK("https://dpmzos25m8ivg.cloudfront.net/Documentos/631/06777432388/6310677743238814092023154234.pdf","https://dpmzos25m8ivg.cloudfront.net/Documentos/631/06777432388/6310677743238814092023154234.pdf")</f>
        <v>https://dpmzos25m8ivg.cloudfront.net/Documentos/631/06777432388/6310677743238814092023154234.pdf</v>
      </c>
      <c r="F3257" s="5" t="str">
        <f>HYPERLINK("https://dpmzos25m8ivg.cloudfront.net/Documentos/631/06777432388/6310677743238814092023154246.pdf","https://dpmzos25m8ivg.cloudfront.net/Documentos/631/06777432388/6310677743238814092023154246.pdf")</f>
        <v>https://dpmzos25m8ivg.cloudfront.net/Documentos/631/06777432388/6310677743238814092023154246.pdf</v>
      </c>
      <c r="G3257" s="5" t="str">
        <f>HYPERLINK("https://dpmzos25m8ivg.cloudfront.net/Documentos/631/06777432388/6310677743238814092023154258.pdf","https://dpmzos25m8ivg.cloudfront.net/Documentos/631/06777432388/6310677743238814092023154258.pdf")</f>
        <v>https://dpmzos25m8ivg.cloudfront.net/Documentos/631/06777432388/6310677743238814092023154258.pdf</v>
      </c>
      <c r="H3257" s="5" t="s">
        <v>11835</v>
      </c>
    </row>
    <row r="3258" spans="1:8" x14ac:dyDescent="0.25">
      <c r="A3258" s="2" t="s">
        <v>3276</v>
      </c>
      <c r="B3258" s="3" t="s">
        <v>2358</v>
      </c>
      <c r="C3258" s="3"/>
      <c r="D3258" s="3"/>
      <c r="E3258" s="5" t="str">
        <f>HYPERLINK("https://dpmzos25m8ivg.cloudfront.net/Documentos/631/06778201940/6310677820194004092023211125.pdf","https://dpmzos25m8ivg.cloudfront.net/Documentos/631/06778201940/6310677820194004092023211125.pdf")</f>
        <v>https://dpmzos25m8ivg.cloudfront.net/Documentos/631/06778201940/6310677820194004092023211125.pdf</v>
      </c>
      <c r="F3258" s="5" t="str">
        <f>HYPERLINK("https://dpmzos25m8ivg.cloudfront.net/Documentos/631/06778201940/6310677820194004092023211821.pdf","https://dpmzos25m8ivg.cloudfront.net/Documentos/631/06778201940/6310677820194004092023211821.pdf")</f>
        <v>https://dpmzos25m8ivg.cloudfront.net/Documentos/631/06778201940/6310677820194004092023211821.pdf</v>
      </c>
      <c r="G3258" s="5" t="str">
        <f>HYPERLINK("https://dpmzos25m8ivg.cloudfront.net/Documentos/631/06778201940/6310677820194006092023200632.pdf","https://dpmzos25m8ivg.cloudfront.net/Documentos/631/06778201940/6310677820194006092023200632.pdf")</f>
        <v>https://dpmzos25m8ivg.cloudfront.net/Documentos/631/06778201940/6310677820194006092023200632.pdf</v>
      </c>
      <c r="H3258" s="5" t="s">
        <v>11836</v>
      </c>
    </row>
    <row r="3259" spans="1:8" x14ac:dyDescent="0.25">
      <c r="A3259" s="2" t="s">
        <v>3277</v>
      </c>
      <c r="B3259" s="3"/>
      <c r="C3259" s="3"/>
      <c r="D3259" s="3"/>
      <c r="E3259" s="5" t="str">
        <f>HYPERLINK("https://dpmzos25m8ivg.cloudfront.net/Documentos/631/06780383414/6310678038341412092023222524.pdf","https://dpmzos25m8ivg.cloudfront.net/Documentos/631/06780383414/6310678038341412092023222524.pdf")</f>
        <v>https://dpmzos25m8ivg.cloudfront.net/Documentos/631/06780383414/6310678038341412092023222524.pdf</v>
      </c>
      <c r="F3259" s="5" t="str">
        <f>HYPERLINK("https://dpmzos25m8ivg.cloudfront.net/Documentos/631/06780383414/6310678038341412092023222553.pdf","https://dpmzos25m8ivg.cloudfront.net/Documentos/631/06780383414/6310678038341412092023222553.pdf")</f>
        <v>https://dpmzos25m8ivg.cloudfront.net/Documentos/631/06780383414/6310678038341412092023222553.pdf</v>
      </c>
      <c r="G3259" s="5" t="str">
        <f>HYPERLINK("https://dpmzos25m8ivg.cloudfront.net/Documentos/631/06780383414/6310678038341412092023222614.pdf","https://dpmzos25m8ivg.cloudfront.net/Documentos/631/06780383414/6310678038341412092023222614.pdf")</f>
        <v>https://dpmzos25m8ivg.cloudfront.net/Documentos/631/06780383414/6310678038341412092023222614.pdf</v>
      </c>
      <c r="H3259" s="5" t="s">
        <v>11837</v>
      </c>
    </row>
    <row r="3260" spans="1:8" x14ac:dyDescent="0.25">
      <c r="A3260" s="2" t="s">
        <v>3278</v>
      </c>
      <c r="B3260" s="3"/>
      <c r="C3260" s="3"/>
      <c r="D3260" s="3"/>
      <c r="E3260" s="5" t="str">
        <f>HYPERLINK("https://dpmzos25m8ivg.cloudfront.net/Documentos/631/06780908584/6310678090858405092023194350.pdf","https://dpmzos25m8ivg.cloudfront.net/Documentos/631/06780908584/6310678090858405092023194350.pdf")</f>
        <v>https://dpmzos25m8ivg.cloudfront.net/Documentos/631/06780908584/6310678090858405092023194350.pdf</v>
      </c>
      <c r="F3260" s="5" t="str">
        <f>HYPERLINK("https://dpmzos25m8ivg.cloudfront.net/Documentos/631/06780908584/6310678090858405092023194434.pdf","https://dpmzos25m8ivg.cloudfront.net/Documentos/631/06780908584/6310678090858405092023194434.pdf")</f>
        <v>https://dpmzos25m8ivg.cloudfront.net/Documentos/631/06780908584/6310678090858405092023194434.pdf</v>
      </c>
      <c r="G3260" s="5" t="str">
        <f>HYPERLINK("https://dpmzos25m8ivg.cloudfront.net/Documentos/631/06780908584/6310678090858405092023194501.pdf","https://dpmzos25m8ivg.cloudfront.net/Documentos/631/06780908584/6310678090858405092023194501.pdf")</f>
        <v>https://dpmzos25m8ivg.cloudfront.net/Documentos/631/06780908584/6310678090858405092023194501.pdf</v>
      </c>
      <c r="H3260" s="5" t="s">
        <v>11838</v>
      </c>
    </row>
    <row r="3261" spans="1:8" x14ac:dyDescent="0.25">
      <c r="A3261" s="2" t="s">
        <v>3279</v>
      </c>
      <c r="B3261" s="3"/>
      <c r="C3261" s="3"/>
      <c r="D3261" s="3"/>
      <c r="E3261" s="5" t="str">
        <f>HYPERLINK("https://dpmzos25m8ivg.cloudfront.net/Documentos/631/06781103954/6310678110395411092023140425.pdf","https://dpmzos25m8ivg.cloudfront.net/Documentos/631/06781103954/6310678110395411092023140425.pdf")</f>
        <v>https://dpmzos25m8ivg.cloudfront.net/Documentos/631/06781103954/6310678110395411092023140425.pdf</v>
      </c>
      <c r="F3261" s="5" t="str">
        <f>HYPERLINK("https://dpmzos25m8ivg.cloudfront.net/Documentos/631/06781103954/6310678110395411092023140437.pdf","https://dpmzos25m8ivg.cloudfront.net/Documentos/631/06781103954/6310678110395411092023140437.pdf")</f>
        <v>https://dpmzos25m8ivg.cloudfront.net/Documentos/631/06781103954/6310678110395411092023140437.pdf</v>
      </c>
      <c r="G3261" s="5" t="str">
        <f>HYPERLINK("https://dpmzos25m8ivg.cloudfront.net/Documentos/631/06781103954/6310678110395411092023140445.pdf","https://dpmzos25m8ivg.cloudfront.net/Documentos/631/06781103954/6310678110395411092023140445.pdf")</f>
        <v>https://dpmzos25m8ivg.cloudfront.net/Documentos/631/06781103954/6310678110395411092023140445.pdf</v>
      </c>
      <c r="H3261" s="5" t="s">
        <v>11839</v>
      </c>
    </row>
    <row r="3262" spans="1:8" x14ac:dyDescent="0.25">
      <c r="A3262" s="2" t="s">
        <v>3280</v>
      </c>
      <c r="B3262" s="3" t="s">
        <v>2358</v>
      </c>
      <c r="C3262" s="3"/>
      <c r="D3262" s="3"/>
      <c r="E3262" s="5" t="str">
        <f>HYPERLINK("https://dpmzos25m8ivg.cloudfront.net/Documentos/631/06782556448/6310678255644811092023160220.pdf","https://dpmzos25m8ivg.cloudfront.net/Documentos/631/06782556448/6310678255644811092023160220.pdf")</f>
        <v>https://dpmzos25m8ivg.cloudfront.net/Documentos/631/06782556448/6310678255644811092023160220.pdf</v>
      </c>
      <c r="F3262" s="5" t="str">
        <f>HYPERLINK("https://dpmzos25m8ivg.cloudfront.net/Documentos/631/06782556448/6310678255644811092023160232.pdf","https://dpmzos25m8ivg.cloudfront.net/Documentos/631/06782556448/6310678255644811092023160232.pdf")</f>
        <v>https://dpmzos25m8ivg.cloudfront.net/Documentos/631/06782556448/6310678255644811092023160232.pdf</v>
      </c>
      <c r="G3262" s="5" t="str">
        <f>HYPERLINK("https://dpmzos25m8ivg.cloudfront.net/Documentos/631/06782556448/6310678255644811092023160243.pdf","https://dpmzos25m8ivg.cloudfront.net/Documentos/631/06782556448/6310678255644811092023160243.pdf")</f>
        <v>https://dpmzos25m8ivg.cloudfront.net/Documentos/631/06782556448/6310678255644811092023160243.pdf</v>
      </c>
      <c r="H3262" s="5" t="s">
        <v>11840</v>
      </c>
    </row>
    <row r="3263" spans="1:8" x14ac:dyDescent="0.25">
      <c r="A3263" s="2" t="s">
        <v>3281</v>
      </c>
      <c r="B3263" s="3"/>
      <c r="C3263" s="3"/>
      <c r="D3263" s="3"/>
      <c r="E3263" s="5" t="str">
        <f>HYPERLINK("https://dpmzos25m8ivg.cloudfront.net/Documentos/631/06783697550/6310678369755011092023142035.pdf","https://dpmzos25m8ivg.cloudfront.net/Documentos/631/06783697550/6310678369755011092023142035.pdf")</f>
        <v>https://dpmzos25m8ivg.cloudfront.net/Documentos/631/06783697550/6310678369755011092023142035.pdf</v>
      </c>
      <c r="F3263" s="5" t="str">
        <f>HYPERLINK("https://dpmzos25m8ivg.cloudfront.net/Documentos/631/06783697550/6310678369755011092023142028.pdf","https://dpmzos25m8ivg.cloudfront.net/Documentos/631/06783697550/6310678369755011092023142028.pdf")</f>
        <v>https://dpmzos25m8ivg.cloudfront.net/Documentos/631/06783697550/6310678369755011092023142028.pdf</v>
      </c>
      <c r="G3263" s="5" t="str">
        <f>HYPERLINK("https://dpmzos25m8ivg.cloudfront.net/Documentos/631/06783697550/6310678369755011092023142020.pdf","https://dpmzos25m8ivg.cloudfront.net/Documentos/631/06783697550/6310678369755011092023142020.pdf")</f>
        <v>https://dpmzos25m8ivg.cloudfront.net/Documentos/631/06783697550/6310678369755011092023142020.pdf</v>
      </c>
      <c r="H3263" s="5" t="s">
        <v>11841</v>
      </c>
    </row>
    <row r="3264" spans="1:8" x14ac:dyDescent="0.25">
      <c r="A3264" s="2" t="s">
        <v>3282</v>
      </c>
      <c r="B3264" s="3"/>
      <c r="C3264" s="3"/>
      <c r="D3264" s="3"/>
      <c r="E3264" s="5" t="str">
        <f>HYPERLINK("https://dpmzos25m8ivg.cloudfront.net/Documentos/631/06784928326/6310678492832605092023214907.pdf","https://dpmzos25m8ivg.cloudfront.net/Documentos/631/06784928326/6310678492832605092023214907.pdf")</f>
        <v>https://dpmzos25m8ivg.cloudfront.net/Documentos/631/06784928326/6310678492832605092023214907.pdf</v>
      </c>
      <c r="F3264" s="5" t="str">
        <f>HYPERLINK("https://dpmzos25m8ivg.cloudfront.net/Documentos/631/06784928326/6310678492832605092023214929.pdf","https://dpmzos25m8ivg.cloudfront.net/Documentos/631/06784928326/6310678492832605092023214929.pdf")</f>
        <v>https://dpmzos25m8ivg.cloudfront.net/Documentos/631/06784928326/6310678492832605092023214929.pdf</v>
      </c>
      <c r="G3264" s="5" t="str">
        <f>HYPERLINK("https://dpmzos25m8ivg.cloudfront.net/Documentos/631/06784928326/6310678492832605092023214948.pdf","https://dpmzos25m8ivg.cloudfront.net/Documentos/631/06784928326/6310678492832605092023214948.pdf")</f>
        <v>https://dpmzos25m8ivg.cloudfront.net/Documentos/631/06784928326/6310678492832605092023214948.pdf</v>
      </c>
      <c r="H3264" s="5" t="s">
        <v>11842</v>
      </c>
    </row>
    <row r="3265" spans="1:8" x14ac:dyDescent="0.25">
      <c r="A3265" s="2" t="s">
        <v>3283</v>
      </c>
      <c r="B3265" s="3"/>
      <c r="C3265" s="3"/>
      <c r="D3265" s="3"/>
      <c r="E3265" s="5" t="str">
        <f>HYPERLINK("https://dpmzos25m8ivg.cloudfront.net/Documentos/631/06788322694/6310678832269411092023150650.jpeg","https://dpmzos25m8ivg.cloudfront.net/Documentos/631/06788322694/6310678832269411092023150650.jpeg")</f>
        <v>https://dpmzos25m8ivg.cloudfront.net/Documentos/631/06788322694/6310678832269411092023150650.jpeg</v>
      </c>
      <c r="F3265" s="5" t="str">
        <f>HYPERLINK("https://dpmzos25m8ivg.cloudfront.net/Documentos/631/06788322694/6310678832269411092023150716.jpeg","https://dpmzos25m8ivg.cloudfront.net/Documentos/631/06788322694/6310678832269411092023150716.jpeg")</f>
        <v>https://dpmzos25m8ivg.cloudfront.net/Documentos/631/06788322694/6310678832269411092023150716.jpeg</v>
      </c>
      <c r="G3265" s="5" t="str">
        <f>HYPERLINK("https://dpmzos25m8ivg.cloudfront.net/Documentos/631/06788322694/6310678832269411092023150726.jpeg","https://dpmzos25m8ivg.cloudfront.net/Documentos/631/06788322694/6310678832269411092023150726.jpeg")</f>
        <v>https://dpmzos25m8ivg.cloudfront.net/Documentos/631/06788322694/6310678832269411092023150726.jpeg</v>
      </c>
      <c r="H3265" s="5" t="s">
        <v>11843</v>
      </c>
    </row>
    <row r="3266" spans="1:8" x14ac:dyDescent="0.25">
      <c r="A3266" s="2" t="s">
        <v>3284</v>
      </c>
      <c r="B3266" s="3" t="s">
        <v>8</v>
      </c>
      <c r="C3266" s="3"/>
      <c r="D3266" s="3"/>
      <c r="E3266" s="5" t="str">
        <f>HYPERLINK("https://dpmzos25m8ivg.cloudfront.net/Documentos/631/06789599860/6310678959986011092023085248.pdf","https://dpmzos25m8ivg.cloudfront.net/Documentos/631/06789599860/6310678959986011092023085248.pdf")</f>
        <v>https://dpmzos25m8ivg.cloudfront.net/Documentos/631/06789599860/6310678959986011092023085248.pdf</v>
      </c>
      <c r="F3266" s="5" t="str">
        <f>HYPERLINK("https://dpmzos25m8ivg.cloudfront.net/Documentos/631/06789599860/6310678959986011092023085302.pdf","https://dpmzos25m8ivg.cloudfront.net/Documentos/631/06789599860/6310678959986011092023085302.pdf")</f>
        <v>https://dpmzos25m8ivg.cloudfront.net/Documentos/631/06789599860/6310678959986011092023085302.pdf</v>
      </c>
      <c r="G3266" s="5" t="str">
        <f>HYPERLINK("https://dpmzos25m8ivg.cloudfront.net/Documentos/631/06789599860/6310678959986011092023085316.pdf","https://dpmzos25m8ivg.cloudfront.net/Documentos/631/06789599860/6310678959986011092023085316.pdf")</f>
        <v>https://dpmzos25m8ivg.cloudfront.net/Documentos/631/06789599860/6310678959986011092023085316.pdf</v>
      </c>
      <c r="H3266" s="5" t="s">
        <v>11844</v>
      </c>
    </row>
    <row r="3267" spans="1:8" x14ac:dyDescent="0.25">
      <c r="A3267" s="2" t="s">
        <v>3285</v>
      </c>
      <c r="B3267" s="3"/>
      <c r="C3267" s="3"/>
      <c r="D3267" s="3"/>
      <c r="E3267" s="5" t="str">
        <f>HYPERLINK("https://dpmzos25m8ivg.cloudfront.net/Documentos/631/06791932511/6310679193251111092023154024.pdf","https://dpmzos25m8ivg.cloudfront.net/Documentos/631/06791932511/6310679193251111092023154024.pdf")</f>
        <v>https://dpmzos25m8ivg.cloudfront.net/Documentos/631/06791932511/6310679193251111092023154024.pdf</v>
      </c>
      <c r="F3267" s="5" t="str">
        <f>HYPERLINK("https://dpmzos25m8ivg.cloudfront.net/Documentos/631/06791932511/6310679193251111092023154109.pdf","https://dpmzos25m8ivg.cloudfront.net/Documentos/631/06791932511/6310679193251111092023154109.pdf")</f>
        <v>https://dpmzos25m8ivg.cloudfront.net/Documentos/631/06791932511/6310679193251111092023154109.pdf</v>
      </c>
      <c r="G3267" s="5" t="str">
        <f>HYPERLINK("https://dpmzos25m8ivg.cloudfront.net/Documentos/631/06791932511/6310679193251111092023154132.pdf","https://dpmzos25m8ivg.cloudfront.net/Documentos/631/06791932511/6310679193251111092023154132.pdf")</f>
        <v>https://dpmzos25m8ivg.cloudfront.net/Documentos/631/06791932511/6310679193251111092023154132.pdf</v>
      </c>
      <c r="H3267" s="5" t="s">
        <v>11845</v>
      </c>
    </row>
    <row r="3268" spans="1:8" x14ac:dyDescent="0.25">
      <c r="A3268" s="2" t="s">
        <v>3286</v>
      </c>
      <c r="B3268" s="3"/>
      <c r="C3268" s="3"/>
      <c r="D3268" s="3"/>
      <c r="E3268" s="5" t="str">
        <f>HYPERLINK("https://dpmzos25m8ivg.cloudfront.net/Documentos/631/06800620173/6310680062017305092023160413.pdf","https://dpmzos25m8ivg.cloudfront.net/Documentos/631/06800620173/6310680062017305092023160413.pdf")</f>
        <v>https://dpmzos25m8ivg.cloudfront.net/Documentos/631/06800620173/6310680062017305092023160413.pdf</v>
      </c>
      <c r="F3268" s="5" t="str">
        <f>HYPERLINK("https://dpmzos25m8ivg.cloudfront.net/Documentos/631/06800620173/6310680062017305092023160421.pdf","https://dpmzos25m8ivg.cloudfront.net/Documentos/631/06800620173/6310680062017305092023160421.pdf")</f>
        <v>https://dpmzos25m8ivg.cloudfront.net/Documentos/631/06800620173/6310680062017305092023160421.pdf</v>
      </c>
      <c r="G3268" s="5" t="str">
        <f>HYPERLINK("https://dpmzos25m8ivg.cloudfront.net/Documentos/631/06800620173/6310680062017305092023160428.pdf","https://dpmzos25m8ivg.cloudfront.net/Documentos/631/06800620173/6310680062017305092023160428.pdf")</f>
        <v>https://dpmzos25m8ivg.cloudfront.net/Documentos/631/06800620173/6310680062017305092023160428.pdf</v>
      </c>
      <c r="H3268" s="5" t="s">
        <v>11846</v>
      </c>
    </row>
    <row r="3269" spans="1:8" x14ac:dyDescent="0.25">
      <c r="A3269" s="2" t="s">
        <v>3287</v>
      </c>
      <c r="B3269" s="3"/>
      <c r="C3269" s="3"/>
      <c r="D3269" s="3"/>
      <c r="E3269" s="5" t="str">
        <f>HYPERLINK("https://dpmzos25m8ivg.cloudfront.net/Documentos/631/06803050505/6310680305050511092023102556.jpeg","https://dpmzos25m8ivg.cloudfront.net/Documentos/631/06803050505/6310680305050511092023102556.jpeg")</f>
        <v>https://dpmzos25m8ivg.cloudfront.net/Documentos/631/06803050505/6310680305050511092023102556.jpeg</v>
      </c>
      <c r="F3269" s="5" t="str">
        <f>HYPERLINK("https://dpmzos25m8ivg.cloudfront.net/Documentos/631/06803050505/6310680305050511092023102604.jpeg","https://dpmzos25m8ivg.cloudfront.net/Documentos/631/06803050505/6310680305050511092023102604.jpeg")</f>
        <v>https://dpmzos25m8ivg.cloudfront.net/Documentos/631/06803050505/6310680305050511092023102604.jpeg</v>
      </c>
      <c r="G3269" s="5" t="str">
        <f>HYPERLINK("https://dpmzos25m8ivg.cloudfront.net/Documentos/631/06803050505/6310680305050511092023102616.jpeg","https://dpmzos25m8ivg.cloudfront.net/Documentos/631/06803050505/6310680305050511092023102616.jpeg")</f>
        <v>https://dpmzos25m8ivg.cloudfront.net/Documentos/631/06803050505/6310680305050511092023102616.jpeg</v>
      </c>
      <c r="H3269" s="5" t="s">
        <v>11847</v>
      </c>
    </row>
    <row r="3270" spans="1:8" x14ac:dyDescent="0.25">
      <c r="A3270" s="2" t="s">
        <v>3288</v>
      </c>
      <c r="B3270" s="3" t="s">
        <v>8</v>
      </c>
      <c r="C3270" s="3"/>
      <c r="D3270" s="3"/>
      <c r="E3270" s="5" t="str">
        <f>HYPERLINK("https://dpmzos25m8ivg.cloudfront.net/Documentos/631/06804716507/6310680471650711092023161818.pdf","https://dpmzos25m8ivg.cloudfront.net/Documentos/631/06804716507/6310680471650711092023161818.pdf")</f>
        <v>https://dpmzos25m8ivg.cloudfront.net/Documentos/631/06804716507/6310680471650711092023161818.pdf</v>
      </c>
      <c r="F3270" s="5" t="str">
        <f>HYPERLINK("https://dpmzos25m8ivg.cloudfront.net/Documentos/631/06804716507/6310680471650711092023161835.pdf","https://dpmzos25m8ivg.cloudfront.net/Documentos/631/06804716507/6310680471650711092023161835.pdf")</f>
        <v>https://dpmzos25m8ivg.cloudfront.net/Documentos/631/06804716507/6310680471650711092023161835.pdf</v>
      </c>
      <c r="G3270" s="5" t="str">
        <f>HYPERLINK("https://dpmzos25m8ivg.cloudfront.net/Documentos/631/06804716507/6310680471650711092023161903.pdf","https://dpmzos25m8ivg.cloudfront.net/Documentos/631/06804716507/6310680471650711092023161903.pdf")</f>
        <v>https://dpmzos25m8ivg.cloudfront.net/Documentos/631/06804716507/6310680471650711092023161903.pdf</v>
      </c>
      <c r="H3270" s="5" t="s">
        <v>11848</v>
      </c>
    </row>
    <row r="3271" spans="1:8" x14ac:dyDescent="0.25">
      <c r="A3271" s="2" t="s">
        <v>3289</v>
      </c>
      <c r="B3271" s="3"/>
      <c r="C3271" s="3"/>
      <c r="D3271" s="3"/>
      <c r="E3271" s="5" t="str">
        <f>HYPERLINK("https://dpmzos25m8ivg.cloudfront.net/Documentos/631/06804784340/6310680478434011092023161108.pdf","https://dpmzos25m8ivg.cloudfront.net/Documentos/631/06804784340/6310680478434011092023161108.pdf")</f>
        <v>https://dpmzos25m8ivg.cloudfront.net/Documentos/631/06804784340/6310680478434011092023161108.pdf</v>
      </c>
      <c r="F3271" s="5" t="str">
        <f>HYPERLINK("https://dpmzos25m8ivg.cloudfront.net/Documentos/631/06804784340/6310680478434011092023161136.pdf","https://dpmzos25m8ivg.cloudfront.net/Documentos/631/06804784340/6310680478434011092023161136.pdf")</f>
        <v>https://dpmzos25m8ivg.cloudfront.net/Documentos/631/06804784340/6310680478434011092023161136.pdf</v>
      </c>
      <c r="G3271" s="5" t="str">
        <f>HYPERLINK("https://dpmzos25m8ivg.cloudfront.net/Documentos/631/06804784340/6310680478434011092023161150.pdf","https://dpmzos25m8ivg.cloudfront.net/Documentos/631/06804784340/6310680478434011092023161150.pdf")</f>
        <v>https://dpmzos25m8ivg.cloudfront.net/Documentos/631/06804784340/6310680478434011092023161150.pdf</v>
      </c>
      <c r="H3271" s="5" t="s">
        <v>11849</v>
      </c>
    </row>
    <row r="3272" spans="1:8" x14ac:dyDescent="0.25">
      <c r="A3272" s="2" t="s">
        <v>3290</v>
      </c>
      <c r="B3272" s="3"/>
      <c r="C3272" s="3"/>
      <c r="D3272" s="3"/>
      <c r="E3272" s="5" t="str">
        <f>HYPERLINK("https://dpmzos25m8ivg.cloudfront.net/Documentos/631/06805042305/6310680504230511092023155158.pdf","https://dpmzos25m8ivg.cloudfront.net/Documentos/631/06805042305/6310680504230511092023155158.pdf")</f>
        <v>https://dpmzos25m8ivg.cloudfront.net/Documentos/631/06805042305/6310680504230511092023155158.pdf</v>
      </c>
      <c r="F3272" s="5" t="str">
        <f>HYPERLINK("https://dpmzos25m8ivg.cloudfront.net/Documentos/631/06805042305/6310680504230511092023155212.pdf","https://dpmzos25m8ivg.cloudfront.net/Documentos/631/06805042305/6310680504230511092023155212.pdf")</f>
        <v>https://dpmzos25m8ivg.cloudfront.net/Documentos/631/06805042305/6310680504230511092023155212.pdf</v>
      </c>
      <c r="G3272" s="5" t="str">
        <f>HYPERLINK("https://dpmzos25m8ivg.cloudfront.net/Documentos/631/06805042305/6310680504230511092023155222.pdf","https://dpmzos25m8ivg.cloudfront.net/Documentos/631/06805042305/6310680504230511092023155222.pdf")</f>
        <v>https://dpmzos25m8ivg.cloudfront.net/Documentos/631/06805042305/6310680504230511092023155222.pdf</v>
      </c>
      <c r="H3272" s="5" t="s">
        <v>11850</v>
      </c>
    </row>
    <row r="3273" spans="1:8" x14ac:dyDescent="0.25">
      <c r="A3273" s="2" t="s">
        <v>3291</v>
      </c>
      <c r="B3273" s="3"/>
      <c r="C3273" s="3"/>
      <c r="D3273" s="3"/>
      <c r="E3273" s="5" t="str">
        <f>HYPERLINK("https://dpmzos25m8ivg.cloudfront.net/Documentos/631/06807791593/6310680779159311092023001016.pdf","https://dpmzos25m8ivg.cloudfront.net/Documentos/631/06807791593/6310680779159311092023001016.pdf")</f>
        <v>https://dpmzos25m8ivg.cloudfront.net/Documentos/631/06807791593/6310680779159311092023001016.pdf</v>
      </c>
      <c r="F3273" s="5" t="str">
        <f>HYPERLINK("https://dpmzos25m8ivg.cloudfront.net/Documentos/631/06807791593/6310680779159311092023001028.pdf","https://dpmzos25m8ivg.cloudfront.net/Documentos/631/06807791593/6310680779159311092023001028.pdf")</f>
        <v>https://dpmzos25m8ivg.cloudfront.net/Documentos/631/06807791593/6310680779159311092023001028.pdf</v>
      </c>
      <c r="G3273" s="5" t="str">
        <f>HYPERLINK("https://dpmzos25m8ivg.cloudfront.net/Documentos/631/06807791593/6310680779159311092023001039.pdf","https://dpmzos25m8ivg.cloudfront.net/Documentos/631/06807791593/6310680779159311092023001039.pdf")</f>
        <v>https://dpmzos25m8ivg.cloudfront.net/Documentos/631/06807791593/6310680779159311092023001039.pdf</v>
      </c>
      <c r="H3273" s="5" t="s">
        <v>11851</v>
      </c>
    </row>
    <row r="3274" spans="1:8" x14ac:dyDescent="0.25">
      <c r="A3274" s="2" t="s">
        <v>3292</v>
      </c>
      <c r="B3274" s="3"/>
      <c r="C3274" s="3"/>
      <c r="D3274" s="3"/>
      <c r="E3274" s="5" t="str">
        <f>HYPERLINK("https://dpmzos25m8ivg.cloudfront.net/Documentos/631/06810863516/6310681086351606092023130000.pdf","https://dpmzos25m8ivg.cloudfront.net/Documentos/631/06810863516/6310681086351606092023130000.pdf")</f>
        <v>https://dpmzos25m8ivg.cloudfront.net/Documentos/631/06810863516/6310681086351606092023130000.pdf</v>
      </c>
      <c r="F3274" s="5" t="str">
        <f>HYPERLINK("https://dpmzos25m8ivg.cloudfront.net/Documentos/631/06810863516/6310681086351606092023130015.pdf","https://dpmzos25m8ivg.cloudfront.net/Documentos/631/06810863516/6310681086351606092023130015.pdf")</f>
        <v>https://dpmzos25m8ivg.cloudfront.net/Documentos/631/06810863516/6310681086351606092023130015.pdf</v>
      </c>
      <c r="G3274" s="5" t="str">
        <f>HYPERLINK("https://dpmzos25m8ivg.cloudfront.net/Documentos/631/06810863516/6310681086351606092023130027.pdf","https://dpmzos25m8ivg.cloudfront.net/Documentos/631/06810863516/6310681086351606092023130027.pdf")</f>
        <v>https://dpmzos25m8ivg.cloudfront.net/Documentos/631/06810863516/6310681086351606092023130027.pdf</v>
      </c>
      <c r="H3274" s="5" t="s">
        <v>11852</v>
      </c>
    </row>
    <row r="3275" spans="1:8" x14ac:dyDescent="0.25">
      <c r="A3275" s="2" t="s">
        <v>3293</v>
      </c>
      <c r="B3275" s="3"/>
      <c r="C3275" s="3"/>
      <c r="D3275" s="3"/>
      <c r="E3275" s="5" t="str">
        <f>HYPERLINK("https://dpmzos25m8ivg.cloudfront.net/Documentos/631/06811517301/6310681151730110092023075749.pdf","https://dpmzos25m8ivg.cloudfront.net/Documentos/631/06811517301/6310681151730110092023075749.pdf")</f>
        <v>https://dpmzos25m8ivg.cloudfront.net/Documentos/631/06811517301/6310681151730110092023075749.pdf</v>
      </c>
      <c r="F3275" s="5" t="str">
        <f>HYPERLINK("https://dpmzos25m8ivg.cloudfront.net/Documentos/631/06811517301/6310681151730110092023075803.pdf","https://dpmzos25m8ivg.cloudfront.net/Documentos/631/06811517301/6310681151730110092023075803.pdf")</f>
        <v>https://dpmzos25m8ivg.cloudfront.net/Documentos/631/06811517301/6310681151730110092023075803.pdf</v>
      </c>
      <c r="G3275" s="5" t="str">
        <f>HYPERLINK("https://dpmzos25m8ivg.cloudfront.net/Documentos/631/06811517301/6310681151730110092023075821.pdf","https://dpmzos25m8ivg.cloudfront.net/Documentos/631/06811517301/6310681151730110092023075821.pdf")</f>
        <v>https://dpmzos25m8ivg.cloudfront.net/Documentos/631/06811517301/6310681151730110092023075821.pdf</v>
      </c>
      <c r="H3275" s="5" t="s">
        <v>11853</v>
      </c>
    </row>
    <row r="3276" spans="1:8" x14ac:dyDescent="0.25">
      <c r="A3276" s="2" t="s">
        <v>3294</v>
      </c>
      <c r="B3276" s="3"/>
      <c r="C3276" s="3"/>
      <c r="D3276" s="3"/>
      <c r="E3276" s="5" t="str">
        <f>HYPERLINK("https://dpmzos25m8ivg.cloudfront.net/Documentos/631/06812328626/6310681232862609092023151215.jpeg","https://dpmzos25m8ivg.cloudfront.net/Documentos/631/06812328626/6310681232862609092023151215.jpeg")</f>
        <v>https://dpmzos25m8ivg.cloudfront.net/Documentos/631/06812328626/6310681232862609092023151215.jpeg</v>
      </c>
      <c r="F3276" s="5" t="str">
        <f>HYPERLINK("https://dpmzos25m8ivg.cloudfront.net/Documentos/631/06812328626/6310681232862609092023151234.jpeg","https://dpmzos25m8ivg.cloudfront.net/Documentos/631/06812328626/6310681232862609092023151234.jpeg")</f>
        <v>https://dpmzos25m8ivg.cloudfront.net/Documentos/631/06812328626/6310681232862609092023151234.jpeg</v>
      </c>
      <c r="G3276" s="5" t="str">
        <f>HYPERLINK("https://dpmzos25m8ivg.cloudfront.net/Documentos/631/06812328626/6310681232862609092023151250.jpeg","https://dpmzos25m8ivg.cloudfront.net/Documentos/631/06812328626/6310681232862609092023151250.jpeg")</f>
        <v>https://dpmzos25m8ivg.cloudfront.net/Documentos/631/06812328626/6310681232862609092023151250.jpeg</v>
      </c>
      <c r="H3276" s="5" t="s">
        <v>11854</v>
      </c>
    </row>
    <row r="3277" spans="1:8" x14ac:dyDescent="0.25">
      <c r="A3277" s="2" t="s">
        <v>3295</v>
      </c>
      <c r="B3277" s="3"/>
      <c r="C3277" s="3"/>
      <c r="D3277" s="3"/>
      <c r="E3277" s="5" t="str">
        <f>HYPERLINK("https://dpmzos25m8ivg.cloudfront.net/Documentos/631/06815534480/6310681553448006092023135213.pdf","https://dpmzos25m8ivg.cloudfront.net/Documentos/631/06815534480/6310681553448006092023135213.pdf")</f>
        <v>https://dpmzos25m8ivg.cloudfront.net/Documentos/631/06815534480/6310681553448006092023135213.pdf</v>
      </c>
      <c r="F3277" s="5" t="str">
        <f>HYPERLINK("https://dpmzos25m8ivg.cloudfront.net/Documentos/631/06815534480/6310681553448006092023135227.pdf","https://dpmzos25m8ivg.cloudfront.net/Documentos/631/06815534480/6310681553448006092023135227.pdf")</f>
        <v>https://dpmzos25m8ivg.cloudfront.net/Documentos/631/06815534480/6310681553448006092023135227.pdf</v>
      </c>
      <c r="G3277" s="5" t="str">
        <f>HYPERLINK("https://dpmzos25m8ivg.cloudfront.net/Documentos/631/06815534480/6310681553448006092023135246.pdf","https://dpmzos25m8ivg.cloudfront.net/Documentos/631/06815534480/6310681553448006092023135246.pdf")</f>
        <v>https://dpmzos25m8ivg.cloudfront.net/Documentos/631/06815534480/6310681553448006092023135246.pdf</v>
      </c>
      <c r="H3277" s="5" t="s">
        <v>11855</v>
      </c>
    </row>
    <row r="3278" spans="1:8" x14ac:dyDescent="0.25">
      <c r="A3278" s="2" t="s">
        <v>3296</v>
      </c>
      <c r="B3278" s="3"/>
      <c r="C3278" s="3"/>
      <c r="D3278" s="3"/>
      <c r="E3278" s="5" t="str">
        <f>HYPERLINK("https://dpmzos25m8ivg.cloudfront.net/Documentos/631/06818350364/6310681835036411092023161245.pdf","https://dpmzos25m8ivg.cloudfront.net/Documentos/631/06818350364/6310681835036411092023161245.pdf")</f>
        <v>https://dpmzos25m8ivg.cloudfront.net/Documentos/631/06818350364/6310681835036411092023161245.pdf</v>
      </c>
      <c r="F3278" s="5" t="str">
        <f>HYPERLINK("https://dpmzos25m8ivg.cloudfront.net/Documentos/631/06818350364/6310681835036411092023161256.pdf","https://dpmzos25m8ivg.cloudfront.net/Documentos/631/06818350364/6310681835036411092023161256.pdf")</f>
        <v>https://dpmzos25m8ivg.cloudfront.net/Documentos/631/06818350364/6310681835036411092023161256.pdf</v>
      </c>
      <c r="G3278" s="5" t="str">
        <f>HYPERLINK("https://dpmzos25m8ivg.cloudfront.net/Documentos/631/06818350364/6310681835036411092023161315.pdf","https://dpmzos25m8ivg.cloudfront.net/Documentos/631/06818350364/6310681835036411092023161315.pdf")</f>
        <v>https://dpmzos25m8ivg.cloudfront.net/Documentos/631/06818350364/6310681835036411092023161315.pdf</v>
      </c>
      <c r="H3278" s="5" t="s">
        <v>11856</v>
      </c>
    </row>
    <row r="3279" spans="1:8" x14ac:dyDescent="0.25">
      <c r="A3279" s="2" t="s">
        <v>3297</v>
      </c>
      <c r="B3279" s="3"/>
      <c r="C3279" s="3"/>
      <c r="D3279" s="3"/>
      <c r="E3279" s="5" t="str">
        <f>HYPERLINK("https://dpmzos25m8ivg.cloudfront.net/Documentos/631/06822275878/6310682227587806092023004518.jpg","https://dpmzos25m8ivg.cloudfront.net/Documentos/631/06822275878/6310682227587806092023004518.jpg")</f>
        <v>https://dpmzos25m8ivg.cloudfront.net/Documentos/631/06822275878/6310682227587806092023004518.jpg</v>
      </c>
      <c r="F3279" s="5" t="str">
        <f>HYPERLINK("https://dpmzos25m8ivg.cloudfront.net/Documentos/631/06822275878/6310682227587806092023004553.jpg","https://dpmzos25m8ivg.cloudfront.net/Documentos/631/06822275878/6310682227587806092023004553.jpg")</f>
        <v>https://dpmzos25m8ivg.cloudfront.net/Documentos/631/06822275878/6310682227587806092023004553.jpg</v>
      </c>
      <c r="G3279" s="5" t="str">
        <f>HYPERLINK("https://dpmzos25m8ivg.cloudfront.net/Documentos/631/06822275878/6310682227587806092023004605.jpg","https://dpmzos25m8ivg.cloudfront.net/Documentos/631/06822275878/6310682227587806092023004605.jpg")</f>
        <v>https://dpmzos25m8ivg.cloudfront.net/Documentos/631/06822275878/6310682227587806092023004605.jpg</v>
      </c>
      <c r="H3279" s="5" t="s">
        <v>11857</v>
      </c>
    </row>
    <row r="3280" spans="1:8" x14ac:dyDescent="0.25">
      <c r="A3280" s="2" t="s">
        <v>3298</v>
      </c>
      <c r="B3280" s="3"/>
      <c r="C3280" s="3"/>
      <c r="D3280" s="3"/>
      <c r="E3280" s="5" t="str">
        <f>HYPERLINK("https://dpmzos25m8ivg.cloudfront.net/Documentos/631/06822650555/6310682265055511092023162805.pdf","https://dpmzos25m8ivg.cloudfront.net/Documentos/631/06822650555/6310682265055511092023162805.pdf")</f>
        <v>https://dpmzos25m8ivg.cloudfront.net/Documentos/631/06822650555/6310682265055511092023162805.pdf</v>
      </c>
      <c r="F3280" s="5" t="str">
        <f>HYPERLINK("https://dpmzos25m8ivg.cloudfront.net/Documentos/631/06822650555/6310682265055511092023162815.pdf","https://dpmzos25m8ivg.cloudfront.net/Documentos/631/06822650555/6310682265055511092023162815.pdf")</f>
        <v>https://dpmzos25m8ivg.cloudfront.net/Documentos/631/06822650555/6310682265055511092023162815.pdf</v>
      </c>
      <c r="G3280" s="5" t="str">
        <f>HYPERLINK("https://dpmzos25m8ivg.cloudfront.net/Documentos/631/06822650555/6310682265055511092023162828.pdf","https://dpmzos25m8ivg.cloudfront.net/Documentos/631/06822650555/6310682265055511092023162828.pdf")</f>
        <v>https://dpmzos25m8ivg.cloudfront.net/Documentos/631/06822650555/6310682265055511092023162828.pdf</v>
      </c>
      <c r="H3280" s="5" t="s">
        <v>11858</v>
      </c>
    </row>
    <row r="3281" spans="1:8" x14ac:dyDescent="0.25">
      <c r="A3281" s="2" t="s">
        <v>3299</v>
      </c>
      <c r="B3281" s="3"/>
      <c r="C3281" s="3"/>
      <c r="D3281" s="3"/>
      <c r="E3281" s="5" t="str">
        <f>HYPERLINK("https://dpmzos25m8ivg.cloudfront.net/Documentos/631/06822771506/6310682277150614092023134310.pdf","https://dpmzos25m8ivg.cloudfront.net/Documentos/631/06822771506/6310682277150614092023134310.pdf")</f>
        <v>https://dpmzos25m8ivg.cloudfront.net/Documentos/631/06822771506/6310682277150614092023134310.pdf</v>
      </c>
      <c r="F3281" s="5" t="str">
        <f>HYPERLINK("https://dpmzos25m8ivg.cloudfront.net/Documentos/631/06822771506/6310682277150614092023134319.pdf","https://dpmzos25m8ivg.cloudfront.net/Documentos/631/06822771506/6310682277150614092023134319.pdf")</f>
        <v>https://dpmzos25m8ivg.cloudfront.net/Documentos/631/06822771506/6310682277150614092023134319.pdf</v>
      </c>
      <c r="G3281" s="5" t="str">
        <f>HYPERLINK("https://dpmzos25m8ivg.cloudfront.net/Documentos/631/06822771506/6310682277150614092023134327.pdf","https://dpmzos25m8ivg.cloudfront.net/Documentos/631/06822771506/6310682277150614092023134327.pdf")</f>
        <v>https://dpmzos25m8ivg.cloudfront.net/Documentos/631/06822771506/6310682277150614092023134327.pdf</v>
      </c>
      <c r="H3281" s="5" t="s">
        <v>11859</v>
      </c>
    </row>
    <row r="3282" spans="1:8" x14ac:dyDescent="0.25">
      <c r="A3282" s="2" t="s">
        <v>3300</v>
      </c>
      <c r="B3282" s="3"/>
      <c r="C3282" s="3"/>
      <c r="D3282" s="3"/>
      <c r="E3282" s="5" t="str">
        <f>HYPERLINK("https://dpmzos25m8ivg.cloudfront.net/Documentos/631/06825259369/6310682525936911092023144411.pdf","https://dpmzos25m8ivg.cloudfront.net/Documentos/631/06825259369/6310682525936911092023144411.pdf")</f>
        <v>https://dpmzos25m8ivg.cloudfront.net/Documentos/631/06825259369/6310682525936911092023144411.pdf</v>
      </c>
      <c r="F3282" s="5" t="str">
        <f>HYPERLINK("https://dpmzos25m8ivg.cloudfront.net/Documentos/631/06825259369/6310682525936911092023144425.pdf","https://dpmzos25m8ivg.cloudfront.net/Documentos/631/06825259369/6310682525936911092023144425.pdf")</f>
        <v>https://dpmzos25m8ivg.cloudfront.net/Documentos/631/06825259369/6310682525936911092023144425.pdf</v>
      </c>
      <c r="G3282" s="5" t="str">
        <f>HYPERLINK("https://dpmzos25m8ivg.cloudfront.net/Documentos/631/06825259369/6310682525936911092023144439.pdf","https://dpmzos25m8ivg.cloudfront.net/Documentos/631/06825259369/6310682525936911092023144439.pdf")</f>
        <v>https://dpmzos25m8ivg.cloudfront.net/Documentos/631/06825259369/6310682525936911092023144439.pdf</v>
      </c>
      <c r="H3282" s="5" t="s">
        <v>11860</v>
      </c>
    </row>
    <row r="3283" spans="1:8" x14ac:dyDescent="0.25">
      <c r="A3283" s="2" t="s">
        <v>3301</v>
      </c>
      <c r="B3283" s="3"/>
      <c r="C3283" s="3"/>
      <c r="D3283" s="3"/>
      <c r="E3283" s="5" t="str">
        <f>HYPERLINK("https://dpmzos25m8ivg.cloudfront.net/Documentos/631/06826267322/6310682626732206092023092005.pdf","https://dpmzos25m8ivg.cloudfront.net/Documentos/631/06826267322/6310682626732206092023092005.pdf")</f>
        <v>https://dpmzos25m8ivg.cloudfront.net/Documentos/631/06826267322/6310682626732206092023092005.pdf</v>
      </c>
      <c r="F3283" s="5" t="str">
        <f>HYPERLINK("https://dpmzos25m8ivg.cloudfront.net/Documentos/631/06826267322/6310682626732206092023092016.pdf","https://dpmzos25m8ivg.cloudfront.net/Documentos/631/06826267322/6310682626732206092023092016.pdf")</f>
        <v>https://dpmzos25m8ivg.cloudfront.net/Documentos/631/06826267322/6310682626732206092023092016.pdf</v>
      </c>
      <c r="G3283" s="5" t="str">
        <f>HYPERLINK("https://dpmzos25m8ivg.cloudfront.net/Documentos/631/06826267322/6310682626732206092023092025.pdf","https://dpmzos25m8ivg.cloudfront.net/Documentos/631/06826267322/6310682626732206092023092025.pdf")</f>
        <v>https://dpmzos25m8ivg.cloudfront.net/Documentos/631/06826267322/6310682626732206092023092025.pdf</v>
      </c>
      <c r="H3283" s="5" t="s">
        <v>11861</v>
      </c>
    </row>
    <row r="3284" spans="1:8" x14ac:dyDescent="0.25">
      <c r="A3284" s="2" t="s">
        <v>3302</v>
      </c>
      <c r="B3284" s="3"/>
      <c r="C3284" s="3"/>
      <c r="D3284" s="3"/>
      <c r="E3284" s="5" t="str">
        <f>HYPERLINK("https://dpmzos25m8ivg.cloudfront.net/Documentos/631/06827686507/6310682768650706092023095313.pdf","https://dpmzos25m8ivg.cloudfront.net/Documentos/631/06827686507/6310682768650706092023095313.pdf")</f>
        <v>https://dpmzos25m8ivg.cloudfront.net/Documentos/631/06827686507/6310682768650706092023095313.pdf</v>
      </c>
      <c r="F3284" s="5" t="str">
        <f>HYPERLINK("https://dpmzos25m8ivg.cloudfront.net/Documentos/631/06827686507/6310682768650706092023095333.pdf","https://dpmzos25m8ivg.cloudfront.net/Documentos/631/06827686507/6310682768650706092023095333.pdf")</f>
        <v>https://dpmzos25m8ivg.cloudfront.net/Documentos/631/06827686507/6310682768650706092023095333.pdf</v>
      </c>
      <c r="G3284" s="5" t="str">
        <f>HYPERLINK("https://dpmzos25m8ivg.cloudfront.net/Documentos/631/06827686507/6310682768650706092023095347.pdf","https://dpmzos25m8ivg.cloudfront.net/Documentos/631/06827686507/6310682768650706092023095347.pdf")</f>
        <v>https://dpmzos25m8ivg.cloudfront.net/Documentos/631/06827686507/6310682768650706092023095347.pdf</v>
      </c>
      <c r="H3284" s="5" t="s">
        <v>11862</v>
      </c>
    </row>
    <row r="3285" spans="1:8" x14ac:dyDescent="0.25">
      <c r="A3285" s="2" t="s">
        <v>3303</v>
      </c>
      <c r="B3285" s="3"/>
      <c r="C3285" s="3"/>
      <c r="D3285" s="3"/>
      <c r="E3285" s="5" t="str">
        <f>HYPERLINK("https://dpmzos25m8ivg.cloudfront.net/Documentos/631/06829230527/6310682923052710092023131338.pdf","https://dpmzos25m8ivg.cloudfront.net/Documentos/631/06829230527/6310682923052710092023131338.pdf")</f>
        <v>https://dpmzos25m8ivg.cloudfront.net/Documentos/631/06829230527/6310682923052710092023131338.pdf</v>
      </c>
      <c r="F3285" s="5" t="str">
        <f>HYPERLINK("https://dpmzos25m8ivg.cloudfront.net/Documentos/631/06829230527/6310682923052710092023131359.pdf","https://dpmzos25m8ivg.cloudfront.net/Documentos/631/06829230527/6310682923052710092023131359.pdf")</f>
        <v>https://dpmzos25m8ivg.cloudfront.net/Documentos/631/06829230527/6310682923052710092023131359.pdf</v>
      </c>
      <c r="G3285" s="5" t="str">
        <f>HYPERLINK("https://dpmzos25m8ivg.cloudfront.net/Documentos/631/06829230527/6310682923052713092023210307.jpg","https://dpmzos25m8ivg.cloudfront.net/Documentos/631/06829230527/6310682923052713092023210307.jpg")</f>
        <v>https://dpmzos25m8ivg.cloudfront.net/Documentos/631/06829230527/6310682923052713092023210307.jpg</v>
      </c>
      <c r="H3285" s="5" t="s">
        <v>11863</v>
      </c>
    </row>
    <row r="3286" spans="1:8" x14ac:dyDescent="0.25">
      <c r="A3286" s="2" t="s">
        <v>3304</v>
      </c>
      <c r="B3286" s="3" t="s">
        <v>2358</v>
      </c>
      <c r="C3286" s="3"/>
      <c r="D3286" s="3"/>
      <c r="E3286" s="5" t="str">
        <f>HYPERLINK("https://dpmzos25m8ivg.cloudfront.net/Documentos/631/06837633341/6310683763334107092023185416.jpeg","https://dpmzos25m8ivg.cloudfront.net/Documentos/631/06837633341/6310683763334107092023185416.jpeg")</f>
        <v>https://dpmzos25m8ivg.cloudfront.net/Documentos/631/06837633341/6310683763334107092023185416.jpeg</v>
      </c>
      <c r="F3286" s="5" t="str">
        <f>HYPERLINK("https://dpmzos25m8ivg.cloudfront.net/Documentos/631/06837633341/6310683763334107092023185436.jpeg","https://dpmzos25m8ivg.cloudfront.net/Documentos/631/06837633341/6310683763334107092023185436.jpeg")</f>
        <v>https://dpmzos25m8ivg.cloudfront.net/Documentos/631/06837633341/6310683763334107092023185436.jpeg</v>
      </c>
      <c r="G3286" s="5" t="str">
        <f>HYPERLINK("https://dpmzos25m8ivg.cloudfront.net/Documentos/631/06837633341/6310683763334107092023185447.jpeg","https://dpmzos25m8ivg.cloudfront.net/Documentos/631/06837633341/6310683763334107092023185447.jpeg")</f>
        <v>https://dpmzos25m8ivg.cloudfront.net/Documentos/631/06837633341/6310683763334107092023185447.jpeg</v>
      </c>
      <c r="H3286" s="5" t="s">
        <v>11864</v>
      </c>
    </row>
    <row r="3287" spans="1:8" x14ac:dyDescent="0.25">
      <c r="A3287" s="2" t="s">
        <v>3305</v>
      </c>
      <c r="B3287" s="3"/>
      <c r="C3287" s="3"/>
      <c r="D3287" s="3"/>
      <c r="E3287" s="5" t="str">
        <f>HYPERLINK("https://dpmzos25m8ivg.cloudfront.net/Documentos/631/06838655446/6310683865544605092023135333.pdf","https://dpmzos25m8ivg.cloudfront.net/Documentos/631/06838655446/6310683865544605092023135333.pdf")</f>
        <v>https://dpmzos25m8ivg.cloudfront.net/Documentos/631/06838655446/6310683865544605092023135333.pdf</v>
      </c>
      <c r="F3287" s="5" t="str">
        <f>HYPERLINK("https://dpmzos25m8ivg.cloudfront.net/Documentos/631/06838655446/6310683865544605092023135351.pdf","https://dpmzos25m8ivg.cloudfront.net/Documentos/631/06838655446/6310683865544605092023135351.pdf")</f>
        <v>https://dpmzos25m8ivg.cloudfront.net/Documentos/631/06838655446/6310683865544605092023135351.pdf</v>
      </c>
      <c r="G3287" s="5" t="str">
        <f>HYPERLINK("https://dpmzos25m8ivg.cloudfront.net/Documentos/631/06838655446/6310683865544605092023135423.pdf","https://dpmzos25m8ivg.cloudfront.net/Documentos/631/06838655446/6310683865544605092023135423.pdf")</f>
        <v>https://dpmzos25m8ivg.cloudfront.net/Documentos/631/06838655446/6310683865544605092023135423.pdf</v>
      </c>
      <c r="H3287" s="5" t="s">
        <v>11865</v>
      </c>
    </row>
    <row r="3288" spans="1:8" x14ac:dyDescent="0.25">
      <c r="A3288" s="2" t="s">
        <v>3306</v>
      </c>
      <c r="B3288" s="3"/>
      <c r="C3288" s="3"/>
      <c r="D3288" s="3"/>
      <c r="E3288" s="5" t="str">
        <f>HYPERLINK("https://dpmzos25m8ivg.cloudfront.net/Documentos/631/06839054306/6310683905430606092023205837.pdf","https://dpmzos25m8ivg.cloudfront.net/Documentos/631/06839054306/6310683905430606092023205837.pdf")</f>
        <v>https://dpmzos25m8ivg.cloudfront.net/Documentos/631/06839054306/6310683905430606092023205837.pdf</v>
      </c>
      <c r="F3288" s="5" t="str">
        <f>HYPERLINK("https://dpmzos25m8ivg.cloudfront.net/Documentos/631/06839054306/6310683905430606092023205846.pdf","https://dpmzos25m8ivg.cloudfront.net/Documentos/631/06839054306/6310683905430606092023205846.pdf")</f>
        <v>https://dpmzos25m8ivg.cloudfront.net/Documentos/631/06839054306/6310683905430606092023205846.pdf</v>
      </c>
      <c r="G3288" s="5" t="str">
        <f>HYPERLINK("https://dpmzos25m8ivg.cloudfront.net/Documentos/631/06839054306/6310683905430606092023205857.pdf","https://dpmzos25m8ivg.cloudfront.net/Documentos/631/06839054306/6310683905430606092023205857.pdf")</f>
        <v>https://dpmzos25m8ivg.cloudfront.net/Documentos/631/06839054306/6310683905430606092023205857.pdf</v>
      </c>
      <c r="H3288" s="5" t="s">
        <v>11866</v>
      </c>
    </row>
    <row r="3289" spans="1:8" x14ac:dyDescent="0.25">
      <c r="A3289" s="2" t="s">
        <v>3307</v>
      </c>
      <c r="B3289" s="3"/>
      <c r="C3289" s="3"/>
      <c r="D3289" s="3"/>
      <c r="E3289" s="5" t="str">
        <f>HYPERLINK("https://dpmzos25m8ivg.cloudfront.net/Documentos/631/06845876533/6310684587653311092023164152.pdf","https://dpmzos25m8ivg.cloudfront.net/Documentos/631/06845876533/6310684587653311092023164152.pdf")</f>
        <v>https://dpmzos25m8ivg.cloudfront.net/Documentos/631/06845876533/6310684587653311092023164152.pdf</v>
      </c>
      <c r="F3289" s="5" t="str">
        <f>HYPERLINK("https://dpmzos25m8ivg.cloudfront.net/Documentos/631/06845876533/6310684587653311092023164211.pdf","https://dpmzos25m8ivg.cloudfront.net/Documentos/631/06845876533/6310684587653311092023164211.pdf")</f>
        <v>https://dpmzos25m8ivg.cloudfront.net/Documentos/631/06845876533/6310684587653311092023164211.pdf</v>
      </c>
      <c r="G3289" s="5" t="str">
        <f>HYPERLINK("https://dpmzos25m8ivg.cloudfront.net/Documentos/631/06845876533/6310684587653311092023164228.pdf","https://dpmzos25m8ivg.cloudfront.net/Documentos/631/06845876533/6310684587653311092023164228.pdf")</f>
        <v>https://dpmzos25m8ivg.cloudfront.net/Documentos/631/06845876533/6310684587653311092023164228.pdf</v>
      </c>
      <c r="H3289" s="5" t="s">
        <v>11867</v>
      </c>
    </row>
    <row r="3290" spans="1:8" x14ac:dyDescent="0.25">
      <c r="A3290" s="2" t="s">
        <v>3308</v>
      </c>
      <c r="B3290" s="3"/>
      <c r="C3290" s="3"/>
      <c r="D3290" s="3"/>
      <c r="E3290" s="5" t="str">
        <f>HYPERLINK("https://dpmzos25m8ivg.cloudfront.net/Documentos/631/06847217596/6310684721759606092023172406.pdf","https://dpmzos25m8ivg.cloudfront.net/Documentos/631/06847217596/6310684721759606092023172406.pdf")</f>
        <v>https://dpmzos25m8ivg.cloudfront.net/Documentos/631/06847217596/6310684721759606092023172406.pdf</v>
      </c>
      <c r="F3290" s="5" t="str">
        <f>HYPERLINK("https://dpmzos25m8ivg.cloudfront.net/Documentos/631/06847217596/6310684721759606092023172415.pdf","https://dpmzos25m8ivg.cloudfront.net/Documentos/631/06847217596/6310684721759606092023172415.pdf")</f>
        <v>https://dpmzos25m8ivg.cloudfront.net/Documentos/631/06847217596/6310684721759606092023172415.pdf</v>
      </c>
      <c r="G3290" s="5" t="str">
        <f>HYPERLINK("https://dpmzos25m8ivg.cloudfront.net/Documentos/631/06847217596/6310684721759606092023172424.pdf","https://dpmzos25m8ivg.cloudfront.net/Documentos/631/06847217596/6310684721759606092023172424.pdf")</f>
        <v>https://dpmzos25m8ivg.cloudfront.net/Documentos/631/06847217596/6310684721759606092023172424.pdf</v>
      </c>
      <c r="H3290" s="5" t="s">
        <v>11868</v>
      </c>
    </row>
    <row r="3291" spans="1:8" x14ac:dyDescent="0.25">
      <c r="A3291" s="2" t="s">
        <v>3309</v>
      </c>
      <c r="B3291" s="3" t="s">
        <v>8</v>
      </c>
      <c r="C3291" s="3"/>
      <c r="D3291" s="3"/>
      <c r="E3291" s="5" t="str">
        <f>HYPERLINK("https://dpmzos25m8ivg.cloudfront.net/Documentos/631/06852988333/6310685298833305092023100718.pdf","https://dpmzos25m8ivg.cloudfront.net/Documentos/631/06852988333/6310685298833305092023100718.pdf")</f>
        <v>https://dpmzos25m8ivg.cloudfront.net/Documentos/631/06852988333/6310685298833305092023100718.pdf</v>
      </c>
      <c r="F3291" s="5" t="str">
        <f>HYPERLINK("https://dpmzos25m8ivg.cloudfront.net/Documentos/631/06852988333/6310685298833305092023135916.pdf","https://dpmzos25m8ivg.cloudfront.net/Documentos/631/06852988333/6310685298833305092023135916.pdf")</f>
        <v>https://dpmzos25m8ivg.cloudfront.net/Documentos/631/06852988333/6310685298833305092023135916.pdf</v>
      </c>
      <c r="G3291" s="5" t="str">
        <f>HYPERLINK("https://dpmzos25m8ivg.cloudfront.net/Documentos/631/06852988333/6310685298833307092023092453.pdf","https://dpmzos25m8ivg.cloudfront.net/Documentos/631/06852988333/6310685298833307092023092453.pdf")</f>
        <v>https://dpmzos25m8ivg.cloudfront.net/Documentos/631/06852988333/6310685298833307092023092453.pdf</v>
      </c>
      <c r="H3291" s="5" t="s">
        <v>11869</v>
      </c>
    </row>
    <row r="3292" spans="1:8" x14ac:dyDescent="0.25">
      <c r="A3292" s="2" t="s">
        <v>3310</v>
      </c>
      <c r="B3292" s="3"/>
      <c r="C3292" s="3"/>
      <c r="D3292" s="3"/>
      <c r="E3292" s="5" t="str">
        <f>HYPERLINK("https://dpmzos25m8ivg.cloudfront.net/Documentos/631/06853873564/6310685387356406092023215226.pdf","https://dpmzos25m8ivg.cloudfront.net/Documentos/631/06853873564/6310685387356406092023215226.pdf")</f>
        <v>https://dpmzos25m8ivg.cloudfront.net/Documentos/631/06853873564/6310685387356406092023215226.pdf</v>
      </c>
      <c r="F3292" s="5" t="str">
        <f>HYPERLINK("https://dpmzos25m8ivg.cloudfront.net/Documentos/631/06853873564/6310685387356406092023215252.pdf","https://dpmzos25m8ivg.cloudfront.net/Documentos/631/06853873564/6310685387356406092023215252.pdf")</f>
        <v>https://dpmzos25m8ivg.cloudfront.net/Documentos/631/06853873564/6310685387356406092023215252.pdf</v>
      </c>
      <c r="G3292" s="5" t="str">
        <f>HYPERLINK("https://dpmzos25m8ivg.cloudfront.net/Documentos/631/06853873564/6310685387356406092023215313.pdf","https://dpmzos25m8ivg.cloudfront.net/Documentos/631/06853873564/6310685387356406092023215313.pdf")</f>
        <v>https://dpmzos25m8ivg.cloudfront.net/Documentos/631/06853873564/6310685387356406092023215313.pdf</v>
      </c>
      <c r="H3292" s="5" t="s">
        <v>11870</v>
      </c>
    </row>
    <row r="3293" spans="1:8" x14ac:dyDescent="0.25">
      <c r="A3293" s="2" t="s">
        <v>3311</v>
      </c>
      <c r="B3293" s="3"/>
      <c r="C3293" s="3"/>
      <c r="D3293" s="3"/>
      <c r="E3293" s="5" t="str">
        <f>HYPERLINK("https://dpmzos25m8ivg.cloudfront.net/Documentos/631/06854177510/6310685417751009092023203415.pdf","https://dpmzos25m8ivg.cloudfront.net/Documentos/631/06854177510/6310685417751009092023203415.pdf")</f>
        <v>https://dpmzos25m8ivg.cloudfront.net/Documentos/631/06854177510/6310685417751009092023203415.pdf</v>
      </c>
      <c r="F3293" s="5" t="str">
        <f>HYPERLINK("https://dpmzos25m8ivg.cloudfront.net/Documentos/631/06854177510/6310685417751009092023203444.pdf","https://dpmzos25m8ivg.cloudfront.net/Documentos/631/06854177510/6310685417751009092023203444.pdf")</f>
        <v>https://dpmzos25m8ivg.cloudfront.net/Documentos/631/06854177510/6310685417751009092023203444.pdf</v>
      </c>
      <c r="G3293" s="5" t="str">
        <f>HYPERLINK("https://dpmzos25m8ivg.cloudfront.net/Documentos/631/06854177510/6310685417751009092023203510.pdf","https://dpmzos25m8ivg.cloudfront.net/Documentos/631/06854177510/6310685417751009092023203510.pdf")</f>
        <v>https://dpmzos25m8ivg.cloudfront.net/Documentos/631/06854177510/6310685417751009092023203510.pdf</v>
      </c>
      <c r="H3293" s="5" t="s">
        <v>11871</v>
      </c>
    </row>
    <row r="3294" spans="1:8" x14ac:dyDescent="0.25">
      <c r="A3294" s="2" t="s">
        <v>3312</v>
      </c>
      <c r="B3294" s="3" t="s">
        <v>2358</v>
      </c>
      <c r="C3294" s="3"/>
      <c r="D3294" s="3"/>
      <c r="E3294" s="5" t="str">
        <f>HYPERLINK("https://dpmzos25m8ivg.cloudfront.net/Documentos/631/06855029965/6310685502996513092023123044.jpeg","https://dpmzos25m8ivg.cloudfront.net/Documentos/631/06855029965/6310685502996513092023123044.jpeg")</f>
        <v>https://dpmzos25m8ivg.cloudfront.net/Documentos/631/06855029965/6310685502996513092023123044.jpeg</v>
      </c>
      <c r="F3294" s="5" t="str">
        <f>HYPERLINK("https://dpmzos25m8ivg.cloudfront.net/Documentos/631/06855029965/6310685502996513092023123057.jpeg","https://dpmzos25m8ivg.cloudfront.net/Documentos/631/06855029965/6310685502996513092023123057.jpeg")</f>
        <v>https://dpmzos25m8ivg.cloudfront.net/Documentos/631/06855029965/6310685502996513092023123057.jpeg</v>
      </c>
      <c r="G3294" s="5" t="str">
        <f>HYPERLINK("https://dpmzos25m8ivg.cloudfront.net/Documentos/631/06855029965/6310685502996513092023123106.jpeg","https://dpmzos25m8ivg.cloudfront.net/Documentos/631/06855029965/6310685502996513092023123106.jpeg")</f>
        <v>https://dpmzos25m8ivg.cloudfront.net/Documentos/631/06855029965/6310685502996513092023123106.jpeg</v>
      </c>
      <c r="H3294" s="5" t="s">
        <v>11872</v>
      </c>
    </row>
    <row r="3295" spans="1:8" x14ac:dyDescent="0.25">
      <c r="A3295" s="2" t="s">
        <v>3313</v>
      </c>
      <c r="B3295" s="3"/>
      <c r="C3295" s="3"/>
      <c r="D3295" s="3"/>
      <c r="E3295" s="5" t="str">
        <f>HYPERLINK("https://dpmzos25m8ivg.cloudfront.net/Documentos/631/06856509367/6310685650936714092023152111.pdf","https://dpmzos25m8ivg.cloudfront.net/Documentos/631/06856509367/6310685650936714092023152111.pdf")</f>
        <v>https://dpmzos25m8ivg.cloudfront.net/Documentos/631/06856509367/6310685650936714092023152111.pdf</v>
      </c>
      <c r="F3295" s="5" t="str">
        <f>HYPERLINK("https://dpmzos25m8ivg.cloudfront.net/Documentos/631/06856509367/6310685650936714092023152123.pdf","https://dpmzos25m8ivg.cloudfront.net/Documentos/631/06856509367/6310685650936714092023152123.pdf")</f>
        <v>https://dpmzos25m8ivg.cloudfront.net/Documentos/631/06856509367/6310685650936714092023152123.pdf</v>
      </c>
      <c r="G3295" s="5" t="str">
        <f>HYPERLINK("https://dpmzos25m8ivg.cloudfront.net/Documentos/631/06856509367/6310685650936714092023152135.pdf","https://dpmzos25m8ivg.cloudfront.net/Documentos/631/06856509367/6310685650936714092023152135.pdf")</f>
        <v>https://dpmzos25m8ivg.cloudfront.net/Documentos/631/06856509367/6310685650936714092023152135.pdf</v>
      </c>
      <c r="H3295" s="5" t="s">
        <v>11873</v>
      </c>
    </row>
    <row r="3296" spans="1:8" x14ac:dyDescent="0.25">
      <c r="A3296" s="2" t="s">
        <v>3314</v>
      </c>
      <c r="B3296" s="3"/>
      <c r="C3296" s="3"/>
      <c r="D3296" s="3"/>
      <c r="E3296" s="5" t="str">
        <f>HYPERLINK("https://dpmzos25m8ivg.cloudfront.net/Documentos/631/06863015366/6310686301536611092023001927.pdf","https://dpmzos25m8ivg.cloudfront.net/Documentos/631/06863015366/6310686301536611092023001927.pdf")</f>
        <v>https://dpmzos25m8ivg.cloudfront.net/Documentos/631/06863015366/6310686301536611092023001927.pdf</v>
      </c>
      <c r="F3296" s="5" t="str">
        <f>HYPERLINK("https://dpmzos25m8ivg.cloudfront.net/Documentos/631/06863015366/6310686301536611092023001950.pdf","https://dpmzos25m8ivg.cloudfront.net/Documentos/631/06863015366/6310686301536611092023001950.pdf")</f>
        <v>https://dpmzos25m8ivg.cloudfront.net/Documentos/631/06863015366/6310686301536611092023001950.pdf</v>
      </c>
      <c r="G3296" s="5" t="str">
        <f>HYPERLINK("https://dpmzos25m8ivg.cloudfront.net/Documentos/631/06863015366/6310686301536611092023002014.pdf","https://dpmzos25m8ivg.cloudfront.net/Documentos/631/06863015366/6310686301536611092023002014.pdf")</f>
        <v>https://dpmzos25m8ivg.cloudfront.net/Documentos/631/06863015366/6310686301536611092023002014.pdf</v>
      </c>
      <c r="H3296" s="5" t="s">
        <v>11874</v>
      </c>
    </row>
    <row r="3297" spans="1:8" x14ac:dyDescent="0.25">
      <c r="A3297" s="2" t="s">
        <v>3315</v>
      </c>
      <c r="B3297" s="3"/>
      <c r="C3297" s="3"/>
      <c r="D3297" s="3"/>
      <c r="E3297" s="5" t="str">
        <f>HYPERLINK("https://dpmzos25m8ivg.cloudfront.net/Documentos/631/06865576624/6310686557662405092023122501.pdf","https://dpmzos25m8ivg.cloudfront.net/Documentos/631/06865576624/6310686557662405092023122501.pdf")</f>
        <v>https://dpmzos25m8ivg.cloudfront.net/Documentos/631/06865576624/6310686557662405092023122501.pdf</v>
      </c>
      <c r="F3297" s="5" t="str">
        <f>HYPERLINK("https://dpmzos25m8ivg.cloudfront.net/Documentos/631/06865576624/6310686557662405092023122512.pdf","https://dpmzos25m8ivg.cloudfront.net/Documentos/631/06865576624/6310686557662405092023122512.pdf")</f>
        <v>https://dpmzos25m8ivg.cloudfront.net/Documentos/631/06865576624/6310686557662405092023122512.pdf</v>
      </c>
      <c r="G3297" s="5" t="str">
        <f>HYPERLINK("https://dpmzos25m8ivg.cloudfront.net/Documentos/631/06865576624/6310686557662405092023122522.pdf","https://dpmzos25m8ivg.cloudfront.net/Documentos/631/06865576624/6310686557662405092023122522.pdf")</f>
        <v>https://dpmzos25m8ivg.cloudfront.net/Documentos/631/06865576624/6310686557662405092023122522.pdf</v>
      </c>
      <c r="H3297" s="5" t="s">
        <v>11875</v>
      </c>
    </row>
    <row r="3298" spans="1:8" x14ac:dyDescent="0.25">
      <c r="A3298" s="2" t="s">
        <v>3316</v>
      </c>
      <c r="B3298" s="3"/>
      <c r="C3298" s="3"/>
      <c r="D3298" s="3"/>
      <c r="E3298" s="5" t="str">
        <f>HYPERLINK("https://dpmzos25m8ivg.cloudfront.net/Documentos/631/06866391385/6310686639138505092023180652.pdf","https://dpmzos25m8ivg.cloudfront.net/Documentos/631/06866391385/6310686639138505092023180652.pdf")</f>
        <v>https://dpmzos25m8ivg.cloudfront.net/Documentos/631/06866391385/6310686639138505092023180652.pdf</v>
      </c>
      <c r="F3298" s="5" t="str">
        <f>HYPERLINK("https://dpmzos25m8ivg.cloudfront.net/Documentos/631/06866391385/6310686639138505092023180727.pdf","https://dpmzos25m8ivg.cloudfront.net/Documentos/631/06866391385/6310686639138505092023180727.pdf")</f>
        <v>https://dpmzos25m8ivg.cloudfront.net/Documentos/631/06866391385/6310686639138505092023180727.pdf</v>
      </c>
      <c r="G3298" s="5" t="str">
        <f>HYPERLINK("https://dpmzos25m8ivg.cloudfront.net/Documentos/631/06866391385/6310686639138505092023180902.pdf","https://dpmzos25m8ivg.cloudfront.net/Documentos/631/06866391385/6310686639138505092023180902.pdf")</f>
        <v>https://dpmzos25m8ivg.cloudfront.net/Documentos/631/06866391385/6310686639138505092023180902.pdf</v>
      </c>
      <c r="H3298" s="5" t="s">
        <v>11876</v>
      </c>
    </row>
    <row r="3299" spans="1:8" x14ac:dyDescent="0.25">
      <c r="A3299" s="2" t="s">
        <v>3317</v>
      </c>
      <c r="B3299" s="3"/>
      <c r="C3299" s="3"/>
      <c r="D3299" s="3"/>
      <c r="E3299" s="5" t="str">
        <f>HYPERLINK("https://dpmzos25m8ivg.cloudfront.net/Documentos/631/06869487502/6310686948750213092023134937.pdf","https://dpmzos25m8ivg.cloudfront.net/Documentos/631/06869487502/6310686948750213092023134937.pdf")</f>
        <v>https://dpmzos25m8ivg.cloudfront.net/Documentos/631/06869487502/6310686948750213092023134937.pdf</v>
      </c>
      <c r="F3299" s="5" t="str">
        <f>HYPERLINK("https://dpmzos25m8ivg.cloudfront.net/Documentos/631/06869487502/6310686948750213092023134958.pdf","https://dpmzos25m8ivg.cloudfront.net/Documentos/631/06869487502/6310686948750213092023134958.pdf")</f>
        <v>https://dpmzos25m8ivg.cloudfront.net/Documentos/631/06869487502/6310686948750213092023134958.pdf</v>
      </c>
      <c r="G3299" s="5" t="str">
        <f>HYPERLINK("https://dpmzos25m8ivg.cloudfront.net/Documentos/631/06869487502/6310686948750213092023135012.pdf","https://dpmzos25m8ivg.cloudfront.net/Documentos/631/06869487502/6310686948750213092023135012.pdf")</f>
        <v>https://dpmzos25m8ivg.cloudfront.net/Documentos/631/06869487502/6310686948750213092023135012.pdf</v>
      </c>
      <c r="H3299" s="5" t="s">
        <v>11877</v>
      </c>
    </row>
    <row r="3300" spans="1:8" x14ac:dyDescent="0.25">
      <c r="A3300" s="2" t="s">
        <v>3318</v>
      </c>
      <c r="B3300" s="3"/>
      <c r="C3300" s="3"/>
      <c r="D3300" s="3"/>
      <c r="E3300" s="5" t="str">
        <f>HYPERLINK("https://dpmzos25m8ivg.cloudfront.net/Documentos/631/06869899533/6310686989953306092023220551.pdf","https://dpmzos25m8ivg.cloudfront.net/Documentos/631/06869899533/6310686989953306092023220551.pdf")</f>
        <v>https://dpmzos25m8ivg.cloudfront.net/Documentos/631/06869899533/6310686989953306092023220551.pdf</v>
      </c>
      <c r="F3300" s="5" t="str">
        <f>HYPERLINK("https://dpmzos25m8ivg.cloudfront.net/Documentos/631/06869899533/6310686989953306092023220606.pdf","https://dpmzos25m8ivg.cloudfront.net/Documentos/631/06869899533/6310686989953306092023220606.pdf")</f>
        <v>https://dpmzos25m8ivg.cloudfront.net/Documentos/631/06869899533/6310686989953306092023220606.pdf</v>
      </c>
      <c r="G3300" s="5" t="str">
        <f>HYPERLINK("https://dpmzos25m8ivg.cloudfront.net/Documentos/631/06869899533/6310686989953306092023220616.pdf","https://dpmzos25m8ivg.cloudfront.net/Documentos/631/06869899533/6310686989953306092023220616.pdf")</f>
        <v>https://dpmzos25m8ivg.cloudfront.net/Documentos/631/06869899533/6310686989953306092023220616.pdf</v>
      </c>
      <c r="H3300" s="5" t="s">
        <v>11878</v>
      </c>
    </row>
    <row r="3301" spans="1:8" x14ac:dyDescent="0.25">
      <c r="A3301" s="2" t="s">
        <v>3319</v>
      </c>
      <c r="B3301" s="3" t="s">
        <v>8</v>
      </c>
      <c r="C3301" s="3"/>
      <c r="D3301" s="3"/>
      <c r="E3301" s="5" t="str">
        <f>HYPERLINK("https://dpmzos25m8ivg.cloudfront.net/Documentos/631/06869921300/6310686992130011092023132933.pdf","https://dpmzos25m8ivg.cloudfront.net/Documentos/631/06869921300/6310686992130011092023132933.pdf")</f>
        <v>https://dpmzos25m8ivg.cloudfront.net/Documentos/631/06869921300/6310686992130011092023132933.pdf</v>
      </c>
      <c r="F3301" s="5" t="str">
        <f>HYPERLINK("https://dpmzos25m8ivg.cloudfront.net/Documentos/631/06869921300/6310686992130011092023132959.pdf","https://dpmzos25m8ivg.cloudfront.net/Documentos/631/06869921300/6310686992130011092023132959.pdf")</f>
        <v>https://dpmzos25m8ivg.cloudfront.net/Documentos/631/06869921300/6310686992130011092023132959.pdf</v>
      </c>
      <c r="G3301" s="5" t="str">
        <f>HYPERLINK("https://dpmzos25m8ivg.cloudfront.net/Documentos/631/06869921300/6310686992130011092023133024.pdf","https://dpmzos25m8ivg.cloudfront.net/Documentos/631/06869921300/6310686992130011092023133024.pdf")</f>
        <v>https://dpmzos25m8ivg.cloudfront.net/Documentos/631/06869921300/6310686992130011092023133024.pdf</v>
      </c>
      <c r="H3301" s="5" t="s">
        <v>11879</v>
      </c>
    </row>
    <row r="3302" spans="1:8" x14ac:dyDescent="0.25">
      <c r="A3302" s="2" t="s">
        <v>3320</v>
      </c>
      <c r="B3302" s="3"/>
      <c r="C3302" s="3"/>
      <c r="D3302" s="3"/>
      <c r="E3302" s="5" t="str">
        <f>HYPERLINK("https://dpmzos25m8ivg.cloudfront.net/Documentos/631/06870753350/6310687075335010092023215755.pdf","https://dpmzos25m8ivg.cloudfront.net/Documentos/631/06870753350/6310687075335010092023215755.pdf")</f>
        <v>https://dpmzos25m8ivg.cloudfront.net/Documentos/631/06870753350/6310687075335010092023215755.pdf</v>
      </c>
      <c r="F3302" s="5" t="str">
        <f>HYPERLINK("https://dpmzos25m8ivg.cloudfront.net/Documentos/631/06870753350/6310687075335010092023215806.pdf","https://dpmzos25m8ivg.cloudfront.net/Documentos/631/06870753350/6310687075335010092023215806.pdf")</f>
        <v>https://dpmzos25m8ivg.cloudfront.net/Documentos/631/06870753350/6310687075335010092023215806.pdf</v>
      </c>
      <c r="G3302" s="5" t="str">
        <f>HYPERLINK("https://dpmzos25m8ivg.cloudfront.net/Documentos/631/06870753350/6310687075335010092023215816.pdf","https://dpmzos25m8ivg.cloudfront.net/Documentos/631/06870753350/6310687075335010092023215816.pdf")</f>
        <v>https://dpmzos25m8ivg.cloudfront.net/Documentos/631/06870753350/6310687075335010092023215816.pdf</v>
      </c>
      <c r="H3302" s="5" t="s">
        <v>11880</v>
      </c>
    </row>
    <row r="3303" spans="1:8" x14ac:dyDescent="0.25">
      <c r="A3303" s="2" t="s">
        <v>3321</v>
      </c>
      <c r="B3303" s="3"/>
      <c r="C3303" s="3"/>
      <c r="D3303" s="3"/>
      <c r="E3303" s="5" t="str">
        <f>HYPERLINK("https://dpmzos25m8ivg.cloudfront.net/Documentos/631/06871042385/6310687104238511092023152541.pdf","https://dpmzos25m8ivg.cloudfront.net/Documentos/631/06871042385/6310687104238511092023152541.pdf")</f>
        <v>https://dpmzos25m8ivg.cloudfront.net/Documentos/631/06871042385/6310687104238511092023152541.pdf</v>
      </c>
      <c r="F3303" s="5" t="str">
        <f>HYPERLINK("https://dpmzos25m8ivg.cloudfront.net/Documentos/631/06871042385/6310687104238511092023152655.pdf","https://dpmzos25m8ivg.cloudfront.net/Documentos/631/06871042385/6310687104238511092023152655.pdf")</f>
        <v>https://dpmzos25m8ivg.cloudfront.net/Documentos/631/06871042385/6310687104238511092023152655.pdf</v>
      </c>
      <c r="G3303" s="5" t="str">
        <f>HYPERLINK("https://dpmzos25m8ivg.cloudfront.net/Documentos/631/06871042385/6310687104238511092023152725.pdf","https://dpmzos25m8ivg.cloudfront.net/Documentos/631/06871042385/6310687104238511092023152725.pdf")</f>
        <v>https://dpmzos25m8ivg.cloudfront.net/Documentos/631/06871042385/6310687104238511092023152725.pdf</v>
      </c>
      <c r="H3303" s="5" t="s">
        <v>11881</v>
      </c>
    </row>
    <row r="3304" spans="1:8" x14ac:dyDescent="0.25">
      <c r="A3304" s="2" t="s">
        <v>3322</v>
      </c>
      <c r="B3304" s="3"/>
      <c r="C3304" s="3"/>
      <c r="D3304" s="3"/>
      <c r="E3304" s="5" t="str">
        <f>HYPERLINK("https://dpmzos25m8ivg.cloudfront.net/Documentos/631/06871187510/6310687118751005092023114519.jpeg","https://dpmzos25m8ivg.cloudfront.net/Documentos/631/06871187510/6310687118751005092023114519.jpeg")</f>
        <v>https://dpmzos25m8ivg.cloudfront.net/Documentos/631/06871187510/6310687118751005092023114519.jpeg</v>
      </c>
      <c r="F3304" s="5" t="str">
        <f>HYPERLINK("https://dpmzos25m8ivg.cloudfront.net/Documentos/631/06871187510/6310687118751005092023114534.jpeg","https://dpmzos25m8ivg.cloudfront.net/Documentos/631/06871187510/6310687118751005092023114534.jpeg")</f>
        <v>https://dpmzos25m8ivg.cloudfront.net/Documentos/631/06871187510/6310687118751005092023114534.jpeg</v>
      </c>
      <c r="G3304" s="5" t="str">
        <f>HYPERLINK("https://dpmzos25m8ivg.cloudfront.net/Documentos/631/06871187510/6310687118751005092023114550.jpeg","https://dpmzos25m8ivg.cloudfront.net/Documentos/631/06871187510/6310687118751005092023114550.jpeg")</f>
        <v>https://dpmzos25m8ivg.cloudfront.net/Documentos/631/06871187510/6310687118751005092023114550.jpeg</v>
      </c>
      <c r="H3304" s="5" t="s">
        <v>11882</v>
      </c>
    </row>
    <row r="3305" spans="1:8" x14ac:dyDescent="0.25">
      <c r="A3305" s="2" t="s">
        <v>3323</v>
      </c>
      <c r="B3305" s="3"/>
      <c r="C3305" s="3"/>
      <c r="D3305" s="3"/>
      <c r="E3305" s="5" t="str">
        <f>HYPERLINK("https://dpmzos25m8ivg.cloudfront.net/Documentos/631/06872680520/6310687268052013092023211109.pdf","https://dpmzos25m8ivg.cloudfront.net/Documentos/631/06872680520/6310687268052013092023211109.pdf")</f>
        <v>https://dpmzos25m8ivg.cloudfront.net/Documentos/631/06872680520/6310687268052013092023211109.pdf</v>
      </c>
      <c r="F3305" s="5" t="str">
        <f>HYPERLINK("https://dpmzos25m8ivg.cloudfront.net/Documentos/631/06872680520/6310687268052013092023211142.pdf","https://dpmzos25m8ivg.cloudfront.net/Documentos/631/06872680520/6310687268052013092023211142.pdf")</f>
        <v>https://dpmzos25m8ivg.cloudfront.net/Documentos/631/06872680520/6310687268052013092023211142.pdf</v>
      </c>
      <c r="G3305" s="5" t="str">
        <f>HYPERLINK("https://dpmzos25m8ivg.cloudfront.net/Documentos/631/06872680520/6310687268052013092023211201.pdf","https://dpmzos25m8ivg.cloudfront.net/Documentos/631/06872680520/6310687268052013092023211201.pdf")</f>
        <v>https://dpmzos25m8ivg.cloudfront.net/Documentos/631/06872680520/6310687268052013092023211201.pdf</v>
      </c>
      <c r="H3305" s="5" t="s">
        <v>11883</v>
      </c>
    </row>
    <row r="3306" spans="1:8" x14ac:dyDescent="0.25">
      <c r="A3306" s="2" t="s">
        <v>3324</v>
      </c>
      <c r="B3306" s="3"/>
      <c r="C3306" s="3"/>
      <c r="D3306" s="3"/>
      <c r="E3306" s="5" t="str">
        <f>HYPERLINK("https://dpmzos25m8ivg.cloudfront.net/Documentos/631/06872698578/6310687269857811092023134602.pdf","https://dpmzos25m8ivg.cloudfront.net/Documentos/631/06872698578/6310687269857811092023134602.pdf")</f>
        <v>https://dpmzos25m8ivg.cloudfront.net/Documentos/631/06872698578/6310687269857811092023134602.pdf</v>
      </c>
      <c r="F3306" s="5" t="str">
        <f>HYPERLINK("https://dpmzos25m8ivg.cloudfront.net/Documentos/631/06872698578/6310687269857811092023134622.pdf","https://dpmzos25m8ivg.cloudfront.net/Documentos/631/06872698578/6310687269857811092023134622.pdf")</f>
        <v>https://dpmzos25m8ivg.cloudfront.net/Documentos/631/06872698578/6310687269857811092023134622.pdf</v>
      </c>
      <c r="G3306" s="5" t="str">
        <f>HYPERLINK("https://dpmzos25m8ivg.cloudfront.net/Documentos/631/06872698578/6310687269857811092023134641.pdf","https://dpmzos25m8ivg.cloudfront.net/Documentos/631/06872698578/6310687269857811092023134641.pdf")</f>
        <v>https://dpmzos25m8ivg.cloudfront.net/Documentos/631/06872698578/6310687269857811092023134641.pdf</v>
      </c>
      <c r="H3306" s="5" t="s">
        <v>11884</v>
      </c>
    </row>
    <row r="3307" spans="1:8" x14ac:dyDescent="0.25">
      <c r="A3307" s="2" t="s">
        <v>3325</v>
      </c>
      <c r="B3307" s="3"/>
      <c r="C3307" s="3"/>
      <c r="D3307" s="3"/>
      <c r="E3307" s="5" t="str">
        <f>HYPERLINK("https://dpmzos25m8ivg.cloudfront.net/Documentos/631/06873981508/6310687398150811092023153558.jpeg","https://dpmzos25m8ivg.cloudfront.net/Documentos/631/06873981508/6310687398150811092023153558.jpeg")</f>
        <v>https://dpmzos25m8ivg.cloudfront.net/Documentos/631/06873981508/6310687398150811092023153558.jpeg</v>
      </c>
      <c r="F3307" s="5" t="str">
        <f>HYPERLINK("https://dpmzos25m8ivg.cloudfront.net/Documentos/631/06873981508/6310687398150811092023153726.jpeg","https://dpmzos25m8ivg.cloudfront.net/Documentos/631/06873981508/6310687398150811092023153726.jpeg")</f>
        <v>https://dpmzos25m8ivg.cloudfront.net/Documentos/631/06873981508/6310687398150811092023153726.jpeg</v>
      </c>
      <c r="G3307" s="5" t="str">
        <f>HYPERLINK("https://dpmzos25m8ivg.cloudfront.net/Documentos/631/06873981508/6310687398150811092023153644.jpeg","https://dpmzos25m8ivg.cloudfront.net/Documentos/631/06873981508/6310687398150811092023153644.jpeg")</f>
        <v>https://dpmzos25m8ivg.cloudfront.net/Documentos/631/06873981508/6310687398150811092023153644.jpeg</v>
      </c>
      <c r="H3307" s="5" t="s">
        <v>11885</v>
      </c>
    </row>
    <row r="3308" spans="1:8" x14ac:dyDescent="0.25">
      <c r="A3308" s="2" t="s">
        <v>3326</v>
      </c>
      <c r="B3308" s="3"/>
      <c r="C3308" s="3"/>
      <c r="D3308" s="3"/>
      <c r="E3308" s="5" t="str">
        <f>HYPERLINK("https://dpmzos25m8ivg.cloudfront.net/Documentos/631/06875006561/6310687500656111092023162926.pdf","https://dpmzos25m8ivg.cloudfront.net/Documentos/631/06875006561/6310687500656111092023162926.pdf")</f>
        <v>https://dpmzos25m8ivg.cloudfront.net/Documentos/631/06875006561/6310687500656111092023162926.pdf</v>
      </c>
      <c r="F3308" s="5" t="str">
        <f>HYPERLINK("https://dpmzos25m8ivg.cloudfront.net/Documentos/631/06875006561/6310687500656111092023162938.pdf","https://dpmzos25m8ivg.cloudfront.net/Documentos/631/06875006561/6310687500656111092023162938.pdf")</f>
        <v>https://dpmzos25m8ivg.cloudfront.net/Documentos/631/06875006561/6310687500656111092023162938.pdf</v>
      </c>
      <c r="G3308" s="5" t="str">
        <f>HYPERLINK("https://dpmzos25m8ivg.cloudfront.net/Documentos/631/06875006561/6310687500656111092023162950.pdf","https://dpmzos25m8ivg.cloudfront.net/Documentos/631/06875006561/6310687500656111092023162950.pdf")</f>
        <v>https://dpmzos25m8ivg.cloudfront.net/Documentos/631/06875006561/6310687500656111092023162950.pdf</v>
      </c>
      <c r="H3308" s="5" t="s">
        <v>11886</v>
      </c>
    </row>
    <row r="3309" spans="1:8" x14ac:dyDescent="0.25">
      <c r="A3309" s="2" t="s">
        <v>3327</v>
      </c>
      <c r="B3309" s="3"/>
      <c r="C3309" s="3"/>
      <c r="D3309" s="3"/>
      <c r="E3309" s="5" t="str">
        <f>HYPERLINK("https://dpmzos25m8ivg.cloudfront.net/Documentos/631/06875231506/6310687523150611092023083320.pdf","https://dpmzos25m8ivg.cloudfront.net/Documentos/631/06875231506/6310687523150611092023083320.pdf")</f>
        <v>https://dpmzos25m8ivg.cloudfront.net/Documentos/631/06875231506/6310687523150611092023083320.pdf</v>
      </c>
      <c r="F3309" s="5" t="str">
        <f>HYPERLINK("https://dpmzos25m8ivg.cloudfront.net/Documentos/631/06875231506/6310687523150611092023083332.pdf","https://dpmzos25m8ivg.cloudfront.net/Documentos/631/06875231506/6310687523150611092023083332.pdf")</f>
        <v>https://dpmzos25m8ivg.cloudfront.net/Documentos/631/06875231506/6310687523150611092023083332.pdf</v>
      </c>
      <c r="G3309" s="5" t="str">
        <f>HYPERLINK("https://dpmzos25m8ivg.cloudfront.net/Documentos/631/06875231506/6310687523150611092023083345.pdf","https://dpmzos25m8ivg.cloudfront.net/Documentos/631/06875231506/6310687523150611092023083345.pdf")</f>
        <v>https://dpmzos25m8ivg.cloudfront.net/Documentos/631/06875231506/6310687523150611092023083345.pdf</v>
      </c>
      <c r="H3309" s="5" t="s">
        <v>11887</v>
      </c>
    </row>
    <row r="3310" spans="1:8" x14ac:dyDescent="0.25">
      <c r="A3310" s="2" t="s">
        <v>3328</v>
      </c>
      <c r="B3310" s="3" t="s">
        <v>2358</v>
      </c>
      <c r="C3310" s="3"/>
      <c r="D3310" s="3"/>
      <c r="E3310" s="5" t="str">
        <f>HYPERLINK("https://dpmzos25m8ivg.cloudfront.net/Documentos/631/06876804500/6310687680450011092023145643.pdf","https://dpmzos25m8ivg.cloudfront.net/Documentos/631/06876804500/6310687680450011092023145643.pdf")</f>
        <v>https://dpmzos25m8ivg.cloudfront.net/Documentos/631/06876804500/6310687680450011092023145643.pdf</v>
      </c>
      <c r="F3310" s="5" t="str">
        <f>HYPERLINK("https://dpmzos25m8ivg.cloudfront.net/Documentos/631/06876804500/6310687680450011092023145334.pdf","https://dpmzos25m8ivg.cloudfront.net/Documentos/631/06876804500/6310687680450011092023145334.pdf")</f>
        <v>https://dpmzos25m8ivg.cloudfront.net/Documentos/631/06876804500/6310687680450011092023145334.pdf</v>
      </c>
      <c r="G3310" s="5" t="str">
        <f>HYPERLINK("https://dpmzos25m8ivg.cloudfront.net/Documentos/631/06876804500/6310687680450011092023145358.pdf","https://dpmzos25m8ivg.cloudfront.net/Documentos/631/06876804500/6310687680450011092023145358.pdf")</f>
        <v>https://dpmzos25m8ivg.cloudfront.net/Documentos/631/06876804500/6310687680450011092023145358.pdf</v>
      </c>
      <c r="H3310" s="5" t="s">
        <v>11888</v>
      </c>
    </row>
    <row r="3311" spans="1:8" x14ac:dyDescent="0.25">
      <c r="A3311" s="2" t="s">
        <v>3329</v>
      </c>
      <c r="B3311" s="3" t="s">
        <v>2358</v>
      </c>
      <c r="C3311" s="3"/>
      <c r="D3311" s="3"/>
      <c r="E3311" s="5" t="str">
        <f>HYPERLINK("https://dpmzos25m8ivg.cloudfront.net/Documentos/631/06876955389/6310687695538906092023212330.pdf","https://dpmzos25m8ivg.cloudfront.net/Documentos/631/06876955389/6310687695538906092023212330.pdf")</f>
        <v>https://dpmzos25m8ivg.cloudfront.net/Documentos/631/06876955389/6310687695538906092023212330.pdf</v>
      </c>
      <c r="F3311" s="5" t="str">
        <f>HYPERLINK("https://dpmzos25m8ivg.cloudfront.net/Documentos/631/06876955389/6310687695538906092023212420.pdf","https://dpmzos25m8ivg.cloudfront.net/Documentos/631/06876955389/6310687695538906092023212420.pdf")</f>
        <v>https://dpmzos25m8ivg.cloudfront.net/Documentos/631/06876955389/6310687695538906092023212420.pdf</v>
      </c>
      <c r="G3311" s="5" t="str">
        <f>HYPERLINK("https://dpmzos25m8ivg.cloudfront.net/Documentos/631/06876955389/6310687695538906092023212450.pdf","https://dpmzos25m8ivg.cloudfront.net/Documentos/631/06876955389/6310687695538906092023212450.pdf")</f>
        <v>https://dpmzos25m8ivg.cloudfront.net/Documentos/631/06876955389/6310687695538906092023212450.pdf</v>
      </c>
      <c r="H3311" s="5" t="s">
        <v>11889</v>
      </c>
    </row>
    <row r="3312" spans="1:8" x14ac:dyDescent="0.25">
      <c r="A3312" s="2" t="s">
        <v>3330</v>
      </c>
      <c r="B3312" s="3"/>
      <c r="C3312" s="3"/>
      <c r="D3312" s="3"/>
      <c r="E3312" s="5" t="str">
        <f>HYPERLINK("https://dpmzos25m8ivg.cloudfront.net/Documentos/631/06878419336/6310687841933610092023192446.jpeg","https://dpmzos25m8ivg.cloudfront.net/Documentos/631/06878419336/6310687841933610092023192446.jpeg")</f>
        <v>https://dpmzos25m8ivg.cloudfront.net/Documentos/631/06878419336/6310687841933610092023192446.jpeg</v>
      </c>
      <c r="F3312" s="5" t="str">
        <f>HYPERLINK("https://dpmzos25m8ivg.cloudfront.net/Documentos/631/06878419336/6310687841933610092023192500.jpeg","https://dpmzos25m8ivg.cloudfront.net/Documentos/631/06878419336/6310687841933610092023192500.jpeg")</f>
        <v>https://dpmzos25m8ivg.cloudfront.net/Documentos/631/06878419336/6310687841933610092023192500.jpeg</v>
      </c>
      <c r="G3312" s="5" t="str">
        <f>HYPERLINK("https://dpmzos25m8ivg.cloudfront.net/Documentos/631/06878419336/6310687841933610092023192517.jpeg","https://dpmzos25m8ivg.cloudfront.net/Documentos/631/06878419336/6310687841933610092023192517.jpeg")</f>
        <v>https://dpmzos25m8ivg.cloudfront.net/Documentos/631/06878419336/6310687841933610092023192517.jpeg</v>
      </c>
      <c r="H3312" s="5" t="s">
        <v>11890</v>
      </c>
    </row>
    <row r="3313" spans="1:8" x14ac:dyDescent="0.25">
      <c r="A3313" s="2" t="s">
        <v>3331</v>
      </c>
      <c r="B3313" s="3"/>
      <c r="C3313" s="3"/>
      <c r="D3313" s="3"/>
      <c r="E3313" s="5" t="str">
        <f>HYPERLINK("https://dpmzos25m8ivg.cloudfront.net/Documentos/631/06879194109/6310687919410911092023153847.pdf","https://dpmzos25m8ivg.cloudfront.net/Documentos/631/06879194109/6310687919410911092023153847.pdf")</f>
        <v>https://dpmzos25m8ivg.cloudfront.net/Documentos/631/06879194109/6310687919410911092023153847.pdf</v>
      </c>
      <c r="F3313" s="5" t="str">
        <f>HYPERLINK("https://dpmzos25m8ivg.cloudfront.net/Documentos/631/06879194109/6310687919410911092023153859.pdf","https://dpmzos25m8ivg.cloudfront.net/Documentos/631/06879194109/6310687919410911092023153859.pdf")</f>
        <v>https://dpmzos25m8ivg.cloudfront.net/Documentos/631/06879194109/6310687919410911092023153859.pdf</v>
      </c>
      <c r="G3313" s="5" t="str">
        <f>HYPERLINK("https://dpmzos25m8ivg.cloudfront.net/Documentos/631/06879194109/6310687919410911092023153908.pdf","https://dpmzos25m8ivg.cloudfront.net/Documentos/631/06879194109/6310687919410911092023153908.pdf")</f>
        <v>https://dpmzos25m8ivg.cloudfront.net/Documentos/631/06879194109/6310687919410911092023153908.pdf</v>
      </c>
      <c r="H3313" s="5" t="s">
        <v>11891</v>
      </c>
    </row>
    <row r="3314" spans="1:8" x14ac:dyDescent="0.25">
      <c r="A3314" s="2" t="s">
        <v>3332</v>
      </c>
      <c r="B3314" s="3" t="s">
        <v>2358</v>
      </c>
      <c r="C3314" s="3"/>
      <c r="D3314" s="3"/>
      <c r="E3314" s="5" t="str">
        <f>HYPERLINK("https://dpmzos25m8ivg.cloudfront.net/Documentos/631/06881067143/6310688106714314092023142134.pdf","https://dpmzos25m8ivg.cloudfront.net/Documentos/631/06881067143/6310688106714314092023142134.pdf")</f>
        <v>https://dpmzos25m8ivg.cloudfront.net/Documentos/631/06881067143/6310688106714314092023142134.pdf</v>
      </c>
      <c r="F3314" s="5" t="str">
        <f>HYPERLINK("https://dpmzos25m8ivg.cloudfront.net/Documentos/631/06881067143/6310688106714314092023142147.pdf","https://dpmzos25m8ivg.cloudfront.net/Documentos/631/06881067143/6310688106714314092023142147.pdf")</f>
        <v>https://dpmzos25m8ivg.cloudfront.net/Documentos/631/06881067143/6310688106714314092023142147.pdf</v>
      </c>
      <c r="G3314" s="5" t="str">
        <f>HYPERLINK("https://dpmzos25m8ivg.cloudfront.net/Documentos/631/06881067143/6310688106714314092023142201.pdf","https://dpmzos25m8ivg.cloudfront.net/Documentos/631/06881067143/6310688106714314092023142201.pdf")</f>
        <v>https://dpmzos25m8ivg.cloudfront.net/Documentos/631/06881067143/6310688106714314092023142201.pdf</v>
      </c>
      <c r="H3314" s="5" t="s">
        <v>11892</v>
      </c>
    </row>
    <row r="3315" spans="1:8" x14ac:dyDescent="0.25">
      <c r="A3315" s="2" t="s">
        <v>3333</v>
      </c>
      <c r="B3315" s="3"/>
      <c r="C3315" s="3"/>
      <c r="D3315" s="3"/>
      <c r="E3315" s="5" t="str">
        <f>HYPERLINK("https://dpmzos25m8ivg.cloudfront.net/Documentos/631/06881423543/6310688142354311092023133309.jpeg","https://dpmzos25m8ivg.cloudfront.net/Documentos/631/06881423543/6310688142354311092023133309.jpeg")</f>
        <v>https://dpmzos25m8ivg.cloudfront.net/Documentos/631/06881423543/6310688142354311092023133309.jpeg</v>
      </c>
      <c r="F3315" s="5" t="str">
        <f>HYPERLINK("https://dpmzos25m8ivg.cloudfront.net/Documentos/631/06881423543/6310688142354311092023133321.jpeg","https://dpmzos25m8ivg.cloudfront.net/Documentos/631/06881423543/6310688142354311092023133321.jpeg")</f>
        <v>https://dpmzos25m8ivg.cloudfront.net/Documentos/631/06881423543/6310688142354311092023133321.jpeg</v>
      </c>
      <c r="G3315" s="5" t="str">
        <f>HYPERLINK("https://dpmzos25m8ivg.cloudfront.net/Documentos/631/06881423543/6310688142354311092023133350.jpeg","https://dpmzos25m8ivg.cloudfront.net/Documentos/631/06881423543/6310688142354311092023133350.jpeg")</f>
        <v>https://dpmzos25m8ivg.cloudfront.net/Documentos/631/06881423543/6310688142354311092023133350.jpeg</v>
      </c>
      <c r="H3315" s="5" t="s">
        <v>11893</v>
      </c>
    </row>
    <row r="3316" spans="1:8" x14ac:dyDescent="0.25">
      <c r="A3316" s="2" t="s">
        <v>3334</v>
      </c>
      <c r="B3316" s="3"/>
      <c r="C3316" s="3"/>
      <c r="D3316" s="3"/>
      <c r="E3316" s="5" t="str">
        <f>HYPERLINK("https://dpmzos25m8ivg.cloudfront.net/Documentos/631/06882680647/6310688268064708092023223347.pdf","https://dpmzos25m8ivg.cloudfront.net/Documentos/631/06882680647/6310688268064708092023223347.pdf")</f>
        <v>https://dpmzos25m8ivg.cloudfront.net/Documentos/631/06882680647/6310688268064708092023223347.pdf</v>
      </c>
      <c r="F3316" s="5" t="str">
        <f>HYPERLINK("https://dpmzos25m8ivg.cloudfront.net/Documentos/631/06882680647/6310688268064708092023223354.pdf","https://dpmzos25m8ivg.cloudfront.net/Documentos/631/06882680647/6310688268064708092023223354.pdf")</f>
        <v>https://dpmzos25m8ivg.cloudfront.net/Documentos/631/06882680647/6310688268064708092023223354.pdf</v>
      </c>
      <c r="G3316" s="5" t="str">
        <f>HYPERLINK("https://dpmzos25m8ivg.cloudfront.net/Documentos/631/06882680647/6310688268064708092023223359.pdf","https://dpmzos25m8ivg.cloudfront.net/Documentos/631/06882680647/6310688268064708092023223359.pdf")</f>
        <v>https://dpmzos25m8ivg.cloudfront.net/Documentos/631/06882680647/6310688268064708092023223359.pdf</v>
      </c>
      <c r="H3316" s="5" t="s">
        <v>11894</v>
      </c>
    </row>
    <row r="3317" spans="1:8" x14ac:dyDescent="0.25">
      <c r="A3317" s="2" t="s">
        <v>3335</v>
      </c>
      <c r="B3317" s="3"/>
      <c r="C3317" s="3"/>
      <c r="D3317" s="3"/>
      <c r="E3317" s="5" t="str">
        <f>HYPERLINK("https://dpmzos25m8ivg.cloudfront.net/Documentos/631/06884127341/6310688412734111092023084546.pdf","https://dpmzos25m8ivg.cloudfront.net/Documentos/631/06884127341/6310688412734111092023084546.pdf")</f>
        <v>https://dpmzos25m8ivg.cloudfront.net/Documentos/631/06884127341/6310688412734111092023084546.pdf</v>
      </c>
      <c r="F3317" s="5" t="str">
        <f>HYPERLINK("https://dpmzos25m8ivg.cloudfront.net/Documentos/631/06884127341/6310688412734111092023084603.pdf","https://dpmzos25m8ivg.cloudfront.net/Documentos/631/06884127341/6310688412734111092023084603.pdf")</f>
        <v>https://dpmzos25m8ivg.cloudfront.net/Documentos/631/06884127341/6310688412734111092023084603.pdf</v>
      </c>
      <c r="G3317" s="5" t="str">
        <f>HYPERLINK("https://dpmzos25m8ivg.cloudfront.net/Documentos/631/06884127341/6310688412734111092023084623.pdf","https://dpmzos25m8ivg.cloudfront.net/Documentos/631/06884127341/6310688412734111092023084623.pdf")</f>
        <v>https://dpmzos25m8ivg.cloudfront.net/Documentos/631/06884127341/6310688412734111092023084623.pdf</v>
      </c>
      <c r="H3317" s="5" t="s">
        <v>11895</v>
      </c>
    </row>
    <row r="3318" spans="1:8" x14ac:dyDescent="0.25">
      <c r="A3318" s="2" t="s">
        <v>3336</v>
      </c>
      <c r="B3318" s="3" t="s">
        <v>2358</v>
      </c>
      <c r="C3318" s="3"/>
      <c r="D3318" s="3"/>
      <c r="E3318" s="5" t="str">
        <f>HYPERLINK("https://dpmzos25m8ivg.cloudfront.net/Documentos/631/06885641278/6310688564127811092023150250.pdf","https://dpmzos25m8ivg.cloudfront.net/Documentos/631/06885641278/6310688564127811092023150250.pdf")</f>
        <v>https://dpmzos25m8ivg.cloudfront.net/Documentos/631/06885641278/6310688564127811092023150250.pdf</v>
      </c>
      <c r="F3318" s="5" t="str">
        <f>HYPERLINK("https://dpmzos25m8ivg.cloudfront.net/Documentos/631/06885641278/6310688564127811092023150316.pdf","https://dpmzos25m8ivg.cloudfront.net/Documentos/631/06885641278/6310688564127811092023150316.pdf")</f>
        <v>https://dpmzos25m8ivg.cloudfront.net/Documentos/631/06885641278/6310688564127811092023150316.pdf</v>
      </c>
      <c r="G3318" s="5" t="str">
        <f>HYPERLINK("https://dpmzos25m8ivg.cloudfront.net/Documentos/631/06885641278/6310688564127811092023150328.pdf","https://dpmzos25m8ivg.cloudfront.net/Documentos/631/06885641278/6310688564127811092023150328.pdf")</f>
        <v>https://dpmzos25m8ivg.cloudfront.net/Documentos/631/06885641278/6310688564127811092023150328.pdf</v>
      </c>
      <c r="H3318" s="5" t="s">
        <v>11896</v>
      </c>
    </row>
    <row r="3319" spans="1:8" x14ac:dyDescent="0.25">
      <c r="A3319" s="14" t="s">
        <v>3337</v>
      </c>
      <c r="B3319" s="15"/>
      <c r="C3319" s="3"/>
      <c r="D3319" s="3"/>
      <c r="E3319" s="5" t="str">
        <f>HYPERLINK("https://dpmzos25m8ivg.cloudfront.net/Documentos/631/06889926501/6310688992650105092023234857.pdf","https://dpmzos25m8ivg.cloudfront.net/Documentos/631/06889926501/6310688992650105092023234857.pdf")</f>
        <v>https://dpmzos25m8ivg.cloudfront.net/Documentos/631/06889926501/6310688992650105092023234857.pdf</v>
      </c>
      <c r="F3319" s="5" t="str">
        <f>HYPERLINK("https://dpmzos25m8ivg.cloudfront.net/Documentos/631/06889926501/6310688992650105092023234939.pdf","https://dpmzos25m8ivg.cloudfront.net/Documentos/631/06889926501/6310688992650105092023234939.pdf")</f>
        <v>https://dpmzos25m8ivg.cloudfront.net/Documentos/631/06889926501/6310688992650105092023234939.pdf</v>
      </c>
      <c r="G3319" s="5" t="str">
        <f>HYPERLINK("https://dpmzos25m8ivg.cloudfront.net/Documentos/631/06889926501/6310688992650105092023235002.pdf","https://dpmzos25m8ivg.cloudfront.net/Documentos/631/06889926501/6310688992650105092023235002.pdf")</f>
        <v>https://dpmzos25m8ivg.cloudfront.net/Documentos/631/06889926501/6310688992650105092023235002.pdf</v>
      </c>
      <c r="H3319" s="9" t="s">
        <v>11897</v>
      </c>
    </row>
    <row r="3320" spans="1:8" x14ac:dyDescent="0.25">
      <c r="A3320" s="2" t="s">
        <v>3338</v>
      </c>
      <c r="B3320" s="3" t="s">
        <v>2358</v>
      </c>
      <c r="C3320" s="3"/>
      <c r="D3320" s="3"/>
      <c r="E3320" s="5" t="str">
        <f>HYPERLINK("https://dpmzos25m8ivg.cloudfront.net/Documentos/631/06891435919/6310689143591911092023160105.jpeg","https://dpmzos25m8ivg.cloudfront.net/Documentos/631/06891435919/6310689143591911092023160105.jpeg")</f>
        <v>https://dpmzos25m8ivg.cloudfront.net/Documentos/631/06891435919/6310689143591911092023160105.jpeg</v>
      </c>
      <c r="F3320" s="5" t="str">
        <f>HYPERLINK("https://dpmzos25m8ivg.cloudfront.net/Documentos/631/06891435919/6310689143591911092023160116.jpeg","https://dpmzos25m8ivg.cloudfront.net/Documentos/631/06891435919/6310689143591911092023160116.jpeg")</f>
        <v>https://dpmzos25m8ivg.cloudfront.net/Documentos/631/06891435919/6310689143591911092023160116.jpeg</v>
      </c>
      <c r="G3320" s="5" t="str">
        <f>HYPERLINK("https://dpmzos25m8ivg.cloudfront.net/Documentos/631/06891435919/6310689143591911092023160125.jpeg","https://dpmzos25m8ivg.cloudfront.net/Documentos/631/06891435919/6310689143591911092023160125.jpeg")</f>
        <v>https://dpmzos25m8ivg.cloudfront.net/Documentos/631/06891435919/6310689143591911092023160125.jpeg</v>
      </c>
      <c r="H3320" s="5" t="s">
        <v>11898</v>
      </c>
    </row>
    <row r="3321" spans="1:8" x14ac:dyDescent="0.25">
      <c r="A3321" s="2" t="s">
        <v>3339</v>
      </c>
      <c r="B3321" s="3"/>
      <c r="C3321" s="3"/>
      <c r="D3321" s="3"/>
      <c r="E3321" s="5" t="str">
        <f>HYPERLINK("https://dpmzos25m8ivg.cloudfront.net/Documentos/631/06892242570/6310689224257011092023143451.jpg","https://dpmzos25m8ivg.cloudfront.net/Documentos/631/06892242570/6310689224257011092023143451.jpg")</f>
        <v>https://dpmzos25m8ivg.cloudfront.net/Documentos/631/06892242570/6310689224257011092023143451.jpg</v>
      </c>
      <c r="F3321" s="5" t="str">
        <f>HYPERLINK("https://dpmzos25m8ivg.cloudfront.net/Documentos/631/06892242570/6310689224257011092023143501.jpg","https://dpmzos25m8ivg.cloudfront.net/Documentos/631/06892242570/6310689224257011092023143501.jpg")</f>
        <v>https://dpmzos25m8ivg.cloudfront.net/Documentos/631/06892242570/6310689224257011092023143501.jpg</v>
      </c>
      <c r="G3321" s="5" t="str">
        <f>HYPERLINK("https://dpmzos25m8ivg.cloudfront.net/Documentos/631/06892242570/6310689224257011092023143521.jpg","https://dpmzos25m8ivg.cloudfront.net/Documentos/631/06892242570/6310689224257011092023143521.jpg")</f>
        <v>https://dpmzos25m8ivg.cloudfront.net/Documentos/631/06892242570/6310689224257011092023143521.jpg</v>
      </c>
      <c r="H3321" s="5" t="s">
        <v>11899</v>
      </c>
    </row>
    <row r="3322" spans="1:8" x14ac:dyDescent="0.25">
      <c r="A3322" s="2" t="s">
        <v>3340</v>
      </c>
      <c r="B3322" s="3"/>
      <c r="C3322" s="3"/>
      <c r="D3322" s="3"/>
      <c r="E3322" s="5" t="str">
        <f>HYPERLINK("https://dpmzos25m8ivg.cloudfront.net/Documentos/631/06892757570/6310689275757010092023223249.pdf","https://dpmzos25m8ivg.cloudfront.net/Documentos/631/06892757570/6310689275757010092023223249.pdf")</f>
        <v>https://dpmzos25m8ivg.cloudfront.net/Documentos/631/06892757570/6310689275757010092023223249.pdf</v>
      </c>
      <c r="F3322" s="5" t="str">
        <f>HYPERLINK("https://dpmzos25m8ivg.cloudfront.net/Documentos/631/06892757570/6310689275757010092023223300.pdf","https://dpmzos25m8ivg.cloudfront.net/Documentos/631/06892757570/6310689275757010092023223300.pdf")</f>
        <v>https://dpmzos25m8ivg.cloudfront.net/Documentos/631/06892757570/6310689275757010092023223300.pdf</v>
      </c>
      <c r="G3322" s="5" t="str">
        <f>HYPERLINK("https://dpmzos25m8ivg.cloudfront.net/Documentos/631/06892757570/6310689275757010092023223324.pdf","https://dpmzos25m8ivg.cloudfront.net/Documentos/631/06892757570/6310689275757010092023223324.pdf")</f>
        <v>https://dpmzos25m8ivg.cloudfront.net/Documentos/631/06892757570/6310689275757010092023223324.pdf</v>
      </c>
      <c r="H3322" s="5" t="s">
        <v>11900</v>
      </c>
    </row>
    <row r="3323" spans="1:8" x14ac:dyDescent="0.25">
      <c r="A3323" s="2" t="s">
        <v>3341</v>
      </c>
      <c r="B3323" s="3"/>
      <c r="C3323" s="3"/>
      <c r="D3323" s="3"/>
      <c r="E3323" s="5" t="str">
        <f>HYPERLINK("https://dpmzos25m8ivg.cloudfront.net/Documentos/631/06899328631/6310689932863111092023155306.pdf","https://dpmzos25m8ivg.cloudfront.net/Documentos/631/06899328631/6310689932863111092023155306.pdf")</f>
        <v>https://dpmzos25m8ivg.cloudfront.net/Documentos/631/06899328631/6310689932863111092023155306.pdf</v>
      </c>
      <c r="F3323" s="5" t="str">
        <f>HYPERLINK("https://dpmzos25m8ivg.cloudfront.net/Documentos/631/06899328631/6310689932863111092023155318.pdf","https://dpmzos25m8ivg.cloudfront.net/Documentos/631/06899328631/6310689932863111092023155318.pdf")</f>
        <v>https://dpmzos25m8ivg.cloudfront.net/Documentos/631/06899328631/6310689932863111092023155318.pdf</v>
      </c>
      <c r="G3323" s="5" t="str">
        <f>HYPERLINK("https://dpmzos25m8ivg.cloudfront.net/Documentos/631/06899328631/6310689932863111092023155333.pdf","https://dpmzos25m8ivg.cloudfront.net/Documentos/631/06899328631/6310689932863111092023155333.pdf")</f>
        <v>https://dpmzos25m8ivg.cloudfront.net/Documentos/631/06899328631/6310689932863111092023155333.pdf</v>
      </c>
      <c r="H3323" s="5" t="s">
        <v>11901</v>
      </c>
    </row>
    <row r="3324" spans="1:8" x14ac:dyDescent="0.25">
      <c r="A3324" s="2" t="s">
        <v>3342</v>
      </c>
      <c r="B3324" s="3"/>
      <c r="C3324" s="3"/>
      <c r="D3324" s="3"/>
      <c r="E3324" s="5" t="str">
        <f>HYPERLINK("https://dpmzos25m8ivg.cloudfront.net/Documentos/631/06900509509/6310690050950906092023122715.pdf","https://dpmzos25m8ivg.cloudfront.net/Documentos/631/06900509509/6310690050950906092023122715.pdf")</f>
        <v>https://dpmzos25m8ivg.cloudfront.net/Documentos/631/06900509509/6310690050950906092023122715.pdf</v>
      </c>
      <c r="F3324" s="5" t="str">
        <f>HYPERLINK("https://dpmzos25m8ivg.cloudfront.net/Documentos/631/06900509509/6310690050950906092023122729.pdf","https://dpmzos25m8ivg.cloudfront.net/Documentos/631/06900509509/6310690050950906092023122729.pdf")</f>
        <v>https://dpmzos25m8ivg.cloudfront.net/Documentos/631/06900509509/6310690050950906092023122729.pdf</v>
      </c>
      <c r="G3324" s="5" t="str">
        <f>HYPERLINK("https://dpmzos25m8ivg.cloudfront.net/Documentos/631/06900509509/6310690050950906092023122744.pdf","https://dpmzos25m8ivg.cloudfront.net/Documentos/631/06900509509/6310690050950906092023122744.pdf")</f>
        <v>https://dpmzos25m8ivg.cloudfront.net/Documentos/631/06900509509/6310690050950906092023122744.pdf</v>
      </c>
      <c r="H3324" s="5" t="s">
        <v>11902</v>
      </c>
    </row>
    <row r="3325" spans="1:8" x14ac:dyDescent="0.25">
      <c r="A3325" s="2" t="s">
        <v>3343</v>
      </c>
      <c r="B3325" s="3"/>
      <c r="C3325" s="3"/>
      <c r="D3325" s="3"/>
      <c r="E3325" s="5" t="str">
        <f>HYPERLINK("https://dpmzos25m8ivg.cloudfront.net/Documentos/631/06902749558/6310690274955811092023153502.pdf","https://dpmzos25m8ivg.cloudfront.net/Documentos/631/06902749558/6310690274955811092023153502.pdf")</f>
        <v>https://dpmzos25m8ivg.cloudfront.net/Documentos/631/06902749558/6310690274955811092023153502.pdf</v>
      </c>
      <c r="F3325" s="5" t="str">
        <f>HYPERLINK("https://dpmzos25m8ivg.cloudfront.net/Documentos/631/06902749558/6310690274955811092023153508.pdf","https://dpmzos25m8ivg.cloudfront.net/Documentos/631/06902749558/6310690274955811092023153508.pdf")</f>
        <v>https://dpmzos25m8ivg.cloudfront.net/Documentos/631/06902749558/6310690274955811092023153508.pdf</v>
      </c>
      <c r="G3325" s="5" t="str">
        <f>HYPERLINK("https://dpmzos25m8ivg.cloudfront.net/Documentos/631/06902749558/6310690274955811092023153513.pdf","https://dpmzos25m8ivg.cloudfront.net/Documentos/631/06902749558/6310690274955811092023153513.pdf")</f>
        <v>https://dpmzos25m8ivg.cloudfront.net/Documentos/631/06902749558/6310690274955811092023153513.pdf</v>
      </c>
      <c r="H3325" s="5" t="s">
        <v>11903</v>
      </c>
    </row>
    <row r="3326" spans="1:8" x14ac:dyDescent="0.25">
      <c r="A3326" s="10" t="s">
        <v>3344</v>
      </c>
      <c r="B3326" s="17"/>
      <c r="C3326" s="3"/>
      <c r="D3326" s="3"/>
      <c r="E3326" s="18" t="str">
        <f>HYPERLINK("https://dpmzos25m8ivg.cloudfront.net/Documentos/631/06907556359/6310690755635907092023122817.jpeg","https://dpmzos25m8ivg.cloudfront.net/Documentos/631/06907556359/6310690755635907092023122817.jpeg")</f>
        <v>https://dpmzos25m8ivg.cloudfront.net/Documentos/631/06907556359/6310690755635907092023122817.jpeg</v>
      </c>
      <c r="F3326" s="18" t="str">
        <f>HYPERLINK("https://dpmzos25m8ivg.cloudfront.net/Documentos/631/06907556359/6310690755635907092023122824.jpeg","https://dpmzos25m8ivg.cloudfront.net/Documentos/631/06907556359/6310690755635907092023122824.jpeg")</f>
        <v>https://dpmzos25m8ivg.cloudfront.net/Documentos/631/06907556359/6310690755635907092023122824.jpeg</v>
      </c>
      <c r="G3326" s="18" t="str">
        <f>HYPERLINK("https://dpmzos25m8ivg.cloudfront.net/Documentos/631/06907556359/6310690755635907092023122832.jpeg","https://dpmzos25m8ivg.cloudfront.net/Documentos/631/06907556359/6310690755635907092023122832.jpeg")</f>
        <v>https://dpmzos25m8ivg.cloudfront.net/Documentos/631/06907556359/6310690755635907092023122832.jpeg</v>
      </c>
      <c r="H3326" s="18" t="s">
        <v>11904</v>
      </c>
    </row>
    <row r="3327" spans="1:8" x14ac:dyDescent="0.25">
      <c r="A3327" s="2" t="s">
        <v>3345</v>
      </c>
      <c r="B3327" s="3" t="s">
        <v>2358</v>
      </c>
      <c r="C3327" s="3"/>
      <c r="D3327" s="3"/>
      <c r="E3327" s="5" t="str">
        <f>HYPERLINK("https://dpmzos25m8ivg.cloudfront.net/Documentos/631/06908804569/6310690880456914092023170414.pdf","https://dpmzos25m8ivg.cloudfront.net/Documentos/631/06908804569/6310690880456914092023170414.pdf")</f>
        <v>https://dpmzos25m8ivg.cloudfront.net/Documentos/631/06908804569/6310690880456914092023170414.pdf</v>
      </c>
      <c r="F3327" s="5" t="str">
        <f>HYPERLINK("https://dpmzos25m8ivg.cloudfront.net/Documentos/631/06908804569/6310690880456914092023170442.pdf","https://dpmzos25m8ivg.cloudfront.net/Documentos/631/06908804569/6310690880456914092023170442.pdf")</f>
        <v>https://dpmzos25m8ivg.cloudfront.net/Documentos/631/06908804569/6310690880456914092023170442.pdf</v>
      </c>
      <c r="G3327" s="5" t="str">
        <f>HYPERLINK("https://dpmzos25m8ivg.cloudfront.net/Documentos/631/06908804569/6310690880456914092023170502.pdf","https://dpmzos25m8ivg.cloudfront.net/Documentos/631/06908804569/6310690880456914092023170502.pdf")</f>
        <v>https://dpmzos25m8ivg.cloudfront.net/Documentos/631/06908804569/6310690880456914092023170502.pdf</v>
      </c>
      <c r="H3327" s="5" t="s">
        <v>11905</v>
      </c>
    </row>
    <row r="3328" spans="1:8" x14ac:dyDescent="0.25">
      <c r="A3328" s="2" t="s">
        <v>3346</v>
      </c>
      <c r="B3328" s="3"/>
      <c r="C3328" s="3"/>
      <c r="D3328" s="3"/>
      <c r="E3328" s="5" t="str">
        <f>HYPERLINK("https://dpmzos25m8ivg.cloudfront.net/Documentos/631/06908908429/6310690890842906092023000523.pdf","https://dpmzos25m8ivg.cloudfront.net/Documentos/631/06908908429/6310690890842906092023000523.pdf")</f>
        <v>https://dpmzos25m8ivg.cloudfront.net/Documentos/631/06908908429/6310690890842906092023000523.pdf</v>
      </c>
      <c r="F3328" s="5" t="str">
        <f>HYPERLINK("https://dpmzos25m8ivg.cloudfront.net/Documentos/631/06908908429/6310690890842906092023000536.pdf","https://dpmzos25m8ivg.cloudfront.net/Documentos/631/06908908429/6310690890842906092023000536.pdf")</f>
        <v>https://dpmzos25m8ivg.cloudfront.net/Documentos/631/06908908429/6310690890842906092023000536.pdf</v>
      </c>
      <c r="G3328" s="5" t="str">
        <f>HYPERLINK("https://dpmzos25m8ivg.cloudfront.net/Documentos/631/06908908429/6310690890842906092023000546.pdf","https://dpmzos25m8ivg.cloudfront.net/Documentos/631/06908908429/6310690890842906092023000546.pdf")</f>
        <v>https://dpmzos25m8ivg.cloudfront.net/Documentos/631/06908908429/6310690890842906092023000546.pdf</v>
      </c>
      <c r="H3328" s="5" t="s">
        <v>11906</v>
      </c>
    </row>
    <row r="3329" spans="1:8" x14ac:dyDescent="0.25">
      <c r="A3329" s="2" t="s">
        <v>3347</v>
      </c>
      <c r="B3329" s="3"/>
      <c r="C3329" s="3"/>
      <c r="D3329" s="3"/>
      <c r="E3329" s="5" t="str">
        <f>HYPERLINK("https://dpmzos25m8ivg.cloudfront.net/Documentos/631/06911344301/6310691134430114092023145757.pdf","https://dpmzos25m8ivg.cloudfront.net/Documentos/631/06911344301/6310691134430114092023145757.pdf")</f>
        <v>https://dpmzos25m8ivg.cloudfront.net/Documentos/631/06911344301/6310691134430114092023145757.pdf</v>
      </c>
      <c r="F3329" s="5" t="str">
        <f>HYPERLINK("https://dpmzos25m8ivg.cloudfront.net/Documentos/631/06911344301/6310691134430114092023145812.pdf","https://dpmzos25m8ivg.cloudfront.net/Documentos/631/06911344301/6310691134430114092023145812.pdf")</f>
        <v>https://dpmzos25m8ivg.cloudfront.net/Documentos/631/06911344301/6310691134430114092023145812.pdf</v>
      </c>
      <c r="G3329" s="5" t="str">
        <f>HYPERLINK("https://dpmzos25m8ivg.cloudfront.net/Documentos/631/06911344301/6310691134430114092023145825.pdf","https://dpmzos25m8ivg.cloudfront.net/Documentos/631/06911344301/6310691134430114092023145825.pdf")</f>
        <v>https://dpmzos25m8ivg.cloudfront.net/Documentos/631/06911344301/6310691134430114092023145825.pdf</v>
      </c>
      <c r="H3329" s="5" t="s">
        <v>11907</v>
      </c>
    </row>
    <row r="3330" spans="1:8" x14ac:dyDescent="0.25">
      <c r="A3330" s="2" t="s">
        <v>3348</v>
      </c>
      <c r="B3330" s="3"/>
      <c r="C3330" s="3"/>
      <c r="D3330" s="3"/>
      <c r="E3330" s="5" t="str">
        <f>HYPERLINK("https://dpmzos25m8ivg.cloudfront.net/Documentos/631/06911636345/6310691163634511092023122627.jpg","https://dpmzos25m8ivg.cloudfront.net/Documentos/631/06911636345/6310691163634511092023122627.jpg")</f>
        <v>https://dpmzos25m8ivg.cloudfront.net/Documentos/631/06911636345/6310691163634511092023122627.jpg</v>
      </c>
      <c r="F3330" s="5" t="str">
        <f>HYPERLINK("https://dpmzos25m8ivg.cloudfront.net/Documentos/631/06911636345/6310691163634511092023122708.jpg","https://dpmzos25m8ivg.cloudfront.net/Documentos/631/06911636345/6310691163634511092023122708.jpg")</f>
        <v>https://dpmzos25m8ivg.cloudfront.net/Documentos/631/06911636345/6310691163634511092023122708.jpg</v>
      </c>
      <c r="G3330" s="5" t="str">
        <f>HYPERLINK("https://dpmzos25m8ivg.cloudfront.net/Documentos/631/06911636345/6310691163634511092023122742.jpg","https://dpmzos25m8ivg.cloudfront.net/Documentos/631/06911636345/6310691163634511092023122742.jpg")</f>
        <v>https://dpmzos25m8ivg.cloudfront.net/Documentos/631/06911636345/6310691163634511092023122742.jpg</v>
      </c>
      <c r="H3330" s="5" t="s">
        <v>11908</v>
      </c>
    </row>
    <row r="3331" spans="1:8" x14ac:dyDescent="0.25">
      <c r="A3331" s="2" t="s">
        <v>3349</v>
      </c>
      <c r="B3331" s="3"/>
      <c r="C3331" s="3"/>
      <c r="D3331" s="3"/>
      <c r="E3331" s="5" t="str">
        <f>HYPERLINK("https://dpmzos25m8ivg.cloudfront.net/Documentos/631/06915227903/6310691522790305092023100718.jpeg","https://dpmzos25m8ivg.cloudfront.net/Documentos/631/06915227903/6310691522790305092023100718.jpeg")</f>
        <v>https://dpmzos25m8ivg.cloudfront.net/Documentos/631/06915227903/6310691522790305092023100718.jpeg</v>
      </c>
      <c r="F3331" s="5" t="str">
        <f>HYPERLINK("https://dpmzos25m8ivg.cloudfront.net/Documentos/631/06915227903/6310691522790305092023100734.jpeg","https://dpmzos25m8ivg.cloudfront.net/Documentos/631/06915227903/6310691522790305092023100734.jpeg")</f>
        <v>https://dpmzos25m8ivg.cloudfront.net/Documentos/631/06915227903/6310691522790305092023100734.jpeg</v>
      </c>
      <c r="G3331" s="5" t="str">
        <f>HYPERLINK("https://dpmzos25m8ivg.cloudfront.net/Documentos/631/06915227903/6310691522790305092023100748.jpeg","https://dpmzos25m8ivg.cloudfront.net/Documentos/631/06915227903/6310691522790305092023100748.jpeg")</f>
        <v>https://dpmzos25m8ivg.cloudfront.net/Documentos/631/06915227903/6310691522790305092023100748.jpeg</v>
      </c>
      <c r="H3331" s="5" t="s">
        <v>11909</v>
      </c>
    </row>
    <row r="3332" spans="1:8" x14ac:dyDescent="0.25">
      <c r="A3332" s="2" t="s">
        <v>3350</v>
      </c>
      <c r="B3332" s="3"/>
      <c r="C3332" s="3"/>
      <c r="D3332" s="3"/>
      <c r="E3332" s="5" t="str">
        <f>HYPERLINK("https://dpmzos25m8ivg.cloudfront.net/Documentos/631/06915689443/6310691568944311092023151821.pdf","https://dpmzos25m8ivg.cloudfront.net/Documentos/631/06915689443/6310691568944311092023151821.pdf")</f>
        <v>https://dpmzos25m8ivg.cloudfront.net/Documentos/631/06915689443/6310691568944311092023151821.pdf</v>
      </c>
      <c r="F3332" s="5" t="str">
        <f>HYPERLINK("https://dpmzos25m8ivg.cloudfront.net/Documentos/631/06915689443/6310691568944311092023151830.pdf","https://dpmzos25m8ivg.cloudfront.net/Documentos/631/06915689443/6310691568944311092023151830.pdf")</f>
        <v>https://dpmzos25m8ivg.cloudfront.net/Documentos/631/06915689443/6310691568944311092023151830.pdf</v>
      </c>
      <c r="G3332" s="5" t="str">
        <f>HYPERLINK("https://dpmzos25m8ivg.cloudfront.net/Documentos/631/06915689443/6310691568944311092023151901.pdf","https://dpmzos25m8ivg.cloudfront.net/Documentos/631/06915689443/6310691568944311092023151901.pdf")</f>
        <v>https://dpmzos25m8ivg.cloudfront.net/Documentos/631/06915689443/6310691568944311092023151901.pdf</v>
      </c>
      <c r="H3332" s="5" t="s">
        <v>11910</v>
      </c>
    </row>
    <row r="3333" spans="1:8" x14ac:dyDescent="0.25">
      <c r="A3333" s="2" t="s">
        <v>3351</v>
      </c>
      <c r="B3333" s="3" t="s">
        <v>2358</v>
      </c>
      <c r="C3333" s="3"/>
      <c r="D3333" s="3"/>
      <c r="E3333" s="5" t="str">
        <f>HYPERLINK("https://dpmzos25m8ivg.cloudfront.net/Documentos/631/06918224689/6310691822468910092023173809.pdf","https://dpmzos25m8ivg.cloudfront.net/Documentos/631/06918224689/6310691822468910092023173809.pdf")</f>
        <v>https://dpmzos25m8ivg.cloudfront.net/Documentos/631/06918224689/6310691822468910092023173809.pdf</v>
      </c>
      <c r="F3333" s="5" t="str">
        <f>HYPERLINK("https://dpmzos25m8ivg.cloudfront.net/Documentos/631/06918224689/6310691822468910092023173822.jpg","https://dpmzos25m8ivg.cloudfront.net/Documentos/631/06918224689/6310691822468910092023173822.jpg")</f>
        <v>https://dpmzos25m8ivg.cloudfront.net/Documentos/631/06918224689/6310691822468910092023173822.jpg</v>
      </c>
      <c r="G3333" s="5" t="str">
        <f>HYPERLINK("https://dpmzos25m8ivg.cloudfront.net/Documentos/631/06918224689/6310691822468910092023173741.pdf","https://dpmzos25m8ivg.cloudfront.net/Documentos/631/06918224689/6310691822468910092023173741.pdf")</f>
        <v>https://dpmzos25m8ivg.cloudfront.net/Documentos/631/06918224689/6310691822468910092023173741.pdf</v>
      </c>
      <c r="H3333" s="5" t="s">
        <v>11911</v>
      </c>
    </row>
    <row r="3334" spans="1:8" x14ac:dyDescent="0.25">
      <c r="A3334" s="2" t="s">
        <v>3352</v>
      </c>
      <c r="B3334" s="3"/>
      <c r="C3334" s="3"/>
      <c r="D3334" s="3"/>
      <c r="E3334" s="5" t="str">
        <f>HYPERLINK("https://dpmzos25m8ivg.cloudfront.net/Documentos/631/06919096447/6310691909644711092023160539.pdf","https://dpmzos25m8ivg.cloudfront.net/Documentos/631/06919096447/6310691909644711092023160539.pdf")</f>
        <v>https://dpmzos25m8ivg.cloudfront.net/Documentos/631/06919096447/6310691909644711092023160539.pdf</v>
      </c>
      <c r="F3334" s="5" t="str">
        <f>HYPERLINK("https://dpmzos25m8ivg.cloudfront.net/Documentos/631/06919096447/6310691909644711092023160549.pdf","https://dpmzos25m8ivg.cloudfront.net/Documentos/631/06919096447/6310691909644711092023160549.pdf")</f>
        <v>https://dpmzos25m8ivg.cloudfront.net/Documentos/631/06919096447/6310691909644711092023160549.pdf</v>
      </c>
      <c r="G3334" s="5" t="str">
        <f>HYPERLINK("https://dpmzos25m8ivg.cloudfront.net/Documentos/631/06919096447/6310691909644711092023160600.pdf","https://dpmzos25m8ivg.cloudfront.net/Documentos/631/06919096447/6310691909644711092023160600.pdf")</f>
        <v>https://dpmzos25m8ivg.cloudfront.net/Documentos/631/06919096447/6310691909644711092023160600.pdf</v>
      </c>
      <c r="H3334" s="5" t="s">
        <v>11912</v>
      </c>
    </row>
    <row r="3335" spans="1:8" x14ac:dyDescent="0.25">
      <c r="A3335" s="2" t="s">
        <v>3353</v>
      </c>
      <c r="B3335" s="3"/>
      <c r="C3335" s="3"/>
      <c r="D3335" s="3"/>
      <c r="E3335" s="5" t="str">
        <f>HYPERLINK("https://dpmzos25m8ivg.cloudfront.net/Documentos/631/06920290529/6310692029052911092023141739.pdf","https://dpmzos25m8ivg.cloudfront.net/Documentos/631/06920290529/6310692029052911092023141739.pdf")</f>
        <v>https://dpmzos25m8ivg.cloudfront.net/Documentos/631/06920290529/6310692029052911092023141739.pdf</v>
      </c>
      <c r="F3335" s="5" t="str">
        <f>HYPERLINK("https://dpmzos25m8ivg.cloudfront.net/Documentos/631/06920290529/6310692029052911092023141729.pdf","https://dpmzos25m8ivg.cloudfront.net/Documentos/631/06920290529/6310692029052911092023141729.pdf")</f>
        <v>https://dpmzos25m8ivg.cloudfront.net/Documentos/631/06920290529/6310692029052911092023141729.pdf</v>
      </c>
      <c r="G3335" s="5" t="str">
        <f>HYPERLINK("https://dpmzos25m8ivg.cloudfront.net/Documentos/631/06920290529/6310692029052911092023141719.pdf","https://dpmzos25m8ivg.cloudfront.net/Documentos/631/06920290529/6310692029052911092023141719.pdf")</f>
        <v>https://dpmzos25m8ivg.cloudfront.net/Documentos/631/06920290529/6310692029052911092023141719.pdf</v>
      </c>
      <c r="H3335" s="5" t="s">
        <v>11913</v>
      </c>
    </row>
    <row r="3336" spans="1:8" x14ac:dyDescent="0.25">
      <c r="A3336" s="2" t="s">
        <v>3354</v>
      </c>
      <c r="B3336" s="3"/>
      <c r="C3336" s="3"/>
      <c r="D3336" s="3"/>
      <c r="E3336" s="5" t="str">
        <f>HYPERLINK("https://dpmzos25m8ivg.cloudfront.net/Documentos/631/06921824543/6310692182454307092023210106.pdf","https://dpmzos25m8ivg.cloudfront.net/Documentos/631/06921824543/6310692182454307092023210106.pdf")</f>
        <v>https://dpmzos25m8ivg.cloudfront.net/Documentos/631/06921824543/6310692182454307092023210106.pdf</v>
      </c>
      <c r="F3336" s="5" t="str">
        <f>HYPERLINK("https://dpmzos25m8ivg.cloudfront.net/Documentos/631/06921824543/6310692182454307092023210220.pdf","https://dpmzos25m8ivg.cloudfront.net/Documentos/631/06921824543/6310692182454307092023210220.pdf")</f>
        <v>https://dpmzos25m8ivg.cloudfront.net/Documentos/631/06921824543/6310692182454307092023210220.pdf</v>
      </c>
      <c r="G3336" s="5" t="str">
        <f>HYPERLINK("https://dpmzos25m8ivg.cloudfront.net/Documentos/631/06921824543/6310692182454307092023210320.pdf","https://dpmzos25m8ivg.cloudfront.net/Documentos/631/06921824543/6310692182454307092023210320.pdf")</f>
        <v>https://dpmzos25m8ivg.cloudfront.net/Documentos/631/06921824543/6310692182454307092023210320.pdf</v>
      </c>
      <c r="H3336" s="5" t="s">
        <v>11914</v>
      </c>
    </row>
    <row r="3337" spans="1:8" x14ac:dyDescent="0.25">
      <c r="A3337" s="2" t="s">
        <v>3355</v>
      </c>
      <c r="B3337" s="3" t="s">
        <v>2358</v>
      </c>
      <c r="C3337" s="3"/>
      <c r="D3337" s="3"/>
      <c r="E3337" s="5" t="str">
        <f>HYPERLINK("https://dpmzos25m8ivg.cloudfront.net/Documentos/631/06922567684/6310692256768405092023165720.jpg","https://dpmzos25m8ivg.cloudfront.net/Documentos/631/06922567684/6310692256768405092023165720.jpg")</f>
        <v>https://dpmzos25m8ivg.cloudfront.net/Documentos/631/06922567684/6310692256768405092023165720.jpg</v>
      </c>
      <c r="F3337" s="5" t="str">
        <f>HYPERLINK("https://dpmzos25m8ivg.cloudfront.net/Documentos/631/06922567684/6310692256768405092023165741.jpg","https://dpmzos25m8ivg.cloudfront.net/Documentos/631/06922567684/6310692256768405092023165741.jpg")</f>
        <v>https://dpmzos25m8ivg.cloudfront.net/Documentos/631/06922567684/6310692256768405092023165741.jpg</v>
      </c>
      <c r="G3337" s="5" t="str">
        <f>HYPERLINK("https://dpmzos25m8ivg.cloudfront.net/Documentos/631/06922567684/6310692256768405092023165800.jpg","https://dpmzos25m8ivg.cloudfront.net/Documentos/631/06922567684/6310692256768405092023165800.jpg")</f>
        <v>https://dpmzos25m8ivg.cloudfront.net/Documentos/631/06922567684/6310692256768405092023165800.jpg</v>
      </c>
      <c r="H3337" s="5" t="s">
        <v>11915</v>
      </c>
    </row>
    <row r="3338" spans="1:8" x14ac:dyDescent="0.25">
      <c r="A3338" s="2" t="s">
        <v>3356</v>
      </c>
      <c r="B3338" s="3"/>
      <c r="C3338" s="3"/>
      <c r="D3338" s="3"/>
      <c r="E3338" s="5" t="str">
        <f>HYPERLINK("https://dpmzos25m8ivg.cloudfront.net/Documentos/631/06923365406/6310692336540611092023144302.pdf","https://dpmzos25m8ivg.cloudfront.net/Documentos/631/06923365406/6310692336540611092023144302.pdf")</f>
        <v>https://dpmzos25m8ivg.cloudfront.net/Documentos/631/06923365406/6310692336540611092023144302.pdf</v>
      </c>
      <c r="F3338" s="5" t="str">
        <f>HYPERLINK("https://dpmzos25m8ivg.cloudfront.net/Documentos/631/06923365406/6310692336540611092023144314.pdf","https://dpmzos25m8ivg.cloudfront.net/Documentos/631/06923365406/6310692336540611092023144314.pdf")</f>
        <v>https://dpmzos25m8ivg.cloudfront.net/Documentos/631/06923365406/6310692336540611092023144314.pdf</v>
      </c>
      <c r="G3338" s="5" t="str">
        <f>HYPERLINK("https://dpmzos25m8ivg.cloudfront.net/Documentos/631/06923365406/6310692336540611092023144325.pdf","https://dpmzos25m8ivg.cloudfront.net/Documentos/631/06923365406/6310692336540611092023144325.pdf")</f>
        <v>https://dpmzos25m8ivg.cloudfront.net/Documentos/631/06923365406/6310692336540611092023144325.pdf</v>
      </c>
      <c r="H3338" s="5" t="s">
        <v>11916</v>
      </c>
    </row>
    <row r="3339" spans="1:8" x14ac:dyDescent="0.25">
      <c r="A3339" s="2" t="s">
        <v>3357</v>
      </c>
      <c r="B3339" s="3"/>
      <c r="C3339" s="3"/>
      <c r="D3339" s="3"/>
      <c r="E3339" s="5" t="str">
        <f>HYPERLINK("https://dpmzos25m8ivg.cloudfront.net/Documentos/631/06923883466/6310692388346611092023104551.pdf","https://dpmzos25m8ivg.cloudfront.net/Documentos/631/06923883466/6310692388346611092023104551.pdf")</f>
        <v>https://dpmzos25m8ivg.cloudfront.net/Documentos/631/06923883466/6310692388346611092023104551.pdf</v>
      </c>
      <c r="F3339" s="5" t="str">
        <f>HYPERLINK("https://dpmzos25m8ivg.cloudfront.net/Documentos/631/06923883466/6310692388346611092023104655.pdf","https://dpmzos25m8ivg.cloudfront.net/Documentos/631/06923883466/6310692388346611092023104655.pdf")</f>
        <v>https://dpmzos25m8ivg.cloudfront.net/Documentos/631/06923883466/6310692388346611092023104655.pdf</v>
      </c>
      <c r="G3339" s="5" t="str">
        <f>HYPERLINK("https://dpmzos25m8ivg.cloudfront.net/Documentos/631/06923883466/6310692388346611092023104707.pdf","https://dpmzos25m8ivg.cloudfront.net/Documentos/631/06923883466/6310692388346611092023104707.pdf")</f>
        <v>https://dpmzos25m8ivg.cloudfront.net/Documentos/631/06923883466/6310692388346611092023104707.pdf</v>
      </c>
      <c r="H3339" s="5" t="s">
        <v>11917</v>
      </c>
    </row>
    <row r="3340" spans="1:8" x14ac:dyDescent="0.25">
      <c r="A3340" s="2" t="s">
        <v>3358</v>
      </c>
      <c r="B3340" s="3"/>
      <c r="C3340" s="3"/>
      <c r="D3340" s="3"/>
      <c r="E3340" s="5" t="str">
        <f>HYPERLINK("https://dpmzos25m8ivg.cloudfront.net/Documentos/631/06926015384/6310692601538411092023135532.pdf","https://dpmzos25m8ivg.cloudfront.net/Documentos/631/06926015384/6310692601538411092023135532.pdf")</f>
        <v>https://dpmzos25m8ivg.cloudfront.net/Documentos/631/06926015384/6310692601538411092023135532.pdf</v>
      </c>
      <c r="F3340" s="5" t="str">
        <f>HYPERLINK("https://dpmzos25m8ivg.cloudfront.net/Documentos/631/06926015384/6310692601538411092023135554.pdf","https://dpmzos25m8ivg.cloudfront.net/Documentos/631/06926015384/6310692601538411092023135554.pdf")</f>
        <v>https://dpmzos25m8ivg.cloudfront.net/Documentos/631/06926015384/6310692601538411092023135554.pdf</v>
      </c>
      <c r="G3340" s="5" t="str">
        <f>HYPERLINK("https://dpmzos25m8ivg.cloudfront.net/Documentos/631/06926015384/6310692601538411092023135619.pdf","https://dpmzos25m8ivg.cloudfront.net/Documentos/631/06926015384/6310692601538411092023135619.pdf")</f>
        <v>https://dpmzos25m8ivg.cloudfront.net/Documentos/631/06926015384/6310692601538411092023135619.pdf</v>
      </c>
      <c r="H3340" s="5" t="s">
        <v>11918</v>
      </c>
    </row>
    <row r="3341" spans="1:8" x14ac:dyDescent="0.25">
      <c r="A3341" s="2" t="s">
        <v>3359</v>
      </c>
      <c r="B3341" s="3"/>
      <c r="C3341" s="3"/>
      <c r="D3341" s="3"/>
      <c r="E3341" s="5" t="str">
        <f>HYPERLINK("https://dpmzos25m8ivg.cloudfront.net/Documentos/631/06933685519/6310693368551911092023152334.jpg","https://dpmzos25m8ivg.cloudfront.net/Documentos/631/06933685519/6310693368551911092023152334.jpg")</f>
        <v>https://dpmzos25m8ivg.cloudfront.net/Documentos/631/06933685519/6310693368551911092023152334.jpg</v>
      </c>
      <c r="F3341" s="5" t="str">
        <f>HYPERLINK("https://dpmzos25m8ivg.cloudfront.net/Documentos/631/06933685519/6310693368551911092023152344.jpg","https://dpmzos25m8ivg.cloudfront.net/Documentos/631/06933685519/6310693368551911092023152344.jpg")</f>
        <v>https://dpmzos25m8ivg.cloudfront.net/Documentos/631/06933685519/6310693368551911092023152344.jpg</v>
      </c>
      <c r="G3341" s="5" t="str">
        <f>HYPERLINK("https://dpmzos25m8ivg.cloudfront.net/Documentos/631/06933685519/6310693368551911092023152356.jpg","https://dpmzos25m8ivg.cloudfront.net/Documentos/631/06933685519/6310693368551911092023152356.jpg")</f>
        <v>https://dpmzos25m8ivg.cloudfront.net/Documentos/631/06933685519/6310693368551911092023152356.jpg</v>
      </c>
      <c r="H3341" s="5" t="s">
        <v>11919</v>
      </c>
    </row>
    <row r="3342" spans="1:8" x14ac:dyDescent="0.25">
      <c r="A3342" s="2" t="s">
        <v>3360</v>
      </c>
      <c r="B3342" s="3"/>
      <c r="C3342" s="3"/>
      <c r="D3342" s="3"/>
      <c r="E3342" s="5" t="str">
        <f>HYPERLINK("https://dpmzos25m8ivg.cloudfront.net/Documentos/631/06933970809/6310693397080913092023121147.pdf","https://dpmzos25m8ivg.cloudfront.net/Documentos/631/06933970809/6310693397080913092023121147.pdf")</f>
        <v>https://dpmzos25m8ivg.cloudfront.net/Documentos/631/06933970809/6310693397080913092023121147.pdf</v>
      </c>
      <c r="F3342" s="5" t="str">
        <f>HYPERLINK("https://dpmzos25m8ivg.cloudfront.net/Documentos/631/06933970809/6310693397080913092023121231.pdf","https://dpmzos25m8ivg.cloudfront.net/Documentos/631/06933970809/6310693397080913092023121231.pdf")</f>
        <v>https://dpmzos25m8ivg.cloudfront.net/Documentos/631/06933970809/6310693397080913092023121231.pdf</v>
      </c>
      <c r="G3342" s="5" t="str">
        <f>HYPERLINK("https://dpmzos25m8ivg.cloudfront.net/Documentos/631/06933970809/6310693397080913092023121246.pdf","https://dpmzos25m8ivg.cloudfront.net/Documentos/631/06933970809/6310693397080913092023121246.pdf")</f>
        <v>https://dpmzos25m8ivg.cloudfront.net/Documentos/631/06933970809/6310693397080913092023121246.pdf</v>
      </c>
      <c r="H3342" s="5" t="s">
        <v>11920</v>
      </c>
    </row>
    <row r="3343" spans="1:8" x14ac:dyDescent="0.25">
      <c r="A3343" s="2" t="s">
        <v>3361</v>
      </c>
      <c r="B3343" s="3"/>
      <c r="C3343" s="3"/>
      <c r="D3343" s="3"/>
      <c r="E3343" s="5" t="str">
        <f>HYPERLINK("https://dpmzos25m8ivg.cloudfront.net/Documentos/631/06936006671/6310693600667109092023175135.pdf","https://dpmzos25m8ivg.cloudfront.net/Documentos/631/06936006671/6310693600667109092023175135.pdf")</f>
        <v>https://dpmzos25m8ivg.cloudfront.net/Documentos/631/06936006671/6310693600667109092023175135.pdf</v>
      </c>
      <c r="F3343" s="5" t="str">
        <f>HYPERLINK("https://dpmzos25m8ivg.cloudfront.net/Documentos/631/06936006671/6310693600667109092023175142.pdf","https://dpmzos25m8ivg.cloudfront.net/Documentos/631/06936006671/6310693600667109092023175142.pdf")</f>
        <v>https://dpmzos25m8ivg.cloudfront.net/Documentos/631/06936006671/6310693600667109092023175142.pdf</v>
      </c>
      <c r="G3343" s="5" t="str">
        <f>HYPERLINK("https://dpmzos25m8ivg.cloudfront.net/Documentos/631/06936006671/6310693600667109092023175414.pdf","https://dpmzos25m8ivg.cloudfront.net/Documentos/631/06936006671/6310693600667109092023175414.pdf")</f>
        <v>https://dpmzos25m8ivg.cloudfront.net/Documentos/631/06936006671/6310693600667109092023175414.pdf</v>
      </c>
      <c r="H3343" s="5" t="s">
        <v>11921</v>
      </c>
    </row>
    <row r="3344" spans="1:8" x14ac:dyDescent="0.25">
      <c r="A3344" s="2" t="s">
        <v>3362</v>
      </c>
      <c r="B3344" s="3"/>
      <c r="C3344" s="3"/>
      <c r="D3344" s="3"/>
      <c r="E3344" s="5" t="str">
        <f>HYPERLINK("https://dpmzos25m8ivg.cloudfront.net/Documentos/631/06937574509/6310693757450909092023141949.jpg","https://dpmzos25m8ivg.cloudfront.net/Documentos/631/06937574509/6310693757450909092023141949.jpg")</f>
        <v>https://dpmzos25m8ivg.cloudfront.net/Documentos/631/06937574509/6310693757450909092023141949.jpg</v>
      </c>
      <c r="F3344" s="5" t="str">
        <f>HYPERLINK("https://dpmzos25m8ivg.cloudfront.net/Documentos/631/06937574509/6310693757450909092023142004.jpg","https://dpmzos25m8ivg.cloudfront.net/Documentos/631/06937574509/6310693757450909092023142004.jpg")</f>
        <v>https://dpmzos25m8ivg.cloudfront.net/Documentos/631/06937574509/6310693757450909092023142004.jpg</v>
      </c>
      <c r="G3344" s="5" t="str">
        <f>HYPERLINK("https://dpmzos25m8ivg.cloudfront.net/Documentos/631/06937574509/6310693757450909092023142019.jpg","https://dpmzos25m8ivg.cloudfront.net/Documentos/631/06937574509/6310693757450909092023142019.jpg")</f>
        <v>https://dpmzos25m8ivg.cloudfront.net/Documentos/631/06937574509/6310693757450909092023142019.jpg</v>
      </c>
      <c r="H3344" s="5" t="s">
        <v>11922</v>
      </c>
    </row>
    <row r="3345" spans="1:8" x14ac:dyDescent="0.25">
      <c r="A3345" s="2" t="s">
        <v>3363</v>
      </c>
      <c r="B3345" s="3"/>
      <c r="C3345" s="3"/>
      <c r="D3345" s="3"/>
      <c r="E3345" s="5" t="str">
        <f>HYPERLINK("https://dpmzos25m8ivg.cloudfront.net/Documentos/631/06939246916/6310693924691606092023105049.jpg","https://dpmzos25m8ivg.cloudfront.net/Documentos/631/06939246916/6310693924691606092023105049.jpg")</f>
        <v>https://dpmzos25m8ivg.cloudfront.net/Documentos/631/06939246916/6310693924691606092023105049.jpg</v>
      </c>
      <c r="F3345" s="5" t="str">
        <f>HYPERLINK("https://dpmzos25m8ivg.cloudfront.net/Documentos/631/06939246916/6310693924691606092023105114.jpg","https://dpmzos25m8ivg.cloudfront.net/Documentos/631/06939246916/6310693924691606092023105114.jpg")</f>
        <v>https://dpmzos25m8ivg.cloudfront.net/Documentos/631/06939246916/6310693924691606092023105114.jpg</v>
      </c>
      <c r="G3345" s="5" t="str">
        <f>HYPERLINK("https://dpmzos25m8ivg.cloudfront.net/Documentos/631/06939246916/6310693924691606092023105103.jpg","https://dpmzos25m8ivg.cloudfront.net/Documentos/631/06939246916/6310693924691606092023105103.jpg")</f>
        <v>https://dpmzos25m8ivg.cloudfront.net/Documentos/631/06939246916/6310693924691606092023105103.jpg</v>
      </c>
      <c r="H3345" s="5" t="s">
        <v>11923</v>
      </c>
    </row>
    <row r="3346" spans="1:8" x14ac:dyDescent="0.25">
      <c r="A3346" s="2" t="s">
        <v>3364</v>
      </c>
      <c r="B3346" s="3"/>
      <c r="C3346" s="3"/>
      <c r="D3346" s="3"/>
      <c r="E3346" s="5" t="str">
        <f>HYPERLINK("https://dpmzos25m8ivg.cloudfront.net/Documentos/631/06939835407/6310693983540711092023161846.pdf","https://dpmzos25m8ivg.cloudfront.net/Documentos/631/06939835407/6310693983540711092023161846.pdf")</f>
        <v>https://dpmzos25m8ivg.cloudfront.net/Documentos/631/06939835407/6310693983540711092023161846.pdf</v>
      </c>
      <c r="F3346" s="5" t="str">
        <f>HYPERLINK("https://dpmzos25m8ivg.cloudfront.net/Documentos/631/06939835407/6310693983540711092023161856.pdf","https://dpmzos25m8ivg.cloudfront.net/Documentos/631/06939835407/6310693983540711092023161856.pdf")</f>
        <v>https://dpmzos25m8ivg.cloudfront.net/Documentos/631/06939835407/6310693983540711092023161856.pdf</v>
      </c>
      <c r="G3346" s="5" t="str">
        <f>HYPERLINK("https://dpmzos25m8ivg.cloudfront.net/Documentos/631/06939835407/6310693983540711092023161906.pdf","https://dpmzos25m8ivg.cloudfront.net/Documentos/631/06939835407/6310693983540711092023161906.pdf")</f>
        <v>https://dpmzos25m8ivg.cloudfront.net/Documentos/631/06939835407/6310693983540711092023161906.pdf</v>
      </c>
      <c r="H3346" s="5" t="s">
        <v>11924</v>
      </c>
    </row>
    <row r="3347" spans="1:8" x14ac:dyDescent="0.25">
      <c r="A3347" s="2" t="s">
        <v>3365</v>
      </c>
      <c r="B3347" s="3"/>
      <c r="C3347" s="3"/>
      <c r="D3347" s="3"/>
      <c r="E3347" s="5" t="str">
        <f>HYPERLINK("https://dpmzos25m8ivg.cloudfront.net/Documentos/631/06940701141/6310694070114111092023170234.pdf","https://dpmzos25m8ivg.cloudfront.net/Documentos/631/06940701141/6310694070114111092023170234.pdf")</f>
        <v>https://dpmzos25m8ivg.cloudfront.net/Documentos/631/06940701141/6310694070114111092023170234.pdf</v>
      </c>
      <c r="F3347" s="5" t="str">
        <f>HYPERLINK("https://dpmzos25m8ivg.cloudfront.net/Documentos/631/06940701141/6310694070114111092023170313.pdf","https://dpmzos25m8ivg.cloudfront.net/Documentos/631/06940701141/6310694070114111092023170313.pdf")</f>
        <v>https://dpmzos25m8ivg.cloudfront.net/Documentos/631/06940701141/6310694070114111092023170313.pdf</v>
      </c>
      <c r="G3347" s="5" t="str">
        <f>HYPERLINK("https://dpmzos25m8ivg.cloudfront.net/Documentos/631/06940701141/6310694070114111092023170334.pdf","https://dpmzos25m8ivg.cloudfront.net/Documentos/631/06940701141/6310694070114111092023170334.pdf")</f>
        <v>https://dpmzos25m8ivg.cloudfront.net/Documentos/631/06940701141/6310694070114111092023170334.pdf</v>
      </c>
      <c r="H3347" s="5" t="s">
        <v>11925</v>
      </c>
    </row>
    <row r="3348" spans="1:8" x14ac:dyDescent="0.25">
      <c r="A3348" s="2" t="s">
        <v>3366</v>
      </c>
      <c r="B3348" s="3"/>
      <c r="C3348" s="3"/>
      <c r="D3348" s="3"/>
      <c r="E3348" s="5" t="str">
        <f>HYPERLINK("https://dpmzos25m8ivg.cloudfront.net/Documentos/631/06942141593/6310694214159307092023123958.pdf","https://dpmzos25m8ivg.cloudfront.net/Documentos/631/06942141593/6310694214159307092023123958.pdf")</f>
        <v>https://dpmzos25m8ivg.cloudfront.net/Documentos/631/06942141593/6310694214159307092023123958.pdf</v>
      </c>
      <c r="F3348" s="5" t="str">
        <f>HYPERLINK("https://dpmzos25m8ivg.cloudfront.net/Documentos/631/06942141593/6310694214159307092023124056.pdf","https://dpmzos25m8ivg.cloudfront.net/Documentos/631/06942141593/6310694214159307092023124056.pdf")</f>
        <v>https://dpmzos25m8ivg.cloudfront.net/Documentos/631/06942141593/6310694214159307092023124056.pdf</v>
      </c>
      <c r="G3348" s="5" t="str">
        <f>HYPERLINK("https://dpmzos25m8ivg.cloudfront.net/Documentos/631/06942141593/6310694214159307092023124104.pdf","https://dpmzos25m8ivg.cloudfront.net/Documentos/631/06942141593/6310694214159307092023124104.pdf")</f>
        <v>https://dpmzos25m8ivg.cloudfront.net/Documentos/631/06942141593/6310694214159307092023124104.pdf</v>
      </c>
      <c r="H3348" s="5" t="s">
        <v>11926</v>
      </c>
    </row>
    <row r="3349" spans="1:8" x14ac:dyDescent="0.25">
      <c r="A3349" s="2" t="s">
        <v>3367</v>
      </c>
      <c r="B3349" s="3"/>
      <c r="C3349" s="3"/>
      <c r="D3349" s="3"/>
      <c r="E3349" s="5" t="str">
        <f>HYPERLINK("https://dpmzos25m8ivg.cloudfront.net/Documentos/631/06943153463/6310694315346305092023204606.pdf","https://dpmzos25m8ivg.cloudfront.net/Documentos/631/06943153463/6310694315346305092023204606.pdf")</f>
        <v>https://dpmzos25m8ivg.cloudfront.net/Documentos/631/06943153463/6310694315346305092023204606.pdf</v>
      </c>
      <c r="F3349" s="5" t="str">
        <f>HYPERLINK("https://dpmzos25m8ivg.cloudfront.net/Documentos/631/06943153463/6310694315346305092023204640.pdf","https://dpmzos25m8ivg.cloudfront.net/Documentos/631/06943153463/6310694315346305092023204640.pdf")</f>
        <v>https://dpmzos25m8ivg.cloudfront.net/Documentos/631/06943153463/6310694315346305092023204640.pdf</v>
      </c>
      <c r="G3349" s="5" t="str">
        <f>HYPERLINK("https://dpmzos25m8ivg.cloudfront.net/Documentos/631/06943153463/6310694315346305092023204713.pdf","https://dpmzos25m8ivg.cloudfront.net/Documentos/631/06943153463/6310694315346305092023204713.pdf")</f>
        <v>https://dpmzos25m8ivg.cloudfront.net/Documentos/631/06943153463/6310694315346305092023204713.pdf</v>
      </c>
      <c r="H3349" s="5" t="s">
        <v>11927</v>
      </c>
    </row>
    <row r="3350" spans="1:8" x14ac:dyDescent="0.25">
      <c r="A3350" s="2" t="s">
        <v>3368</v>
      </c>
      <c r="B3350" s="3"/>
      <c r="C3350" s="3"/>
      <c r="D3350" s="3"/>
      <c r="E3350" s="5" t="str">
        <f>HYPERLINK("https://dpmzos25m8ivg.cloudfront.net/Documentos/631/06947044669/6310694704466911092023095330.pdf","https://dpmzos25m8ivg.cloudfront.net/Documentos/631/06947044669/6310694704466911092023095330.pdf")</f>
        <v>https://dpmzos25m8ivg.cloudfront.net/Documentos/631/06947044669/6310694704466911092023095330.pdf</v>
      </c>
      <c r="F3350" s="5" t="str">
        <f>HYPERLINK("https://dpmzos25m8ivg.cloudfront.net/Documentos/631/06947044669/6310694704466911092023095338.pdf","https://dpmzos25m8ivg.cloudfront.net/Documentos/631/06947044669/6310694704466911092023095338.pdf")</f>
        <v>https://dpmzos25m8ivg.cloudfront.net/Documentos/631/06947044669/6310694704466911092023095338.pdf</v>
      </c>
      <c r="G3350" s="5" t="str">
        <f>HYPERLINK("https://dpmzos25m8ivg.cloudfront.net/Documentos/631/06947044669/6310694704466911092023095346.pdf","https://dpmzos25m8ivg.cloudfront.net/Documentos/631/06947044669/6310694704466911092023095346.pdf")</f>
        <v>https://dpmzos25m8ivg.cloudfront.net/Documentos/631/06947044669/6310694704466911092023095346.pdf</v>
      </c>
      <c r="H3350" s="5" t="s">
        <v>11928</v>
      </c>
    </row>
    <row r="3351" spans="1:8" x14ac:dyDescent="0.25">
      <c r="A3351" s="2" t="s">
        <v>3369</v>
      </c>
      <c r="B3351" s="3"/>
      <c r="C3351" s="3"/>
      <c r="D3351" s="3"/>
      <c r="E3351" s="5" t="str">
        <f>HYPERLINK("https://dpmzos25m8ivg.cloudfront.net/Documentos/631/06947063612/6310694706361205092023224922.pdf","https://dpmzos25m8ivg.cloudfront.net/Documentos/631/06947063612/6310694706361205092023224922.pdf")</f>
        <v>https://dpmzos25m8ivg.cloudfront.net/Documentos/631/06947063612/6310694706361205092023224922.pdf</v>
      </c>
      <c r="F3351" s="5" t="str">
        <f>HYPERLINK("https://dpmzos25m8ivg.cloudfront.net/Documentos/631/06947063612/6310694706361205092023225040.pdf","https://dpmzos25m8ivg.cloudfront.net/Documentos/631/06947063612/6310694706361205092023225040.pdf")</f>
        <v>https://dpmzos25m8ivg.cloudfront.net/Documentos/631/06947063612/6310694706361205092023225040.pdf</v>
      </c>
      <c r="G3351" s="5" t="str">
        <f>HYPERLINK("https://dpmzos25m8ivg.cloudfront.net/Documentos/631/06947063612/6310694706361205092023225111.pdf","https://dpmzos25m8ivg.cloudfront.net/Documentos/631/06947063612/6310694706361205092023225111.pdf")</f>
        <v>https://dpmzos25m8ivg.cloudfront.net/Documentos/631/06947063612/6310694706361205092023225111.pdf</v>
      </c>
      <c r="H3351" s="5" t="s">
        <v>11929</v>
      </c>
    </row>
    <row r="3352" spans="1:8" x14ac:dyDescent="0.25">
      <c r="A3352" s="2" t="s">
        <v>3370</v>
      </c>
      <c r="B3352" s="3"/>
      <c r="C3352" s="3"/>
      <c r="D3352" s="3"/>
      <c r="E3352" s="5" t="str">
        <f>HYPERLINK("https://dpmzos25m8ivg.cloudfront.net/Documentos/631/06947273854/6310694727385406092023152335.pdf","https://dpmzos25m8ivg.cloudfront.net/Documentos/631/06947273854/6310694727385406092023152335.pdf")</f>
        <v>https://dpmzos25m8ivg.cloudfront.net/Documentos/631/06947273854/6310694727385406092023152335.pdf</v>
      </c>
      <c r="F3352" s="5" t="str">
        <f>HYPERLINK("https://dpmzos25m8ivg.cloudfront.net/Documentos/631/06947273854/6310694727385406092023152418.pdf","https://dpmzos25m8ivg.cloudfront.net/Documentos/631/06947273854/6310694727385406092023152418.pdf")</f>
        <v>https://dpmzos25m8ivg.cloudfront.net/Documentos/631/06947273854/6310694727385406092023152418.pdf</v>
      </c>
      <c r="G3352" s="5" t="str">
        <f>HYPERLINK("https://dpmzos25m8ivg.cloudfront.net/Documentos/631/06947273854/6310694727385406092023152453.pdf","https://dpmzos25m8ivg.cloudfront.net/Documentos/631/06947273854/6310694727385406092023152453.pdf")</f>
        <v>https://dpmzos25m8ivg.cloudfront.net/Documentos/631/06947273854/6310694727385406092023152453.pdf</v>
      </c>
      <c r="H3352" s="5" t="s">
        <v>11930</v>
      </c>
    </row>
    <row r="3353" spans="1:8" x14ac:dyDescent="0.25">
      <c r="A3353" s="2" t="s">
        <v>3371</v>
      </c>
      <c r="B3353" s="3"/>
      <c r="C3353" s="3"/>
      <c r="D3353" s="3"/>
      <c r="E3353" s="5" t="str">
        <f>HYPERLINK("https://dpmzos25m8ivg.cloudfront.net/Documentos/631/06948229140/6310694822914011092023115920.jpg","https://dpmzos25m8ivg.cloudfront.net/Documentos/631/06948229140/6310694822914011092023115920.jpg")</f>
        <v>https://dpmzos25m8ivg.cloudfront.net/Documentos/631/06948229140/6310694822914011092023115920.jpg</v>
      </c>
      <c r="F3353" s="5" t="str">
        <f>HYPERLINK("https://dpmzos25m8ivg.cloudfront.net/Documentos/631/06948229140/6310694822914011092023120005.jpg","https://dpmzos25m8ivg.cloudfront.net/Documentos/631/06948229140/6310694822914011092023120005.jpg")</f>
        <v>https://dpmzos25m8ivg.cloudfront.net/Documentos/631/06948229140/6310694822914011092023120005.jpg</v>
      </c>
      <c r="G3353" s="5" t="str">
        <f>HYPERLINK("https://dpmzos25m8ivg.cloudfront.net/Documentos/631/06948229140/6310694822914011092023120041.jpg","https://dpmzos25m8ivg.cloudfront.net/Documentos/631/06948229140/6310694822914011092023120041.jpg")</f>
        <v>https://dpmzos25m8ivg.cloudfront.net/Documentos/631/06948229140/6310694822914011092023120041.jpg</v>
      </c>
      <c r="H3353" s="5" t="s">
        <v>11931</v>
      </c>
    </row>
    <row r="3354" spans="1:8" x14ac:dyDescent="0.25">
      <c r="A3354" s="2" t="s">
        <v>3372</v>
      </c>
      <c r="B3354" s="3"/>
      <c r="C3354" s="3"/>
      <c r="D3354" s="3"/>
      <c r="E3354" s="5" t="str">
        <f>HYPERLINK("https://dpmzos25m8ivg.cloudfront.net/Documentos/631/06949346310/6310694934631011092023003440.pdf","https://dpmzos25m8ivg.cloudfront.net/Documentos/631/06949346310/6310694934631011092023003440.pdf")</f>
        <v>https://dpmzos25m8ivg.cloudfront.net/Documentos/631/06949346310/6310694934631011092023003440.pdf</v>
      </c>
      <c r="F3354" s="5" t="str">
        <f>HYPERLINK("https://dpmzos25m8ivg.cloudfront.net/Documentos/631/06949346310/6310694934631011092023003521.pdf","https://dpmzos25m8ivg.cloudfront.net/Documentos/631/06949346310/6310694934631011092023003521.pdf")</f>
        <v>https://dpmzos25m8ivg.cloudfront.net/Documentos/631/06949346310/6310694934631011092023003521.pdf</v>
      </c>
      <c r="G3354" s="5" t="str">
        <f>HYPERLINK("https://dpmzos25m8ivg.cloudfront.net/Documentos/631/06949346310/6310694934631011092023003536.pdf","https://dpmzos25m8ivg.cloudfront.net/Documentos/631/06949346310/6310694934631011092023003536.pdf")</f>
        <v>https://dpmzos25m8ivg.cloudfront.net/Documentos/631/06949346310/6310694934631011092023003536.pdf</v>
      </c>
      <c r="H3354" s="5" t="s">
        <v>11932</v>
      </c>
    </row>
    <row r="3355" spans="1:8" x14ac:dyDescent="0.25">
      <c r="A3355" s="2" t="s">
        <v>3373</v>
      </c>
      <c r="B3355" s="3"/>
      <c r="C3355" s="3"/>
      <c r="D3355" s="3"/>
      <c r="E3355" s="5" t="str">
        <f>HYPERLINK("https://dpmzos25m8ivg.cloudfront.net/Documentos/631/06954469599/6310695446959905092023110659.pdf","https://dpmzos25m8ivg.cloudfront.net/Documentos/631/06954469599/6310695446959905092023110659.pdf")</f>
        <v>https://dpmzos25m8ivg.cloudfront.net/Documentos/631/06954469599/6310695446959905092023110659.pdf</v>
      </c>
      <c r="F3355" s="5" t="str">
        <f>HYPERLINK("https://dpmzos25m8ivg.cloudfront.net/Documentos/631/06954469599/6310695446959905092023110713.pdf","https://dpmzos25m8ivg.cloudfront.net/Documentos/631/06954469599/6310695446959905092023110713.pdf")</f>
        <v>https://dpmzos25m8ivg.cloudfront.net/Documentos/631/06954469599/6310695446959905092023110713.pdf</v>
      </c>
      <c r="G3355" s="5" t="str">
        <f>HYPERLINK("https://dpmzos25m8ivg.cloudfront.net/Documentos/631/06954469599/6310695446959905092023110724.pdf","https://dpmzos25m8ivg.cloudfront.net/Documentos/631/06954469599/6310695446959905092023110724.pdf")</f>
        <v>https://dpmzos25m8ivg.cloudfront.net/Documentos/631/06954469599/6310695446959905092023110724.pdf</v>
      </c>
      <c r="H3355" s="5" t="s">
        <v>11933</v>
      </c>
    </row>
    <row r="3356" spans="1:8" x14ac:dyDescent="0.25">
      <c r="A3356" s="2" t="s">
        <v>3374</v>
      </c>
      <c r="B3356" s="3"/>
      <c r="C3356" s="3"/>
      <c r="D3356" s="3"/>
      <c r="E3356" s="5" t="str">
        <f>HYPERLINK("https://dpmzos25m8ivg.cloudfront.net/Documentos/631/06957997545/6310695799754511092023120825.pdf","https://dpmzos25m8ivg.cloudfront.net/Documentos/631/06957997545/6310695799754511092023120825.pdf")</f>
        <v>https://dpmzos25m8ivg.cloudfront.net/Documentos/631/06957997545/6310695799754511092023120825.pdf</v>
      </c>
      <c r="F3356" s="5" t="str">
        <f>HYPERLINK("https://dpmzos25m8ivg.cloudfront.net/Documentos/631/06957997545/6310695799754511092023120848.pdf","https://dpmzos25m8ivg.cloudfront.net/Documentos/631/06957997545/6310695799754511092023120848.pdf")</f>
        <v>https://dpmzos25m8ivg.cloudfront.net/Documentos/631/06957997545/6310695799754511092023120848.pdf</v>
      </c>
      <c r="G3356" s="5" t="str">
        <f>HYPERLINK("https://dpmzos25m8ivg.cloudfront.net/Documentos/631/06957997545/6310695799754511092023120901.pdf","https://dpmzos25m8ivg.cloudfront.net/Documentos/631/06957997545/6310695799754511092023120901.pdf")</f>
        <v>https://dpmzos25m8ivg.cloudfront.net/Documentos/631/06957997545/6310695799754511092023120901.pdf</v>
      </c>
      <c r="H3356" s="5" t="s">
        <v>11934</v>
      </c>
    </row>
    <row r="3357" spans="1:8" x14ac:dyDescent="0.25">
      <c r="A3357" s="2" t="s">
        <v>3375</v>
      </c>
      <c r="B3357" s="3"/>
      <c r="C3357" s="3"/>
      <c r="D3357" s="3"/>
      <c r="E3357" s="5" t="str">
        <f>HYPERLINK("https://dpmzos25m8ivg.cloudfront.net/Documentos/631/06959498538/6310695949853807092023093338.pdf","https://dpmzos25m8ivg.cloudfront.net/Documentos/631/06959498538/6310695949853807092023093338.pdf")</f>
        <v>https://dpmzos25m8ivg.cloudfront.net/Documentos/631/06959498538/6310695949853807092023093338.pdf</v>
      </c>
      <c r="F3357" s="5" t="str">
        <f>HYPERLINK("https://dpmzos25m8ivg.cloudfront.net/Documentos/631/06959498538/6310695949853807092023093348.pdf","https://dpmzos25m8ivg.cloudfront.net/Documentos/631/06959498538/6310695949853807092023093348.pdf")</f>
        <v>https://dpmzos25m8ivg.cloudfront.net/Documentos/631/06959498538/6310695949853807092023093348.pdf</v>
      </c>
      <c r="G3357" s="5" t="str">
        <f>HYPERLINK("https://dpmzos25m8ivg.cloudfront.net/Documentos/631/06959498538/6310695949853807092023093359.pdf","https://dpmzos25m8ivg.cloudfront.net/Documentos/631/06959498538/6310695949853807092023093359.pdf")</f>
        <v>https://dpmzos25m8ivg.cloudfront.net/Documentos/631/06959498538/6310695949853807092023093359.pdf</v>
      </c>
      <c r="H3357" s="5" t="s">
        <v>11935</v>
      </c>
    </row>
    <row r="3358" spans="1:8" x14ac:dyDescent="0.25">
      <c r="A3358" s="2" t="s">
        <v>3376</v>
      </c>
      <c r="B3358" s="3"/>
      <c r="C3358" s="3"/>
      <c r="D3358" s="3"/>
      <c r="E3358" s="5" t="str">
        <f>HYPERLINK("https://dpmzos25m8ivg.cloudfront.net/Documentos/631/06960738385/6310696073838511092023162928.jpeg","https://dpmzos25m8ivg.cloudfront.net/Documentos/631/06960738385/6310696073838511092023162928.jpeg")</f>
        <v>https://dpmzos25m8ivg.cloudfront.net/Documentos/631/06960738385/6310696073838511092023162928.jpeg</v>
      </c>
      <c r="F3358" s="5" t="str">
        <f>HYPERLINK("https://dpmzos25m8ivg.cloudfront.net/Documentos/631/06960738385/6310696073838511092023162935.jpeg","https://dpmzos25m8ivg.cloudfront.net/Documentos/631/06960738385/6310696073838511092023162935.jpeg")</f>
        <v>https://dpmzos25m8ivg.cloudfront.net/Documentos/631/06960738385/6310696073838511092023162935.jpeg</v>
      </c>
      <c r="G3358" s="5" t="str">
        <f>HYPERLINK("https://dpmzos25m8ivg.cloudfront.net/Documentos/631/06960738385/6310696073838511092023162946.jpeg","https://dpmzos25m8ivg.cloudfront.net/Documentos/631/06960738385/6310696073838511092023162946.jpeg")</f>
        <v>https://dpmzos25m8ivg.cloudfront.net/Documentos/631/06960738385/6310696073838511092023162946.jpeg</v>
      </c>
      <c r="H3358" s="5" t="s">
        <v>11936</v>
      </c>
    </row>
    <row r="3359" spans="1:8" x14ac:dyDescent="0.25">
      <c r="A3359" s="2" t="s">
        <v>3377</v>
      </c>
      <c r="B3359" s="3"/>
      <c r="C3359" s="3"/>
      <c r="D3359" s="3"/>
      <c r="E3359" s="5" t="str">
        <f>HYPERLINK("https://dpmzos25m8ivg.cloudfront.net/Documentos/631/06960923441/6310696092344107092023211445.pdf","https://dpmzos25m8ivg.cloudfront.net/Documentos/631/06960923441/6310696092344107092023211445.pdf")</f>
        <v>https://dpmzos25m8ivg.cloudfront.net/Documentos/631/06960923441/6310696092344107092023211445.pdf</v>
      </c>
      <c r="F3359" s="5" t="str">
        <f>HYPERLINK("https://dpmzos25m8ivg.cloudfront.net/Documentos/631/06960923441/6310696092344107092023211457.pdf","https://dpmzos25m8ivg.cloudfront.net/Documentos/631/06960923441/6310696092344107092023211457.pdf")</f>
        <v>https://dpmzos25m8ivg.cloudfront.net/Documentos/631/06960923441/6310696092344107092023211457.pdf</v>
      </c>
      <c r="G3359" s="5" t="str">
        <f>HYPERLINK("https://dpmzos25m8ivg.cloudfront.net/Documentos/631/06960923441/6310696092344107092023211510.pdf","https://dpmzos25m8ivg.cloudfront.net/Documentos/631/06960923441/6310696092344107092023211510.pdf")</f>
        <v>https://dpmzos25m8ivg.cloudfront.net/Documentos/631/06960923441/6310696092344107092023211510.pdf</v>
      </c>
      <c r="H3359" s="5" t="s">
        <v>11937</v>
      </c>
    </row>
    <row r="3360" spans="1:8" x14ac:dyDescent="0.25">
      <c r="A3360" s="2" t="s">
        <v>3378</v>
      </c>
      <c r="B3360" s="3"/>
      <c r="C3360" s="3"/>
      <c r="D3360" s="3"/>
      <c r="E3360" s="5" t="str">
        <f>HYPERLINK("https://dpmzos25m8ivg.cloudfront.net/Documentos/631/06964526340/6310696452634008092023150424.pdf","https://dpmzos25m8ivg.cloudfront.net/Documentos/631/06964526340/6310696452634008092023150424.pdf")</f>
        <v>https://dpmzos25m8ivg.cloudfront.net/Documentos/631/06964526340/6310696452634008092023150424.pdf</v>
      </c>
      <c r="F3360" s="5" t="str">
        <f>HYPERLINK("https://dpmzos25m8ivg.cloudfront.net/Documentos/631/06964526340/6310696452634008092023150933.pdf","https://dpmzos25m8ivg.cloudfront.net/Documentos/631/06964526340/6310696452634008092023150933.pdf")</f>
        <v>https://dpmzos25m8ivg.cloudfront.net/Documentos/631/06964526340/6310696452634008092023150933.pdf</v>
      </c>
      <c r="G3360" s="5" t="str">
        <f>HYPERLINK("https://dpmzos25m8ivg.cloudfront.net/Documentos/631/06964526340/6310696452634008092023151055.pdf","https://dpmzos25m8ivg.cloudfront.net/Documentos/631/06964526340/6310696452634008092023151055.pdf")</f>
        <v>https://dpmzos25m8ivg.cloudfront.net/Documentos/631/06964526340/6310696452634008092023151055.pdf</v>
      </c>
      <c r="H3360" s="5" t="s">
        <v>11938</v>
      </c>
    </row>
    <row r="3361" spans="1:8" x14ac:dyDescent="0.25">
      <c r="A3361" s="2" t="s">
        <v>3379</v>
      </c>
      <c r="B3361" s="3"/>
      <c r="C3361" s="3"/>
      <c r="D3361" s="3"/>
      <c r="E3361" s="5" t="str">
        <f>HYPERLINK("https://dpmzos25m8ivg.cloudfront.net/Documentos/631/06965389621/6310696538962106092023101218.pdf","https://dpmzos25m8ivg.cloudfront.net/Documentos/631/06965389621/6310696538962106092023101218.pdf")</f>
        <v>https://dpmzos25m8ivg.cloudfront.net/Documentos/631/06965389621/6310696538962106092023101218.pdf</v>
      </c>
      <c r="F3361" s="5" t="str">
        <f>HYPERLINK("https://dpmzos25m8ivg.cloudfront.net/Documentos/631/06965389621/6310696538962106092023101226.pdf","https://dpmzos25m8ivg.cloudfront.net/Documentos/631/06965389621/6310696538962106092023101226.pdf")</f>
        <v>https://dpmzos25m8ivg.cloudfront.net/Documentos/631/06965389621/6310696538962106092023101226.pdf</v>
      </c>
      <c r="G3361" s="5" t="str">
        <f>HYPERLINK("https://dpmzos25m8ivg.cloudfront.net/Documentos/631/06965389621/6310696538962106092023101237.pdf","https://dpmzos25m8ivg.cloudfront.net/Documentos/631/06965389621/6310696538962106092023101237.pdf")</f>
        <v>https://dpmzos25m8ivg.cloudfront.net/Documentos/631/06965389621/6310696538962106092023101237.pdf</v>
      </c>
      <c r="H3361" s="5" t="s">
        <v>11939</v>
      </c>
    </row>
    <row r="3362" spans="1:8" x14ac:dyDescent="0.25">
      <c r="A3362" s="2" t="s">
        <v>3380</v>
      </c>
      <c r="B3362" s="3" t="s">
        <v>3381</v>
      </c>
      <c r="C3362" s="3"/>
      <c r="D3362" s="3"/>
      <c r="E3362" s="5" t="str">
        <f>HYPERLINK("https://dpmzos25m8ivg.cloudfront.net/Documentos/631/06969326365/6310696932636512092023192724.pdf","https://dpmzos25m8ivg.cloudfront.net/Documentos/631/06969326365/6310696932636512092023192724.pdf")</f>
        <v>https://dpmzos25m8ivg.cloudfront.net/Documentos/631/06969326365/6310696932636512092023192724.pdf</v>
      </c>
      <c r="F3362" s="5" t="str">
        <f>HYPERLINK("https://dpmzos25m8ivg.cloudfront.net/Documentos/631/06969326365/6310696932636512092023192738.pdf","https://dpmzos25m8ivg.cloudfront.net/Documentos/631/06969326365/6310696932636512092023192738.pdf")</f>
        <v>https://dpmzos25m8ivg.cloudfront.net/Documentos/631/06969326365/6310696932636512092023192738.pdf</v>
      </c>
      <c r="G3362" s="5" t="str">
        <f>HYPERLINK("https://dpmzos25m8ivg.cloudfront.net/Documentos/631/06969326365/6310696932636512092023192809.pdf","https://dpmzos25m8ivg.cloudfront.net/Documentos/631/06969326365/6310696932636512092023192809.pdf")</f>
        <v>https://dpmzos25m8ivg.cloudfront.net/Documentos/631/06969326365/6310696932636512092023192809.pdf</v>
      </c>
      <c r="H3362" s="5" t="s">
        <v>11940</v>
      </c>
    </row>
    <row r="3363" spans="1:8" x14ac:dyDescent="0.25">
      <c r="A3363" s="2" t="s">
        <v>3382</v>
      </c>
      <c r="B3363" s="3"/>
      <c r="C3363" s="3"/>
      <c r="D3363" s="3"/>
      <c r="E3363" s="5" t="str">
        <f>HYPERLINK("https://dpmzos25m8ivg.cloudfront.net/Documentos/631/06969957357/6310696995735712092023215436.pdf","https://dpmzos25m8ivg.cloudfront.net/Documentos/631/06969957357/6310696995735712092023215436.pdf")</f>
        <v>https://dpmzos25m8ivg.cloudfront.net/Documentos/631/06969957357/6310696995735712092023215436.pdf</v>
      </c>
      <c r="F3363" s="5" t="str">
        <f>HYPERLINK("https://dpmzos25m8ivg.cloudfront.net/Documentos/631/06969957357/6310696995735712092023215531.pdf","https://dpmzos25m8ivg.cloudfront.net/Documentos/631/06969957357/6310696995735712092023215531.pdf")</f>
        <v>https://dpmzos25m8ivg.cloudfront.net/Documentos/631/06969957357/6310696995735712092023215531.pdf</v>
      </c>
      <c r="G3363" s="5" t="str">
        <f>HYPERLINK("https://dpmzos25m8ivg.cloudfront.net/Documentos/631/06969957357/6310696995735712092023215549.pdf","https://dpmzos25m8ivg.cloudfront.net/Documentos/631/06969957357/6310696995735712092023215549.pdf")</f>
        <v>https://dpmzos25m8ivg.cloudfront.net/Documentos/631/06969957357/6310696995735712092023215549.pdf</v>
      </c>
      <c r="H3363" s="5" t="s">
        <v>11941</v>
      </c>
    </row>
    <row r="3364" spans="1:8" x14ac:dyDescent="0.25">
      <c r="A3364" s="2" t="s">
        <v>3383</v>
      </c>
      <c r="B3364" s="3"/>
      <c r="C3364" s="3"/>
      <c r="D3364" s="3"/>
      <c r="E3364" s="5" t="str">
        <f>HYPERLINK("https://dpmzos25m8ivg.cloudfront.net/Documentos/631/06975187363/6310697518736310092023213803.pdf","https://dpmzos25m8ivg.cloudfront.net/Documentos/631/06975187363/6310697518736310092023213803.pdf")</f>
        <v>https://dpmzos25m8ivg.cloudfront.net/Documentos/631/06975187363/6310697518736310092023213803.pdf</v>
      </c>
      <c r="F3364" s="5" t="str">
        <f>HYPERLINK("https://dpmzos25m8ivg.cloudfront.net/Documentos/631/06975187363/6310697518736310092023213817.pdf","https://dpmzos25m8ivg.cloudfront.net/Documentos/631/06975187363/6310697518736310092023213817.pdf")</f>
        <v>https://dpmzos25m8ivg.cloudfront.net/Documentos/631/06975187363/6310697518736310092023213817.pdf</v>
      </c>
      <c r="G3364" s="5" t="str">
        <f>HYPERLINK("https://dpmzos25m8ivg.cloudfront.net/Documentos/631/06975187363/6310697518736310092023213851.pdf","https://dpmzos25m8ivg.cloudfront.net/Documentos/631/06975187363/6310697518736310092023213851.pdf")</f>
        <v>https://dpmzos25m8ivg.cloudfront.net/Documentos/631/06975187363/6310697518736310092023213851.pdf</v>
      </c>
      <c r="H3364" s="5" t="s">
        <v>11942</v>
      </c>
    </row>
    <row r="3365" spans="1:8" x14ac:dyDescent="0.25">
      <c r="A3365" s="2" t="s">
        <v>3384</v>
      </c>
      <c r="B3365" s="19" t="s">
        <v>3385</v>
      </c>
      <c r="C3365" s="3"/>
      <c r="D3365" s="3"/>
      <c r="E3365" s="5" t="str">
        <f>HYPERLINK("https://dpmzos25m8ivg.cloudfront.net/Documentos/631/06975354367/6310697535436711092023151358.jpg","https://dpmzos25m8ivg.cloudfront.net/Documentos/631/06975354367/6310697535436711092023151358.jpg")</f>
        <v>https://dpmzos25m8ivg.cloudfront.net/Documentos/631/06975354367/6310697535436711092023151358.jpg</v>
      </c>
      <c r="F3365" s="5" t="str">
        <f>HYPERLINK("https://dpmzos25m8ivg.cloudfront.net/Documentos/631/06975354367/6310697535436711092023151417.jpg","https://dpmzos25m8ivg.cloudfront.net/Documentos/631/06975354367/6310697535436711092023151417.jpg")</f>
        <v>https://dpmzos25m8ivg.cloudfront.net/Documentos/631/06975354367/6310697535436711092023151417.jpg</v>
      </c>
      <c r="G3365" s="5" t="str">
        <f>HYPERLINK("https://dpmzos25m8ivg.cloudfront.net/Documentos/631/06975354367/6310697535436711092023151436.jpg","https://dpmzos25m8ivg.cloudfront.net/Documentos/631/06975354367/6310697535436711092023151436.jpg")</f>
        <v>https://dpmzos25m8ivg.cloudfront.net/Documentos/631/06975354367/6310697535436711092023151436.jpg</v>
      </c>
      <c r="H3365" s="5" t="s">
        <v>11943</v>
      </c>
    </row>
    <row r="3366" spans="1:8" x14ac:dyDescent="0.25">
      <c r="A3366" s="2" t="s">
        <v>3386</v>
      </c>
      <c r="B3366" s="3"/>
      <c r="C3366" s="3"/>
      <c r="D3366" s="3"/>
      <c r="E3366" s="5" t="str">
        <f>HYPERLINK("https://dpmzos25m8ivg.cloudfront.net/Documentos/631/06977392525/6310697739252511092023103306.pdf","https://dpmzos25m8ivg.cloudfront.net/Documentos/631/06977392525/6310697739252511092023103306.pdf")</f>
        <v>https://dpmzos25m8ivg.cloudfront.net/Documentos/631/06977392525/6310697739252511092023103306.pdf</v>
      </c>
      <c r="F3366" s="5" t="str">
        <f>HYPERLINK("https://dpmzos25m8ivg.cloudfront.net/Documentos/631/06977392525/6310697739252511092023103321.pdf","https://dpmzos25m8ivg.cloudfront.net/Documentos/631/06977392525/6310697739252511092023103321.pdf")</f>
        <v>https://dpmzos25m8ivg.cloudfront.net/Documentos/631/06977392525/6310697739252511092023103321.pdf</v>
      </c>
      <c r="G3366" s="5" t="str">
        <f>HYPERLINK("https://dpmzos25m8ivg.cloudfront.net/Documentos/631/06977392525/6310697739252511092023103337.pdf","https://dpmzos25m8ivg.cloudfront.net/Documentos/631/06977392525/6310697739252511092023103337.pdf")</f>
        <v>https://dpmzos25m8ivg.cloudfront.net/Documentos/631/06977392525/6310697739252511092023103337.pdf</v>
      </c>
      <c r="H3366" s="5" t="s">
        <v>11944</v>
      </c>
    </row>
    <row r="3367" spans="1:8" x14ac:dyDescent="0.25">
      <c r="A3367" s="2" t="s">
        <v>3387</v>
      </c>
      <c r="B3367" s="3"/>
      <c r="C3367" s="3"/>
      <c r="D3367" s="3"/>
      <c r="E3367" s="5" t="str">
        <f>HYPERLINK("https://dpmzos25m8ivg.cloudfront.net/Documentos/631/06983738128/6310698373812806092023095850.pdf","https://dpmzos25m8ivg.cloudfront.net/Documentos/631/06983738128/6310698373812806092023095850.pdf")</f>
        <v>https://dpmzos25m8ivg.cloudfront.net/Documentos/631/06983738128/6310698373812806092023095850.pdf</v>
      </c>
      <c r="F3367" s="5" t="str">
        <f>HYPERLINK("https://dpmzos25m8ivg.cloudfront.net/Documentos/631/06983738128/6310698373812806092023095958.pdf","https://dpmzos25m8ivg.cloudfront.net/Documentos/631/06983738128/6310698373812806092023095958.pdf")</f>
        <v>https://dpmzos25m8ivg.cloudfront.net/Documentos/631/06983738128/6310698373812806092023095958.pdf</v>
      </c>
      <c r="G3367" s="5" t="str">
        <f>HYPERLINK("https://dpmzos25m8ivg.cloudfront.net/Documentos/631/06983738128/6310698373812806092023100014.pdf","https://dpmzos25m8ivg.cloudfront.net/Documentos/631/06983738128/6310698373812806092023100014.pdf")</f>
        <v>https://dpmzos25m8ivg.cloudfront.net/Documentos/631/06983738128/6310698373812806092023100014.pdf</v>
      </c>
      <c r="H3367" s="5" t="s">
        <v>11945</v>
      </c>
    </row>
    <row r="3368" spans="1:8" x14ac:dyDescent="0.25">
      <c r="A3368" s="2" t="s">
        <v>3388</v>
      </c>
      <c r="B3368" s="3"/>
      <c r="C3368" s="3"/>
      <c r="D3368" s="3"/>
      <c r="E3368" s="5" t="str">
        <f>HYPERLINK("https://dpmzos25m8ivg.cloudfront.net/Documentos/631/06983962354/6310698396235409092023150842.pdf","https://dpmzos25m8ivg.cloudfront.net/Documentos/631/06983962354/6310698396235409092023150842.pdf")</f>
        <v>https://dpmzos25m8ivg.cloudfront.net/Documentos/631/06983962354/6310698396235409092023150842.pdf</v>
      </c>
      <c r="F3368" s="5" t="str">
        <f>HYPERLINK("https://dpmzos25m8ivg.cloudfront.net/Documentos/631/06983962354/6310698396235409092023151013.pdf","https://dpmzos25m8ivg.cloudfront.net/Documentos/631/06983962354/6310698396235409092023151013.pdf")</f>
        <v>https://dpmzos25m8ivg.cloudfront.net/Documentos/631/06983962354/6310698396235409092023151013.pdf</v>
      </c>
      <c r="G3368" s="5" t="str">
        <f>HYPERLINK("https://dpmzos25m8ivg.cloudfront.net/Documentos/631/06983962354/6310698396235409092023151027.pdf","https://dpmzos25m8ivg.cloudfront.net/Documentos/631/06983962354/6310698396235409092023151027.pdf")</f>
        <v>https://dpmzos25m8ivg.cloudfront.net/Documentos/631/06983962354/6310698396235409092023151027.pdf</v>
      </c>
      <c r="H3368" s="5" t="s">
        <v>11946</v>
      </c>
    </row>
    <row r="3369" spans="1:8" x14ac:dyDescent="0.25">
      <c r="A3369" s="2" t="s">
        <v>3389</v>
      </c>
      <c r="B3369" s="19" t="s">
        <v>3385</v>
      </c>
      <c r="C3369" s="3"/>
      <c r="D3369" s="3"/>
      <c r="E3369" s="5" t="str">
        <f>HYPERLINK("https://dpmzos25m8ivg.cloudfront.net/Documentos/631/06985129366/6310698512936611092023122951.pdf","https://dpmzos25m8ivg.cloudfront.net/Documentos/631/06985129366/6310698512936611092023122951.pdf")</f>
        <v>https://dpmzos25m8ivg.cloudfront.net/Documentos/631/06985129366/6310698512936611092023122951.pdf</v>
      </c>
      <c r="F3369" s="5" t="str">
        <f>HYPERLINK("https://dpmzos25m8ivg.cloudfront.net/Documentos/631/06985129366/6310698512936611092023122939.pdf","https://dpmzos25m8ivg.cloudfront.net/Documentos/631/06985129366/6310698512936611092023122939.pdf")</f>
        <v>https://dpmzos25m8ivg.cloudfront.net/Documentos/631/06985129366/6310698512936611092023122939.pdf</v>
      </c>
      <c r="G3369" s="5" t="str">
        <f>HYPERLINK("https://dpmzos25m8ivg.cloudfront.net/Documentos/631/06985129366/6310698512936611092023122924.pdf","https://dpmzos25m8ivg.cloudfront.net/Documentos/631/06985129366/6310698512936611092023122924.pdf")</f>
        <v>https://dpmzos25m8ivg.cloudfront.net/Documentos/631/06985129366/6310698512936611092023122924.pdf</v>
      </c>
      <c r="H3369" s="5" t="s">
        <v>11947</v>
      </c>
    </row>
    <row r="3370" spans="1:8" x14ac:dyDescent="0.25">
      <c r="A3370" s="2" t="s">
        <v>3390</v>
      </c>
      <c r="B3370" s="3"/>
      <c r="C3370" s="3"/>
      <c r="D3370" s="3"/>
      <c r="E3370" s="5" t="str">
        <f>HYPERLINK("https://dpmzos25m8ivg.cloudfront.net/Documentos/631/06986762380/6310698676238011092023091940.pdf","https://dpmzos25m8ivg.cloudfront.net/Documentos/631/06986762380/6310698676238011092023091940.pdf")</f>
        <v>https://dpmzos25m8ivg.cloudfront.net/Documentos/631/06986762380/6310698676238011092023091940.pdf</v>
      </c>
      <c r="F3370" s="5" t="str">
        <f>HYPERLINK("https://dpmzos25m8ivg.cloudfront.net/Documentos/631/06986762380/6310698676238011092023091946.pdf","https://dpmzos25m8ivg.cloudfront.net/Documentos/631/06986762380/6310698676238011092023091946.pdf")</f>
        <v>https://dpmzos25m8ivg.cloudfront.net/Documentos/631/06986762380/6310698676238011092023091946.pdf</v>
      </c>
      <c r="G3370" s="5" t="str">
        <f>HYPERLINK("https://dpmzos25m8ivg.cloudfront.net/Documentos/631/06986762380/6310698676238011092023091951.pdf","https://dpmzos25m8ivg.cloudfront.net/Documentos/631/06986762380/6310698676238011092023091951.pdf")</f>
        <v>https://dpmzos25m8ivg.cloudfront.net/Documentos/631/06986762380/6310698676238011092023091951.pdf</v>
      </c>
      <c r="H3370" s="5" t="s">
        <v>11948</v>
      </c>
    </row>
    <row r="3371" spans="1:8" x14ac:dyDescent="0.25">
      <c r="A3371" s="2" t="s">
        <v>3391</v>
      </c>
      <c r="B3371" s="3"/>
      <c r="C3371" s="3"/>
      <c r="D3371" s="3"/>
      <c r="E3371" s="5" t="str">
        <f>HYPERLINK("https://dpmzos25m8ivg.cloudfront.net/Documentos/631/06986961316/6310698696131611092023144540.pdf","https://dpmzos25m8ivg.cloudfront.net/Documentos/631/06986961316/6310698696131611092023144540.pdf")</f>
        <v>https://dpmzos25m8ivg.cloudfront.net/Documentos/631/06986961316/6310698696131611092023144540.pdf</v>
      </c>
      <c r="F3371" s="5" t="str">
        <f>HYPERLINK("https://dpmzos25m8ivg.cloudfront.net/Documentos/631/06986961316/6310698696131611092023144555.pdf","https://dpmzos25m8ivg.cloudfront.net/Documentos/631/06986961316/6310698696131611092023144555.pdf")</f>
        <v>https://dpmzos25m8ivg.cloudfront.net/Documentos/631/06986961316/6310698696131611092023144555.pdf</v>
      </c>
      <c r="G3371" s="5" t="str">
        <f>HYPERLINK("https://dpmzos25m8ivg.cloudfront.net/Documentos/631/06986961316/6310698696131611092023144606.pdf","https://dpmzos25m8ivg.cloudfront.net/Documentos/631/06986961316/6310698696131611092023144606.pdf")</f>
        <v>https://dpmzos25m8ivg.cloudfront.net/Documentos/631/06986961316/6310698696131611092023144606.pdf</v>
      </c>
      <c r="H3371" s="5" t="s">
        <v>11949</v>
      </c>
    </row>
    <row r="3372" spans="1:8" x14ac:dyDescent="0.25">
      <c r="A3372" s="2" t="s">
        <v>3392</v>
      </c>
      <c r="B3372" s="19" t="s">
        <v>3385</v>
      </c>
      <c r="C3372" s="3"/>
      <c r="D3372" s="3"/>
      <c r="E3372" s="5" t="str">
        <f>HYPERLINK("https://dpmzos25m8ivg.cloudfront.net/Documentos/631/06987473994/6310698747399413092023112849.pdf","https://dpmzos25m8ivg.cloudfront.net/Documentos/631/06987473994/6310698747399413092023112849.pdf")</f>
        <v>https://dpmzos25m8ivg.cloudfront.net/Documentos/631/06987473994/6310698747399413092023112849.pdf</v>
      </c>
      <c r="F3372" s="5" t="str">
        <f>HYPERLINK("https://dpmzos25m8ivg.cloudfront.net/Documentos/631/06987473994/6310698747399413092023112905.pdf","https://dpmzos25m8ivg.cloudfront.net/Documentos/631/06987473994/6310698747399413092023112905.pdf")</f>
        <v>https://dpmzos25m8ivg.cloudfront.net/Documentos/631/06987473994/6310698747399413092023112905.pdf</v>
      </c>
      <c r="G3372" s="5" t="str">
        <f>HYPERLINK("https://dpmzos25m8ivg.cloudfront.net/Documentos/631/06987473994/6310698747399413092023112916.pdf","https://dpmzos25m8ivg.cloudfront.net/Documentos/631/06987473994/6310698747399413092023112916.pdf")</f>
        <v>https://dpmzos25m8ivg.cloudfront.net/Documentos/631/06987473994/6310698747399413092023112916.pdf</v>
      </c>
      <c r="H3372" s="5" t="s">
        <v>11950</v>
      </c>
    </row>
    <row r="3373" spans="1:8" x14ac:dyDescent="0.25">
      <c r="A3373" s="2" t="s">
        <v>3393</v>
      </c>
      <c r="B3373" s="3"/>
      <c r="C3373" s="3"/>
      <c r="D3373" s="3"/>
      <c r="E3373" s="5" t="str">
        <f>HYPERLINK("https://dpmzos25m8ivg.cloudfront.net/Documentos/631/06990140500/6310699014050005092023235123.pdf","https://dpmzos25m8ivg.cloudfront.net/Documentos/631/06990140500/6310699014050005092023235123.pdf")</f>
        <v>https://dpmzos25m8ivg.cloudfront.net/Documentos/631/06990140500/6310699014050005092023235123.pdf</v>
      </c>
      <c r="F3373" s="5" t="str">
        <f>HYPERLINK("https://dpmzos25m8ivg.cloudfront.net/Documentos/631/06990140500/6310699014050005092023235142.pdf","https://dpmzos25m8ivg.cloudfront.net/Documentos/631/06990140500/6310699014050005092023235142.pdf")</f>
        <v>https://dpmzos25m8ivg.cloudfront.net/Documentos/631/06990140500/6310699014050005092023235142.pdf</v>
      </c>
      <c r="G3373" s="5" t="str">
        <f>HYPERLINK("https://dpmzos25m8ivg.cloudfront.net/Documentos/631/06990140500/6310699014050005092023235158.pdf","https://dpmzos25m8ivg.cloudfront.net/Documentos/631/06990140500/6310699014050005092023235158.pdf")</f>
        <v>https://dpmzos25m8ivg.cloudfront.net/Documentos/631/06990140500/6310699014050005092023235158.pdf</v>
      </c>
      <c r="H3373" s="5" t="s">
        <v>11951</v>
      </c>
    </row>
    <row r="3374" spans="1:8" x14ac:dyDescent="0.25">
      <c r="A3374" s="2" t="s">
        <v>3394</v>
      </c>
      <c r="B3374" s="3"/>
      <c r="C3374" s="3"/>
      <c r="D3374" s="3"/>
      <c r="E3374" s="5" t="str">
        <f>HYPERLINK("https://dpmzos25m8ivg.cloudfront.net/Documentos/631/06997919367/6310699791936711092023163711.jpeg","https://dpmzos25m8ivg.cloudfront.net/Documentos/631/06997919367/6310699791936711092023163711.jpeg")</f>
        <v>https://dpmzos25m8ivg.cloudfront.net/Documentos/631/06997919367/6310699791936711092023163711.jpeg</v>
      </c>
      <c r="F3374" s="5" t="str">
        <f>HYPERLINK("https://dpmzos25m8ivg.cloudfront.net/Documentos/631/06997919367/6310699791936711092023163638.jpeg","https://dpmzos25m8ivg.cloudfront.net/Documentos/631/06997919367/6310699791936711092023163638.jpeg")</f>
        <v>https://dpmzos25m8ivg.cloudfront.net/Documentos/631/06997919367/6310699791936711092023163638.jpeg</v>
      </c>
      <c r="G3374" s="5" t="str">
        <f>HYPERLINK("https://dpmzos25m8ivg.cloudfront.net/Documentos/631/06997919367/6310699791936711092023163755.jpeg","https://dpmzos25m8ivg.cloudfront.net/Documentos/631/06997919367/6310699791936711092023163755.jpeg")</f>
        <v>https://dpmzos25m8ivg.cloudfront.net/Documentos/631/06997919367/6310699791936711092023163755.jpeg</v>
      </c>
      <c r="H3374" s="5" t="s">
        <v>11952</v>
      </c>
    </row>
    <row r="3375" spans="1:8" x14ac:dyDescent="0.25">
      <c r="A3375" s="2" t="s">
        <v>3395</v>
      </c>
      <c r="B3375" s="3"/>
      <c r="C3375" s="3"/>
      <c r="D3375" s="3"/>
      <c r="E3375" s="5" t="str">
        <f>HYPERLINK("https://dpmzos25m8ivg.cloudfront.net/Documentos/631/06997935486/6310699793548610092023235545.pdf","https://dpmzos25m8ivg.cloudfront.net/Documentos/631/06997935486/6310699793548610092023235545.pdf")</f>
        <v>https://dpmzos25m8ivg.cloudfront.net/Documentos/631/06997935486/6310699793548610092023235545.pdf</v>
      </c>
      <c r="F3375" s="5" t="str">
        <f>HYPERLINK("https://dpmzos25m8ivg.cloudfront.net/Documentos/631/06997935486/6310699793548610092023235556.pdf","https://dpmzos25m8ivg.cloudfront.net/Documentos/631/06997935486/6310699793548610092023235556.pdf")</f>
        <v>https://dpmzos25m8ivg.cloudfront.net/Documentos/631/06997935486/6310699793548610092023235556.pdf</v>
      </c>
      <c r="G3375" s="5" t="str">
        <f>HYPERLINK("https://dpmzos25m8ivg.cloudfront.net/Documentos/631/06997935486/6310699793548610092023235609.pdf","https://dpmzos25m8ivg.cloudfront.net/Documentos/631/06997935486/6310699793548610092023235609.pdf")</f>
        <v>https://dpmzos25m8ivg.cloudfront.net/Documentos/631/06997935486/6310699793548610092023235609.pdf</v>
      </c>
      <c r="H3375" s="5" t="s">
        <v>11953</v>
      </c>
    </row>
    <row r="3376" spans="1:8" x14ac:dyDescent="0.25">
      <c r="A3376" s="2" t="s">
        <v>3396</v>
      </c>
      <c r="B3376" s="3" t="s">
        <v>2358</v>
      </c>
      <c r="C3376" s="3"/>
      <c r="D3376" s="3"/>
      <c r="E3376" s="5" t="str">
        <f>HYPERLINK("https://dpmzos25m8ivg.cloudfront.net/Documentos/631/06999721165/6310699972116509092023165309.pdf","https://dpmzos25m8ivg.cloudfront.net/Documentos/631/06999721165/6310699972116509092023165309.pdf")</f>
        <v>https://dpmzos25m8ivg.cloudfront.net/Documentos/631/06999721165/6310699972116509092023165309.pdf</v>
      </c>
      <c r="F3376" s="5" t="str">
        <f>HYPERLINK("https://dpmzos25m8ivg.cloudfront.net/Documentos/631/06999721165/6310699972116509092023165356.pdf","https://dpmzos25m8ivg.cloudfront.net/Documentos/631/06999721165/6310699972116509092023165356.pdf")</f>
        <v>https://dpmzos25m8ivg.cloudfront.net/Documentos/631/06999721165/6310699972116509092023165356.pdf</v>
      </c>
      <c r="G3376" s="5" t="str">
        <f>HYPERLINK("https://dpmzos25m8ivg.cloudfront.net/Documentos/631/06999721165/6310699972116509092023165408.pdf","https://dpmzos25m8ivg.cloudfront.net/Documentos/631/06999721165/6310699972116509092023165408.pdf")</f>
        <v>https://dpmzos25m8ivg.cloudfront.net/Documentos/631/06999721165/6310699972116509092023165408.pdf</v>
      </c>
      <c r="H3376" s="5" t="s">
        <v>11954</v>
      </c>
    </row>
    <row r="3377" spans="1:8" x14ac:dyDescent="0.25">
      <c r="A3377" s="2" t="s">
        <v>3397</v>
      </c>
      <c r="B3377" s="3"/>
      <c r="C3377" s="3"/>
      <c r="D3377" s="3"/>
      <c r="E3377" s="5" t="str">
        <f>HYPERLINK("https://dpmzos25m8ivg.cloudfront.net/Documentos/631/07000446390/6310700044639011092023120849.pdf","https://dpmzos25m8ivg.cloudfront.net/Documentos/631/07000446390/6310700044639011092023120849.pdf")</f>
        <v>https://dpmzos25m8ivg.cloudfront.net/Documentos/631/07000446390/6310700044639011092023120849.pdf</v>
      </c>
      <c r="F3377" s="5" t="str">
        <f>HYPERLINK("https://dpmzos25m8ivg.cloudfront.net/Documentos/631/07000446390/6310700044639011092023120924.pdf","https://dpmzos25m8ivg.cloudfront.net/Documentos/631/07000446390/6310700044639011092023120924.pdf")</f>
        <v>https://dpmzos25m8ivg.cloudfront.net/Documentos/631/07000446390/6310700044639011092023120924.pdf</v>
      </c>
      <c r="G3377" s="5" t="str">
        <f>HYPERLINK("https://dpmzos25m8ivg.cloudfront.net/Documentos/631/07000446390/6310700044639011092023120936.pdf","https://dpmzos25m8ivg.cloudfront.net/Documentos/631/07000446390/6310700044639011092023120936.pdf")</f>
        <v>https://dpmzos25m8ivg.cloudfront.net/Documentos/631/07000446390/6310700044639011092023120936.pdf</v>
      </c>
      <c r="H3377" s="5" t="s">
        <v>11955</v>
      </c>
    </row>
    <row r="3378" spans="1:8" x14ac:dyDescent="0.25">
      <c r="A3378" s="2" t="s">
        <v>3398</v>
      </c>
      <c r="B3378" s="19" t="s">
        <v>3385</v>
      </c>
      <c r="C3378" s="3"/>
      <c r="D3378" s="3"/>
      <c r="E3378" s="5" t="str">
        <f>HYPERLINK("https://dpmzos25m8ivg.cloudfront.net/Documentos/631/07001129100/6310700112910010092023170009.pdf","https://dpmzos25m8ivg.cloudfront.net/Documentos/631/07001129100/6310700112910010092023170009.pdf")</f>
        <v>https://dpmzos25m8ivg.cloudfront.net/Documentos/631/07001129100/6310700112910010092023170009.pdf</v>
      </c>
      <c r="F3378" s="5" t="str">
        <f>HYPERLINK("https://dpmzos25m8ivg.cloudfront.net/Documentos/631/07001129100/6310700112910010092023170022.pdf","https://dpmzos25m8ivg.cloudfront.net/Documentos/631/07001129100/6310700112910010092023170022.pdf")</f>
        <v>https://dpmzos25m8ivg.cloudfront.net/Documentos/631/07001129100/6310700112910010092023170022.pdf</v>
      </c>
      <c r="G3378" s="5" t="str">
        <f>HYPERLINK("https://dpmzos25m8ivg.cloudfront.net/Documentos/631/07001129100/6310700112910010092023170030.pdf","https://dpmzos25m8ivg.cloudfront.net/Documentos/631/07001129100/6310700112910010092023170030.pdf")</f>
        <v>https://dpmzos25m8ivg.cloudfront.net/Documentos/631/07001129100/6310700112910010092023170030.pdf</v>
      </c>
      <c r="H3378" s="5" t="s">
        <v>11956</v>
      </c>
    </row>
    <row r="3379" spans="1:8" x14ac:dyDescent="0.25">
      <c r="A3379" s="2" t="s">
        <v>3399</v>
      </c>
      <c r="B3379" s="3"/>
      <c r="C3379" s="3"/>
      <c r="D3379" s="3"/>
      <c r="E3379" s="5" t="str">
        <f>HYPERLINK("https://dpmzos25m8ivg.cloudfront.net/Documentos/631/07005146190/6310700514619011092023094855.pdf","https://dpmzos25m8ivg.cloudfront.net/Documentos/631/07005146190/6310700514619011092023094855.pdf")</f>
        <v>https://dpmzos25m8ivg.cloudfront.net/Documentos/631/07005146190/6310700514619011092023094855.pdf</v>
      </c>
      <c r="F3379" s="5" t="str">
        <f>HYPERLINK("https://dpmzos25m8ivg.cloudfront.net/Documentos/631/07005146190/6310700514619011092023094910.pdf","https://dpmzos25m8ivg.cloudfront.net/Documentos/631/07005146190/6310700514619011092023094910.pdf")</f>
        <v>https://dpmzos25m8ivg.cloudfront.net/Documentos/631/07005146190/6310700514619011092023094910.pdf</v>
      </c>
      <c r="G3379" s="5" t="str">
        <f>HYPERLINK("https://dpmzos25m8ivg.cloudfront.net/Documentos/631/07005146190/6310700514619011092023094917.pdf","https://dpmzos25m8ivg.cloudfront.net/Documentos/631/07005146190/6310700514619011092023094917.pdf")</f>
        <v>https://dpmzos25m8ivg.cloudfront.net/Documentos/631/07005146190/6310700514619011092023094917.pdf</v>
      </c>
      <c r="H3379" s="5" t="s">
        <v>11957</v>
      </c>
    </row>
    <row r="3380" spans="1:8" x14ac:dyDescent="0.25">
      <c r="A3380" s="2" t="s">
        <v>3400</v>
      </c>
      <c r="B3380" s="3"/>
      <c r="C3380" s="3"/>
      <c r="D3380" s="3"/>
      <c r="E3380" s="5" t="str">
        <f>HYPERLINK("https://dpmzos25m8ivg.cloudfront.net/Documentos/631/07006472369/6310700647236911092023150046.pdf","https://dpmzos25m8ivg.cloudfront.net/Documentos/631/07006472369/6310700647236911092023150046.pdf")</f>
        <v>https://dpmzos25m8ivg.cloudfront.net/Documentos/631/07006472369/6310700647236911092023150046.pdf</v>
      </c>
      <c r="F3380" s="5" t="str">
        <f>HYPERLINK("https://dpmzos25m8ivg.cloudfront.net/Documentos/631/07006472369/6310700647236911092023150102.pdf","https://dpmzos25m8ivg.cloudfront.net/Documentos/631/07006472369/6310700647236911092023150102.pdf")</f>
        <v>https://dpmzos25m8ivg.cloudfront.net/Documentos/631/07006472369/6310700647236911092023150102.pdf</v>
      </c>
      <c r="G3380" s="5" t="str">
        <f>HYPERLINK("https://dpmzos25m8ivg.cloudfront.net/Documentos/631/07006472369/6310700647236911092023150110.pdf","https://dpmzos25m8ivg.cloudfront.net/Documentos/631/07006472369/6310700647236911092023150110.pdf")</f>
        <v>https://dpmzos25m8ivg.cloudfront.net/Documentos/631/07006472369/6310700647236911092023150110.pdf</v>
      </c>
      <c r="H3380" s="5" t="s">
        <v>11958</v>
      </c>
    </row>
    <row r="3381" spans="1:8" x14ac:dyDescent="0.25">
      <c r="A3381" s="2" t="s">
        <v>3401</v>
      </c>
      <c r="B3381" s="3" t="s">
        <v>3381</v>
      </c>
      <c r="C3381" s="3"/>
      <c r="D3381" s="3"/>
      <c r="E3381" s="5" t="str">
        <f>HYPERLINK("https://dpmzos25m8ivg.cloudfront.net/Documentos/631/07006546311/6310700654631111092023153721.jpeg","https://dpmzos25m8ivg.cloudfront.net/Documentos/631/07006546311/6310700654631111092023153721.jpeg")</f>
        <v>https://dpmzos25m8ivg.cloudfront.net/Documentos/631/07006546311/6310700654631111092023153721.jpeg</v>
      </c>
      <c r="F3381" s="5" t="str">
        <f>HYPERLINK("https://dpmzos25m8ivg.cloudfront.net/Documentos/631/07006546311/6310700654631111092023153734.jpeg","https://dpmzos25m8ivg.cloudfront.net/Documentos/631/07006546311/6310700654631111092023153734.jpeg")</f>
        <v>https://dpmzos25m8ivg.cloudfront.net/Documentos/631/07006546311/6310700654631111092023153734.jpeg</v>
      </c>
      <c r="G3381" s="5" t="str">
        <f>HYPERLINK("https://dpmzos25m8ivg.cloudfront.net/Documentos/631/07006546311/6310700654631111092023153749.jpeg","https://dpmzos25m8ivg.cloudfront.net/Documentos/631/07006546311/6310700654631111092023153749.jpeg")</f>
        <v>https://dpmzos25m8ivg.cloudfront.net/Documentos/631/07006546311/6310700654631111092023153749.jpeg</v>
      </c>
      <c r="H3381" s="5" t="s">
        <v>11959</v>
      </c>
    </row>
    <row r="3382" spans="1:8" x14ac:dyDescent="0.25">
      <c r="A3382" s="2" t="s">
        <v>3402</v>
      </c>
      <c r="B3382" s="3"/>
      <c r="C3382" s="3"/>
      <c r="D3382" s="3"/>
      <c r="E3382" s="5" t="str">
        <f>HYPERLINK("https://dpmzos25m8ivg.cloudfront.net/Documentos/631/07011031596/6310701103159611092023145312.pdf","https://dpmzos25m8ivg.cloudfront.net/Documentos/631/07011031596/6310701103159611092023145312.pdf")</f>
        <v>https://dpmzos25m8ivg.cloudfront.net/Documentos/631/07011031596/6310701103159611092023145312.pdf</v>
      </c>
      <c r="F3382" s="5" t="str">
        <f>HYPERLINK("https://dpmzos25m8ivg.cloudfront.net/Documentos/631/07011031596/6310701103159611092023145326.pdf","https://dpmzos25m8ivg.cloudfront.net/Documentos/631/07011031596/6310701103159611092023145326.pdf")</f>
        <v>https://dpmzos25m8ivg.cloudfront.net/Documentos/631/07011031596/6310701103159611092023145326.pdf</v>
      </c>
      <c r="G3382" s="5" t="str">
        <f>HYPERLINK("https://dpmzos25m8ivg.cloudfront.net/Documentos/631/07011031596/6310701103159611092023145336.pdf","https://dpmzos25m8ivg.cloudfront.net/Documentos/631/07011031596/6310701103159611092023145336.pdf")</f>
        <v>https://dpmzos25m8ivg.cloudfront.net/Documentos/631/07011031596/6310701103159611092023145336.pdf</v>
      </c>
      <c r="H3382" s="5" t="s">
        <v>11960</v>
      </c>
    </row>
    <row r="3383" spans="1:8" x14ac:dyDescent="0.25">
      <c r="A3383" s="2" t="s">
        <v>3403</v>
      </c>
      <c r="B3383" s="19" t="s">
        <v>3385</v>
      </c>
      <c r="C3383" s="3"/>
      <c r="D3383" s="3"/>
      <c r="E3383" s="5" t="str">
        <f>HYPERLINK("https://dpmzos25m8ivg.cloudfront.net/Documentos/631/07013228532/6310701322853205092023224919.jpeg","https://dpmzos25m8ivg.cloudfront.net/Documentos/631/07013228532/6310701322853205092023224919.jpeg")</f>
        <v>https://dpmzos25m8ivg.cloudfront.net/Documentos/631/07013228532/6310701322853205092023224919.jpeg</v>
      </c>
      <c r="F3383" s="5" t="str">
        <f>HYPERLINK("https://dpmzos25m8ivg.cloudfront.net/Documentos/631/07013228532/6310701322853205092023224927.jpeg","https://dpmzos25m8ivg.cloudfront.net/Documentos/631/07013228532/6310701322853205092023224927.jpeg")</f>
        <v>https://dpmzos25m8ivg.cloudfront.net/Documentos/631/07013228532/6310701322853205092023224927.jpeg</v>
      </c>
      <c r="G3383" s="5" t="str">
        <f>HYPERLINK("https://dpmzos25m8ivg.cloudfront.net/Documentos/631/07013228532/6310701322853205092023224936.jpeg","https://dpmzos25m8ivg.cloudfront.net/Documentos/631/07013228532/6310701322853205092023224936.jpeg")</f>
        <v>https://dpmzos25m8ivg.cloudfront.net/Documentos/631/07013228532/6310701322853205092023224936.jpeg</v>
      </c>
      <c r="H3383" s="5" t="s">
        <v>11961</v>
      </c>
    </row>
    <row r="3384" spans="1:8" x14ac:dyDescent="0.25">
      <c r="A3384" s="2" t="s">
        <v>3404</v>
      </c>
      <c r="B3384" s="3"/>
      <c r="C3384" s="3"/>
      <c r="D3384" s="3"/>
      <c r="E3384" s="5" t="str">
        <f>HYPERLINK("https://dpmzos25m8ivg.cloudfront.net/Documentos/631/07017092350/6310701709235010092023120655.jpg","https://dpmzos25m8ivg.cloudfront.net/Documentos/631/07017092350/6310701709235010092023120655.jpg")</f>
        <v>https://dpmzos25m8ivg.cloudfront.net/Documentos/631/07017092350/6310701709235010092023120655.jpg</v>
      </c>
      <c r="F3384" s="5" t="str">
        <f>HYPERLINK("https://dpmzos25m8ivg.cloudfront.net/Documentos/631/07017092350/6310701709235010092023120713.jpg","https://dpmzos25m8ivg.cloudfront.net/Documentos/631/07017092350/6310701709235010092023120713.jpg")</f>
        <v>https://dpmzos25m8ivg.cloudfront.net/Documentos/631/07017092350/6310701709235010092023120713.jpg</v>
      </c>
      <c r="G3384" s="5" t="str">
        <f>HYPERLINK("https://dpmzos25m8ivg.cloudfront.net/Documentos/631/07017092350/6310701709235010092023120728.jpg","https://dpmzos25m8ivg.cloudfront.net/Documentos/631/07017092350/6310701709235010092023120728.jpg")</f>
        <v>https://dpmzos25m8ivg.cloudfront.net/Documentos/631/07017092350/6310701709235010092023120728.jpg</v>
      </c>
      <c r="H3384" s="5" t="s">
        <v>11962</v>
      </c>
    </row>
    <row r="3385" spans="1:8" x14ac:dyDescent="0.25">
      <c r="A3385" s="2" t="s">
        <v>3405</v>
      </c>
      <c r="B3385" s="3"/>
      <c r="C3385" s="3"/>
      <c r="D3385" s="3"/>
      <c r="E3385" s="5" t="str">
        <f>HYPERLINK("https://dpmzos25m8ivg.cloudfront.net/Documentos/631/07019856403/6310701985640310092023152643.jpg","https://dpmzos25m8ivg.cloudfront.net/Documentos/631/07019856403/6310701985640310092023152643.jpg")</f>
        <v>https://dpmzos25m8ivg.cloudfront.net/Documentos/631/07019856403/6310701985640310092023152643.jpg</v>
      </c>
      <c r="F3385" s="5" t="str">
        <f>HYPERLINK("https://dpmzos25m8ivg.cloudfront.net/Documentos/631/07019856403/6310701985640310092023152659.jpg","https://dpmzos25m8ivg.cloudfront.net/Documentos/631/07019856403/6310701985640310092023152659.jpg")</f>
        <v>https://dpmzos25m8ivg.cloudfront.net/Documentos/631/07019856403/6310701985640310092023152659.jpg</v>
      </c>
      <c r="G3385" s="5" t="str">
        <f>HYPERLINK("https://dpmzos25m8ivg.cloudfront.net/Documentos/631/07019856403/6310701985640310092023152712.jpg","https://dpmzos25m8ivg.cloudfront.net/Documentos/631/07019856403/6310701985640310092023152712.jpg")</f>
        <v>https://dpmzos25m8ivg.cloudfront.net/Documentos/631/07019856403/6310701985640310092023152712.jpg</v>
      </c>
      <c r="H3385" s="5" t="s">
        <v>11963</v>
      </c>
    </row>
    <row r="3386" spans="1:8" x14ac:dyDescent="0.25">
      <c r="A3386" s="2" t="s">
        <v>3406</v>
      </c>
      <c r="B3386" s="3"/>
      <c r="C3386" s="3"/>
      <c r="D3386" s="3"/>
      <c r="E3386" s="5" t="str">
        <f>HYPERLINK("https://dpmzos25m8ivg.cloudfront.net/Documentos/631/07021443552/6310702144355211092023092213.jpg","https://dpmzos25m8ivg.cloudfront.net/Documentos/631/07021443552/6310702144355211092023092213.jpg")</f>
        <v>https://dpmzos25m8ivg.cloudfront.net/Documentos/631/07021443552/6310702144355211092023092213.jpg</v>
      </c>
      <c r="F3386" s="5" t="str">
        <f>HYPERLINK("https://dpmzos25m8ivg.cloudfront.net/Documentos/631/07021443552/6310702144355211092023092254.jpg","https://dpmzos25m8ivg.cloudfront.net/Documentos/631/07021443552/6310702144355211092023092254.jpg")</f>
        <v>https://dpmzos25m8ivg.cloudfront.net/Documentos/631/07021443552/6310702144355211092023092254.jpg</v>
      </c>
      <c r="G3386" s="5" t="str">
        <f>HYPERLINK("https://dpmzos25m8ivg.cloudfront.net/Documentos/631/07021443552/6310702144355211092023092325.jpg","https://dpmzos25m8ivg.cloudfront.net/Documentos/631/07021443552/6310702144355211092023092325.jpg")</f>
        <v>https://dpmzos25m8ivg.cloudfront.net/Documentos/631/07021443552/6310702144355211092023092325.jpg</v>
      </c>
      <c r="H3386" s="5" t="s">
        <v>11964</v>
      </c>
    </row>
    <row r="3387" spans="1:8" x14ac:dyDescent="0.25">
      <c r="A3387" s="2" t="s">
        <v>3407</v>
      </c>
      <c r="B3387" s="3"/>
      <c r="C3387" s="3"/>
      <c r="D3387" s="3"/>
      <c r="E3387" s="5" t="str">
        <f>HYPERLINK("https://dpmzos25m8ivg.cloudfront.net/Documentos/631/07025419583/6310702541958311092023161712.pdf","https://dpmzos25m8ivg.cloudfront.net/Documentos/631/07025419583/6310702541958311092023161712.pdf")</f>
        <v>https://dpmzos25m8ivg.cloudfront.net/Documentos/631/07025419583/6310702541958311092023161712.pdf</v>
      </c>
      <c r="F3387" s="5" t="str">
        <f>HYPERLINK("https://dpmzos25m8ivg.cloudfront.net/Documentos/631/07025419583/6310702541958311092023161723.pdf","https://dpmzos25m8ivg.cloudfront.net/Documentos/631/07025419583/6310702541958311092023161723.pdf")</f>
        <v>https://dpmzos25m8ivg.cloudfront.net/Documentos/631/07025419583/6310702541958311092023161723.pdf</v>
      </c>
      <c r="G3387" s="5" t="str">
        <f>HYPERLINK("https://dpmzos25m8ivg.cloudfront.net/Documentos/631/07025419583/6310702541958311092023161802.pdf","https://dpmzos25m8ivg.cloudfront.net/Documentos/631/07025419583/6310702541958311092023161802.pdf")</f>
        <v>https://dpmzos25m8ivg.cloudfront.net/Documentos/631/07025419583/6310702541958311092023161802.pdf</v>
      </c>
      <c r="H3387" s="5" t="s">
        <v>11965</v>
      </c>
    </row>
    <row r="3388" spans="1:8" x14ac:dyDescent="0.25">
      <c r="A3388" s="2" t="s">
        <v>3408</v>
      </c>
      <c r="B3388" s="3"/>
      <c r="C3388" s="3"/>
      <c r="D3388" s="3"/>
      <c r="E3388" s="5" t="str">
        <f>HYPERLINK("https://dpmzos25m8ivg.cloudfront.net/Documentos/631/07027461854/6310702746185414092023000525.pdf","https://dpmzos25m8ivg.cloudfront.net/Documentos/631/07027461854/6310702746185414092023000525.pdf")</f>
        <v>https://dpmzos25m8ivg.cloudfront.net/Documentos/631/07027461854/6310702746185414092023000525.pdf</v>
      </c>
      <c r="F3388" s="5" t="str">
        <f>HYPERLINK("https://dpmzos25m8ivg.cloudfront.net/Documentos/631/07027461854/6310702746185414092023000542.pdf","https://dpmzos25m8ivg.cloudfront.net/Documentos/631/07027461854/6310702746185414092023000542.pdf")</f>
        <v>https://dpmzos25m8ivg.cloudfront.net/Documentos/631/07027461854/6310702746185414092023000542.pdf</v>
      </c>
      <c r="G3388" s="5" t="str">
        <f>HYPERLINK("https://dpmzos25m8ivg.cloudfront.net/Documentos/631/07027461854/6310702746185414092023000554.pdf","https://dpmzos25m8ivg.cloudfront.net/Documentos/631/07027461854/6310702746185414092023000554.pdf")</f>
        <v>https://dpmzos25m8ivg.cloudfront.net/Documentos/631/07027461854/6310702746185414092023000554.pdf</v>
      </c>
      <c r="H3388" s="5" t="s">
        <v>11966</v>
      </c>
    </row>
    <row r="3389" spans="1:8" x14ac:dyDescent="0.25">
      <c r="A3389" s="2" t="s">
        <v>3409</v>
      </c>
      <c r="B3389" s="3"/>
      <c r="C3389" s="3"/>
      <c r="D3389" s="3"/>
      <c r="E3389" s="5" t="str">
        <f>HYPERLINK("https://dpmzos25m8ivg.cloudfront.net/Documentos/631/07027510308/6310702751030810092023193033.pdf","https://dpmzos25m8ivg.cloudfront.net/Documentos/631/07027510308/6310702751030810092023193033.pdf")</f>
        <v>https://dpmzos25m8ivg.cloudfront.net/Documentos/631/07027510308/6310702751030810092023193033.pdf</v>
      </c>
      <c r="F3389" s="5" t="str">
        <f>HYPERLINK("https://dpmzos25m8ivg.cloudfront.net/Documentos/631/07027510308/6310702751030810092023193104.pdf","https://dpmzos25m8ivg.cloudfront.net/Documentos/631/07027510308/6310702751030810092023193104.pdf")</f>
        <v>https://dpmzos25m8ivg.cloudfront.net/Documentos/631/07027510308/6310702751030810092023193104.pdf</v>
      </c>
      <c r="G3389" s="5" t="str">
        <f>HYPERLINK("https://dpmzos25m8ivg.cloudfront.net/Documentos/631/07027510308/6310702751030810092023193141.pdf","https://dpmzos25m8ivg.cloudfront.net/Documentos/631/07027510308/6310702751030810092023193141.pdf")</f>
        <v>https://dpmzos25m8ivg.cloudfront.net/Documentos/631/07027510308/6310702751030810092023193141.pdf</v>
      </c>
      <c r="H3389" s="5" t="s">
        <v>11967</v>
      </c>
    </row>
    <row r="3390" spans="1:8" x14ac:dyDescent="0.25">
      <c r="A3390" s="2" t="s">
        <v>3410</v>
      </c>
      <c r="B3390" s="3"/>
      <c r="C3390" s="3"/>
      <c r="D3390" s="3"/>
      <c r="E3390" s="5" t="str">
        <f>HYPERLINK("https://dpmzos25m8ivg.cloudfront.net/Documentos/631/07029259505/6310702925950511092023162524.jpg","https://dpmzos25m8ivg.cloudfront.net/Documentos/631/07029259505/6310702925950511092023162524.jpg")</f>
        <v>https://dpmzos25m8ivg.cloudfront.net/Documentos/631/07029259505/6310702925950511092023162524.jpg</v>
      </c>
      <c r="F3390" s="5" t="str">
        <f>HYPERLINK("https://dpmzos25m8ivg.cloudfront.net/Documentos/631/07029259505/6310702925950511092023162552.jpg","https://dpmzos25m8ivg.cloudfront.net/Documentos/631/07029259505/6310702925950511092023162552.jpg")</f>
        <v>https://dpmzos25m8ivg.cloudfront.net/Documentos/631/07029259505/6310702925950511092023162552.jpg</v>
      </c>
      <c r="G3390" s="5" t="str">
        <f>HYPERLINK("https://dpmzos25m8ivg.cloudfront.net/Documentos/631/07029259505/6310702925950511092023162611.jpg","https://dpmzos25m8ivg.cloudfront.net/Documentos/631/07029259505/6310702925950511092023162611.jpg")</f>
        <v>https://dpmzos25m8ivg.cloudfront.net/Documentos/631/07029259505/6310702925950511092023162611.jpg</v>
      </c>
      <c r="H3390" s="5" t="s">
        <v>11968</v>
      </c>
    </row>
    <row r="3391" spans="1:8" x14ac:dyDescent="0.25">
      <c r="A3391" s="2" t="s">
        <v>3411</v>
      </c>
      <c r="B3391" s="3"/>
      <c r="C3391" s="3"/>
      <c r="D3391" s="3"/>
      <c r="E3391" s="5" t="str">
        <f>HYPERLINK("https://dpmzos25m8ivg.cloudfront.net/Documentos/631/07029871316/6310702987131610092023195106.pdf","https://dpmzos25m8ivg.cloudfront.net/Documentos/631/07029871316/6310702987131610092023195106.pdf")</f>
        <v>https://dpmzos25m8ivg.cloudfront.net/Documentos/631/07029871316/6310702987131610092023195106.pdf</v>
      </c>
      <c r="F3391" s="5" t="str">
        <f>HYPERLINK("https://dpmzos25m8ivg.cloudfront.net/Documentos/631/07029871316/6310702987131610092023195118.pdf","https://dpmzos25m8ivg.cloudfront.net/Documentos/631/07029871316/6310702987131610092023195118.pdf")</f>
        <v>https://dpmzos25m8ivg.cloudfront.net/Documentos/631/07029871316/6310702987131610092023195118.pdf</v>
      </c>
      <c r="G3391" s="5" t="str">
        <f>HYPERLINK("https://dpmzos25m8ivg.cloudfront.net/Documentos/631/07029871316/6310702987131610092023195133.pdf","https://dpmzos25m8ivg.cloudfront.net/Documentos/631/07029871316/6310702987131610092023195133.pdf")</f>
        <v>https://dpmzos25m8ivg.cloudfront.net/Documentos/631/07029871316/6310702987131610092023195133.pdf</v>
      </c>
      <c r="H3391" s="5" t="s">
        <v>11969</v>
      </c>
    </row>
    <row r="3392" spans="1:8" x14ac:dyDescent="0.25">
      <c r="A3392" s="2" t="s">
        <v>3412</v>
      </c>
      <c r="B3392" s="3"/>
      <c r="C3392" s="3"/>
      <c r="D3392" s="3"/>
      <c r="E3392" s="5" t="str">
        <f>HYPERLINK("https://dpmzos25m8ivg.cloudfront.net/Documentos/631/07031423309/6310703142330905092023111911.pdf","https://dpmzos25m8ivg.cloudfront.net/Documentos/631/07031423309/6310703142330905092023111911.pdf")</f>
        <v>https://dpmzos25m8ivg.cloudfront.net/Documentos/631/07031423309/6310703142330905092023111911.pdf</v>
      </c>
      <c r="F3392" s="5" t="str">
        <f>HYPERLINK("https://dpmzos25m8ivg.cloudfront.net/Documentos/631/07031423309/6310703142330905092023111928.pdf","https://dpmzos25m8ivg.cloudfront.net/Documentos/631/07031423309/6310703142330905092023111928.pdf")</f>
        <v>https://dpmzos25m8ivg.cloudfront.net/Documentos/631/07031423309/6310703142330905092023111928.pdf</v>
      </c>
      <c r="G3392" s="5" t="str">
        <f>HYPERLINK("https://dpmzos25m8ivg.cloudfront.net/Documentos/631/07031423309/6310703142330905092023111949.pdf","https://dpmzos25m8ivg.cloudfront.net/Documentos/631/07031423309/6310703142330905092023111949.pdf")</f>
        <v>https://dpmzos25m8ivg.cloudfront.net/Documentos/631/07031423309/6310703142330905092023111949.pdf</v>
      </c>
      <c r="H3392" s="5" t="s">
        <v>11970</v>
      </c>
    </row>
    <row r="3393" spans="1:8" x14ac:dyDescent="0.25">
      <c r="A3393" s="2" t="s">
        <v>3413</v>
      </c>
      <c r="B3393" s="3"/>
      <c r="C3393" s="3"/>
      <c r="D3393" s="3"/>
      <c r="E3393" s="5" t="str">
        <f>HYPERLINK("https://dpmzos25m8ivg.cloudfront.net/Documentos/631/07031952557/6310703195255709092023171733.jpg","https://dpmzos25m8ivg.cloudfront.net/Documentos/631/07031952557/6310703195255709092023171733.jpg")</f>
        <v>https://dpmzos25m8ivg.cloudfront.net/Documentos/631/07031952557/6310703195255709092023171733.jpg</v>
      </c>
      <c r="F3393" s="5" t="str">
        <f>HYPERLINK("https://dpmzos25m8ivg.cloudfront.net/Documentos/631/07031952557/6310703195255709092023171828.jpg","https://dpmzos25m8ivg.cloudfront.net/Documentos/631/07031952557/6310703195255709092023171828.jpg")</f>
        <v>https://dpmzos25m8ivg.cloudfront.net/Documentos/631/07031952557/6310703195255709092023171828.jpg</v>
      </c>
      <c r="G3393" s="5" t="str">
        <f>HYPERLINK("https://dpmzos25m8ivg.cloudfront.net/Documentos/631/07031952557/6310703195255709092023171909.jpg","https://dpmzos25m8ivg.cloudfront.net/Documentos/631/07031952557/6310703195255709092023171909.jpg")</f>
        <v>https://dpmzos25m8ivg.cloudfront.net/Documentos/631/07031952557/6310703195255709092023171909.jpg</v>
      </c>
      <c r="H3393" s="5" t="s">
        <v>11971</v>
      </c>
    </row>
    <row r="3394" spans="1:8" x14ac:dyDescent="0.25">
      <c r="A3394" s="2" t="s">
        <v>3414</v>
      </c>
      <c r="B3394" s="3"/>
      <c r="C3394" s="3"/>
      <c r="D3394" s="3"/>
      <c r="E3394" s="5" t="str">
        <f>HYPERLINK("https://dpmzos25m8ivg.cloudfront.net/Documentos/631/07032251382/6310703225138211092023095649.pdf","https://dpmzos25m8ivg.cloudfront.net/Documentos/631/07032251382/6310703225138211092023095649.pdf")</f>
        <v>https://dpmzos25m8ivg.cloudfront.net/Documentos/631/07032251382/6310703225138211092023095649.pdf</v>
      </c>
      <c r="F3394" s="5" t="str">
        <f>HYPERLINK("https://dpmzos25m8ivg.cloudfront.net/Documentos/631/07032251382/6310703225138211092023095716.pdf","https://dpmzos25m8ivg.cloudfront.net/Documentos/631/07032251382/6310703225138211092023095716.pdf")</f>
        <v>https://dpmzos25m8ivg.cloudfront.net/Documentos/631/07032251382/6310703225138211092023095716.pdf</v>
      </c>
      <c r="G3394" s="5" t="str">
        <f>HYPERLINK("https://dpmzos25m8ivg.cloudfront.net/Documentos/631/07032251382/6310703225138211092023095734.pdf","https://dpmzos25m8ivg.cloudfront.net/Documentos/631/07032251382/6310703225138211092023095734.pdf")</f>
        <v>https://dpmzos25m8ivg.cloudfront.net/Documentos/631/07032251382/6310703225138211092023095734.pdf</v>
      </c>
      <c r="H3394" s="5" t="s">
        <v>11972</v>
      </c>
    </row>
    <row r="3395" spans="1:8" x14ac:dyDescent="0.25">
      <c r="A3395" s="2" t="s">
        <v>3415</v>
      </c>
      <c r="B3395" s="3" t="s">
        <v>2358</v>
      </c>
      <c r="C3395" s="3"/>
      <c r="D3395" s="3"/>
      <c r="E3395" s="5" t="str">
        <f>HYPERLINK("https://dpmzos25m8ivg.cloudfront.net/Documentos/631/07032788351/6310703278835114092023084123.pdf","https://dpmzos25m8ivg.cloudfront.net/Documentos/631/07032788351/6310703278835114092023084123.pdf")</f>
        <v>https://dpmzos25m8ivg.cloudfront.net/Documentos/631/07032788351/6310703278835114092023084123.pdf</v>
      </c>
      <c r="F3395" s="5" t="str">
        <f>HYPERLINK("https://dpmzos25m8ivg.cloudfront.net/Documentos/631/07032788351/6310703278835114092023084937.pdf","https://dpmzos25m8ivg.cloudfront.net/Documentos/631/07032788351/6310703278835114092023084937.pdf")</f>
        <v>https://dpmzos25m8ivg.cloudfront.net/Documentos/631/07032788351/6310703278835114092023084937.pdf</v>
      </c>
      <c r="G3395" s="5" t="str">
        <f>HYPERLINK("https://dpmzos25m8ivg.cloudfront.net/Documentos/631/07032788351/6310703278835114092023084943.pdf","https://dpmzos25m8ivg.cloudfront.net/Documentos/631/07032788351/6310703278835114092023084943.pdf")</f>
        <v>https://dpmzos25m8ivg.cloudfront.net/Documentos/631/07032788351/6310703278835114092023084943.pdf</v>
      </c>
      <c r="H3395" s="5" t="s">
        <v>11973</v>
      </c>
    </row>
    <row r="3396" spans="1:8" x14ac:dyDescent="0.25">
      <c r="A3396" s="2" t="s">
        <v>3416</v>
      </c>
      <c r="B3396" s="3"/>
      <c r="C3396" s="3"/>
      <c r="D3396" s="3"/>
      <c r="E3396" s="5" t="str">
        <f>HYPERLINK("https://dpmzos25m8ivg.cloudfront.net/Documentos/631/07035364439/6310703536443911092023171008.jpeg","https://dpmzos25m8ivg.cloudfront.net/Documentos/631/07035364439/6310703536443911092023171008.jpeg")</f>
        <v>https://dpmzos25m8ivg.cloudfront.net/Documentos/631/07035364439/6310703536443911092023171008.jpeg</v>
      </c>
      <c r="F3396" s="5" t="str">
        <f>HYPERLINK("https://dpmzos25m8ivg.cloudfront.net/Documentos/631/07035364439/6310703536443911092023170954.jpeg","https://dpmzos25m8ivg.cloudfront.net/Documentos/631/07035364439/6310703536443911092023170954.jpeg")</f>
        <v>https://dpmzos25m8ivg.cloudfront.net/Documentos/631/07035364439/6310703536443911092023170954.jpeg</v>
      </c>
      <c r="G3396" s="5" t="str">
        <f>HYPERLINK("https://dpmzos25m8ivg.cloudfront.net/Documentos/631/07035364439/6310703536443911092023170935.jpeg","https://dpmzos25m8ivg.cloudfront.net/Documentos/631/07035364439/6310703536443911092023170935.jpeg")</f>
        <v>https://dpmzos25m8ivg.cloudfront.net/Documentos/631/07035364439/6310703536443911092023170935.jpeg</v>
      </c>
      <c r="H3396" s="5" t="s">
        <v>11974</v>
      </c>
    </row>
    <row r="3397" spans="1:8" x14ac:dyDescent="0.25">
      <c r="A3397" s="2" t="s">
        <v>3417</v>
      </c>
      <c r="B3397" s="3"/>
      <c r="C3397" s="3"/>
      <c r="D3397" s="3"/>
      <c r="E3397" s="5" t="str">
        <f>HYPERLINK("https://dpmzos25m8ivg.cloudfront.net/Documentos/631/07035922385/6310703592238511092023155305.pdf","https://dpmzos25m8ivg.cloudfront.net/Documentos/631/07035922385/6310703592238511092023155305.pdf")</f>
        <v>https://dpmzos25m8ivg.cloudfront.net/Documentos/631/07035922385/6310703592238511092023155305.pdf</v>
      </c>
      <c r="F3397" s="5" t="str">
        <f>HYPERLINK("https://dpmzos25m8ivg.cloudfront.net/Documentos/631/07035922385/6310703592238511092023155321.pdf","https://dpmzos25m8ivg.cloudfront.net/Documentos/631/07035922385/6310703592238511092023155321.pdf")</f>
        <v>https://dpmzos25m8ivg.cloudfront.net/Documentos/631/07035922385/6310703592238511092023155321.pdf</v>
      </c>
      <c r="G3397" s="5" t="str">
        <f>HYPERLINK("https://dpmzos25m8ivg.cloudfront.net/Documentos/631/07035922385/6310703592238511092023163008.pdf","https://dpmzos25m8ivg.cloudfront.net/Documentos/631/07035922385/6310703592238511092023163008.pdf")</f>
        <v>https://dpmzos25m8ivg.cloudfront.net/Documentos/631/07035922385/6310703592238511092023163008.pdf</v>
      </c>
      <c r="H3397" s="5" t="s">
        <v>11975</v>
      </c>
    </row>
    <row r="3398" spans="1:8" x14ac:dyDescent="0.25">
      <c r="A3398" s="2" t="s">
        <v>3418</v>
      </c>
      <c r="B3398" s="3"/>
      <c r="C3398" s="3"/>
      <c r="D3398" s="3"/>
      <c r="E3398" s="5" t="str">
        <f>HYPERLINK("https://dpmzos25m8ivg.cloudfront.net/Documentos/631/07038601199/6310703860119905092023091542.pdf","https://dpmzos25m8ivg.cloudfront.net/Documentos/631/07038601199/6310703860119905092023091542.pdf")</f>
        <v>https://dpmzos25m8ivg.cloudfront.net/Documentos/631/07038601199/6310703860119905092023091542.pdf</v>
      </c>
      <c r="F3398" s="5" t="str">
        <f>HYPERLINK("https://dpmzos25m8ivg.cloudfront.net/Documentos/631/07038601199/6310703860119905092023091553.pdf","https://dpmzos25m8ivg.cloudfront.net/Documentos/631/07038601199/6310703860119905092023091553.pdf")</f>
        <v>https://dpmzos25m8ivg.cloudfront.net/Documentos/631/07038601199/6310703860119905092023091553.pdf</v>
      </c>
      <c r="G3398" s="5" t="str">
        <f>HYPERLINK("https://dpmzos25m8ivg.cloudfront.net/Documentos/631/07038601199/6310703860119905092023091611.pdf","https://dpmzos25m8ivg.cloudfront.net/Documentos/631/07038601199/6310703860119905092023091611.pdf")</f>
        <v>https://dpmzos25m8ivg.cloudfront.net/Documentos/631/07038601199/6310703860119905092023091611.pdf</v>
      </c>
      <c r="H3398" s="5" t="s">
        <v>11976</v>
      </c>
    </row>
    <row r="3399" spans="1:8" x14ac:dyDescent="0.25">
      <c r="A3399" s="2" t="s">
        <v>3419</v>
      </c>
      <c r="B3399" s="3"/>
      <c r="C3399" s="3"/>
      <c r="D3399" s="3"/>
      <c r="E3399" s="5" t="str">
        <f>HYPERLINK("https://dpmzos25m8ivg.cloudfront.net/Documentos/631/07041321339/6310704132133911092023134014.jpg","https://dpmzos25m8ivg.cloudfront.net/Documentos/631/07041321339/6310704132133911092023134014.jpg")</f>
        <v>https://dpmzos25m8ivg.cloudfront.net/Documentos/631/07041321339/6310704132133911092023134014.jpg</v>
      </c>
      <c r="F3399" s="5" t="str">
        <f>HYPERLINK("https://dpmzos25m8ivg.cloudfront.net/Documentos/631/07041321339/6310704132133911092023134030.jpg","https://dpmzos25m8ivg.cloudfront.net/Documentos/631/07041321339/6310704132133911092023134030.jpg")</f>
        <v>https://dpmzos25m8ivg.cloudfront.net/Documentos/631/07041321339/6310704132133911092023134030.jpg</v>
      </c>
      <c r="G3399" s="5" t="str">
        <f>HYPERLINK("https://dpmzos25m8ivg.cloudfront.net/Documentos/631/07041321339/6310704132133911092023134046.jpg","https://dpmzos25m8ivg.cloudfront.net/Documentos/631/07041321339/6310704132133911092023134046.jpg")</f>
        <v>https://dpmzos25m8ivg.cloudfront.net/Documentos/631/07041321339/6310704132133911092023134046.jpg</v>
      </c>
      <c r="H3399" s="5" t="s">
        <v>11977</v>
      </c>
    </row>
    <row r="3400" spans="1:8" x14ac:dyDescent="0.25">
      <c r="A3400" s="2" t="s">
        <v>3420</v>
      </c>
      <c r="B3400" s="3"/>
      <c r="C3400" s="3"/>
      <c r="D3400" s="3"/>
      <c r="E3400" s="5" t="str">
        <f>HYPERLINK("https://dpmzos25m8ivg.cloudfront.net/Documentos/631/07041774554/6310704177455409092023115807.pdf","https://dpmzos25m8ivg.cloudfront.net/Documentos/631/07041774554/6310704177455409092023115807.pdf")</f>
        <v>https://dpmzos25m8ivg.cloudfront.net/Documentos/631/07041774554/6310704177455409092023115807.pdf</v>
      </c>
      <c r="F3400" s="5" t="str">
        <f>HYPERLINK("https://dpmzos25m8ivg.cloudfront.net/Documentos/631/07041774554/6310704177455409092023115935.pdf","https://dpmzos25m8ivg.cloudfront.net/Documentos/631/07041774554/6310704177455409092023115935.pdf")</f>
        <v>https://dpmzos25m8ivg.cloudfront.net/Documentos/631/07041774554/6310704177455409092023115935.pdf</v>
      </c>
      <c r="G3400" s="5" t="str">
        <f>HYPERLINK("https://dpmzos25m8ivg.cloudfront.net/Documentos/631/07041774554/6310704177455409092023120036.pdf","https://dpmzos25m8ivg.cloudfront.net/Documentos/631/07041774554/6310704177455409092023120036.pdf")</f>
        <v>https://dpmzos25m8ivg.cloudfront.net/Documentos/631/07041774554/6310704177455409092023120036.pdf</v>
      </c>
      <c r="H3400" s="5" t="s">
        <v>11978</v>
      </c>
    </row>
    <row r="3401" spans="1:8" x14ac:dyDescent="0.25">
      <c r="A3401" s="2" t="s">
        <v>3421</v>
      </c>
      <c r="B3401" s="3"/>
      <c r="C3401" s="3"/>
      <c r="D3401" s="3"/>
      <c r="E3401" s="5" t="str">
        <f>HYPERLINK("https://dpmzos25m8ivg.cloudfront.net/Documentos/631/07042357655/6310704235765514092023115447.jpeg","https://dpmzos25m8ivg.cloudfront.net/Documentos/631/07042357655/6310704235765514092023115447.jpeg")</f>
        <v>https://dpmzos25m8ivg.cloudfront.net/Documentos/631/07042357655/6310704235765514092023115447.jpeg</v>
      </c>
      <c r="F3401" s="5" t="str">
        <f>HYPERLINK("https://dpmzos25m8ivg.cloudfront.net/Documentos/631/07042357655/6310704235765514092023120039.jpeg","https://dpmzos25m8ivg.cloudfront.net/Documentos/631/07042357655/6310704235765514092023120039.jpeg")</f>
        <v>https://dpmzos25m8ivg.cloudfront.net/Documentos/631/07042357655/6310704235765514092023120039.jpeg</v>
      </c>
      <c r="G3401" s="5" t="str">
        <f>HYPERLINK("https://dpmzos25m8ivg.cloudfront.net/Documentos/631/07042357655/6310704235765514092023120049.jpeg","https://dpmzos25m8ivg.cloudfront.net/Documentos/631/07042357655/6310704235765514092023120049.jpeg")</f>
        <v>https://dpmzos25m8ivg.cloudfront.net/Documentos/631/07042357655/6310704235765514092023120049.jpeg</v>
      </c>
      <c r="H3401" s="5" t="s">
        <v>11979</v>
      </c>
    </row>
    <row r="3402" spans="1:8" x14ac:dyDescent="0.25">
      <c r="A3402" s="2" t="s">
        <v>3422</v>
      </c>
      <c r="B3402" s="3"/>
      <c r="C3402" s="3"/>
      <c r="D3402" s="3"/>
      <c r="E3402" s="5" t="str">
        <f>HYPERLINK("https://dpmzos25m8ivg.cloudfront.net/Documentos/631/07043972507/6310704397250706092023155807.pdf","https://dpmzos25m8ivg.cloudfront.net/Documentos/631/07043972507/6310704397250706092023155807.pdf")</f>
        <v>https://dpmzos25m8ivg.cloudfront.net/Documentos/631/07043972507/6310704397250706092023155807.pdf</v>
      </c>
      <c r="F3402" s="5" t="str">
        <f>HYPERLINK("https://dpmzos25m8ivg.cloudfront.net/Documentos/631/07043972507/6310704397250706092023155822.pdf","https://dpmzos25m8ivg.cloudfront.net/Documentos/631/07043972507/6310704397250706092023155822.pdf")</f>
        <v>https://dpmzos25m8ivg.cloudfront.net/Documentos/631/07043972507/6310704397250706092023155822.pdf</v>
      </c>
      <c r="G3402" s="5" t="str">
        <f>HYPERLINK("https://dpmzos25m8ivg.cloudfront.net/Documentos/631/07043972507/6310704397250706092023155842.pdf","https://dpmzos25m8ivg.cloudfront.net/Documentos/631/07043972507/6310704397250706092023155842.pdf")</f>
        <v>https://dpmzos25m8ivg.cloudfront.net/Documentos/631/07043972507/6310704397250706092023155842.pdf</v>
      </c>
      <c r="H3402" s="5" t="s">
        <v>11980</v>
      </c>
    </row>
    <row r="3403" spans="1:8" x14ac:dyDescent="0.25">
      <c r="A3403" s="2" t="s">
        <v>3423</v>
      </c>
      <c r="B3403" s="3"/>
      <c r="C3403" s="3"/>
      <c r="D3403" s="3"/>
      <c r="E3403" s="5" t="str">
        <f>HYPERLINK("https://dpmzos25m8ivg.cloudfront.net/Documentos/631/07049391344/6310704939134407092023193440.pdf","https://dpmzos25m8ivg.cloudfront.net/Documentos/631/07049391344/6310704939134407092023193440.pdf")</f>
        <v>https://dpmzos25m8ivg.cloudfront.net/Documentos/631/07049391344/6310704939134407092023193440.pdf</v>
      </c>
      <c r="F3403" s="5" t="str">
        <f>HYPERLINK("https://dpmzos25m8ivg.cloudfront.net/Documentos/631/07049391344/6310704939134407092023193535.pdf","https://dpmzos25m8ivg.cloudfront.net/Documentos/631/07049391344/6310704939134407092023193535.pdf")</f>
        <v>https://dpmzos25m8ivg.cloudfront.net/Documentos/631/07049391344/6310704939134407092023193535.pdf</v>
      </c>
      <c r="G3403" s="5" t="str">
        <f>HYPERLINK("https://dpmzos25m8ivg.cloudfront.net/Documentos/631/07049391344/6310704939134407092023193554.pdf","https://dpmzos25m8ivg.cloudfront.net/Documentos/631/07049391344/6310704939134407092023193554.pdf")</f>
        <v>https://dpmzos25m8ivg.cloudfront.net/Documentos/631/07049391344/6310704939134407092023193554.pdf</v>
      </c>
      <c r="H3403" s="5" t="s">
        <v>11981</v>
      </c>
    </row>
    <row r="3404" spans="1:8" x14ac:dyDescent="0.25">
      <c r="A3404" s="2" t="s">
        <v>3424</v>
      </c>
      <c r="B3404" s="3" t="s">
        <v>2358</v>
      </c>
      <c r="C3404" s="3"/>
      <c r="D3404" s="3"/>
      <c r="E3404" s="5" t="str">
        <f>HYPERLINK("https://dpmzos25m8ivg.cloudfront.net/Documentos/631/07049442194/6310704944219410092023182849.pdf","https://dpmzos25m8ivg.cloudfront.net/Documentos/631/07049442194/6310704944219410092023182849.pdf")</f>
        <v>https://dpmzos25m8ivg.cloudfront.net/Documentos/631/07049442194/6310704944219410092023182849.pdf</v>
      </c>
      <c r="F3404" s="5" t="str">
        <f>HYPERLINK("https://dpmzos25m8ivg.cloudfront.net/Documentos/631/07049442194/6310704944219410092023182903.pdf","https://dpmzos25m8ivg.cloudfront.net/Documentos/631/07049442194/6310704944219410092023182903.pdf")</f>
        <v>https://dpmzos25m8ivg.cloudfront.net/Documentos/631/07049442194/6310704944219410092023182903.pdf</v>
      </c>
      <c r="G3404" s="5" t="str">
        <f>HYPERLINK("https://dpmzos25m8ivg.cloudfront.net/Documentos/631/07049442194/6310704944219410092023182919.pdf","https://dpmzos25m8ivg.cloudfront.net/Documentos/631/07049442194/6310704944219410092023182919.pdf")</f>
        <v>https://dpmzos25m8ivg.cloudfront.net/Documentos/631/07049442194/6310704944219410092023182919.pdf</v>
      </c>
      <c r="H3404" s="5" t="s">
        <v>11982</v>
      </c>
    </row>
    <row r="3405" spans="1:8" x14ac:dyDescent="0.25">
      <c r="A3405" s="2" t="s">
        <v>3425</v>
      </c>
      <c r="B3405" s="3"/>
      <c r="C3405" s="3"/>
      <c r="D3405" s="3"/>
      <c r="E3405" s="5" t="str">
        <f>HYPERLINK("https://dpmzos25m8ivg.cloudfront.net/Documentos/631/07050960330/6310705096033005092023143816.pdf","https://dpmzos25m8ivg.cloudfront.net/Documentos/631/07050960330/6310705096033005092023143816.pdf")</f>
        <v>https://dpmzos25m8ivg.cloudfront.net/Documentos/631/07050960330/6310705096033005092023143816.pdf</v>
      </c>
      <c r="F3405" s="5" t="str">
        <f>HYPERLINK("https://dpmzos25m8ivg.cloudfront.net/Documentos/631/07050960330/6310705096033005092023143833.pdf","https://dpmzos25m8ivg.cloudfront.net/Documentos/631/07050960330/6310705096033005092023143833.pdf")</f>
        <v>https://dpmzos25m8ivg.cloudfront.net/Documentos/631/07050960330/6310705096033005092023143833.pdf</v>
      </c>
      <c r="G3405" s="5" t="str">
        <f>HYPERLINK("https://dpmzos25m8ivg.cloudfront.net/Documentos/631/07050960330/6310705096033005092023143850.pdf","https://dpmzos25m8ivg.cloudfront.net/Documentos/631/07050960330/6310705096033005092023143850.pdf")</f>
        <v>https://dpmzos25m8ivg.cloudfront.net/Documentos/631/07050960330/6310705096033005092023143850.pdf</v>
      </c>
      <c r="H3405" s="5" t="s">
        <v>11983</v>
      </c>
    </row>
    <row r="3406" spans="1:8" x14ac:dyDescent="0.25">
      <c r="A3406" s="2" t="s">
        <v>3426</v>
      </c>
      <c r="B3406" s="6" t="s">
        <v>2358</v>
      </c>
      <c r="C3406" s="3"/>
      <c r="D3406" s="3"/>
      <c r="E3406" s="5" t="str">
        <f>HYPERLINK("https://dpmzos25m8ivg.cloudfront.net/Documentos/631/07053076628/6310705307662811092023165136.pdf","https://dpmzos25m8ivg.cloudfront.net/Documentos/631/07053076628/6310705307662811092023165136.pdf")</f>
        <v>https://dpmzos25m8ivg.cloudfront.net/Documentos/631/07053076628/6310705307662811092023165136.pdf</v>
      </c>
      <c r="F3406" s="5" t="str">
        <f>HYPERLINK("https://dpmzos25m8ivg.cloudfront.net/Documentos/631/07053076628/6310705307662811092023165144.pdf","https://dpmzos25m8ivg.cloudfront.net/Documentos/631/07053076628/6310705307662811092023165144.pdf")</f>
        <v>https://dpmzos25m8ivg.cloudfront.net/Documentos/631/07053076628/6310705307662811092023165144.pdf</v>
      </c>
      <c r="G3406" s="5" t="str">
        <f>HYPERLINK("https://dpmzos25m8ivg.cloudfront.net/Documentos/631/07053076628/6310705307662811092023165154.pdf","https://dpmzos25m8ivg.cloudfront.net/Documentos/631/07053076628/6310705307662811092023165154.pdf")</f>
        <v>https://dpmzos25m8ivg.cloudfront.net/Documentos/631/07053076628/6310705307662811092023165154.pdf</v>
      </c>
      <c r="H3406" s="5" t="s">
        <v>11984</v>
      </c>
    </row>
    <row r="3407" spans="1:8" x14ac:dyDescent="0.25">
      <c r="A3407" s="2" t="s">
        <v>3427</v>
      </c>
      <c r="B3407" s="3" t="s">
        <v>2358</v>
      </c>
      <c r="C3407" s="3"/>
      <c r="D3407" s="3"/>
      <c r="E3407" s="5" t="str">
        <f>HYPERLINK("https://dpmzos25m8ivg.cloudfront.net/Documentos/631/07054015452/6310705401545210092023092437.jpeg","https://dpmzos25m8ivg.cloudfront.net/Documentos/631/07054015452/6310705401545210092023092437.jpeg")</f>
        <v>https://dpmzos25m8ivg.cloudfront.net/Documentos/631/07054015452/6310705401545210092023092437.jpeg</v>
      </c>
      <c r="F3407" s="5" t="str">
        <f>HYPERLINK("https://dpmzos25m8ivg.cloudfront.net/Documentos/631/07054015452/6310705401545210092023092446.jpeg","https://dpmzos25m8ivg.cloudfront.net/Documentos/631/07054015452/6310705401545210092023092446.jpeg")</f>
        <v>https://dpmzos25m8ivg.cloudfront.net/Documentos/631/07054015452/6310705401545210092023092446.jpeg</v>
      </c>
      <c r="G3407" s="5" t="str">
        <f>HYPERLINK("https://dpmzos25m8ivg.cloudfront.net/Documentos/631/07054015452/6310705401545210092023092455.jpeg","https://dpmzos25m8ivg.cloudfront.net/Documentos/631/07054015452/6310705401545210092023092455.jpeg")</f>
        <v>https://dpmzos25m8ivg.cloudfront.net/Documentos/631/07054015452/6310705401545210092023092455.jpeg</v>
      </c>
      <c r="H3407" s="5" t="s">
        <v>11985</v>
      </c>
    </row>
    <row r="3408" spans="1:8" x14ac:dyDescent="0.25">
      <c r="A3408" s="2" t="s">
        <v>3428</v>
      </c>
      <c r="B3408" s="3"/>
      <c r="C3408" s="3"/>
      <c r="D3408" s="3"/>
      <c r="E3408" s="5" t="str">
        <f>HYPERLINK("https://dpmzos25m8ivg.cloudfront.net/Documentos/631/07061035307/6310706103530711092023123318.pdf","https://dpmzos25m8ivg.cloudfront.net/Documentos/631/07061035307/6310706103530711092023123318.pdf")</f>
        <v>https://dpmzos25m8ivg.cloudfront.net/Documentos/631/07061035307/6310706103530711092023123318.pdf</v>
      </c>
      <c r="F3408" s="5" t="str">
        <f>HYPERLINK("https://dpmzos25m8ivg.cloudfront.net/Documentos/631/07061035307/6310706103530711092023123328.pdf","https://dpmzos25m8ivg.cloudfront.net/Documentos/631/07061035307/6310706103530711092023123328.pdf")</f>
        <v>https://dpmzos25m8ivg.cloudfront.net/Documentos/631/07061035307/6310706103530711092023123328.pdf</v>
      </c>
      <c r="G3408" s="5" t="str">
        <f>HYPERLINK("https://dpmzos25m8ivg.cloudfront.net/Documentos/631/07061035307/6310706103530711092023123338.pdf","https://dpmzos25m8ivg.cloudfront.net/Documentos/631/07061035307/6310706103530711092023123338.pdf")</f>
        <v>https://dpmzos25m8ivg.cloudfront.net/Documentos/631/07061035307/6310706103530711092023123338.pdf</v>
      </c>
      <c r="H3408" s="5" t="s">
        <v>11986</v>
      </c>
    </row>
    <row r="3409" spans="1:8" x14ac:dyDescent="0.25">
      <c r="A3409" s="2" t="s">
        <v>3429</v>
      </c>
      <c r="B3409" s="3"/>
      <c r="C3409" s="3"/>
      <c r="D3409" s="3"/>
      <c r="E3409" s="5" t="str">
        <f>HYPERLINK("https://dpmzos25m8ivg.cloudfront.net/Documentos/631/07063007343/6310706300734305092023112327.pdf","https://dpmzos25m8ivg.cloudfront.net/Documentos/631/07063007343/6310706300734305092023112327.pdf")</f>
        <v>https://dpmzos25m8ivg.cloudfront.net/Documentos/631/07063007343/6310706300734305092023112327.pdf</v>
      </c>
      <c r="F3409" s="5" t="str">
        <f>HYPERLINK("https://dpmzos25m8ivg.cloudfront.net/Documentos/631/07063007343/6310706300734305092023112341.pdf","https://dpmzos25m8ivg.cloudfront.net/Documentos/631/07063007343/6310706300734305092023112341.pdf")</f>
        <v>https://dpmzos25m8ivg.cloudfront.net/Documentos/631/07063007343/6310706300734305092023112341.pdf</v>
      </c>
      <c r="G3409" s="5" t="str">
        <f>HYPERLINK("https://dpmzos25m8ivg.cloudfront.net/Documentos/631/07063007343/6310706300734305092023112354.pdf","https://dpmzos25m8ivg.cloudfront.net/Documentos/631/07063007343/6310706300734305092023112354.pdf")</f>
        <v>https://dpmzos25m8ivg.cloudfront.net/Documentos/631/07063007343/6310706300734305092023112354.pdf</v>
      </c>
      <c r="H3409" s="5" t="s">
        <v>11987</v>
      </c>
    </row>
    <row r="3410" spans="1:8" x14ac:dyDescent="0.25">
      <c r="A3410" s="2" t="s">
        <v>3430</v>
      </c>
      <c r="B3410" s="3"/>
      <c r="C3410" s="3"/>
      <c r="D3410" s="3"/>
      <c r="E3410" s="5" t="str">
        <f>HYPERLINK("https://dpmzos25m8ivg.cloudfront.net/Documentos/631/07067527597/6310706752759711092023002413.pdf","https://dpmzos25m8ivg.cloudfront.net/Documentos/631/07067527597/6310706752759711092023002413.pdf")</f>
        <v>https://dpmzos25m8ivg.cloudfront.net/Documentos/631/07067527597/6310706752759711092023002413.pdf</v>
      </c>
      <c r="F3410" s="5" t="str">
        <f>HYPERLINK("https://dpmzos25m8ivg.cloudfront.net/Documentos/631/07067527597/6310706752759711092023002430.pdf","https://dpmzos25m8ivg.cloudfront.net/Documentos/631/07067527597/6310706752759711092023002430.pdf")</f>
        <v>https://dpmzos25m8ivg.cloudfront.net/Documentos/631/07067527597/6310706752759711092023002430.pdf</v>
      </c>
      <c r="G3410" s="5" t="str">
        <f>HYPERLINK("https://dpmzos25m8ivg.cloudfront.net/Documentos/631/07067527597/6310706752759711092023002448.pdf","https://dpmzos25m8ivg.cloudfront.net/Documentos/631/07067527597/6310706752759711092023002448.pdf")</f>
        <v>https://dpmzos25m8ivg.cloudfront.net/Documentos/631/07067527597/6310706752759711092023002448.pdf</v>
      </c>
      <c r="H3410" s="5" t="s">
        <v>11988</v>
      </c>
    </row>
    <row r="3411" spans="1:8" x14ac:dyDescent="0.25">
      <c r="A3411" s="2" t="s">
        <v>3431</v>
      </c>
      <c r="B3411" s="3"/>
      <c r="C3411" s="3"/>
      <c r="D3411" s="3"/>
      <c r="E3411" s="5" t="str">
        <f>HYPERLINK("https://dpmzos25m8ivg.cloudfront.net/Documentos/631/07067575303/6310706757530311092023083045.pdf","https://dpmzos25m8ivg.cloudfront.net/Documentos/631/07067575303/6310706757530311092023083045.pdf")</f>
        <v>https://dpmzos25m8ivg.cloudfront.net/Documentos/631/07067575303/6310706757530311092023083045.pdf</v>
      </c>
      <c r="F3411" s="5" t="str">
        <f>HYPERLINK("https://dpmzos25m8ivg.cloudfront.net/Documentos/631/07067575303/6310706757530311092023083058.pdf","https://dpmzos25m8ivg.cloudfront.net/Documentos/631/07067575303/6310706757530311092023083058.pdf")</f>
        <v>https://dpmzos25m8ivg.cloudfront.net/Documentos/631/07067575303/6310706757530311092023083058.pdf</v>
      </c>
      <c r="G3411" s="5" t="str">
        <f>HYPERLINK("https://dpmzos25m8ivg.cloudfront.net/Documentos/631/07067575303/6310706757530311092023083109.pdf","https://dpmzos25m8ivg.cloudfront.net/Documentos/631/07067575303/6310706757530311092023083109.pdf")</f>
        <v>https://dpmzos25m8ivg.cloudfront.net/Documentos/631/07067575303/6310706757530311092023083109.pdf</v>
      </c>
      <c r="H3411" s="5" t="s">
        <v>11989</v>
      </c>
    </row>
    <row r="3412" spans="1:8" x14ac:dyDescent="0.25">
      <c r="A3412" s="2" t="s">
        <v>3432</v>
      </c>
      <c r="B3412" s="3"/>
      <c r="C3412" s="3"/>
      <c r="D3412" s="3"/>
      <c r="E3412" s="5" t="str">
        <f>HYPERLINK("https://dpmzos25m8ivg.cloudfront.net/Documentos/631/07068479707/6310706847970711092023144638.pdf","https://dpmzos25m8ivg.cloudfront.net/Documentos/631/07068479707/6310706847970711092023144638.pdf")</f>
        <v>https://dpmzos25m8ivg.cloudfront.net/Documentos/631/07068479707/6310706847970711092023144638.pdf</v>
      </c>
      <c r="F3412" s="5" t="str">
        <f>HYPERLINK("https://dpmzos25m8ivg.cloudfront.net/Documentos/631/07068479707/6310706847970711092023144655.pdf","https://dpmzos25m8ivg.cloudfront.net/Documentos/631/07068479707/6310706847970711092023144655.pdf")</f>
        <v>https://dpmzos25m8ivg.cloudfront.net/Documentos/631/07068479707/6310706847970711092023144655.pdf</v>
      </c>
      <c r="G3412" s="5" t="str">
        <f>HYPERLINK("https://dpmzos25m8ivg.cloudfront.net/Documentos/631/07068479707/6310706847970711092023144710.pdf","https://dpmzos25m8ivg.cloudfront.net/Documentos/631/07068479707/6310706847970711092023144710.pdf")</f>
        <v>https://dpmzos25m8ivg.cloudfront.net/Documentos/631/07068479707/6310706847970711092023144710.pdf</v>
      </c>
      <c r="H3412" s="5" t="s">
        <v>11990</v>
      </c>
    </row>
    <row r="3413" spans="1:8" x14ac:dyDescent="0.25">
      <c r="A3413" s="2" t="s">
        <v>3433</v>
      </c>
      <c r="B3413" s="3"/>
      <c r="C3413" s="3"/>
      <c r="D3413" s="3"/>
      <c r="E3413" s="5" t="str">
        <f>HYPERLINK("https://dpmzos25m8ivg.cloudfront.net/Documentos/631/07071067376/6310707106737611092023152256.pdf","https://dpmzos25m8ivg.cloudfront.net/Documentos/631/07071067376/6310707106737611092023152256.pdf")</f>
        <v>https://dpmzos25m8ivg.cloudfront.net/Documentos/631/07071067376/6310707106737611092023152256.pdf</v>
      </c>
      <c r="F3413" s="5" t="str">
        <f>HYPERLINK("https://dpmzos25m8ivg.cloudfront.net/Documentos/631/07071067376/6310707106737611092023152305.pdf","https://dpmzos25m8ivg.cloudfront.net/Documentos/631/07071067376/6310707106737611092023152305.pdf")</f>
        <v>https://dpmzos25m8ivg.cloudfront.net/Documentos/631/07071067376/6310707106737611092023152305.pdf</v>
      </c>
      <c r="G3413" s="5" t="str">
        <f>HYPERLINK("https://dpmzos25m8ivg.cloudfront.net/Documentos/631/07071067376/6310707106737611092023152312.pdf","https://dpmzos25m8ivg.cloudfront.net/Documentos/631/07071067376/6310707106737611092023152312.pdf")</f>
        <v>https://dpmzos25m8ivg.cloudfront.net/Documentos/631/07071067376/6310707106737611092023152312.pdf</v>
      </c>
      <c r="H3413" s="5" t="s">
        <v>11991</v>
      </c>
    </row>
    <row r="3414" spans="1:8" x14ac:dyDescent="0.25">
      <c r="A3414" s="2" t="s">
        <v>3434</v>
      </c>
      <c r="B3414" s="3"/>
      <c r="C3414" s="3"/>
      <c r="D3414" s="3"/>
      <c r="E3414" s="5" t="str">
        <f>HYPERLINK("https://dpmzos25m8ivg.cloudfront.net/Documentos/631/07074927422/6310707492742211092023151350.jpeg","https://dpmzos25m8ivg.cloudfront.net/Documentos/631/07074927422/6310707492742211092023151350.jpeg")</f>
        <v>https://dpmzos25m8ivg.cloudfront.net/Documentos/631/07074927422/6310707492742211092023151350.jpeg</v>
      </c>
      <c r="F3414" s="5" t="str">
        <f>HYPERLINK("https://dpmzos25m8ivg.cloudfront.net/Documentos/631/07074927422/6310707492742211092023151413.jpeg","https://dpmzos25m8ivg.cloudfront.net/Documentos/631/07074927422/6310707492742211092023151413.jpeg")</f>
        <v>https://dpmzos25m8ivg.cloudfront.net/Documentos/631/07074927422/6310707492742211092023151413.jpeg</v>
      </c>
      <c r="G3414" s="5" t="str">
        <f>HYPERLINK("https://dpmzos25m8ivg.cloudfront.net/Documentos/631/07074927422/6310707492742211092023151426.jpeg","https://dpmzos25m8ivg.cloudfront.net/Documentos/631/07074927422/6310707492742211092023151426.jpeg")</f>
        <v>https://dpmzos25m8ivg.cloudfront.net/Documentos/631/07074927422/6310707492742211092023151426.jpeg</v>
      </c>
      <c r="H3414" s="5" t="s">
        <v>11992</v>
      </c>
    </row>
    <row r="3415" spans="1:8" x14ac:dyDescent="0.25">
      <c r="A3415" s="2" t="s">
        <v>3435</v>
      </c>
      <c r="B3415" s="3" t="s">
        <v>3381</v>
      </c>
      <c r="C3415" s="3"/>
      <c r="D3415" s="3"/>
      <c r="E3415" s="5" t="str">
        <f>HYPERLINK("https://dpmzos25m8ivg.cloudfront.net/Documentos/631/07079360986/6310707936098605092023164354.jpg","https://dpmzos25m8ivg.cloudfront.net/Documentos/631/07079360986/6310707936098605092023164354.jpg")</f>
        <v>https://dpmzos25m8ivg.cloudfront.net/Documentos/631/07079360986/6310707936098605092023164354.jpg</v>
      </c>
      <c r="F3415" s="5" t="str">
        <f>HYPERLINK("https://dpmzos25m8ivg.cloudfront.net/Documentos/631/07079360986/6310707936098605092023164402.jpg","https://dpmzos25m8ivg.cloudfront.net/Documentos/631/07079360986/6310707936098605092023164402.jpg")</f>
        <v>https://dpmzos25m8ivg.cloudfront.net/Documentos/631/07079360986/6310707936098605092023164402.jpg</v>
      </c>
      <c r="G3415" s="5" t="str">
        <f>HYPERLINK("https://dpmzos25m8ivg.cloudfront.net/Documentos/631/07079360986/6310707936098605092023164409.jpg","https://dpmzos25m8ivg.cloudfront.net/Documentos/631/07079360986/6310707936098605092023164409.jpg")</f>
        <v>https://dpmzos25m8ivg.cloudfront.net/Documentos/631/07079360986/6310707936098605092023164409.jpg</v>
      </c>
      <c r="H3415" s="5" t="s">
        <v>11993</v>
      </c>
    </row>
    <row r="3416" spans="1:8" x14ac:dyDescent="0.25">
      <c r="A3416" s="2" t="s">
        <v>3436</v>
      </c>
      <c r="B3416" s="3"/>
      <c r="C3416" s="3"/>
      <c r="D3416" s="3"/>
      <c r="E3416" s="5" t="str">
        <f>HYPERLINK("https://dpmzos25m8ivg.cloudfront.net/Documentos/631/07085454407/6310708545440705092023200113.jpg","https://dpmzos25m8ivg.cloudfront.net/Documentos/631/07085454407/6310708545440705092023200113.jpg")</f>
        <v>https://dpmzos25m8ivg.cloudfront.net/Documentos/631/07085454407/6310708545440705092023200113.jpg</v>
      </c>
      <c r="F3416" s="5" t="str">
        <f>HYPERLINK("https://dpmzos25m8ivg.cloudfront.net/Documentos/631/07085454407/6310708545440705092023200132.jpg","https://dpmzos25m8ivg.cloudfront.net/Documentos/631/07085454407/6310708545440705092023200132.jpg")</f>
        <v>https://dpmzos25m8ivg.cloudfront.net/Documentos/631/07085454407/6310708545440705092023200132.jpg</v>
      </c>
      <c r="G3416" s="5" t="str">
        <f>HYPERLINK("https://dpmzos25m8ivg.cloudfront.net/Documentos/631/07085454407/6310708545440705092023200149.jpg","https://dpmzos25m8ivg.cloudfront.net/Documentos/631/07085454407/6310708545440705092023200149.jpg")</f>
        <v>https://dpmzos25m8ivg.cloudfront.net/Documentos/631/07085454407/6310708545440705092023200149.jpg</v>
      </c>
      <c r="H3416" s="5" t="s">
        <v>11994</v>
      </c>
    </row>
    <row r="3417" spans="1:8" x14ac:dyDescent="0.25">
      <c r="A3417" s="2" t="s">
        <v>3437</v>
      </c>
      <c r="B3417" s="3"/>
      <c r="C3417" s="3"/>
      <c r="D3417" s="3"/>
      <c r="E3417" s="5" t="str">
        <f>HYPERLINK("https://dpmzos25m8ivg.cloudfront.net/Documentos/631/07085845198/6310708584519814092023142743.jpeg","https://dpmzos25m8ivg.cloudfront.net/Documentos/631/07085845198/6310708584519814092023142743.jpeg")</f>
        <v>https://dpmzos25m8ivg.cloudfront.net/Documentos/631/07085845198/6310708584519814092023142743.jpeg</v>
      </c>
      <c r="F3417" s="5" t="str">
        <f>HYPERLINK("https://dpmzos25m8ivg.cloudfront.net/Documentos/631/07085845198/6310708584519814092023142754.jpeg","https://dpmzos25m8ivg.cloudfront.net/Documentos/631/07085845198/6310708584519814092023142754.jpeg")</f>
        <v>https://dpmzos25m8ivg.cloudfront.net/Documentos/631/07085845198/6310708584519814092023142754.jpeg</v>
      </c>
      <c r="G3417" s="5" t="str">
        <f>HYPERLINK("https://dpmzos25m8ivg.cloudfront.net/Documentos/631/07085845198/6310708584519814092023142805.jpeg","https://dpmzos25m8ivg.cloudfront.net/Documentos/631/07085845198/6310708584519814092023142805.jpeg")</f>
        <v>https://dpmzos25m8ivg.cloudfront.net/Documentos/631/07085845198/6310708584519814092023142805.jpeg</v>
      </c>
      <c r="H3417" s="5" t="s">
        <v>11995</v>
      </c>
    </row>
    <row r="3418" spans="1:8" x14ac:dyDescent="0.25">
      <c r="A3418" s="2" t="s">
        <v>3438</v>
      </c>
      <c r="B3418" s="3"/>
      <c r="C3418" s="3"/>
      <c r="D3418" s="3"/>
      <c r="E3418" s="5" t="str">
        <f>HYPERLINK("https://dpmzos25m8ivg.cloudfront.net/Documentos/631/07086701483/6310708670148305092023213857.jpg","https://dpmzos25m8ivg.cloudfront.net/Documentos/631/07086701483/6310708670148305092023213857.jpg")</f>
        <v>https://dpmzos25m8ivg.cloudfront.net/Documentos/631/07086701483/6310708670148305092023213857.jpg</v>
      </c>
      <c r="F3418" s="5" t="str">
        <f>HYPERLINK("https://dpmzos25m8ivg.cloudfront.net/Documentos/631/07086701483/6310708670148305092023214200.jpg","https://dpmzos25m8ivg.cloudfront.net/Documentos/631/07086701483/6310708670148305092023214200.jpg")</f>
        <v>https://dpmzos25m8ivg.cloudfront.net/Documentos/631/07086701483/6310708670148305092023214200.jpg</v>
      </c>
      <c r="G3418" s="5" t="str">
        <f>HYPERLINK("https://dpmzos25m8ivg.cloudfront.net/Documentos/631/07086701483/6310708670148305092023214131.jpg","https://dpmzos25m8ivg.cloudfront.net/Documentos/631/07086701483/6310708670148305092023214131.jpg")</f>
        <v>https://dpmzos25m8ivg.cloudfront.net/Documentos/631/07086701483/6310708670148305092023214131.jpg</v>
      </c>
      <c r="H3418" s="5" t="s">
        <v>11996</v>
      </c>
    </row>
    <row r="3419" spans="1:8" x14ac:dyDescent="0.25">
      <c r="A3419" s="2" t="s">
        <v>3439</v>
      </c>
      <c r="B3419" s="3"/>
      <c r="C3419" s="3"/>
      <c r="D3419" s="3"/>
      <c r="E3419" s="5" t="str">
        <f>HYPERLINK("https://dpmzos25m8ivg.cloudfront.net/Documentos/631/07091525582/6310709152558214092023124327.pdf","https://dpmzos25m8ivg.cloudfront.net/Documentos/631/07091525582/6310709152558214092023124327.pdf")</f>
        <v>https://dpmzos25m8ivg.cloudfront.net/Documentos/631/07091525582/6310709152558214092023124327.pdf</v>
      </c>
      <c r="F3419" s="5" t="str">
        <f>HYPERLINK("https://dpmzos25m8ivg.cloudfront.net/Documentos/631/07091525582/6310709152558214092023124420.pdf","https://dpmzos25m8ivg.cloudfront.net/Documentos/631/07091525582/6310709152558214092023124420.pdf")</f>
        <v>https://dpmzos25m8ivg.cloudfront.net/Documentos/631/07091525582/6310709152558214092023124420.pdf</v>
      </c>
      <c r="G3419" s="5" t="str">
        <f>HYPERLINK("https://dpmzos25m8ivg.cloudfront.net/Documentos/631/07091525582/6310709152558214092023124450.pdf","https://dpmzos25m8ivg.cloudfront.net/Documentos/631/07091525582/6310709152558214092023124450.pdf")</f>
        <v>https://dpmzos25m8ivg.cloudfront.net/Documentos/631/07091525582/6310709152558214092023124450.pdf</v>
      </c>
      <c r="H3419" s="5" t="s">
        <v>11997</v>
      </c>
    </row>
    <row r="3420" spans="1:8" x14ac:dyDescent="0.25">
      <c r="A3420" s="2" t="s">
        <v>3440</v>
      </c>
      <c r="B3420" s="3"/>
      <c r="C3420" s="3"/>
      <c r="D3420" s="3"/>
      <c r="E3420" s="5" t="str">
        <f>HYPERLINK("https://dpmzos25m8ivg.cloudfront.net/Documentos/631/07093277306/6310709327730614092023140813.jpg","https://dpmzos25m8ivg.cloudfront.net/Documentos/631/07093277306/6310709327730614092023140813.jpg")</f>
        <v>https://dpmzos25m8ivg.cloudfront.net/Documentos/631/07093277306/6310709327730614092023140813.jpg</v>
      </c>
      <c r="F3420" s="5" t="str">
        <f>HYPERLINK("https://dpmzos25m8ivg.cloudfront.net/Documentos/631/07093277306/6310709327730614092023140843.jpg","https://dpmzos25m8ivg.cloudfront.net/Documentos/631/07093277306/6310709327730614092023140843.jpg")</f>
        <v>https://dpmzos25m8ivg.cloudfront.net/Documentos/631/07093277306/6310709327730614092023140843.jpg</v>
      </c>
      <c r="G3420" s="5" t="str">
        <f>HYPERLINK("https://dpmzos25m8ivg.cloudfront.net/Documentos/631/07093277306/6310709327730614092023140918.jpg","https://dpmzos25m8ivg.cloudfront.net/Documentos/631/07093277306/6310709327730614092023140918.jpg")</f>
        <v>https://dpmzos25m8ivg.cloudfront.net/Documentos/631/07093277306/6310709327730614092023140918.jpg</v>
      </c>
      <c r="H3420" s="5" t="s">
        <v>11998</v>
      </c>
    </row>
    <row r="3421" spans="1:8" x14ac:dyDescent="0.25">
      <c r="A3421" s="2" t="s">
        <v>3441</v>
      </c>
      <c r="B3421" s="3" t="s">
        <v>3381</v>
      </c>
      <c r="C3421" s="3"/>
      <c r="D3421" s="3"/>
      <c r="E3421" s="5" t="str">
        <f>HYPERLINK("https://dpmzos25m8ivg.cloudfront.net/Documentos/631/07095267332/6310709526733211092023103316.pdf","https://dpmzos25m8ivg.cloudfront.net/Documentos/631/07095267332/6310709526733211092023103316.pdf")</f>
        <v>https://dpmzos25m8ivg.cloudfront.net/Documentos/631/07095267332/6310709526733211092023103316.pdf</v>
      </c>
      <c r="F3421" s="5" t="str">
        <f>HYPERLINK("https://dpmzos25m8ivg.cloudfront.net/Documentos/631/07095267332/6310709526733211092023103323.pdf","https://dpmzos25m8ivg.cloudfront.net/Documentos/631/07095267332/6310709526733211092023103323.pdf")</f>
        <v>https://dpmzos25m8ivg.cloudfront.net/Documentos/631/07095267332/6310709526733211092023103323.pdf</v>
      </c>
      <c r="G3421" s="5" t="str">
        <f>HYPERLINK("https://dpmzos25m8ivg.cloudfront.net/Documentos/631/07095267332/6310709526733211092023103329.pdf","https://dpmzos25m8ivg.cloudfront.net/Documentos/631/07095267332/6310709526733211092023103329.pdf")</f>
        <v>https://dpmzos25m8ivg.cloudfront.net/Documentos/631/07095267332/6310709526733211092023103329.pdf</v>
      </c>
      <c r="H3421" s="5" t="s">
        <v>11999</v>
      </c>
    </row>
    <row r="3422" spans="1:8" x14ac:dyDescent="0.25">
      <c r="A3422" s="2" t="s">
        <v>3442</v>
      </c>
      <c r="B3422" s="3"/>
      <c r="C3422" s="3"/>
      <c r="D3422" s="3"/>
      <c r="E3422" s="5" t="str">
        <f>HYPERLINK("https://dpmzos25m8ivg.cloudfront.net/Documentos/631/07097361344/6310709736134411092023122917.pdf","https://dpmzos25m8ivg.cloudfront.net/Documentos/631/07097361344/6310709736134411092023122917.pdf")</f>
        <v>https://dpmzos25m8ivg.cloudfront.net/Documentos/631/07097361344/6310709736134411092023122917.pdf</v>
      </c>
      <c r="F3422" s="5" t="str">
        <f>HYPERLINK("https://dpmzos25m8ivg.cloudfront.net/Documentos/631/07097361344/6310709736134411092023122936.pdf","https://dpmzos25m8ivg.cloudfront.net/Documentos/631/07097361344/6310709736134411092023122936.pdf")</f>
        <v>https://dpmzos25m8ivg.cloudfront.net/Documentos/631/07097361344/6310709736134411092023122936.pdf</v>
      </c>
      <c r="G3422" s="5" t="str">
        <f>HYPERLINK("https://dpmzos25m8ivg.cloudfront.net/Documentos/631/07097361344/6310709736134411092023122952.pdf","https://dpmzos25m8ivg.cloudfront.net/Documentos/631/07097361344/6310709736134411092023122952.pdf")</f>
        <v>https://dpmzos25m8ivg.cloudfront.net/Documentos/631/07097361344/6310709736134411092023122952.pdf</v>
      </c>
      <c r="H3422" s="5" t="s">
        <v>12000</v>
      </c>
    </row>
    <row r="3423" spans="1:8" x14ac:dyDescent="0.25">
      <c r="A3423" s="2" t="s">
        <v>3443</v>
      </c>
      <c r="B3423" s="3" t="s">
        <v>2358</v>
      </c>
      <c r="C3423" s="3"/>
      <c r="D3423" s="3"/>
      <c r="E3423" s="5" t="str">
        <f>HYPERLINK("https://dpmzos25m8ivg.cloudfront.net/Documentos/631/07097444550/6310709744455013092023142225.pdf","https://dpmzos25m8ivg.cloudfront.net/Documentos/631/07097444550/6310709744455013092023142225.pdf")</f>
        <v>https://dpmzos25m8ivg.cloudfront.net/Documentos/631/07097444550/6310709744455013092023142225.pdf</v>
      </c>
      <c r="F3423" s="5" t="str">
        <f>HYPERLINK("https://dpmzos25m8ivg.cloudfront.net/Documentos/631/07097444550/6310709744455013092023142245.pdf","https://dpmzos25m8ivg.cloudfront.net/Documentos/631/07097444550/6310709744455013092023142245.pdf")</f>
        <v>https://dpmzos25m8ivg.cloudfront.net/Documentos/631/07097444550/6310709744455013092023142245.pdf</v>
      </c>
      <c r="G3423" s="5" t="str">
        <f>HYPERLINK("https://dpmzos25m8ivg.cloudfront.net/Documentos/631/07097444550/6310709744455013092023142257.pdf","https://dpmzos25m8ivg.cloudfront.net/Documentos/631/07097444550/6310709744455013092023142257.pdf")</f>
        <v>https://dpmzos25m8ivg.cloudfront.net/Documentos/631/07097444550/6310709744455013092023142257.pdf</v>
      </c>
      <c r="H3423" s="5" t="s">
        <v>12001</v>
      </c>
    </row>
    <row r="3424" spans="1:8" x14ac:dyDescent="0.25">
      <c r="A3424" s="2" t="s">
        <v>3444</v>
      </c>
      <c r="B3424" s="3"/>
      <c r="C3424" s="3"/>
      <c r="D3424" s="3"/>
      <c r="E3424" s="5" t="str">
        <f>HYPERLINK("https://dpmzos25m8ivg.cloudfront.net/Documentos/631/07099184539/6310709918453911092023163155.pdf","https://dpmzos25m8ivg.cloudfront.net/Documentos/631/07099184539/6310709918453911092023163155.pdf")</f>
        <v>https://dpmzos25m8ivg.cloudfront.net/Documentos/631/07099184539/6310709918453911092023163155.pdf</v>
      </c>
      <c r="F3424" s="5" t="str">
        <f>HYPERLINK("https://dpmzos25m8ivg.cloudfront.net/Documentos/631/07099184539/6310709918453911092023163207.pdf","https://dpmzos25m8ivg.cloudfront.net/Documentos/631/07099184539/6310709918453911092023163207.pdf")</f>
        <v>https://dpmzos25m8ivg.cloudfront.net/Documentos/631/07099184539/6310709918453911092023163207.pdf</v>
      </c>
      <c r="G3424" s="5" t="str">
        <f>HYPERLINK("https://dpmzos25m8ivg.cloudfront.net/Documentos/631/07099184539/6310709918453911092023163228.pdf","https://dpmzos25m8ivg.cloudfront.net/Documentos/631/07099184539/6310709918453911092023163228.pdf")</f>
        <v>https://dpmzos25m8ivg.cloudfront.net/Documentos/631/07099184539/6310709918453911092023163228.pdf</v>
      </c>
      <c r="H3424" s="5" t="s">
        <v>12002</v>
      </c>
    </row>
    <row r="3425" spans="1:8" x14ac:dyDescent="0.25">
      <c r="A3425" s="2" t="s">
        <v>3445</v>
      </c>
      <c r="B3425" s="3"/>
      <c r="C3425" s="3"/>
      <c r="D3425" s="3"/>
      <c r="E3425" s="5" t="str">
        <f>HYPERLINK("https://dpmzos25m8ivg.cloudfront.net/Documentos/631/07103750181/6310710375018111092023150740.pdf","https://dpmzos25m8ivg.cloudfront.net/Documentos/631/07103750181/6310710375018111092023150740.pdf")</f>
        <v>https://dpmzos25m8ivg.cloudfront.net/Documentos/631/07103750181/6310710375018111092023150740.pdf</v>
      </c>
      <c r="F3425" s="5" t="str">
        <f>HYPERLINK("https://dpmzos25m8ivg.cloudfront.net/Documentos/631/07103750181/6310710375018111092023150756.pdf","https://dpmzos25m8ivg.cloudfront.net/Documentos/631/07103750181/6310710375018111092023150756.pdf")</f>
        <v>https://dpmzos25m8ivg.cloudfront.net/Documentos/631/07103750181/6310710375018111092023150756.pdf</v>
      </c>
      <c r="G3425" s="5" t="str">
        <f>HYPERLINK("https://dpmzos25m8ivg.cloudfront.net/Documentos/631/07103750181/6310710375018111092023150833.pdf","https://dpmzos25m8ivg.cloudfront.net/Documentos/631/07103750181/6310710375018111092023150833.pdf")</f>
        <v>https://dpmzos25m8ivg.cloudfront.net/Documentos/631/07103750181/6310710375018111092023150833.pdf</v>
      </c>
      <c r="H3425" s="5" t="s">
        <v>12003</v>
      </c>
    </row>
    <row r="3426" spans="1:8" x14ac:dyDescent="0.25">
      <c r="A3426" s="2" t="s">
        <v>3446</v>
      </c>
      <c r="B3426" s="3"/>
      <c r="C3426" s="3"/>
      <c r="D3426" s="3"/>
      <c r="E3426" s="5" t="str">
        <f>HYPERLINK("https://dpmzos25m8ivg.cloudfront.net/Documentos/631/07108200546/6310710820054608092023120821.pdf","https://dpmzos25m8ivg.cloudfront.net/Documentos/631/07108200546/6310710820054608092023120821.pdf")</f>
        <v>https://dpmzos25m8ivg.cloudfront.net/Documentos/631/07108200546/6310710820054608092023120821.pdf</v>
      </c>
      <c r="F3426" s="5" t="str">
        <f>HYPERLINK("https://dpmzos25m8ivg.cloudfront.net/Documentos/631/07108200546/6310710820054608092023120838.pdf","https://dpmzos25m8ivg.cloudfront.net/Documentos/631/07108200546/6310710820054608092023120838.pdf")</f>
        <v>https://dpmzos25m8ivg.cloudfront.net/Documentos/631/07108200546/6310710820054608092023120838.pdf</v>
      </c>
      <c r="G3426" s="5" t="str">
        <f>HYPERLINK("https://dpmzos25m8ivg.cloudfront.net/Documentos/631/07108200546/6310710820054608092023120854.pdf","https://dpmzos25m8ivg.cloudfront.net/Documentos/631/07108200546/6310710820054608092023120854.pdf")</f>
        <v>https://dpmzos25m8ivg.cloudfront.net/Documentos/631/07108200546/6310710820054608092023120854.pdf</v>
      </c>
      <c r="H3426" s="5" t="s">
        <v>12004</v>
      </c>
    </row>
    <row r="3427" spans="1:8" x14ac:dyDescent="0.25">
      <c r="A3427" s="2" t="s">
        <v>3447</v>
      </c>
      <c r="B3427" s="3"/>
      <c r="C3427" s="3"/>
      <c r="D3427" s="3"/>
      <c r="E3427" s="5" t="str">
        <f>HYPERLINK("https://dpmzos25m8ivg.cloudfront.net/Documentos/631/07109211525/6310710921152509092023001325.pdf","https://dpmzos25m8ivg.cloudfront.net/Documentos/631/07109211525/6310710921152509092023001325.pdf")</f>
        <v>https://dpmzos25m8ivg.cloudfront.net/Documentos/631/07109211525/6310710921152509092023001325.pdf</v>
      </c>
      <c r="F3427" s="5" t="str">
        <f>HYPERLINK("https://dpmzos25m8ivg.cloudfront.net/Documentos/631/07109211525/6310710921152509092023001342.pdf","https://dpmzos25m8ivg.cloudfront.net/Documentos/631/07109211525/6310710921152509092023001342.pdf")</f>
        <v>https://dpmzos25m8ivg.cloudfront.net/Documentos/631/07109211525/6310710921152509092023001342.pdf</v>
      </c>
      <c r="G3427" s="5" t="str">
        <f>HYPERLINK("https://dpmzos25m8ivg.cloudfront.net/Documentos/631/07109211525/6310710921152509092023001353.pdf","https://dpmzos25m8ivg.cloudfront.net/Documentos/631/07109211525/6310710921152509092023001353.pdf")</f>
        <v>https://dpmzos25m8ivg.cloudfront.net/Documentos/631/07109211525/6310710921152509092023001353.pdf</v>
      </c>
      <c r="H3427" s="5" t="s">
        <v>12005</v>
      </c>
    </row>
    <row r="3428" spans="1:8" x14ac:dyDescent="0.25">
      <c r="A3428" s="2" t="s">
        <v>3448</v>
      </c>
      <c r="B3428" s="19" t="s">
        <v>3385</v>
      </c>
      <c r="C3428" s="3"/>
      <c r="D3428" s="3"/>
      <c r="E3428" s="5" t="str">
        <f>HYPERLINK("https://dpmzos25m8ivg.cloudfront.net/Documentos/631/07110549593/6310711054959306092023144730.jpg","https://dpmzos25m8ivg.cloudfront.net/Documentos/631/07110549593/6310711054959306092023144730.jpg")</f>
        <v>https://dpmzos25m8ivg.cloudfront.net/Documentos/631/07110549593/6310711054959306092023144730.jpg</v>
      </c>
      <c r="F3428" s="5" t="str">
        <f>HYPERLINK("https://dpmzos25m8ivg.cloudfront.net/Documentos/631/07110549593/6310711054959306092023144751.jpg","https://dpmzos25m8ivg.cloudfront.net/Documentos/631/07110549593/6310711054959306092023144751.jpg")</f>
        <v>https://dpmzos25m8ivg.cloudfront.net/Documentos/631/07110549593/6310711054959306092023144751.jpg</v>
      </c>
      <c r="G3428" s="5" t="str">
        <f>HYPERLINK("https://dpmzos25m8ivg.cloudfront.net/Documentos/631/07110549593/6310711054959306092023144812.jpg","https://dpmzos25m8ivg.cloudfront.net/Documentos/631/07110549593/6310711054959306092023144812.jpg")</f>
        <v>https://dpmzos25m8ivg.cloudfront.net/Documentos/631/07110549593/6310711054959306092023144812.jpg</v>
      </c>
      <c r="H3428" s="5" t="s">
        <v>12006</v>
      </c>
    </row>
    <row r="3429" spans="1:8" x14ac:dyDescent="0.25">
      <c r="A3429" s="2" t="s">
        <v>3449</v>
      </c>
      <c r="B3429" s="3"/>
      <c r="C3429" s="3"/>
      <c r="D3429" s="3"/>
      <c r="E3429" s="5" t="str">
        <f>HYPERLINK("https://dpmzos25m8ivg.cloudfront.net/Documentos/631/07111308506/6310711130850607092023152900.pdf","https://dpmzos25m8ivg.cloudfront.net/Documentos/631/07111308506/6310711130850607092023152900.pdf")</f>
        <v>https://dpmzos25m8ivg.cloudfront.net/Documentos/631/07111308506/6310711130850607092023152900.pdf</v>
      </c>
      <c r="F3429" s="5" t="str">
        <f>HYPERLINK("https://dpmzos25m8ivg.cloudfront.net/Documentos/631/07111308506/6310711130850607092023152916.pdf","https://dpmzos25m8ivg.cloudfront.net/Documentos/631/07111308506/6310711130850607092023152916.pdf")</f>
        <v>https://dpmzos25m8ivg.cloudfront.net/Documentos/631/07111308506/6310711130850607092023152916.pdf</v>
      </c>
      <c r="G3429" s="5" t="str">
        <f>HYPERLINK("https://dpmzos25m8ivg.cloudfront.net/Documentos/631/07111308506/6310711130850607092023152942.pdf","https://dpmzos25m8ivg.cloudfront.net/Documentos/631/07111308506/6310711130850607092023152942.pdf")</f>
        <v>https://dpmzos25m8ivg.cloudfront.net/Documentos/631/07111308506/6310711130850607092023152942.pdf</v>
      </c>
      <c r="H3429" s="5" t="s">
        <v>12007</v>
      </c>
    </row>
    <row r="3430" spans="1:8" x14ac:dyDescent="0.25">
      <c r="A3430" s="2" t="s">
        <v>3450</v>
      </c>
      <c r="B3430" s="3"/>
      <c r="C3430" s="3"/>
      <c r="D3430" s="3"/>
      <c r="E3430" s="5" t="str">
        <f>HYPERLINK("https://dpmzos25m8ivg.cloudfront.net/Documentos/631/07113165389/6310711316538914092023114135.pdf","https://dpmzos25m8ivg.cloudfront.net/Documentos/631/07113165389/6310711316538914092023114135.pdf")</f>
        <v>https://dpmzos25m8ivg.cloudfront.net/Documentos/631/07113165389/6310711316538914092023114135.pdf</v>
      </c>
      <c r="F3430" s="5" t="str">
        <f>HYPERLINK("https://dpmzos25m8ivg.cloudfront.net/Documentos/631/07113165389/6310711316538914092023114158.pdf","https://dpmzos25m8ivg.cloudfront.net/Documentos/631/07113165389/6310711316538914092023114158.pdf")</f>
        <v>https://dpmzos25m8ivg.cloudfront.net/Documentos/631/07113165389/6310711316538914092023114158.pdf</v>
      </c>
      <c r="G3430" s="5" t="str">
        <f>HYPERLINK("https://dpmzos25m8ivg.cloudfront.net/Documentos/631/07113165389/6310711316538914092023114219.pdf","https://dpmzos25m8ivg.cloudfront.net/Documentos/631/07113165389/6310711316538914092023114219.pdf")</f>
        <v>https://dpmzos25m8ivg.cloudfront.net/Documentos/631/07113165389/6310711316538914092023114219.pdf</v>
      </c>
      <c r="H3430" s="5" t="s">
        <v>12008</v>
      </c>
    </row>
    <row r="3431" spans="1:8" x14ac:dyDescent="0.25">
      <c r="A3431" s="2" t="s">
        <v>3451</v>
      </c>
      <c r="B3431" s="3"/>
      <c r="C3431" s="3"/>
      <c r="D3431" s="3"/>
      <c r="E3431" s="5" t="str">
        <f>HYPERLINK("https://dpmzos25m8ivg.cloudfront.net/Documentos/631/07115909741/6310711590974106092023153149.pdf","https://dpmzos25m8ivg.cloudfront.net/Documentos/631/07115909741/6310711590974106092023153149.pdf")</f>
        <v>https://dpmzos25m8ivg.cloudfront.net/Documentos/631/07115909741/6310711590974106092023153149.pdf</v>
      </c>
      <c r="F3431" s="5" t="str">
        <f>HYPERLINK("https://dpmzos25m8ivg.cloudfront.net/Documentos/631/07115909741/6310711590974106092023153206.pdf","https://dpmzos25m8ivg.cloudfront.net/Documentos/631/07115909741/6310711590974106092023153206.pdf")</f>
        <v>https://dpmzos25m8ivg.cloudfront.net/Documentos/631/07115909741/6310711590974106092023153206.pdf</v>
      </c>
      <c r="G3431" s="5" t="str">
        <f>HYPERLINK("https://dpmzos25m8ivg.cloudfront.net/Documentos/631/07115909741/6310711590974106092023153225.pdf","https://dpmzos25m8ivg.cloudfront.net/Documentos/631/07115909741/6310711590974106092023153225.pdf")</f>
        <v>https://dpmzos25m8ivg.cloudfront.net/Documentos/631/07115909741/6310711590974106092023153225.pdf</v>
      </c>
      <c r="H3431" s="5" t="s">
        <v>12009</v>
      </c>
    </row>
    <row r="3432" spans="1:8" x14ac:dyDescent="0.25">
      <c r="A3432" s="2" t="s">
        <v>3452</v>
      </c>
      <c r="B3432" s="3"/>
      <c r="C3432" s="3"/>
      <c r="D3432" s="3"/>
      <c r="E3432" s="5" t="str">
        <f>HYPERLINK("https://dpmzos25m8ivg.cloudfront.net/Documentos/631/07118215422/6310711821542210092023214336.pdf","https://dpmzos25m8ivg.cloudfront.net/Documentos/631/07118215422/6310711821542210092023214336.pdf")</f>
        <v>https://dpmzos25m8ivg.cloudfront.net/Documentos/631/07118215422/6310711821542210092023214336.pdf</v>
      </c>
      <c r="F3432" s="5" t="str">
        <f>HYPERLINK("https://dpmzos25m8ivg.cloudfront.net/Documentos/631/07118215422/6310711821542210092023214350.pdf","https://dpmzos25m8ivg.cloudfront.net/Documentos/631/07118215422/6310711821542210092023214350.pdf")</f>
        <v>https://dpmzos25m8ivg.cloudfront.net/Documentos/631/07118215422/6310711821542210092023214350.pdf</v>
      </c>
      <c r="G3432" s="5" t="str">
        <f>HYPERLINK("https://dpmzos25m8ivg.cloudfront.net/Documentos/631/07118215422/6310711821542210092023214408.pdf","https://dpmzos25m8ivg.cloudfront.net/Documentos/631/07118215422/6310711821542210092023214408.pdf")</f>
        <v>https://dpmzos25m8ivg.cloudfront.net/Documentos/631/07118215422/6310711821542210092023214408.pdf</v>
      </c>
      <c r="H3432" s="5" t="s">
        <v>12010</v>
      </c>
    </row>
    <row r="3433" spans="1:8" x14ac:dyDescent="0.25">
      <c r="A3433" s="2" t="s">
        <v>3453</v>
      </c>
      <c r="B3433" s="3"/>
      <c r="C3433" s="3"/>
      <c r="D3433" s="3"/>
      <c r="E3433" s="5" t="str">
        <f>HYPERLINK("https://dpmzos25m8ivg.cloudfront.net/Documentos/631/07118321451/6310711832145110092023143446.pdf","https://dpmzos25m8ivg.cloudfront.net/Documentos/631/07118321451/6310711832145110092023143446.pdf")</f>
        <v>https://dpmzos25m8ivg.cloudfront.net/Documentos/631/07118321451/6310711832145110092023143446.pdf</v>
      </c>
      <c r="F3433" s="5" t="str">
        <f>HYPERLINK("https://dpmzos25m8ivg.cloudfront.net/Documentos/631/07118321451/6310711832145110092023143508.pdf","https://dpmzos25m8ivg.cloudfront.net/Documentos/631/07118321451/6310711832145110092023143508.pdf")</f>
        <v>https://dpmzos25m8ivg.cloudfront.net/Documentos/631/07118321451/6310711832145110092023143508.pdf</v>
      </c>
      <c r="G3433" s="5" t="str">
        <f>HYPERLINK("https://dpmzos25m8ivg.cloudfront.net/Documentos/631/07118321451/6310711832145110092023143527.pdf","https://dpmzos25m8ivg.cloudfront.net/Documentos/631/07118321451/6310711832145110092023143527.pdf")</f>
        <v>https://dpmzos25m8ivg.cloudfront.net/Documentos/631/07118321451/6310711832145110092023143527.pdf</v>
      </c>
      <c r="H3433" s="5" t="s">
        <v>12011</v>
      </c>
    </row>
    <row r="3434" spans="1:8" x14ac:dyDescent="0.25">
      <c r="A3434" s="2" t="s">
        <v>3454</v>
      </c>
      <c r="B3434" s="3"/>
      <c r="C3434" s="3"/>
      <c r="D3434" s="3"/>
      <c r="E3434" s="5" t="str">
        <f>HYPERLINK("https://dpmzos25m8ivg.cloudfront.net/Documentos/631/07119212532/6310711921253211092023155608.jpg","https://dpmzos25m8ivg.cloudfront.net/Documentos/631/07119212532/6310711921253211092023155608.jpg")</f>
        <v>https://dpmzos25m8ivg.cloudfront.net/Documentos/631/07119212532/6310711921253211092023155608.jpg</v>
      </c>
      <c r="F3434" s="5" t="str">
        <f>HYPERLINK("https://dpmzos25m8ivg.cloudfront.net/Documentos/631/07119212532/6310711921253211092023155640.jpg","https://dpmzos25m8ivg.cloudfront.net/Documentos/631/07119212532/6310711921253211092023155640.jpg")</f>
        <v>https://dpmzos25m8ivg.cloudfront.net/Documentos/631/07119212532/6310711921253211092023155640.jpg</v>
      </c>
      <c r="G3434" s="5" t="str">
        <f>HYPERLINK("https://dpmzos25m8ivg.cloudfront.net/Documentos/631/07119212532/6310711921253211092023155651.jpg","https://dpmzos25m8ivg.cloudfront.net/Documentos/631/07119212532/6310711921253211092023155651.jpg")</f>
        <v>https://dpmzos25m8ivg.cloudfront.net/Documentos/631/07119212532/6310711921253211092023155651.jpg</v>
      </c>
      <c r="H3434" s="5" t="s">
        <v>12012</v>
      </c>
    </row>
    <row r="3435" spans="1:8" x14ac:dyDescent="0.25">
      <c r="A3435" s="2" t="s">
        <v>3455</v>
      </c>
      <c r="B3435" s="3"/>
      <c r="C3435" s="3"/>
      <c r="D3435" s="3"/>
      <c r="E3435" s="5" t="str">
        <f>HYPERLINK("https://dpmzos25m8ivg.cloudfront.net/Documentos/631/07119538306/6310711953830611092023123543.pdf","https://dpmzos25m8ivg.cloudfront.net/Documentos/631/07119538306/6310711953830611092023123543.pdf")</f>
        <v>https://dpmzos25m8ivg.cloudfront.net/Documentos/631/07119538306/6310711953830611092023123543.pdf</v>
      </c>
      <c r="F3435" s="5" t="str">
        <f>HYPERLINK("https://dpmzos25m8ivg.cloudfront.net/Documentos/631/07119538306/6310711953830611092023123530.pdf","https://dpmzos25m8ivg.cloudfront.net/Documentos/631/07119538306/6310711953830611092023123530.pdf")</f>
        <v>https://dpmzos25m8ivg.cloudfront.net/Documentos/631/07119538306/6310711953830611092023123530.pdf</v>
      </c>
      <c r="G3435" s="5" t="str">
        <f>HYPERLINK("https://dpmzos25m8ivg.cloudfront.net/Documentos/631/07119538306/6310711953830611092023123517.pdf","https://dpmzos25m8ivg.cloudfront.net/Documentos/631/07119538306/6310711953830611092023123517.pdf")</f>
        <v>https://dpmzos25m8ivg.cloudfront.net/Documentos/631/07119538306/6310711953830611092023123517.pdf</v>
      </c>
      <c r="H3435" s="5" t="s">
        <v>12013</v>
      </c>
    </row>
    <row r="3436" spans="1:8" x14ac:dyDescent="0.25">
      <c r="A3436" s="2" t="s">
        <v>3456</v>
      </c>
      <c r="B3436" s="3"/>
      <c r="C3436" s="3"/>
      <c r="D3436" s="3"/>
      <c r="E3436" s="5" t="str">
        <f>HYPERLINK("https://dpmzos25m8ivg.cloudfront.net/Documentos/631/07119570536/6310711957053610092023205214.pdf","https://dpmzos25m8ivg.cloudfront.net/Documentos/631/07119570536/6310711957053610092023205214.pdf")</f>
        <v>https://dpmzos25m8ivg.cloudfront.net/Documentos/631/07119570536/6310711957053610092023205214.pdf</v>
      </c>
      <c r="F3436" s="5" t="str">
        <f>HYPERLINK("https://dpmzos25m8ivg.cloudfront.net/Documentos/631/07119570536/6310711957053610092023205232.pdf","https://dpmzos25m8ivg.cloudfront.net/Documentos/631/07119570536/6310711957053610092023205232.pdf")</f>
        <v>https://dpmzos25m8ivg.cloudfront.net/Documentos/631/07119570536/6310711957053610092023205232.pdf</v>
      </c>
      <c r="G3436" s="5" t="str">
        <f>HYPERLINK("https://dpmzos25m8ivg.cloudfront.net/Documentos/631/07119570536/6310711957053610092023205254.pdf","https://dpmzos25m8ivg.cloudfront.net/Documentos/631/07119570536/6310711957053610092023205254.pdf")</f>
        <v>https://dpmzos25m8ivg.cloudfront.net/Documentos/631/07119570536/6310711957053610092023205254.pdf</v>
      </c>
      <c r="H3436" s="5" t="s">
        <v>12014</v>
      </c>
    </row>
    <row r="3437" spans="1:8" x14ac:dyDescent="0.25">
      <c r="A3437" s="2" t="s">
        <v>3457</v>
      </c>
      <c r="B3437" s="3" t="s">
        <v>2358</v>
      </c>
      <c r="C3437" s="3"/>
      <c r="D3437" s="3"/>
      <c r="E3437" s="5" t="str">
        <f>HYPERLINK("https://dpmzos25m8ivg.cloudfront.net/Documentos/631/07122033546/6310712203354606092023232758.jpeg","https://dpmzos25m8ivg.cloudfront.net/Documentos/631/07122033546/6310712203354606092023232758.jpeg")</f>
        <v>https://dpmzos25m8ivg.cloudfront.net/Documentos/631/07122033546/6310712203354606092023232758.jpeg</v>
      </c>
      <c r="F3437" s="5" t="str">
        <f>HYPERLINK("https://dpmzos25m8ivg.cloudfront.net/Documentos/631/07122033546/6310712203354606092023232816.jpeg","https://dpmzos25m8ivg.cloudfront.net/Documentos/631/07122033546/6310712203354606092023232816.jpeg")</f>
        <v>https://dpmzos25m8ivg.cloudfront.net/Documentos/631/07122033546/6310712203354606092023232816.jpeg</v>
      </c>
      <c r="G3437" s="5" t="str">
        <f>HYPERLINK("https://dpmzos25m8ivg.cloudfront.net/Documentos/631/07122033546/6310712203354606092023232829.jpeg","https://dpmzos25m8ivg.cloudfront.net/Documentos/631/07122033546/6310712203354606092023232829.jpeg")</f>
        <v>https://dpmzos25m8ivg.cloudfront.net/Documentos/631/07122033546/6310712203354606092023232829.jpeg</v>
      </c>
      <c r="H3437" s="5" t="s">
        <v>12015</v>
      </c>
    </row>
    <row r="3438" spans="1:8" x14ac:dyDescent="0.25">
      <c r="A3438" s="2" t="s">
        <v>3458</v>
      </c>
      <c r="B3438" s="3"/>
      <c r="C3438" s="3"/>
      <c r="D3438" s="3"/>
      <c r="E3438" s="5" t="str">
        <f>HYPERLINK("https://dpmzos25m8ivg.cloudfront.net/Documentos/631/07122729338/6310712272933809092023224130.pdf","https://dpmzos25m8ivg.cloudfront.net/Documentos/631/07122729338/6310712272933809092023224130.pdf")</f>
        <v>https://dpmzos25m8ivg.cloudfront.net/Documentos/631/07122729338/6310712272933809092023224130.pdf</v>
      </c>
      <c r="F3438" s="5" t="str">
        <f>HYPERLINK("https://dpmzos25m8ivg.cloudfront.net/Documentos/631/07122729338/6310712272933809092023224144.pdf","https://dpmzos25m8ivg.cloudfront.net/Documentos/631/07122729338/6310712272933809092023224144.pdf")</f>
        <v>https://dpmzos25m8ivg.cloudfront.net/Documentos/631/07122729338/6310712272933809092023224144.pdf</v>
      </c>
      <c r="G3438" s="5" t="str">
        <f>HYPERLINK("https://dpmzos25m8ivg.cloudfront.net/Documentos/631/07122729338/6310712272933809092023224200.pdf","https://dpmzos25m8ivg.cloudfront.net/Documentos/631/07122729338/6310712272933809092023224200.pdf")</f>
        <v>https://dpmzos25m8ivg.cloudfront.net/Documentos/631/07122729338/6310712272933809092023224200.pdf</v>
      </c>
      <c r="H3438" s="5" t="s">
        <v>12016</v>
      </c>
    </row>
    <row r="3439" spans="1:8" x14ac:dyDescent="0.25">
      <c r="A3439" s="2" t="s">
        <v>3459</v>
      </c>
      <c r="B3439" s="3" t="s">
        <v>2358</v>
      </c>
      <c r="C3439" s="3"/>
      <c r="D3439" s="3"/>
      <c r="E3439" s="5" t="str">
        <f>HYPERLINK("https://dpmzos25m8ivg.cloudfront.net/Documentos/631/07122953130/6310712295313011092023113739.jpg","https://dpmzos25m8ivg.cloudfront.net/Documentos/631/07122953130/6310712295313011092023113739.jpg")</f>
        <v>https://dpmzos25m8ivg.cloudfront.net/Documentos/631/07122953130/6310712295313011092023113739.jpg</v>
      </c>
      <c r="F3439" s="5" t="str">
        <f>HYPERLINK("https://dpmzos25m8ivg.cloudfront.net/Documentos/631/07122953130/6310712295313011092023113750.jpg","https://dpmzos25m8ivg.cloudfront.net/Documentos/631/07122953130/6310712295313011092023113750.jpg")</f>
        <v>https://dpmzos25m8ivg.cloudfront.net/Documentos/631/07122953130/6310712295313011092023113750.jpg</v>
      </c>
      <c r="G3439" s="5" t="str">
        <f>HYPERLINK("https://dpmzos25m8ivg.cloudfront.net/Documentos/631/07122953130/6310712295313011092023113759.jpg","https://dpmzos25m8ivg.cloudfront.net/Documentos/631/07122953130/6310712295313011092023113759.jpg")</f>
        <v>https://dpmzos25m8ivg.cloudfront.net/Documentos/631/07122953130/6310712295313011092023113759.jpg</v>
      </c>
      <c r="H3439" s="5" t="s">
        <v>12017</v>
      </c>
    </row>
    <row r="3440" spans="1:8" x14ac:dyDescent="0.25">
      <c r="A3440" s="2" t="s">
        <v>3460</v>
      </c>
      <c r="B3440" s="3"/>
      <c r="C3440" s="3"/>
      <c r="D3440" s="3"/>
      <c r="E3440" s="5" t="str">
        <f>HYPERLINK("https://dpmzos25m8ivg.cloudfront.net/Documentos/631/07124799376/6310712479937609092023182647.pdf","https://dpmzos25m8ivg.cloudfront.net/Documentos/631/07124799376/6310712479937609092023182647.pdf")</f>
        <v>https://dpmzos25m8ivg.cloudfront.net/Documentos/631/07124799376/6310712479937609092023182647.pdf</v>
      </c>
      <c r="F3440" s="5" t="str">
        <f>HYPERLINK("https://dpmzos25m8ivg.cloudfront.net/Documentos/631/07124799376/6310712479937609092023182709.pdf","https://dpmzos25m8ivg.cloudfront.net/Documentos/631/07124799376/6310712479937609092023182709.pdf")</f>
        <v>https://dpmzos25m8ivg.cloudfront.net/Documentos/631/07124799376/6310712479937609092023182709.pdf</v>
      </c>
      <c r="G3440" s="5" t="str">
        <f>HYPERLINK("https://dpmzos25m8ivg.cloudfront.net/Documentos/631/07124799376/6310712479937609092023182747.pdf","https://dpmzos25m8ivg.cloudfront.net/Documentos/631/07124799376/6310712479937609092023182747.pdf")</f>
        <v>https://dpmzos25m8ivg.cloudfront.net/Documentos/631/07124799376/6310712479937609092023182747.pdf</v>
      </c>
      <c r="H3440" s="5" t="s">
        <v>12018</v>
      </c>
    </row>
    <row r="3441" spans="1:8" x14ac:dyDescent="0.25">
      <c r="A3441" s="2" t="s">
        <v>3461</v>
      </c>
      <c r="B3441" s="3"/>
      <c r="C3441" s="3"/>
      <c r="D3441" s="3"/>
      <c r="E3441" s="5" t="str">
        <f>HYPERLINK("https://dpmzos25m8ivg.cloudfront.net/Documentos/631/07124955688/6310712495568807092023162116.pdf","https://dpmzos25m8ivg.cloudfront.net/Documentos/631/07124955688/6310712495568807092023162116.pdf")</f>
        <v>https://dpmzos25m8ivg.cloudfront.net/Documentos/631/07124955688/6310712495568807092023162116.pdf</v>
      </c>
      <c r="F3441" s="5" t="str">
        <f>HYPERLINK("https://dpmzos25m8ivg.cloudfront.net/Documentos/631/07124955688/6310712495568807092023162132.pdf","https://dpmzos25m8ivg.cloudfront.net/Documentos/631/07124955688/6310712495568807092023162132.pdf")</f>
        <v>https://dpmzos25m8ivg.cloudfront.net/Documentos/631/07124955688/6310712495568807092023162132.pdf</v>
      </c>
      <c r="G3441" s="5" t="str">
        <f>HYPERLINK("https://dpmzos25m8ivg.cloudfront.net/Documentos/631/07124955688/6310712495568807092023162149.pdf","https://dpmzos25m8ivg.cloudfront.net/Documentos/631/07124955688/6310712495568807092023162149.pdf")</f>
        <v>https://dpmzos25m8ivg.cloudfront.net/Documentos/631/07124955688/6310712495568807092023162149.pdf</v>
      </c>
      <c r="H3441" s="5" t="s">
        <v>12019</v>
      </c>
    </row>
    <row r="3442" spans="1:8" x14ac:dyDescent="0.25">
      <c r="A3442" s="2" t="s">
        <v>3462</v>
      </c>
      <c r="B3442" s="3"/>
      <c r="C3442" s="3"/>
      <c r="D3442" s="3"/>
      <c r="E3442" s="5" t="str">
        <f>HYPERLINK("https://dpmzos25m8ivg.cloudfront.net/Documentos/631/07126482590/6310712648259010092023180354.jpg","https://dpmzos25m8ivg.cloudfront.net/Documentos/631/07126482590/6310712648259010092023180354.jpg")</f>
        <v>https://dpmzos25m8ivg.cloudfront.net/Documentos/631/07126482590/6310712648259010092023180354.jpg</v>
      </c>
      <c r="F3442" s="5" t="str">
        <f>HYPERLINK("https://dpmzos25m8ivg.cloudfront.net/Documentos/631/07126482590/6310712648259010092023180404.jpg","https://dpmzos25m8ivg.cloudfront.net/Documentos/631/07126482590/6310712648259010092023180404.jpg")</f>
        <v>https://dpmzos25m8ivg.cloudfront.net/Documentos/631/07126482590/6310712648259010092023180404.jpg</v>
      </c>
      <c r="G3442" s="5" t="str">
        <f>HYPERLINK("https://dpmzos25m8ivg.cloudfront.net/Documentos/631/07126482590/6310712648259010092023180414.jpg","https://dpmzos25m8ivg.cloudfront.net/Documentos/631/07126482590/6310712648259010092023180414.jpg")</f>
        <v>https://dpmzos25m8ivg.cloudfront.net/Documentos/631/07126482590/6310712648259010092023180414.jpg</v>
      </c>
      <c r="H3442" s="5" t="s">
        <v>12020</v>
      </c>
    </row>
    <row r="3443" spans="1:8" x14ac:dyDescent="0.25">
      <c r="A3443" s="2" t="s">
        <v>3463</v>
      </c>
      <c r="B3443" s="3"/>
      <c r="C3443" s="3"/>
      <c r="D3443" s="3"/>
      <c r="E3443" s="5" t="str">
        <f>HYPERLINK("https://dpmzos25m8ivg.cloudfront.net/Documentos/631/07127156573/6310712715657311092023163241.pdf","https://dpmzos25m8ivg.cloudfront.net/Documentos/631/07127156573/6310712715657311092023163241.pdf")</f>
        <v>https://dpmzos25m8ivg.cloudfront.net/Documentos/631/07127156573/6310712715657311092023163241.pdf</v>
      </c>
      <c r="F3443" s="5" t="str">
        <f>HYPERLINK("https://dpmzos25m8ivg.cloudfront.net/Documentos/631/07127156573/6310712715657311092023163254.pdf","https://dpmzos25m8ivg.cloudfront.net/Documentos/631/07127156573/6310712715657311092023163254.pdf")</f>
        <v>https://dpmzos25m8ivg.cloudfront.net/Documentos/631/07127156573/6310712715657311092023163254.pdf</v>
      </c>
      <c r="G3443" s="5" t="str">
        <f>HYPERLINK("https://dpmzos25m8ivg.cloudfront.net/Documentos/631/07127156573/6310712715657311092023163305.pdf","https://dpmzos25m8ivg.cloudfront.net/Documentos/631/07127156573/6310712715657311092023163305.pdf")</f>
        <v>https://dpmzos25m8ivg.cloudfront.net/Documentos/631/07127156573/6310712715657311092023163305.pdf</v>
      </c>
      <c r="H3443" s="5" t="s">
        <v>12021</v>
      </c>
    </row>
    <row r="3444" spans="1:8" x14ac:dyDescent="0.25">
      <c r="A3444" s="2" t="s">
        <v>3464</v>
      </c>
      <c r="B3444" s="3"/>
      <c r="C3444" s="3"/>
      <c r="D3444" s="3"/>
      <c r="E3444" s="5" t="str">
        <f>HYPERLINK("https://dpmzos25m8ivg.cloudfront.net/Documentos/631/07127993114/6310712799311414092023142054.pdf","https://dpmzos25m8ivg.cloudfront.net/Documentos/631/07127993114/6310712799311414092023142054.pdf")</f>
        <v>https://dpmzos25m8ivg.cloudfront.net/Documentos/631/07127993114/6310712799311414092023142054.pdf</v>
      </c>
      <c r="F3444" s="5" t="str">
        <f>HYPERLINK("https://dpmzos25m8ivg.cloudfront.net/Documentos/631/07127993114/6310712799311414092023142103.pdf","https://dpmzos25m8ivg.cloudfront.net/Documentos/631/07127993114/6310712799311414092023142103.pdf")</f>
        <v>https://dpmzos25m8ivg.cloudfront.net/Documentos/631/07127993114/6310712799311414092023142103.pdf</v>
      </c>
      <c r="G3444" s="5" t="str">
        <f>HYPERLINK("https://dpmzos25m8ivg.cloudfront.net/Documentos/631/07127993114/6310712799311414092023142112.pdf","https://dpmzos25m8ivg.cloudfront.net/Documentos/631/07127993114/6310712799311414092023142112.pdf")</f>
        <v>https://dpmzos25m8ivg.cloudfront.net/Documentos/631/07127993114/6310712799311414092023142112.pdf</v>
      </c>
      <c r="H3444" s="5" t="s">
        <v>12022</v>
      </c>
    </row>
    <row r="3445" spans="1:8" x14ac:dyDescent="0.25">
      <c r="A3445" s="2" t="s">
        <v>3465</v>
      </c>
      <c r="B3445" s="3"/>
      <c r="C3445" s="3"/>
      <c r="D3445" s="3"/>
      <c r="E3445" s="5" t="str">
        <f>HYPERLINK("https://dpmzos25m8ivg.cloudfront.net/Documentos/631/07128079424/6310712807942406092023204542.pdf","https://dpmzos25m8ivg.cloudfront.net/Documentos/631/07128079424/6310712807942406092023204542.pdf")</f>
        <v>https://dpmzos25m8ivg.cloudfront.net/Documentos/631/07128079424/6310712807942406092023204542.pdf</v>
      </c>
      <c r="F3445" s="5" t="str">
        <f>HYPERLINK("https://dpmzos25m8ivg.cloudfront.net/Documentos/631/07128079424/6310712807942406092023204609.pdf","https://dpmzos25m8ivg.cloudfront.net/Documentos/631/07128079424/6310712807942406092023204609.pdf")</f>
        <v>https://dpmzos25m8ivg.cloudfront.net/Documentos/631/07128079424/6310712807942406092023204609.pdf</v>
      </c>
      <c r="G3445" s="5" t="str">
        <f>HYPERLINK("https://dpmzos25m8ivg.cloudfront.net/Documentos/631/07128079424/6310712807942406092023204621.pdf","https://dpmzos25m8ivg.cloudfront.net/Documentos/631/07128079424/6310712807942406092023204621.pdf")</f>
        <v>https://dpmzos25m8ivg.cloudfront.net/Documentos/631/07128079424/6310712807942406092023204621.pdf</v>
      </c>
      <c r="H3445" s="5" t="s">
        <v>12023</v>
      </c>
    </row>
    <row r="3446" spans="1:8" x14ac:dyDescent="0.25">
      <c r="A3446" s="2" t="s">
        <v>3466</v>
      </c>
      <c r="B3446" s="3"/>
      <c r="C3446" s="3"/>
      <c r="D3446" s="3"/>
      <c r="E3446" s="5" t="str">
        <f>HYPERLINK("https://dpmzos25m8ivg.cloudfront.net/Documentos/631/07130329360/6310713032936011092023151236.jpg","https://dpmzos25m8ivg.cloudfront.net/Documentos/631/07130329360/6310713032936011092023151236.jpg")</f>
        <v>https://dpmzos25m8ivg.cloudfront.net/Documentos/631/07130329360/6310713032936011092023151236.jpg</v>
      </c>
      <c r="F3446" s="5" t="str">
        <f>HYPERLINK("https://dpmzos25m8ivg.cloudfront.net/Documentos/631/07130329360/6310713032936011092023151251.jpg","https://dpmzos25m8ivg.cloudfront.net/Documentos/631/07130329360/6310713032936011092023151251.jpg")</f>
        <v>https://dpmzos25m8ivg.cloudfront.net/Documentos/631/07130329360/6310713032936011092023151251.jpg</v>
      </c>
      <c r="G3446" s="5" t="str">
        <f>HYPERLINK("https://dpmzos25m8ivg.cloudfront.net/Documentos/631/07130329360/6310713032936011092023151306.jpg","https://dpmzos25m8ivg.cloudfront.net/Documentos/631/07130329360/6310713032936011092023151306.jpg")</f>
        <v>https://dpmzos25m8ivg.cloudfront.net/Documentos/631/07130329360/6310713032936011092023151306.jpg</v>
      </c>
      <c r="H3446" s="5" t="s">
        <v>12024</v>
      </c>
    </row>
    <row r="3447" spans="1:8" x14ac:dyDescent="0.25">
      <c r="A3447" s="2" t="s">
        <v>3467</v>
      </c>
      <c r="B3447" s="3"/>
      <c r="C3447" s="3"/>
      <c r="D3447" s="3"/>
      <c r="E3447" s="5" t="str">
        <f>HYPERLINK("https://dpmzos25m8ivg.cloudfront.net/Documentos/631/07133591375/6310713359137507092023212710.pdf","https://dpmzos25m8ivg.cloudfront.net/Documentos/631/07133591375/6310713359137507092023212710.pdf")</f>
        <v>https://dpmzos25m8ivg.cloudfront.net/Documentos/631/07133591375/6310713359137507092023212710.pdf</v>
      </c>
      <c r="F3447" s="5" t="str">
        <f>HYPERLINK("https://dpmzos25m8ivg.cloudfront.net/Documentos/631/07133591375/6310713359137507092023212904.pdf","https://dpmzos25m8ivg.cloudfront.net/Documentos/631/07133591375/6310713359137507092023212904.pdf")</f>
        <v>https://dpmzos25m8ivg.cloudfront.net/Documentos/631/07133591375/6310713359137507092023212904.pdf</v>
      </c>
      <c r="G3447" s="5" t="str">
        <f>HYPERLINK("https://dpmzos25m8ivg.cloudfront.net/Documentos/631/07133591375/6310713359137507092023213025.pdf","https://dpmzos25m8ivg.cloudfront.net/Documentos/631/07133591375/6310713359137507092023213025.pdf")</f>
        <v>https://dpmzos25m8ivg.cloudfront.net/Documentos/631/07133591375/6310713359137507092023213025.pdf</v>
      </c>
      <c r="H3447" s="5" t="s">
        <v>12025</v>
      </c>
    </row>
    <row r="3448" spans="1:8" x14ac:dyDescent="0.25">
      <c r="A3448" s="2" t="s">
        <v>3468</v>
      </c>
      <c r="B3448" s="3"/>
      <c r="C3448" s="3"/>
      <c r="D3448" s="3"/>
      <c r="E3448" s="5" t="str">
        <f>HYPERLINK("https://dpmzos25m8ivg.cloudfront.net/Documentos/631/07138828160/6310713882816011092023150327.pdf","https://dpmzos25m8ivg.cloudfront.net/Documentos/631/07138828160/6310713882816011092023150327.pdf")</f>
        <v>https://dpmzos25m8ivg.cloudfront.net/Documentos/631/07138828160/6310713882816011092023150327.pdf</v>
      </c>
      <c r="F3448" s="5" t="str">
        <f>HYPERLINK("https://dpmzos25m8ivg.cloudfront.net/Documentos/631/07138828160/6310713882816011092023150338.pdf","https://dpmzos25m8ivg.cloudfront.net/Documentos/631/07138828160/6310713882816011092023150338.pdf")</f>
        <v>https://dpmzos25m8ivg.cloudfront.net/Documentos/631/07138828160/6310713882816011092023150338.pdf</v>
      </c>
      <c r="G3448" s="5" t="str">
        <f>HYPERLINK("https://dpmzos25m8ivg.cloudfront.net/Documentos/631/07138828160/6310713882816011092023150351.pdf","https://dpmzos25m8ivg.cloudfront.net/Documentos/631/07138828160/6310713882816011092023150351.pdf")</f>
        <v>https://dpmzos25m8ivg.cloudfront.net/Documentos/631/07138828160/6310713882816011092023150351.pdf</v>
      </c>
      <c r="H3448" s="5" t="s">
        <v>12026</v>
      </c>
    </row>
    <row r="3449" spans="1:8" x14ac:dyDescent="0.25">
      <c r="A3449" s="2" t="s">
        <v>3469</v>
      </c>
      <c r="B3449" s="3" t="s">
        <v>2358</v>
      </c>
      <c r="C3449" s="3"/>
      <c r="D3449" s="3"/>
      <c r="E3449" s="5" t="str">
        <f>HYPERLINK("https://dpmzos25m8ivg.cloudfront.net/Documentos/631/07140826510/6310714082651014092023154539.pdf","https://dpmzos25m8ivg.cloudfront.net/Documentos/631/07140826510/6310714082651014092023154539.pdf")</f>
        <v>https://dpmzos25m8ivg.cloudfront.net/Documentos/631/07140826510/6310714082651014092023154539.pdf</v>
      </c>
      <c r="F3449" s="5" t="str">
        <f>HYPERLINK("https://dpmzos25m8ivg.cloudfront.net/Documentos/631/07140826510/6310714082651014092023154554.pdf","https://dpmzos25m8ivg.cloudfront.net/Documentos/631/07140826510/6310714082651014092023154554.pdf")</f>
        <v>https://dpmzos25m8ivg.cloudfront.net/Documentos/631/07140826510/6310714082651014092023154554.pdf</v>
      </c>
      <c r="G3449" s="5" t="str">
        <f>HYPERLINK("https://dpmzos25m8ivg.cloudfront.net/Documentos/631/07140826510/6310714082651014092023154609.pdf","https://dpmzos25m8ivg.cloudfront.net/Documentos/631/07140826510/6310714082651014092023154609.pdf")</f>
        <v>https://dpmzos25m8ivg.cloudfront.net/Documentos/631/07140826510/6310714082651014092023154609.pdf</v>
      </c>
      <c r="H3449" s="5" t="s">
        <v>12027</v>
      </c>
    </row>
    <row r="3450" spans="1:8" x14ac:dyDescent="0.25">
      <c r="A3450" s="2" t="s">
        <v>3470</v>
      </c>
      <c r="B3450" s="3"/>
      <c r="C3450" s="3"/>
      <c r="D3450" s="3"/>
      <c r="E3450" s="5" t="str">
        <f>HYPERLINK("https://dpmzos25m8ivg.cloudfront.net/Documentos/631/07140927464/6310714092746411092023163647.pdf","https://dpmzos25m8ivg.cloudfront.net/Documentos/631/07140927464/6310714092746411092023163647.pdf")</f>
        <v>https://dpmzos25m8ivg.cloudfront.net/Documentos/631/07140927464/6310714092746411092023163647.pdf</v>
      </c>
      <c r="F3450" s="5" t="str">
        <f>HYPERLINK("https://dpmzos25m8ivg.cloudfront.net/Documentos/631/07140927464/6310714092746411092023163657.pdf","https://dpmzos25m8ivg.cloudfront.net/Documentos/631/07140927464/6310714092746411092023163657.pdf")</f>
        <v>https://dpmzos25m8ivg.cloudfront.net/Documentos/631/07140927464/6310714092746411092023163657.pdf</v>
      </c>
      <c r="G3450" s="5" t="str">
        <f>HYPERLINK("https://dpmzos25m8ivg.cloudfront.net/Documentos/631/07140927464/6310714092746411092023163709.pdf","https://dpmzos25m8ivg.cloudfront.net/Documentos/631/07140927464/6310714092746411092023163709.pdf")</f>
        <v>https://dpmzos25m8ivg.cloudfront.net/Documentos/631/07140927464/6310714092746411092023163709.pdf</v>
      </c>
      <c r="H3450" s="5" t="s">
        <v>12028</v>
      </c>
    </row>
    <row r="3451" spans="1:8" x14ac:dyDescent="0.25">
      <c r="A3451" s="2" t="s">
        <v>3471</v>
      </c>
      <c r="B3451" s="3"/>
      <c r="C3451" s="3"/>
      <c r="D3451" s="3"/>
      <c r="E3451" s="5" t="str">
        <f>HYPERLINK("https://dpmzos25m8ivg.cloudfront.net/Documentos/631/07143203319/6310714320331906092023101109.pdf","https://dpmzos25m8ivg.cloudfront.net/Documentos/631/07143203319/6310714320331906092023101109.pdf")</f>
        <v>https://dpmzos25m8ivg.cloudfront.net/Documentos/631/07143203319/6310714320331906092023101109.pdf</v>
      </c>
      <c r="F3451" s="5" t="str">
        <f>HYPERLINK("https://dpmzos25m8ivg.cloudfront.net/Documentos/631/07143203319/6310714320331906092023101331.pdf","https://dpmzos25m8ivg.cloudfront.net/Documentos/631/07143203319/6310714320331906092023101331.pdf")</f>
        <v>https://dpmzos25m8ivg.cloudfront.net/Documentos/631/07143203319/6310714320331906092023101331.pdf</v>
      </c>
      <c r="G3451" s="5" t="str">
        <f>HYPERLINK("https://dpmzos25m8ivg.cloudfront.net/Documentos/631/07143203319/6310714320331906092023101630.pdf","https://dpmzos25m8ivg.cloudfront.net/Documentos/631/07143203319/6310714320331906092023101630.pdf")</f>
        <v>https://dpmzos25m8ivg.cloudfront.net/Documentos/631/07143203319/6310714320331906092023101630.pdf</v>
      </c>
      <c r="H3451" s="5" t="s">
        <v>12029</v>
      </c>
    </row>
    <row r="3452" spans="1:8" x14ac:dyDescent="0.25">
      <c r="A3452" s="2" t="s">
        <v>3472</v>
      </c>
      <c r="B3452" s="3"/>
      <c r="C3452" s="3"/>
      <c r="D3452" s="3"/>
      <c r="E3452" s="5" t="str">
        <f>HYPERLINK("https://dpmzos25m8ivg.cloudfront.net/Documentos/631/07144651510/6310714465151010092023214833.jpg","https://dpmzos25m8ivg.cloudfront.net/Documentos/631/07144651510/6310714465151010092023214833.jpg")</f>
        <v>https://dpmzos25m8ivg.cloudfront.net/Documentos/631/07144651510/6310714465151010092023214833.jpg</v>
      </c>
      <c r="F3452" s="5" t="str">
        <f>HYPERLINK("https://dpmzos25m8ivg.cloudfront.net/Documentos/631/07144651510/6310714465151010092023214951.jpg","https://dpmzos25m8ivg.cloudfront.net/Documentos/631/07144651510/6310714465151010092023214951.jpg")</f>
        <v>https://dpmzos25m8ivg.cloudfront.net/Documentos/631/07144651510/6310714465151010092023214951.jpg</v>
      </c>
      <c r="G3452" s="5" t="str">
        <f>HYPERLINK("https://dpmzos25m8ivg.cloudfront.net/Documentos/631/07144651510/6310714465151010092023215052.jpg","https://dpmzos25m8ivg.cloudfront.net/Documentos/631/07144651510/6310714465151010092023215052.jpg")</f>
        <v>https://dpmzos25m8ivg.cloudfront.net/Documentos/631/07144651510/6310714465151010092023215052.jpg</v>
      </c>
      <c r="H3452" s="5" t="s">
        <v>12030</v>
      </c>
    </row>
    <row r="3453" spans="1:8" x14ac:dyDescent="0.25">
      <c r="A3453" s="2" t="s">
        <v>3473</v>
      </c>
      <c r="B3453" s="3"/>
      <c r="C3453" s="3"/>
      <c r="D3453" s="3"/>
      <c r="E3453" s="5" t="str">
        <f>HYPERLINK("https://dpmzos25m8ivg.cloudfront.net/Documentos/631/07145303361/6310714530336111092023153017.pdf","https://dpmzos25m8ivg.cloudfront.net/Documentos/631/07145303361/6310714530336111092023153017.pdf")</f>
        <v>https://dpmzos25m8ivg.cloudfront.net/Documentos/631/07145303361/6310714530336111092023153017.pdf</v>
      </c>
      <c r="F3453" s="5" t="str">
        <f>HYPERLINK("https://dpmzos25m8ivg.cloudfront.net/Documentos/631/07145303361/6310714530336111092023153042.pdf","https://dpmzos25m8ivg.cloudfront.net/Documentos/631/07145303361/6310714530336111092023153042.pdf")</f>
        <v>https://dpmzos25m8ivg.cloudfront.net/Documentos/631/07145303361/6310714530336111092023153042.pdf</v>
      </c>
      <c r="G3453" s="5" t="str">
        <f>HYPERLINK("https://dpmzos25m8ivg.cloudfront.net/Documentos/631/07145303361/6310714530336111092023153122.pdf","https://dpmzos25m8ivg.cloudfront.net/Documentos/631/07145303361/6310714530336111092023153122.pdf")</f>
        <v>https://dpmzos25m8ivg.cloudfront.net/Documentos/631/07145303361/6310714530336111092023153122.pdf</v>
      </c>
      <c r="H3453" s="5" t="s">
        <v>12031</v>
      </c>
    </row>
    <row r="3454" spans="1:8" x14ac:dyDescent="0.25">
      <c r="A3454" s="2" t="s">
        <v>3474</v>
      </c>
      <c r="B3454" s="3"/>
      <c r="C3454" s="3"/>
      <c r="D3454" s="3"/>
      <c r="E3454" s="5" t="str">
        <f>HYPERLINK("https://dpmzos25m8ivg.cloudfront.net/Documentos/631/07146161684/6310714616168406092023110304.jpg","https://dpmzos25m8ivg.cloudfront.net/Documentos/631/07146161684/6310714616168406092023110304.jpg")</f>
        <v>https://dpmzos25m8ivg.cloudfront.net/Documentos/631/07146161684/6310714616168406092023110304.jpg</v>
      </c>
      <c r="F3454" s="5" t="str">
        <f>HYPERLINK("https://dpmzos25m8ivg.cloudfront.net/Documentos/631/07146161684/6310714616168406092023110328.jpg","https://dpmzos25m8ivg.cloudfront.net/Documentos/631/07146161684/6310714616168406092023110328.jpg")</f>
        <v>https://dpmzos25m8ivg.cloudfront.net/Documentos/631/07146161684/6310714616168406092023110328.jpg</v>
      </c>
      <c r="G3454" s="5" t="str">
        <f>HYPERLINK("https://dpmzos25m8ivg.cloudfront.net/Documentos/631/07146161684/6310714616168406092023110426.jpg","https://dpmzos25m8ivg.cloudfront.net/Documentos/631/07146161684/6310714616168406092023110426.jpg")</f>
        <v>https://dpmzos25m8ivg.cloudfront.net/Documentos/631/07146161684/6310714616168406092023110426.jpg</v>
      </c>
      <c r="H3454" s="5" t="s">
        <v>12032</v>
      </c>
    </row>
    <row r="3455" spans="1:8" x14ac:dyDescent="0.25">
      <c r="A3455" s="2" t="s">
        <v>3475</v>
      </c>
      <c r="B3455" s="3"/>
      <c r="C3455" s="3"/>
      <c r="D3455" s="3"/>
      <c r="E3455" s="5" t="str">
        <f>HYPERLINK("https://dpmzos25m8ivg.cloudfront.net/Documentos/631/07146502341/6310714650234110092023205504.pdf","https://dpmzos25m8ivg.cloudfront.net/Documentos/631/07146502341/6310714650234110092023205504.pdf")</f>
        <v>https://dpmzos25m8ivg.cloudfront.net/Documentos/631/07146502341/6310714650234110092023205504.pdf</v>
      </c>
      <c r="F3455" s="5" t="str">
        <f>HYPERLINK("https://dpmzos25m8ivg.cloudfront.net/Documentos/631/07146502341/6310714650234110092023205527.pdf","https://dpmzos25m8ivg.cloudfront.net/Documentos/631/07146502341/6310714650234110092023205527.pdf")</f>
        <v>https://dpmzos25m8ivg.cloudfront.net/Documentos/631/07146502341/6310714650234110092023205527.pdf</v>
      </c>
      <c r="G3455" s="5" t="str">
        <f>HYPERLINK("https://dpmzos25m8ivg.cloudfront.net/Documentos/631/07146502341/6310714650234110092023205546.pdf","https://dpmzos25m8ivg.cloudfront.net/Documentos/631/07146502341/6310714650234110092023205546.pdf")</f>
        <v>https://dpmzos25m8ivg.cloudfront.net/Documentos/631/07146502341/6310714650234110092023205546.pdf</v>
      </c>
      <c r="H3455" s="5" t="s">
        <v>12033</v>
      </c>
    </row>
    <row r="3456" spans="1:8" x14ac:dyDescent="0.25">
      <c r="A3456" s="2" t="s">
        <v>3476</v>
      </c>
      <c r="B3456" s="3"/>
      <c r="C3456" s="3"/>
      <c r="D3456" s="3"/>
      <c r="E3456" s="5" t="str">
        <f>HYPERLINK("https://dpmzos25m8ivg.cloudfront.net/Documentos/631/07147888308/6310714788830806092023185640.pdf","https://dpmzos25m8ivg.cloudfront.net/Documentos/631/07147888308/6310714788830806092023185640.pdf")</f>
        <v>https://dpmzos25m8ivg.cloudfront.net/Documentos/631/07147888308/6310714788830806092023185640.pdf</v>
      </c>
      <c r="F3456" s="5" t="str">
        <f>HYPERLINK("https://dpmzos25m8ivg.cloudfront.net/Documentos/631/07147888308/6310714788830806092023185650.pdf","https://dpmzos25m8ivg.cloudfront.net/Documentos/631/07147888308/6310714788830806092023185650.pdf")</f>
        <v>https://dpmzos25m8ivg.cloudfront.net/Documentos/631/07147888308/6310714788830806092023185650.pdf</v>
      </c>
      <c r="G3456" s="5" t="str">
        <f>HYPERLINK("https://dpmzos25m8ivg.cloudfront.net/Documentos/631/07147888308/6310714788830806092023185702.pdf","https://dpmzos25m8ivg.cloudfront.net/Documentos/631/07147888308/6310714788830806092023185702.pdf")</f>
        <v>https://dpmzos25m8ivg.cloudfront.net/Documentos/631/07147888308/6310714788830806092023185702.pdf</v>
      </c>
      <c r="H3456" s="5" t="s">
        <v>12034</v>
      </c>
    </row>
    <row r="3457" spans="1:8" x14ac:dyDescent="0.25">
      <c r="A3457" s="2" t="s">
        <v>3477</v>
      </c>
      <c r="B3457" s="3" t="s">
        <v>2358</v>
      </c>
      <c r="C3457" s="3"/>
      <c r="D3457" s="3"/>
      <c r="E3457" s="5" t="str">
        <f>HYPERLINK("https://dpmzos25m8ivg.cloudfront.net/Documentos/631/07151795432/6310715179543206092023001801.pdf","https://dpmzos25m8ivg.cloudfront.net/Documentos/631/07151795432/6310715179543206092023001801.pdf")</f>
        <v>https://dpmzos25m8ivg.cloudfront.net/Documentos/631/07151795432/6310715179543206092023001801.pdf</v>
      </c>
      <c r="F3457" s="5" t="str">
        <f>HYPERLINK("https://dpmzos25m8ivg.cloudfront.net/Documentos/631/07151795432/6310715179543206092023001815.pdf","https://dpmzos25m8ivg.cloudfront.net/Documentos/631/07151795432/6310715179543206092023001815.pdf")</f>
        <v>https://dpmzos25m8ivg.cloudfront.net/Documentos/631/07151795432/6310715179543206092023001815.pdf</v>
      </c>
      <c r="G3457" s="5" t="str">
        <f>HYPERLINK("https://dpmzos25m8ivg.cloudfront.net/Documentos/631/07151795432/6310715179543206092023001825.pdf","https://dpmzos25m8ivg.cloudfront.net/Documentos/631/07151795432/6310715179543206092023001825.pdf")</f>
        <v>https://dpmzos25m8ivg.cloudfront.net/Documentos/631/07151795432/6310715179543206092023001825.pdf</v>
      </c>
      <c r="H3457" s="5" t="s">
        <v>12035</v>
      </c>
    </row>
    <row r="3458" spans="1:8" x14ac:dyDescent="0.25">
      <c r="A3458" s="2" t="s">
        <v>3478</v>
      </c>
      <c r="B3458" s="3"/>
      <c r="C3458" s="3"/>
      <c r="D3458" s="3"/>
      <c r="E3458" s="5" t="str">
        <f>HYPERLINK("https://dpmzos25m8ivg.cloudfront.net/Documentos/631/07154919116/6310715491911611092023134708.pdf","https://dpmzos25m8ivg.cloudfront.net/Documentos/631/07154919116/6310715491911611092023134708.pdf")</f>
        <v>https://dpmzos25m8ivg.cloudfront.net/Documentos/631/07154919116/6310715491911611092023134708.pdf</v>
      </c>
      <c r="F3458" s="5" t="str">
        <f>HYPERLINK("https://dpmzos25m8ivg.cloudfront.net/Documentos/631/07154919116/6310715491911611092023134721.pdf","https://dpmzos25m8ivg.cloudfront.net/Documentos/631/07154919116/6310715491911611092023134721.pdf")</f>
        <v>https://dpmzos25m8ivg.cloudfront.net/Documentos/631/07154919116/6310715491911611092023134721.pdf</v>
      </c>
      <c r="G3458" s="5" t="str">
        <f>HYPERLINK("https://dpmzos25m8ivg.cloudfront.net/Documentos/631/07154919116/6310715491911611092023134735.pdf","https://dpmzos25m8ivg.cloudfront.net/Documentos/631/07154919116/6310715491911611092023134735.pdf")</f>
        <v>https://dpmzos25m8ivg.cloudfront.net/Documentos/631/07154919116/6310715491911611092023134735.pdf</v>
      </c>
      <c r="H3458" s="5" t="s">
        <v>12036</v>
      </c>
    </row>
    <row r="3459" spans="1:8" x14ac:dyDescent="0.25">
      <c r="A3459" s="2" t="s">
        <v>3479</v>
      </c>
      <c r="B3459" s="3"/>
      <c r="C3459" s="3"/>
      <c r="D3459" s="3"/>
      <c r="E3459" s="5" t="str">
        <f>HYPERLINK("https://dpmzos25m8ivg.cloudfront.net/Documentos/631/07155400335/6310715540033511092023162641.pdf","https://dpmzos25m8ivg.cloudfront.net/Documentos/631/07155400335/6310715540033511092023162641.pdf")</f>
        <v>https://dpmzos25m8ivg.cloudfront.net/Documentos/631/07155400335/6310715540033511092023162641.pdf</v>
      </c>
      <c r="F3459" s="5" t="str">
        <f>HYPERLINK("https://dpmzos25m8ivg.cloudfront.net/Documentos/631/07155400335/6310715540033511092023162651.pdf","https://dpmzos25m8ivg.cloudfront.net/Documentos/631/07155400335/6310715540033511092023162651.pdf")</f>
        <v>https://dpmzos25m8ivg.cloudfront.net/Documentos/631/07155400335/6310715540033511092023162651.pdf</v>
      </c>
      <c r="G3459" s="5" t="str">
        <f>HYPERLINK("https://dpmzos25m8ivg.cloudfront.net/Documentos/631/07155400335/6310715540033511092023162701.pdf","https://dpmzos25m8ivg.cloudfront.net/Documentos/631/07155400335/6310715540033511092023162701.pdf")</f>
        <v>https://dpmzos25m8ivg.cloudfront.net/Documentos/631/07155400335/6310715540033511092023162701.pdf</v>
      </c>
      <c r="H3459" s="5" t="s">
        <v>12037</v>
      </c>
    </row>
    <row r="3460" spans="1:8" x14ac:dyDescent="0.25">
      <c r="A3460" s="2" t="s">
        <v>3480</v>
      </c>
      <c r="B3460" s="19" t="s">
        <v>3385</v>
      </c>
      <c r="C3460" s="3"/>
      <c r="D3460" s="3"/>
      <c r="E3460" s="5" t="str">
        <f>HYPERLINK("https://dpmzos25m8ivg.cloudfront.net/Documentos/631/07157736314/6310715773631411092023164618.pdf","https://dpmzos25m8ivg.cloudfront.net/Documentos/631/07157736314/6310715773631411092023164618.pdf")</f>
        <v>https://dpmzos25m8ivg.cloudfront.net/Documentos/631/07157736314/6310715773631411092023164618.pdf</v>
      </c>
      <c r="F3460" s="5" t="str">
        <f>HYPERLINK("https://dpmzos25m8ivg.cloudfront.net/Documentos/631/07157736314/6310715773631411092023164629.pdf","https://dpmzos25m8ivg.cloudfront.net/Documentos/631/07157736314/6310715773631411092023164629.pdf")</f>
        <v>https://dpmzos25m8ivg.cloudfront.net/Documentos/631/07157736314/6310715773631411092023164629.pdf</v>
      </c>
      <c r="G3460" s="5" t="str">
        <f>HYPERLINK("https://dpmzos25m8ivg.cloudfront.net/Documentos/631/07157736314/6310715773631411092023164640.pdf","https://dpmzos25m8ivg.cloudfront.net/Documentos/631/07157736314/6310715773631411092023164640.pdf")</f>
        <v>https://dpmzos25m8ivg.cloudfront.net/Documentos/631/07157736314/6310715773631411092023164640.pdf</v>
      </c>
      <c r="H3460" s="5" t="s">
        <v>12038</v>
      </c>
    </row>
    <row r="3461" spans="1:8" x14ac:dyDescent="0.25">
      <c r="A3461" s="2" t="s">
        <v>3481</v>
      </c>
      <c r="B3461" s="3"/>
      <c r="C3461" s="3"/>
      <c r="D3461" s="3"/>
      <c r="E3461" s="5" t="str">
        <f>HYPERLINK("https://dpmzos25m8ivg.cloudfront.net/Documentos/631/07157781379/6310715778137909092023143416.pdf","https://dpmzos25m8ivg.cloudfront.net/Documentos/631/07157781379/6310715778137909092023143416.pdf")</f>
        <v>https://dpmzos25m8ivg.cloudfront.net/Documentos/631/07157781379/6310715778137909092023143416.pdf</v>
      </c>
      <c r="F3461" s="5" t="str">
        <f>HYPERLINK("https://dpmzos25m8ivg.cloudfront.net/Documentos/631/07157781379/6310715778137909092023143427.pdf","https://dpmzos25m8ivg.cloudfront.net/Documentos/631/07157781379/6310715778137909092023143427.pdf")</f>
        <v>https://dpmzos25m8ivg.cloudfront.net/Documentos/631/07157781379/6310715778137909092023143427.pdf</v>
      </c>
      <c r="G3461" s="5" t="str">
        <f>HYPERLINK("https://dpmzos25m8ivg.cloudfront.net/Documentos/631/07157781379/6310715778137909092023143446.pdf","https://dpmzos25m8ivg.cloudfront.net/Documentos/631/07157781379/6310715778137909092023143446.pdf")</f>
        <v>https://dpmzos25m8ivg.cloudfront.net/Documentos/631/07157781379/6310715778137909092023143446.pdf</v>
      </c>
      <c r="H3461" s="5" t="s">
        <v>12039</v>
      </c>
    </row>
    <row r="3462" spans="1:8" x14ac:dyDescent="0.25">
      <c r="A3462" s="2" t="s">
        <v>3482</v>
      </c>
      <c r="B3462" s="3"/>
      <c r="C3462" s="3"/>
      <c r="D3462" s="3"/>
      <c r="E3462" s="5" t="str">
        <f>HYPERLINK("https://dpmzos25m8ivg.cloudfront.net/Documentos/631/07160663357/6310716066335709092023181624.pdf","https://dpmzos25m8ivg.cloudfront.net/Documentos/631/07160663357/6310716066335709092023181624.pdf")</f>
        <v>https://dpmzos25m8ivg.cloudfront.net/Documentos/631/07160663357/6310716066335709092023181624.pdf</v>
      </c>
      <c r="F3462" s="5" t="str">
        <f>HYPERLINK("https://dpmzos25m8ivg.cloudfront.net/Documentos/631/07160663357/6310716066335709092023181635.pdf","https://dpmzos25m8ivg.cloudfront.net/Documentos/631/07160663357/6310716066335709092023181635.pdf")</f>
        <v>https://dpmzos25m8ivg.cloudfront.net/Documentos/631/07160663357/6310716066335709092023181635.pdf</v>
      </c>
      <c r="G3462" s="5" t="str">
        <f>HYPERLINK("https://dpmzos25m8ivg.cloudfront.net/Documentos/631/07160663357/6310716066335709092023181648.pdf","https://dpmzos25m8ivg.cloudfront.net/Documentos/631/07160663357/6310716066335709092023181648.pdf")</f>
        <v>https://dpmzos25m8ivg.cloudfront.net/Documentos/631/07160663357/6310716066335709092023181648.pdf</v>
      </c>
      <c r="H3462" s="5" t="s">
        <v>12040</v>
      </c>
    </row>
    <row r="3463" spans="1:8" x14ac:dyDescent="0.25">
      <c r="A3463" s="2" t="s">
        <v>3483</v>
      </c>
      <c r="B3463" s="3" t="s">
        <v>3385</v>
      </c>
      <c r="C3463" s="3"/>
      <c r="D3463" s="3"/>
      <c r="E3463" s="5" t="str">
        <f>HYPERLINK("https://dpmzos25m8ivg.cloudfront.net/Documentos/631/07160924339/6310716092433914092023135024.jpeg","https://dpmzos25m8ivg.cloudfront.net/Documentos/631/07160924339/6310716092433914092023135024.jpeg")</f>
        <v>https://dpmzos25m8ivg.cloudfront.net/Documentos/631/07160924339/6310716092433914092023135024.jpeg</v>
      </c>
      <c r="F3463" s="5" t="str">
        <f>HYPERLINK("https://dpmzos25m8ivg.cloudfront.net/Documentos/631/07160924339/6310716092433914092023135040.jpeg","https://dpmzos25m8ivg.cloudfront.net/Documentos/631/07160924339/6310716092433914092023135040.jpeg")</f>
        <v>https://dpmzos25m8ivg.cloudfront.net/Documentos/631/07160924339/6310716092433914092023135040.jpeg</v>
      </c>
      <c r="G3463" s="5" t="str">
        <f>HYPERLINK("https://dpmzos25m8ivg.cloudfront.net/Documentos/631/07160924339/6310716092433914092023135056.jpeg","https://dpmzos25m8ivg.cloudfront.net/Documentos/631/07160924339/6310716092433914092023135056.jpeg")</f>
        <v>https://dpmzos25m8ivg.cloudfront.net/Documentos/631/07160924339/6310716092433914092023135056.jpeg</v>
      </c>
      <c r="H3463" s="5" t="s">
        <v>12041</v>
      </c>
    </row>
    <row r="3464" spans="1:8" x14ac:dyDescent="0.25">
      <c r="A3464" s="2" t="s">
        <v>3484</v>
      </c>
      <c r="B3464" s="3"/>
      <c r="C3464" s="3"/>
      <c r="D3464" s="3"/>
      <c r="E3464" s="5" t="str">
        <f>HYPERLINK("https://dpmzos25m8ivg.cloudfront.net/Documentos/631/07161127360/6310716112736010092023154922.jpeg","https://dpmzos25m8ivg.cloudfront.net/Documentos/631/07161127360/6310716112736010092023154922.jpeg")</f>
        <v>https://dpmzos25m8ivg.cloudfront.net/Documentos/631/07161127360/6310716112736010092023154922.jpeg</v>
      </c>
      <c r="F3464" s="5" t="str">
        <f>HYPERLINK("https://dpmzos25m8ivg.cloudfront.net/Documentos/631/07161127360/6310716112736010092023154935.jpeg","https://dpmzos25m8ivg.cloudfront.net/Documentos/631/07161127360/6310716112736010092023154935.jpeg")</f>
        <v>https://dpmzos25m8ivg.cloudfront.net/Documentos/631/07161127360/6310716112736010092023154935.jpeg</v>
      </c>
      <c r="G3464" s="5" t="str">
        <f>HYPERLINK("https://dpmzos25m8ivg.cloudfront.net/Documentos/631/07161127360/6310716112736010092023154948.jpeg","https://dpmzos25m8ivg.cloudfront.net/Documentos/631/07161127360/6310716112736010092023154948.jpeg")</f>
        <v>https://dpmzos25m8ivg.cloudfront.net/Documentos/631/07161127360/6310716112736010092023154948.jpeg</v>
      </c>
      <c r="H3464" s="5" t="s">
        <v>12042</v>
      </c>
    </row>
    <row r="3465" spans="1:8" x14ac:dyDescent="0.25">
      <c r="A3465" s="2" t="s">
        <v>3485</v>
      </c>
      <c r="B3465" s="3"/>
      <c r="C3465" s="3"/>
      <c r="D3465" s="3"/>
      <c r="E3465" s="5" t="str">
        <f>HYPERLINK("https://dpmzos25m8ivg.cloudfront.net/Documentos/631/07162700640/6310716270064008092023195454.jpg","https://dpmzos25m8ivg.cloudfront.net/Documentos/631/07162700640/6310716270064008092023195454.jpg")</f>
        <v>https://dpmzos25m8ivg.cloudfront.net/Documentos/631/07162700640/6310716270064008092023195454.jpg</v>
      </c>
      <c r="F3465" s="5" t="str">
        <f>HYPERLINK("https://dpmzos25m8ivg.cloudfront.net/Documentos/631/07162700640/6310716270064008092023195518.jpg","https://dpmzos25m8ivg.cloudfront.net/Documentos/631/07162700640/6310716270064008092023195518.jpg")</f>
        <v>https://dpmzos25m8ivg.cloudfront.net/Documentos/631/07162700640/6310716270064008092023195518.jpg</v>
      </c>
      <c r="G3465" s="5" t="str">
        <f>HYPERLINK("https://dpmzos25m8ivg.cloudfront.net/Documentos/631/07162700640/6310716270064008092023190854.jpg","https://dpmzos25m8ivg.cloudfront.net/Documentos/631/07162700640/6310716270064008092023190854.jpg")</f>
        <v>https://dpmzos25m8ivg.cloudfront.net/Documentos/631/07162700640/6310716270064008092023190854.jpg</v>
      </c>
      <c r="H3465" s="5" t="s">
        <v>12043</v>
      </c>
    </row>
    <row r="3466" spans="1:8" x14ac:dyDescent="0.25">
      <c r="A3466" s="2" t="s">
        <v>3486</v>
      </c>
      <c r="B3466" s="3"/>
      <c r="C3466" s="3"/>
      <c r="D3466" s="3"/>
      <c r="E3466" s="5" t="str">
        <f>HYPERLINK("https://dpmzos25m8ivg.cloudfront.net/Documentos/631/07163489420/6310716348942014092023124517.pdf","https://dpmzos25m8ivg.cloudfront.net/Documentos/631/07163489420/6310716348942014092023124517.pdf")</f>
        <v>https://dpmzos25m8ivg.cloudfront.net/Documentos/631/07163489420/6310716348942014092023124517.pdf</v>
      </c>
      <c r="F3466" s="5" t="str">
        <f>HYPERLINK("https://dpmzos25m8ivg.cloudfront.net/Documentos/631/07163489420/6310716348942014092023124528.pdf","https://dpmzos25m8ivg.cloudfront.net/Documentos/631/07163489420/6310716348942014092023124528.pdf")</f>
        <v>https://dpmzos25m8ivg.cloudfront.net/Documentos/631/07163489420/6310716348942014092023124528.pdf</v>
      </c>
      <c r="G3466" s="5" t="str">
        <f>HYPERLINK("https://dpmzos25m8ivg.cloudfront.net/Documentos/631/07163489420/6310716348942014092023124537.pdf","https://dpmzos25m8ivg.cloudfront.net/Documentos/631/07163489420/6310716348942014092023124537.pdf")</f>
        <v>https://dpmzos25m8ivg.cloudfront.net/Documentos/631/07163489420/6310716348942014092023124537.pdf</v>
      </c>
      <c r="H3466" s="5" t="s">
        <v>12044</v>
      </c>
    </row>
    <row r="3467" spans="1:8" x14ac:dyDescent="0.25">
      <c r="A3467" s="2" t="s">
        <v>3487</v>
      </c>
      <c r="B3467" s="3"/>
      <c r="C3467" s="3"/>
      <c r="D3467" s="3"/>
      <c r="E3467" s="5" t="str">
        <f>HYPERLINK("https://dpmzos25m8ivg.cloudfront.net/Documentos/631/07163500173/6310716350017311092023151119.pdf","https://dpmzos25m8ivg.cloudfront.net/Documentos/631/07163500173/6310716350017311092023151119.pdf")</f>
        <v>https://dpmzos25m8ivg.cloudfront.net/Documentos/631/07163500173/6310716350017311092023151119.pdf</v>
      </c>
      <c r="F3467" s="5" t="str">
        <f>HYPERLINK("https://dpmzos25m8ivg.cloudfront.net/Documentos/631/07163500173/6310716350017311092023151144.pdf","https://dpmzos25m8ivg.cloudfront.net/Documentos/631/07163500173/6310716350017311092023151144.pdf")</f>
        <v>https://dpmzos25m8ivg.cloudfront.net/Documentos/631/07163500173/6310716350017311092023151144.pdf</v>
      </c>
      <c r="G3467" s="5" t="str">
        <f>HYPERLINK("https://dpmzos25m8ivg.cloudfront.net/Documentos/631/07163500173/6310716350017311092023151203.pdf","https://dpmzos25m8ivg.cloudfront.net/Documentos/631/07163500173/6310716350017311092023151203.pdf")</f>
        <v>https://dpmzos25m8ivg.cloudfront.net/Documentos/631/07163500173/6310716350017311092023151203.pdf</v>
      </c>
      <c r="H3467" s="5" t="s">
        <v>12045</v>
      </c>
    </row>
    <row r="3468" spans="1:8" x14ac:dyDescent="0.25">
      <c r="A3468" s="2" t="s">
        <v>3488</v>
      </c>
      <c r="B3468" s="3"/>
      <c r="C3468" s="3"/>
      <c r="D3468" s="3"/>
      <c r="E3468" s="5" t="str">
        <f>HYPERLINK("https://dpmzos25m8ivg.cloudfront.net/Documentos/631/07165888381/6310716588838111092023155141.pdf","https://dpmzos25m8ivg.cloudfront.net/Documentos/631/07165888381/6310716588838111092023155141.pdf")</f>
        <v>https://dpmzos25m8ivg.cloudfront.net/Documentos/631/07165888381/6310716588838111092023155141.pdf</v>
      </c>
      <c r="F3468" s="5" t="str">
        <f>HYPERLINK("https://dpmzos25m8ivg.cloudfront.net/Documentos/631/07165888381/6310716588838111092023155155.pdf","https://dpmzos25m8ivg.cloudfront.net/Documentos/631/07165888381/6310716588838111092023155155.pdf")</f>
        <v>https://dpmzos25m8ivg.cloudfront.net/Documentos/631/07165888381/6310716588838111092023155155.pdf</v>
      </c>
      <c r="G3468" s="5" t="str">
        <f>HYPERLINK("https://dpmzos25m8ivg.cloudfront.net/Documentos/631/07165888381/6310716588838111092023155206.pdf","https://dpmzos25m8ivg.cloudfront.net/Documentos/631/07165888381/6310716588838111092023155206.pdf")</f>
        <v>https://dpmzos25m8ivg.cloudfront.net/Documentos/631/07165888381/6310716588838111092023155206.pdf</v>
      </c>
      <c r="H3468" s="5" t="s">
        <v>12046</v>
      </c>
    </row>
    <row r="3469" spans="1:8" x14ac:dyDescent="0.25">
      <c r="A3469" s="2" t="s">
        <v>3489</v>
      </c>
      <c r="B3469" s="3"/>
      <c r="C3469" s="3"/>
      <c r="D3469" s="3"/>
      <c r="E3469" s="5" t="str">
        <f>HYPERLINK("https://dpmzos25m8ivg.cloudfront.net/Documentos/631/07167169501/6310716716950108092023225453.pdf","https://dpmzos25m8ivg.cloudfront.net/Documentos/631/07167169501/6310716716950108092023225453.pdf")</f>
        <v>https://dpmzos25m8ivg.cloudfront.net/Documentos/631/07167169501/6310716716950108092023225453.pdf</v>
      </c>
      <c r="F3469" s="5" t="str">
        <f>HYPERLINK("https://dpmzos25m8ivg.cloudfront.net/Documentos/631/07167169501/6310716716950108092023225505.pdf","https://dpmzos25m8ivg.cloudfront.net/Documentos/631/07167169501/6310716716950108092023225505.pdf")</f>
        <v>https://dpmzos25m8ivg.cloudfront.net/Documentos/631/07167169501/6310716716950108092023225505.pdf</v>
      </c>
      <c r="G3469" s="5" t="str">
        <f>HYPERLINK("https://dpmzos25m8ivg.cloudfront.net/Documentos/631/07167169501/6310716716950108092023225516.pdf","https://dpmzos25m8ivg.cloudfront.net/Documentos/631/07167169501/6310716716950108092023225516.pdf")</f>
        <v>https://dpmzos25m8ivg.cloudfront.net/Documentos/631/07167169501/6310716716950108092023225516.pdf</v>
      </c>
      <c r="H3469" s="5" t="s">
        <v>12047</v>
      </c>
    </row>
    <row r="3470" spans="1:8" x14ac:dyDescent="0.25">
      <c r="A3470" s="2" t="s">
        <v>3490</v>
      </c>
      <c r="B3470" s="3"/>
      <c r="C3470" s="3"/>
      <c r="D3470" s="3"/>
      <c r="E3470" s="5" t="str">
        <f>HYPERLINK("https://dpmzos25m8ivg.cloudfront.net/Documentos/631/07167724505/6310716772450508092023100106.pdf","https://dpmzos25m8ivg.cloudfront.net/Documentos/631/07167724505/6310716772450508092023100106.pdf")</f>
        <v>https://dpmzos25m8ivg.cloudfront.net/Documentos/631/07167724505/6310716772450508092023100106.pdf</v>
      </c>
      <c r="F3470" s="5" t="str">
        <f>HYPERLINK("https://dpmzos25m8ivg.cloudfront.net/Documentos/631/07167724505/6310716772450508092023100114.pdf","https://dpmzos25m8ivg.cloudfront.net/Documentos/631/07167724505/6310716772450508092023100114.pdf")</f>
        <v>https://dpmzos25m8ivg.cloudfront.net/Documentos/631/07167724505/6310716772450508092023100114.pdf</v>
      </c>
      <c r="G3470" s="5" t="str">
        <f>HYPERLINK("https://dpmzos25m8ivg.cloudfront.net/Documentos/631/07167724505/6310716772450508092023100124.pdf","https://dpmzos25m8ivg.cloudfront.net/Documentos/631/07167724505/6310716772450508092023100124.pdf")</f>
        <v>https://dpmzos25m8ivg.cloudfront.net/Documentos/631/07167724505/6310716772450508092023100124.pdf</v>
      </c>
      <c r="H3470" s="5" t="s">
        <v>12048</v>
      </c>
    </row>
    <row r="3471" spans="1:8" x14ac:dyDescent="0.25">
      <c r="A3471" s="2" t="s">
        <v>3491</v>
      </c>
      <c r="B3471" s="3"/>
      <c r="C3471" s="3"/>
      <c r="D3471" s="3"/>
      <c r="E3471" s="5" t="str">
        <f>HYPERLINK("https://dpmzos25m8ivg.cloudfront.net/Documentos/631/07167964654/6310716796465411092023094548.jpg","https://dpmzos25m8ivg.cloudfront.net/Documentos/631/07167964654/6310716796465411092023094548.jpg")</f>
        <v>https://dpmzos25m8ivg.cloudfront.net/Documentos/631/07167964654/6310716796465411092023094548.jpg</v>
      </c>
      <c r="F3471" s="5" t="str">
        <f>HYPERLINK("https://dpmzos25m8ivg.cloudfront.net/Documentos/631/07167964654/6310716796465411092023094609.jpg","https://dpmzos25m8ivg.cloudfront.net/Documentos/631/07167964654/6310716796465411092023094609.jpg")</f>
        <v>https://dpmzos25m8ivg.cloudfront.net/Documentos/631/07167964654/6310716796465411092023094609.jpg</v>
      </c>
      <c r="G3471" s="5" t="str">
        <f>HYPERLINK("https://dpmzos25m8ivg.cloudfront.net/Documentos/631/07167964654/6310716796465411092023094635.jpg","https://dpmzos25m8ivg.cloudfront.net/Documentos/631/07167964654/6310716796465411092023094635.jpg")</f>
        <v>https://dpmzos25m8ivg.cloudfront.net/Documentos/631/07167964654/6310716796465411092023094635.jpg</v>
      </c>
      <c r="H3471" s="5" t="s">
        <v>12049</v>
      </c>
    </row>
    <row r="3472" spans="1:8" x14ac:dyDescent="0.25">
      <c r="A3472" s="2" t="s">
        <v>3492</v>
      </c>
      <c r="B3472" s="3"/>
      <c r="C3472" s="3"/>
      <c r="D3472" s="3"/>
      <c r="E3472" s="5" t="str">
        <f>HYPERLINK("https://dpmzos25m8ivg.cloudfront.net/Documentos/631/07171345556/6310717134555611092023162456.jpeg","https://dpmzos25m8ivg.cloudfront.net/Documentos/631/07171345556/6310717134555611092023162456.jpeg")</f>
        <v>https://dpmzos25m8ivg.cloudfront.net/Documentos/631/07171345556/6310717134555611092023162456.jpeg</v>
      </c>
      <c r="F3472" s="5" t="str">
        <f>HYPERLINK("https://dpmzos25m8ivg.cloudfront.net/Documentos/631/07171345556/6310717134555611092023162516.jpeg","https://dpmzos25m8ivg.cloudfront.net/Documentos/631/07171345556/6310717134555611092023162516.jpeg")</f>
        <v>https://dpmzos25m8ivg.cloudfront.net/Documentos/631/07171345556/6310717134555611092023162516.jpeg</v>
      </c>
      <c r="G3472" s="5" t="str">
        <f>HYPERLINK("https://dpmzos25m8ivg.cloudfront.net/Documentos/631/07171345556/6310717134555611092023162527.jpeg","https://dpmzos25m8ivg.cloudfront.net/Documentos/631/07171345556/6310717134555611092023162527.jpeg")</f>
        <v>https://dpmzos25m8ivg.cloudfront.net/Documentos/631/07171345556/6310717134555611092023162527.jpeg</v>
      </c>
      <c r="H3472" s="5" t="s">
        <v>12050</v>
      </c>
    </row>
    <row r="3473" spans="1:8" x14ac:dyDescent="0.25">
      <c r="A3473" s="2" t="s">
        <v>3493</v>
      </c>
      <c r="B3473" s="3"/>
      <c r="C3473" s="3"/>
      <c r="D3473" s="3"/>
      <c r="E3473" s="5" t="str">
        <f>HYPERLINK("https://dpmzos25m8ivg.cloudfront.net/Documentos/631/07174083536/6310717408353611092023154635.pdf","https://dpmzos25m8ivg.cloudfront.net/Documentos/631/07174083536/6310717408353611092023154635.pdf")</f>
        <v>https://dpmzos25m8ivg.cloudfront.net/Documentos/631/07174083536/6310717408353611092023154635.pdf</v>
      </c>
      <c r="F3473" s="5" t="str">
        <f>HYPERLINK("https://dpmzos25m8ivg.cloudfront.net/Documentos/631/07174083536/6310717408353611092023154712.pdf","https://dpmzos25m8ivg.cloudfront.net/Documentos/631/07174083536/6310717408353611092023154712.pdf")</f>
        <v>https://dpmzos25m8ivg.cloudfront.net/Documentos/631/07174083536/6310717408353611092023154712.pdf</v>
      </c>
      <c r="G3473" s="5" t="str">
        <f>HYPERLINK("https://dpmzos25m8ivg.cloudfront.net/Documentos/631/07174083536/6310717408353611092023154745.pdf","https://dpmzos25m8ivg.cloudfront.net/Documentos/631/07174083536/6310717408353611092023154745.pdf")</f>
        <v>https://dpmzos25m8ivg.cloudfront.net/Documentos/631/07174083536/6310717408353611092023154745.pdf</v>
      </c>
      <c r="H3473" s="5" t="s">
        <v>12051</v>
      </c>
    </row>
    <row r="3474" spans="1:8" x14ac:dyDescent="0.25">
      <c r="A3474" s="2" t="s">
        <v>3494</v>
      </c>
      <c r="B3474" s="3"/>
      <c r="C3474" s="3"/>
      <c r="D3474" s="3"/>
      <c r="E3474" s="5" t="str">
        <f>HYPERLINK("https://dpmzos25m8ivg.cloudfront.net/Documentos/631/07179870510/6310717987051006092023232145.jpg","https://dpmzos25m8ivg.cloudfront.net/Documentos/631/07179870510/6310717987051006092023232145.jpg")</f>
        <v>https://dpmzos25m8ivg.cloudfront.net/Documentos/631/07179870510/6310717987051006092023232145.jpg</v>
      </c>
      <c r="F3474" s="5" t="str">
        <f>HYPERLINK("https://dpmzos25m8ivg.cloudfront.net/Documentos/631/07179870510/6310717987051006092023232158.jpg","https://dpmzos25m8ivg.cloudfront.net/Documentos/631/07179870510/6310717987051006092023232158.jpg")</f>
        <v>https://dpmzos25m8ivg.cloudfront.net/Documentos/631/07179870510/6310717987051006092023232158.jpg</v>
      </c>
      <c r="G3474" s="5" t="str">
        <f>HYPERLINK("https://dpmzos25m8ivg.cloudfront.net/Documentos/631/07179870510/6310717987051006092023232213.jpg","https://dpmzos25m8ivg.cloudfront.net/Documentos/631/07179870510/6310717987051006092023232213.jpg")</f>
        <v>https://dpmzos25m8ivg.cloudfront.net/Documentos/631/07179870510/6310717987051006092023232213.jpg</v>
      </c>
      <c r="H3474" s="5" t="s">
        <v>12052</v>
      </c>
    </row>
    <row r="3475" spans="1:8" x14ac:dyDescent="0.25">
      <c r="A3475" s="2" t="s">
        <v>3495</v>
      </c>
      <c r="B3475" s="3"/>
      <c r="C3475" s="3"/>
      <c r="D3475" s="3"/>
      <c r="E3475" s="5" t="str">
        <f>HYPERLINK("https://dpmzos25m8ivg.cloudfront.net/Documentos/631/07180197505/6310718019750507092023164007.pdf","https://dpmzos25m8ivg.cloudfront.net/Documentos/631/07180197505/6310718019750507092023164007.pdf")</f>
        <v>https://dpmzos25m8ivg.cloudfront.net/Documentos/631/07180197505/6310718019750507092023164007.pdf</v>
      </c>
      <c r="F3475" s="5" t="str">
        <f>HYPERLINK("https://dpmzos25m8ivg.cloudfront.net/Documentos/631/07180197505/6310718019750507092023164017.pdf","https://dpmzos25m8ivg.cloudfront.net/Documentos/631/07180197505/6310718019750507092023164017.pdf")</f>
        <v>https://dpmzos25m8ivg.cloudfront.net/Documentos/631/07180197505/6310718019750507092023164017.pdf</v>
      </c>
      <c r="G3475" s="5" t="str">
        <f>HYPERLINK("https://dpmzos25m8ivg.cloudfront.net/Documentos/631/07180197505/6310718019750507092023164028.pdf","https://dpmzos25m8ivg.cloudfront.net/Documentos/631/07180197505/6310718019750507092023164028.pdf")</f>
        <v>https://dpmzos25m8ivg.cloudfront.net/Documentos/631/07180197505/6310718019750507092023164028.pdf</v>
      </c>
      <c r="H3475" s="5" t="s">
        <v>12053</v>
      </c>
    </row>
    <row r="3476" spans="1:8" x14ac:dyDescent="0.25">
      <c r="A3476" s="2" t="s">
        <v>3496</v>
      </c>
      <c r="B3476" s="3" t="s">
        <v>2358</v>
      </c>
      <c r="C3476" s="3"/>
      <c r="D3476" s="3"/>
      <c r="E3476" s="5" t="str">
        <f>HYPERLINK("https://dpmzos25m8ivg.cloudfront.net/Documentos/631/07180647551/6310718064755108092023224849.pdf","https://dpmzos25m8ivg.cloudfront.net/Documentos/631/07180647551/6310718064755108092023224849.pdf")</f>
        <v>https://dpmzos25m8ivg.cloudfront.net/Documentos/631/07180647551/6310718064755108092023224849.pdf</v>
      </c>
      <c r="F3476" s="5" t="str">
        <f>HYPERLINK("https://dpmzos25m8ivg.cloudfront.net/Documentos/631/07180647551/6310718064755108092023224857.pdf","https://dpmzos25m8ivg.cloudfront.net/Documentos/631/07180647551/6310718064755108092023224857.pdf")</f>
        <v>https://dpmzos25m8ivg.cloudfront.net/Documentos/631/07180647551/6310718064755108092023224857.pdf</v>
      </c>
      <c r="G3476" s="5" t="str">
        <f>HYPERLINK("https://dpmzos25m8ivg.cloudfront.net/Documentos/631/07180647551/6310718064755108092023224907.pdf","https://dpmzos25m8ivg.cloudfront.net/Documentos/631/07180647551/6310718064755108092023224907.pdf")</f>
        <v>https://dpmzos25m8ivg.cloudfront.net/Documentos/631/07180647551/6310718064755108092023224907.pdf</v>
      </c>
      <c r="H3476" s="5" t="s">
        <v>12054</v>
      </c>
    </row>
    <row r="3477" spans="1:8" x14ac:dyDescent="0.25">
      <c r="A3477" s="7" t="s">
        <v>3497</v>
      </c>
      <c r="B3477" s="20"/>
      <c r="C3477" s="3"/>
      <c r="D3477" s="3"/>
      <c r="E3477" s="5" t="str">
        <f>HYPERLINK("https://dpmzos25m8ivg.cloudfront.net/Documentos/631/07181812394/6310718181239406092023174730.pdf","https://dpmzos25m8ivg.cloudfront.net/Documentos/631/07181812394/6310718181239406092023174730.pdf")</f>
        <v>https://dpmzos25m8ivg.cloudfront.net/Documentos/631/07181812394/6310718181239406092023174730.pdf</v>
      </c>
      <c r="F3477" s="5" t="str">
        <f>HYPERLINK("https://dpmzos25m8ivg.cloudfront.net/Documentos/631/07181812394/6310718181239406092023174753.pdf","https://dpmzos25m8ivg.cloudfront.net/Documentos/631/07181812394/6310718181239406092023174753.pdf")</f>
        <v>https://dpmzos25m8ivg.cloudfront.net/Documentos/631/07181812394/6310718181239406092023174753.pdf</v>
      </c>
      <c r="G3477" s="5" t="str">
        <f>HYPERLINK("https://dpmzos25m8ivg.cloudfront.net/Documentos/631/07181812394/6310718181239406092023174814.pdf","https://dpmzos25m8ivg.cloudfront.net/Documentos/631/07181812394/6310718181239406092023174814.pdf")</f>
        <v>https://dpmzos25m8ivg.cloudfront.net/Documentos/631/07181812394/6310718181239406092023174814.pdf</v>
      </c>
      <c r="H3477" s="5" t="s">
        <v>12055</v>
      </c>
    </row>
    <row r="3478" spans="1:8" x14ac:dyDescent="0.25">
      <c r="A3478" s="2" t="s">
        <v>3498</v>
      </c>
      <c r="B3478" s="3"/>
      <c r="C3478" s="3"/>
      <c r="D3478" s="3"/>
      <c r="E3478" s="5" t="str">
        <f>HYPERLINK("https://dpmzos25m8ivg.cloudfront.net/Documentos/631/07185660173/6310718566017311092023161237.jpeg","https://dpmzos25m8ivg.cloudfront.net/Documentos/631/07185660173/6310718566017311092023161237.jpeg")</f>
        <v>https://dpmzos25m8ivg.cloudfront.net/Documentos/631/07185660173/6310718566017311092023161237.jpeg</v>
      </c>
      <c r="F3478" s="5" t="str">
        <f>HYPERLINK("https://dpmzos25m8ivg.cloudfront.net/Documentos/631/07185660173/6310718566017311092023161248.jpeg","https://dpmzos25m8ivg.cloudfront.net/Documentos/631/07185660173/6310718566017311092023161248.jpeg")</f>
        <v>https://dpmzos25m8ivg.cloudfront.net/Documentos/631/07185660173/6310718566017311092023161248.jpeg</v>
      </c>
      <c r="G3478" s="5" t="str">
        <f>HYPERLINK("https://dpmzos25m8ivg.cloudfront.net/Documentos/631/07185660173/6310718566017311092023161306.jpeg","https://dpmzos25m8ivg.cloudfront.net/Documentos/631/07185660173/6310718566017311092023161306.jpeg")</f>
        <v>https://dpmzos25m8ivg.cloudfront.net/Documentos/631/07185660173/6310718566017311092023161306.jpeg</v>
      </c>
      <c r="H3478" s="5" t="s">
        <v>12056</v>
      </c>
    </row>
    <row r="3479" spans="1:8" x14ac:dyDescent="0.25">
      <c r="A3479" s="2" t="s">
        <v>3499</v>
      </c>
      <c r="B3479" s="3"/>
      <c r="C3479" s="3"/>
      <c r="D3479" s="3"/>
      <c r="E3479" s="5" t="str">
        <f>HYPERLINK("https://dpmzos25m8ivg.cloudfront.net/Documentos/631/07188797757/6310718879775705092023083714.pdf","https://dpmzos25m8ivg.cloudfront.net/Documentos/631/07188797757/6310718879775705092023083714.pdf")</f>
        <v>https://dpmzos25m8ivg.cloudfront.net/Documentos/631/07188797757/6310718879775705092023083714.pdf</v>
      </c>
      <c r="F3479" s="5" t="str">
        <f>HYPERLINK("https://dpmzos25m8ivg.cloudfront.net/Documentos/631/07188797757/6310718879775705092023083426.pdf","https://dpmzos25m8ivg.cloudfront.net/Documentos/631/07188797757/6310718879775705092023083426.pdf")</f>
        <v>https://dpmzos25m8ivg.cloudfront.net/Documentos/631/07188797757/6310718879775705092023083426.pdf</v>
      </c>
      <c r="G3479" s="5" t="str">
        <f>HYPERLINK("https://dpmzos25m8ivg.cloudfront.net/Documentos/631/07188797757/6310718879775705092023083658.pdf","https://dpmzos25m8ivg.cloudfront.net/Documentos/631/07188797757/6310718879775705092023083658.pdf")</f>
        <v>https://dpmzos25m8ivg.cloudfront.net/Documentos/631/07188797757/6310718879775705092023083658.pdf</v>
      </c>
      <c r="H3479" s="5" t="s">
        <v>12057</v>
      </c>
    </row>
    <row r="3480" spans="1:8" x14ac:dyDescent="0.25">
      <c r="A3480" s="2" t="s">
        <v>3500</v>
      </c>
      <c r="B3480" s="3"/>
      <c r="C3480" s="3"/>
      <c r="D3480" s="3"/>
      <c r="E3480" s="5" t="str">
        <f>HYPERLINK("https://dpmzos25m8ivg.cloudfront.net/Documentos/631/07190141669/6310719014166911092023113538.pdf","https://dpmzos25m8ivg.cloudfront.net/Documentos/631/07190141669/6310719014166911092023113538.pdf")</f>
        <v>https://dpmzos25m8ivg.cloudfront.net/Documentos/631/07190141669/6310719014166911092023113538.pdf</v>
      </c>
      <c r="F3480" s="5" t="str">
        <f>HYPERLINK("https://dpmzos25m8ivg.cloudfront.net/Documentos/631/07190141669/6310719014166911092023143059.pdf","https://dpmzos25m8ivg.cloudfront.net/Documentos/631/07190141669/6310719014166911092023143059.pdf")</f>
        <v>https://dpmzos25m8ivg.cloudfront.net/Documentos/631/07190141669/6310719014166911092023143059.pdf</v>
      </c>
      <c r="G3480" s="5" t="str">
        <f>HYPERLINK("https://dpmzos25m8ivg.cloudfront.net/Documentos/631/07190141669/6310719014166911092023124039.pdf","https://dpmzos25m8ivg.cloudfront.net/Documentos/631/07190141669/6310719014166911092023124039.pdf")</f>
        <v>https://dpmzos25m8ivg.cloudfront.net/Documentos/631/07190141669/6310719014166911092023124039.pdf</v>
      </c>
      <c r="H3480" s="5" t="s">
        <v>12058</v>
      </c>
    </row>
    <row r="3481" spans="1:8" x14ac:dyDescent="0.25">
      <c r="A3481" s="2" t="s">
        <v>3501</v>
      </c>
      <c r="B3481" s="3"/>
      <c r="C3481" s="3"/>
      <c r="D3481" s="3"/>
      <c r="E3481" s="5" t="str">
        <f>HYPERLINK("https://dpmzos25m8ivg.cloudfront.net/Documentos/631/07190803122/6310719080312205092023174152.pdf","https://dpmzos25m8ivg.cloudfront.net/Documentos/631/07190803122/6310719080312205092023174152.pdf")</f>
        <v>https://dpmzos25m8ivg.cloudfront.net/Documentos/631/07190803122/6310719080312205092023174152.pdf</v>
      </c>
      <c r="F3481" s="5" t="str">
        <f>HYPERLINK("https://dpmzos25m8ivg.cloudfront.net/Documentos/631/07190803122/6310719080312205092023174201.pdf","https://dpmzos25m8ivg.cloudfront.net/Documentos/631/07190803122/6310719080312205092023174201.pdf")</f>
        <v>https://dpmzos25m8ivg.cloudfront.net/Documentos/631/07190803122/6310719080312205092023174201.pdf</v>
      </c>
      <c r="G3481" s="5" t="str">
        <f>HYPERLINK("https://dpmzos25m8ivg.cloudfront.net/Documentos/631/07190803122/6310719080312205092023174208.pdf","https://dpmzos25m8ivg.cloudfront.net/Documentos/631/07190803122/6310719080312205092023174208.pdf")</f>
        <v>https://dpmzos25m8ivg.cloudfront.net/Documentos/631/07190803122/6310719080312205092023174208.pdf</v>
      </c>
      <c r="H3481" s="5" t="s">
        <v>12059</v>
      </c>
    </row>
    <row r="3482" spans="1:8" x14ac:dyDescent="0.25">
      <c r="A3482" s="2" t="s">
        <v>3502</v>
      </c>
      <c r="B3482" s="3" t="s">
        <v>2358</v>
      </c>
      <c r="C3482" s="3"/>
      <c r="D3482" s="3"/>
      <c r="E3482" s="5" t="str">
        <f>HYPERLINK("https://dpmzos25m8ivg.cloudfront.net/Documentos/631/07190829199/6310719082919911092023122315.pdf","https://dpmzos25m8ivg.cloudfront.net/Documentos/631/07190829199/6310719082919911092023122315.pdf")</f>
        <v>https://dpmzos25m8ivg.cloudfront.net/Documentos/631/07190829199/6310719082919911092023122315.pdf</v>
      </c>
      <c r="F3482" s="5" t="str">
        <f>HYPERLINK("https://dpmzos25m8ivg.cloudfront.net/Documentos/631/07190829199/6310719082919911092023122327.pdf","https://dpmzos25m8ivg.cloudfront.net/Documentos/631/07190829199/6310719082919911092023122327.pdf")</f>
        <v>https://dpmzos25m8ivg.cloudfront.net/Documentos/631/07190829199/6310719082919911092023122327.pdf</v>
      </c>
      <c r="G3482" s="5" t="str">
        <f>HYPERLINK("https://dpmzos25m8ivg.cloudfront.net/Documentos/631/07190829199/6310719082919911092023122338.pdf","https://dpmzos25m8ivg.cloudfront.net/Documentos/631/07190829199/6310719082919911092023122338.pdf")</f>
        <v>https://dpmzos25m8ivg.cloudfront.net/Documentos/631/07190829199/6310719082919911092023122338.pdf</v>
      </c>
      <c r="H3482" s="5" t="s">
        <v>12060</v>
      </c>
    </row>
    <row r="3483" spans="1:8" x14ac:dyDescent="0.25">
      <c r="A3483" s="2" t="s">
        <v>3503</v>
      </c>
      <c r="B3483" s="3"/>
      <c r="C3483" s="3"/>
      <c r="D3483" s="3"/>
      <c r="E3483" s="5" t="str">
        <f>HYPERLINK("https://dpmzos25m8ivg.cloudfront.net/Documentos/631/07193163329/6310719316332914092023152121.pdf","https://dpmzos25m8ivg.cloudfront.net/Documentos/631/07193163329/6310719316332914092023152121.pdf")</f>
        <v>https://dpmzos25m8ivg.cloudfront.net/Documentos/631/07193163329/6310719316332914092023152121.pdf</v>
      </c>
      <c r="F3483" s="5" t="str">
        <f>HYPERLINK("https://dpmzos25m8ivg.cloudfront.net/Documentos/631/07193163329/6310719316332914092023152132.pdf","https://dpmzos25m8ivg.cloudfront.net/Documentos/631/07193163329/6310719316332914092023152132.pdf")</f>
        <v>https://dpmzos25m8ivg.cloudfront.net/Documentos/631/07193163329/6310719316332914092023152132.pdf</v>
      </c>
      <c r="G3483" s="5" t="str">
        <f>HYPERLINK("https://dpmzos25m8ivg.cloudfront.net/Documentos/631/07193163329/6310719316332914092023152143.pdf","https://dpmzos25m8ivg.cloudfront.net/Documentos/631/07193163329/6310719316332914092023152143.pdf")</f>
        <v>https://dpmzos25m8ivg.cloudfront.net/Documentos/631/07193163329/6310719316332914092023152143.pdf</v>
      </c>
      <c r="H3483" s="5" t="s">
        <v>12061</v>
      </c>
    </row>
    <row r="3484" spans="1:8" x14ac:dyDescent="0.25">
      <c r="A3484" s="2" t="s">
        <v>3504</v>
      </c>
      <c r="B3484" s="3" t="s">
        <v>2358</v>
      </c>
      <c r="C3484" s="3"/>
      <c r="D3484" s="3"/>
      <c r="E3484" s="5" t="str">
        <f>HYPERLINK("https://dpmzos25m8ivg.cloudfront.net/Documentos/631/07195491919/6310719549191908092023020021.pdf","https://dpmzos25m8ivg.cloudfront.net/Documentos/631/07195491919/6310719549191908092023020021.pdf")</f>
        <v>https://dpmzos25m8ivg.cloudfront.net/Documentos/631/07195491919/6310719549191908092023020021.pdf</v>
      </c>
      <c r="F3484" s="5" t="str">
        <f>HYPERLINK("https://dpmzos25m8ivg.cloudfront.net/Documentos/631/07195491919/6310719549191908092023020041.pdf","https://dpmzos25m8ivg.cloudfront.net/Documentos/631/07195491919/6310719549191908092023020041.pdf")</f>
        <v>https://dpmzos25m8ivg.cloudfront.net/Documentos/631/07195491919/6310719549191908092023020041.pdf</v>
      </c>
      <c r="G3484" s="5" t="str">
        <f>HYPERLINK("https://dpmzos25m8ivg.cloudfront.net/Documentos/631/07195491919/6310719549191908092023020057.pdf","https://dpmzos25m8ivg.cloudfront.net/Documentos/631/07195491919/6310719549191908092023020057.pdf")</f>
        <v>https://dpmzos25m8ivg.cloudfront.net/Documentos/631/07195491919/6310719549191908092023020057.pdf</v>
      </c>
      <c r="H3484" s="5" t="s">
        <v>12062</v>
      </c>
    </row>
    <row r="3485" spans="1:8" x14ac:dyDescent="0.25">
      <c r="A3485" s="2" t="s">
        <v>3505</v>
      </c>
      <c r="B3485" s="3"/>
      <c r="C3485" s="3"/>
      <c r="D3485" s="3"/>
      <c r="E3485" s="5" t="str">
        <f>HYPERLINK("https://dpmzos25m8ivg.cloudfront.net/Documentos/631/07195523543/6310719552354311092023163153.jpg","https://dpmzos25m8ivg.cloudfront.net/Documentos/631/07195523543/6310719552354311092023163153.jpg")</f>
        <v>https://dpmzos25m8ivg.cloudfront.net/Documentos/631/07195523543/6310719552354311092023163153.jpg</v>
      </c>
      <c r="F3485" s="5" t="str">
        <f>HYPERLINK("https://dpmzos25m8ivg.cloudfront.net/Documentos/631/07195523543/6310719552354311092023163227.jpg","https://dpmzos25m8ivg.cloudfront.net/Documentos/631/07195523543/6310719552354311092023163227.jpg")</f>
        <v>https://dpmzos25m8ivg.cloudfront.net/Documentos/631/07195523543/6310719552354311092023163227.jpg</v>
      </c>
      <c r="G3485" s="5" t="str">
        <f>HYPERLINK("https://dpmzos25m8ivg.cloudfront.net/Documentos/631/07195523543/6310719552354311092023163253.jpg","https://dpmzos25m8ivg.cloudfront.net/Documentos/631/07195523543/6310719552354311092023163253.jpg")</f>
        <v>https://dpmzos25m8ivg.cloudfront.net/Documentos/631/07195523543/6310719552354311092023163253.jpg</v>
      </c>
      <c r="H3485" s="5" t="s">
        <v>12063</v>
      </c>
    </row>
    <row r="3486" spans="1:8" x14ac:dyDescent="0.25">
      <c r="A3486" s="2" t="s">
        <v>3506</v>
      </c>
      <c r="B3486" s="3"/>
      <c r="C3486" s="3"/>
      <c r="D3486" s="3"/>
      <c r="E3486" s="5" t="str">
        <f>HYPERLINK("https://dpmzos25m8ivg.cloudfront.net/Documentos/631/07196411528/6310719641152811092023153803.pdf","https://dpmzos25m8ivg.cloudfront.net/Documentos/631/07196411528/6310719641152811092023153803.pdf")</f>
        <v>https://dpmzos25m8ivg.cloudfront.net/Documentos/631/07196411528/6310719641152811092023153803.pdf</v>
      </c>
      <c r="F3486" s="5" t="str">
        <f>HYPERLINK("https://dpmzos25m8ivg.cloudfront.net/Documentos/631/07196411528/6310719641152811092023153815.pdf","https://dpmzos25m8ivg.cloudfront.net/Documentos/631/07196411528/6310719641152811092023153815.pdf")</f>
        <v>https://dpmzos25m8ivg.cloudfront.net/Documentos/631/07196411528/6310719641152811092023153815.pdf</v>
      </c>
      <c r="G3486" s="5" t="str">
        <f>HYPERLINK("https://dpmzos25m8ivg.cloudfront.net/Documentos/631/07196411528/6310719641152811092023153826.pdf","https://dpmzos25m8ivg.cloudfront.net/Documentos/631/07196411528/6310719641152811092023153826.pdf")</f>
        <v>https://dpmzos25m8ivg.cloudfront.net/Documentos/631/07196411528/6310719641152811092023153826.pdf</v>
      </c>
      <c r="H3486" s="5" t="s">
        <v>12064</v>
      </c>
    </row>
    <row r="3487" spans="1:8" x14ac:dyDescent="0.25">
      <c r="A3487" s="2" t="s">
        <v>3507</v>
      </c>
      <c r="B3487" s="3" t="s">
        <v>3381</v>
      </c>
      <c r="C3487" s="3"/>
      <c r="D3487" s="3"/>
      <c r="E3487" s="5" t="str">
        <f>HYPERLINK("https://dpmzos25m8ivg.cloudfront.net/Documentos/631/07196860594/6310719686059404092023214917.pdf","https://dpmzos25m8ivg.cloudfront.net/Documentos/631/07196860594/6310719686059404092023214917.pdf")</f>
        <v>https://dpmzos25m8ivg.cloudfront.net/Documentos/631/07196860594/6310719686059404092023214917.pdf</v>
      </c>
      <c r="F3487" s="5" t="str">
        <f>HYPERLINK("https://dpmzos25m8ivg.cloudfront.net/Documentos/631/07196860594/6310719686059404092023215046.pdf","https://dpmzos25m8ivg.cloudfront.net/Documentos/631/07196860594/6310719686059404092023215046.pdf")</f>
        <v>https://dpmzos25m8ivg.cloudfront.net/Documentos/631/07196860594/6310719686059404092023215046.pdf</v>
      </c>
      <c r="G3487" s="5" t="str">
        <f>HYPERLINK("https://dpmzos25m8ivg.cloudfront.net/Documentos/631/07196860594/6310719686059404092023215220.pdf","https://dpmzos25m8ivg.cloudfront.net/Documentos/631/07196860594/6310719686059404092023215220.pdf")</f>
        <v>https://dpmzos25m8ivg.cloudfront.net/Documentos/631/07196860594/6310719686059404092023215220.pdf</v>
      </c>
      <c r="H3487" s="5" t="s">
        <v>12065</v>
      </c>
    </row>
    <row r="3488" spans="1:8" x14ac:dyDescent="0.25">
      <c r="A3488" s="2" t="s">
        <v>3508</v>
      </c>
      <c r="B3488" s="3" t="s">
        <v>2358</v>
      </c>
      <c r="C3488" s="3"/>
      <c r="D3488" s="3"/>
      <c r="E3488" s="5" t="str">
        <f>HYPERLINK("https://dpmzos25m8ivg.cloudfront.net/Documentos/631/07197601789/6310719760178911092023023844.jpg","https://dpmzos25m8ivg.cloudfront.net/Documentos/631/07197601789/6310719760178911092023023844.jpg")</f>
        <v>https://dpmzos25m8ivg.cloudfront.net/Documentos/631/07197601789/6310719760178911092023023844.jpg</v>
      </c>
      <c r="F3488" s="5" t="str">
        <f>HYPERLINK("https://dpmzos25m8ivg.cloudfront.net/Documentos/631/07197601789/6310719760178911092023023927.jpg","https://dpmzos25m8ivg.cloudfront.net/Documentos/631/07197601789/6310719760178911092023023927.jpg")</f>
        <v>https://dpmzos25m8ivg.cloudfront.net/Documentos/631/07197601789/6310719760178911092023023927.jpg</v>
      </c>
      <c r="G3488" s="5" t="str">
        <f>HYPERLINK("https://dpmzos25m8ivg.cloudfront.net/Documentos/631/07197601789/6310719760178911092023023943.jpg","https://dpmzos25m8ivg.cloudfront.net/Documentos/631/07197601789/6310719760178911092023023943.jpg")</f>
        <v>https://dpmzos25m8ivg.cloudfront.net/Documentos/631/07197601789/6310719760178911092023023943.jpg</v>
      </c>
      <c r="H3488" s="5" t="s">
        <v>12066</v>
      </c>
    </row>
    <row r="3489" spans="1:8" x14ac:dyDescent="0.25">
      <c r="A3489" s="2" t="s">
        <v>3509</v>
      </c>
      <c r="B3489" s="3"/>
      <c r="C3489" s="3"/>
      <c r="D3489" s="3"/>
      <c r="E3489" s="5" t="str">
        <f>HYPERLINK("https://dpmzos25m8ivg.cloudfront.net/Documentos/631/07198514324/6310719851432413092023135953.pdf","https://dpmzos25m8ivg.cloudfront.net/Documentos/631/07198514324/6310719851432413092023135953.pdf")</f>
        <v>https://dpmzos25m8ivg.cloudfront.net/Documentos/631/07198514324/6310719851432413092023135953.pdf</v>
      </c>
      <c r="F3489" s="5" t="str">
        <f>HYPERLINK("https://dpmzos25m8ivg.cloudfront.net/Documentos/631/07198514324/6310719851432413092023140004.pdf","https://dpmzos25m8ivg.cloudfront.net/Documentos/631/07198514324/6310719851432413092023140004.pdf")</f>
        <v>https://dpmzos25m8ivg.cloudfront.net/Documentos/631/07198514324/6310719851432413092023140004.pdf</v>
      </c>
      <c r="G3489" s="5" t="str">
        <f>HYPERLINK("https://dpmzos25m8ivg.cloudfront.net/Documentos/631/07198514324/6310719851432413092023140013.pdf","https://dpmzos25m8ivg.cloudfront.net/Documentos/631/07198514324/6310719851432413092023140013.pdf")</f>
        <v>https://dpmzos25m8ivg.cloudfront.net/Documentos/631/07198514324/6310719851432413092023140013.pdf</v>
      </c>
      <c r="H3489" s="5" t="s">
        <v>12067</v>
      </c>
    </row>
    <row r="3490" spans="1:8" x14ac:dyDescent="0.25">
      <c r="A3490" s="2" t="s">
        <v>3510</v>
      </c>
      <c r="B3490" s="3" t="s">
        <v>197</v>
      </c>
      <c r="C3490" s="3"/>
      <c r="D3490" s="3"/>
      <c r="E3490" s="5" t="str">
        <f>HYPERLINK("https://dpmzos25m8ivg.cloudfront.net/Documentos/631/07201821660/6310720182166011092023115830.pdf","https://dpmzos25m8ivg.cloudfront.net/Documentos/631/07201821660/6310720182166011092023115830.pdf")</f>
        <v>https://dpmzos25m8ivg.cloudfront.net/Documentos/631/07201821660/6310720182166011092023115830.pdf</v>
      </c>
      <c r="F3490" s="5" t="str">
        <f>HYPERLINK("https://dpmzos25m8ivg.cloudfront.net/Documentos/631/07201821660/6310720182166011092023115837.pdf","https://dpmzos25m8ivg.cloudfront.net/Documentos/631/07201821660/6310720182166011092023115837.pdf")</f>
        <v>https://dpmzos25m8ivg.cloudfront.net/Documentos/631/07201821660/6310720182166011092023115837.pdf</v>
      </c>
      <c r="G3490" s="5" t="str">
        <f>HYPERLINK("https://dpmzos25m8ivg.cloudfront.net/Documentos/631/07201821660/6310720182166011092023115845.pdf","https://dpmzos25m8ivg.cloudfront.net/Documentos/631/07201821660/6310720182166011092023115845.pdf")</f>
        <v>https://dpmzos25m8ivg.cloudfront.net/Documentos/631/07201821660/6310720182166011092023115845.pdf</v>
      </c>
      <c r="H3490" s="5" t="s">
        <v>12068</v>
      </c>
    </row>
    <row r="3491" spans="1:8" x14ac:dyDescent="0.25">
      <c r="A3491" s="2" t="s">
        <v>3511</v>
      </c>
      <c r="B3491" s="3"/>
      <c r="C3491" s="3"/>
      <c r="D3491" s="3"/>
      <c r="E3491" s="5" t="str">
        <f>HYPERLINK("https://dpmzos25m8ivg.cloudfront.net/Documentos/631/07202526603/6310720252660308092023211344.jpg","https://dpmzos25m8ivg.cloudfront.net/Documentos/631/07202526603/6310720252660308092023211344.jpg")</f>
        <v>https://dpmzos25m8ivg.cloudfront.net/Documentos/631/07202526603/6310720252660308092023211344.jpg</v>
      </c>
      <c r="F3491" s="5" t="str">
        <f>HYPERLINK("https://dpmzos25m8ivg.cloudfront.net/Documentos/631/07202526603/6310720252660308092023211244.jpg","https://dpmzos25m8ivg.cloudfront.net/Documentos/631/07202526603/6310720252660308092023211244.jpg")</f>
        <v>https://dpmzos25m8ivg.cloudfront.net/Documentos/631/07202526603/6310720252660308092023211244.jpg</v>
      </c>
      <c r="G3491" s="5" t="str">
        <f>HYPERLINK("https://dpmzos25m8ivg.cloudfront.net/Documentos/631/07202526603/6310720252660308092023211050.jpg","https://dpmzos25m8ivg.cloudfront.net/Documentos/631/07202526603/6310720252660308092023211050.jpg")</f>
        <v>https://dpmzos25m8ivg.cloudfront.net/Documentos/631/07202526603/6310720252660308092023211050.jpg</v>
      </c>
      <c r="H3491" s="5" t="s">
        <v>12069</v>
      </c>
    </row>
    <row r="3492" spans="1:8" x14ac:dyDescent="0.25">
      <c r="A3492" s="2" t="s">
        <v>3512</v>
      </c>
      <c r="B3492" s="3"/>
      <c r="C3492" s="3"/>
      <c r="D3492" s="3"/>
      <c r="E3492" s="5" t="str">
        <f>HYPERLINK("https://dpmzos25m8ivg.cloudfront.net/Documentos/631/07207010311/6310720701031114092023150003.jpg","https://dpmzos25m8ivg.cloudfront.net/Documentos/631/07207010311/6310720701031114092023150003.jpg")</f>
        <v>https://dpmzos25m8ivg.cloudfront.net/Documentos/631/07207010311/6310720701031114092023150003.jpg</v>
      </c>
      <c r="F3492" s="5" t="str">
        <f>HYPERLINK("https://dpmzos25m8ivg.cloudfront.net/Documentos/631/07207010311/6310720701031114092023150028.jpg","https://dpmzos25m8ivg.cloudfront.net/Documentos/631/07207010311/6310720701031114092023150028.jpg")</f>
        <v>https://dpmzos25m8ivg.cloudfront.net/Documentos/631/07207010311/6310720701031114092023150028.jpg</v>
      </c>
      <c r="G3492" s="5" t="str">
        <f>HYPERLINK("https://dpmzos25m8ivg.cloudfront.net/Documentos/631/07207010311/6310720701031114092023150047.jpg","https://dpmzos25m8ivg.cloudfront.net/Documentos/631/07207010311/6310720701031114092023150047.jpg")</f>
        <v>https://dpmzos25m8ivg.cloudfront.net/Documentos/631/07207010311/6310720701031114092023150047.jpg</v>
      </c>
      <c r="H3492" s="5" t="s">
        <v>12070</v>
      </c>
    </row>
    <row r="3493" spans="1:8" x14ac:dyDescent="0.25">
      <c r="A3493" s="2" t="s">
        <v>3513</v>
      </c>
      <c r="B3493" s="3"/>
      <c r="C3493" s="3"/>
      <c r="D3493" s="3"/>
      <c r="E3493" s="5" t="str">
        <f>HYPERLINK("https://dpmzos25m8ivg.cloudfront.net/Documentos/631/07207155476/6310720715547609092023145534.pdf","https://dpmzos25m8ivg.cloudfront.net/Documentos/631/07207155476/6310720715547609092023145534.pdf")</f>
        <v>https://dpmzos25m8ivg.cloudfront.net/Documentos/631/07207155476/6310720715547609092023145534.pdf</v>
      </c>
      <c r="F3493" s="5" t="str">
        <f>HYPERLINK("https://dpmzos25m8ivg.cloudfront.net/Documentos/631/07207155476/6310720715547609092023145545.pdf","https://dpmzos25m8ivg.cloudfront.net/Documentos/631/07207155476/6310720715547609092023145545.pdf")</f>
        <v>https://dpmzos25m8ivg.cloudfront.net/Documentos/631/07207155476/6310720715547609092023145545.pdf</v>
      </c>
      <c r="G3493" s="5" t="str">
        <f>HYPERLINK("https://dpmzos25m8ivg.cloudfront.net/Documentos/631/07207155476/6310720715547609092023145556.pdf","https://dpmzos25m8ivg.cloudfront.net/Documentos/631/07207155476/6310720715547609092023145556.pdf")</f>
        <v>https://dpmzos25m8ivg.cloudfront.net/Documentos/631/07207155476/6310720715547609092023145556.pdf</v>
      </c>
      <c r="H3493" s="5" t="s">
        <v>12071</v>
      </c>
    </row>
    <row r="3494" spans="1:8" x14ac:dyDescent="0.25">
      <c r="A3494" s="2" t="s">
        <v>3514</v>
      </c>
      <c r="B3494" s="3"/>
      <c r="C3494" s="3"/>
      <c r="D3494" s="3"/>
      <c r="E3494" s="5" t="str">
        <f>HYPERLINK("https://dpmzos25m8ivg.cloudfront.net/Documentos/631/07208348138/6310720834813808092023132657.pdf","https://dpmzos25m8ivg.cloudfront.net/Documentos/631/07208348138/6310720834813808092023132657.pdf")</f>
        <v>https://dpmzos25m8ivg.cloudfront.net/Documentos/631/07208348138/6310720834813808092023132657.pdf</v>
      </c>
      <c r="F3494" s="5" t="str">
        <f>HYPERLINK("https://dpmzos25m8ivg.cloudfront.net/Documentos/631/07208348138/6310720834813808092023132709.pdf","https://dpmzos25m8ivg.cloudfront.net/Documentos/631/07208348138/6310720834813808092023132709.pdf")</f>
        <v>https://dpmzos25m8ivg.cloudfront.net/Documentos/631/07208348138/6310720834813808092023132709.pdf</v>
      </c>
      <c r="G3494" s="5" t="str">
        <f>HYPERLINK("https://dpmzos25m8ivg.cloudfront.net/Documentos/631/07208348138/6310720834813808092023132721.pdf","https://dpmzos25m8ivg.cloudfront.net/Documentos/631/07208348138/6310720834813808092023132721.pdf")</f>
        <v>https://dpmzos25m8ivg.cloudfront.net/Documentos/631/07208348138/6310720834813808092023132721.pdf</v>
      </c>
      <c r="H3494" s="5" t="s">
        <v>12072</v>
      </c>
    </row>
    <row r="3495" spans="1:8" x14ac:dyDescent="0.25">
      <c r="A3495" s="2" t="s">
        <v>3515</v>
      </c>
      <c r="B3495" s="3"/>
      <c r="C3495" s="3"/>
      <c r="D3495" s="3"/>
      <c r="E3495" s="5" t="str">
        <f>HYPERLINK("https://dpmzos25m8ivg.cloudfront.net/Documentos/631/07213608150/6310721360815011092023153436.pdf","https://dpmzos25m8ivg.cloudfront.net/Documentos/631/07213608150/6310721360815011092023153436.pdf")</f>
        <v>https://dpmzos25m8ivg.cloudfront.net/Documentos/631/07213608150/6310721360815011092023153436.pdf</v>
      </c>
      <c r="F3495" s="5" t="str">
        <f>HYPERLINK("https://dpmzos25m8ivg.cloudfront.net/Documentos/631/07213608150/6310721360815011092023153446.pdf","https://dpmzos25m8ivg.cloudfront.net/Documentos/631/07213608150/6310721360815011092023153446.pdf")</f>
        <v>https://dpmzos25m8ivg.cloudfront.net/Documentos/631/07213608150/6310721360815011092023153446.pdf</v>
      </c>
      <c r="G3495" s="5" t="str">
        <f>HYPERLINK("https://dpmzos25m8ivg.cloudfront.net/Documentos/631/07213608150/6310721360815011092023153502.pdf","https://dpmzos25m8ivg.cloudfront.net/Documentos/631/07213608150/6310721360815011092023153502.pdf")</f>
        <v>https://dpmzos25m8ivg.cloudfront.net/Documentos/631/07213608150/6310721360815011092023153502.pdf</v>
      </c>
      <c r="H3495" s="5" t="s">
        <v>12073</v>
      </c>
    </row>
    <row r="3496" spans="1:8" x14ac:dyDescent="0.25">
      <c r="A3496" s="2" t="s">
        <v>3516</v>
      </c>
      <c r="B3496" s="3"/>
      <c r="C3496" s="3"/>
      <c r="D3496" s="3"/>
      <c r="E3496" s="5" t="str">
        <f>HYPERLINK("https://dpmzos25m8ivg.cloudfront.net/Documentos/631/07215514404/6310721551440409092023165759.pdf","https://dpmzos25m8ivg.cloudfront.net/Documentos/631/07215514404/6310721551440409092023165759.pdf")</f>
        <v>https://dpmzos25m8ivg.cloudfront.net/Documentos/631/07215514404/6310721551440409092023165759.pdf</v>
      </c>
      <c r="F3496" s="5" t="str">
        <f>HYPERLINK("https://dpmzos25m8ivg.cloudfront.net/Documentos/631/07215514404/6310721551440409092023165807.pdf","https://dpmzos25m8ivg.cloudfront.net/Documentos/631/07215514404/6310721551440409092023165807.pdf")</f>
        <v>https://dpmzos25m8ivg.cloudfront.net/Documentos/631/07215514404/6310721551440409092023165807.pdf</v>
      </c>
      <c r="G3496" s="5" t="str">
        <f>HYPERLINK("https://dpmzos25m8ivg.cloudfront.net/Documentos/631/07215514404/6310721551440409092023165817.pdf","https://dpmzos25m8ivg.cloudfront.net/Documentos/631/07215514404/6310721551440409092023165817.pdf")</f>
        <v>https://dpmzos25m8ivg.cloudfront.net/Documentos/631/07215514404/6310721551440409092023165817.pdf</v>
      </c>
      <c r="H3496" s="5" t="s">
        <v>12074</v>
      </c>
    </row>
    <row r="3497" spans="1:8" x14ac:dyDescent="0.25">
      <c r="A3497" s="2" t="s">
        <v>3517</v>
      </c>
      <c r="B3497" s="3"/>
      <c r="C3497" s="3"/>
      <c r="D3497" s="3"/>
      <c r="E3497" s="5" t="str">
        <f>HYPERLINK("https://dpmzos25m8ivg.cloudfront.net/Documentos/631/07218589103/6310721858910314092023110217.pdf","https://dpmzos25m8ivg.cloudfront.net/Documentos/631/07218589103/6310721858910314092023110217.pdf")</f>
        <v>https://dpmzos25m8ivg.cloudfront.net/Documentos/631/07218589103/6310721858910314092023110217.pdf</v>
      </c>
      <c r="F3497" s="5" t="str">
        <f>HYPERLINK("https://dpmzos25m8ivg.cloudfront.net/Documentos/631/07218589103/6310721858910314092023110229.pdf","https://dpmzos25m8ivg.cloudfront.net/Documentos/631/07218589103/6310721858910314092023110229.pdf")</f>
        <v>https://dpmzos25m8ivg.cloudfront.net/Documentos/631/07218589103/6310721858910314092023110229.pdf</v>
      </c>
      <c r="G3497" s="5" t="str">
        <f>HYPERLINK("https://dpmzos25m8ivg.cloudfront.net/Documentos/631/07218589103/6310721858910314092023110236.pdf","https://dpmzos25m8ivg.cloudfront.net/Documentos/631/07218589103/6310721858910314092023110236.pdf")</f>
        <v>https://dpmzos25m8ivg.cloudfront.net/Documentos/631/07218589103/6310721858910314092023110236.pdf</v>
      </c>
      <c r="H3497" s="5" t="s">
        <v>12075</v>
      </c>
    </row>
    <row r="3498" spans="1:8" x14ac:dyDescent="0.25">
      <c r="A3498" s="2" t="s">
        <v>3518</v>
      </c>
      <c r="B3498" s="3"/>
      <c r="C3498" s="3"/>
      <c r="D3498" s="3"/>
      <c r="E3498" s="5" t="str">
        <f>HYPERLINK("https://dpmzos25m8ivg.cloudfront.net/Documentos/631/07219796374/6310721979637413092023155011.pdf","https://dpmzos25m8ivg.cloudfront.net/Documentos/631/07219796374/6310721979637413092023155011.pdf")</f>
        <v>https://dpmzos25m8ivg.cloudfront.net/Documentos/631/07219796374/6310721979637413092023155011.pdf</v>
      </c>
      <c r="F3498" s="5" t="str">
        <f>HYPERLINK("https://dpmzos25m8ivg.cloudfront.net/Documentos/631/07219796374/6310721979637413092023155017.pdf","https://dpmzos25m8ivg.cloudfront.net/Documentos/631/07219796374/6310721979637413092023155017.pdf")</f>
        <v>https://dpmzos25m8ivg.cloudfront.net/Documentos/631/07219796374/6310721979637413092023155017.pdf</v>
      </c>
      <c r="G3498" s="5" t="str">
        <f>HYPERLINK("https://dpmzos25m8ivg.cloudfront.net/Documentos/631/07219796374/6310721979637413092023155023.pdf","https://dpmzos25m8ivg.cloudfront.net/Documentos/631/07219796374/6310721979637413092023155023.pdf")</f>
        <v>https://dpmzos25m8ivg.cloudfront.net/Documentos/631/07219796374/6310721979637413092023155023.pdf</v>
      </c>
      <c r="H3498" s="5" t="s">
        <v>12076</v>
      </c>
    </row>
    <row r="3499" spans="1:8" x14ac:dyDescent="0.25">
      <c r="A3499" s="2" t="s">
        <v>3519</v>
      </c>
      <c r="B3499" s="3" t="s">
        <v>2358</v>
      </c>
      <c r="C3499" s="3"/>
      <c r="D3499" s="3"/>
      <c r="E3499" s="5" t="str">
        <f>HYPERLINK("https://dpmzos25m8ivg.cloudfront.net/Documentos/631/07221459509/6310722145950911092023154440.pdf","https://dpmzos25m8ivg.cloudfront.net/Documentos/631/07221459509/6310722145950911092023154440.pdf")</f>
        <v>https://dpmzos25m8ivg.cloudfront.net/Documentos/631/07221459509/6310722145950911092023154440.pdf</v>
      </c>
      <c r="F3499" s="5" t="str">
        <f>HYPERLINK("https://dpmzos25m8ivg.cloudfront.net/Documentos/631/07221459509/6310722145950911092023154459.pdf","https://dpmzos25m8ivg.cloudfront.net/Documentos/631/07221459509/6310722145950911092023154459.pdf")</f>
        <v>https://dpmzos25m8ivg.cloudfront.net/Documentos/631/07221459509/6310722145950911092023154459.pdf</v>
      </c>
      <c r="G3499" s="5" t="str">
        <f>HYPERLINK("https://dpmzos25m8ivg.cloudfront.net/Documentos/631/07221459509/6310722145950911092023154518.pdf","https://dpmzos25m8ivg.cloudfront.net/Documentos/631/07221459509/6310722145950911092023154518.pdf")</f>
        <v>https://dpmzos25m8ivg.cloudfront.net/Documentos/631/07221459509/6310722145950911092023154518.pdf</v>
      </c>
      <c r="H3499" s="5" t="s">
        <v>12077</v>
      </c>
    </row>
    <row r="3500" spans="1:8" x14ac:dyDescent="0.25">
      <c r="A3500" s="2" t="s">
        <v>3520</v>
      </c>
      <c r="B3500" s="3"/>
      <c r="C3500" s="3"/>
      <c r="D3500" s="3"/>
      <c r="E3500" s="5" t="str">
        <f>HYPERLINK("https://dpmzos25m8ivg.cloudfront.net/Documentos/631/07222005447/6310722200544711092023151615.pdf","https://dpmzos25m8ivg.cloudfront.net/Documentos/631/07222005447/6310722200544711092023151615.pdf")</f>
        <v>https://dpmzos25m8ivg.cloudfront.net/Documentos/631/07222005447/6310722200544711092023151615.pdf</v>
      </c>
      <c r="F3500" s="5" t="str">
        <f>HYPERLINK("https://dpmzos25m8ivg.cloudfront.net/Documentos/631/07222005447/6310722200544711092023151626.pdf","https://dpmzos25m8ivg.cloudfront.net/Documentos/631/07222005447/6310722200544711092023151626.pdf")</f>
        <v>https://dpmzos25m8ivg.cloudfront.net/Documentos/631/07222005447/6310722200544711092023151626.pdf</v>
      </c>
      <c r="G3500" s="5" t="str">
        <f>HYPERLINK("https://dpmzos25m8ivg.cloudfront.net/Documentos/631/07222005447/6310722200544711092023151636.pdf","https://dpmzos25m8ivg.cloudfront.net/Documentos/631/07222005447/6310722200544711092023151636.pdf")</f>
        <v>https://dpmzos25m8ivg.cloudfront.net/Documentos/631/07222005447/6310722200544711092023151636.pdf</v>
      </c>
      <c r="H3500" s="5" t="s">
        <v>12078</v>
      </c>
    </row>
    <row r="3501" spans="1:8" x14ac:dyDescent="0.25">
      <c r="A3501" s="2" t="s">
        <v>3521</v>
      </c>
      <c r="B3501" s="3"/>
      <c r="C3501" s="3"/>
      <c r="D3501" s="3"/>
      <c r="E3501" s="5" t="str">
        <f>HYPERLINK("https://dpmzos25m8ivg.cloudfront.net/Documentos/631/07224631469/6310722463146906092023100512.pdf","https://dpmzos25m8ivg.cloudfront.net/Documentos/631/07224631469/6310722463146906092023100512.pdf")</f>
        <v>https://dpmzos25m8ivg.cloudfront.net/Documentos/631/07224631469/6310722463146906092023100512.pdf</v>
      </c>
      <c r="F3501" s="5" t="str">
        <f>HYPERLINK("https://dpmzos25m8ivg.cloudfront.net/Documentos/631/07224631469/6310722463146906092023100519.pdf","https://dpmzos25m8ivg.cloudfront.net/Documentos/631/07224631469/6310722463146906092023100519.pdf")</f>
        <v>https://dpmzos25m8ivg.cloudfront.net/Documentos/631/07224631469/6310722463146906092023100519.pdf</v>
      </c>
      <c r="G3501" s="5" t="str">
        <f>HYPERLINK("https://dpmzos25m8ivg.cloudfront.net/Documentos/631/07224631469/6310722463146906092023100525.pdf","https://dpmzos25m8ivg.cloudfront.net/Documentos/631/07224631469/6310722463146906092023100525.pdf")</f>
        <v>https://dpmzos25m8ivg.cloudfront.net/Documentos/631/07224631469/6310722463146906092023100525.pdf</v>
      </c>
      <c r="H3501" s="5" t="s">
        <v>12079</v>
      </c>
    </row>
    <row r="3502" spans="1:8" x14ac:dyDescent="0.25">
      <c r="A3502" s="2" t="s">
        <v>3522</v>
      </c>
      <c r="B3502" s="3"/>
      <c r="C3502" s="3"/>
      <c r="D3502" s="3"/>
      <c r="E3502" s="5" t="str">
        <f>HYPERLINK("https://dpmzos25m8ivg.cloudfront.net/Documentos/631/07224747769/6310722474776905092023163749.pdf","https://dpmzos25m8ivg.cloudfront.net/Documentos/631/07224747769/6310722474776905092023163749.pdf")</f>
        <v>https://dpmzos25m8ivg.cloudfront.net/Documentos/631/07224747769/6310722474776905092023163749.pdf</v>
      </c>
      <c r="F3502" s="5" t="str">
        <f>HYPERLINK("https://dpmzos25m8ivg.cloudfront.net/Documentos/631/07224747769/6310722474776905092023163759.pdf","https://dpmzos25m8ivg.cloudfront.net/Documentos/631/07224747769/6310722474776905092023163759.pdf")</f>
        <v>https://dpmzos25m8ivg.cloudfront.net/Documentos/631/07224747769/6310722474776905092023163759.pdf</v>
      </c>
      <c r="G3502" s="5" t="str">
        <f>HYPERLINK("https://dpmzos25m8ivg.cloudfront.net/Documentos/631/07224747769/6310722474776905092023163808.pdf","https://dpmzos25m8ivg.cloudfront.net/Documentos/631/07224747769/6310722474776905092023163808.pdf")</f>
        <v>https://dpmzos25m8ivg.cloudfront.net/Documentos/631/07224747769/6310722474776905092023163808.pdf</v>
      </c>
      <c r="H3502" s="5" t="s">
        <v>12080</v>
      </c>
    </row>
    <row r="3503" spans="1:8" x14ac:dyDescent="0.25">
      <c r="A3503" s="2" t="s">
        <v>3523</v>
      </c>
      <c r="B3503" s="3"/>
      <c r="C3503" s="3"/>
      <c r="D3503" s="3"/>
      <c r="E3503" s="5" t="str">
        <f>HYPERLINK("https://dpmzos25m8ivg.cloudfront.net/Documentos/631/07226994330/6310722699433011092023165429.jpeg","https://dpmzos25m8ivg.cloudfront.net/Documentos/631/07226994330/6310722699433011092023165429.jpeg")</f>
        <v>https://dpmzos25m8ivg.cloudfront.net/Documentos/631/07226994330/6310722699433011092023165429.jpeg</v>
      </c>
      <c r="F3503" s="5" t="str">
        <f>HYPERLINK("https://dpmzos25m8ivg.cloudfront.net/Documentos/631/07226994330/6310722699433011092023165440.jpeg","https://dpmzos25m8ivg.cloudfront.net/Documentos/631/07226994330/6310722699433011092023165440.jpeg")</f>
        <v>https://dpmzos25m8ivg.cloudfront.net/Documentos/631/07226994330/6310722699433011092023165440.jpeg</v>
      </c>
      <c r="G3503" s="5" t="str">
        <f>HYPERLINK("https://dpmzos25m8ivg.cloudfront.net/Documentos/631/07226994330/6310722699433011092023165454.jpeg","https://dpmzos25m8ivg.cloudfront.net/Documentos/631/07226994330/6310722699433011092023165454.jpeg")</f>
        <v>https://dpmzos25m8ivg.cloudfront.net/Documentos/631/07226994330/6310722699433011092023165454.jpeg</v>
      </c>
      <c r="H3503" s="5" t="s">
        <v>12081</v>
      </c>
    </row>
    <row r="3504" spans="1:8" x14ac:dyDescent="0.25">
      <c r="A3504" s="2" t="s">
        <v>3524</v>
      </c>
      <c r="B3504" s="3"/>
      <c r="C3504" s="3"/>
      <c r="D3504" s="3"/>
      <c r="E3504" s="5" t="str">
        <f>HYPERLINK("https://dpmzos25m8ivg.cloudfront.net/Documentos/631/07231527302/6310723152730208092023173530.pdf","https://dpmzos25m8ivg.cloudfront.net/Documentos/631/07231527302/6310723152730208092023173530.pdf")</f>
        <v>https://dpmzos25m8ivg.cloudfront.net/Documentos/631/07231527302/6310723152730208092023173530.pdf</v>
      </c>
      <c r="F3504" s="5" t="str">
        <f>HYPERLINK("https://dpmzos25m8ivg.cloudfront.net/Documentos/631/07231527302/6310723152730208092023173539.pdf","https://dpmzos25m8ivg.cloudfront.net/Documentos/631/07231527302/6310723152730208092023173539.pdf")</f>
        <v>https://dpmzos25m8ivg.cloudfront.net/Documentos/631/07231527302/6310723152730208092023173539.pdf</v>
      </c>
      <c r="G3504" s="5" t="str">
        <f>HYPERLINK("https://dpmzos25m8ivg.cloudfront.net/Documentos/631/07231527302/6310723152730208092023173546.pdf","https://dpmzos25m8ivg.cloudfront.net/Documentos/631/07231527302/6310723152730208092023173546.pdf")</f>
        <v>https://dpmzos25m8ivg.cloudfront.net/Documentos/631/07231527302/6310723152730208092023173546.pdf</v>
      </c>
      <c r="H3504" s="5" t="s">
        <v>12082</v>
      </c>
    </row>
    <row r="3505" spans="1:8" x14ac:dyDescent="0.25">
      <c r="A3505" s="2" t="s">
        <v>3525</v>
      </c>
      <c r="B3505" s="3"/>
      <c r="C3505" s="3"/>
      <c r="D3505" s="3"/>
      <c r="E3505" s="5" t="str">
        <f>HYPERLINK("https://dpmzos25m8ivg.cloudfront.net/Documentos/631/07234305190/6310723430519010092023213152.pdf","https://dpmzos25m8ivg.cloudfront.net/Documentos/631/07234305190/6310723430519010092023213152.pdf")</f>
        <v>https://dpmzos25m8ivg.cloudfront.net/Documentos/631/07234305190/6310723430519010092023213152.pdf</v>
      </c>
      <c r="F3505" s="5" t="str">
        <f>HYPERLINK("https://dpmzos25m8ivg.cloudfront.net/Documentos/631/07234305190/6310723430519010092023213207.pdf","https://dpmzos25m8ivg.cloudfront.net/Documentos/631/07234305190/6310723430519010092023213207.pdf")</f>
        <v>https://dpmzos25m8ivg.cloudfront.net/Documentos/631/07234305190/6310723430519010092023213207.pdf</v>
      </c>
      <c r="G3505" s="5" t="str">
        <f>HYPERLINK("https://dpmzos25m8ivg.cloudfront.net/Documentos/631/07234305190/6310723430519010092023213224.pdf","https://dpmzos25m8ivg.cloudfront.net/Documentos/631/07234305190/6310723430519010092023213224.pdf")</f>
        <v>https://dpmzos25m8ivg.cloudfront.net/Documentos/631/07234305190/6310723430519010092023213224.pdf</v>
      </c>
      <c r="H3505" s="5" t="s">
        <v>12083</v>
      </c>
    </row>
    <row r="3506" spans="1:8" x14ac:dyDescent="0.25">
      <c r="A3506" s="2" t="s">
        <v>3526</v>
      </c>
      <c r="B3506" s="3"/>
      <c r="C3506" s="3"/>
      <c r="D3506" s="3"/>
      <c r="E3506" s="5" t="str">
        <f>HYPERLINK("https://dpmzos25m8ivg.cloudfront.net/Documentos/631/07234342559/6310723434255911092023133742.pdf","https://dpmzos25m8ivg.cloudfront.net/Documentos/631/07234342559/6310723434255911092023133742.pdf")</f>
        <v>https://dpmzos25m8ivg.cloudfront.net/Documentos/631/07234342559/6310723434255911092023133742.pdf</v>
      </c>
      <c r="F3506" s="5" t="str">
        <f>HYPERLINK("https://dpmzos25m8ivg.cloudfront.net/Documentos/631/07234342559/6310723434255911092023133805.pdf","https://dpmzos25m8ivg.cloudfront.net/Documentos/631/07234342559/6310723434255911092023133805.pdf")</f>
        <v>https://dpmzos25m8ivg.cloudfront.net/Documentos/631/07234342559/6310723434255911092023133805.pdf</v>
      </c>
      <c r="G3506" s="5" t="str">
        <f>HYPERLINK("https://dpmzos25m8ivg.cloudfront.net/Documentos/631/07234342559/6310723434255911092023133821.pdf","https://dpmzos25m8ivg.cloudfront.net/Documentos/631/07234342559/6310723434255911092023133821.pdf")</f>
        <v>https://dpmzos25m8ivg.cloudfront.net/Documentos/631/07234342559/6310723434255911092023133821.pdf</v>
      </c>
      <c r="H3506" s="5" t="s">
        <v>12084</v>
      </c>
    </row>
    <row r="3507" spans="1:8" x14ac:dyDescent="0.25">
      <c r="A3507" s="2" t="s">
        <v>3527</v>
      </c>
      <c r="B3507" s="3" t="s">
        <v>3385</v>
      </c>
      <c r="C3507" s="3"/>
      <c r="D3507" s="3"/>
      <c r="E3507" s="5" t="str">
        <f>HYPERLINK("https://dpmzos25m8ivg.cloudfront.net/Documentos/631/07235892323/6310723589232314092023151954.pdf","https://dpmzos25m8ivg.cloudfront.net/Documentos/631/07235892323/6310723589232314092023151954.pdf")</f>
        <v>https://dpmzos25m8ivg.cloudfront.net/Documentos/631/07235892323/6310723589232314092023151954.pdf</v>
      </c>
      <c r="F3507" s="5" t="str">
        <f>HYPERLINK("https://dpmzos25m8ivg.cloudfront.net/Documentos/631/07235892323/6310723589232314092023152008.pdf","https://dpmzos25m8ivg.cloudfront.net/Documentos/631/07235892323/6310723589232314092023152008.pdf")</f>
        <v>https://dpmzos25m8ivg.cloudfront.net/Documentos/631/07235892323/6310723589232314092023152008.pdf</v>
      </c>
      <c r="G3507" s="5" t="str">
        <f>HYPERLINK("https://dpmzos25m8ivg.cloudfront.net/Documentos/631/07235892323/6310723589232314092023152024.pdf","https://dpmzos25m8ivg.cloudfront.net/Documentos/631/07235892323/6310723589232314092023152024.pdf")</f>
        <v>https://dpmzos25m8ivg.cloudfront.net/Documentos/631/07235892323/6310723589232314092023152024.pdf</v>
      </c>
      <c r="H3507" s="5" t="s">
        <v>12085</v>
      </c>
    </row>
    <row r="3508" spans="1:8" x14ac:dyDescent="0.25">
      <c r="A3508" s="2" t="s">
        <v>3528</v>
      </c>
      <c r="B3508" s="3"/>
      <c r="C3508" s="3"/>
      <c r="D3508" s="3"/>
      <c r="E3508" s="5" t="str">
        <f>HYPERLINK("https://dpmzos25m8ivg.cloudfront.net/Documentos/631/07238205548/6310723820554811092023134643.jpg","https://dpmzos25m8ivg.cloudfront.net/Documentos/631/07238205548/6310723820554811092023134643.jpg")</f>
        <v>https://dpmzos25m8ivg.cloudfront.net/Documentos/631/07238205548/6310723820554811092023134643.jpg</v>
      </c>
      <c r="F3508" s="5" t="str">
        <f>HYPERLINK("https://dpmzos25m8ivg.cloudfront.net/Documentos/631/07238205548/6310723820554811092023134651.jpg","https://dpmzos25m8ivg.cloudfront.net/Documentos/631/07238205548/6310723820554811092023134651.jpg")</f>
        <v>https://dpmzos25m8ivg.cloudfront.net/Documentos/631/07238205548/6310723820554811092023134651.jpg</v>
      </c>
      <c r="G3508" s="5" t="str">
        <f>HYPERLINK("https://dpmzos25m8ivg.cloudfront.net/Documentos/631/07238205548/6310723820554811092023134659.jpg","https://dpmzos25m8ivg.cloudfront.net/Documentos/631/07238205548/6310723820554811092023134659.jpg")</f>
        <v>https://dpmzos25m8ivg.cloudfront.net/Documentos/631/07238205548/6310723820554811092023134659.jpg</v>
      </c>
      <c r="H3508" s="5" t="s">
        <v>12086</v>
      </c>
    </row>
    <row r="3509" spans="1:8" x14ac:dyDescent="0.25">
      <c r="A3509" s="2" t="s">
        <v>3529</v>
      </c>
      <c r="B3509" s="3"/>
      <c r="C3509" s="3"/>
      <c r="D3509" s="3"/>
      <c r="E3509" s="5" t="str">
        <f>HYPERLINK("https://dpmzos25m8ivg.cloudfront.net/Documentos/631/07238537540/6310723853754014092023130445.pdf","https://dpmzos25m8ivg.cloudfront.net/Documentos/631/07238537540/6310723853754014092023130445.pdf")</f>
        <v>https://dpmzos25m8ivg.cloudfront.net/Documentos/631/07238537540/6310723853754014092023130445.pdf</v>
      </c>
      <c r="F3509" s="5" t="str">
        <f>HYPERLINK("https://dpmzos25m8ivg.cloudfront.net/Documentos/631/07238537540/6310723853754014092023130505.pdf","https://dpmzos25m8ivg.cloudfront.net/Documentos/631/07238537540/6310723853754014092023130505.pdf")</f>
        <v>https://dpmzos25m8ivg.cloudfront.net/Documentos/631/07238537540/6310723853754014092023130505.pdf</v>
      </c>
      <c r="G3509" s="5" t="str">
        <f>HYPERLINK("https://dpmzos25m8ivg.cloudfront.net/Documentos/631/07238537540/6310723853754014092023130517.pdf","https://dpmzos25m8ivg.cloudfront.net/Documentos/631/07238537540/6310723853754014092023130517.pdf")</f>
        <v>https://dpmzos25m8ivg.cloudfront.net/Documentos/631/07238537540/6310723853754014092023130517.pdf</v>
      </c>
      <c r="H3509" s="5" t="s">
        <v>12087</v>
      </c>
    </row>
    <row r="3510" spans="1:8" x14ac:dyDescent="0.25">
      <c r="A3510" s="2" t="s">
        <v>3530</v>
      </c>
      <c r="B3510" s="3"/>
      <c r="C3510" s="3"/>
      <c r="D3510" s="3"/>
      <c r="E3510" s="5" t="str">
        <f>HYPERLINK("https://dpmzos25m8ivg.cloudfront.net/Documentos/631/07239659780/6310723965978006092023000113.jpg","https://dpmzos25m8ivg.cloudfront.net/Documentos/631/07239659780/6310723965978006092023000113.jpg")</f>
        <v>https://dpmzos25m8ivg.cloudfront.net/Documentos/631/07239659780/6310723965978006092023000113.jpg</v>
      </c>
      <c r="F3510" s="5" t="str">
        <f>HYPERLINK("https://dpmzos25m8ivg.cloudfront.net/Documentos/631/07239659780/6310723965978006092023000128.jpg","https://dpmzos25m8ivg.cloudfront.net/Documentos/631/07239659780/6310723965978006092023000128.jpg")</f>
        <v>https://dpmzos25m8ivg.cloudfront.net/Documentos/631/07239659780/6310723965978006092023000128.jpg</v>
      </c>
      <c r="G3510" s="5" t="str">
        <f>HYPERLINK("https://dpmzos25m8ivg.cloudfront.net/Documentos/631/07239659780/6310723965978006092023000144.jpg","https://dpmzos25m8ivg.cloudfront.net/Documentos/631/07239659780/6310723965978006092023000144.jpg")</f>
        <v>https://dpmzos25m8ivg.cloudfront.net/Documentos/631/07239659780/6310723965978006092023000144.jpg</v>
      </c>
      <c r="H3510" s="5" t="s">
        <v>12088</v>
      </c>
    </row>
    <row r="3511" spans="1:8" x14ac:dyDescent="0.25">
      <c r="A3511" s="2" t="s">
        <v>3531</v>
      </c>
      <c r="B3511" s="3"/>
      <c r="C3511" s="3"/>
      <c r="D3511" s="3"/>
      <c r="E3511" s="5" t="str">
        <f>HYPERLINK("https://dpmzos25m8ivg.cloudfront.net/Documentos/631/07239824497/6310723982449711092023142727.pdf","https://dpmzos25m8ivg.cloudfront.net/Documentos/631/07239824497/6310723982449711092023142727.pdf")</f>
        <v>https://dpmzos25m8ivg.cloudfront.net/Documentos/631/07239824497/6310723982449711092023142727.pdf</v>
      </c>
      <c r="F3511" s="5" t="str">
        <f>HYPERLINK("https://dpmzos25m8ivg.cloudfront.net/Documentos/631/07239824497/6310723982449711092023143031.pdf","https://dpmzos25m8ivg.cloudfront.net/Documentos/631/07239824497/6310723982449711092023143031.pdf")</f>
        <v>https://dpmzos25m8ivg.cloudfront.net/Documentos/631/07239824497/6310723982449711092023143031.pdf</v>
      </c>
      <c r="G3511" s="5" t="str">
        <f>HYPERLINK("https://dpmzos25m8ivg.cloudfront.net/Documentos/631/07239824497/6310723982449711092023143100.pdf","https://dpmzos25m8ivg.cloudfront.net/Documentos/631/07239824497/6310723982449711092023143100.pdf")</f>
        <v>https://dpmzos25m8ivg.cloudfront.net/Documentos/631/07239824497/6310723982449711092023143100.pdf</v>
      </c>
      <c r="H3511" s="5" t="s">
        <v>12089</v>
      </c>
    </row>
    <row r="3512" spans="1:8" x14ac:dyDescent="0.25">
      <c r="A3512" s="2" t="s">
        <v>3532</v>
      </c>
      <c r="B3512" s="3"/>
      <c r="C3512" s="3"/>
      <c r="D3512" s="3"/>
      <c r="E3512" s="5" t="str">
        <f>HYPERLINK("https://dpmzos25m8ivg.cloudfront.net/Documentos/631/07239974111/6310723997411105092023230105.jpeg","https://dpmzos25m8ivg.cloudfront.net/Documentos/631/07239974111/6310723997411105092023230105.jpeg")</f>
        <v>https://dpmzos25m8ivg.cloudfront.net/Documentos/631/07239974111/6310723997411105092023230105.jpeg</v>
      </c>
      <c r="F3512" s="5" t="str">
        <f>HYPERLINK("https://dpmzos25m8ivg.cloudfront.net/Documentos/631/07239974111/6310723997411105092023230142.jpeg","https://dpmzos25m8ivg.cloudfront.net/Documentos/631/07239974111/6310723997411105092023230142.jpeg")</f>
        <v>https://dpmzos25m8ivg.cloudfront.net/Documentos/631/07239974111/6310723997411105092023230142.jpeg</v>
      </c>
      <c r="G3512" s="5" t="str">
        <f>HYPERLINK("https://dpmzos25m8ivg.cloudfront.net/Documentos/631/07239974111/6310723997411105092023230205.jpeg","https://dpmzos25m8ivg.cloudfront.net/Documentos/631/07239974111/6310723997411105092023230205.jpeg")</f>
        <v>https://dpmzos25m8ivg.cloudfront.net/Documentos/631/07239974111/6310723997411105092023230205.jpeg</v>
      </c>
      <c r="H3512" s="5" t="s">
        <v>12090</v>
      </c>
    </row>
    <row r="3513" spans="1:8" x14ac:dyDescent="0.25">
      <c r="A3513" s="2" t="s">
        <v>3533</v>
      </c>
      <c r="B3513" s="3"/>
      <c r="C3513" s="3"/>
      <c r="D3513" s="3"/>
      <c r="E3513" s="5" t="str">
        <f>HYPERLINK("https://dpmzos25m8ivg.cloudfront.net/Documentos/631/07240129586/6310724012958607092023162846.pdf","https://dpmzos25m8ivg.cloudfront.net/Documentos/631/07240129586/6310724012958607092023162846.pdf")</f>
        <v>https://dpmzos25m8ivg.cloudfront.net/Documentos/631/07240129586/6310724012958607092023162846.pdf</v>
      </c>
      <c r="F3513" s="5" t="str">
        <f>HYPERLINK("https://dpmzos25m8ivg.cloudfront.net/Documentos/631/07240129586/6310724012958607092023162856.pdf","https://dpmzos25m8ivg.cloudfront.net/Documentos/631/07240129586/6310724012958607092023162856.pdf")</f>
        <v>https://dpmzos25m8ivg.cloudfront.net/Documentos/631/07240129586/6310724012958607092023162856.pdf</v>
      </c>
      <c r="G3513" s="5" t="str">
        <f>HYPERLINK("https://dpmzos25m8ivg.cloudfront.net/Documentos/631/07240129586/6310724012958607092023162909.pdf","https://dpmzos25m8ivg.cloudfront.net/Documentos/631/07240129586/6310724012958607092023162909.pdf")</f>
        <v>https://dpmzos25m8ivg.cloudfront.net/Documentos/631/07240129586/6310724012958607092023162909.pdf</v>
      </c>
      <c r="H3513" s="5" t="s">
        <v>12091</v>
      </c>
    </row>
    <row r="3514" spans="1:8" x14ac:dyDescent="0.25">
      <c r="A3514" s="2" t="s">
        <v>3534</v>
      </c>
      <c r="B3514" s="3"/>
      <c r="C3514" s="3"/>
      <c r="D3514" s="3"/>
      <c r="E3514" s="5" t="str">
        <f>HYPERLINK("https://dpmzos25m8ivg.cloudfront.net/Documentos/631/07244261322/6310724426132211092023141437.pdf","https://dpmzos25m8ivg.cloudfront.net/Documentos/631/07244261322/6310724426132211092023141437.pdf")</f>
        <v>https://dpmzos25m8ivg.cloudfront.net/Documentos/631/07244261322/6310724426132211092023141437.pdf</v>
      </c>
      <c r="F3514" s="5" t="str">
        <f>HYPERLINK("https://dpmzos25m8ivg.cloudfront.net/Documentos/631/07244261322/6310724426132211092023141534.pdf","https://dpmzos25m8ivg.cloudfront.net/Documentos/631/07244261322/6310724426132211092023141534.pdf")</f>
        <v>https://dpmzos25m8ivg.cloudfront.net/Documentos/631/07244261322/6310724426132211092023141534.pdf</v>
      </c>
      <c r="G3514" s="5" t="str">
        <f>HYPERLINK("https://dpmzos25m8ivg.cloudfront.net/Documentos/631/07244261322/6310724426132211092023141634.pdf","https://dpmzos25m8ivg.cloudfront.net/Documentos/631/07244261322/6310724426132211092023141634.pdf")</f>
        <v>https://dpmzos25m8ivg.cloudfront.net/Documentos/631/07244261322/6310724426132211092023141634.pdf</v>
      </c>
      <c r="H3514" s="5" t="s">
        <v>12092</v>
      </c>
    </row>
    <row r="3515" spans="1:8" x14ac:dyDescent="0.25">
      <c r="A3515" s="2" t="s">
        <v>3535</v>
      </c>
      <c r="B3515" s="3"/>
      <c r="C3515" s="3"/>
      <c r="D3515" s="3"/>
      <c r="E3515" s="5" t="str">
        <f>HYPERLINK("https://dpmzos25m8ivg.cloudfront.net/Documentos/631/07245707561/6310724570756113092023192721.pdf","https://dpmzos25m8ivg.cloudfront.net/Documentos/631/07245707561/6310724570756113092023192721.pdf")</f>
        <v>https://dpmzos25m8ivg.cloudfront.net/Documentos/631/07245707561/6310724570756113092023192721.pdf</v>
      </c>
      <c r="F3515" s="5" t="str">
        <f>HYPERLINK("https://dpmzos25m8ivg.cloudfront.net/Documentos/631/07245707561/6310724570756113092023192731.pdf","https://dpmzos25m8ivg.cloudfront.net/Documentos/631/07245707561/6310724570756113092023192731.pdf")</f>
        <v>https://dpmzos25m8ivg.cloudfront.net/Documentos/631/07245707561/6310724570756113092023192731.pdf</v>
      </c>
      <c r="G3515" s="5" t="str">
        <f>HYPERLINK("https://dpmzos25m8ivg.cloudfront.net/Documentos/631/07245707561/6310724570756113092023192751.pdf","https://dpmzos25m8ivg.cloudfront.net/Documentos/631/07245707561/6310724570756113092023192751.pdf")</f>
        <v>https://dpmzos25m8ivg.cloudfront.net/Documentos/631/07245707561/6310724570756113092023192751.pdf</v>
      </c>
      <c r="H3515" s="5" t="s">
        <v>12093</v>
      </c>
    </row>
    <row r="3516" spans="1:8" x14ac:dyDescent="0.25">
      <c r="A3516" s="2" t="s">
        <v>3536</v>
      </c>
      <c r="B3516" s="3"/>
      <c r="C3516" s="3"/>
      <c r="D3516" s="3"/>
      <c r="E3516" s="5" t="str">
        <f>HYPERLINK("https://dpmzos25m8ivg.cloudfront.net/Documentos/631/07246379312/6310724637931211092023114355.jpg","https://dpmzos25m8ivg.cloudfront.net/Documentos/631/07246379312/6310724637931211092023114355.jpg")</f>
        <v>https://dpmzos25m8ivg.cloudfront.net/Documentos/631/07246379312/6310724637931211092023114355.jpg</v>
      </c>
      <c r="F3516" s="5" t="str">
        <f>HYPERLINK("https://dpmzos25m8ivg.cloudfront.net/Documentos/631/07246379312/6310724637931211092023114432.jpg","https://dpmzos25m8ivg.cloudfront.net/Documentos/631/07246379312/6310724637931211092023114432.jpg")</f>
        <v>https://dpmzos25m8ivg.cloudfront.net/Documentos/631/07246379312/6310724637931211092023114432.jpg</v>
      </c>
      <c r="G3516" s="5" t="str">
        <f>HYPERLINK("https://dpmzos25m8ivg.cloudfront.net/Documentos/631/07246379312/6310724637931211092023114443.jpg","https://dpmzos25m8ivg.cloudfront.net/Documentos/631/07246379312/6310724637931211092023114443.jpg")</f>
        <v>https://dpmzos25m8ivg.cloudfront.net/Documentos/631/07246379312/6310724637931211092023114443.jpg</v>
      </c>
      <c r="H3516" s="5" t="s">
        <v>12094</v>
      </c>
    </row>
    <row r="3517" spans="1:8" x14ac:dyDescent="0.25">
      <c r="A3517" s="2" t="s">
        <v>3537</v>
      </c>
      <c r="B3517" s="3"/>
      <c r="C3517" s="3"/>
      <c r="D3517" s="3"/>
      <c r="E3517" s="5" t="str">
        <f>HYPERLINK("https://dpmzos25m8ivg.cloudfront.net/Documentos/631/07248308390/6310724830839013092023204026.pdf","https://dpmzos25m8ivg.cloudfront.net/Documentos/631/07248308390/6310724830839013092023204026.pdf")</f>
        <v>https://dpmzos25m8ivg.cloudfront.net/Documentos/631/07248308390/6310724830839013092023204026.pdf</v>
      </c>
      <c r="F3517" s="5" t="str">
        <f>HYPERLINK("https://dpmzos25m8ivg.cloudfront.net/Documentos/631/07248308390/6310724830839013092023204036.pdf","https://dpmzos25m8ivg.cloudfront.net/Documentos/631/07248308390/6310724830839013092023204036.pdf")</f>
        <v>https://dpmzos25m8ivg.cloudfront.net/Documentos/631/07248308390/6310724830839013092023204036.pdf</v>
      </c>
      <c r="G3517" s="5" t="str">
        <f>HYPERLINK("https://dpmzos25m8ivg.cloudfront.net/Documentos/631/07248308390/6310724830839013092023204046.pdf","https://dpmzos25m8ivg.cloudfront.net/Documentos/631/07248308390/6310724830839013092023204046.pdf")</f>
        <v>https://dpmzos25m8ivg.cloudfront.net/Documentos/631/07248308390/6310724830839013092023204046.pdf</v>
      </c>
      <c r="H3517" s="5" t="s">
        <v>12095</v>
      </c>
    </row>
    <row r="3518" spans="1:8" x14ac:dyDescent="0.25">
      <c r="A3518" s="2" t="s">
        <v>3538</v>
      </c>
      <c r="B3518" s="3"/>
      <c r="C3518" s="3"/>
      <c r="D3518" s="3"/>
      <c r="E3518" s="5" t="str">
        <f>HYPERLINK("https://dpmzos25m8ivg.cloudfront.net/Documentos/631/07251332361/6310725133236107092023155515.pdf","https://dpmzos25m8ivg.cloudfront.net/Documentos/631/07251332361/6310725133236107092023155515.pdf")</f>
        <v>https://dpmzos25m8ivg.cloudfront.net/Documentos/631/07251332361/6310725133236107092023155515.pdf</v>
      </c>
      <c r="F3518" s="5" t="str">
        <f>HYPERLINK("https://dpmzos25m8ivg.cloudfront.net/Documentos/631/07251332361/6310725133236107092023155531.pdf","https://dpmzos25m8ivg.cloudfront.net/Documentos/631/07251332361/6310725133236107092023155531.pdf")</f>
        <v>https://dpmzos25m8ivg.cloudfront.net/Documentos/631/07251332361/6310725133236107092023155531.pdf</v>
      </c>
      <c r="G3518" s="5" t="str">
        <f>HYPERLINK("https://dpmzos25m8ivg.cloudfront.net/Documentos/631/07251332361/6310725133236107092023155550.pdf","https://dpmzos25m8ivg.cloudfront.net/Documentos/631/07251332361/6310725133236107092023155550.pdf")</f>
        <v>https://dpmzos25m8ivg.cloudfront.net/Documentos/631/07251332361/6310725133236107092023155550.pdf</v>
      </c>
      <c r="H3518" s="5" t="s">
        <v>12096</v>
      </c>
    </row>
    <row r="3519" spans="1:8" x14ac:dyDescent="0.25">
      <c r="A3519" s="2" t="s">
        <v>3539</v>
      </c>
      <c r="B3519" s="3"/>
      <c r="C3519" s="3"/>
      <c r="D3519" s="3"/>
      <c r="E3519" s="5" t="str">
        <f>HYPERLINK("https://dpmzos25m8ivg.cloudfront.net/Documentos/631/07254066409/6310725406640911092023144841.jpg","https://dpmzos25m8ivg.cloudfront.net/Documentos/631/07254066409/6310725406640911092023144841.jpg")</f>
        <v>https://dpmzos25m8ivg.cloudfront.net/Documentos/631/07254066409/6310725406640911092023144841.jpg</v>
      </c>
      <c r="F3519" s="5" t="str">
        <f>HYPERLINK("https://dpmzos25m8ivg.cloudfront.net/Documentos/631/07254066409/6310725406640911092023144904.jpg","https://dpmzos25m8ivg.cloudfront.net/Documentos/631/07254066409/6310725406640911092023144904.jpg")</f>
        <v>https://dpmzos25m8ivg.cloudfront.net/Documentos/631/07254066409/6310725406640911092023144904.jpg</v>
      </c>
      <c r="G3519" s="5" t="str">
        <f>HYPERLINK("https://dpmzos25m8ivg.cloudfront.net/Documentos/631/07254066409/6310725406640911092023144931.jpg","https://dpmzos25m8ivg.cloudfront.net/Documentos/631/07254066409/6310725406640911092023144931.jpg")</f>
        <v>https://dpmzos25m8ivg.cloudfront.net/Documentos/631/07254066409/6310725406640911092023144931.jpg</v>
      </c>
      <c r="H3519" s="5" t="s">
        <v>12097</v>
      </c>
    </row>
    <row r="3520" spans="1:8" x14ac:dyDescent="0.25">
      <c r="A3520" s="2" t="s">
        <v>3540</v>
      </c>
      <c r="B3520" s="3"/>
      <c r="C3520" s="3"/>
      <c r="D3520" s="3"/>
      <c r="E3520" s="5" t="str">
        <f>HYPERLINK("https://dpmzos25m8ivg.cloudfront.net/Documentos/631/07254578302/6310725457830213092023202557.pdf","https://dpmzos25m8ivg.cloudfront.net/Documentos/631/07254578302/6310725457830213092023202557.pdf")</f>
        <v>https://dpmzos25m8ivg.cloudfront.net/Documentos/631/07254578302/6310725457830213092023202557.pdf</v>
      </c>
      <c r="F3520" s="5" t="str">
        <f>HYPERLINK("https://dpmzos25m8ivg.cloudfront.net/Documentos/631/07254578302/6310725457830213092023202610.pdf","https://dpmzos25m8ivg.cloudfront.net/Documentos/631/07254578302/6310725457830213092023202610.pdf")</f>
        <v>https://dpmzos25m8ivg.cloudfront.net/Documentos/631/07254578302/6310725457830213092023202610.pdf</v>
      </c>
      <c r="G3520" s="5" t="str">
        <f>HYPERLINK("https://dpmzos25m8ivg.cloudfront.net/Documentos/631/07254578302/6310725457830213092023202621.pdf","https://dpmzos25m8ivg.cloudfront.net/Documentos/631/07254578302/6310725457830213092023202621.pdf")</f>
        <v>https://dpmzos25m8ivg.cloudfront.net/Documentos/631/07254578302/6310725457830213092023202621.pdf</v>
      </c>
      <c r="H3520" s="5" t="s">
        <v>12098</v>
      </c>
    </row>
    <row r="3521" spans="1:8" x14ac:dyDescent="0.25">
      <c r="A3521" s="2" t="s">
        <v>3541</v>
      </c>
      <c r="B3521" s="3"/>
      <c r="C3521" s="3"/>
      <c r="D3521" s="3"/>
      <c r="E3521" s="5" t="str">
        <f>HYPERLINK("https://dpmzos25m8ivg.cloudfront.net/Documentos/631/07254777330/6310725477733006092023174119.pdf","https://dpmzos25m8ivg.cloudfront.net/Documentos/631/07254777330/6310725477733006092023174119.pdf")</f>
        <v>https://dpmzos25m8ivg.cloudfront.net/Documentos/631/07254777330/6310725477733006092023174119.pdf</v>
      </c>
      <c r="F3521" s="5" t="str">
        <f>HYPERLINK("https://dpmzos25m8ivg.cloudfront.net/Documentos/631/07254777330/6310725477733006092023174131.pdf","https://dpmzos25m8ivg.cloudfront.net/Documentos/631/07254777330/6310725477733006092023174131.pdf")</f>
        <v>https://dpmzos25m8ivg.cloudfront.net/Documentos/631/07254777330/6310725477733006092023174131.pdf</v>
      </c>
      <c r="G3521" s="5" t="str">
        <f>HYPERLINK("https://dpmzos25m8ivg.cloudfront.net/Documentos/631/07254777330/6310725477733006092023174141.pdf","https://dpmzos25m8ivg.cloudfront.net/Documentos/631/07254777330/6310725477733006092023174141.pdf")</f>
        <v>https://dpmzos25m8ivg.cloudfront.net/Documentos/631/07254777330/6310725477733006092023174141.pdf</v>
      </c>
      <c r="H3521" s="5" t="s">
        <v>12099</v>
      </c>
    </row>
    <row r="3522" spans="1:8" x14ac:dyDescent="0.25">
      <c r="A3522" s="2" t="s">
        <v>3542</v>
      </c>
      <c r="B3522" s="3"/>
      <c r="C3522" s="3"/>
      <c r="D3522" s="3"/>
      <c r="E3522" s="5" t="str">
        <f>HYPERLINK("https://dpmzos25m8ivg.cloudfront.net/Documentos/631/07256529180/6310725652918011092023112622.jpg","https://dpmzos25m8ivg.cloudfront.net/Documentos/631/07256529180/6310725652918011092023112622.jpg")</f>
        <v>https://dpmzos25m8ivg.cloudfront.net/Documentos/631/07256529180/6310725652918011092023112622.jpg</v>
      </c>
      <c r="F3522" s="5" t="str">
        <f>HYPERLINK("https://dpmzos25m8ivg.cloudfront.net/Documentos/631/07256529180/6310725652918011092023113031.jpg","https://dpmzos25m8ivg.cloudfront.net/Documentos/631/07256529180/6310725652918011092023113031.jpg")</f>
        <v>https://dpmzos25m8ivg.cloudfront.net/Documentos/631/07256529180/6310725652918011092023113031.jpg</v>
      </c>
      <c r="G3522" s="5" t="str">
        <f>HYPERLINK("https://dpmzos25m8ivg.cloudfront.net/Documentos/631/07256529180/6310725652918011092023113045.jpg","https://dpmzos25m8ivg.cloudfront.net/Documentos/631/07256529180/6310725652918011092023113045.jpg")</f>
        <v>https://dpmzos25m8ivg.cloudfront.net/Documentos/631/07256529180/6310725652918011092023113045.jpg</v>
      </c>
      <c r="H3522" s="5" t="s">
        <v>12100</v>
      </c>
    </row>
    <row r="3523" spans="1:8" x14ac:dyDescent="0.25">
      <c r="A3523" s="2" t="s">
        <v>3543</v>
      </c>
      <c r="B3523" s="3"/>
      <c r="C3523" s="3"/>
      <c r="D3523" s="3"/>
      <c r="E3523" s="5" t="str">
        <f>HYPERLINK("https://dpmzos25m8ivg.cloudfront.net/Documentos/631/07257324310/6310725732431007092023164954.jpeg","https://dpmzos25m8ivg.cloudfront.net/Documentos/631/07257324310/6310725732431007092023164954.jpeg")</f>
        <v>https://dpmzos25m8ivg.cloudfront.net/Documentos/631/07257324310/6310725732431007092023164954.jpeg</v>
      </c>
      <c r="F3523" s="5" t="str">
        <f>HYPERLINK("https://dpmzos25m8ivg.cloudfront.net/Documentos/631/07257324310/6310725732431007092023165012.jpeg","https://dpmzos25m8ivg.cloudfront.net/Documentos/631/07257324310/6310725732431007092023165012.jpeg")</f>
        <v>https://dpmzos25m8ivg.cloudfront.net/Documentos/631/07257324310/6310725732431007092023165012.jpeg</v>
      </c>
      <c r="G3523" s="5" t="str">
        <f>HYPERLINK("https://dpmzos25m8ivg.cloudfront.net/Documentos/631/07257324310/6310725732431007092023165031.jpeg","https://dpmzos25m8ivg.cloudfront.net/Documentos/631/07257324310/6310725732431007092023165031.jpeg")</f>
        <v>https://dpmzos25m8ivg.cloudfront.net/Documentos/631/07257324310/6310725732431007092023165031.jpeg</v>
      </c>
      <c r="H3523" s="5" t="s">
        <v>12101</v>
      </c>
    </row>
    <row r="3524" spans="1:8" x14ac:dyDescent="0.25">
      <c r="A3524" s="2" t="s">
        <v>3544</v>
      </c>
      <c r="B3524" s="3"/>
      <c r="C3524" s="3"/>
      <c r="D3524" s="3"/>
      <c r="E3524" s="5" t="str">
        <f>HYPERLINK("https://dpmzos25m8ivg.cloudfront.net/Documentos/631/07257443670/6310725744367009092023193409.pdf","https://dpmzos25m8ivg.cloudfront.net/Documentos/631/07257443670/6310725744367009092023193409.pdf")</f>
        <v>https://dpmzos25m8ivg.cloudfront.net/Documentos/631/07257443670/6310725744367009092023193409.pdf</v>
      </c>
      <c r="F3524" s="5" t="str">
        <f>HYPERLINK("https://dpmzos25m8ivg.cloudfront.net/Documentos/631/07257443670/6310725744367009092023193429.pdf","https://dpmzos25m8ivg.cloudfront.net/Documentos/631/07257443670/6310725744367009092023193429.pdf")</f>
        <v>https://dpmzos25m8ivg.cloudfront.net/Documentos/631/07257443670/6310725744367009092023193429.pdf</v>
      </c>
      <c r="G3524" s="5" t="str">
        <f>HYPERLINK("https://dpmzos25m8ivg.cloudfront.net/Documentos/631/07257443670/6310725744367009092023193454.pdf","https://dpmzos25m8ivg.cloudfront.net/Documentos/631/07257443670/6310725744367009092023193454.pdf")</f>
        <v>https://dpmzos25m8ivg.cloudfront.net/Documentos/631/07257443670/6310725744367009092023193454.pdf</v>
      </c>
      <c r="H3524" s="5" t="s">
        <v>12102</v>
      </c>
    </row>
    <row r="3525" spans="1:8" x14ac:dyDescent="0.25">
      <c r="A3525" s="2" t="s">
        <v>3545</v>
      </c>
      <c r="B3525" s="3"/>
      <c r="C3525" s="3"/>
      <c r="D3525" s="3"/>
      <c r="E3525" s="5" t="str">
        <f>HYPERLINK("https://dpmzos25m8ivg.cloudfront.net/Documentos/631/07257727350/6310725772735010092023120826.pdf","https://dpmzos25m8ivg.cloudfront.net/Documentos/631/07257727350/6310725772735010092023120826.pdf")</f>
        <v>https://dpmzos25m8ivg.cloudfront.net/Documentos/631/07257727350/6310725772735010092023120826.pdf</v>
      </c>
      <c r="F3525" s="5" t="str">
        <f>HYPERLINK("https://dpmzos25m8ivg.cloudfront.net/Documentos/631/07257727350/6310725772735010092023120837.pdf","https://dpmzos25m8ivg.cloudfront.net/Documentos/631/07257727350/6310725772735010092023120837.pdf")</f>
        <v>https://dpmzos25m8ivg.cloudfront.net/Documentos/631/07257727350/6310725772735010092023120837.pdf</v>
      </c>
      <c r="G3525" s="5" t="str">
        <f>HYPERLINK("https://dpmzos25m8ivg.cloudfront.net/Documentos/631/07257727350/6310725772735010092023120847.pdf","https://dpmzos25m8ivg.cloudfront.net/Documentos/631/07257727350/6310725772735010092023120847.pdf")</f>
        <v>https://dpmzos25m8ivg.cloudfront.net/Documentos/631/07257727350/6310725772735010092023120847.pdf</v>
      </c>
      <c r="H3525" s="5" t="s">
        <v>12103</v>
      </c>
    </row>
    <row r="3526" spans="1:8" x14ac:dyDescent="0.25">
      <c r="A3526" s="2" t="s">
        <v>3546</v>
      </c>
      <c r="B3526" s="3"/>
      <c r="C3526" s="3"/>
      <c r="D3526" s="3"/>
      <c r="E3526" s="5" t="str">
        <f>HYPERLINK("https://dpmzos25m8ivg.cloudfront.net/Documentos/631/07261491365/6310726149136508092023230526.pdf","https://dpmzos25m8ivg.cloudfront.net/Documentos/631/07261491365/6310726149136508092023230526.pdf")</f>
        <v>https://dpmzos25m8ivg.cloudfront.net/Documentos/631/07261491365/6310726149136508092023230526.pdf</v>
      </c>
      <c r="F3526" s="5" t="str">
        <f>HYPERLINK("https://dpmzos25m8ivg.cloudfront.net/Documentos/631/07261491365/6310726149136508092023230537.pdf","https://dpmzos25m8ivg.cloudfront.net/Documentos/631/07261491365/6310726149136508092023230537.pdf")</f>
        <v>https://dpmzos25m8ivg.cloudfront.net/Documentos/631/07261491365/6310726149136508092023230537.pdf</v>
      </c>
      <c r="G3526" s="5" t="str">
        <f>HYPERLINK("https://dpmzos25m8ivg.cloudfront.net/Documentos/631/07261491365/6310726149136508092023230547.pdf","https://dpmzos25m8ivg.cloudfront.net/Documentos/631/07261491365/6310726149136508092023230547.pdf")</f>
        <v>https://dpmzos25m8ivg.cloudfront.net/Documentos/631/07261491365/6310726149136508092023230547.pdf</v>
      </c>
      <c r="H3526" s="5" t="s">
        <v>12104</v>
      </c>
    </row>
    <row r="3527" spans="1:8" x14ac:dyDescent="0.25">
      <c r="A3527" s="2" t="s">
        <v>3547</v>
      </c>
      <c r="B3527" s="3"/>
      <c r="C3527" s="3"/>
      <c r="D3527" s="3"/>
      <c r="E3527" s="5" t="str">
        <f>HYPERLINK("https://dpmzos25m8ivg.cloudfront.net/Documentos/631/07262706608/6310726270660805092023105031.pdf","https://dpmzos25m8ivg.cloudfront.net/Documentos/631/07262706608/6310726270660805092023105031.pdf")</f>
        <v>https://dpmzos25m8ivg.cloudfront.net/Documentos/631/07262706608/6310726270660805092023105031.pdf</v>
      </c>
      <c r="F3527" s="5" t="str">
        <f>HYPERLINK("https://dpmzos25m8ivg.cloudfront.net/Documentos/631/07262706608/6310726270660805092023105041.pdf","https://dpmzos25m8ivg.cloudfront.net/Documentos/631/07262706608/6310726270660805092023105041.pdf")</f>
        <v>https://dpmzos25m8ivg.cloudfront.net/Documentos/631/07262706608/6310726270660805092023105041.pdf</v>
      </c>
      <c r="G3527" s="5" t="str">
        <f>HYPERLINK("https://dpmzos25m8ivg.cloudfront.net/Documentos/631/07262706608/6310726270660805092023105050.pdf","https://dpmzos25m8ivg.cloudfront.net/Documentos/631/07262706608/6310726270660805092023105050.pdf")</f>
        <v>https://dpmzos25m8ivg.cloudfront.net/Documentos/631/07262706608/6310726270660805092023105050.pdf</v>
      </c>
      <c r="H3527" s="5" t="s">
        <v>12105</v>
      </c>
    </row>
    <row r="3528" spans="1:8" x14ac:dyDescent="0.25">
      <c r="A3528" s="2" t="s">
        <v>3548</v>
      </c>
      <c r="B3528" s="3" t="s">
        <v>3381</v>
      </c>
      <c r="C3528" s="3"/>
      <c r="D3528" s="3"/>
      <c r="E3528" s="5" t="str">
        <f>HYPERLINK("https://dpmzos25m8ivg.cloudfront.net/Documentos/631/07268743700/6310726874370005092023171327.jpg","https://dpmzos25m8ivg.cloudfront.net/Documentos/631/07268743700/6310726874370005092023171327.jpg")</f>
        <v>https://dpmzos25m8ivg.cloudfront.net/Documentos/631/07268743700/6310726874370005092023171327.jpg</v>
      </c>
      <c r="F3528" s="5" t="str">
        <f>HYPERLINK("https://dpmzos25m8ivg.cloudfront.net/Documentos/631/07268743700/6310726874370005092023171405.jpg","https://dpmzos25m8ivg.cloudfront.net/Documentos/631/07268743700/6310726874370005092023171405.jpg")</f>
        <v>https://dpmzos25m8ivg.cloudfront.net/Documentos/631/07268743700/6310726874370005092023171405.jpg</v>
      </c>
      <c r="G3528" s="5" t="str">
        <f>HYPERLINK("https://dpmzos25m8ivg.cloudfront.net/Documentos/631/07268743700/6310726874370005092023171430.jpg","https://dpmzos25m8ivg.cloudfront.net/Documentos/631/07268743700/6310726874370005092023171430.jpg")</f>
        <v>https://dpmzos25m8ivg.cloudfront.net/Documentos/631/07268743700/6310726874370005092023171430.jpg</v>
      </c>
      <c r="H3528" s="5" t="s">
        <v>12106</v>
      </c>
    </row>
    <row r="3529" spans="1:8" x14ac:dyDescent="0.25">
      <c r="A3529" s="2" t="s">
        <v>3549</v>
      </c>
      <c r="B3529" s="3"/>
      <c r="C3529" s="3"/>
      <c r="D3529" s="3"/>
      <c r="E3529" s="5" t="str">
        <f>HYPERLINK("https://dpmzos25m8ivg.cloudfront.net/Documentos/631/07269997179/6310726999717909092023183741.pdf","https://dpmzos25m8ivg.cloudfront.net/Documentos/631/07269997179/6310726999717909092023183741.pdf")</f>
        <v>https://dpmzos25m8ivg.cloudfront.net/Documentos/631/07269997179/6310726999717909092023183741.pdf</v>
      </c>
      <c r="F3529" s="5" t="str">
        <f>HYPERLINK("https://dpmzos25m8ivg.cloudfront.net/Documentos/631/07269997179/6310726999717909092023183750.pdf","https://dpmzos25m8ivg.cloudfront.net/Documentos/631/07269997179/6310726999717909092023183750.pdf")</f>
        <v>https://dpmzos25m8ivg.cloudfront.net/Documentos/631/07269997179/6310726999717909092023183750.pdf</v>
      </c>
      <c r="G3529" s="5" t="str">
        <f>HYPERLINK("https://dpmzos25m8ivg.cloudfront.net/Documentos/631/07269997179/6310726999717909092023183758.pdf","https://dpmzos25m8ivg.cloudfront.net/Documentos/631/07269997179/6310726999717909092023183758.pdf")</f>
        <v>https://dpmzos25m8ivg.cloudfront.net/Documentos/631/07269997179/6310726999717909092023183758.pdf</v>
      </c>
      <c r="H3529" s="5" t="s">
        <v>12107</v>
      </c>
    </row>
    <row r="3530" spans="1:8" x14ac:dyDescent="0.25">
      <c r="A3530" s="2" t="s">
        <v>3550</v>
      </c>
      <c r="B3530" s="3"/>
      <c r="C3530" s="3"/>
      <c r="D3530" s="3"/>
      <c r="E3530" s="5" t="str">
        <f>HYPERLINK("https://dpmzos25m8ivg.cloudfront.net/Documentos/631/07271922563/6310727192256308092023092044.pdf","https://dpmzos25m8ivg.cloudfront.net/Documentos/631/07271922563/6310727192256308092023092044.pdf")</f>
        <v>https://dpmzos25m8ivg.cloudfront.net/Documentos/631/07271922563/6310727192256308092023092044.pdf</v>
      </c>
      <c r="F3530" s="5" t="str">
        <f>HYPERLINK("https://dpmzos25m8ivg.cloudfront.net/Documentos/631/07271922563/6310727192256308092023092118.pdf","https://dpmzos25m8ivg.cloudfront.net/Documentos/631/07271922563/6310727192256308092023092118.pdf")</f>
        <v>https://dpmzos25m8ivg.cloudfront.net/Documentos/631/07271922563/6310727192256308092023092118.pdf</v>
      </c>
      <c r="G3530" s="5" t="str">
        <f>HYPERLINK("https://dpmzos25m8ivg.cloudfront.net/Documentos/631/07271922563/6310727192256308092023092151.pdf","https://dpmzos25m8ivg.cloudfront.net/Documentos/631/07271922563/6310727192256308092023092151.pdf")</f>
        <v>https://dpmzos25m8ivg.cloudfront.net/Documentos/631/07271922563/6310727192256308092023092151.pdf</v>
      </c>
      <c r="H3530" s="5" t="s">
        <v>12108</v>
      </c>
    </row>
    <row r="3531" spans="1:8" x14ac:dyDescent="0.25">
      <c r="A3531" s="2" t="s">
        <v>3551</v>
      </c>
      <c r="B3531" s="3"/>
      <c r="C3531" s="3"/>
      <c r="D3531" s="3"/>
      <c r="E3531" s="5" t="str">
        <f>HYPERLINK("https://dpmzos25m8ivg.cloudfront.net/Documentos/631/07273073555/6310727307355511092023163137.pdf","https://dpmzos25m8ivg.cloudfront.net/Documentos/631/07273073555/6310727307355511092023163137.pdf")</f>
        <v>https://dpmzos25m8ivg.cloudfront.net/Documentos/631/07273073555/6310727307355511092023163137.pdf</v>
      </c>
      <c r="F3531" s="5" t="str">
        <f>HYPERLINK("https://dpmzos25m8ivg.cloudfront.net/Documentos/631/07273073555/6310727307355511092023163149.pdf","https://dpmzos25m8ivg.cloudfront.net/Documentos/631/07273073555/6310727307355511092023163149.pdf")</f>
        <v>https://dpmzos25m8ivg.cloudfront.net/Documentos/631/07273073555/6310727307355511092023163149.pdf</v>
      </c>
      <c r="G3531" s="5" t="str">
        <f>HYPERLINK("https://dpmzos25m8ivg.cloudfront.net/Documentos/631/07273073555/6310727307355511092023163159.pdf","https://dpmzos25m8ivg.cloudfront.net/Documentos/631/07273073555/6310727307355511092023163159.pdf")</f>
        <v>https://dpmzos25m8ivg.cloudfront.net/Documentos/631/07273073555/6310727307355511092023163159.pdf</v>
      </c>
      <c r="H3531" s="5" t="s">
        <v>12109</v>
      </c>
    </row>
    <row r="3532" spans="1:8" x14ac:dyDescent="0.25">
      <c r="A3532" s="2" t="s">
        <v>3552</v>
      </c>
      <c r="B3532" s="3" t="s">
        <v>3381</v>
      </c>
      <c r="C3532" s="3"/>
      <c r="D3532" s="3"/>
      <c r="E3532" s="5" t="str">
        <f>HYPERLINK("https://dpmzos25m8ivg.cloudfront.net/Documentos/631/07274500775/6310727450077505092023150244.pdf","https://dpmzos25m8ivg.cloudfront.net/Documentos/631/07274500775/6310727450077505092023150244.pdf")</f>
        <v>https://dpmzos25m8ivg.cloudfront.net/Documentos/631/07274500775/6310727450077505092023150244.pdf</v>
      </c>
      <c r="F3532" s="5" t="str">
        <f>HYPERLINK("https://dpmzos25m8ivg.cloudfront.net/Documentos/631/07274500775/6310727450077505092023150259.pdf","https://dpmzos25m8ivg.cloudfront.net/Documentos/631/07274500775/6310727450077505092023150259.pdf")</f>
        <v>https://dpmzos25m8ivg.cloudfront.net/Documentos/631/07274500775/6310727450077505092023150259.pdf</v>
      </c>
      <c r="G3532" s="5" t="str">
        <f>HYPERLINK("https://dpmzos25m8ivg.cloudfront.net/Documentos/631/07274500775/6310727450077505092023150317.pdf","https://dpmzos25m8ivg.cloudfront.net/Documentos/631/07274500775/6310727450077505092023150317.pdf")</f>
        <v>https://dpmzos25m8ivg.cloudfront.net/Documentos/631/07274500775/6310727450077505092023150317.pdf</v>
      </c>
      <c r="H3532" s="5" t="s">
        <v>12110</v>
      </c>
    </row>
    <row r="3533" spans="1:8" x14ac:dyDescent="0.25">
      <c r="A3533" s="2" t="s">
        <v>3553</v>
      </c>
      <c r="B3533" s="3"/>
      <c r="C3533" s="3"/>
      <c r="D3533" s="3"/>
      <c r="E3533" s="5" t="str">
        <f>HYPERLINK("https://dpmzos25m8ivg.cloudfront.net/Documentos/631/07275831155/6310727583115514092023154947.pdf","https://dpmzos25m8ivg.cloudfront.net/Documentos/631/07275831155/6310727583115514092023154947.pdf")</f>
        <v>https://dpmzos25m8ivg.cloudfront.net/Documentos/631/07275831155/6310727583115514092023154947.pdf</v>
      </c>
      <c r="F3533" s="5" t="str">
        <f>HYPERLINK("https://dpmzos25m8ivg.cloudfront.net/Documentos/631/07275831155/6310727583115514092023154954.pdf","https://dpmzos25m8ivg.cloudfront.net/Documentos/631/07275831155/6310727583115514092023154954.pdf")</f>
        <v>https://dpmzos25m8ivg.cloudfront.net/Documentos/631/07275831155/6310727583115514092023154954.pdf</v>
      </c>
      <c r="G3533" s="5" t="str">
        <f>HYPERLINK("https://dpmzos25m8ivg.cloudfront.net/Documentos/631/07275831155/6310727583115514092023155000.pdf","https://dpmzos25m8ivg.cloudfront.net/Documentos/631/07275831155/6310727583115514092023155000.pdf")</f>
        <v>https://dpmzos25m8ivg.cloudfront.net/Documentos/631/07275831155/6310727583115514092023155000.pdf</v>
      </c>
      <c r="H3533" s="5" t="s">
        <v>12111</v>
      </c>
    </row>
    <row r="3534" spans="1:8" x14ac:dyDescent="0.25">
      <c r="A3534" s="2" t="s">
        <v>3554</v>
      </c>
      <c r="B3534" s="3"/>
      <c r="C3534" s="3"/>
      <c r="D3534" s="3"/>
      <c r="E3534" s="5" t="str">
        <f>HYPERLINK("https://dpmzos25m8ivg.cloudfront.net/Documentos/631/07276301567/6310727630156707092023142820.pdf","https://dpmzos25m8ivg.cloudfront.net/Documentos/631/07276301567/6310727630156707092023142820.pdf")</f>
        <v>https://dpmzos25m8ivg.cloudfront.net/Documentos/631/07276301567/6310727630156707092023142820.pdf</v>
      </c>
      <c r="F3534" s="5" t="str">
        <f>HYPERLINK("https://dpmzos25m8ivg.cloudfront.net/Documentos/631/07276301567/6310727630156707092023142830.pdf","https://dpmzos25m8ivg.cloudfront.net/Documentos/631/07276301567/6310727630156707092023142830.pdf")</f>
        <v>https://dpmzos25m8ivg.cloudfront.net/Documentos/631/07276301567/6310727630156707092023142830.pdf</v>
      </c>
      <c r="G3534" s="5" t="str">
        <f>HYPERLINK("https://dpmzos25m8ivg.cloudfront.net/Documentos/631/07276301567/6310727630156707092023142841.pdf","https://dpmzos25m8ivg.cloudfront.net/Documentos/631/07276301567/6310727630156707092023142841.pdf")</f>
        <v>https://dpmzos25m8ivg.cloudfront.net/Documentos/631/07276301567/6310727630156707092023142841.pdf</v>
      </c>
      <c r="H3534" s="5" t="s">
        <v>12112</v>
      </c>
    </row>
    <row r="3535" spans="1:8" x14ac:dyDescent="0.25">
      <c r="A3535" s="2" t="s">
        <v>3555</v>
      </c>
      <c r="B3535" s="3"/>
      <c r="C3535" s="3"/>
      <c r="D3535" s="3"/>
      <c r="E3535" s="5" t="str">
        <f>HYPERLINK("https://dpmzos25m8ivg.cloudfront.net/Documentos/631/07276777138/6310727677713811092023110902.pdf","https://dpmzos25m8ivg.cloudfront.net/Documentos/631/07276777138/6310727677713811092023110902.pdf")</f>
        <v>https://dpmzos25m8ivg.cloudfront.net/Documentos/631/07276777138/6310727677713811092023110902.pdf</v>
      </c>
      <c r="F3535" s="5" t="str">
        <f>HYPERLINK("https://dpmzos25m8ivg.cloudfront.net/Documentos/631/07276777138/6310727677713811092023110914.pdf","https://dpmzos25m8ivg.cloudfront.net/Documentos/631/07276777138/6310727677713811092023110914.pdf")</f>
        <v>https://dpmzos25m8ivg.cloudfront.net/Documentos/631/07276777138/6310727677713811092023110914.pdf</v>
      </c>
      <c r="G3535" s="5" t="str">
        <f>HYPERLINK("https://dpmzos25m8ivg.cloudfront.net/Documentos/631/07276777138/6310727677713811092023110940.pdf","https://dpmzos25m8ivg.cloudfront.net/Documentos/631/07276777138/6310727677713811092023110940.pdf")</f>
        <v>https://dpmzos25m8ivg.cloudfront.net/Documentos/631/07276777138/6310727677713811092023110940.pdf</v>
      </c>
      <c r="H3535" s="5" t="s">
        <v>12113</v>
      </c>
    </row>
    <row r="3536" spans="1:8" x14ac:dyDescent="0.25">
      <c r="A3536" s="2" t="s">
        <v>3556</v>
      </c>
      <c r="B3536" s="3" t="s">
        <v>3381</v>
      </c>
      <c r="C3536" s="3"/>
      <c r="D3536" s="3"/>
      <c r="E3536" s="5" t="str">
        <f>HYPERLINK("https://dpmzos25m8ivg.cloudfront.net/Documentos/631/07282194688/6310728219468809092023013323.jpeg","https://dpmzos25m8ivg.cloudfront.net/Documentos/631/07282194688/6310728219468809092023013323.jpeg")</f>
        <v>https://dpmzos25m8ivg.cloudfront.net/Documentos/631/07282194688/6310728219468809092023013323.jpeg</v>
      </c>
      <c r="F3536" s="5" t="str">
        <f>HYPERLINK("https://dpmzos25m8ivg.cloudfront.net/Documentos/631/07282194688/6310728219468809092023013403.jpeg","https://dpmzos25m8ivg.cloudfront.net/Documentos/631/07282194688/6310728219468809092023013403.jpeg")</f>
        <v>https://dpmzos25m8ivg.cloudfront.net/Documentos/631/07282194688/6310728219468809092023013403.jpeg</v>
      </c>
      <c r="G3536" s="5" t="str">
        <f>HYPERLINK("https://dpmzos25m8ivg.cloudfront.net/Documentos/631/07282194688/6310728219468811092023001917.jpg","https://dpmzos25m8ivg.cloudfront.net/Documentos/631/07282194688/6310728219468811092023001917.jpg")</f>
        <v>https://dpmzos25m8ivg.cloudfront.net/Documentos/631/07282194688/6310728219468811092023001917.jpg</v>
      </c>
      <c r="H3536" s="5" t="s">
        <v>12114</v>
      </c>
    </row>
    <row r="3537" spans="1:8" x14ac:dyDescent="0.25">
      <c r="A3537" s="2" t="s">
        <v>3557</v>
      </c>
      <c r="B3537" s="3"/>
      <c r="C3537" s="3"/>
      <c r="D3537" s="3"/>
      <c r="E3537" s="5" t="str">
        <f>HYPERLINK("https://dpmzos25m8ivg.cloudfront.net/Documentos/631/07287155621/6310728715562105092023141957.pdf","https://dpmzos25m8ivg.cloudfront.net/Documentos/631/07287155621/6310728715562105092023141957.pdf")</f>
        <v>https://dpmzos25m8ivg.cloudfront.net/Documentos/631/07287155621/6310728715562105092023141957.pdf</v>
      </c>
      <c r="F3537" s="5" t="str">
        <f>HYPERLINK("https://dpmzos25m8ivg.cloudfront.net/Documentos/631/07287155621/6310728715562105092023142008.pdf","https://dpmzos25m8ivg.cloudfront.net/Documentos/631/07287155621/6310728715562105092023142008.pdf")</f>
        <v>https://dpmzos25m8ivg.cloudfront.net/Documentos/631/07287155621/6310728715562105092023142008.pdf</v>
      </c>
      <c r="G3537" s="5" t="str">
        <f>HYPERLINK("https://dpmzos25m8ivg.cloudfront.net/Documentos/631/07287155621/6310728715562105092023142016.pdf","https://dpmzos25m8ivg.cloudfront.net/Documentos/631/07287155621/6310728715562105092023142016.pdf")</f>
        <v>https://dpmzos25m8ivg.cloudfront.net/Documentos/631/07287155621/6310728715562105092023142016.pdf</v>
      </c>
      <c r="H3537" s="5" t="s">
        <v>12115</v>
      </c>
    </row>
    <row r="3538" spans="1:8" x14ac:dyDescent="0.25">
      <c r="A3538" s="2" t="s">
        <v>3558</v>
      </c>
      <c r="B3538" s="3"/>
      <c r="C3538" s="3"/>
      <c r="D3538" s="3"/>
      <c r="E3538" s="5" t="str">
        <f>HYPERLINK("https://dpmzos25m8ivg.cloudfront.net/Documentos/631/07287985730/6310728798573011092023120614.pdf","https://dpmzos25m8ivg.cloudfront.net/Documentos/631/07287985730/6310728798573011092023120614.pdf")</f>
        <v>https://dpmzos25m8ivg.cloudfront.net/Documentos/631/07287985730/6310728798573011092023120614.pdf</v>
      </c>
      <c r="F3538" s="5" t="str">
        <f>HYPERLINK("https://dpmzos25m8ivg.cloudfront.net/Documentos/631/07287985730/6310728798573011092023120707.pdf","https://dpmzos25m8ivg.cloudfront.net/Documentos/631/07287985730/6310728798573011092023120707.pdf")</f>
        <v>https://dpmzos25m8ivg.cloudfront.net/Documentos/631/07287985730/6310728798573011092023120707.pdf</v>
      </c>
      <c r="G3538" s="5" t="str">
        <f>HYPERLINK("https://dpmzos25m8ivg.cloudfront.net/Documentos/631/07287985730/6310728798573011092023120808.pdf","https://dpmzos25m8ivg.cloudfront.net/Documentos/631/07287985730/6310728798573011092023120808.pdf")</f>
        <v>https://dpmzos25m8ivg.cloudfront.net/Documentos/631/07287985730/6310728798573011092023120808.pdf</v>
      </c>
      <c r="H3538" s="5" t="s">
        <v>12116</v>
      </c>
    </row>
    <row r="3539" spans="1:8" x14ac:dyDescent="0.25">
      <c r="A3539" s="2" t="s">
        <v>3559</v>
      </c>
      <c r="B3539" s="3"/>
      <c r="C3539" s="3"/>
      <c r="D3539" s="3"/>
      <c r="E3539" s="5" t="str">
        <f>HYPERLINK("https://dpmzos25m8ivg.cloudfront.net/Documentos/631/07288918599/6310728891859911092023141908.jpeg","https://dpmzos25m8ivg.cloudfront.net/Documentos/631/07288918599/6310728891859911092023141908.jpeg")</f>
        <v>https://dpmzos25m8ivg.cloudfront.net/Documentos/631/07288918599/6310728891859911092023141908.jpeg</v>
      </c>
      <c r="F3539" s="5" t="str">
        <f>HYPERLINK("https://dpmzos25m8ivg.cloudfront.net/Documentos/631/07288918599/6310728891859911092023141924.jpeg","https://dpmzos25m8ivg.cloudfront.net/Documentos/631/07288918599/6310728891859911092023141924.jpeg")</f>
        <v>https://dpmzos25m8ivg.cloudfront.net/Documentos/631/07288918599/6310728891859911092023141924.jpeg</v>
      </c>
      <c r="G3539" s="5" t="str">
        <f>HYPERLINK("https://dpmzos25m8ivg.cloudfront.net/Documentos/631/07288918599/6310728891859911092023141939.jpeg","https://dpmzos25m8ivg.cloudfront.net/Documentos/631/07288918599/6310728891859911092023141939.jpeg")</f>
        <v>https://dpmzos25m8ivg.cloudfront.net/Documentos/631/07288918599/6310728891859911092023141939.jpeg</v>
      </c>
      <c r="H3539" s="5" t="s">
        <v>12117</v>
      </c>
    </row>
    <row r="3540" spans="1:8" x14ac:dyDescent="0.25">
      <c r="A3540" s="2" t="s">
        <v>3560</v>
      </c>
      <c r="B3540" s="15" t="s">
        <v>2358</v>
      </c>
      <c r="C3540" s="3"/>
      <c r="D3540" s="3"/>
      <c r="E3540" s="5" t="str">
        <f>HYPERLINK("https://dpmzos25m8ivg.cloudfront.net/Documentos/631/07291142954/6310729114295411092023165446.jpeg","https://dpmzos25m8ivg.cloudfront.net/Documentos/631/07291142954/6310729114295411092023165446.jpeg")</f>
        <v>https://dpmzos25m8ivg.cloudfront.net/Documentos/631/07291142954/6310729114295411092023165446.jpeg</v>
      </c>
      <c r="F3540" s="5" t="str">
        <f>HYPERLINK("https://dpmzos25m8ivg.cloudfront.net/Documentos/631/07291142954/6310729114295411092023165604.jpeg","https://dpmzos25m8ivg.cloudfront.net/Documentos/631/07291142954/6310729114295411092023165604.jpeg")</f>
        <v>https://dpmzos25m8ivg.cloudfront.net/Documentos/631/07291142954/6310729114295411092023165604.jpeg</v>
      </c>
      <c r="G3540" s="5" t="str">
        <f>HYPERLINK("https://dpmzos25m8ivg.cloudfront.net/Documentos/631/07291142954/6310729114295411092023170034.jpeg","https://dpmzos25m8ivg.cloudfront.net/Documentos/631/07291142954/6310729114295411092023170034.jpeg")</f>
        <v>https://dpmzos25m8ivg.cloudfront.net/Documentos/631/07291142954/6310729114295411092023170034.jpeg</v>
      </c>
      <c r="H3540" s="5" t="s">
        <v>12118</v>
      </c>
    </row>
    <row r="3541" spans="1:8" x14ac:dyDescent="0.25">
      <c r="A3541" s="2" t="s">
        <v>3561</v>
      </c>
      <c r="B3541" s="3"/>
      <c r="C3541" s="3"/>
      <c r="D3541" s="3"/>
      <c r="E3541" s="5" t="str">
        <f>HYPERLINK("https://dpmzos25m8ivg.cloudfront.net/Documentos/631/07291802555/6310729180255508092023211820.pdf","https://dpmzos25m8ivg.cloudfront.net/Documentos/631/07291802555/6310729180255508092023211820.pdf")</f>
        <v>https://dpmzos25m8ivg.cloudfront.net/Documentos/631/07291802555/6310729180255508092023211820.pdf</v>
      </c>
      <c r="F3541" s="5" t="str">
        <f>HYPERLINK("https://dpmzos25m8ivg.cloudfront.net/Documentos/631/07291802555/6310729180255508092023211843.pdf","https://dpmzos25m8ivg.cloudfront.net/Documentos/631/07291802555/6310729180255508092023211843.pdf")</f>
        <v>https://dpmzos25m8ivg.cloudfront.net/Documentos/631/07291802555/6310729180255508092023211843.pdf</v>
      </c>
      <c r="G3541" s="5" t="str">
        <f>HYPERLINK("https://dpmzos25m8ivg.cloudfront.net/Documentos/631/07291802555/6310729180255508092023211901.pdf","https://dpmzos25m8ivg.cloudfront.net/Documentos/631/07291802555/6310729180255508092023211901.pdf")</f>
        <v>https://dpmzos25m8ivg.cloudfront.net/Documentos/631/07291802555/6310729180255508092023211901.pdf</v>
      </c>
      <c r="H3541" s="5" t="s">
        <v>12119</v>
      </c>
    </row>
    <row r="3542" spans="1:8" x14ac:dyDescent="0.25">
      <c r="A3542" s="2" t="s">
        <v>3562</v>
      </c>
      <c r="B3542" s="3"/>
      <c r="C3542" s="3"/>
      <c r="D3542" s="3"/>
      <c r="E3542" s="5" t="str">
        <f>HYPERLINK("https://dpmzos25m8ivg.cloudfront.net/Documentos/631/07292873600/6310729287360005092023101806.pdf","https://dpmzos25m8ivg.cloudfront.net/Documentos/631/07292873600/6310729287360005092023101806.pdf")</f>
        <v>https://dpmzos25m8ivg.cloudfront.net/Documentos/631/07292873600/6310729287360005092023101806.pdf</v>
      </c>
      <c r="F3542" s="5" t="str">
        <f>HYPERLINK("https://dpmzos25m8ivg.cloudfront.net/Documentos/631/07292873600/6310729287360005092023101827.pdf","https://dpmzos25m8ivg.cloudfront.net/Documentos/631/07292873600/6310729287360005092023101827.pdf")</f>
        <v>https://dpmzos25m8ivg.cloudfront.net/Documentos/631/07292873600/6310729287360005092023101827.pdf</v>
      </c>
      <c r="G3542" s="5" t="str">
        <f>HYPERLINK("https://dpmzos25m8ivg.cloudfront.net/Documentos/631/07292873600/6310729287360005092023101835.pdf","https://dpmzos25m8ivg.cloudfront.net/Documentos/631/07292873600/6310729287360005092023101835.pdf")</f>
        <v>https://dpmzos25m8ivg.cloudfront.net/Documentos/631/07292873600/6310729287360005092023101835.pdf</v>
      </c>
      <c r="H3542" s="5" t="s">
        <v>12120</v>
      </c>
    </row>
    <row r="3543" spans="1:8" x14ac:dyDescent="0.25">
      <c r="A3543" s="2" t="s">
        <v>3563</v>
      </c>
      <c r="B3543" s="3"/>
      <c r="C3543" s="3"/>
      <c r="D3543" s="3"/>
      <c r="E3543" s="5" t="str">
        <f>HYPERLINK("https://dpmzos25m8ivg.cloudfront.net/Documentos/631/07293005440/6310729300544011092023151527.pdf","https://dpmzos25m8ivg.cloudfront.net/Documentos/631/07293005440/6310729300544011092023151527.pdf")</f>
        <v>https://dpmzos25m8ivg.cloudfront.net/Documentos/631/07293005440/6310729300544011092023151527.pdf</v>
      </c>
      <c r="F3543" s="5" t="str">
        <f>HYPERLINK("https://dpmzos25m8ivg.cloudfront.net/Documentos/631/07293005440/6310729300544011092023151539.pdf","https://dpmzos25m8ivg.cloudfront.net/Documentos/631/07293005440/6310729300544011092023151539.pdf")</f>
        <v>https://dpmzos25m8ivg.cloudfront.net/Documentos/631/07293005440/6310729300544011092023151539.pdf</v>
      </c>
      <c r="G3543" s="5" t="str">
        <f>HYPERLINK("https://dpmzos25m8ivg.cloudfront.net/Documentos/631/07293005440/6310729300544011092023151550.pdf","https://dpmzos25m8ivg.cloudfront.net/Documentos/631/07293005440/6310729300544011092023151550.pdf")</f>
        <v>https://dpmzos25m8ivg.cloudfront.net/Documentos/631/07293005440/6310729300544011092023151550.pdf</v>
      </c>
      <c r="H3543" s="5" t="s">
        <v>12121</v>
      </c>
    </row>
    <row r="3544" spans="1:8" x14ac:dyDescent="0.25">
      <c r="A3544" s="2" t="s">
        <v>3564</v>
      </c>
      <c r="B3544" s="3"/>
      <c r="C3544" s="3"/>
      <c r="D3544" s="3"/>
      <c r="E3544" s="5" t="str">
        <f>HYPERLINK("https://dpmzos25m8ivg.cloudfront.net/Documentos/631/07296089300/6310729608930008092023222011.jpg","https://dpmzos25m8ivg.cloudfront.net/Documentos/631/07296089300/6310729608930008092023222011.jpg")</f>
        <v>https://dpmzos25m8ivg.cloudfront.net/Documentos/631/07296089300/6310729608930008092023222011.jpg</v>
      </c>
      <c r="F3544" s="5" t="str">
        <f>HYPERLINK("https://dpmzos25m8ivg.cloudfront.net/Documentos/631/07296089300/6310729608930008092023222036.jpg","https://dpmzos25m8ivg.cloudfront.net/Documentos/631/07296089300/6310729608930008092023222036.jpg")</f>
        <v>https://dpmzos25m8ivg.cloudfront.net/Documentos/631/07296089300/6310729608930008092023222036.jpg</v>
      </c>
      <c r="G3544" s="5" t="str">
        <f>HYPERLINK("https://dpmzos25m8ivg.cloudfront.net/Documentos/631/07296089300/6310729608930008092023222118.jpg","https://dpmzos25m8ivg.cloudfront.net/Documentos/631/07296089300/6310729608930008092023222118.jpg")</f>
        <v>https://dpmzos25m8ivg.cloudfront.net/Documentos/631/07296089300/6310729608930008092023222118.jpg</v>
      </c>
      <c r="H3544" s="5" t="s">
        <v>12122</v>
      </c>
    </row>
    <row r="3545" spans="1:8" x14ac:dyDescent="0.25">
      <c r="A3545" s="2" t="s">
        <v>3565</v>
      </c>
      <c r="B3545" s="3"/>
      <c r="C3545" s="3"/>
      <c r="D3545" s="3"/>
      <c r="E3545" s="5" t="str">
        <f>HYPERLINK("https://dpmzos25m8ivg.cloudfront.net/Documentos/631/07296250364/6310729625036411092023154157.pdf","https://dpmzos25m8ivg.cloudfront.net/Documentos/631/07296250364/6310729625036411092023154157.pdf")</f>
        <v>https://dpmzos25m8ivg.cloudfront.net/Documentos/631/07296250364/6310729625036411092023154157.pdf</v>
      </c>
      <c r="F3545" s="5" t="str">
        <f>HYPERLINK("https://dpmzos25m8ivg.cloudfront.net/Documentos/631/07296250364/6310729625036411092023154211.pdf","https://dpmzos25m8ivg.cloudfront.net/Documentos/631/07296250364/6310729625036411092023154211.pdf")</f>
        <v>https://dpmzos25m8ivg.cloudfront.net/Documentos/631/07296250364/6310729625036411092023154211.pdf</v>
      </c>
      <c r="G3545" s="5" t="str">
        <f>HYPERLINK("https://dpmzos25m8ivg.cloudfront.net/Documentos/631/07296250364/6310729625036411092023154221.pdf","https://dpmzos25m8ivg.cloudfront.net/Documentos/631/07296250364/6310729625036411092023154221.pdf")</f>
        <v>https://dpmzos25m8ivg.cloudfront.net/Documentos/631/07296250364/6310729625036411092023154221.pdf</v>
      </c>
      <c r="H3545" s="5" t="s">
        <v>12123</v>
      </c>
    </row>
    <row r="3546" spans="1:8" x14ac:dyDescent="0.25">
      <c r="A3546" s="2" t="s">
        <v>3566</v>
      </c>
      <c r="B3546" s="3" t="s">
        <v>90</v>
      </c>
      <c r="C3546" s="3"/>
      <c r="D3546" s="3"/>
      <c r="E3546" s="5" t="str">
        <f>HYPERLINK("https://dpmzos25m8ivg.cloudfront.net/Documentos/631/07296544198/6310729654419805092023001714.pdf","https://dpmzos25m8ivg.cloudfront.net/Documentos/631/07296544198/6310729654419805092023001714.pdf")</f>
        <v>https://dpmzos25m8ivg.cloudfront.net/Documentos/631/07296544198/6310729654419805092023001714.pdf</v>
      </c>
      <c r="F3546" s="5" t="str">
        <f>HYPERLINK("https://dpmzos25m8ivg.cloudfront.net/Documentos/631/07296544198/6310729654419805092023001735.pdf","https://dpmzos25m8ivg.cloudfront.net/Documentos/631/07296544198/6310729654419805092023001735.pdf")</f>
        <v>https://dpmzos25m8ivg.cloudfront.net/Documentos/631/07296544198/6310729654419805092023001735.pdf</v>
      </c>
      <c r="G3546" s="5" t="str">
        <f>HYPERLINK("https://dpmzos25m8ivg.cloudfront.net/Documentos/631/07296544198/6310729654419805092023130117.pdf","https://dpmzos25m8ivg.cloudfront.net/Documentos/631/07296544198/6310729654419805092023130117.pdf")</f>
        <v>https://dpmzos25m8ivg.cloudfront.net/Documentos/631/07296544198/6310729654419805092023130117.pdf</v>
      </c>
      <c r="H3546" s="5" t="s">
        <v>12124</v>
      </c>
    </row>
    <row r="3547" spans="1:8" x14ac:dyDescent="0.25">
      <c r="A3547" s="2" t="s">
        <v>3567</v>
      </c>
      <c r="B3547" s="3"/>
      <c r="C3547" s="3"/>
      <c r="D3547" s="3"/>
      <c r="E3547" s="5" t="str">
        <f>HYPERLINK("https://dpmzos25m8ivg.cloudfront.net/Documentos/631/07296823402/6310729682340211092023162030.pdf","https://dpmzos25m8ivg.cloudfront.net/Documentos/631/07296823402/6310729682340211092023162030.pdf")</f>
        <v>https://dpmzos25m8ivg.cloudfront.net/Documentos/631/07296823402/6310729682340211092023162030.pdf</v>
      </c>
      <c r="F3547" s="5" t="str">
        <f>HYPERLINK("https://dpmzos25m8ivg.cloudfront.net/Documentos/631/07296823402/6310729682340211092023162059.pdf","https://dpmzos25m8ivg.cloudfront.net/Documentos/631/07296823402/6310729682340211092023162059.pdf")</f>
        <v>https://dpmzos25m8ivg.cloudfront.net/Documentos/631/07296823402/6310729682340211092023162059.pdf</v>
      </c>
      <c r="G3547" s="5" t="str">
        <f>HYPERLINK("https://dpmzos25m8ivg.cloudfront.net/Documentos/631/07296823402/6310729682340211092023162118.pdf","https://dpmzos25m8ivg.cloudfront.net/Documentos/631/07296823402/6310729682340211092023162118.pdf")</f>
        <v>https://dpmzos25m8ivg.cloudfront.net/Documentos/631/07296823402/6310729682340211092023162118.pdf</v>
      </c>
      <c r="H3547" s="5" t="s">
        <v>12125</v>
      </c>
    </row>
    <row r="3548" spans="1:8" x14ac:dyDescent="0.25">
      <c r="A3548" s="2" t="s">
        <v>3568</v>
      </c>
      <c r="B3548" s="3"/>
      <c r="C3548" s="3"/>
      <c r="D3548" s="3"/>
      <c r="E3548" s="5" t="str">
        <f>HYPERLINK("https://dpmzos25m8ivg.cloudfront.net/Documentos/631/07297217522/6310729721752205092023143524.pdf","https://dpmzos25m8ivg.cloudfront.net/Documentos/631/07297217522/6310729721752205092023143524.pdf")</f>
        <v>https://dpmzos25m8ivg.cloudfront.net/Documentos/631/07297217522/6310729721752205092023143524.pdf</v>
      </c>
      <c r="F3548" s="5" t="str">
        <f>HYPERLINK("https://dpmzos25m8ivg.cloudfront.net/Documentos/631/07297217522/6310729721752205092023143533.pdf","https://dpmzos25m8ivg.cloudfront.net/Documentos/631/07297217522/6310729721752205092023143533.pdf")</f>
        <v>https://dpmzos25m8ivg.cloudfront.net/Documentos/631/07297217522/6310729721752205092023143533.pdf</v>
      </c>
      <c r="G3548" s="5" t="str">
        <f>HYPERLINK("https://dpmzos25m8ivg.cloudfront.net/Documentos/631/07297217522/6310729721752205092023143540.pdf","https://dpmzos25m8ivg.cloudfront.net/Documentos/631/07297217522/6310729721752205092023143540.pdf")</f>
        <v>https://dpmzos25m8ivg.cloudfront.net/Documentos/631/07297217522/6310729721752205092023143540.pdf</v>
      </c>
      <c r="H3548" s="5" t="s">
        <v>12126</v>
      </c>
    </row>
    <row r="3549" spans="1:8" x14ac:dyDescent="0.25">
      <c r="A3549" s="2" t="s">
        <v>3569</v>
      </c>
      <c r="B3549" s="3"/>
      <c r="C3549" s="3"/>
      <c r="D3549" s="3"/>
      <c r="E3549" s="5" t="str">
        <f>HYPERLINK("https://dpmzos25m8ivg.cloudfront.net/Documentos/631/07298252569/6310729825256911092023161533.pdf","https://dpmzos25m8ivg.cloudfront.net/Documentos/631/07298252569/6310729825256911092023161533.pdf")</f>
        <v>https://dpmzos25m8ivg.cloudfront.net/Documentos/631/07298252569/6310729825256911092023161533.pdf</v>
      </c>
      <c r="F3549" s="5" t="str">
        <f>HYPERLINK("https://dpmzos25m8ivg.cloudfront.net/Documentos/631/07298252569/6310729825256911092023161519.pdf","https://dpmzos25m8ivg.cloudfront.net/Documentos/631/07298252569/6310729825256911092023161519.pdf")</f>
        <v>https://dpmzos25m8ivg.cloudfront.net/Documentos/631/07298252569/6310729825256911092023161519.pdf</v>
      </c>
      <c r="G3549" s="5" t="str">
        <f>HYPERLINK("https://dpmzos25m8ivg.cloudfront.net/Documentos/631/07298252569/6310729825256911092023161507.pdf","https://dpmzos25m8ivg.cloudfront.net/Documentos/631/07298252569/6310729825256911092023161507.pdf")</f>
        <v>https://dpmzos25m8ivg.cloudfront.net/Documentos/631/07298252569/6310729825256911092023161507.pdf</v>
      </c>
      <c r="H3549" s="5" t="s">
        <v>12127</v>
      </c>
    </row>
    <row r="3550" spans="1:8" x14ac:dyDescent="0.25">
      <c r="A3550" s="2" t="s">
        <v>3570</v>
      </c>
      <c r="B3550" s="3" t="s">
        <v>90</v>
      </c>
      <c r="C3550" s="3"/>
      <c r="D3550" s="3"/>
      <c r="E3550" s="5" t="str">
        <f>HYPERLINK("https://dpmzos25m8ivg.cloudfront.net/Documentos/631/07298434160/6310729843416011092023152931.pdf","https://dpmzos25m8ivg.cloudfront.net/Documentos/631/07298434160/6310729843416011092023152931.pdf")</f>
        <v>https://dpmzos25m8ivg.cloudfront.net/Documentos/631/07298434160/6310729843416011092023152931.pdf</v>
      </c>
      <c r="F3550" s="5" t="str">
        <f>HYPERLINK("https://dpmzos25m8ivg.cloudfront.net/Documentos/631/07298434160/6310729843416011092023152948.pdf","https://dpmzos25m8ivg.cloudfront.net/Documentos/631/07298434160/6310729843416011092023152948.pdf")</f>
        <v>https://dpmzos25m8ivg.cloudfront.net/Documentos/631/07298434160/6310729843416011092023152948.pdf</v>
      </c>
      <c r="G3550" s="5" t="str">
        <f>HYPERLINK("https://dpmzos25m8ivg.cloudfront.net/Documentos/631/07298434160/6310729843416011092023153008.pdf","https://dpmzos25m8ivg.cloudfront.net/Documentos/631/07298434160/6310729843416011092023153008.pdf")</f>
        <v>https://dpmzos25m8ivg.cloudfront.net/Documentos/631/07298434160/6310729843416011092023153008.pdf</v>
      </c>
      <c r="H3550" s="5" t="s">
        <v>12128</v>
      </c>
    </row>
    <row r="3551" spans="1:8" x14ac:dyDescent="0.25">
      <c r="A3551" s="2" t="s">
        <v>3571</v>
      </c>
      <c r="B3551" s="3"/>
      <c r="C3551" s="3"/>
      <c r="D3551" s="3"/>
      <c r="E3551" s="5" t="str">
        <f>HYPERLINK("https://dpmzos25m8ivg.cloudfront.net/Documentos/631/07298750160/6310729875016008092023200114.jpg","https://dpmzos25m8ivg.cloudfront.net/Documentos/631/07298750160/6310729875016008092023200114.jpg")</f>
        <v>https://dpmzos25m8ivg.cloudfront.net/Documentos/631/07298750160/6310729875016008092023200114.jpg</v>
      </c>
      <c r="F3551" s="5" t="str">
        <f>HYPERLINK("https://dpmzos25m8ivg.cloudfront.net/Documentos/631/07298750160/6310729875016008092023210009.jpg","https://dpmzos25m8ivg.cloudfront.net/Documentos/631/07298750160/6310729875016008092023210009.jpg")</f>
        <v>https://dpmzos25m8ivg.cloudfront.net/Documentos/631/07298750160/6310729875016008092023210009.jpg</v>
      </c>
      <c r="G3551" s="5" t="str">
        <f>HYPERLINK("https://dpmzos25m8ivg.cloudfront.net/Documentos/631/07298750160/6310729875016008092023210026.jpg","https://dpmzos25m8ivg.cloudfront.net/Documentos/631/07298750160/6310729875016008092023210026.jpg")</f>
        <v>https://dpmzos25m8ivg.cloudfront.net/Documentos/631/07298750160/6310729875016008092023210026.jpg</v>
      </c>
      <c r="H3551" s="5" t="s">
        <v>12129</v>
      </c>
    </row>
    <row r="3552" spans="1:8" x14ac:dyDescent="0.25">
      <c r="A3552" s="2" t="s">
        <v>3572</v>
      </c>
      <c r="B3552" s="3"/>
      <c r="C3552" s="3"/>
      <c r="D3552" s="3"/>
      <c r="E3552" s="5" t="str">
        <f>HYPERLINK("https://dpmzos25m8ivg.cloudfront.net/Documentos/631/07298884360/6310729888436011092023155407.pdf","https://dpmzos25m8ivg.cloudfront.net/Documentos/631/07298884360/6310729888436011092023155407.pdf")</f>
        <v>https://dpmzos25m8ivg.cloudfront.net/Documentos/631/07298884360/6310729888436011092023155407.pdf</v>
      </c>
      <c r="F3552" s="5" t="str">
        <f>HYPERLINK("https://dpmzos25m8ivg.cloudfront.net/Documentos/631/07298884360/6310729888436011092023155418.pdf","https://dpmzos25m8ivg.cloudfront.net/Documentos/631/07298884360/6310729888436011092023155418.pdf")</f>
        <v>https://dpmzos25m8ivg.cloudfront.net/Documentos/631/07298884360/6310729888436011092023155418.pdf</v>
      </c>
      <c r="G3552" s="5" t="str">
        <f>HYPERLINK("https://dpmzos25m8ivg.cloudfront.net/Documentos/631/07298884360/6310729888436011092023155425.pdf","https://dpmzos25m8ivg.cloudfront.net/Documentos/631/07298884360/6310729888436011092023155425.pdf")</f>
        <v>https://dpmzos25m8ivg.cloudfront.net/Documentos/631/07298884360/6310729888436011092023155425.pdf</v>
      </c>
      <c r="H3552" s="5" t="s">
        <v>12130</v>
      </c>
    </row>
    <row r="3553" spans="1:8" x14ac:dyDescent="0.25">
      <c r="A3553" s="2" t="s">
        <v>3573</v>
      </c>
      <c r="B3553" s="3"/>
      <c r="C3553" s="3"/>
      <c r="D3553" s="3"/>
      <c r="E3553" s="5" t="str">
        <f>HYPERLINK("https://dpmzos25m8ivg.cloudfront.net/Documentos/631/07299777576/6310729977757609092023085331.pdf","https://dpmzos25m8ivg.cloudfront.net/Documentos/631/07299777576/6310729977757609092023085331.pdf")</f>
        <v>https://dpmzos25m8ivg.cloudfront.net/Documentos/631/07299777576/6310729977757609092023085331.pdf</v>
      </c>
      <c r="F3553" s="5" t="str">
        <f>HYPERLINK("https://dpmzos25m8ivg.cloudfront.net/Documentos/631/07299777576/6310729977757609092023085713.pdf","https://dpmzos25m8ivg.cloudfront.net/Documentos/631/07299777576/6310729977757609092023085713.pdf")</f>
        <v>https://dpmzos25m8ivg.cloudfront.net/Documentos/631/07299777576/6310729977757609092023085713.pdf</v>
      </c>
      <c r="G3553" s="5" t="str">
        <f>HYPERLINK("https://dpmzos25m8ivg.cloudfront.net/Documentos/631/07299777576/6310729977757609092023085722.pdf","https://dpmzos25m8ivg.cloudfront.net/Documentos/631/07299777576/6310729977757609092023085722.pdf")</f>
        <v>https://dpmzos25m8ivg.cloudfront.net/Documentos/631/07299777576/6310729977757609092023085722.pdf</v>
      </c>
      <c r="H3553" s="5" t="s">
        <v>12131</v>
      </c>
    </row>
    <row r="3554" spans="1:8" x14ac:dyDescent="0.25">
      <c r="A3554" s="2" t="s">
        <v>3574</v>
      </c>
      <c r="B3554" s="3"/>
      <c r="C3554" s="3"/>
      <c r="D3554" s="3"/>
      <c r="E3554" s="5" t="str">
        <f>HYPERLINK("https://dpmzos25m8ivg.cloudfront.net/Documentos/631/07299997428/6310729999742811092023114034.pdf","https://dpmzos25m8ivg.cloudfront.net/Documentos/631/07299997428/6310729999742811092023114034.pdf")</f>
        <v>https://dpmzos25m8ivg.cloudfront.net/Documentos/631/07299997428/6310729999742811092023114034.pdf</v>
      </c>
      <c r="F3554" s="5" t="str">
        <f>HYPERLINK("https://dpmzos25m8ivg.cloudfront.net/Documentos/631/07299997428/6310729999742811092023114101.pdf","https://dpmzos25m8ivg.cloudfront.net/Documentos/631/07299997428/6310729999742811092023114101.pdf")</f>
        <v>https://dpmzos25m8ivg.cloudfront.net/Documentos/631/07299997428/6310729999742811092023114101.pdf</v>
      </c>
      <c r="G3554" s="5" t="str">
        <f>HYPERLINK("https://dpmzos25m8ivg.cloudfront.net/Documentos/631/07299997428/6310729999742811092023114128.pdf","https://dpmzos25m8ivg.cloudfront.net/Documentos/631/07299997428/6310729999742811092023114128.pdf")</f>
        <v>https://dpmzos25m8ivg.cloudfront.net/Documentos/631/07299997428/6310729999742811092023114128.pdf</v>
      </c>
      <c r="H3554" s="5" t="s">
        <v>12132</v>
      </c>
    </row>
    <row r="3555" spans="1:8" x14ac:dyDescent="0.25">
      <c r="A3555" s="2" t="s">
        <v>3575</v>
      </c>
      <c r="B3555" s="3"/>
      <c r="C3555" s="3"/>
      <c r="D3555" s="3"/>
      <c r="E3555" s="5" t="str">
        <f>HYPERLINK("https://dpmzos25m8ivg.cloudfront.net/Documentos/631/07300726909/6310730072690911092023145316.pdf","https://dpmzos25m8ivg.cloudfront.net/Documentos/631/07300726909/6310730072690911092023145316.pdf")</f>
        <v>https://dpmzos25m8ivg.cloudfront.net/Documentos/631/07300726909/6310730072690911092023145316.pdf</v>
      </c>
      <c r="F3555" s="5" t="str">
        <f>HYPERLINK("https://dpmzos25m8ivg.cloudfront.net/Documentos/631/07300726909/6310730072690911092023145322.pdf","https://dpmzos25m8ivg.cloudfront.net/Documentos/631/07300726909/6310730072690911092023145322.pdf")</f>
        <v>https://dpmzos25m8ivg.cloudfront.net/Documentos/631/07300726909/6310730072690911092023145322.pdf</v>
      </c>
      <c r="G3555" s="5" t="str">
        <f>HYPERLINK("https://dpmzos25m8ivg.cloudfront.net/Documentos/631/07300726909/6310730072690911092023145327.pdf","https://dpmzos25m8ivg.cloudfront.net/Documentos/631/07300726909/6310730072690911092023145327.pdf")</f>
        <v>https://dpmzos25m8ivg.cloudfront.net/Documentos/631/07300726909/6310730072690911092023145327.pdf</v>
      </c>
      <c r="H3555" s="5" t="s">
        <v>12133</v>
      </c>
    </row>
    <row r="3556" spans="1:8" x14ac:dyDescent="0.25">
      <c r="A3556" s="2" t="s">
        <v>3576</v>
      </c>
      <c r="B3556" s="3"/>
      <c r="C3556" s="3"/>
      <c r="D3556" s="3"/>
      <c r="E3556" s="5" t="str">
        <f>HYPERLINK("https://dpmzos25m8ivg.cloudfront.net/Documentos/631/07301501358/6310730150135811092023135022.pdf","https://dpmzos25m8ivg.cloudfront.net/Documentos/631/07301501358/6310730150135811092023135022.pdf")</f>
        <v>https://dpmzos25m8ivg.cloudfront.net/Documentos/631/07301501358/6310730150135811092023135022.pdf</v>
      </c>
      <c r="F3556" s="5" t="str">
        <f>HYPERLINK("https://dpmzos25m8ivg.cloudfront.net/Documentos/631/07301501358/6310730150135811092023135035.pdf","https://dpmzos25m8ivg.cloudfront.net/Documentos/631/07301501358/6310730150135811092023135035.pdf")</f>
        <v>https://dpmzos25m8ivg.cloudfront.net/Documentos/631/07301501358/6310730150135811092023135035.pdf</v>
      </c>
      <c r="G3556" s="5" t="str">
        <f>HYPERLINK("https://dpmzos25m8ivg.cloudfront.net/Documentos/631/07301501358/6310730150135811092023135049.pdf","https://dpmzos25m8ivg.cloudfront.net/Documentos/631/07301501358/6310730150135811092023135049.pdf")</f>
        <v>https://dpmzos25m8ivg.cloudfront.net/Documentos/631/07301501358/6310730150135811092023135049.pdf</v>
      </c>
      <c r="H3556" s="5" t="s">
        <v>12134</v>
      </c>
    </row>
    <row r="3557" spans="1:8" x14ac:dyDescent="0.25">
      <c r="A3557" s="10" t="s">
        <v>3577</v>
      </c>
      <c r="B3557" s="17"/>
      <c r="C3557" s="3"/>
      <c r="D3557" s="3"/>
      <c r="E3557" s="18" t="str">
        <f>HYPERLINK("https://dpmzos25m8ivg.cloudfront.net/Documentos/631/07304518448/6310730451844811092023113045.pdf","https://dpmzos25m8ivg.cloudfront.net/Documentos/631/07304518448/6310730451844811092023113045.pdf")</f>
        <v>https://dpmzos25m8ivg.cloudfront.net/Documentos/631/07304518448/6310730451844811092023113045.pdf</v>
      </c>
      <c r="F3557" s="18" t="str">
        <f>HYPERLINK("https://dpmzos25m8ivg.cloudfront.net/Documentos/631/07304518448/6310730451844811092023113057.pdf","https://dpmzos25m8ivg.cloudfront.net/Documentos/631/07304518448/6310730451844811092023113057.pdf")</f>
        <v>https://dpmzos25m8ivg.cloudfront.net/Documentos/631/07304518448/6310730451844811092023113057.pdf</v>
      </c>
      <c r="G3557" s="18" t="str">
        <f>HYPERLINK("https://dpmzos25m8ivg.cloudfront.net/Documentos/631/07304518448/6310730451844811092023113112.pdf","https://dpmzos25m8ivg.cloudfront.net/Documentos/631/07304518448/6310730451844811092023113112.pdf")</f>
        <v>https://dpmzos25m8ivg.cloudfront.net/Documentos/631/07304518448/6310730451844811092023113112.pdf</v>
      </c>
      <c r="H3557" s="18" t="s">
        <v>12135</v>
      </c>
    </row>
    <row r="3558" spans="1:8" x14ac:dyDescent="0.25">
      <c r="A3558" s="2" t="s">
        <v>3578</v>
      </c>
      <c r="B3558" s="3"/>
      <c r="C3558" s="3"/>
      <c r="D3558" s="3"/>
      <c r="E3558" s="5" t="str">
        <f>HYPERLINK("https://dpmzos25m8ivg.cloudfront.net/Documentos/631/07304926724/6310730492672411092023140602.pdf","https://dpmzos25m8ivg.cloudfront.net/Documentos/631/07304926724/6310730492672411092023140602.pdf")</f>
        <v>https://dpmzos25m8ivg.cloudfront.net/Documentos/631/07304926724/6310730492672411092023140602.pdf</v>
      </c>
      <c r="F3558" s="5" t="str">
        <f>HYPERLINK("https://dpmzos25m8ivg.cloudfront.net/Documentos/631/07304926724/6310730492672411092023140637.pdf","https://dpmzos25m8ivg.cloudfront.net/Documentos/631/07304926724/6310730492672411092023140637.pdf")</f>
        <v>https://dpmzos25m8ivg.cloudfront.net/Documentos/631/07304926724/6310730492672411092023140637.pdf</v>
      </c>
      <c r="G3558" s="5" t="str">
        <f>HYPERLINK("https://dpmzos25m8ivg.cloudfront.net/Documentos/631/07304926724/6310730492672411092023140700.pdf","https://dpmzos25m8ivg.cloudfront.net/Documentos/631/07304926724/6310730492672411092023140700.pdf")</f>
        <v>https://dpmzos25m8ivg.cloudfront.net/Documentos/631/07304926724/6310730492672411092023140700.pdf</v>
      </c>
      <c r="H3558" s="5" t="s">
        <v>12136</v>
      </c>
    </row>
    <row r="3559" spans="1:8" x14ac:dyDescent="0.25">
      <c r="A3559" s="2" t="s">
        <v>3579</v>
      </c>
      <c r="B3559" s="3" t="s">
        <v>90</v>
      </c>
      <c r="C3559" s="3"/>
      <c r="D3559" s="3"/>
      <c r="E3559" s="5" t="str">
        <f>HYPERLINK("https://dpmzos25m8ivg.cloudfront.net/Documentos/631/07305272558/6310730527255811092023145340.pdf","https://dpmzos25m8ivg.cloudfront.net/Documentos/631/07305272558/6310730527255811092023145340.pdf")</f>
        <v>https://dpmzos25m8ivg.cloudfront.net/Documentos/631/07305272558/6310730527255811092023145340.pdf</v>
      </c>
      <c r="F3559" s="5" t="str">
        <f>HYPERLINK("https://dpmzos25m8ivg.cloudfront.net/Documentos/631/07305272558/6310730527255811092023145406.pdf","https://dpmzos25m8ivg.cloudfront.net/Documentos/631/07305272558/6310730527255811092023145406.pdf")</f>
        <v>https://dpmzos25m8ivg.cloudfront.net/Documentos/631/07305272558/6310730527255811092023145406.pdf</v>
      </c>
      <c r="G3559" s="5" t="str">
        <f>HYPERLINK("https://dpmzos25m8ivg.cloudfront.net/Documentos/631/07305272558/6310730527255811092023145420.pdf","https://dpmzos25m8ivg.cloudfront.net/Documentos/631/07305272558/6310730527255811092023145420.pdf")</f>
        <v>https://dpmzos25m8ivg.cloudfront.net/Documentos/631/07305272558/6310730527255811092023145420.pdf</v>
      </c>
      <c r="H3559" s="5" t="s">
        <v>12137</v>
      </c>
    </row>
    <row r="3560" spans="1:8" x14ac:dyDescent="0.25">
      <c r="A3560" s="2" t="s">
        <v>3580</v>
      </c>
      <c r="B3560" s="3"/>
      <c r="C3560" s="3"/>
      <c r="D3560" s="3"/>
      <c r="E3560" s="5" t="str">
        <f>HYPERLINK("https://dpmzos25m8ivg.cloudfront.net/Documentos/631/07305568597/6310730556859709092023185946.pdf","https://dpmzos25m8ivg.cloudfront.net/Documentos/631/07305568597/6310730556859709092023185946.pdf")</f>
        <v>https://dpmzos25m8ivg.cloudfront.net/Documentos/631/07305568597/6310730556859709092023185946.pdf</v>
      </c>
      <c r="F3560" s="5" t="str">
        <f>HYPERLINK("https://dpmzos25m8ivg.cloudfront.net/Documentos/631/07305568597/6310730556859709092023190018.pdf","https://dpmzos25m8ivg.cloudfront.net/Documentos/631/07305568597/6310730556859709092023190018.pdf")</f>
        <v>https://dpmzos25m8ivg.cloudfront.net/Documentos/631/07305568597/6310730556859709092023190018.pdf</v>
      </c>
      <c r="G3560" s="5" t="str">
        <f>HYPERLINK("https://dpmzos25m8ivg.cloudfront.net/Documentos/631/07305568597/6310730556859709092023190029.pdf","https://dpmzos25m8ivg.cloudfront.net/Documentos/631/07305568597/6310730556859709092023190029.pdf")</f>
        <v>https://dpmzos25m8ivg.cloudfront.net/Documentos/631/07305568597/6310730556859709092023190029.pdf</v>
      </c>
      <c r="H3560" s="5" t="s">
        <v>12138</v>
      </c>
    </row>
    <row r="3561" spans="1:8" x14ac:dyDescent="0.25">
      <c r="A3561" s="2" t="s">
        <v>3581</v>
      </c>
      <c r="B3561" s="3" t="s">
        <v>3381</v>
      </c>
      <c r="C3561" s="3"/>
      <c r="D3561" s="3"/>
      <c r="E3561" s="5" t="str">
        <f>HYPERLINK("https://dpmzos25m8ivg.cloudfront.net/Documentos/631/07306511505/6310730651150509092023141101.pdf","https://dpmzos25m8ivg.cloudfront.net/Documentos/631/07306511505/6310730651150509092023141101.pdf")</f>
        <v>https://dpmzos25m8ivg.cloudfront.net/Documentos/631/07306511505/6310730651150509092023141101.pdf</v>
      </c>
      <c r="F3561" s="5" t="str">
        <f>HYPERLINK("https://dpmzos25m8ivg.cloudfront.net/Documentos/631/07306511505/6310730651150509092023141132.pdf","https://dpmzos25m8ivg.cloudfront.net/Documentos/631/07306511505/6310730651150509092023141132.pdf")</f>
        <v>https://dpmzos25m8ivg.cloudfront.net/Documentos/631/07306511505/6310730651150509092023141132.pdf</v>
      </c>
      <c r="G3561" s="5" t="str">
        <f>HYPERLINK("https://dpmzos25m8ivg.cloudfront.net/Documentos/631/07306511505/6310730651150509092023141157.pdf","https://dpmzos25m8ivg.cloudfront.net/Documentos/631/07306511505/6310730651150509092023141157.pdf")</f>
        <v>https://dpmzos25m8ivg.cloudfront.net/Documentos/631/07306511505/6310730651150509092023141157.pdf</v>
      </c>
      <c r="H3561" s="5" t="s">
        <v>12139</v>
      </c>
    </row>
    <row r="3562" spans="1:8" x14ac:dyDescent="0.25">
      <c r="A3562" s="2" t="s">
        <v>3582</v>
      </c>
      <c r="B3562" s="3"/>
      <c r="C3562" s="3"/>
      <c r="D3562" s="3"/>
      <c r="E3562" s="5" t="str">
        <f>HYPERLINK("https://dpmzos25m8ivg.cloudfront.net/Documentos/631/07308626580/6310730862658011092023144848.jpg","https://dpmzos25m8ivg.cloudfront.net/Documentos/631/07308626580/6310730862658011092023144848.jpg")</f>
        <v>https://dpmzos25m8ivg.cloudfront.net/Documentos/631/07308626580/6310730862658011092023144848.jpg</v>
      </c>
      <c r="F3562" s="5" t="str">
        <f>HYPERLINK("https://dpmzos25m8ivg.cloudfront.net/Documentos/631/07308626580/6310730862658011092023144859.jpg","https://dpmzos25m8ivg.cloudfront.net/Documentos/631/07308626580/6310730862658011092023144859.jpg")</f>
        <v>https://dpmzos25m8ivg.cloudfront.net/Documentos/631/07308626580/6310730862658011092023144859.jpg</v>
      </c>
      <c r="G3562" s="5" t="str">
        <f>HYPERLINK("https://dpmzos25m8ivg.cloudfront.net/Documentos/631/07308626580/6310730862658011092023144912.jpg","https://dpmzos25m8ivg.cloudfront.net/Documentos/631/07308626580/6310730862658011092023144912.jpg")</f>
        <v>https://dpmzos25m8ivg.cloudfront.net/Documentos/631/07308626580/6310730862658011092023144912.jpg</v>
      </c>
      <c r="H3562" s="5" t="s">
        <v>12140</v>
      </c>
    </row>
    <row r="3563" spans="1:8" x14ac:dyDescent="0.25">
      <c r="A3563" s="2" t="s">
        <v>3583</v>
      </c>
      <c r="B3563" s="3"/>
      <c r="C3563" s="3"/>
      <c r="D3563" s="3"/>
      <c r="E3563" s="5" t="str">
        <f>HYPERLINK("https://dpmzos25m8ivg.cloudfront.net/Documentos/631/07310551524/6310731055152407092023123605.pdf","https://dpmzos25m8ivg.cloudfront.net/Documentos/631/07310551524/6310731055152407092023123605.pdf")</f>
        <v>https://dpmzos25m8ivg.cloudfront.net/Documentos/631/07310551524/6310731055152407092023123605.pdf</v>
      </c>
      <c r="F3563" s="5" t="str">
        <f>HYPERLINK("https://dpmzos25m8ivg.cloudfront.net/Documentos/631/07310551524/6310731055152407092023123616.pdf","https://dpmzos25m8ivg.cloudfront.net/Documentos/631/07310551524/6310731055152407092023123616.pdf")</f>
        <v>https://dpmzos25m8ivg.cloudfront.net/Documentos/631/07310551524/6310731055152407092023123616.pdf</v>
      </c>
      <c r="G3563" s="5" t="str">
        <f>HYPERLINK("https://dpmzos25m8ivg.cloudfront.net/Documentos/631/07310551524/6310731055152407092023123627.pdf","https://dpmzos25m8ivg.cloudfront.net/Documentos/631/07310551524/6310731055152407092023123627.pdf")</f>
        <v>https://dpmzos25m8ivg.cloudfront.net/Documentos/631/07310551524/6310731055152407092023123627.pdf</v>
      </c>
      <c r="H3563" s="5" t="s">
        <v>12141</v>
      </c>
    </row>
    <row r="3564" spans="1:8" x14ac:dyDescent="0.25">
      <c r="A3564" s="14" t="s">
        <v>3584</v>
      </c>
      <c r="B3564" s="15"/>
      <c r="C3564" s="3"/>
      <c r="D3564" s="3"/>
      <c r="E3564" s="5" t="str">
        <f>HYPERLINK("https://dpmzos25m8ivg.cloudfront.net/Documentos/631/07311069971/6310731106997110092023115203.pdf","https://dpmzos25m8ivg.cloudfront.net/Documentos/631/07311069971/6310731106997110092023115203.pdf")</f>
        <v>https://dpmzos25m8ivg.cloudfront.net/Documentos/631/07311069971/6310731106997110092023115203.pdf</v>
      </c>
      <c r="F3564" s="5" t="str">
        <f>HYPERLINK("https://dpmzos25m8ivg.cloudfront.net/Documentos/631/07311069971/6310731106997110092023115212.pdf","https://dpmzos25m8ivg.cloudfront.net/Documentos/631/07311069971/6310731106997110092023115212.pdf")</f>
        <v>https://dpmzos25m8ivg.cloudfront.net/Documentos/631/07311069971/6310731106997110092023115212.pdf</v>
      </c>
      <c r="G3564" s="5" t="str">
        <f>HYPERLINK("https://dpmzos25m8ivg.cloudfront.net/Documentos/631/07311069971/6310731106997110092023115221.pdf","https://dpmzos25m8ivg.cloudfront.net/Documentos/631/07311069971/6310731106997110092023115221.pdf")</f>
        <v>https://dpmzos25m8ivg.cloudfront.net/Documentos/631/07311069971/6310731106997110092023115221.pdf</v>
      </c>
      <c r="H3564" s="9" t="s">
        <v>12142</v>
      </c>
    </row>
    <row r="3565" spans="1:8" x14ac:dyDescent="0.25">
      <c r="A3565" s="2" t="s">
        <v>3585</v>
      </c>
      <c r="B3565" s="3"/>
      <c r="C3565" s="3"/>
      <c r="D3565" s="3"/>
      <c r="E3565" s="5" t="str">
        <f>HYPERLINK("https://dpmzos25m8ivg.cloudfront.net/Documentos/631/07311631335/6310731163133511092023114138.pdf","https://dpmzos25m8ivg.cloudfront.net/Documentos/631/07311631335/6310731163133511092023114138.pdf")</f>
        <v>https://dpmzos25m8ivg.cloudfront.net/Documentos/631/07311631335/6310731163133511092023114138.pdf</v>
      </c>
      <c r="F3565" s="5" t="str">
        <f>HYPERLINK("https://dpmzos25m8ivg.cloudfront.net/Documentos/631/07311631335/6310731163133511092023114301.pdf","https://dpmzos25m8ivg.cloudfront.net/Documentos/631/07311631335/6310731163133511092023114301.pdf")</f>
        <v>https://dpmzos25m8ivg.cloudfront.net/Documentos/631/07311631335/6310731163133511092023114301.pdf</v>
      </c>
      <c r="G3565" s="5" t="str">
        <f>HYPERLINK("https://dpmzos25m8ivg.cloudfront.net/Documentos/631/07311631335/6310731163133511092023115742.pdf","https://dpmzos25m8ivg.cloudfront.net/Documentos/631/07311631335/6310731163133511092023115742.pdf")</f>
        <v>https://dpmzos25m8ivg.cloudfront.net/Documentos/631/07311631335/6310731163133511092023115742.pdf</v>
      </c>
      <c r="H3565" s="5" t="s">
        <v>12143</v>
      </c>
    </row>
    <row r="3566" spans="1:8" x14ac:dyDescent="0.25">
      <c r="A3566" s="2" t="s">
        <v>3586</v>
      </c>
      <c r="B3566" s="3"/>
      <c r="C3566" s="3"/>
      <c r="D3566" s="3"/>
      <c r="E3566" s="5" t="str">
        <f>HYPERLINK("https://dpmzos25m8ivg.cloudfront.net/Documentos/631/07312665446/6310731266544611092023144657.pdf","https://dpmzos25m8ivg.cloudfront.net/Documentos/631/07312665446/6310731266544611092023144657.pdf")</f>
        <v>https://dpmzos25m8ivg.cloudfront.net/Documentos/631/07312665446/6310731266544611092023144657.pdf</v>
      </c>
      <c r="F3566" s="5" t="str">
        <f>HYPERLINK("https://dpmzos25m8ivg.cloudfront.net/Documentos/631/07312665446/6310731266544611092023144735.pdf","https://dpmzos25m8ivg.cloudfront.net/Documentos/631/07312665446/6310731266544611092023144735.pdf")</f>
        <v>https://dpmzos25m8ivg.cloudfront.net/Documentos/631/07312665446/6310731266544611092023144735.pdf</v>
      </c>
      <c r="G3566" s="5" t="str">
        <f>HYPERLINK("https://dpmzos25m8ivg.cloudfront.net/Documentos/631/07312665446/6310731266544611092023144748.pdf","https://dpmzos25m8ivg.cloudfront.net/Documentos/631/07312665446/6310731266544611092023144748.pdf")</f>
        <v>https://dpmzos25m8ivg.cloudfront.net/Documentos/631/07312665446/6310731266544611092023144748.pdf</v>
      </c>
      <c r="H3566" s="5" t="s">
        <v>12144</v>
      </c>
    </row>
    <row r="3567" spans="1:8" x14ac:dyDescent="0.25">
      <c r="A3567" s="2" t="s">
        <v>3587</v>
      </c>
      <c r="B3567" s="3"/>
      <c r="C3567" s="3"/>
      <c r="D3567" s="3"/>
      <c r="E3567" s="5" t="str">
        <f>HYPERLINK("https://dpmzos25m8ivg.cloudfront.net/Documentos/631/07314041300/6310731404130011092023153026.pdf","https://dpmzos25m8ivg.cloudfront.net/Documentos/631/07314041300/6310731404130011092023153026.pdf")</f>
        <v>https://dpmzos25m8ivg.cloudfront.net/Documentos/631/07314041300/6310731404130011092023153026.pdf</v>
      </c>
      <c r="F3567" s="5" t="str">
        <f>HYPERLINK("https://dpmzos25m8ivg.cloudfront.net/Documentos/631/07314041300/6310731404130011092023153040.pdf","https://dpmzos25m8ivg.cloudfront.net/Documentos/631/07314041300/6310731404130011092023153040.pdf")</f>
        <v>https://dpmzos25m8ivg.cloudfront.net/Documentos/631/07314041300/6310731404130011092023153040.pdf</v>
      </c>
      <c r="G3567" s="5" t="str">
        <f>HYPERLINK("https://dpmzos25m8ivg.cloudfront.net/Documentos/631/07314041300/6310731404130011092023153050.pdf","https://dpmzos25m8ivg.cloudfront.net/Documentos/631/07314041300/6310731404130011092023153050.pdf")</f>
        <v>https://dpmzos25m8ivg.cloudfront.net/Documentos/631/07314041300/6310731404130011092023153050.pdf</v>
      </c>
      <c r="H3567" s="5" t="s">
        <v>12145</v>
      </c>
    </row>
    <row r="3568" spans="1:8" x14ac:dyDescent="0.25">
      <c r="A3568" s="2" t="s">
        <v>3588</v>
      </c>
      <c r="B3568" s="3"/>
      <c r="C3568" s="3"/>
      <c r="D3568" s="3"/>
      <c r="E3568" s="5" t="str">
        <f>HYPERLINK("https://dpmzos25m8ivg.cloudfront.net/Documentos/631/07314413703/6310731441370307092023175112.pdf","https://dpmzos25m8ivg.cloudfront.net/Documentos/631/07314413703/6310731441370307092023175112.pdf")</f>
        <v>https://dpmzos25m8ivg.cloudfront.net/Documentos/631/07314413703/6310731441370307092023175112.pdf</v>
      </c>
      <c r="F3568" s="5" t="str">
        <f>HYPERLINK("https://dpmzos25m8ivg.cloudfront.net/Documentos/631/07314413703/6310731441370307092023175131.pdf","https://dpmzos25m8ivg.cloudfront.net/Documentos/631/07314413703/6310731441370307092023175131.pdf")</f>
        <v>https://dpmzos25m8ivg.cloudfront.net/Documentos/631/07314413703/6310731441370307092023175131.pdf</v>
      </c>
      <c r="G3568" s="5" t="str">
        <f>HYPERLINK("https://dpmzos25m8ivg.cloudfront.net/Documentos/631/07314413703/6310731441370307092023175151.pdf","https://dpmzos25m8ivg.cloudfront.net/Documentos/631/07314413703/6310731441370307092023175151.pdf")</f>
        <v>https://dpmzos25m8ivg.cloudfront.net/Documentos/631/07314413703/6310731441370307092023175151.pdf</v>
      </c>
      <c r="H3568" s="5" t="s">
        <v>12146</v>
      </c>
    </row>
    <row r="3569" spans="1:8" x14ac:dyDescent="0.25">
      <c r="A3569" s="2" t="s">
        <v>3589</v>
      </c>
      <c r="B3569" s="3"/>
      <c r="C3569" s="3"/>
      <c r="D3569" s="3"/>
      <c r="E3569" s="5" t="str">
        <f>HYPERLINK("https://dpmzos25m8ivg.cloudfront.net/Documentos/631/07315504559/6310731550455906092023141046.pdf","https://dpmzos25m8ivg.cloudfront.net/Documentos/631/07315504559/6310731550455906092023141046.pdf")</f>
        <v>https://dpmzos25m8ivg.cloudfront.net/Documentos/631/07315504559/6310731550455906092023141046.pdf</v>
      </c>
      <c r="F3569" s="5" t="str">
        <f>HYPERLINK("https://dpmzos25m8ivg.cloudfront.net/Documentos/631/07315504559/6310731550455906092023141108.pdf","https://dpmzos25m8ivg.cloudfront.net/Documentos/631/07315504559/6310731550455906092023141108.pdf")</f>
        <v>https://dpmzos25m8ivg.cloudfront.net/Documentos/631/07315504559/6310731550455906092023141108.pdf</v>
      </c>
      <c r="G3569" s="5" t="str">
        <f>HYPERLINK("https://dpmzos25m8ivg.cloudfront.net/Documentos/631/07315504559/6310731550455906092023141143.pdf","https://dpmzos25m8ivg.cloudfront.net/Documentos/631/07315504559/6310731550455906092023141143.pdf")</f>
        <v>https://dpmzos25m8ivg.cloudfront.net/Documentos/631/07315504559/6310731550455906092023141143.pdf</v>
      </c>
      <c r="H3569" s="5" t="s">
        <v>12147</v>
      </c>
    </row>
    <row r="3570" spans="1:8" x14ac:dyDescent="0.25">
      <c r="A3570" s="2" t="s">
        <v>3590</v>
      </c>
      <c r="B3570" s="3"/>
      <c r="C3570" s="3"/>
      <c r="D3570" s="3"/>
      <c r="E3570" s="5" t="str">
        <f>HYPERLINK("https://dpmzos25m8ivg.cloudfront.net/Documentos/631/07317287342/6310731728734208092023133345.pdf","https://dpmzos25m8ivg.cloudfront.net/Documentos/631/07317287342/6310731728734208092023133345.pdf")</f>
        <v>https://dpmzos25m8ivg.cloudfront.net/Documentos/631/07317287342/6310731728734208092023133345.pdf</v>
      </c>
      <c r="F3570" s="5" t="str">
        <f>HYPERLINK("https://dpmzos25m8ivg.cloudfront.net/Documentos/631/07317287342/6310731728734208092023133415.pdf","https://dpmzos25m8ivg.cloudfront.net/Documentos/631/07317287342/6310731728734208092023133415.pdf")</f>
        <v>https://dpmzos25m8ivg.cloudfront.net/Documentos/631/07317287342/6310731728734208092023133415.pdf</v>
      </c>
      <c r="G3570" s="5" t="str">
        <f>HYPERLINK("https://dpmzos25m8ivg.cloudfront.net/Documentos/631/07317287342/6310731728734208092023133431.pdf","https://dpmzos25m8ivg.cloudfront.net/Documentos/631/07317287342/6310731728734208092023133431.pdf")</f>
        <v>https://dpmzos25m8ivg.cloudfront.net/Documentos/631/07317287342/6310731728734208092023133431.pdf</v>
      </c>
      <c r="H3570" s="5" t="s">
        <v>12148</v>
      </c>
    </row>
    <row r="3571" spans="1:8" x14ac:dyDescent="0.25">
      <c r="A3571" s="2" t="s">
        <v>3591</v>
      </c>
      <c r="B3571" s="3" t="s">
        <v>42</v>
      </c>
      <c r="C3571" s="3"/>
      <c r="D3571" s="3"/>
      <c r="E3571" s="5" t="str">
        <f>HYPERLINK("https://dpmzos25m8ivg.cloudfront.net/Documentos/631/07318070304/6310731807030411092023125400.jpeg","https://dpmzos25m8ivg.cloudfront.net/Documentos/631/07318070304/6310731807030411092023125400.jpeg")</f>
        <v>https://dpmzos25m8ivg.cloudfront.net/Documentos/631/07318070304/6310731807030411092023125400.jpeg</v>
      </c>
      <c r="F3571" s="5" t="str">
        <f>HYPERLINK("https://dpmzos25m8ivg.cloudfront.net/Documentos/631/07318070304/6310731807030411092023125613.jpeg","https://dpmzos25m8ivg.cloudfront.net/Documentos/631/07318070304/6310731807030411092023125613.jpeg")</f>
        <v>https://dpmzos25m8ivg.cloudfront.net/Documentos/631/07318070304/6310731807030411092023125613.jpeg</v>
      </c>
      <c r="G3571" s="5" t="str">
        <f>HYPERLINK("https://dpmzos25m8ivg.cloudfront.net/Documentos/631/07318070304/6310731807030411092023125630.jpeg","https://dpmzos25m8ivg.cloudfront.net/Documentos/631/07318070304/6310731807030411092023125630.jpeg")</f>
        <v>https://dpmzos25m8ivg.cloudfront.net/Documentos/631/07318070304/6310731807030411092023125630.jpeg</v>
      </c>
      <c r="H3571" s="5" t="s">
        <v>12149</v>
      </c>
    </row>
    <row r="3572" spans="1:8" x14ac:dyDescent="0.25">
      <c r="A3572" s="2" t="s">
        <v>3592</v>
      </c>
      <c r="B3572" s="3"/>
      <c r="C3572" s="3"/>
      <c r="D3572" s="3"/>
      <c r="E3572" s="5" t="str">
        <f>HYPERLINK("https://dpmzos25m8ivg.cloudfront.net/Documentos/631/07318123106/6310731812310611092023142642.pdf","https://dpmzos25m8ivg.cloudfront.net/Documentos/631/07318123106/6310731812310611092023142642.pdf")</f>
        <v>https://dpmzos25m8ivg.cloudfront.net/Documentos/631/07318123106/6310731812310611092023142642.pdf</v>
      </c>
      <c r="F3572" s="5" t="str">
        <f>HYPERLINK("https://dpmzos25m8ivg.cloudfront.net/Documentos/631/07318123106/6310731812310611092023142705.pdf","https://dpmzos25m8ivg.cloudfront.net/Documentos/631/07318123106/6310731812310611092023142705.pdf")</f>
        <v>https://dpmzos25m8ivg.cloudfront.net/Documentos/631/07318123106/6310731812310611092023142705.pdf</v>
      </c>
      <c r="G3572" s="5" t="str">
        <f>HYPERLINK("https://dpmzos25m8ivg.cloudfront.net/Documentos/631/07318123106/6310731812310611092023142718.pdf","https://dpmzos25m8ivg.cloudfront.net/Documentos/631/07318123106/6310731812310611092023142718.pdf")</f>
        <v>https://dpmzos25m8ivg.cloudfront.net/Documentos/631/07318123106/6310731812310611092023142718.pdf</v>
      </c>
      <c r="H3572" s="5" t="s">
        <v>12150</v>
      </c>
    </row>
    <row r="3573" spans="1:8" x14ac:dyDescent="0.25">
      <c r="A3573" s="2" t="s">
        <v>3593</v>
      </c>
      <c r="B3573" s="3"/>
      <c r="C3573" s="3"/>
      <c r="D3573" s="3"/>
      <c r="E3573" s="5" t="str">
        <f>HYPERLINK("https://dpmzos25m8ivg.cloudfront.net/Documentos/631/07319151510/6310731915151009092023154232.pdf","https://dpmzos25m8ivg.cloudfront.net/Documentos/631/07319151510/6310731915151009092023154232.pdf")</f>
        <v>https://dpmzos25m8ivg.cloudfront.net/Documentos/631/07319151510/6310731915151009092023154232.pdf</v>
      </c>
      <c r="F3573" s="5" t="str">
        <f>HYPERLINK("https://dpmzos25m8ivg.cloudfront.net/Documentos/631/07319151510/6310731915151009092023154256.pdf","https://dpmzos25m8ivg.cloudfront.net/Documentos/631/07319151510/6310731915151009092023154256.pdf")</f>
        <v>https://dpmzos25m8ivg.cloudfront.net/Documentos/631/07319151510/6310731915151009092023154256.pdf</v>
      </c>
      <c r="G3573" s="5" t="str">
        <f>HYPERLINK("https://dpmzos25m8ivg.cloudfront.net/Documentos/631/07319151510/6310731915151009092023154314.pdf","https://dpmzos25m8ivg.cloudfront.net/Documentos/631/07319151510/6310731915151009092023154314.pdf")</f>
        <v>https://dpmzos25m8ivg.cloudfront.net/Documentos/631/07319151510/6310731915151009092023154314.pdf</v>
      </c>
      <c r="H3573" s="5" t="s">
        <v>12151</v>
      </c>
    </row>
    <row r="3574" spans="1:8" x14ac:dyDescent="0.25">
      <c r="A3574" s="2" t="s">
        <v>3594</v>
      </c>
      <c r="B3574" s="3"/>
      <c r="C3574" s="3"/>
      <c r="D3574" s="3"/>
      <c r="E3574" s="5" t="str">
        <f>HYPERLINK("https://dpmzos25m8ivg.cloudfront.net/Documentos/631/07320653729/6310732065372911092023115055.pdf","https://dpmzos25m8ivg.cloudfront.net/Documentos/631/07320653729/6310732065372911092023115055.pdf")</f>
        <v>https://dpmzos25m8ivg.cloudfront.net/Documentos/631/07320653729/6310732065372911092023115055.pdf</v>
      </c>
      <c r="F3574" s="5" t="str">
        <f>HYPERLINK("https://dpmzos25m8ivg.cloudfront.net/Documentos/631/07320653729/6310732065372911092023115410.pdf","https://dpmzos25m8ivg.cloudfront.net/Documentos/631/07320653729/6310732065372911092023115410.pdf")</f>
        <v>https://dpmzos25m8ivg.cloudfront.net/Documentos/631/07320653729/6310732065372911092023115410.pdf</v>
      </c>
      <c r="G3574" s="5" t="str">
        <f>HYPERLINK("https://dpmzos25m8ivg.cloudfront.net/Documentos/631/07320653729/6310732065372911092023121003.pdf","https://dpmzos25m8ivg.cloudfront.net/Documentos/631/07320653729/6310732065372911092023121003.pdf")</f>
        <v>https://dpmzos25m8ivg.cloudfront.net/Documentos/631/07320653729/6310732065372911092023121003.pdf</v>
      </c>
      <c r="H3574" s="5" t="s">
        <v>12152</v>
      </c>
    </row>
    <row r="3575" spans="1:8" x14ac:dyDescent="0.25">
      <c r="A3575" s="2" t="s">
        <v>3595</v>
      </c>
      <c r="B3575" s="3"/>
      <c r="C3575" s="3"/>
      <c r="D3575" s="3"/>
      <c r="E3575" s="5" t="str">
        <f>HYPERLINK("https://dpmzos25m8ivg.cloudfront.net/Documentos/631/07323686423/6310732368642311092023144342.jpg","https://dpmzos25m8ivg.cloudfront.net/Documentos/631/07323686423/6310732368642311092023144342.jpg")</f>
        <v>https://dpmzos25m8ivg.cloudfront.net/Documentos/631/07323686423/6310732368642311092023144342.jpg</v>
      </c>
      <c r="F3575" s="5" t="str">
        <f>HYPERLINK("https://dpmzos25m8ivg.cloudfront.net/Documentos/631/07323686423/6310732368642311092023144359.jpg","https://dpmzos25m8ivg.cloudfront.net/Documentos/631/07323686423/6310732368642311092023144359.jpg")</f>
        <v>https://dpmzos25m8ivg.cloudfront.net/Documentos/631/07323686423/6310732368642311092023144359.jpg</v>
      </c>
      <c r="G3575" s="5" t="str">
        <f>HYPERLINK("https://dpmzos25m8ivg.cloudfront.net/Documentos/631/07323686423/6310732368642311092023144413.jpg","https://dpmzos25m8ivg.cloudfront.net/Documentos/631/07323686423/6310732368642311092023144413.jpg")</f>
        <v>https://dpmzos25m8ivg.cloudfront.net/Documentos/631/07323686423/6310732368642311092023144413.jpg</v>
      </c>
      <c r="H3575" s="5" t="s">
        <v>12153</v>
      </c>
    </row>
    <row r="3576" spans="1:8" x14ac:dyDescent="0.25">
      <c r="A3576" s="2" t="s">
        <v>3596</v>
      </c>
      <c r="B3576" s="3"/>
      <c r="C3576" s="3"/>
      <c r="D3576" s="3"/>
      <c r="E3576" s="5" t="str">
        <f>HYPERLINK("https://dpmzos25m8ivg.cloudfront.net/Documentos/631/07324228330/6310732422833011092023100831.pdf","https://dpmzos25m8ivg.cloudfront.net/Documentos/631/07324228330/6310732422833011092023100831.pdf")</f>
        <v>https://dpmzos25m8ivg.cloudfront.net/Documentos/631/07324228330/6310732422833011092023100831.pdf</v>
      </c>
      <c r="F3576" s="5" t="str">
        <f>HYPERLINK("https://dpmzos25m8ivg.cloudfront.net/Documentos/631/07324228330/6310732422833011092023100848.pdf","https://dpmzos25m8ivg.cloudfront.net/Documentos/631/07324228330/6310732422833011092023100848.pdf")</f>
        <v>https://dpmzos25m8ivg.cloudfront.net/Documentos/631/07324228330/6310732422833011092023100848.pdf</v>
      </c>
      <c r="G3576" s="5" t="str">
        <f>HYPERLINK("https://dpmzos25m8ivg.cloudfront.net/Documentos/631/07324228330/6310732422833011092023100906.pdf","https://dpmzos25m8ivg.cloudfront.net/Documentos/631/07324228330/6310732422833011092023100906.pdf")</f>
        <v>https://dpmzos25m8ivg.cloudfront.net/Documentos/631/07324228330/6310732422833011092023100906.pdf</v>
      </c>
      <c r="H3576" s="5" t="s">
        <v>12154</v>
      </c>
    </row>
    <row r="3577" spans="1:8" x14ac:dyDescent="0.25">
      <c r="A3577" s="2" t="s">
        <v>3597</v>
      </c>
      <c r="B3577" s="3"/>
      <c r="C3577" s="3"/>
      <c r="D3577" s="3"/>
      <c r="E3577" s="5" t="str">
        <f>HYPERLINK("https://dpmzos25m8ivg.cloudfront.net/Documentos/631/07326615446/6310732661544611092023000303.pdf","https://dpmzos25m8ivg.cloudfront.net/Documentos/631/07326615446/6310732661544611092023000303.pdf")</f>
        <v>https://dpmzos25m8ivg.cloudfront.net/Documentos/631/07326615446/6310732661544611092023000303.pdf</v>
      </c>
      <c r="F3577" s="5" t="str">
        <f>HYPERLINK("https://dpmzos25m8ivg.cloudfront.net/Documentos/631/07326615446/6310732661544611092023000313.pdf","https://dpmzos25m8ivg.cloudfront.net/Documentos/631/07326615446/6310732661544611092023000313.pdf")</f>
        <v>https://dpmzos25m8ivg.cloudfront.net/Documentos/631/07326615446/6310732661544611092023000313.pdf</v>
      </c>
      <c r="G3577" s="5" t="str">
        <f>HYPERLINK("https://dpmzos25m8ivg.cloudfront.net/Documentos/631/07326615446/6310732661544611092023000322.pdf","https://dpmzos25m8ivg.cloudfront.net/Documentos/631/07326615446/6310732661544611092023000322.pdf")</f>
        <v>https://dpmzos25m8ivg.cloudfront.net/Documentos/631/07326615446/6310732661544611092023000322.pdf</v>
      </c>
      <c r="H3577" s="5" t="s">
        <v>12155</v>
      </c>
    </row>
    <row r="3578" spans="1:8" x14ac:dyDescent="0.25">
      <c r="A3578" s="2" t="s">
        <v>3598</v>
      </c>
      <c r="B3578" s="3"/>
      <c r="C3578" s="3"/>
      <c r="D3578" s="3"/>
      <c r="E3578" s="5" t="str">
        <f>HYPERLINK("https://dpmzos25m8ivg.cloudfront.net/Documentos/631/07332172496/6310733217249606092023114206.jpg","https://dpmzos25m8ivg.cloudfront.net/Documentos/631/07332172496/6310733217249606092023114206.jpg")</f>
        <v>https://dpmzos25m8ivg.cloudfront.net/Documentos/631/07332172496/6310733217249606092023114206.jpg</v>
      </c>
      <c r="F3578" s="5" t="str">
        <f>HYPERLINK("https://dpmzos25m8ivg.cloudfront.net/Documentos/631/07332172496/6310733217249606092023114337.jpg","https://dpmzos25m8ivg.cloudfront.net/Documentos/631/07332172496/6310733217249606092023114337.jpg")</f>
        <v>https://dpmzos25m8ivg.cloudfront.net/Documentos/631/07332172496/6310733217249606092023114337.jpg</v>
      </c>
      <c r="G3578" s="5" t="str">
        <f>HYPERLINK("https://dpmzos25m8ivg.cloudfront.net/Documentos/631/07332172496/6310733217249606092023114357.jpg","https://dpmzos25m8ivg.cloudfront.net/Documentos/631/07332172496/6310733217249606092023114357.jpg")</f>
        <v>https://dpmzos25m8ivg.cloudfront.net/Documentos/631/07332172496/6310733217249606092023114357.jpg</v>
      </c>
      <c r="H3578" s="5" t="s">
        <v>12156</v>
      </c>
    </row>
    <row r="3579" spans="1:8" x14ac:dyDescent="0.25">
      <c r="A3579" s="2" t="s">
        <v>3599</v>
      </c>
      <c r="B3579" s="3"/>
      <c r="C3579" s="3"/>
      <c r="D3579" s="3"/>
      <c r="E3579" s="5" t="str">
        <f>HYPERLINK("https://dpmzos25m8ivg.cloudfront.net/Documentos/631/07333515303/6310733351530311092023164759.jpeg","https://dpmzos25m8ivg.cloudfront.net/Documentos/631/07333515303/6310733351530311092023164759.jpeg")</f>
        <v>https://dpmzos25m8ivg.cloudfront.net/Documentos/631/07333515303/6310733351530311092023164759.jpeg</v>
      </c>
      <c r="F3579" s="5" t="str">
        <f>HYPERLINK("https://dpmzos25m8ivg.cloudfront.net/Documentos/631/07333515303/6310733351530311092023164804.jpeg","https://dpmzos25m8ivg.cloudfront.net/Documentos/631/07333515303/6310733351530311092023164804.jpeg")</f>
        <v>https://dpmzos25m8ivg.cloudfront.net/Documentos/631/07333515303/6310733351530311092023164804.jpeg</v>
      </c>
      <c r="G3579" s="5" t="str">
        <f>HYPERLINK("https://dpmzos25m8ivg.cloudfront.net/Documentos/631/07333515303/6310733351530311092023164810.jpeg","https://dpmzos25m8ivg.cloudfront.net/Documentos/631/07333515303/6310733351530311092023164810.jpeg")</f>
        <v>https://dpmzos25m8ivg.cloudfront.net/Documentos/631/07333515303/6310733351530311092023164810.jpeg</v>
      </c>
      <c r="H3579" s="5" t="s">
        <v>12157</v>
      </c>
    </row>
    <row r="3580" spans="1:8" x14ac:dyDescent="0.25">
      <c r="A3580" s="2" t="s">
        <v>3600</v>
      </c>
      <c r="B3580" s="3"/>
      <c r="C3580" s="3"/>
      <c r="D3580" s="3"/>
      <c r="E3580" s="5" t="str">
        <f>HYPERLINK("https://dpmzos25m8ivg.cloudfront.net/Documentos/631/07335050316/6310733505031610092023125013.pdf","https://dpmzos25m8ivg.cloudfront.net/Documentos/631/07335050316/6310733505031610092023125013.pdf")</f>
        <v>https://dpmzos25m8ivg.cloudfront.net/Documentos/631/07335050316/6310733505031610092023125013.pdf</v>
      </c>
      <c r="F3580" s="5" t="str">
        <f>HYPERLINK("https://dpmzos25m8ivg.cloudfront.net/Documentos/631/07335050316/6310733505031610092023125028.pdf","https://dpmzos25m8ivg.cloudfront.net/Documentos/631/07335050316/6310733505031610092023125028.pdf")</f>
        <v>https://dpmzos25m8ivg.cloudfront.net/Documentos/631/07335050316/6310733505031610092023125028.pdf</v>
      </c>
      <c r="G3580" s="5" t="str">
        <f>HYPERLINK("https://dpmzos25m8ivg.cloudfront.net/Documentos/631/07335050316/6310733505031610092023125042.pdf","https://dpmzos25m8ivg.cloudfront.net/Documentos/631/07335050316/6310733505031610092023125042.pdf")</f>
        <v>https://dpmzos25m8ivg.cloudfront.net/Documentos/631/07335050316/6310733505031610092023125042.pdf</v>
      </c>
      <c r="H3580" s="5" t="s">
        <v>12158</v>
      </c>
    </row>
    <row r="3581" spans="1:8" x14ac:dyDescent="0.25">
      <c r="A3581" s="2" t="s">
        <v>3601</v>
      </c>
      <c r="B3581" s="3"/>
      <c r="C3581" s="3"/>
      <c r="D3581" s="3"/>
      <c r="E3581" s="5" t="str">
        <f>HYPERLINK("https://dpmzos25m8ivg.cloudfront.net/Documentos/631/07336045529/6310733604552911092023142301.pdf","https://dpmzos25m8ivg.cloudfront.net/Documentos/631/07336045529/6310733604552911092023142301.pdf")</f>
        <v>https://dpmzos25m8ivg.cloudfront.net/Documentos/631/07336045529/6310733604552911092023142301.pdf</v>
      </c>
      <c r="F3581" s="5" t="str">
        <f>HYPERLINK("https://dpmzos25m8ivg.cloudfront.net/Documentos/631/07336045529/6310733604552911092023142311.pdf","https://dpmzos25m8ivg.cloudfront.net/Documentos/631/07336045529/6310733604552911092023142311.pdf")</f>
        <v>https://dpmzos25m8ivg.cloudfront.net/Documentos/631/07336045529/6310733604552911092023142311.pdf</v>
      </c>
      <c r="G3581" s="5" t="str">
        <f>HYPERLINK("https://dpmzos25m8ivg.cloudfront.net/Documentos/631/07336045529/6310733604552911092023142326.pdf","https://dpmzos25m8ivg.cloudfront.net/Documentos/631/07336045529/6310733604552911092023142326.pdf")</f>
        <v>https://dpmzos25m8ivg.cloudfront.net/Documentos/631/07336045529/6310733604552911092023142326.pdf</v>
      </c>
      <c r="H3581" s="5" t="s">
        <v>12159</v>
      </c>
    </row>
    <row r="3582" spans="1:8" x14ac:dyDescent="0.25">
      <c r="A3582" s="2" t="s">
        <v>3602</v>
      </c>
      <c r="B3582" s="3"/>
      <c r="C3582" s="3"/>
      <c r="D3582" s="3"/>
      <c r="E3582" s="5" t="str">
        <f>HYPERLINK("https://dpmzos25m8ivg.cloudfront.net/Documentos/631/07339099301/6310733909930111092023154654.pdf","https://dpmzos25m8ivg.cloudfront.net/Documentos/631/07339099301/6310733909930111092023154654.pdf")</f>
        <v>https://dpmzos25m8ivg.cloudfront.net/Documentos/631/07339099301/6310733909930111092023154654.pdf</v>
      </c>
      <c r="F3582" s="5" t="str">
        <f>HYPERLINK("https://dpmzos25m8ivg.cloudfront.net/Documentos/631/07339099301/6310733909930111092023154703.pdf","https://dpmzos25m8ivg.cloudfront.net/Documentos/631/07339099301/6310733909930111092023154703.pdf")</f>
        <v>https://dpmzos25m8ivg.cloudfront.net/Documentos/631/07339099301/6310733909930111092023154703.pdf</v>
      </c>
      <c r="G3582" s="5" t="str">
        <f>HYPERLINK("https://dpmzos25m8ivg.cloudfront.net/Documentos/631/07339099301/6310733909930111092023154713.pdf","https://dpmzos25m8ivg.cloudfront.net/Documentos/631/07339099301/6310733909930111092023154713.pdf")</f>
        <v>https://dpmzos25m8ivg.cloudfront.net/Documentos/631/07339099301/6310733909930111092023154713.pdf</v>
      </c>
      <c r="H3582" s="5" t="s">
        <v>12160</v>
      </c>
    </row>
    <row r="3583" spans="1:8" x14ac:dyDescent="0.25">
      <c r="A3583" s="2" t="s">
        <v>3603</v>
      </c>
      <c r="B3583" s="3"/>
      <c r="C3583" s="3"/>
      <c r="D3583" s="3"/>
      <c r="E3583" s="5" t="str">
        <f>HYPERLINK("https://dpmzos25m8ivg.cloudfront.net/Documentos/631/07340571485/6310734057148511092023120653.jpg","https://dpmzos25m8ivg.cloudfront.net/Documentos/631/07340571485/6310734057148511092023120653.jpg")</f>
        <v>https://dpmzos25m8ivg.cloudfront.net/Documentos/631/07340571485/6310734057148511092023120653.jpg</v>
      </c>
      <c r="F3583" s="5" t="str">
        <f>HYPERLINK("https://dpmzos25m8ivg.cloudfront.net/Documentos/631/07340571485/6310734057148511092023120701.jpg","https://dpmzos25m8ivg.cloudfront.net/Documentos/631/07340571485/6310734057148511092023120701.jpg")</f>
        <v>https://dpmzos25m8ivg.cloudfront.net/Documentos/631/07340571485/6310734057148511092023120701.jpg</v>
      </c>
      <c r="G3583" s="5" t="str">
        <f>HYPERLINK("https://dpmzos25m8ivg.cloudfront.net/Documentos/631/07340571485/6310734057148511092023120713.jpg","https://dpmzos25m8ivg.cloudfront.net/Documentos/631/07340571485/6310734057148511092023120713.jpg")</f>
        <v>https://dpmzos25m8ivg.cloudfront.net/Documentos/631/07340571485/6310734057148511092023120713.jpg</v>
      </c>
      <c r="H3583" s="5" t="s">
        <v>12161</v>
      </c>
    </row>
    <row r="3584" spans="1:8" x14ac:dyDescent="0.25">
      <c r="A3584" s="2" t="s">
        <v>3604</v>
      </c>
      <c r="B3584" s="3"/>
      <c r="C3584" s="3"/>
      <c r="D3584" s="3"/>
      <c r="E3584" s="5" t="str">
        <f>HYPERLINK("https://dpmzos25m8ivg.cloudfront.net/Documentos/631/07344080133/6310734408013311092023151726.pdf","https://dpmzos25m8ivg.cloudfront.net/Documentos/631/07344080133/6310734408013311092023151726.pdf")</f>
        <v>https://dpmzos25m8ivg.cloudfront.net/Documentos/631/07344080133/6310734408013311092023151726.pdf</v>
      </c>
      <c r="F3584" s="5" t="str">
        <f>HYPERLINK("https://dpmzos25m8ivg.cloudfront.net/Documentos/631/07344080133/6310734408013311092023151735.pdf","https://dpmzos25m8ivg.cloudfront.net/Documentos/631/07344080133/6310734408013311092023151735.pdf")</f>
        <v>https://dpmzos25m8ivg.cloudfront.net/Documentos/631/07344080133/6310734408013311092023151735.pdf</v>
      </c>
      <c r="G3584" s="5" t="str">
        <f>HYPERLINK("https://dpmzos25m8ivg.cloudfront.net/Documentos/631/07344080133/6310734408013311092023151758.pdf","https://dpmzos25m8ivg.cloudfront.net/Documentos/631/07344080133/6310734408013311092023151758.pdf")</f>
        <v>https://dpmzos25m8ivg.cloudfront.net/Documentos/631/07344080133/6310734408013311092023151758.pdf</v>
      </c>
      <c r="H3584" s="5" t="s">
        <v>12162</v>
      </c>
    </row>
    <row r="3585" spans="1:8" x14ac:dyDescent="0.25">
      <c r="A3585" s="2" t="s">
        <v>3605</v>
      </c>
      <c r="B3585" s="3"/>
      <c r="C3585" s="3"/>
      <c r="D3585" s="3"/>
      <c r="E3585" s="5" t="str">
        <f>HYPERLINK("https://dpmzos25m8ivg.cloudfront.net/Documentos/631/07345650979/6310734565097911092023111955.pdf","https://dpmzos25m8ivg.cloudfront.net/Documentos/631/07345650979/6310734565097911092023111955.pdf")</f>
        <v>https://dpmzos25m8ivg.cloudfront.net/Documentos/631/07345650979/6310734565097911092023111955.pdf</v>
      </c>
      <c r="F3585" s="5" t="str">
        <f>HYPERLINK("https://dpmzos25m8ivg.cloudfront.net/Documentos/631/07345650979/6310734565097911092023112003.pdf","https://dpmzos25m8ivg.cloudfront.net/Documentos/631/07345650979/6310734565097911092023112003.pdf")</f>
        <v>https://dpmzos25m8ivg.cloudfront.net/Documentos/631/07345650979/6310734565097911092023112003.pdf</v>
      </c>
      <c r="G3585" s="5" t="str">
        <f>HYPERLINK("https://dpmzos25m8ivg.cloudfront.net/Documentos/631/07345650979/6310734565097911092023112010.pdf","https://dpmzos25m8ivg.cloudfront.net/Documentos/631/07345650979/6310734565097911092023112010.pdf")</f>
        <v>https://dpmzos25m8ivg.cloudfront.net/Documentos/631/07345650979/6310734565097911092023112010.pdf</v>
      </c>
      <c r="H3585" s="5" t="s">
        <v>12163</v>
      </c>
    </row>
    <row r="3586" spans="1:8" x14ac:dyDescent="0.25">
      <c r="A3586" s="2" t="s">
        <v>3606</v>
      </c>
      <c r="B3586" s="3"/>
      <c r="C3586" s="3"/>
      <c r="D3586" s="3"/>
      <c r="E3586" s="5" t="str">
        <f>HYPERLINK("https://dpmzos25m8ivg.cloudfront.net/Documentos/631/07349515154/6310734951515414092023155736.pdf","https://dpmzos25m8ivg.cloudfront.net/Documentos/631/07349515154/6310734951515414092023155736.pdf")</f>
        <v>https://dpmzos25m8ivg.cloudfront.net/Documentos/631/07349515154/6310734951515414092023155736.pdf</v>
      </c>
      <c r="F3586" s="5" t="str">
        <f>HYPERLINK("https://dpmzos25m8ivg.cloudfront.net/Documentos/631/07349515154/6310734951515414092023155744.pdf","https://dpmzos25m8ivg.cloudfront.net/Documentos/631/07349515154/6310734951515414092023155744.pdf")</f>
        <v>https://dpmzos25m8ivg.cloudfront.net/Documentos/631/07349515154/6310734951515414092023155744.pdf</v>
      </c>
      <c r="G3586" s="5" t="str">
        <f>HYPERLINK("https://dpmzos25m8ivg.cloudfront.net/Documentos/631/07349515154/6310734951515414092023155752.pdf","https://dpmzos25m8ivg.cloudfront.net/Documentos/631/07349515154/6310734951515414092023155752.pdf")</f>
        <v>https://dpmzos25m8ivg.cloudfront.net/Documentos/631/07349515154/6310734951515414092023155752.pdf</v>
      </c>
      <c r="H3586" s="5" t="s">
        <v>12164</v>
      </c>
    </row>
    <row r="3587" spans="1:8" x14ac:dyDescent="0.25">
      <c r="A3587" s="2" t="s">
        <v>3607</v>
      </c>
      <c r="B3587" s="3"/>
      <c r="C3587" s="3"/>
      <c r="D3587" s="3"/>
      <c r="E3587" s="5" t="str">
        <f>HYPERLINK("https://dpmzos25m8ivg.cloudfront.net/Documentos/631/07352669990/6310735266999011092023161135.jpeg","https://dpmzos25m8ivg.cloudfront.net/Documentos/631/07352669990/6310735266999011092023161135.jpeg")</f>
        <v>https://dpmzos25m8ivg.cloudfront.net/Documentos/631/07352669990/6310735266999011092023161135.jpeg</v>
      </c>
      <c r="F3587" s="5" t="str">
        <f>HYPERLINK("https://dpmzos25m8ivg.cloudfront.net/Documentos/631/07352669990/6310735266999011092023161145.jpeg","https://dpmzos25m8ivg.cloudfront.net/Documentos/631/07352669990/6310735266999011092023161145.jpeg")</f>
        <v>https://dpmzos25m8ivg.cloudfront.net/Documentos/631/07352669990/6310735266999011092023161145.jpeg</v>
      </c>
      <c r="G3587" s="5" t="str">
        <f>HYPERLINK("https://dpmzos25m8ivg.cloudfront.net/Documentos/631/07352669990/6310735266999011092023161158.jpeg","https://dpmzos25m8ivg.cloudfront.net/Documentos/631/07352669990/6310735266999011092023161158.jpeg")</f>
        <v>https://dpmzos25m8ivg.cloudfront.net/Documentos/631/07352669990/6310735266999011092023161158.jpeg</v>
      </c>
      <c r="H3587" s="5" t="s">
        <v>12165</v>
      </c>
    </row>
    <row r="3588" spans="1:8" x14ac:dyDescent="0.25">
      <c r="A3588" s="2" t="s">
        <v>3608</v>
      </c>
      <c r="B3588" s="3"/>
      <c r="C3588" s="3"/>
      <c r="D3588" s="3"/>
      <c r="E3588" s="5" t="str">
        <f>HYPERLINK("https://dpmzos25m8ivg.cloudfront.net/Documentos/631/07354760390/6310735476039010092023101652.pdf","https://dpmzos25m8ivg.cloudfront.net/Documentos/631/07354760390/6310735476039010092023101652.pdf")</f>
        <v>https://dpmzos25m8ivg.cloudfront.net/Documentos/631/07354760390/6310735476039010092023101652.pdf</v>
      </c>
      <c r="F3588" s="5" t="str">
        <f>HYPERLINK("https://dpmzos25m8ivg.cloudfront.net/Documentos/631/07354760390/6310735476039010092023101721.pdf","https://dpmzos25m8ivg.cloudfront.net/Documentos/631/07354760390/6310735476039010092023101721.pdf")</f>
        <v>https://dpmzos25m8ivg.cloudfront.net/Documentos/631/07354760390/6310735476039010092023101721.pdf</v>
      </c>
      <c r="G3588" s="5" t="str">
        <f>HYPERLINK("https://dpmzos25m8ivg.cloudfront.net/Documentos/631/07354760390/6310735476039010092023101737.pdf","https://dpmzos25m8ivg.cloudfront.net/Documentos/631/07354760390/6310735476039010092023101737.pdf")</f>
        <v>https://dpmzos25m8ivg.cloudfront.net/Documentos/631/07354760390/6310735476039010092023101737.pdf</v>
      </c>
      <c r="H3588" s="5" t="s">
        <v>12166</v>
      </c>
    </row>
    <row r="3589" spans="1:8" x14ac:dyDescent="0.25">
      <c r="A3589" s="2" t="s">
        <v>3609</v>
      </c>
      <c r="B3589" s="3"/>
      <c r="C3589" s="3"/>
      <c r="D3589" s="3"/>
      <c r="E3589" s="5" t="str">
        <f>HYPERLINK("https://dpmzos25m8ivg.cloudfront.net/Documentos/631/07356195577/6310735619557711092023140427.pdf","https://dpmzos25m8ivg.cloudfront.net/Documentos/631/07356195577/6310735619557711092023140427.pdf")</f>
        <v>https://dpmzos25m8ivg.cloudfront.net/Documentos/631/07356195577/6310735619557711092023140427.pdf</v>
      </c>
      <c r="F3589" s="5" t="str">
        <f>HYPERLINK("https://dpmzos25m8ivg.cloudfront.net/Documentos/631/07356195577/6310735619557711092023140446.pdf","https://dpmzos25m8ivg.cloudfront.net/Documentos/631/07356195577/6310735619557711092023140446.pdf")</f>
        <v>https://dpmzos25m8ivg.cloudfront.net/Documentos/631/07356195577/6310735619557711092023140446.pdf</v>
      </c>
      <c r="G3589" s="5" t="str">
        <f>HYPERLINK("https://dpmzos25m8ivg.cloudfront.net/Documentos/631/07356195577/6310735619557711092023140504.pdf","https://dpmzos25m8ivg.cloudfront.net/Documentos/631/07356195577/6310735619557711092023140504.pdf")</f>
        <v>https://dpmzos25m8ivg.cloudfront.net/Documentos/631/07356195577/6310735619557711092023140504.pdf</v>
      </c>
      <c r="H3589" s="5" t="s">
        <v>12167</v>
      </c>
    </row>
    <row r="3590" spans="1:8" x14ac:dyDescent="0.25">
      <c r="A3590" s="2" t="s">
        <v>3610</v>
      </c>
      <c r="B3590" s="3"/>
      <c r="C3590" s="3"/>
      <c r="D3590" s="3"/>
      <c r="E3590" s="5" t="str">
        <f>HYPERLINK("https://dpmzos25m8ivg.cloudfront.net/Documentos/631/07358686381/6310735868638105092023203707.pdf","https://dpmzos25m8ivg.cloudfront.net/Documentos/631/07358686381/6310735868638105092023203707.pdf")</f>
        <v>https://dpmzos25m8ivg.cloudfront.net/Documentos/631/07358686381/6310735868638105092023203707.pdf</v>
      </c>
      <c r="F3590" s="5" t="str">
        <f>HYPERLINK("https://dpmzos25m8ivg.cloudfront.net/Documentos/631/07358686381/6310735868638105092023203944.pdf","https://dpmzos25m8ivg.cloudfront.net/Documentos/631/07358686381/6310735868638105092023203944.pdf")</f>
        <v>https://dpmzos25m8ivg.cloudfront.net/Documentos/631/07358686381/6310735868638105092023203944.pdf</v>
      </c>
      <c r="G3590" s="5" t="str">
        <f>HYPERLINK("https://dpmzos25m8ivg.cloudfront.net/Documentos/631/07358686381/6310735868638105092023204411.pdf","https://dpmzos25m8ivg.cloudfront.net/Documentos/631/07358686381/6310735868638105092023204411.pdf")</f>
        <v>https://dpmzos25m8ivg.cloudfront.net/Documentos/631/07358686381/6310735868638105092023204411.pdf</v>
      </c>
      <c r="H3590" s="5" t="s">
        <v>12168</v>
      </c>
    </row>
    <row r="3591" spans="1:8" x14ac:dyDescent="0.25">
      <c r="A3591" s="2" t="s">
        <v>3611</v>
      </c>
      <c r="B3591" s="3"/>
      <c r="C3591" s="3"/>
      <c r="D3591" s="3"/>
      <c r="E3591" s="5" t="str">
        <f>HYPERLINK("https://dpmzos25m8ivg.cloudfront.net/Documentos/631/07360776180/6310736077618009092023091039.pdf","https://dpmzos25m8ivg.cloudfront.net/Documentos/631/07360776180/6310736077618009092023091039.pdf")</f>
        <v>https://dpmzos25m8ivg.cloudfront.net/Documentos/631/07360776180/6310736077618009092023091039.pdf</v>
      </c>
      <c r="F3591" s="5" t="str">
        <f>HYPERLINK("https://dpmzos25m8ivg.cloudfront.net/Documentos/631/07360776180/6310736077618009092023091048.pdf","https://dpmzos25m8ivg.cloudfront.net/Documentos/631/07360776180/6310736077618009092023091048.pdf")</f>
        <v>https://dpmzos25m8ivg.cloudfront.net/Documentos/631/07360776180/6310736077618009092023091048.pdf</v>
      </c>
      <c r="G3591" s="5" t="str">
        <f>HYPERLINK("https://dpmzos25m8ivg.cloudfront.net/Documentos/631/07360776180/6310736077618009092023091053.pdf","https://dpmzos25m8ivg.cloudfront.net/Documentos/631/07360776180/6310736077618009092023091053.pdf")</f>
        <v>https://dpmzos25m8ivg.cloudfront.net/Documentos/631/07360776180/6310736077618009092023091053.pdf</v>
      </c>
      <c r="H3591" s="5" t="s">
        <v>12169</v>
      </c>
    </row>
    <row r="3592" spans="1:8" x14ac:dyDescent="0.25">
      <c r="A3592" s="2" t="s">
        <v>3612</v>
      </c>
      <c r="B3592" s="3"/>
      <c r="C3592" s="3"/>
      <c r="D3592" s="3"/>
      <c r="E3592" s="5" t="str">
        <f>HYPERLINK("https://dpmzos25m8ivg.cloudfront.net/Documentos/631/07363589518/6310736358951814092023134103.pdf","https://dpmzos25m8ivg.cloudfront.net/Documentos/631/07363589518/6310736358951814092023134103.pdf")</f>
        <v>https://dpmzos25m8ivg.cloudfront.net/Documentos/631/07363589518/6310736358951814092023134103.pdf</v>
      </c>
      <c r="F3592" s="5" t="str">
        <f>HYPERLINK("https://dpmzos25m8ivg.cloudfront.net/Documentos/631/07363589518/6310736358951814092023134110.pdf","https://dpmzos25m8ivg.cloudfront.net/Documentos/631/07363589518/6310736358951814092023134110.pdf")</f>
        <v>https://dpmzos25m8ivg.cloudfront.net/Documentos/631/07363589518/6310736358951814092023134110.pdf</v>
      </c>
      <c r="G3592" s="5" t="str">
        <f>HYPERLINK("https://dpmzos25m8ivg.cloudfront.net/Documentos/631/07363589518/6310736358951814092023134118.pdf","https://dpmzos25m8ivg.cloudfront.net/Documentos/631/07363589518/6310736358951814092023134118.pdf")</f>
        <v>https://dpmzos25m8ivg.cloudfront.net/Documentos/631/07363589518/6310736358951814092023134118.pdf</v>
      </c>
      <c r="H3592" s="5" t="s">
        <v>12170</v>
      </c>
    </row>
    <row r="3593" spans="1:8" x14ac:dyDescent="0.25">
      <c r="A3593" s="2" t="s">
        <v>3613</v>
      </c>
      <c r="B3593" s="3" t="s">
        <v>42</v>
      </c>
      <c r="C3593" s="3"/>
      <c r="D3593" s="3"/>
      <c r="E3593" s="5" t="str">
        <f>HYPERLINK("https://dpmzos25m8ivg.cloudfront.net/Documentos/631/07365010452/6310736501045211092023164007.pdf","https://dpmzos25m8ivg.cloudfront.net/Documentos/631/07365010452/6310736501045211092023164007.pdf")</f>
        <v>https://dpmzos25m8ivg.cloudfront.net/Documentos/631/07365010452/6310736501045211092023164007.pdf</v>
      </c>
      <c r="F3593" s="5" t="str">
        <f>HYPERLINK("https://dpmzos25m8ivg.cloudfront.net/Documentos/631/07365010452/6310736501045211092023164052.pdf","https://dpmzos25m8ivg.cloudfront.net/Documentos/631/07365010452/6310736501045211092023164052.pdf")</f>
        <v>https://dpmzos25m8ivg.cloudfront.net/Documentos/631/07365010452/6310736501045211092023164052.pdf</v>
      </c>
      <c r="G3593" s="5" t="str">
        <f>HYPERLINK("https://dpmzos25m8ivg.cloudfront.net/Documentos/631/07365010452/6310736501045211092023164253.pdf","https://dpmzos25m8ivg.cloudfront.net/Documentos/631/07365010452/6310736501045211092023164253.pdf")</f>
        <v>https://dpmzos25m8ivg.cloudfront.net/Documentos/631/07365010452/6310736501045211092023164253.pdf</v>
      </c>
      <c r="H3593" s="5" t="s">
        <v>12171</v>
      </c>
    </row>
    <row r="3594" spans="1:8" x14ac:dyDescent="0.25">
      <c r="A3594" s="2" t="s">
        <v>3614</v>
      </c>
      <c r="B3594" s="3"/>
      <c r="C3594" s="3"/>
      <c r="D3594" s="3"/>
      <c r="E3594" s="5" t="str">
        <f>HYPERLINK("https://dpmzos25m8ivg.cloudfront.net/Documentos/631/07366550183/6310736655018305092023123350.pdf","https://dpmzos25m8ivg.cloudfront.net/Documentos/631/07366550183/6310736655018305092023123350.pdf")</f>
        <v>https://dpmzos25m8ivg.cloudfront.net/Documentos/631/07366550183/6310736655018305092023123350.pdf</v>
      </c>
      <c r="F3594" s="5" t="str">
        <f>HYPERLINK("https://dpmzos25m8ivg.cloudfront.net/Documentos/631/07366550183/6310736655018305092023123400.pdf","https://dpmzos25m8ivg.cloudfront.net/Documentos/631/07366550183/6310736655018305092023123400.pdf")</f>
        <v>https://dpmzos25m8ivg.cloudfront.net/Documentos/631/07366550183/6310736655018305092023123400.pdf</v>
      </c>
      <c r="G3594" s="5" t="str">
        <f>HYPERLINK("https://dpmzos25m8ivg.cloudfront.net/Documentos/631/07366550183/6310736655018305092023123411.pdf","https://dpmzos25m8ivg.cloudfront.net/Documentos/631/07366550183/6310736655018305092023123411.pdf")</f>
        <v>https://dpmzos25m8ivg.cloudfront.net/Documentos/631/07366550183/6310736655018305092023123411.pdf</v>
      </c>
      <c r="H3594" s="5" t="s">
        <v>12172</v>
      </c>
    </row>
    <row r="3595" spans="1:8" x14ac:dyDescent="0.25">
      <c r="A3595" s="2" t="s">
        <v>3615</v>
      </c>
      <c r="B3595" s="3"/>
      <c r="C3595" s="3"/>
      <c r="D3595" s="3"/>
      <c r="E3595" s="5" t="str">
        <f>HYPERLINK("https://dpmzos25m8ivg.cloudfront.net/Documentos/631/07371244311/6310737124431111092023161154.pdf","https://dpmzos25m8ivg.cloudfront.net/Documentos/631/07371244311/6310737124431111092023161154.pdf")</f>
        <v>https://dpmzos25m8ivg.cloudfront.net/Documentos/631/07371244311/6310737124431111092023161154.pdf</v>
      </c>
      <c r="F3595" s="5" t="str">
        <f>HYPERLINK("https://dpmzos25m8ivg.cloudfront.net/Documentos/631/07371244311/6310737124431111092023161205.pdf","https://dpmzos25m8ivg.cloudfront.net/Documentos/631/07371244311/6310737124431111092023161205.pdf")</f>
        <v>https://dpmzos25m8ivg.cloudfront.net/Documentos/631/07371244311/6310737124431111092023161205.pdf</v>
      </c>
      <c r="G3595" s="5" t="str">
        <f>HYPERLINK("https://dpmzos25m8ivg.cloudfront.net/Documentos/631/07371244311/6310737124431111092023161216.pdf","https://dpmzos25m8ivg.cloudfront.net/Documentos/631/07371244311/6310737124431111092023161216.pdf")</f>
        <v>https://dpmzos25m8ivg.cloudfront.net/Documentos/631/07371244311/6310737124431111092023161216.pdf</v>
      </c>
      <c r="H3595" s="5" t="s">
        <v>12173</v>
      </c>
    </row>
    <row r="3596" spans="1:8" x14ac:dyDescent="0.25">
      <c r="A3596" s="2" t="s">
        <v>3616</v>
      </c>
      <c r="B3596" s="3"/>
      <c r="C3596" s="3"/>
      <c r="D3596" s="3"/>
      <c r="E3596" s="5" t="str">
        <f>HYPERLINK("https://dpmzos25m8ivg.cloudfront.net/Documentos/631/07371939565/6310737193956513092023004241.pdf","https://dpmzos25m8ivg.cloudfront.net/Documentos/631/07371939565/6310737193956513092023004241.pdf")</f>
        <v>https://dpmzos25m8ivg.cloudfront.net/Documentos/631/07371939565/6310737193956513092023004241.pdf</v>
      </c>
      <c r="F3596" s="5" t="str">
        <f>HYPERLINK("https://dpmzos25m8ivg.cloudfront.net/Documentos/631/07371939565/6310737193956513092023004400.pdf","https://dpmzos25m8ivg.cloudfront.net/Documentos/631/07371939565/6310737193956513092023004400.pdf")</f>
        <v>https://dpmzos25m8ivg.cloudfront.net/Documentos/631/07371939565/6310737193956513092023004400.pdf</v>
      </c>
      <c r="G3596" s="5" t="str">
        <f>HYPERLINK("https://dpmzos25m8ivg.cloudfront.net/Documentos/631/07371939565/6310737193956513092023004422.pdf","https://dpmzos25m8ivg.cloudfront.net/Documentos/631/07371939565/6310737193956513092023004422.pdf")</f>
        <v>https://dpmzos25m8ivg.cloudfront.net/Documentos/631/07371939565/6310737193956513092023004422.pdf</v>
      </c>
      <c r="H3596" s="5" t="s">
        <v>12174</v>
      </c>
    </row>
    <row r="3597" spans="1:8" x14ac:dyDescent="0.25">
      <c r="A3597" s="2" t="s">
        <v>3617</v>
      </c>
      <c r="B3597" s="3"/>
      <c r="C3597" s="3"/>
      <c r="D3597" s="3"/>
      <c r="E3597" s="5" t="str">
        <f>HYPERLINK("https://dpmzos25m8ivg.cloudfront.net/Documentos/631/07375552380/6310737555238011092023132736.pdf","https://dpmzos25m8ivg.cloudfront.net/Documentos/631/07375552380/6310737555238011092023132736.pdf")</f>
        <v>https://dpmzos25m8ivg.cloudfront.net/Documentos/631/07375552380/6310737555238011092023132736.pdf</v>
      </c>
      <c r="F3597" s="5" t="str">
        <f>HYPERLINK("https://dpmzos25m8ivg.cloudfront.net/Documentos/631/07375552380/6310737555238011092023132836.pdf","https://dpmzos25m8ivg.cloudfront.net/Documentos/631/07375552380/6310737555238011092023132836.pdf")</f>
        <v>https://dpmzos25m8ivg.cloudfront.net/Documentos/631/07375552380/6310737555238011092023132836.pdf</v>
      </c>
      <c r="G3597" s="5" t="str">
        <f>HYPERLINK("https://dpmzos25m8ivg.cloudfront.net/Documentos/631/07375552380/6310737555238011092023132852.pdf","https://dpmzos25m8ivg.cloudfront.net/Documentos/631/07375552380/6310737555238011092023132852.pdf")</f>
        <v>https://dpmzos25m8ivg.cloudfront.net/Documentos/631/07375552380/6310737555238011092023132852.pdf</v>
      </c>
      <c r="H3597" s="5" t="s">
        <v>12175</v>
      </c>
    </row>
    <row r="3598" spans="1:8" x14ac:dyDescent="0.25">
      <c r="A3598" s="2" t="s">
        <v>3618</v>
      </c>
      <c r="B3598" s="3"/>
      <c r="C3598" s="3"/>
      <c r="D3598" s="3"/>
      <c r="E3598" s="5" t="str">
        <f>HYPERLINK("https://dpmzos25m8ivg.cloudfront.net/Documentos/631/07377228865/6310737722886510092023211609.pdf","https://dpmzos25m8ivg.cloudfront.net/Documentos/631/07377228865/6310737722886510092023211609.pdf")</f>
        <v>https://dpmzos25m8ivg.cloudfront.net/Documentos/631/07377228865/6310737722886510092023211609.pdf</v>
      </c>
      <c r="F3598" s="5" t="str">
        <f>HYPERLINK("https://dpmzos25m8ivg.cloudfront.net/Documentos/631/07377228865/6310737722886510092023211616.pdf","https://dpmzos25m8ivg.cloudfront.net/Documentos/631/07377228865/6310737722886510092023211616.pdf")</f>
        <v>https://dpmzos25m8ivg.cloudfront.net/Documentos/631/07377228865/6310737722886510092023211616.pdf</v>
      </c>
      <c r="G3598" s="5" t="str">
        <f>HYPERLINK("https://dpmzos25m8ivg.cloudfront.net/Documentos/631/07377228865/6310737722886510092023211622.pdf","https://dpmzos25m8ivg.cloudfront.net/Documentos/631/07377228865/6310737722886510092023211622.pdf")</f>
        <v>https://dpmzos25m8ivg.cloudfront.net/Documentos/631/07377228865/6310737722886510092023211622.pdf</v>
      </c>
      <c r="H3598" s="5" t="s">
        <v>12176</v>
      </c>
    </row>
    <row r="3599" spans="1:8" x14ac:dyDescent="0.25">
      <c r="A3599" s="2" t="s">
        <v>3619</v>
      </c>
      <c r="B3599" s="3"/>
      <c r="C3599" s="3"/>
      <c r="D3599" s="3"/>
      <c r="E3599" s="5" t="str">
        <f>HYPERLINK("https://dpmzos25m8ivg.cloudfront.net/Documentos/631/07378510904/6310737851090407092023105714.pdf","https://dpmzos25m8ivg.cloudfront.net/Documentos/631/07378510904/6310737851090407092023105714.pdf")</f>
        <v>https://dpmzos25m8ivg.cloudfront.net/Documentos/631/07378510904/6310737851090407092023105714.pdf</v>
      </c>
      <c r="F3599" s="5" t="str">
        <f>HYPERLINK("https://dpmzos25m8ivg.cloudfront.net/Documentos/631/07378510904/6310737851090407092023105735.pdf","https://dpmzos25m8ivg.cloudfront.net/Documentos/631/07378510904/6310737851090407092023105735.pdf")</f>
        <v>https://dpmzos25m8ivg.cloudfront.net/Documentos/631/07378510904/6310737851090407092023105735.pdf</v>
      </c>
      <c r="G3599" s="5" t="str">
        <f>HYPERLINK("https://dpmzos25m8ivg.cloudfront.net/Documentos/631/07378510904/6310737851090407092023105747.pdf","https://dpmzos25m8ivg.cloudfront.net/Documentos/631/07378510904/6310737851090407092023105747.pdf")</f>
        <v>https://dpmzos25m8ivg.cloudfront.net/Documentos/631/07378510904/6310737851090407092023105747.pdf</v>
      </c>
      <c r="H3599" s="5" t="s">
        <v>12177</v>
      </c>
    </row>
    <row r="3600" spans="1:8" x14ac:dyDescent="0.25">
      <c r="A3600" s="2" t="s">
        <v>3620</v>
      </c>
      <c r="B3600" s="3"/>
      <c r="C3600" s="3"/>
      <c r="D3600" s="3"/>
      <c r="E3600" s="5" t="str">
        <f>HYPERLINK("https://dpmzos25m8ivg.cloudfront.net/Documentos/631/07378919128/6310737891912809092023214050.pdf","https://dpmzos25m8ivg.cloudfront.net/Documentos/631/07378919128/6310737891912809092023214050.pdf")</f>
        <v>https://dpmzos25m8ivg.cloudfront.net/Documentos/631/07378919128/6310737891912809092023214050.pdf</v>
      </c>
      <c r="F3600" s="5" t="str">
        <f>HYPERLINK("https://dpmzos25m8ivg.cloudfront.net/Documentos/631/07378919128/6310737891912809092023214102.pdf","https://dpmzos25m8ivg.cloudfront.net/Documentos/631/07378919128/6310737891912809092023214102.pdf")</f>
        <v>https://dpmzos25m8ivg.cloudfront.net/Documentos/631/07378919128/6310737891912809092023214102.pdf</v>
      </c>
      <c r="G3600" s="5" t="str">
        <f>HYPERLINK("https://dpmzos25m8ivg.cloudfront.net/Documentos/631/07378919128/6310737891912809092023214119.pdf","https://dpmzos25m8ivg.cloudfront.net/Documentos/631/07378919128/6310737891912809092023214119.pdf")</f>
        <v>https://dpmzos25m8ivg.cloudfront.net/Documentos/631/07378919128/6310737891912809092023214119.pdf</v>
      </c>
      <c r="H3600" s="5" t="s">
        <v>12178</v>
      </c>
    </row>
    <row r="3601" spans="1:8" x14ac:dyDescent="0.25">
      <c r="A3601" s="2" t="s">
        <v>3621</v>
      </c>
      <c r="B3601" s="3"/>
      <c r="C3601" s="3"/>
      <c r="D3601" s="3"/>
      <c r="E3601" s="5" t="str">
        <f>HYPERLINK("https://dpmzos25m8ivg.cloudfront.net/Documentos/631/07384979676/6310738497967607092023131700.pdf","https://dpmzos25m8ivg.cloudfront.net/Documentos/631/07384979676/6310738497967607092023131700.pdf")</f>
        <v>https://dpmzos25m8ivg.cloudfront.net/Documentos/631/07384979676/6310738497967607092023131700.pdf</v>
      </c>
      <c r="F3601" s="5" t="str">
        <f>HYPERLINK("https://dpmzos25m8ivg.cloudfront.net/Documentos/631/07384979676/6310738497967607092023131710.pdf","https://dpmzos25m8ivg.cloudfront.net/Documentos/631/07384979676/6310738497967607092023131710.pdf")</f>
        <v>https://dpmzos25m8ivg.cloudfront.net/Documentos/631/07384979676/6310738497967607092023131710.pdf</v>
      </c>
      <c r="G3601" s="5" t="str">
        <f>HYPERLINK("https://dpmzos25m8ivg.cloudfront.net/Documentos/631/07384979676/6310738497967607092023131718.pdf","https://dpmzos25m8ivg.cloudfront.net/Documentos/631/07384979676/6310738497967607092023131718.pdf")</f>
        <v>https://dpmzos25m8ivg.cloudfront.net/Documentos/631/07384979676/6310738497967607092023131718.pdf</v>
      </c>
      <c r="H3601" s="5" t="s">
        <v>12179</v>
      </c>
    </row>
    <row r="3602" spans="1:8" x14ac:dyDescent="0.25">
      <c r="A3602" s="2" t="s">
        <v>3622</v>
      </c>
      <c r="B3602" s="3"/>
      <c r="C3602" s="3"/>
      <c r="D3602" s="3"/>
      <c r="E3602" s="5" t="str">
        <f>HYPERLINK("https://dpmzos25m8ivg.cloudfront.net/Documentos/631/07385570488/6310738557048811092023122751.jpg","https://dpmzos25m8ivg.cloudfront.net/Documentos/631/07385570488/6310738557048811092023122751.jpg")</f>
        <v>https://dpmzos25m8ivg.cloudfront.net/Documentos/631/07385570488/6310738557048811092023122751.jpg</v>
      </c>
      <c r="F3602" s="5" t="str">
        <f>HYPERLINK("https://dpmzos25m8ivg.cloudfront.net/Documentos/631/07385570488/6310738557048811092023122823.jpg","https://dpmzos25m8ivg.cloudfront.net/Documentos/631/07385570488/6310738557048811092023122823.jpg")</f>
        <v>https://dpmzos25m8ivg.cloudfront.net/Documentos/631/07385570488/6310738557048811092023122823.jpg</v>
      </c>
      <c r="G3602" s="5" t="str">
        <f>HYPERLINK("https://dpmzos25m8ivg.cloudfront.net/Documentos/631/07385570488/6310738557048811092023122902.jpg","https://dpmzos25m8ivg.cloudfront.net/Documentos/631/07385570488/6310738557048811092023122902.jpg")</f>
        <v>https://dpmzos25m8ivg.cloudfront.net/Documentos/631/07385570488/6310738557048811092023122902.jpg</v>
      </c>
      <c r="H3602" s="5" t="s">
        <v>12180</v>
      </c>
    </row>
    <row r="3603" spans="1:8" x14ac:dyDescent="0.25">
      <c r="A3603" s="2" t="s">
        <v>3623</v>
      </c>
      <c r="B3603" s="3"/>
      <c r="C3603" s="3"/>
      <c r="D3603" s="3"/>
      <c r="E3603" s="5" t="str">
        <f>HYPERLINK("https://dpmzos25m8ivg.cloudfront.net/Documentos/631/07386550588/6310738655058811092023161339.jpeg","https://dpmzos25m8ivg.cloudfront.net/Documentos/631/07386550588/6310738655058811092023161339.jpeg")</f>
        <v>https://dpmzos25m8ivg.cloudfront.net/Documentos/631/07386550588/6310738655058811092023161339.jpeg</v>
      </c>
      <c r="F3603" s="5" t="str">
        <f>HYPERLINK("https://dpmzos25m8ivg.cloudfront.net/Documentos/631/07386550588/6310738655058811092023161402.jpeg","https://dpmzos25m8ivg.cloudfront.net/Documentos/631/07386550588/6310738655058811092023161402.jpeg")</f>
        <v>https://dpmzos25m8ivg.cloudfront.net/Documentos/631/07386550588/6310738655058811092023161402.jpeg</v>
      </c>
      <c r="G3603" s="5" t="str">
        <f>HYPERLINK("https://dpmzos25m8ivg.cloudfront.net/Documentos/631/07386550588/6310738655058811092023161626.pdf","https://dpmzos25m8ivg.cloudfront.net/Documentos/631/07386550588/6310738655058811092023161626.pdf")</f>
        <v>https://dpmzos25m8ivg.cloudfront.net/Documentos/631/07386550588/6310738655058811092023161626.pdf</v>
      </c>
      <c r="H3603" s="5" t="s">
        <v>12181</v>
      </c>
    </row>
    <row r="3604" spans="1:8" x14ac:dyDescent="0.25">
      <c r="A3604" s="2" t="s">
        <v>3624</v>
      </c>
      <c r="B3604" s="3"/>
      <c r="C3604" s="3"/>
      <c r="D3604" s="3"/>
      <c r="E3604" s="5" t="str">
        <f>HYPERLINK("https://dpmzos25m8ivg.cloudfront.net/Documentos/631/07389021870/6310738902187005092023125511.pdf","https://dpmzos25m8ivg.cloudfront.net/Documentos/631/07389021870/6310738902187005092023125511.pdf")</f>
        <v>https://dpmzos25m8ivg.cloudfront.net/Documentos/631/07389021870/6310738902187005092023125511.pdf</v>
      </c>
      <c r="F3604" s="5" t="str">
        <f>HYPERLINK("https://dpmzos25m8ivg.cloudfront.net/Documentos/631/07389021870/6310738902187005092023125542.pdf","https://dpmzos25m8ivg.cloudfront.net/Documentos/631/07389021870/6310738902187005092023125542.pdf")</f>
        <v>https://dpmzos25m8ivg.cloudfront.net/Documentos/631/07389021870/6310738902187005092023125542.pdf</v>
      </c>
      <c r="G3604" s="5" t="str">
        <f>HYPERLINK("https://dpmzos25m8ivg.cloudfront.net/Documentos/631/07389021870/6310738902187005092023125604.pdf","https://dpmzos25m8ivg.cloudfront.net/Documentos/631/07389021870/6310738902187005092023125604.pdf")</f>
        <v>https://dpmzos25m8ivg.cloudfront.net/Documentos/631/07389021870/6310738902187005092023125604.pdf</v>
      </c>
      <c r="H3604" s="5" t="s">
        <v>12182</v>
      </c>
    </row>
    <row r="3605" spans="1:8" x14ac:dyDescent="0.25">
      <c r="A3605" s="2" t="s">
        <v>3625</v>
      </c>
      <c r="B3605" s="3"/>
      <c r="C3605" s="3"/>
      <c r="D3605" s="3"/>
      <c r="E3605" s="5" t="str">
        <f>HYPERLINK("https://dpmzos25m8ivg.cloudfront.net/Documentos/631/07389365536/6310738936553610092023225626.pdf","https://dpmzos25m8ivg.cloudfront.net/Documentos/631/07389365536/6310738936553610092023225626.pdf")</f>
        <v>https://dpmzos25m8ivg.cloudfront.net/Documentos/631/07389365536/6310738936553610092023225626.pdf</v>
      </c>
      <c r="F3605" s="5" t="str">
        <f>HYPERLINK("https://dpmzos25m8ivg.cloudfront.net/Documentos/631/07389365536/6310738936553610092023225715.pdf","https://dpmzos25m8ivg.cloudfront.net/Documentos/631/07389365536/6310738936553610092023225715.pdf")</f>
        <v>https://dpmzos25m8ivg.cloudfront.net/Documentos/631/07389365536/6310738936553610092023225715.pdf</v>
      </c>
      <c r="G3605" s="5" t="str">
        <f>HYPERLINK("https://dpmzos25m8ivg.cloudfront.net/Documentos/631/07389365536/6310738936553610092023225758.pdf","https://dpmzos25m8ivg.cloudfront.net/Documentos/631/07389365536/6310738936553610092023225758.pdf")</f>
        <v>https://dpmzos25m8ivg.cloudfront.net/Documentos/631/07389365536/6310738936553610092023225758.pdf</v>
      </c>
      <c r="H3605" s="5" t="s">
        <v>12183</v>
      </c>
    </row>
    <row r="3606" spans="1:8" x14ac:dyDescent="0.25">
      <c r="A3606" s="2" t="s">
        <v>3626</v>
      </c>
      <c r="B3606" s="3"/>
      <c r="C3606" s="3"/>
      <c r="D3606" s="3"/>
      <c r="E3606" s="5" t="str">
        <f>HYPERLINK("https://dpmzos25m8ivg.cloudfront.net/Documentos/631/07392270338/6310739227033813092023104820.jpg","https://dpmzos25m8ivg.cloudfront.net/Documentos/631/07392270338/6310739227033813092023104820.jpg")</f>
        <v>https://dpmzos25m8ivg.cloudfront.net/Documentos/631/07392270338/6310739227033813092023104820.jpg</v>
      </c>
      <c r="F3606" s="5" t="str">
        <f>HYPERLINK("https://dpmzos25m8ivg.cloudfront.net/Documentos/631/07392270338/6310739227033813092023104850.jpg","https://dpmzos25m8ivg.cloudfront.net/Documentos/631/07392270338/6310739227033813092023104850.jpg")</f>
        <v>https://dpmzos25m8ivg.cloudfront.net/Documentos/631/07392270338/6310739227033813092023104850.jpg</v>
      </c>
      <c r="G3606" s="5" t="str">
        <f>HYPERLINK("https://dpmzos25m8ivg.cloudfront.net/Documentos/631/07392270338/6310739227033813092023104907.jpg","https://dpmzos25m8ivg.cloudfront.net/Documentos/631/07392270338/6310739227033813092023104907.jpg")</f>
        <v>https://dpmzos25m8ivg.cloudfront.net/Documentos/631/07392270338/6310739227033813092023104907.jpg</v>
      </c>
      <c r="H3606" s="5" t="s">
        <v>12184</v>
      </c>
    </row>
    <row r="3607" spans="1:8" x14ac:dyDescent="0.25">
      <c r="A3607" s="2" t="s">
        <v>3627</v>
      </c>
      <c r="B3607" s="3"/>
      <c r="C3607" s="3"/>
      <c r="D3607" s="3"/>
      <c r="E3607" s="5" t="str">
        <f>HYPERLINK("https://dpmzos25m8ivg.cloudfront.net/Documentos/631/07392405365/6310739240536511092023162008.pdf","https://dpmzos25m8ivg.cloudfront.net/Documentos/631/07392405365/6310739240536511092023162008.pdf")</f>
        <v>https://dpmzos25m8ivg.cloudfront.net/Documentos/631/07392405365/6310739240536511092023162008.pdf</v>
      </c>
      <c r="F3607" s="5" t="str">
        <f>HYPERLINK("https://dpmzos25m8ivg.cloudfront.net/Documentos/631/07392405365/6310739240536511092023162050.pdf","https://dpmzos25m8ivg.cloudfront.net/Documentos/631/07392405365/6310739240536511092023162050.pdf")</f>
        <v>https://dpmzos25m8ivg.cloudfront.net/Documentos/631/07392405365/6310739240536511092023162050.pdf</v>
      </c>
      <c r="G3607" s="5" t="str">
        <f>HYPERLINK("https://dpmzos25m8ivg.cloudfront.net/Documentos/631/07392405365/6310739240536511092023162118.pdf","https://dpmzos25m8ivg.cloudfront.net/Documentos/631/07392405365/6310739240536511092023162118.pdf")</f>
        <v>https://dpmzos25m8ivg.cloudfront.net/Documentos/631/07392405365/6310739240536511092023162118.pdf</v>
      </c>
      <c r="H3607" s="5" t="s">
        <v>12185</v>
      </c>
    </row>
    <row r="3608" spans="1:8" x14ac:dyDescent="0.25">
      <c r="A3608" s="2" t="s">
        <v>3628</v>
      </c>
      <c r="B3608" s="3"/>
      <c r="C3608" s="3"/>
      <c r="D3608" s="3"/>
      <c r="E3608" s="5" t="str">
        <f>HYPERLINK("https://dpmzos25m8ivg.cloudfront.net/Documentos/631/07393765357/6310739376535713092023160253.pdf","https://dpmzos25m8ivg.cloudfront.net/Documentos/631/07393765357/6310739376535713092023160253.pdf")</f>
        <v>https://dpmzos25m8ivg.cloudfront.net/Documentos/631/07393765357/6310739376535713092023160253.pdf</v>
      </c>
      <c r="F3608" s="5" t="str">
        <f>HYPERLINK("https://dpmzos25m8ivg.cloudfront.net/Documentos/631/07393765357/6310739376535713092023160329.pdf","https://dpmzos25m8ivg.cloudfront.net/Documentos/631/07393765357/6310739376535713092023160329.pdf")</f>
        <v>https://dpmzos25m8ivg.cloudfront.net/Documentos/631/07393765357/6310739376535713092023160329.pdf</v>
      </c>
      <c r="G3608" s="5" t="str">
        <f>HYPERLINK("https://dpmzos25m8ivg.cloudfront.net/Documentos/631/07393765357/6310739376535713092023161712.pdf","https://dpmzos25m8ivg.cloudfront.net/Documentos/631/07393765357/6310739376535713092023161712.pdf")</f>
        <v>https://dpmzos25m8ivg.cloudfront.net/Documentos/631/07393765357/6310739376535713092023161712.pdf</v>
      </c>
      <c r="H3608" s="5" t="s">
        <v>12186</v>
      </c>
    </row>
    <row r="3609" spans="1:8" x14ac:dyDescent="0.25">
      <c r="A3609" s="2" t="s">
        <v>3629</v>
      </c>
      <c r="B3609" s="3"/>
      <c r="C3609" s="3"/>
      <c r="D3609" s="3"/>
      <c r="E3609" s="5" t="str">
        <f>HYPERLINK("https://dpmzos25m8ivg.cloudfront.net/Documentos/631/07395079906/6310739507990611092023122945.pdf","https://dpmzos25m8ivg.cloudfront.net/Documentos/631/07395079906/6310739507990611092023122945.pdf")</f>
        <v>https://dpmzos25m8ivg.cloudfront.net/Documentos/631/07395079906/6310739507990611092023122945.pdf</v>
      </c>
      <c r="F3609" s="5" t="str">
        <f>HYPERLINK("https://dpmzos25m8ivg.cloudfront.net/Documentos/631/07395079906/6310739507990611092023122959.pdf","https://dpmzos25m8ivg.cloudfront.net/Documentos/631/07395079906/6310739507990611092023122959.pdf")</f>
        <v>https://dpmzos25m8ivg.cloudfront.net/Documentos/631/07395079906/6310739507990611092023122959.pdf</v>
      </c>
      <c r="G3609" s="5" t="str">
        <f>HYPERLINK("https://dpmzos25m8ivg.cloudfront.net/Documentos/631/07395079906/6310739507990611092023123008.pdf","https://dpmzos25m8ivg.cloudfront.net/Documentos/631/07395079906/6310739507990611092023123008.pdf")</f>
        <v>https://dpmzos25m8ivg.cloudfront.net/Documentos/631/07395079906/6310739507990611092023123008.pdf</v>
      </c>
      <c r="H3609" s="5" t="s">
        <v>12187</v>
      </c>
    </row>
    <row r="3610" spans="1:8" x14ac:dyDescent="0.25">
      <c r="A3610" s="2" t="s">
        <v>3630</v>
      </c>
      <c r="B3610" s="3"/>
      <c r="C3610" s="3"/>
      <c r="D3610" s="3"/>
      <c r="E3610" s="5" t="str">
        <f>HYPERLINK("https://dpmzos25m8ivg.cloudfront.net/Documentos/631/07395305345/6310739530534510092023204100.pdf","https://dpmzos25m8ivg.cloudfront.net/Documentos/631/07395305345/6310739530534510092023204100.pdf")</f>
        <v>https://dpmzos25m8ivg.cloudfront.net/Documentos/631/07395305345/6310739530534510092023204100.pdf</v>
      </c>
      <c r="F3610" s="5" t="str">
        <f>HYPERLINK("https://dpmzos25m8ivg.cloudfront.net/Documentos/631/07395305345/6310739530534510092023204134.pdf","https://dpmzos25m8ivg.cloudfront.net/Documentos/631/07395305345/6310739530534510092023204134.pdf")</f>
        <v>https://dpmzos25m8ivg.cloudfront.net/Documentos/631/07395305345/6310739530534510092023204134.pdf</v>
      </c>
      <c r="G3610" s="5" t="str">
        <f>HYPERLINK("https://dpmzos25m8ivg.cloudfront.net/Documentos/631/07395305345/6310739530534510092023204248.pdf","https://dpmzos25m8ivg.cloudfront.net/Documentos/631/07395305345/6310739530534510092023204248.pdf")</f>
        <v>https://dpmzos25m8ivg.cloudfront.net/Documentos/631/07395305345/6310739530534510092023204248.pdf</v>
      </c>
      <c r="H3610" s="5" t="s">
        <v>12188</v>
      </c>
    </row>
    <row r="3611" spans="1:8" x14ac:dyDescent="0.25">
      <c r="A3611" s="2" t="s">
        <v>3631</v>
      </c>
      <c r="B3611" s="3"/>
      <c r="C3611" s="3"/>
      <c r="D3611" s="3"/>
      <c r="E3611" s="5" t="str">
        <f>HYPERLINK("https://dpmzos25m8ivg.cloudfront.net/Documentos/631/07396071380/6310739607138009092023214818.pdf","https://dpmzos25m8ivg.cloudfront.net/Documentos/631/07396071380/6310739607138009092023214818.pdf")</f>
        <v>https://dpmzos25m8ivg.cloudfront.net/Documentos/631/07396071380/6310739607138009092023214818.pdf</v>
      </c>
      <c r="F3611" s="5" t="str">
        <f>HYPERLINK("https://dpmzos25m8ivg.cloudfront.net/Documentos/631/07396071380/6310739607138009092023214844.pdf","https://dpmzos25m8ivg.cloudfront.net/Documentos/631/07396071380/6310739607138009092023214844.pdf")</f>
        <v>https://dpmzos25m8ivg.cloudfront.net/Documentos/631/07396071380/6310739607138009092023214844.pdf</v>
      </c>
      <c r="G3611" s="5" t="str">
        <f>HYPERLINK("https://dpmzos25m8ivg.cloudfront.net/Documentos/631/07396071380/6310739607138009092023214904.pdf","https://dpmzos25m8ivg.cloudfront.net/Documentos/631/07396071380/6310739607138009092023214904.pdf")</f>
        <v>https://dpmzos25m8ivg.cloudfront.net/Documentos/631/07396071380/6310739607138009092023214904.pdf</v>
      </c>
      <c r="H3611" s="5" t="s">
        <v>12189</v>
      </c>
    </row>
    <row r="3612" spans="1:8" x14ac:dyDescent="0.25">
      <c r="A3612" s="2" t="s">
        <v>3632</v>
      </c>
      <c r="B3612" s="3"/>
      <c r="C3612" s="3"/>
      <c r="D3612" s="3"/>
      <c r="E3612" s="5" t="str">
        <f>HYPERLINK("https://dpmzos25m8ivg.cloudfront.net/Documentos/631/07397782183/6310739778218305092023205142.pdf","https://dpmzos25m8ivg.cloudfront.net/Documentos/631/07397782183/6310739778218305092023205142.pdf")</f>
        <v>https://dpmzos25m8ivg.cloudfront.net/Documentos/631/07397782183/6310739778218305092023205142.pdf</v>
      </c>
      <c r="F3612" s="5" t="str">
        <f>HYPERLINK("https://dpmzos25m8ivg.cloudfront.net/Documentos/631/07397782183/6310739778218305092023205151.pdf","https://dpmzos25m8ivg.cloudfront.net/Documentos/631/07397782183/6310739778218305092023205151.pdf")</f>
        <v>https://dpmzos25m8ivg.cloudfront.net/Documentos/631/07397782183/6310739778218305092023205151.pdf</v>
      </c>
      <c r="G3612" s="5" t="str">
        <f>HYPERLINK("https://dpmzos25m8ivg.cloudfront.net/Documentos/631/07397782183/6310739778218305092023205159.pdf","https://dpmzos25m8ivg.cloudfront.net/Documentos/631/07397782183/6310739778218305092023205159.pdf")</f>
        <v>https://dpmzos25m8ivg.cloudfront.net/Documentos/631/07397782183/6310739778218305092023205159.pdf</v>
      </c>
      <c r="H3612" s="5" t="s">
        <v>12190</v>
      </c>
    </row>
    <row r="3613" spans="1:8" x14ac:dyDescent="0.25">
      <c r="A3613" s="2" t="s">
        <v>3633</v>
      </c>
      <c r="B3613" s="3"/>
      <c r="C3613" s="3"/>
      <c r="D3613" s="3"/>
      <c r="E3613" s="5" t="str">
        <f>HYPERLINK("https://dpmzos25m8ivg.cloudfront.net/Documentos/631/07398272359/6310739827235906092023165952.pdf","https://dpmzos25m8ivg.cloudfront.net/Documentos/631/07398272359/6310739827235906092023165952.pdf")</f>
        <v>https://dpmzos25m8ivg.cloudfront.net/Documentos/631/07398272359/6310739827235906092023165952.pdf</v>
      </c>
      <c r="F3613" s="5" t="str">
        <f>HYPERLINK("https://dpmzos25m8ivg.cloudfront.net/Documentos/631/07398272359/6310739827235906092023170012.pdf","https://dpmzos25m8ivg.cloudfront.net/Documentos/631/07398272359/6310739827235906092023170012.pdf")</f>
        <v>https://dpmzos25m8ivg.cloudfront.net/Documentos/631/07398272359/6310739827235906092023170012.pdf</v>
      </c>
      <c r="G3613" s="5" t="str">
        <f>HYPERLINK("https://dpmzos25m8ivg.cloudfront.net/Documentos/631/07398272359/6310739827235906092023170027.pdf","https://dpmzos25m8ivg.cloudfront.net/Documentos/631/07398272359/6310739827235906092023170027.pdf")</f>
        <v>https://dpmzos25m8ivg.cloudfront.net/Documentos/631/07398272359/6310739827235906092023170027.pdf</v>
      </c>
      <c r="H3613" s="5" t="s">
        <v>12191</v>
      </c>
    </row>
    <row r="3614" spans="1:8" x14ac:dyDescent="0.25">
      <c r="A3614" s="2" t="s">
        <v>3634</v>
      </c>
      <c r="B3614" s="3" t="s">
        <v>90</v>
      </c>
      <c r="C3614" s="3"/>
      <c r="D3614" s="3"/>
      <c r="E3614" s="5" t="str">
        <f>HYPERLINK("https://dpmzos25m8ivg.cloudfront.net/Documentos/631/07399967385/6310739996738507092023080405.pdf","https://dpmzos25m8ivg.cloudfront.net/Documentos/631/07399967385/6310739996738507092023080405.pdf")</f>
        <v>https://dpmzos25m8ivg.cloudfront.net/Documentos/631/07399967385/6310739996738507092023080405.pdf</v>
      </c>
      <c r="F3614" s="5" t="str">
        <f>HYPERLINK("https://dpmzos25m8ivg.cloudfront.net/Documentos/631/07399967385/6310739996738507092023080417.pdf","https://dpmzos25m8ivg.cloudfront.net/Documentos/631/07399967385/6310739996738507092023080417.pdf")</f>
        <v>https://dpmzos25m8ivg.cloudfront.net/Documentos/631/07399967385/6310739996738507092023080417.pdf</v>
      </c>
      <c r="G3614" s="5" t="str">
        <f>HYPERLINK("https://dpmzos25m8ivg.cloudfront.net/Documentos/631/07399967385/6310739996738507092023080435.pdf","https://dpmzos25m8ivg.cloudfront.net/Documentos/631/07399967385/6310739996738507092023080435.pdf")</f>
        <v>https://dpmzos25m8ivg.cloudfront.net/Documentos/631/07399967385/6310739996738507092023080435.pdf</v>
      </c>
      <c r="H3614" s="5" t="s">
        <v>12192</v>
      </c>
    </row>
    <row r="3615" spans="1:8" x14ac:dyDescent="0.25">
      <c r="A3615" s="2" t="s">
        <v>3635</v>
      </c>
      <c r="B3615" s="3"/>
      <c r="C3615" s="3"/>
      <c r="D3615" s="3"/>
      <c r="E3615" s="5" t="str">
        <f>HYPERLINK("https://dpmzos25m8ivg.cloudfront.net/Documentos/631/07400552759/6310740055275910092023235853.jpg","https://dpmzos25m8ivg.cloudfront.net/Documentos/631/07400552759/6310740055275910092023235853.jpg")</f>
        <v>https://dpmzos25m8ivg.cloudfront.net/Documentos/631/07400552759/6310740055275910092023235853.jpg</v>
      </c>
      <c r="F3615" s="5" t="str">
        <f>HYPERLINK("https://dpmzos25m8ivg.cloudfront.net/Documentos/631/07400552759/6310740055275910092023235942.jpg","https://dpmzos25m8ivg.cloudfront.net/Documentos/631/07400552759/6310740055275910092023235942.jpg")</f>
        <v>https://dpmzos25m8ivg.cloudfront.net/Documentos/631/07400552759/6310740055275910092023235942.jpg</v>
      </c>
      <c r="G3615" s="5" t="str">
        <f>HYPERLINK("https://dpmzos25m8ivg.cloudfront.net/Documentos/631/07400552759/6310740055275911092023000009.jpg","https://dpmzos25m8ivg.cloudfront.net/Documentos/631/07400552759/6310740055275911092023000009.jpg")</f>
        <v>https://dpmzos25m8ivg.cloudfront.net/Documentos/631/07400552759/6310740055275911092023000009.jpg</v>
      </c>
      <c r="H3615" s="5" t="s">
        <v>12193</v>
      </c>
    </row>
    <row r="3616" spans="1:8" x14ac:dyDescent="0.25">
      <c r="A3616" s="2" t="s">
        <v>3636</v>
      </c>
      <c r="B3616" s="3"/>
      <c r="C3616" s="3"/>
      <c r="D3616" s="3"/>
      <c r="E3616" s="5" t="str">
        <f>HYPERLINK("https://dpmzos25m8ivg.cloudfront.net/Documentos/631/07401082470/6310740108247014092023122759.pdf","https://dpmzos25m8ivg.cloudfront.net/Documentos/631/07401082470/6310740108247014092023122759.pdf")</f>
        <v>https://dpmzos25m8ivg.cloudfront.net/Documentos/631/07401082470/6310740108247014092023122759.pdf</v>
      </c>
      <c r="F3616" s="5" t="str">
        <f>HYPERLINK("https://dpmzos25m8ivg.cloudfront.net/Documentos/631/07401082470/6310740108247014092023122817.pdf","https://dpmzos25m8ivg.cloudfront.net/Documentos/631/07401082470/6310740108247014092023122817.pdf")</f>
        <v>https://dpmzos25m8ivg.cloudfront.net/Documentos/631/07401082470/6310740108247014092023122817.pdf</v>
      </c>
      <c r="G3616" s="5" t="str">
        <f>HYPERLINK("https://dpmzos25m8ivg.cloudfront.net/Documentos/631/07401082470/6310740108247014092023122842.pdf","https://dpmzos25m8ivg.cloudfront.net/Documentos/631/07401082470/6310740108247014092023122842.pdf")</f>
        <v>https://dpmzos25m8ivg.cloudfront.net/Documentos/631/07401082470/6310740108247014092023122842.pdf</v>
      </c>
      <c r="H3616" s="5" t="s">
        <v>12194</v>
      </c>
    </row>
    <row r="3617" spans="1:8" x14ac:dyDescent="0.25">
      <c r="A3617" s="2" t="s">
        <v>3637</v>
      </c>
      <c r="B3617" s="3"/>
      <c r="C3617" s="3"/>
      <c r="D3617" s="3"/>
      <c r="E3617" s="5" t="str">
        <f>HYPERLINK("https://dpmzos25m8ivg.cloudfront.net/Documentos/631/07401179555/6310740117955511092023155923.pdf","https://dpmzos25m8ivg.cloudfront.net/Documentos/631/07401179555/6310740117955511092023155923.pdf")</f>
        <v>https://dpmzos25m8ivg.cloudfront.net/Documentos/631/07401179555/6310740117955511092023155923.pdf</v>
      </c>
      <c r="F3617" s="5" t="str">
        <f>HYPERLINK("https://dpmzos25m8ivg.cloudfront.net/Documentos/631/07401179555/6310740117955511092023155929.pdf","https://dpmzos25m8ivg.cloudfront.net/Documentos/631/07401179555/6310740117955511092023155929.pdf")</f>
        <v>https://dpmzos25m8ivg.cloudfront.net/Documentos/631/07401179555/6310740117955511092023155929.pdf</v>
      </c>
      <c r="G3617" s="5" t="str">
        <f>HYPERLINK("https://dpmzos25m8ivg.cloudfront.net/Documentos/631/07401179555/6310740117955511092023155937.pdf","https://dpmzos25m8ivg.cloudfront.net/Documentos/631/07401179555/6310740117955511092023155937.pdf")</f>
        <v>https://dpmzos25m8ivg.cloudfront.net/Documentos/631/07401179555/6310740117955511092023155937.pdf</v>
      </c>
      <c r="H3617" s="5" t="s">
        <v>12195</v>
      </c>
    </row>
    <row r="3618" spans="1:8" x14ac:dyDescent="0.25">
      <c r="A3618" s="2" t="s">
        <v>3638</v>
      </c>
      <c r="B3618" s="3"/>
      <c r="C3618" s="3"/>
      <c r="D3618" s="3"/>
      <c r="E3618" s="5" t="str">
        <f>HYPERLINK("https://dpmzos25m8ivg.cloudfront.net/Documentos/631/07402250300/6310740225030011092023164106.pdf","https://dpmzos25m8ivg.cloudfront.net/Documentos/631/07402250300/6310740225030011092023164106.pdf")</f>
        <v>https://dpmzos25m8ivg.cloudfront.net/Documentos/631/07402250300/6310740225030011092023164106.pdf</v>
      </c>
      <c r="F3618" s="5" t="str">
        <f>HYPERLINK("https://dpmzos25m8ivg.cloudfront.net/Documentos/631/07402250300/6310740225030011092023164117.pdf","https://dpmzos25m8ivg.cloudfront.net/Documentos/631/07402250300/6310740225030011092023164117.pdf")</f>
        <v>https://dpmzos25m8ivg.cloudfront.net/Documentos/631/07402250300/6310740225030011092023164117.pdf</v>
      </c>
      <c r="G3618" s="5" t="str">
        <f>HYPERLINK("https://dpmzos25m8ivg.cloudfront.net/Documentos/631/07402250300/6310740225030011092023164127.pdf","https://dpmzos25m8ivg.cloudfront.net/Documentos/631/07402250300/6310740225030011092023164127.pdf")</f>
        <v>https://dpmzos25m8ivg.cloudfront.net/Documentos/631/07402250300/6310740225030011092023164127.pdf</v>
      </c>
      <c r="H3618" s="5" t="s">
        <v>12196</v>
      </c>
    </row>
    <row r="3619" spans="1:8" x14ac:dyDescent="0.25">
      <c r="A3619" s="2" t="s">
        <v>3639</v>
      </c>
      <c r="B3619" s="3" t="s">
        <v>8</v>
      </c>
      <c r="C3619" s="3"/>
      <c r="D3619" s="3"/>
      <c r="E3619" s="5" t="str">
        <f>HYPERLINK("https://dpmzos25m8ivg.cloudfront.net/Documentos/631/07403103300/6310740310330013092023084346.jpg","https://dpmzos25m8ivg.cloudfront.net/Documentos/631/07403103300/6310740310330013092023084346.jpg")</f>
        <v>https://dpmzos25m8ivg.cloudfront.net/Documentos/631/07403103300/6310740310330013092023084346.jpg</v>
      </c>
      <c r="F3619" s="5" t="str">
        <f>HYPERLINK("https://dpmzos25m8ivg.cloudfront.net/Documentos/631/07403103300/6310740310330013092023084400.jpg","https://dpmzos25m8ivg.cloudfront.net/Documentos/631/07403103300/6310740310330013092023084400.jpg")</f>
        <v>https://dpmzos25m8ivg.cloudfront.net/Documentos/631/07403103300/6310740310330013092023084400.jpg</v>
      </c>
      <c r="G3619" s="5" t="str">
        <f>HYPERLINK("https://dpmzos25m8ivg.cloudfront.net/Documentos/631/07403103300/6310740310330013092023084417.jpg","https://dpmzos25m8ivg.cloudfront.net/Documentos/631/07403103300/6310740310330013092023084417.jpg")</f>
        <v>https://dpmzos25m8ivg.cloudfront.net/Documentos/631/07403103300/6310740310330013092023084417.jpg</v>
      </c>
      <c r="H3619" s="5" t="s">
        <v>12197</v>
      </c>
    </row>
    <row r="3620" spans="1:8" x14ac:dyDescent="0.25">
      <c r="A3620" s="2" t="s">
        <v>3640</v>
      </c>
      <c r="B3620" s="3"/>
      <c r="C3620" s="3"/>
      <c r="D3620" s="3"/>
      <c r="E3620" s="5" t="str">
        <f>HYPERLINK("https://dpmzos25m8ivg.cloudfront.net/Documentos/631/07403384393/6310740338439305092023201820.jpg","https://dpmzos25m8ivg.cloudfront.net/Documentos/631/07403384393/6310740338439305092023201820.jpg")</f>
        <v>https://dpmzos25m8ivg.cloudfront.net/Documentos/631/07403384393/6310740338439305092023201820.jpg</v>
      </c>
      <c r="F3620" s="5" t="str">
        <f>HYPERLINK("https://dpmzos25m8ivg.cloudfront.net/Documentos/631/07403384393/6310740338439305092023201840.jpg","https://dpmzos25m8ivg.cloudfront.net/Documentos/631/07403384393/6310740338439305092023201840.jpg")</f>
        <v>https://dpmzos25m8ivg.cloudfront.net/Documentos/631/07403384393/6310740338439305092023201840.jpg</v>
      </c>
      <c r="G3620" s="5" t="str">
        <f>HYPERLINK("https://dpmzos25m8ivg.cloudfront.net/Documentos/631/07403384393/6310740338439305092023201913.jpg","https://dpmzos25m8ivg.cloudfront.net/Documentos/631/07403384393/6310740338439305092023201913.jpg")</f>
        <v>https://dpmzos25m8ivg.cloudfront.net/Documentos/631/07403384393/6310740338439305092023201913.jpg</v>
      </c>
      <c r="H3620" s="5" t="s">
        <v>12198</v>
      </c>
    </row>
    <row r="3621" spans="1:8" x14ac:dyDescent="0.25">
      <c r="A3621" s="2" t="s">
        <v>3641</v>
      </c>
      <c r="B3621" s="3" t="s">
        <v>42</v>
      </c>
      <c r="C3621" s="3"/>
      <c r="D3621" s="3"/>
      <c r="E3621" s="5" t="str">
        <f>HYPERLINK("https://dpmzos25m8ivg.cloudfront.net/Documentos/631/07406824408/6310740682440811092023154851.jpg","https://dpmzos25m8ivg.cloudfront.net/Documentos/631/07406824408/6310740682440811092023154851.jpg")</f>
        <v>https://dpmzos25m8ivg.cloudfront.net/Documentos/631/07406824408/6310740682440811092023154851.jpg</v>
      </c>
      <c r="F3621" s="5" t="str">
        <f>HYPERLINK("https://dpmzos25m8ivg.cloudfront.net/Documentos/631/07406824408/6310740682440811092023154909.jpg","https://dpmzos25m8ivg.cloudfront.net/Documentos/631/07406824408/6310740682440811092023154909.jpg")</f>
        <v>https://dpmzos25m8ivg.cloudfront.net/Documentos/631/07406824408/6310740682440811092023154909.jpg</v>
      </c>
      <c r="G3621" s="5" t="str">
        <f>HYPERLINK("https://dpmzos25m8ivg.cloudfront.net/Documentos/631/07406824408/6310740682440811092023154928.jpg","https://dpmzos25m8ivg.cloudfront.net/Documentos/631/07406824408/6310740682440811092023154928.jpg")</f>
        <v>https://dpmzos25m8ivg.cloudfront.net/Documentos/631/07406824408/6310740682440811092023154928.jpg</v>
      </c>
      <c r="H3621" s="5" t="s">
        <v>12199</v>
      </c>
    </row>
    <row r="3622" spans="1:8" x14ac:dyDescent="0.25">
      <c r="A3622" s="2" t="s">
        <v>3642</v>
      </c>
      <c r="B3622" s="3"/>
      <c r="C3622" s="3"/>
      <c r="D3622" s="3"/>
      <c r="E3622" s="5" t="str">
        <f>HYPERLINK("https://dpmzos25m8ivg.cloudfront.net/Documentos/631/07408543562/6310740854356214092023001023.pdf","https://dpmzos25m8ivg.cloudfront.net/Documentos/631/07408543562/6310740854356214092023001023.pdf")</f>
        <v>https://dpmzos25m8ivg.cloudfront.net/Documentos/631/07408543562/6310740854356214092023001023.pdf</v>
      </c>
      <c r="F3622" s="5" t="str">
        <f>HYPERLINK("https://dpmzos25m8ivg.cloudfront.net/Documentos/631/07408543562/6310740854356214092023001039.pdf","https://dpmzos25m8ivg.cloudfront.net/Documentos/631/07408543562/6310740854356214092023001039.pdf")</f>
        <v>https://dpmzos25m8ivg.cloudfront.net/Documentos/631/07408543562/6310740854356214092023001039.pdf</v>
      </c>
      <c r="G3622" s="5" t="str">
        <f>HYPERLINK("https://dpmzos25m8ivg.cloudfront.net/Documentos/631/07408543562/6310740854356214092023001102.pdf","https://dpmzos25m8ivg.cloudfront.net/Documentos/631/07408543562/6310740854356214092023001102.pdf")</f>
        <v>https://dpmzos25m8ivg.cloudfront.net/Documentos/631/07408543562/6310740854356214092023001102.pdf</v>
      </c>
      <c r="H3622" s="5" t="s">
        <v>12200</v>
      </c>
    </row>
    <row r="3623" spans="1:8" x14ac:dyDescent="0.25">
      <c r="A3623" s="2" t="s">
        <v>3643</v>
      </c>
      <c r="B3623" s="3"/>
      <c r="C3623" s="3"/>
      <c r="D3623" s="3"/>
      <c r="E3623" s="5" t="str">
        <f>HYPERLINK("https://dpmzos25m8ivg.cloudfront.net/Documentos/631/07408690190/6310740869019008092023181902.pdf","https://dpmzos25m8ivg.cloudfront.net/Documentos/631/07408690190/6310740869019008092023181902.pdf")</f>
        <v>https://dpmzos25m8ivg.cloudfront.net/Documentos/631/07408690190/6310740869019008092023181902.pdf</v>
      </c>
      <c r="F3623" s="5" t="str">
        <f>HYPERLINK("https://dpmzos25m8ivg.cloudfront.net/Documentos/631/07408690190/6310740869019008092023181909.pdf","https://dpmzos25m8ivg.cloudfront.net/Documentos/631/07408690190/6310740869019008092023181909.pdf")</f>
        <v>https://dpmzos25m8ivg.cloudfront.net/Documentos/631/07408690190/6310740869019008092023181909.pdf</v>
      </c>
      <c r="G3623" s="5" t="str">
        <f>HYPERLINK("https://dpmzos25m8ivg.cloudfront.net/Documentos/631/07408690190/6310740869019008092023181918.pdf","https://dpmzos25m8ivg.cloudfront.net/Documentos/631/07408690190/6310740869019008092023181918.pdf")</f>
        <v>https://dpmzos25m8ivg.cloudfront.net/Documentos/631/07408690190/6310740869019008092023181918.pdf</v>
      </c>
      <c r="H3623" s="5" t="s">
        <v>12201</v>
      </c>
    </row>
    <row r="3624" spans="1:8" x14ac:dyDescent="0.25">
      <c r="A3624" s="2" t="s">
        <v>3644</v>
      </c>
      <c r="B3624" s="3"/>
      <c r="C3624" s="3"/>
      <c r="D3624" s="3"/>
      <c r="E3624" s="5" t="str">
        <f>HYPERLINK("https://dpmzos25m8ivg.cloudfront.net/Documentos/631/07413388588/6310741338858811092023165411.pdf","https://dpmzos25m8ivg.cloudfront.net/Documentos/631/07413388588/6310741338858811092023165411.pdf")</f>
        <v>https://dpmzos25m8ivg.cloudfront.net/Documentos/631/07413388588/6310741338858811092023165411.pdf</v>
      </c>
      <c r="F3624" s="5" t="str">
        <f>HYPERLINK("https://dpmzos25m8ivg.cloudfront.net/Documentos/631/07413388588/6310741338858811092023165426.pdf","https://dpmzos25m8ivg.cloudfront.net/Documentos/631/07413388588/6310741338858811092023165426.pdf")</f>
        <v>https://dpmzos25m8ivg.cloudfront.net/Documentos/631/07413388588/6310741338858811092023165426.pdf</v>
      </c>
      <c r="G3624" s="5" t="str">
        <f>HYPERLINK("https://dpmzos25m8ivg.cloudfront.net/Documentos/631/07413388588/6310741338858811092023165442.pdf","https://dpmzos25m8ivg.cloudfront.net/Documentos/631/07413388588/6310741338858811092023165442.pdf")</f>
        <v>https://dpmzos25m8ivg.cloudfront.net/Documentos/631/07413388588/6310741338858811092023165442.pdf</v>
      </c>
      <c r="H3624" s="5" t="s">
        <v>12202</v>
      </c>
    </row>
    <row r="3625" spans="1:8" x14ac:dyDescent="0.25">
      <c r="A3625" s="2" t="s">
        <v>3645</v>
      </c>
      <c r="B3625" s="3"/>
      <c r="C3625" s="3"/>
      <c r="D3625" s="3"/>
      <c r="E3625" s="5" t="str">
        <f>HYPERLINK("https://dpmzos25m8ivg.cloudfront.net/Documentos/631/07413746174/6310741374617410092023175031.jpeg","https://dpmzos25m8ivg.cloudfront.net/Documentos/631/07413746174/6310741374617410092023175031.jpeg")</f>
        <v>https://dpmzos25m8ivg.cloudfront.net/Documentos/631/07413746174/6310741374617410092023175031.jpeg</v>
      </c>
      <c r="F3625" s="5" t="str">
        <f>HYPERLINK("https://dpmzos25m8ivg.cloudfront.net/Documentos/631/07413746174/6310741374617410092023175057.jpeg","https://dpmzos25m8ivg.cloudfront.net/Documentos/631/07413746174/6310741374617410092023175057.jpeg")</f>
        <v>https://dpmzos25m8ivg.cloudfront.net/Documentos/631/07413746174/6310741374617410092023175057.jpeg</v>
      </c>
      <c r="G3625" s="5" t="str">
        <f>HYPERLINK("https://dpmzos25m8ivg.cloudfront.net/Documentos/631/07413746174/6310741374617410092023175113.jpeg","https://dpmzos25m8ivg.cloudfront.net/Documentos/631/07413746174/6310741374617410092023175113.jpeg")</f>
        <v>https://dpmzos25m8ivg.cloudfront.net/Documentos/631/07413746174/6310741374617410092023175113.jpeg</v>
      </c>
      <c r="H3625" s="5" t="s">
        <v>12203</v>
      </c>
    </row>
    <row r="3626" spans="1:8" x14ac:dyDescent="0.25">
      <c r="A3626" s="2" t="s">
        <v>3646</v>
      </c>
      <c r="B3626" s="3"/>
      <c r="C3626" s="3"/>
      <c r="D3626" s="3"/>
      <c r="E3626" s="5" t="str">
        <f>HYPERLINK("https://dpmzos25m8ivg.cloudfront.net/Documentos/631/07415476190/6310741547619005092023234101.jpeg","https://dpmzos25m8ivg.cloudfront.net/Documentos/631/07415476190/6310741547619005092023234101.jpeg")</f>
        <v>https://dpmzos25m8ivg.cloudfront.net/Documentos/631/07415476190/6310741547619005092023234101.jpeg</v>
      </c>
      <c r="F3626" s="5" t="str">
        <f>HYPERLINK("https://dpmzos25m8ivg.cloudfront.net/Documentos/631/07415476190/6310741547619005092023234112.jpeg","https://dpmzos25m8ivg.cloudfront.net/Documentos/631/07415476190/6310741547619005092023234112.jpeg")</f>
        <v>https://dpmzos25m8ivg.cloudfront.net/Documentos/631/07415476190/6310741547619005092023234112.jpeg</v>
      </c>
      <c r="G3626" s="5" t="str">
        <f>HYPERLINK("https://dpmzos25m8ivg.cloudfront.net/Documentos/631/07415476190/6310741547619005092023234131.jpeg","https://dpmzos25m8ivg.cloudfront.net/Documentos/631/07415476190/6310741547619005092023234131.jpeg")</f>
        <v>https://dpmzos25m8ivg.cloudfront.net/Documentos/631/07415476190/6310741547619005092023234131.jpeg</v>
      </c>
      <c r="H3626" s="5" t="s">
        <v>12204</v>
      </c>
    </row>
    <row r="3627" spans="1:8" x14ac:dyDescent="0.25">
      <c r="A3627" s="2" t="s">
        <v>3647</v>
      </c>
      <c r="B3627" s="3" t="s">
        <v>8</v>
      </c>
      <c r="C3627" s="3"/>
      <c r="D3627" s="3"/>
      <c r="E3627" s="5" t="str">
        <f>HYPERLINK("https://dpmzos25m8ivg.cloudfront.net/Documentos/631/07416435374/6310741643537405092023122159.pdf","https://dpmzos25m8ivg.cloudfront.net/Documentos/631/07416435374/6310741643537405092023122159.pdf")</f>
        <v>https://dpmzos25m8ivg.cloudfront.net/Documentos/631/07416435374/6310741643537405092023122159.pdf</v>
      </c>
      <c r="F3627" s="5" t="str">
        <f>HYPERLINK("https://dpmzos25m8ivg.cloudfront.net/Documentos/631/07416435374/6310741643537405092023122213.pdf","https://dpmzos25m8ivg.cloudfront.net/Documentos/631/07416435374/6310741643537405092023122213.pdf")</f>
        <v>https://dpmzos25m8ivg.cloudfront.net/Documentos/631/07416435374/6310741643537405092023122213.pdf</v>
      </c>
      <c r="G3627" s="5" t="str">
        <f>HYPERLINK("https://dpmzos25m8ivg.cloudfront.net/Documentos/631/07416435374/6310741643537405092023122222.pdf","https://dpmzos25m8ivg.cloudfront.net/Documentos/631/07416435374/6310741643537405092023122222.pdf")</f>
        <v>https://dpmzos25m8ivg.cloudfront.net/Documentos/631/07416435374/6310741643537405092023122222.pdf</v>
      </c>
      <c r="H3627" s="5" t="s">
        <v>12205</v>
      </c>
    </row>
    <row r="3628" spans="1:8" x14ac:dyDescent="0.25">
      <c r="A3628" s="2" t="s">
        <v>3648</v>
      </c>
      <c r="B3628" s="3"/>
      <c r="C3628" s="3"/>
      <c r="D3628" s="3"/>
      <c r="E3628" s="5" t="str">
        <f>HYPERLINK("https://dpmzos25m8ivg.cloudfront.net/Documentos/631/07416937710/6310741693771009092023185401.pdf","https://dpmzos25m8ivg.cloudfront.net/Documentos/631/07416937710/6310741693771009092023185401.pdf")</f>
        <v>https://dpmzos25m8ivg.cloudfront.net/Documentos/631/07416937710/6310741693771009092023185401.pdf</v>
      </c>
      <c r="F3628" s="5" t="str">
        <f>HYPERLINK("https://dpmzos25m8ivg.cloudfront.net/Documentos/631/07416937710/6310741693771009092023185414.pdf","https://dpmzos25m8ivg.cloudfront.net/Documentos/631/07416937710/6310741693771009092023185414.pdf")</f>
        <v>https://dpmzos25m8ivg.cloudfront.net/Documentos/631/07416937710/6310741693771009092023185414.pdf</v>
      </c>
      <c r="G3628" s="5" t="str">
        <f>HYPERLINK("https://dpmzos25m8ivg.cloudfront.net/Documentos/631/07416937710/6310741693771009092023185428.pdf","https://dpmzos25m8ivg.cloudfront.net/Documentos/631/07416937710/6310741693771009092023185428.pdf")</f>
        <v>https://dpmzos25m8ivg.cloudfront.net/Documentos/631/07416937710/6310741693771009092023185428.pdf</v>
      </c>
      <c r="H3628" s="5" t="s">
        <v>12206</v>
      </c>
    </row>
    <row r="3629" spans="1:8" x14ac:dyDescent="0.25">
      <c r="A3629" s="2" t="s">
        <v>3649</v>
      </c>
      <c r="B3629" s="3" t="s">
        <v>42</v>
      </c>
      <c r="C3629" s="3"/>
      <c r="D3629" s="3"/>
      <c r="E3629" s="5" t="str">
        <f>HYPERLINK("https://dpmzos25m8ivg.cloudfront.net/Documentos/631/07424756389/6310742475638913092023192354.jpeg","https://dpmzos25m8ivg.cloudfront.net/Documentos/631/07424756389/6310742475638913092023192354.jpeg")</f>
        <v>https://dpmzos25m8ivg.cloudfront.net/Documentos/631/07424756389/6310742475638913092023192354.jpeg</v>
      </c>
      <c r="F3629" s="5" t="str">
        <f>HYPERLINK("https://dpmzos25m8ivg.cloudfront.net/Documentos/631/07424756389/6310742475638913092023193416.jpeg","https://dpmzos25m8ivg.cloudfront.net/Documentos/631/07424756389/6310742475638913092023193416.jpeg")</f>
        <v>https://dpmzos25m8ivg.cloudfront.net/Documentos/631/07424756389/6310742475638913092023193416.jpeg</v>
      </c>
      <c r="G3629" s="5" t="str">
        <f>HYPERLINK("https://dpmzos25m8ivg.cloudfront.net/Documentos/631/07424756389/6310742475638913092023193427.jpeg","https://dpmzos25m8ivg.cloudfront.net/Documentos/631/07424756389/6310742475638913092023193427.jpeg")</f>
        <v>https://dpmzos25m8ivg.cloudfront.net/Documentos/631/07424756389/6310742475638913092023193427.jpeg</v>
      </c>
      <c r="H3629" s="5" t="s">
        <v>12207</v>
      </c>
    </row>
    <row r="3630" spans="1:8" x14ac:dyDescent="0.25">
      <c r="A3630" s="2" t="s">
        <v>3650</v>
      </c>
      <c r="B3630" s="3"/>
      <c r="C3630" s="3"/>
      <c r="D3630" s="3"/>
      <c r="E3630" s="5" t="str">
        <f>HYPERLINK("https://dpmzos25m8ivg.cloudfront.net/Documentos/631/07428538106/6310742853810609092023122722.pdf","https://dpmzos25m8ivg.cloudfront.net/Documentos/631/07428538106/6310742853810609092023122722.pdf")</f>
        <v>https://dpmzos25m8ivg.cloudfront.net/Documentos/631/07428538106/6310742853810609092023122722.pdf</v>
      </c>
      <c r="F3630" s="5" t="str">
        <f>HYPERLINK("https://dpmzos25m8ivg.cloudfront.net/Documentos/631/07428538106/6310742853810609092023122750.pdf","https://dpmzos25m8ivg.cloudfront.net/Documentos/631/07428538106/6310742853810609092023122750.pdf")</f>
        <v>https://dpmzos25m8ivg.cloudfront.net/Documentos/631/07428538106/6310742853810609092023122750.pdf</v>
      </c>
      <c r="G3630" s="5" t="str">
        <f>HYPERLINK("https://dpmzos25m8ivg.cloudfront.net/Documentos/631/07428538106/6310742853810609092023122818.pdf","https://dpmzos25m8ivg.cloudfront.net/Documentos/631/07428538106/6310742853810609092023122818.pdf")</f>
        <v>https://dpmzos25m8ivg.cloudfront.net/Documentos/631/07428538106/6310742853810609092023122818.pdf</v>
      </c>
      <c r="H3630" s="5" t="s">
        <v>12208</v>
      </c>
    </row>
    <row r="3631" spans="1:8" x14ac:dyDescent="0.25">
      <c r="A3631" s="2" t="s">
        <v>3651</v>
      </c>
      <c r="B3631" s="3"/>
      <c r="C3631" s="3"/>
      <c r="D3631" s="3"/>
      <c r="E3631" s="5" t="str">
        <f>HYPERLINK("https://dpmzos25m8ivg.cloudfront.net/Documentos/631/07430823386/6310743082338611092023124216.jpeg","https://dpmzos25m8ivg.cloudfront.net/Documentos/631/07430823386/6310743082338611092023124216.jpeg")</f>
        <v>https://dpmzos25m8ivg.cloudfront.net/Documentos/631/07430823386/6310743082338611092023124216.jpeg</v>
      </c>
      <c r="F3631" s="5" t="str">
        <f>HYPERLINK("https://dpmzos25m8ivg.cloudfront.net/Documentos/631/07430823386/6310743082338611092023124225.jpeg","https://dpmzos25m8ivg.cloudfront.net/Documentos/631/07430823386/6310743082338611092023124225.jpeg")</f>
        <v>https://dpmzos25m8ivg.cloudfront.net/Documentos/631/07430823386/6310743082338611092023124225.jpeg</v>
      </c>
      <c r="G3631" s="5" t="str">
        <f>HYPERLINK("https://dpmzos25m8ivg.cloudfront.net/Documentos/631/07430823386/6310743082338611092023124243.jpeg","https://dpmzos25m8ivg.cloudfront.net/Documentos/631/07430823386/6310743082338611092023124243.jpeg")</f>
        <v>https://dpmzos25m8ivg.cloudfront.net/Documentos/631/07430823386/6310743082338611092023124243.jpeg</v>
      </c>
      <c r="H3631" s="5" t="s">
        <v>12209</v>
      </c>
    </row>
    <row r="3632" spans="1:8" x14ac:dyDescent="0.25">
      <c r="A3632" s="2" t="s">
        <v>3652</v>
      </c>
      <c r="B3632" s="3"/>
      <c r="C3632" s="3"/>
      <c r="D3632" s="3"/>
      <c r="E3632" s="5" t="str">
        <f>HYPERLINK("https://dpmzos25m8ivg.cloudfront.net/Documentos/631/07432457174/6310743245717407092023164908.pdf","https://dpmzos25m8ivg.cloudfront.net/Documentos/631/07432457174/6310743245717407092023164908.pdf")</f>
        <v>https://dpmzos25m8ivg.cloudfront.net/Documentos/631/07432457174/6310743245717407092023164908.pdf</v>
      </c>
      <c r="F3632" s="5" t="str">
        <f>HYPERLINK("https://dpmzos25m8ivg.cloudfront.net/Documentos/631/07432457174/6310743245717407092023164932.pdf","https://dpmzos25m8ivg.cloudfront.net/Documentos/631/07432457174/6310743245717407092023164932.pdf")</f>
        <v>https://dpmzos25m8ivg.cloudfront.net/Documentos/631/07432457174/6310743245717407092023164932.pdf</v>
      </c>
      <c r="G3632" s="5" t="str">
        <f>HYPERLINK("https://dpmzos25m8ivg.cloudfront.net/Documentos/631/07432457174/6310743245717407092023164946.pdf","https://dpmzos25m8ivg.cloudfront.net/Documentos/631/07432457174/6310743245717407092023164946.pdf")</f>
        <v>https://dpmzos25m8ivg.cloudfront.net/Documentos/631/07432457174/6310743245717407092023164946.pdf</v>
      </c>
      <c r="H3632" s="5" t="s">
        <v>12210</v>
      </c>
    </row>
    <row r="3633" spans="1:8" x14ac:dyDescent="0.25">
      <c r="A3633" s="2" t="s">
        <v>3653</v>
      </c>
      <c r="B3633" s="3"/>
      <c r="C3633" s="3"/>
      <c r="D3633" s="3"/>
      <c r="E3633" s="5" t="str">
        <f>HYPERLINK("https://dpmzos25m8ivg.cloudfront.net/Documentos/631/07434802529/6310743480252906092023160303.pdf","https://dpmzos25m8ivg.cloudfront.net/Documentos/631/07434802529/6310743480252906092023160303.pdf")</f>
        <v>https://dpmzos25m8ivg.cloudfront.net/Documentos/631/07434802529/6310743480252906092023160303.pdf</v>
      </c>
      <c r="F3633" s="5" t="str">
        <f>HYPERLINK("https://dpmzos25m8ivg.cloudfront.net/Documentos/631/07434802529/6310743480252906092023160312.pdf","https://dpmzos25m8ivg.cloudfront.net/Documentos/631/07434802529/6310743480252906092023160312.pdf")</f>
        <v>https://dpmzos25m8ivg.cloudfront.net/Documentos/631/07434802529/6310743480252906092023160312.pdf</v>
      </c>
      <c r="G3633" s="5" t="str">
        <f>HYPERLINK("https://dpmzos25m8ivg.cloudfront.net/Documentos/631/07434802529/6310743480252906092023160320.pdf","https://dpmzos25m8ivg.cloudfront.net/Documentos/631/07434802529/6310743480252906092023160320.pdf")</f>
        <v>https://dpmzos25m8ivg.cloudfront.net/Documentos/631/07434802529/6310743480252906092023160320.pdf</v>
      </c>
      <c r="H3633" s="5" t="s">
        <v>12211</v>
      </c>
    </row>
    <row r="3634" spans="1:8" x14ac:dyDescent="0.25">
      <c r="A3634" s="2" t="s">
        <v>3654</v>
      </c>
      <c r="B3634" s="3"/>
      <c r="C3634" s="3"/>
      <c r="D3634" s="3"/>
      <c r="E3634" s="5" t="str">
        <f>HYPERLINK("https://dpmzos25m8ivg.cloudfront.net/Documentos/631/07435694150/6310743569415011092023101615.jpeg","https://dpmzos25m8ivg.cloudfront.net/Documentos/631/07435694150/6310743569415011092023101615.jpeg")</f>
        <v>https://dpmzos25m8ivg.cloudfront.net/Documentos/631/07435694150/6310743569415011092023101615.jpeg</v>
      </c>
      <c r="F3634" s="5" t="str">
        <f>HYPERLINK("https://dpmzos25m8ivg.cloudfront.net/Documentos/631/07435694150/6310743569415011092023101629.jpeg","https://dpmzos25m8ivg.cloudfront.net/Documentos/631/07435694150/6310743569415011092023101629.jpeg")</f>
        <v>https://dpmzos25m8ivg.cloudfront.net/Documentos/631/07435694150/6310743569415011092023101629.jpeg</v>
      </c>
      <c r="G3634" s="5" t="str">
        <f>HYPERLINK("https://dpmzos25m8ivg.cloudfront.net/Documentos/631/07435694150/6310743569415011092023101645.jpeg","https://dpmzos25m8ivg.cloudfront.net/Documentos/631/07435694150/6310743569415011092023101645.jpeg")</f>
        <v>https://dpmzos25m8ivg.cloudfront.net/Documentos/631/07435694150/6310743569415011092023101645.jpeg</v>
      </c>
      <c r="H3634" s="5" t="s">
        <v>12212</v>
      </c>
    </row>
    <row r="3635" spans="1:8" x14ac:dyDescent="0.25">
      <c r="A3635" s="2" t="s">
        <v>3655</v>
      </c>
      <c r="B3635" s="3"/>
      <c r="C3635" s="3"/>
      <c r="D3635" s="3"/>
      <c r="E3635" s="5" t="str">
        <f>HYPERLINK("https://dpmzos25m8ivg.cloudfront.net/Documentos/631/07435712400/6310743571240011092023161517.pdf","https://dpmzos25m8ivg.cloudfront.net/Documentos/631/07435712400/6310743571240011092023161517.pdf")</f>
        <v>https://dpmzos25m8ivg.cloudfront.net/Documentos/631/07435712400/6310743571240011092023161517.pdf</v>
      </c>
      <c r="F3635" s="5" t="str">
        <f>HYPERLINK("https://dpmzos25m8ivg.cloudfront.net/Documentos/631/07435712400/6310743571240011092023161526.pdf","https://dpmzos25m8ivg.cloudfront.net/Documentos/631/07435712400/6310743571240011092023161526.pdf")</f>
        <v>https://dpmzos25m8ivg.cloudfront.net/Documentos/631/07435712400/6310743571240011092023161526.pdf</v>
      </c>
      <c r="G3635" s="5" t="str">
        <f>HYPERLINK("https://dpmzos25m8ivg.cloudfront.net/Documentos/631/07435712400/6310743571240011092023161538.pdf","https://dpmzos25m8ivg.cloudfront.net/Documentos/631/07435712400/6310743571240011092023161538.pdf")</f>
        <v>https://dpmzos25m8ivg.cloudfront.net/Documentos/631/07435712400/6310743571240011092023161538.pdf</v>
      </c>
      <c r="H3635" s="5" t="s">
        <v>12213</v>
      </c>
    </row>
    <row r="3636" spans="1:8" x14ac:dyDescent="0.25">
      <c r="A3636" s="2" t="s">
        <v>3656</v>
      </c>
      <c r="B3636" s="3"/>
      <c r="C3636" s="3"/>
      <c r="D3636" s="3"/>
      <c r="E3636" s="5" t="str">
        <f>HYPERLINK("https://dpmzos25m8ivg.cloudfront.net/Documentos/631/07435870307/6310743587030714092023133104.jpg","https://dpmzos25m8ivg.cloudfront.net/Documentos/631/07435870307/6310743587030714092023133104.jpg")</f>
        <v>https://dpmzos25m8ivg.cloudfront.net/Documentos/631/07435870307/6310743587030714092023133104.jpg</v>
      </c>
      <c r="F3636" s="5" t="str">
        <f>HYPERLINK("https://dpmzos25m8ivg.cloudfront.net/Documentos/631/07435870307/6310743587030714092023133127.jpg","https://dpmzos25m8ivg.cloudfront.net/Documentos/631/07435870307/6310743587030714092023133127.jpg")</f>
        <v>https://dpmzos25m8ivg.cloudfront.net/Documentos/631/07435870307/6310743587030714092023133127.jpg</v>
      </c>
      <c r="G3636" s="5" t="str">
        <f>HYPERLINK("https://dpmzos25m8ivg.cloudfront.net/Documentos/631/07435870307/6310743587030714092023133201.jpg","https://dpmzos25m8ivg.cloudfront.net/Documentos/631/07435870307/6310743587030714092023133201.jpg")</f>
        <v>https://dpmzos25m8ivg.cloudfront.net/Documentos/631/07435870307/6310743587030714092023133201.jpg</v>
      </c>
      <c r="H3636" s="5" t="s">
        <v>12214</v>
      </c>
    </row>
    <row r="3637" spans="1:8" x14ac:dyDescent="0.25">
      <c r="A3637" s="2" t="s">
        <v>3657</v>
      </c>
      <c r="B3637" s="3"/>
      <c r="C3637" s="3"/>
      <c r="D3637" s="3"/>
      <c r="E3637" s="5" t="str">
        <f>HYPERLINK("https://dpmzos25m8ivg.cloudfront.net/Documentos/631/07436430548/6310743643054811092023154035.pdf","https://dpmzos25m8ivg.cloudfront.net/Documentos/631/07436430548/6310743643054811092023154035.pdf")</f>
        <v>https://dpmzos25m8ivg.cloudfront.net/Documentos/631/07436430548/6310743643054811092023154035.pdf</v>
      </c>
      <c r="F3637" s="5" t="str">
        <f>HYPERLINK("https://dpmzos25m8ivg.cloudfront.net/Documentos/631/07436430548/6310743643054811092023154045.pdf","https://dpmzos25m8ivg.cloudfront.net/Documentos/631/07436430548/6310743643054811092023154045.pdf")</f>
        <v>https://dpmzos25m8ivg.cloudfront.net/Documentos/631/07436430548/6310743643054811092023154045.pdf</v>
      </c>
      <c r="G3637" s="5" t="str">
        <f>HYPERLINK("https://dpmzos25m8ivg.cloudfront.net/Documentos/631/07436430548/6310743643054811092023154058.pdf","https://dpmzos25m8ivg.cloudfront.net/Documentos/631/07436430548/6310743643054811092023154058.pdf")</f>
        <v>https://dpmzos25m8ivg.cloudfront.net/Documentos/631/07436430548/6310743643054811092023154058.pdf</v>
      </c>
      <c r="H3637" s="5" t="s">
        <v>12215</v>
      </c>
    </row>
    <row r="3638" spans="1:8" x14ac:dyDescent="0.25">
      <c r="A3638" s="2" t="s">
        <v>3658</v>
      </c>
      <c r="B3638" s="3"/>
      <c r="C3638" s="3"/>
      <c r="D3638" s="3"/>
      <c r="E3638" s="5" t="str">
        <f>HYPERLINK("https://dpmzos25m8ivg.cloudfront.net/Documentos/631/07437589354/6310743758935410092023221431.pdf","https://dpmzos25m8ivg.cloudfront.net/Documentos/631/07437589354/6310743758935410092023221431.pdf")</f>
        <v>https://dpmzos25m8ivg.cloudfront.net/Documentos/631/07437589354/6310743758935410092023221431.pdf</v>
      </c>
      <c r="F3638" s="5" t="str">
        <f>HYPERLINK("https://dpmzos25m8ivg.cloudfront.net/Documentos/631/07437589354/6310743758935410092023221444.pdf","https://dpmzos25m8ivg.cloudfront.net/Documentos/631/07437589354/6310743758935410092023221444.pdf")</f>
        <v>https://dpmzos25m8ivg.cloudfront.net/Documentos/631/07437589354/6310743758935410092023221444.pdf</v>
      </c>
      <c r="G3638" s="5" t="str">
        <f>HYPERLINK("https://dpmzos25m8ivg.cloudfront.net/Documentos/631/07437589354/6310743758935410092023221454.pdf","https://dpmzos25m8ivg.cloudfront.net/Documentos/631/07437589354/6310743758935410092023221454.pdf")</f>
        <v>https://dpmzos25m8ivg.cloudfront.net/Documentos/631/07437589354/6310743758935410092023221454.pdf</v>
      </c>
      <c r="H3638" s="5" t="s">
        <v>12216</v>
      </c>
    </row>
    <row r="3639" spans="1:8" x14ac:dyDescent="0.25">
      <c r="A3639" s="2" t="s">
        <v>3659</v>
      </c>
      <c r="B3639" s="3"/>
      <c r="C3639" s="3"/>
      <c r="D3639" s="3"/>
      <c r="E3639" s="5" t="str">
        <f>HYPERLINK("https://dpmzos25m8ivg.cloudfront.net/Documentos/631/07438122395/6310743812239507092023223347.pdf","https://dpmzos25m8ivg.cloudfront.net/Documentos/631/07438122395/6310743812239507092023223347.pdf")</f>
        <v>https://dpmzos25m8ivg.cloudfront.net/Documentos/631/07438122395/6310743812239507092023223347.pdf</v>
      </c>
      <c r="F3639" s="5" t="str">
        <f>HYPERLINK("https://dpmzos25m8ivg.cloudfront.net/Documentos/631/07438122395/6310743812239507092023223401.pdf","https://dpmzos25m8ivg.cloudfront.net/Documentos/631/07438122395/6310743812239507092023223401.pdf")</f>
        <v>https://dpmzos25m8ivg.cloudfront.net/Documentos/631/07438122395/6310743812239507092023223401.pdf</v>
      </c>
      <c r="G3639" s="5" t="str">
        <f>HYPERLINK("https://dpmzos25m8ivg.cloudfront.net/Documentos/631/07438122395/6310743812239507092023223439.pdf","https://dpmzos25m8ivg.cloudfront.net/Documentos/631/07438122395/6310743812239507092023223439.pdf")</f>
        <v>https://dpmzos25m8ivg.cloudfront.net/Documentos/631/07438122395/6310743812239507092023223439.pdf</v>
      </c>
      <c r="H3639" s="5" t="s">
        <v>12217</v>
      </c>
    </row>
    <row r="3640" spans="1:8" x14ac:dyDescent="0.25">
      <c r="A3640" s="2" t="s">
        <v>3660</v>
      </c>
      <c r="B3640" s="3"/>
      <c r="C3640" s="3"/>
      <c r="D3640" s="3"/>
      <c r="E3640" s="5" t="str">
        <f>HYPERLINK("https://dpmzos25m8ivg.cloudfront.net/Documentos/631/07438513408/6310743851340805092023190627.pdf","https://dpmzos25m8ivg.cloudfront.net/Documentos/631/07438513408/6310743851340805092023190627.pdf")</f>
        <v>https://dpmzos25m8ivg.cloudfront.net/Documentos/631/07438513408/6310743851340805092023190627.pdf</v>
      </c>
      <c r="F3640" s="5" t="str">
        <f>HYPERLINK("https://dpmzos25m8ivg.cloudfront.net/Documentos/631/07438513408/6310743851340805092023190615.pdf","https://dpmzos25m8ivg.cloudfront.net/Documentos/631/07438513408/6310743851340805092023190615.pdf")</f>
        <v>https://dpmzos25m8ivg.cloudfront.net/Documentos/631/07438513408/6310743851340805092023190615.pdf</v>
      </c>
      <c r="G3640" s="5" t="str">
        <f>HYPERLINK("https://dpmzos25m8ivg.cloudfront.net/Documentos/631/07438513408/6310743851340805092023190604.pdf","https://dpmzos25m8ivg.cloudfront.net/Documentos/631/07438513408/6310743851340805092023190604.pdf")</f>
        <v>https://dpmzos25m8ivg.cloudfront.net/Documentos/631/07438513408/6310743851340805092023190604.pdf</v>
      </c>
      <c r="H3640" s="5" t="s">
        <v>12218</v>
      </c>
    </row>
    <row r="3641" spans="1:8" x14ac:dyDescent="0.25">
      <c r="A3641" s="2" t="s">
        <v>3661</v>
      </c>
      <c r="B3641" s="3"/>
      <c r="C3641" s="3"/>
      <c r="D3641" s="3"/>
      <c r="E3641" s="5" t="str">
        <f>HYPERLINK("https://dpmzos25m8ivg.cloudfront.net/Documentos/631/07441086329/6310744108632911092023010937.pdf","https://dpmzos25m8ivg.cloudfront.net/Documentos/631/07441086329/6310744108632911092023010937.pdf")</f>
        <v>https://dpmzos25m8ivg.cloudfront.net/Documentos/631/07441086329/6310744108632911092023010937.pdf</v>
      </c>
      <c r="F3641" s="5" t="str">
        <f>HYPERLINK("https://dpmzos25m8ivg.cloudfront.net/Documentos/631/07441086329/6310744108632911092023010951.pdf","https://dpmzos25m8ivg.cloudfront.net/Documentos/631/07441086329/6310744108632911092023010951.pdf")</f>
        <v>https://dpmzos25m8ivg.cloudfront.net/Documentos/631/07441086329/6310744108632911092023010951.pdf</v>
      </c>
      <c r="G3641" s="5" t="str">
        <f>HYPERLINK("https://dpmzos25m8ivg.cloudfront.net/Documentos/631/07441086329/6310744108632911092023011004.pdf","https://dpmzos25m8ivg.cloudfront.net/Documentos/631/07441086329/6310744108632911092023011004.pdf")</f>
        <v>https://dpmzos25m8ivg.cloudfront.net/Documentos/631/07441086329/6310744108632911092023011004.pdf</v>
      </c>
      <c r="H3641" s="5" t="s">
        <v>12219</v>
      </c>
    </row>
    <row r="3642" spans="1:8" x14ac:dyDescent="0.25">
      <c r="A3642" s="2" t="s">
        <v>3662</v>
      </c>
      <c r="B3642" s="3"/>
      <c r="C3642" s="3"/>
      <c r="D3642" s="3"/>
      <c r="E3642" s="5" t="str">
        <f>HYPERLINK("https://dpmzos25m8ivg.cloudfront.net/Documentos/631/07444786186/6310744478618611092023132703.pdf","https://dpmzos25m8ivg.cloudfront.net/Documentos/631/07444786186/6310744478618611092023132703.pdf")</f>
        <v>https://dpmzos25m8ivg.cloudfront.net/Documentos/631/07444786186/6310744478618611092023132703.pdf</v>
      </c>
      <c r="F3642" s="5" t="str">
        <f>HYPERLINK("https://dpmzos25m8ivg.cloudfront.net/Documentos/631/07444786186/6310744478618611092023132715.pdf","https://dpmzos25m8ivg.cloudfront.net/Documentos/631/07444786186/6310744478618611092023132715.pdf")</f>
        <v>https://dpmzos25m8ivg.cloudfront.net/Documentos/631/07444786186/6310744478618611092023132715.pdf</v>
      </c>
      <c r="G3642" s="5" t="str">
        <f>HYPERLINK("https://dpmzos25m8ivg.cloudfront.net/Documentos/631/07444786186/6310744478618611092023132735.pdf","https://dpmzos25m8ivg.cloudfront.net/Documentos/631/07444786186/6310744478618611092023132735.pdf")</f>
        <v>https://dpmzos25m8ivg.cloudfront.net/Documentos/631/07444786186/6310744478618611092023132735.pdf</v>
      </c>
      <c r="H3642" s="5" t="s">
        <v>12220</v>
      </c>
    </row>
    <row r="3643" spans="1:8" x14ac:dyDescent="0.25">
      <c r="A3643" s="2" t="s">
        <v>3663</v>
      </c>
      <c r="B3643" s="3" t="s">
        <v>90</v>
      </c>
      <c r="C3643" s="3"/>
      <c r="D3643" s="3"/>
      <c r="E3643" s="5" t="str">
        <f>HYPERLINK("https://dpmzos25m8ivg.cloudfront.net/Documentos/631/07445090339/6310744509033911092023161956.pdf","https://dpmzos25m8ivg.cloudfront.net/Documentos/631/07445090339/6310744509033911092023161956.pdf")</f>
        <v>https://dpmzos25m8ivg.cloudfront.net/Documentos/631/07445090339/6310744509033911092023161956.pdf</v>
      </c>
      <c r="F3643" s="5" t="str">
        <f>HYPERLINK("https://dpmzos25m8ivg.cloudfront.net/Documentos/631/07445090339/6310744509033911092023162017.pdf","https://dpmzos25m8ivg.cloudfront.net/Documentos/631/07445090339/6310744509033911092023162017.pdf")</f>
        <v>https://dpmzos25m8ivg.cloudfront.net/Documentos/631/07445090339/6310744509033911092023162017.pdf</v>
      </c>
      <c r="G3643" s="5" t="str">
        <f>HYPERLINK("https://dpmzos25m8ivg.cloudfront.net/Documentos/631/07445090339/6310744509033911092023162121.pdf","https://dpmzos25m8ivg.cloudfront.net/Documentos/631/07445090339/6310744509033911092023162121.pdf")</f>
        <v>https://dpmzos25m8ivg.cloudfront.net/Documentos/631/07445090339/6310744509033911092023162121.pdf</v>
      </c>
      <c r="H3643" s="5" t="s">
        <v>12221</v>
      </c>
    </row>
    <row r="3644" spans="1:8" x14ac:dyDescent="0.25">
      <c r="A3644" s="2" t="s">
        <v>3664</v>
      </c>
      <c r="B3644" s="3"/>
      <c r="C3644" s="3"/>
      <c r="D3644" s="3"/>
      <c r="E3644" s="5" t="str">
        <f>HYPERLINK("https://dpmzos25m8ivg.cloudfront.net/Documentos/631/07445932399/6310744593239908092023163212.pdf","https://dpmzos25m8ivg.cloudfront.net/Documentos/631/07445932399/6310744593239908092023163212.pdf")</f>
        <v>https://dpmzos25m8ivg.cloudfront.net/Documentos/631/07445932399/6310744593239908092023163212.pdf</v>
      </c>
      <c r="F3644" s="5" t="str">
        <f>HYPERLINK("https://dpmzos25m8ivg.cloudfront.net/Documentos/631/07445932399/6310744593239908092023163221.pdf","https://dpmzos25m8ivg.cloudfront.net/Documentos/631/07445932399/6310744593239908092023163221.pdf")</f>
        <v>https://dpmzos25m8ivg.cloudfront.net/Documentos/631/07445932399/6310744593239908092023163221.pdf</v>
      </c>
      <c r="G3644" s="5" t="str">
        <f>HYPERLINK("https://dpmzos25m8ivg.cloudfront.net/Documentos/631/07445932399/6310744593239908092023163230.pdf","https://dpmzos25m8ivg.cloudfront.net/Documentos/631/07445932399/6310744593239908092023163230.pdf")</f>
        <v>https://dpmzos25m8ivg.cloudfront.net/Documentos/631/07445932399/6310744593239908092023163230.pdf</v>
      </c>
      <c r="H3644" s="5" t="s">
        <v>12222</v>
      </c>
    </row>
    <row r="3645" spans="1:8" x14ac:dyDescent="0.25">
      <c r="A3645" s="2" t="s">
        <v>3665</v>
      </c>
      <c r="B3645" s="3"/>
      <c r="C3645" s="3"/>
      <c r="D3645" s="3"/>
      <c r="E3645" s="5" t="str">
        <f>HYPERLINK("https://dpmzos25m8ivg.cloudfront.net/Documentos/631/07446526343/6310744652634306092023085721.pdf","https://dpmzos25m8ivg.cloudfront.net/Documentos/631/07446526343/6310744652634306092023085721.pdf")</f>
        <v>https://dpmzos25m8ivg.cloudfront.net/Documentos/631/07446526343/6310744652634306092023085721.pdf</v>
      </c>
      <c r="F3645" s="5" t="str">
        <f>HYPERLINK("https://dpmzos25m8ivg.cloudfront.net/Documentos/631/07446526343/6310744652634306092023085731.pdf","https://dpmzos25m8ivg.cloudfront.net/Documentos/631/07446526343/6310744652634306092023085731.pdf")</f>
        <v>https://dpmzos25m8ivg.cloudfront.net/Documentos/631/07446526343/6310744652634306092023085731.pdf</v>
      </c>
      <c r="G3645" s="5" t="str">
        <f>HYPERLINK("https://dpmzos25m8ivg.cloudfront.net/Documentos/631/07446526343/6310744652634306092023085741.pdf","https://dpmzos25m8ivg.cloudfront.net/Documentos/631/07446526343/6310744652634306092023085741.pdf")</f>
        <v>https://dpmzos25m8ivg.cloudfront.net/Documentos/631/07446526343/6310744652634306092023085741.pdf</v>
      </c>
      <c r="H3645" s="5" t="s">
        <v>12223</v>
      </c>
    </row>
    <row r="3646" spans="1:8" x14ac:dyDescent="0.25">
      <c r="A3646" s="2" t="s">
        <v>3666</v>
      </c>
      <c r="B3646" s="3"/>
      <c r="C3646" s="3"/>
      <c r="D3646" s="3"/>
      <c r="E3646" s="5" t="str">
        <f>HYPERLINK("https://dpmzos25m8ivg.cloudfront.net/Documentos/631/07446933305/6310744693330506092023163409.pdf","https://dpmzos25m8ivg.cloudfront.net/Documentos/631/07446933305/6310744693330506092023163409.pdf")</f>
        <v>https://dpmzos25m8ivg.cloudfront.net/Documentos/631/07446933305/6310744693330506092023163409.pdf</v>
      </c>
      <c r="F3646" s="5" t="str">
        <f>HYPERLINK("https://dpmzos25m8ivg.cloudfront.net/Documentos/631/07446933305/6310744693330506092023163502.pdf","https://dpmzos25m8ivg.cloudfront.net/Documentos/631/07446933305/6310744693330506092023163502.pdf")</f>
        <v>https://dpmzos25m8ivg.cloudfront.net/Documentos/631/07446933305/6310744693330506092023163502.pdf</v>
      </c>
      <c r="G3646" s="5" t="str">
        <f>HYPERLINK("https://dpmzos25m8ivg.cloudfront.net/Documentos/631/07446933305/6310744693330506092023163521.pdf","https://dpmzos25m8ivg.cloudfront.net/Documentos/631/07446933305/6310744693330506092023163521.pdf")</f>
        <v>https://dpmzos25m8ivg.cloudfront.net/Documentos/631/07446933305/6310744693330506092023163521.pdf</v>
      </c>
      <c r="H3646" s="5" t="s">
        <v>12224</v>
      </c>
    </row>
    <row r="3647" spans="1:8" x14ac:dyDescent="0.25">
      <c r="A3647" s="2" t="s">
        <v>3667</v>
      </c>
      <c r="B3647" s="3"/>
      <c r="C3647" s="3"/>
      <c r="D3647" s="3"/>
      <c r="E3647" s="5" t="str">
        <f>HYPERLINK("https://dpmzos25m8ivg.cloudfront.net/Documentos/631/07447495140/6310744749514011092023122237.pdf","https://dpmzos25m8ivg.cloudfront.net/Documentos/631/07447495140/6310744749514011092023122237.pdf")</f>
        <v>https://dpmzos25m8ivg.cloudfront.net/Documentos/631/07447495140/6310744749514011092023122237.pdf</v>
      </c>
      <c r="F3647" s="5" t="str">
        <f>HYPERLINK("https://dpmzos25m8ivg.cloudfront.net/Documentos/631/07447495140/6310744749514011092023122250.pdf","https://dpmzos25m8ivg.cloudfront.net/Documentos/631/07447495140/6310744749514011092023122250.pdf")</f>
        <v>https://dpmzos25m8ivg.cloudfront.net/Documentos/631/07447495140/6310744749514011092023122250.pdf</v>
      </c>
      <c r="G3647" s="5" t="str">
        <f>HYPERLINK("https://dpmzos25m8ivg.cloudfront.net/Documentos/631/07447495140/6310744749514011092023122302.pdf","https://dpmzos25m8ivg.cloudfront.net/Documentos/631/07447495140/6310744749514011092023122302.pdf")</f>
        <v>https://dpmzos25m8ivg.cloudfront.net/Documentos/631/07447495140/6310744749514011092023122302.pdf</v>
      </c>
      <c r="H3647" s="5" t="s">
        <v>12225</v>
      </c>
    </row>
    <row r="3648" spans="1:8" x14ac:dyDescent="0.25">
      <c r="A3648" s="2" t="s">
        <v>3668</v>
      </c>
      <c r="B3648" s="3"/>
      <c r="C3648" s="3"/>
      <c r="D3648" s="3"/>
      <c r="E3648" s="5" t="str">
        <f>HYPERLINK("https://dpmzos25m8ivg.cloudfront.net/Documentos/631/07450846560/6310745084656008092023230218.pdf","https://dpmzos25m8ivg.cloudfront.net/Documentos/631/07450846560/6310745084656008092023230218.pdf")</f>
        <v>https://dpmzos25m8ivg.cloudfront.net/Documentos/631/07450846560/6310745084656008092023230218.pdf</v>
      </c>
      <c r="F3648" s="5" t="str">
        <f>HYPERLINK("https://dpmzos25m8ivg.cloudfront.net/Documentos/631/07450846560/6310745084656008092023230235.pdf","https://dpmzos25m8ivg.cloudfront.net/Documentos/631/07450846560/6310745084656008092023230235.pdf")</f>
        <v>https://dpmzos25m8ivg.cloudfront.net/Documentos/631/07450846560/6310745084656008092023230235.pdf</v>
      </c>
      <c r="G3648" s="5" t="str">
        <f>HYPERLINK("https://dpmzos25m8ivg.cloudfront.net/Documentos/631/07450846560/6310745084656008092023230250.pdf","https://dpmzos25m8ivg.cloudfront.net/Documentos/631/07450846560/6310745084656008092023230250.pdf")</f>
        <v>https://dpmzos25m8ivg.cloudfront.net/Documentos/631/07450846560/6310745084656008092023230250.pdf</v>
      </c>
      <c r="H3648" s="5" t="s">
        <v>12226</v>
      </c>
    </row>
    <row r="3649" spans="1:8" x14ac:dyDescent="0.25">
      <c r="A3649" s="2" t="s">
        <v>3669</v>
      </c>
      <c r="B3649" s="3"/>
      <c r="C3649" s="3"/>
      <c r="D3649" s="3"/>
      <c r="E3649" s="5" t="str">
        <f>HYPERLINK("https://dpmzos25m8ivg.cloudfront.net/Documentos/631/07455181337/6310745518133710092023223727.pdf","https://dpmzos25m8ivg.cloudfront.net/Documentos/631/07455181337/6310745518133710092023223727.pdf")</f>
        <v>https://dpmzos25m8ivg.cloudfront.net/Documentos/631/07455181337/6310745518133710092023223727.pdf</v>
      </c>
      <c r="F3649" s="5" t="str">
        <f>HYPERLINK("https://dpmzos25m8ivg.cloudfront.net/Documentos/631/07455181337/6310745518133710092023223748.pdf","https://dpmzos25m8ivg.cloudfront.net/Documentos/631/07455181337/6310745518133710092023223748.pdf")</f>
        <v>https://dpmzos25m8ivg.cloudfront.net/Documentos/631/07455181337/6310745518133710092023223748.pdf</v>
      </c>
      <c r="G3649" s="5" t="str">
        <f>HYPERLINK("https://dpmzos25m8ivg.cloudfront.net/Documentos/631/07455181337/6310745518133710092023223806.pdf","https://dpmzos25m8ivg.cloudfront.net/Documentos/631/07455181337/6310745518133710092023223806.pdf")</f>
        <v>https://dpmzos25m8ivg.cloudfront.net/Documentos/631/07455181337/6310745518133710092023223806.pdf</v>
      </c>
      <c r="H3649" s="5" t="s">
        <v>12227</v>
      </c>
    </row>
    <row r="3650" spans="1:8" x14ac:dyDescent="0.25">
      <c r="A3650" s="2" t="s">
        <v>3670</v>
      </c>
      <c r="B3650" s="3"/>
      <c r="C3650" s="3"/>
      <c r="D3650" s="3"/>
      <c r="E3650" s="5" t="str">
        <f>HYPERLINK("https://dpmzos25m8ivg.cloudfront.net/Documentos/631/07455571470/6310745557147011092023134025.pdf","https://dpmzos25m8ivg.cloudfront.net/Documentos/631/07455571470/6310745557147011092023134025.pdf")</f>
        <v>https://dpmzos25m8ivg.cloudfront.net/Documentos/631/07455571470/6310745557147011092023134025.pdf</v>
      </c>
      <c r="F3650" s="5" t="str">
        <f>HYPERLINK("https://dpmzos25m8ivg.cloudfront.net/Documentos/631/07455571470/6310745557147011092023134043.pdf","https://dpmzos25m8ivg.cloudfront.net/Documentos/631/07455571470/6310745557147011092023134043.pdf")</f>
        <v>https://dpmzos25m8ivg.cloudfront.net/Documentos/631/07455571470/6310745557147011092023134043.pdf</v>
      </c>
      <c r="G3650" s="5" t="str">
        <f>HYPERLINK("https://dpmzos25m8ivg.cloudfront.net/Documentos/631/07455571470/6310745557147011092023134101.pdf","https://dpmzos25m8ivg.cloudfront.net/Documentos/631/07455571470/6310745557147011092023134101.pdf")</f>
        <v>https://dpmzos25m8ivg.cloudfront.net/Documentos/631/07455571470/6310745557147011092023134101.pdf</v>
      </c>
      <c r="H3650" s="5" t="s">
        <v>12228</v>
      </c>
    </row>
    <row r="3651" spans="1:8" x14ac:dyDescent="0.25">
      <c r="A3651" s="2" t="s">
        <v>3671</v>
      </c>
      <c r="B3651" s="3"/>
      <c r="C3651" s="3"/>
      <c r="D3651" s="3"/>
      <c r="E3651" s="5" t="str">
        <f>HYPERLINK("https://dpmzos25m8ivg.cloudfront.net/Documentos/631/07457380108/6310745738010807092023104033.pdf","https://dpmzos25m8ivg.cloudfront.net/Documentos/631/07457380108/6310745738010807092023104033.pdf")</f>
        <v>https://dpmzos25m8ivg.cloudfront.net/Documentos/631/07457380108/6310745738010807092023104033.pdf</v>
      </c>
      <c r="F3651" s="5" t="str">
        <f>HYPERLINK("https://dpmzos25m8ivg.cloudfront.net/Documentos/631/07457380108/6310745738010807092023104052.pdf","https://dpmzos25m8ivg.cloudfront.net/Documentos/631/07457380108/6310745738010807092023104052.pdf")</f>
        <v>https://dpmzos25m8ivg.cloudfront.net/Documentos/631/07457380108/6310745738010807092023104052.pdf</v>
      </c>
      <c r="G3651" s="5" t="str">
        <f>HYPERLINK("https://dpmzos25m8ivg.cloudfront.net/Documentos/631/07457380108/6310745738010807092023104105.pdf","https://dpmzos25m8ivg.cloudfront.net/Documentos/631/07457380108/6310745738010807092023104105.pdf")</f>
        <v>https://dpmzos25m8ivg.cloudfront.net/Documentos/631/07457380108/6310745738010807092023104105.pdf</v>
      </c>
      <c r="H3651" s="5" t="s">
        <v>12229</v>
      </c>
    </row>
    <row r="3652" spans="1:8" x14ac:dyDescent="0.25">
      <c r="A3652" s="2" t="s">
        <v>3672</v>
      </c>
      <c r="B3652" s="3"/>
      <c r="C3652" s="3"/>
      <c r="D3652" s="3"/>
      <c r="E3652" s="5" t="str">
        <f>HYPERLINK("https://dpmzos25m8ivg.cloudfront.net/Documentos/631/07461304909/6310746130490911092023025651.pdf","https://dpmzos25m8ivg.cloudfront.net/Documentos/631/07461304909/6310746130490911092023025651.pdf")</f>
        <v>https://dpmzos25m8ivg.cloudfront.net/Documentos/631/07461304909/6310746130490911092023025651.pdf</v>
      </c>
      <c r="F3652" s="5" t="str">
        <f>HYPERLINK("https://dpmzos25m8ivg.cloudfront.net/Documentos/631/07461304909/6310746130490911092023025719.pdf","https://dpmzos25m8ivg.cloudfront.net/Documentos/631/07461304909/6310746130490911092023025719.pdf")</f>
        <v>https://dpmzos25m8ivg.cloudfront.net/Documentos/631/07461304909/6310746130490911092023025719.pdf</v>
      </c>
      <c r="G3652" s="5" t="str">
        <f>HYPERLINK("https://dpmzos25m8ivg.cloudfront.net/Documentos/631/07461304909/6310746130490911092023025739.pdf","https://dpmzos25m8ivg.cloudfront.net/Documentos/631/07461304909/6310746130490911092023025739.pdf")</f>
        <v>https://dpmzos25m8ivg.cloudfront.net/Documentos/631/07461304909/6310746130490911092023025739.pdf</v>
      </c>
      <c r="H3652" s="5" t="s">
        <v>12230</v>
      </c>
    </row>
    <row r="3653" spans="1:8" x14ac:dyDescent="0.25">
      <c r="A3653" s="2" t="s">
        <v>3673</v>
      </c>
      <c r="B3653" s="3"/>
      <c r="C3653" s="3"/>
      <c r="D3653" s="3"/>
      <c r="E3653" s="5" t="str">
        <f>HYPERLINK("https://dpmzos25m8ivg.cloudfront.net/Documentos/631/07461354914/6310746135491405092023154633.jpg","https://dpmzos25m8ivg.cloudfront.net/Documentos/631/07461354914/6310746135491405092023154633.jpg")</f>
        <v>https://dpmzos25m8ivg.cloudfront.net/Documentos/631/07461354914/6310746135491405092023154633.jpg</v>
      </c>
      <c r="F3653" s="5" t="str">
        <f>HYPERLINK("https://dpmzos25m8ivg.cloudfront.net/Documentos/631/07461354914/6310746135491405092023155036.jpg","https://dpmzos25m8ivg.cloudfront.net/Documentos/631/07461354914/6310746135491405092023155036.jpg")</f>
        <v>https://dpmzos25m8ivg.cloudfront.net/Documentos/631/07461354914/6310746135491405092023155036.jpg</v>
      </c>
      <c r="G3653" s="5" t="str">
        <f>HYPERLINK("https://dpmzos25m8ivg.cloudfront.net/Documentos/631/07461354914/6310746135491405092023155347.jpg","https://dpmzos25m8ivg.cloudfront.net/Documentos/631/07461354914/6310746135491405092023155347.jpg")</f>
        <v>https://dpmzos25m8ivg.cloudfront.net/Documentos/631/07461354914/6310746135491405092023155347.jpg</v>
      </c>
      <c r="H3653" s="5" t="s">
        <v>12231</v>
      </c>
    </row>
    <row r="3654" spans="1:8" x14ac:dyDescent="0.25">
      <c r="A3654" s="2" t="s">
        <v>3674</v>
      </c>
      <c r="B3654" s="3"/>
      <c r="C3654" s="3"/>
      <c r="D3654" s="3"/>
      <c r="E3654" s="5" t="str">
        <f>HYPERLINK("https://dpmzos25m8ivg.cloudfront.net/Documentos/631/07461684540/6310746168454011092023162059.pdf","https://dpmzos25m8ivg.cloudfront.net/Documentos/631/07461684540/6310746168454011092023162059.pdf")</f>
        <v>https://dpmzos25m8ivg.cloudfront.net/Documentos/631/07461684540/6310746168454011092023162059.pdf</v>
      </c>
      <c r="F3654" s="5" t="str">
        <f>HYPERLINK("https://dpmzos25m8ivg.cloudfront.net/Documentos/631/07461684540/6310746168454011092023162118.pdf","https://dpmzos25m8ivg.cloudfront.net/Documentos/631/07461684540/6310746168454011092023162118.pdf")</f>
        <v>https://dpmzos25m8ivg.cloudfront.net/Documentos/631/07461684540/6310746168454011092023162118.pdf</v>
      </c>
      <c r="G3654" s="5" t="str">
        <f>HYPERLINK("https://dpmzos25m8ivg.cloudfront.net/Documentos/631/07461684540/6310746168454011092023162152.pdf","https://dpmzos25m8ivg.cloudfront.net/Documentos/631/07461684540/6310746168454011092023162152.pdf")</f>
        <v>https://dpmzos25m8ivg.cloudfront.net/Documentos/631/07461684540/6310746168454011092023162152.pdf</v>
      </c>
      <c r="H3654" s="5" t="s">
        <v>12232</v>
      </c>
    </row>
    <row r="3655" spans="1:8" x14ac:dyDescent="0.25">
      <c r="A3655" s="2" t="s">
        <v>3675</v>
      </c>
      <c r="B3655" s="3"/>
      <c r="C3655" s="3"/>
      <c r="D3655" s="3"/>
      <c r="E3655" s="5" t="str">
        <f>HYPERLINK("https://dpmzos25m8ivg.cloudfront.net/Documentos/631/07461726307/6310746172630705092023124046.pdf","https://dpmzos25m8ivg.cloudfront.net/Documentos/631/07461726307/6310746172630705092023124046.pdf")</f>
        <v>https://dpmzos25m8ivg.cloudfront.net/Documentos/631/07461726307/6310746172630705092023124046.pdf</v>
      </c>
      <c r="F3655" s="5" t="str">
        <f>HYPERLINK("https://dpmzos25m8ivg.cloudfront.net/Documentos/631/07461726307/6310746172630705092023124107.pdf","https://dpmzos25m8ivg.cloudfront.net/Documentos/631/07461726307/6310746172630705092023124107.pdf")</f>
        <v>https://dpmzos25m8ivg.cloudfront.net/Documentos/631/07461726307/6310746172630705092023124107.pdf</v>
      </c>
      <c r="G3655" s="5" t="str">
        <f>HYPERLINK("https://dpmzos25m8ivg.cloudfront.net/Documentos/631/07461726307/6310746172630705092023124125.pdf","https://dpmzos25m8ivg.cloudfront.net/Documentos/631/07461726307/6310746172630705092023124125.pdf")</f>
        <v>https://dpmzos25m8ivg.cloudfront.net/Documentos/631/07461726307/6310746172630705092023124125.pdf</v>
      </c>
      <c r="H3655" s="5" t="s">
        <v>12233</v>
      </c>
    </row>
    <row r="3656" spans="1:8" x14ac:dyDescent="0.25">
      <c r="A3656" s="2" t="s">
        <v>3676</v>
      </c>
      <c r="B3656" s="3" t="s">
        <v>8</v>
      </c>
      <c r="C3656" s="3"/>
      <c r="D3656" s="3"/>
      <c r="E3656" s="5" t="str">
        <f>HYPERLINK("https://dpmzos25m8ivg.cloudfront.net/Documentos/631/07463688526/6310746368852610092023115935.jpg","https://dpmzos25m8ivg.cloudfront.net/Documentos/631/07463688526/6310746368852610092023115935.jpg")</f>
        <v>https://dpmzos25m8ivg.cloudfront.net/Documentos/631/07463688526/6310746368852610092023115935.jpg</v>
      </c>
      <c r="F3656" s="5" t="str">
        <f>HYPERLINK("https://dpmzos25m8ivg.cloudfront.net/Documentos/631/07463688526/6310746368852610092023115945.jpg","https://dpmzos25m8ivg.cloudfront.net/Documentos/631/07463688526/6310746368852610092023115945.jpg")</f>
        <v>https://dpmzos25m8ivg.cloudfront.net/Documentos/631/07463688526/6310746368852610092023115945.jpg</v>
      </c>
      <c r="G3656" s="5" t="str">
        <f>HYPERLINK("https://dpmzos25m8ivg.cloudfront.net/Documentos/631/07463688526/6310746368852610092023120002.jpg","https://dpmzos25m8ivg.cloudfront.net/Documentos/631/07463688526/6310746368852610092023120002.jpg")</f>
        <v>https://dpmzos25m8ivg.cloudfront.net/Documentos/631/07463688526/6310746368852610092023120002.jpg</v>
      </c>
      <c r="H3656" s="5" t="s">
        <v>12234</v>
      </c>
    </row>
    <row r="3657" spans="1:8" x14ac:dyDescent="0.25">
      <c r="A3657" s="2" t="s">
        <v>3677</v>
      </c>
      <c r="B3657" s="3"/>
      <c r="C3657" s="3"/>
      <c r="D3657" s="3"/>
      <c r="E3657" s="5" t="str">
        <f>HYPERLINK("https://dpmzos25m8ivg.cloudfront.net/Documentos/631/07464580370/6310746458037009092023155024.pdf","https://dpmzos25m8ivg.cloudfront.net/Documentos/631/07464580370/6310746458037009092023155024.pdf")</f>
        <v>https://dpmzos25m8ivg.cloudfront.net/Documentos/631/07464580370/6310746458037009092023155024.pdf</v>
      </c>
      <c r="F3657" s="5" t="str">
        <f>HYPERLINK("https://dpmzos25m8ivg.cloudfront.net/Documentos/631/07464580370/6310746458037009092023155113.pdf","https://dpmzos25m8ivg.cloudfront.net/Documentos/631/07464580370/6310746458037009092023155113.pdf")</f>
        <v>https://dpmzos25m8ivg.cloudfront.net/Documentos/631/07464580370/6310746458037009092023155113.pdf</v>
      </c>
      <c r="G3657" s="5" t="str">
        <f>HYPERLINK("https://dpmzos25m8ivg.cloudfront.net/Documentos/631/07464580370/6310746458037009092023155142.pdf","https://dpmzos25m8ivg.cloudfront.net/Documentos/631/07464580370/6310746458037009092023155142.pdf")</f>
        <v>https://dpmzos25m8ivg.cloudfront.net/Documentos/631/07464580370/6310746458037009092023155142.pdf</v>
      </c>
      <c r="H3657" s="5" t="s">
        <v>12235</v>
      </c>
    </row>
    <row r="3658" spans="1:8" x14ac:dyDescent="0.25">
      <c r="A3658" s="2" t="s">
        <v>3678</v>
      </c>
      <c r="B3658" s="3"/>
      <c r="C3658" s="3"/>
      <c r="D3658" s="3"/>
      <c r="E3658" s="5" t="str">
        <f>HYPERLINK("https://dpmzos25m8ivg.cloudfront.net/Documentos/631/07464964357/6310746496435714092023135858.pdf","https://dpmzos25m8ivg.cloudfront.net/Documentos/631/07464964357/6310746496435714092023135858.pdf")</f>
        <v>https://dpmzos25m8ivg.cloudfront.net/Documentos/631/07464964357/6310746496435714092023135858.pdf</v>
      </c>
      <c r="F3658" s="5" t="str">
        <f>HYPERLINK("https://dpmzos25m8ivg.cloudfront.net/Documentos/631/07464964357/6310746496435714092023135846.pdf","https://dpmzos25m8ivg.cloudfront.net/Documentos/631/07464964357/6310746496435714092023135846.pdf")</f>
        <v>https://dpmzos25m8ivg.cloudfront.net/Documentos/631/07464964357/6310746496435714092023135846.pdf</v>
      </c>
      <c r="G3658" s="5" t="str">
        <f>HYPERLINK("https://dpmzos25m8ivg.cloudfront.net/Documentos/631/07464964357/6310746496435714092023135838.pdf","https://dpmzos25m8ivg.cloudfront.net/Documentos/631/07464964357/6310746496435714092023135838.pdf")</f>
        <v>https://dpmzos25m8ivg.cloudfront.net/Documentos/631/07464964357/6310746496435714092023135838.pdf</v>
      </c>
      <c r="H3658" s="5" t="s">
        <v>12236</v>
      </c>
    </row>
    <row r="3659" spans="1:8" x14ac:dyDescent="0.25">
      <c r="A3659" s="2" t="s">
        <v>3679</v>
      </c>
      <c r="B3659" s="3"/>
      <c r="C3659" s="3"/>
      <c r="D3659" s="3"/>
      <c r="E3659" s="5" t="str">
        <f>HYPERLINK("https://dpmzos25m8ivg.cloudfront.net/Documentos/631/07466466311/6310746646631108092023210753.pdf","https://dpmzos25m8ivg.cloudfront.net/Documentos/631/07466466311/6310746646631108092023210753.pdf")</f>
        <v>https://dpmzos25m8ivg.cloudfront.net/Documentos/631/07466466311/6310746646631108092023210753.pdf</v>
      </c>
      <c r="F3659" s="5" t="str">
        <f>HYPERLINK("https://dpmzos25m8ivg.cloudfront.net/Documentos/631/07466466311/6310746646631108092023210810.pdf","https://dpmzos25m8ivg.cloudfront.net/Documentos/631/07466466311/6310746646631108092023210810.pdf")</f>
        <v>https://dpmzos25m8ivg.cloudfront.net/Documentos/631/07466466311/6310746646631108092023210810.pdf</v>
      </c>
      <c r="G3659" s="5" t="str">
        <f>HYPERLINK("https://dpmzos25m8ivg.cloudfront.net/Documentos/631/07466466311/6310746646631108092023210848.pdf","https://dpmzos25m8ivg.cloudfront.net/Documentos/631/07466466311/6310746646631108092023210848.pdf")</f>
        <v>https://dpmzos25m8ivg.cloudfront.net/Documentos/631/07466466311/6310746646631108092023210848.pdf</v>
      </c>
      <c r="H3659" s="5" t="s">
        <v>12237</v>
      </c>
    </row>
    <row r="3660" spans="1:8" x14ac:dyDescent="0.25">
      <c r="A3660" s="2" t="s">
        <v>3680</v>
      </c>
      <c r="B3660" s="3"/>
      <c r="C3660" s="3"/>
      <c r="D3660" s="3"/>
      <c r="E3660" s="5" t="str">
        <f>HYPERLINK("https://dpmzos25m8ivg.cloudfront.net/Documentos/631/07466847382/6310746684738214092023162447.pdf","https://dpmzos25m8ivg.cloudfront.net/Documentos/631/07466847382/6310746684738214092023162447.pdf")</f>
        <v>https://dpmzos25m8ivg.cloudfront.net/Documentos/631/07466847382/6310746684738214092023162447.pdf</v>
      </c>
      <c r="F3660" s="5" t="str">
        <f>HYPERLINK("https://dpmzos25m8ivg.cloudfront.net/Documentos/631/07466847382/6310746684738214092023162457.pdf","https://dpmzos25m8ivg.cloudfront.net/Documentos/631/07466847382/6310746684738214092023162457.pdf")</f>
        <v>https://dpmzos25m8ivg.cloudfront.net/Documentos/631/07466847382/6310746684738214092023162457.pdf</v>
      </c>
      <c r="G3660" s="5" t="str">
        <f>HYPERLINK("https://dpmzos25m8ivg.cloudfront.net/Documentos/631/07466847382/6310746684738214092023162507.pdf","https://dpmzos25m8ivg.cloudfront.net/Documentos/631/07466847382/6310746684738214092023162507.pdf")</f>
        <v>https://dpmzos25m8ivg.cloudfront.net/Documentos/631/07466847382/6310746684738214092023162507.pdf</v>
      </c>
      <c r="H3660" s="5" t="s">
        <v>12238</v>
      </c>
    </row>
    <row r="3661" spans="1:8" x14ac:dyDescent="0.25">
      <c r="A3661" s="2" t="s">
        <v>3681</v>
      </c>
      <c r="B3661" s="3"/>
      <c r="C3661" s="3"/>
      <c r="D3661" s="3"/>
      <c r="E3661" s="5" t="str">
        <f>HYPERLINK("https://dpmzos25m8ivg.cloudfront.net/Documentos/631/07467623992/6310746762399211092023160654.jpg","https://dpmzos25m8ivg.cloudfront.net/Documentos/631/07467623992/6310746762399211092023160654.jpg")</f>
        <v>https://dpmzos25m8ivg.cloudfront.net/Documentos/631/07467623992/6310746762399211092023160654.jpg</v>
      </c>
      <c r="F3661" s="5" t="str">
        <f>HYPERLINK("https://dpmzos25m8ivg.cloudfront.net/Documentos/631/07467623992/6310746762399211092023160705.jpg","https://dpmzos25m8ivg.cloudfront.net/Documentos/631/07467623992/6310746762399211092023160705.jpg")</f>
        <v>https://dpmzos25m8ivg.cloudfront.net/Documentos/631/07467623992/6310746762399211092023160705.jpg</v>
      </c>
      <c r="G3661" s="5" t="str">
        <f>HYPERLINK("https://dpmzos25m8ivg.cloudfront.net/Documentos/631/07467623992/6310746762399211092023160715.jpg","https://dpmzos25m8ivg.cloudfront.net/Documentos/631/07467623992/6310746762399211092023160715.jpg")</f>
        <v>https://dpmzos25m8ivg.cloudfront.net/Documentos/631/07467623992/6310746762399211092023160715.jpg</v>
      </c>
      <c r="H3661" s="5" t="s">
        <v>12239</v>
      </c>
    </row>
    <row r="3662" spans="1:8" x14ac:dyDescent="0.25">
      <c r="A3662" s="2" t="s">
        <v>3682</v>
      </c>
      <c r="B3662" s="3" t="s">
        <v>90</v>
      </c>
      <c r="C3662" s="3"/>
      <c r="D3662" s="3"/>
      <c r="E3662" s="5" t="str">
        <f>HYPERLINK("https://dpmzos25m8ivg.cloudfront.net/Documentos/631/07469727175/6310746972717507092023144025.pdf","https://dpmzos25m8ivg.cloudfront.net/Documentos/631/07469727175/6310746972717507092023144025.pdf")</f>
        <v>https://dpmzos25m8ivg.cloudfront.net/Documentos/631/07469727175/6310746972717507092023144025.pdf</v>
      </c>
      <c r="F3662" s="5" t="str">
        <f>HYPERLINK("https://dpmzos25m8ivg.cloudfront.net/Documentos/631/07469727175/6310746972717507092023144046.pdf","https://dpmzos25m8ivg.cloudfront.net/Documentos/631/07469727175/6310746972717507092023144046.pdf")</f>
        <v>https://dpmzos25m8ivg.cloudfront.net/Documentos/631/07469727175/6310746972717507092023144046.pdf</v>
      </c>
      <c r="G3662" s="5" t="str">
        <f>HYPERLINK("https://dpmzos25m8ivg.cloudfront.net/Documentos/631/07469727175/6310746972717507092023144109.pdf","https://dpmzos25m8ivg.cloudfront.net/Documentos/631/07469727175/6310746972717507092023144109.pdf")</f>
        <v>https://dpmzos25m8ivg.cloudfront.net/Documentos/631/07469727175/6310746972717507092023144109.pdf</v>
      </c>
      <c r="H3662" s="5" t="s">
        <v>12240</v>
      </c>
    </row>
    <row r="3663" spans="1:8" x14ac:dyDescent="0.25">
      <c r="A3663" s="2" t="s">
        <v>3683</v>
      </c>
      <c r="B3663" s="3"/>
      <c r="C3663" s="3"/>
      <c r="D3663" s="3"/>
      <c r="E3663" s="5" t="str">
        <f>HYPERLINK("https://dpmzos25m8ivg.cloudfront.net/Documentos/631/07470373373/6310747037337307092023225158.pdf","https://dpmzos25m8ivg.cloudfront.net/Documentos/631/07470373373/6310747037337307092023225158.pdf")</f>
        <v>https://dpmzos25m8ivg.cloudfront.net/Documentos/631/07470373373/6310747037337307092023225158.pdf</v>
      </c>
      <c r="F3663" s="5" t="str">
        <f>HYPERLINK("https://dpmzos25m8ivg.cloudfront.net/Documentos/631/07470373373/6310747037337307092023225309.pdf","https://dpmzos25m8ivg.cloudfront.net/Documentos/631/07470373373/6310747037337307092023225309.pdf")</f>
        <v>https://dpmzos25m8ivg.cloudfront.net/Documentos/631/07470373373/6310747037337307092023225309.pdf</v>
      </c>
      <c r="G3663" s="5" t="str">
        <f>HYPERLINK("https://dpmzos25m8ivg.cloudfront.net/Documentos/631/07470373373/6310747037337307092023225347.pdf","https://dpmzos25m8ivg.cloudfront.net/Documentos/631/07470373373/6310747037337307092023225347.pdf")</f>
        <v>https://dpmzos25m8ivg.cloudfront.net/Documentos/631/07470373373/6310747037337307092023225347.pdf</v>
      </c>
      <c r="H3663" s="5" t="s">
        <v>12241</v>
      </c>
    </row>
    <row r="3664" spans="1:8" x14ac:dyDescent="0.25">
      <c r="A3664" s="2" t="s">
        <v>3684</v>
      </c>
      <c r="B3664" s="3"/>
      <c r="C3664" s="3"/>
      <c r="D3664" s="3"/>
      <c r="E3664" s="5" t="str">
        <f>HYPERLINK("https://dpmzos25m8ivg.cloudfront.net/Documentos/631/07471079550/6310747107955011092023155530.pdf","https://dpmzos25m8ivg.cloudfront.net/Documentos/631/07471079550/6310747107955011092023155530.pdf")</f>
        <v>https://dpmzos25m8ivg.cloudfront.net/Documentos/631/07471079550/6310747107955011092023155530.pdf</v>
      </c>
      <c r="F3664" s="5" t="str">
        <f>HYPERLINK("https://dpmzos25m8ivg.cloudfront.net/Documentos/631/07471079550/6310747107955011092023155729.pdf","https://dpmzos25m8ivg.cloudfront.net/Documentos/631/07471079550/6310747107955011092023155729.pdf")</f>
        <v>https://dpmzos25m8ivg.cloudfront.net/Documentos/631/07471079550/6310747107955011092023155729.pdf</v>
      </c>
      <c r="G3664" s="5" t="str">
        <f>HYPERLINK("https://dpmzos25m8ivg.cloudfront.net/Documentos/631/07471079550/6310747107955011092023155745.pdf","https://dpmzos25m8ivg.cloudfront.net/Documentos/631/07471079550/6310747107955011092023155745.pdf")</f>
        <v>https://dpmzos25m8ivg.cloudfront.net/Documentos/631/07471079550/6310747107955011092023155745.pdf</v>
      </c>
      <c r="H3664" s="5" t="s">
        <v>12242</v>
      </c>
    </row>
    <row r="3665" spans="1:8" x14ac:dyDescent="0.25">
      <c r="A3665" s="2" t="s">
        <v>3685</v>
      </c>
      <c r="B3665" s="3"/>
      <c r="C3665" s="3"/>
      <c r="D3665" s="3"/>
      <c r="E3665" s="5" t="str">
        <f>HYPERLINK("https://dpmzos25m8ivg.cloudfront.net/Documentos/631/07472325554/6310747232555409092023220835.pdf","https://dpmzos25m8ivg.cloudfront.net/Documentos/631/07472325554/6310747232555409092023220835.pdf")</f>
        <v>https://dpmzos25m8ivg.cloudfront.net/Documentos/631/07472325554/6310747232555409092023220835.pdf</v>
      </c>
      <c r="F3665" s="5" t="str">
        <f>HYPERLINK("https://dpmzos25m8ivg.cloudfront.net/Documentos/631/07472325554/6310747232555409092023220849.pdf","https://dpmzos25m8ivg.cloudfront.net/Documentos/631/07472325554/6310747232555409092023220849.pdf")</f>
        <v>https://dpmzos25m8ivg.cloudfront.net/Documentos/631/07472325554/6310747232555409092023220849.pdf</v>
      </c>
      <c r="G3665" s="5" t="str">
        <f>HYPERLINK("https://dpmzos25m8ivg.cloudfront.net/Documentos/631/07472325554/6310747232555409092023220903.pdf","https://dpmzos25m8ivg.cloudfront.net/Documentos/631/07472325554/6310747232555409092023220903.pdf")</f>
        <v>https://dpmzos25m8ivg.cloudfront.net/Documentos/631/07472325554/6310747232555409092023220903.pdf</v>
      </c>
      <c r="H3665" s="5" t="s">
        <v>12243</v>
      </c>
    </row>
    <row r="3666" spans="1:8" x14ac:dyDescent="0.25">
      <c r="A3666" s="2" t="s">
        <v>3686</v>
      </c>
      <c r="B3666" s="3"/>
      <c r="C3666" s="3"/>
      <c r="D3666" s="3"/>
      <c r="E3666" s="5" t="str">
        <f>HYPERLINK("https://dpmzos25m8ivg.cloudfront.net/Documentos/631/07473782312/6310747378231211092023102600.pdf","https://dpmzos25m8ivg.cloudfront.net/Documentos/631/07473782312/6310747378231211092023102600.pdf")</f>
        <v>https://dpmzos25m8ivg.cloudfront.net/Documentos/631/07473782312/6310747378231211092023102600.pdf</v>
      </c>
      <c r="F3666" s="5" t="str">
        <f>HYPERLINK("https://dpmzos25m8ivg.cloudfront.net/Documentos/631/07473782312/6310747378231211092023102618.pdf","https://dpmzos25m8ivg.cloudfront.net/Documentos/631/07473782312/6310747378231211092023102618.pdf")</f>
        <v>https://dpmzos25m8ivg.cloudfront.net/Documentos/631/07473782312/6310747378231211092023102618.pdf</v>
      </c>
      <c r="G3666" s="5" t="str">
        <f>HYPERLINK("https://dpmzos25m8ivg.cloudfront.net/Documentos/631/07473782312/6310747378231211092023102639.pdf","https://dpmzos25m8ivg.cloudfront.net/Documentos/631/07473782312/6310747378231211092023102639.pdf")</f>
        <v>https://dpmzos25m8ivg.cloudfront.net/Documentos/631/07473782312/6310747378231211092023102639.pdf</v>
      </c>
      <c r="H3666" s="5" t="s">
        <v>12244</v>
      </c>
    </row>
    <row r="3667" spans="1:8" x14ac:dyDescent="0.25">
      <c r="A3667" s="2" t="s">
        <v>3687</v>
      </c>
      <c r="B3667" s="3"/>
      <c r="C3667" s="3"/>
      <c r="D3667" s="3"/>
      <c r="E3667" s="5" t="str">
        <f>HYPERLINK("https://dpmzos25m8ivg.cloudfront.net/Documentos/631/07477411157/6310747741115710092023102452.pdf","https://dpmzos25m8ivg.cloudfront.net/Documentos/631/07477411157/6310747741115710092023102452.pdf")</f>
        <v>https://dpmzos25m8ivg.cloudfront.net/Documentos/631/07477411157/6310747741115710092023102452.pdf</v>
      </c>
      <c r="F3667" s="5" t="str">
        <f>HYPERLINK("https://dpmzos25m8ivg.cloudfront.net/Documentos/631/07477411157/6310747741115710092023102505.pdf","https://dpmzos25m8ivg.cloudfront.net/Documentos/631/07477411157/6310747741115710092023102505.pdf")</f>
        <v>https://dpmzos25m8ivg.cloudfront.net/Documentos/631/07477411157/6310747741115710092023102505.pdf</v>
      </c>
      <c r="G3667" s="5" t="str">
        <f>HYPERLINK("https://dpmzos25m8ivg.cloudfront.net/Documentos/631/07477411157/6310747741115710092023102517.pdf","https://dpmzos25m8ivg.cloudfront.net/Documentos/631/07477411157/6310747741115710092023102517.pdf")</f>
        <v>https://dpmzos25m8ivg.cloudfront.net/Documentos/631/07477411157/6310747741115710092023102517.pdf</v>
      </c>
      <c r="H3667" s="5" t="s">
        <v>12245</v>
      </c>
    </row>
    <row r="3668" spans="1:8" x14ac:dyDescent="0.25">
      <c r="A3668" s="2" t="s">
        <v>3688</v>
      </c>
      <c r="B3668" s="3"/>
      <c r="C3668" s="3"/>
      <c r="D3668" s="3"/>
      <c r="E3668" s="5" t="str">
        <f>HYPERLINK("https://dpmzos25m8ivg.cloudfront.net/Documentos/631/07478050166/6310747805016611092023164549.jpg","https://dpmzos25m8ivg.cloudfront.net/Documentos/631/07478050166/6310747805016611092023164549.jpg")</f>
        <v>https://dpmzos25m8ivg.cloudfront.net/Documentos/631/07478050166/6310747805016611092023164549.jpg</v>
      </c>
      <c r="F3668" s="5" t="str">
        <f>HYPERLINK("https://dpmzos25m8ivg.cloudfront.net/Documentos/631/07478050166/6310747805016611092023164735.pdf","https://dpmzos25m8ivg.cloudfront.net/Documentos/631/07478050166/6310747805016611092023164735.pdf")</f>
        <v>https://dpmzos25m8ivg.cloudfront.net/Documentos/631/07478050166/6310747805016611092023164735.pdf</v>
      </c>
      <c r="G3668" s="5" t="str">
        <f>HYPERLINK("https://dpmzos25m8ivg.cloudfront.net/Documentos/631/07478050166/6310747805016611092023164857.pdf","https://dpmzos25m8ivg.cloudfront.net/Documentos/631/07478050166/6310747805016611092023164857.pdf")</f>
        <v>https://dpmzos25m8ivg.cloudfront.net/Documentos/631/07478050166/6310747805016611092023164857.pdf</v>
      </c>
      <c r="H3668" s="5" t="s">
        <v>12246</v>
      </c>
    </row>
    <row r="3669" spans="1:8" x14ac:dyDescent="0.25">
      <c r="A3669" s="2" t="s">
        <v>3689</v>
      </c>
      <c r="B3669" s="3"/>
      <c r="C3669" s="3"/>
      <c r="D3669" s="3"/>
      <c r="E3669" s="5" t="str">
        <f>HYPERLINK("https://dpmzos25m8ivg.cloudfront.net/Documentos/631/07478807437/6310747880743711092023161417.jpg","https://dpmzos25m8ivg.cloudfront.net/Documentos/631/07478807437/6310747880743711092023161417.jpg")</f>
        <v>https://dpmzos25m8ivg.cloudfront.net/Documentos/631/07478807437/6310747880743711092023161417.jpg</v>
      </c>
      <c r="F3669" s="5" t="str">
        <f>HYPERLINK("https://dpmzos25m8ivg.cloudfront.net/Documentos/631/07478807437/6310747880743711092023161431.jpg","https://dpmzos25m8ivg.cloudfront.net/Documentos/631/07478807437/6310747880743711092023161431.jpg")</f>
        <v>https://dpmzos25m8ivg.cloudfront.net/Documentos/631/07478807437/6310747880743711092023161431.jpg</v>
      </c>
      <c r="G3669" s="5" t="str">
        <f>HYPERLINK("https://dpmzos25m8ivg.cloudfront.net/Documentos/631/07478807437/6310747880743711092023161442.jpg","https://dpmzos25m8ivg.cloudfront.net/Documentos/631/07478807437/6310747880743711092023161442.jpg")</f>
        <v>https://dpmzos25m8ivg.cloudfront.net/Documentos/631/07478807437/6310747880743711092023161442.jpg</v>
      </c>
      <c r="H3669" s="5" t="s">
        <v>12247</v>
      </c>
    </row>
    <row r="3670" spans="1:8" x14ac:dyDescent="0.25">
      <c r="A3670" s="2" t="s">
        <v>3690</v>
      </c>
      <c r="B3670" s="3" t="s">
        <v>3385</v>
      </c>
      <c r="C3670" s="3"/>
      <c r="D3670" s="3"/>
      <c r="E3670" s="5" t="str">
        <f>HYPERLINK("https://dpmzos25m8ivg.cloudfront.net/Documentos/631/07479100302/6310747910030211092023120213.pdf","https://dpmzos25m8ivg.cloudfront.net/Documentos/631/07479100302/6310747910030211092023120213.pdf")</f>
        <v>https://dpmzos25m8ivg.cloudfront.net/Documentos/631/07479100302/6310747910030211092023120213.pdf</v>
      </c>
      <c r="F3670" s="5" t="str">
        <f>HYPERLINK("https://dpmzos25m8ivg.cloudfront.net/Documentos/631/07479100302/6310747910030211092023120228.pdf","https://dpmzos25m8ivg.cloudfront.net/Documentos/631/07479100302/6310747910030211092023120228.pdf")</f>
        <v>https://dpmzos25m8ivg.cloudfront.net/Documentos/631/07479100302/6310747910030211092023120228.pdf</v>
      </c>
      <c r="G3670" s="5" t="str">
        <f>HYPERLINK("https://dpmzos25m8ivg.cloudfront.net/Documentos/631/07479100302/6310747910030211092023120240.pdf","https://dpmzos25m8ivg.cloudfront.net/Documentos/631/07479100302/6310747910030211092023120240.pdf")</f>
        <v>https://dpmzos25m8ivg.cloudfront.net/Documentos/631/07479100302/6310747910030211092023120240.pdf</v>
      </c>
      <c r="H3670" s="5" t="s">
        <v>12248</v>
      </c>
    </row>
    <row r="3671" spans="1:8" x14ac:dyDescent="0.25">
      <c r="A3671" s="2" t="s">
        <v>3691</v>
      </c>
      <c r="B3671" s="3"/>
      <c r="C3671" s="3"/>
      <c r="D3671" s="3"/>
      <c r="E3671" s="5" t="str">
        <f>HYPERLINK("https://dpmzos25m8ivg.cloudfront.net/Documentos/631/07479122977/6310747912297708092023193601.jpg","https://dpmzos25m8ivg.cloudfront.net/Documentos/631/07479122977/6310747912297708092023193601.jpg")</f>
        <v>https://dpmzos25m8ivg.cloudfront.net/Documentos/631/07479122977/6310747912297708092023193601.jpg</v>
      </c>
      <c r="F3671" s="5" t="str">
        <f>HYPERLINK("https://dpmzos25m8ivg.cloudfront.net/Documentos/631/07479122977/6310747912297708092023193640.jpg","https://dpmzos25m8ivg.cloudfront.net/Documentos/631/07479122977/6310747912297708092023193640.jpg")</f>
        <v>https://dpmzos25m8ivg.cloudfront.net/Documentos/631/07479122977/6310747912297708092023193640.jpg</v>
      </c>
      <c r="G3671" s="5" t="str">
        <f>HYPERLINK("https://dpmzos25m8ivg.cloudfront.net/Documentos/631/07479122977/6310747912297708092023193719.jpg","https://dpmzos25m8ivg.cloudfront.net/Documentos/631/07479122977/6310747912297708092023193719.jpg")</f>
        <v>https://dpmzos25m8ivg.cloudfront.net/Documentos/631/07479122977/6310747912297708092023193719.jpg</v>
      </c>
      <c r="H3671" s="5" t="s">
        <v>12249</v>
      </c>
    </row>
    <row r="3672" spans="1:8" x14ac:dyDescent="0.25">
      <c r="A3672" s="2" t="s">
        <v>3692</v>
      </c>
      <c r="B3672" s="3" t="s">
        <v>90</v>
      </c>
      <c r="C3672" s="3"/>
      <c r="D3672" s="3"/>
      <c r="E3672" s="5" t="str">
        <f>HYPERLINK("https://dpmzos25m8ivg.cloudfront.net/Documentos/631/07480442564/6310748044256411092023135123.jpeg","https://dpmzos25m8ivg.cloudfront.net/Documentos/631/07480442564/6310748044256411092023135123.jpeg")</f>
        <v>https://dpmzos25m8ivg.cloudfront.net/Documentos/631/07480442564/6310748044256411092023135123.jpeg</v>
      </c>
      <c r="F3672" s="5" t="str">
        <f>HYPERLINK("https://dpmzos25m8ivg.cloudfront.net/Documentos/631/07480442564/6310748044256411092023135132.jpeg","https://dpmzos25m8ivg.cloudfront.net/Documentos/631/07480442564/6310748044256411092023135132.jpeg")</f>
        <v>https://dpmzos25m8ivg.cloudfront.net/Documentos/631/07480442564/6310748044256411092023135132.jpeg</v>
      </c>
      <c r="G3672" s="5" t="str">
        <f>HYPERLINK("https://dpmzos25m8ivg.cloudfront.net/Documentos/631/07480442564/6310748044256411092023135142.jpeg","https://dpmzos25m8ivg.cloudfront.net/Documentos/631/07480442564/6310748044256411092023135142.jpeg")</f>
        <v>https://dpmzos25m8ivg.cloudfront.net/Documentos/631/07480442564/6310748044256411092023135142.jpeg</v>
      </c>
      <c r="H3672" s="5" t="s">
        <v>12250</v>
      </c>
    </row>
    <row r="3673" spans="1:8" x14ac:dyDescent="0.25">
      <c r="A3673" s="2" t="s">
        <v>3693</v>
      </c>
      <c r="B3673" s="3"/>
      <c r="C3673" s="3"/>
      <c r="D3673" s="3"/>
      <c r="E3673" s="5" t="str">
        <f>HYPERLINK("https://dpmzos25m8ivg.cloudfront.net/Documentos/631/07483083506/6310748308350611092023113012.pdf","https://dpmzos25m8ivg.cloudfront.net/Documentos/631/07483083506/6310748308350611092023113012.pdf")</f>
        <v>https://dpmzos25m8ivg.cloudfront.net/Documentos/631/07483083506/6310748308350611092023113012.pdf</v>
      </c>
      <c r="F3673" s="5" t="str">
        <f>HYPERLINK("https://dpmzos25m8ivg.cloudfront.net/Documentos/631/07483083506/6310748308350611092023113446.pdf","https://dpmzos25m8ivg.cloudfront.net/Documentos/631/07483083506/6310748308350611092023113446.pdf")</f>
        <v>https://dpmzos25m8ivg.cloudfront.net/Documentos/631/07483083506/6310748308350611092023113446.pdf</v>
      </c>
      <c r="G3673" s="5" t="str">
        <f>HYPERLINK("https://dpmzos25m8ivg.cloudfront.net/Documentos/631/07483083506/6310748308350611092023113606.pdf","https://dpmzos25m8ivg.cloudfront.net/Documentos/631/07483083506/6310748308350611092023113606.pdf")</f>
        <v>https://dpmzos25m8ivg.cloudfront.net/Documentos/631/07483083506/6310748308350611092023113606.pdf</v>
      </c>
      <c r="H3673" s="5" t="s">
        <v>12251</v>
      </c>
    </row>
    <row r="3674" spans="1:8" x14ac:dyDescent="0.25">
      <c r="A3674" s="2" t="s">
        <v>3694</v>
      </c>
      <c r="B3674" s="3"/>
      <c r="C3674" s="3"/>
      <c r="D3674" s="3"/>
      <c r="E3674" s="5" t="str">
        <f>HYPERLINK("https://dpmzos25m8ivg.cloudfront.net/Documentos/631/07484270156/6310748427015606092023165407.pdf","https://dpmzos25m8ivg.cloudfront.net/Documentos/631/07484270156/6310748427015606092023165407.pdf")</f>
        <v>https://dpmzos25m8ivg.cloudfront.net/Documentos/631/07484270156/6310748427015606092023165407.pdf</v>
      </c>
      <c r="F3674" s="5" t="str">
        <f>HYPERLINK("https://dpmzos25m8ivg.cloudfront.net/Documentos/631/07484270156/6310748427015606092023165418.pdf","https://dpmzos25m8ivg.cloudfront.net/Documentos/631/07484270156/6310748427015606092023165418.pdf")</f>
        <v>https://dpmzos25m8ivg.cloudfront.net/Documentos/631/07484270156/6310748427015606092023165418.pdf</v>
      </c>
      <c r="G3674" s="5" t="str">
        <f>HYPERLINK("https://dpmzos25m8ivg.cloudfront.net/Documentos/631/07484270156/6310748427015606092023165430.pdf","https://dpmzos25m8ivg.cloudfront.net/Documentos/631/07484270156/6310748427015606092023165430.pdf")</f>
        <v>https://dpmzos25m8ivg.cloudfront.net/Documentos/631/07484270156/6310748427015606092023165430.pdf</v>
      </c>
      <c r="H3674" s="5" t="s">
        <v>12252</v>
      </c>
    </row>
    <row r="3675" spans="1:8" x14ac:dyDescent="0.25">
      <c r="A3675" s="2" t="s">
        <v>3695</v>
      </c>
      <c r="B3675" s="3"/>
      <c r="C3675" s="3"/>
      <c r="D3675" s="3"/>
      <c r="E3675" s="5" t="str">
        <f>HYPERLINK("https://dpmzos25m8ivg.cloudfront.net/Documentos/631/07484893633/6310748489363311092023122449.jpeg","https://dpmzos25m8ivg.cloudfront.net/Documentos/631/07484893633/6310748489363311092023122449.jpeg")</f>
        <v>https://dpmzos25m8ivg.cloudfront.net/Documentos/631/07484893633/6310748489363311092023122449.jpeg</v>
      </c>
      <c r="F3675" s="5" t="str">
        <f>HYPERLINK("https://dpmzos25m8ivg.cloudfront.net/Documentos/631/07484893633/6310748489363311092023122501.jpeg","https://dpmzos25m8ivg.cloudfront.net/Documentos/631/07484893633/6310748489363311092023122501.jpeg")</f>
        <v>https://dpmzos25m8ivg.cloudfront.net/Documentos/631/07484893633/6310748489363311092023122501.jpeg</v>
      </c>
      <c r="G3675" s="5" t="str">
        <f>HYPERLINK("https://dpmzos25m8ivg.cloudfront.net/Documentos/631/07484893633/6310748489363311092023122513.jpeg","https://dpmzos25m8ivg.cloudfront.net/Documentos/631/07484893633/6310748489363311092023122513.jpeg")</f>
        <v>https://dpmzos25m8ivg.cloudfront.net/Documentos/631/07484893633/6310748489363311092023122513.jpeg</v>
      </c>
      <c r="H3675" s="5" t="s">
        <v>12253</v>
      </c>
    </row>
    <row r="3676" spans="1:8" x14ac:dyDescent="0.25">
      <c r="A3676" s="2" t="s">
        <v>3696</v>
      </c>
      <c r="B3676" s="3"/>
      <c r="C3676" s="3"/>
      <c r="D3676" s="3"/>
      <c r="E3676" s="5" t="str">
        <f>HYPERLINK("https://dpmzos25m8ivg.cloudfront.net/Documentos/631/07491634370/6310749163437005092023101717.pdf","https://dpmzos25m8ivg.cloudfront.net/Documentos/631/07491634370/6310749163437005092023101717.pdf")</f>
        <v>https://dpmzos25m8ivg.cloudfront.net/Documentos/631/07491634370/6310749163437005092023101717.pdf</v>
      </c>
      <c r="F3676" s="5" t="str">
        <f>HYPERLINK("https://dpmzos25m8ivg.cloudfront.net/Documentos/631/07491634370/6310749163437005092023101738.pdf","https://dpmzos25m8ivg.cloudfront.net/Documentos/631/07491634370/6310749163437005092023101738.pdf")</f>
        <v>https://dpmzos25m8ivg.cloudfront.net/Documentos/631/07491634370/6310749163437005092023101738.pdf</v>
      </c>
      <c r="G3676" s="5" t="str">
        <f>HYPERLINK("https://dpmzos25m8ivg.cloudfront.net/Documentos/631/07491634370/6310749163437005092023101748.pdf","https://dpmzos25m8ivg.cloudfront.net/Documentos/631/07491634370/6310749163437005092023101748.pdf")</f>
        <v>https://dpmzos25m8ivg.cloudfront.net/Documentos/631/07491634370/6310749163437005092023101748.pdf</v>
      </c>
      <c r="H3676" s="5" t="s">
        <v>12254</v>
      </c>
    </row>
    <row r="3677" spans="1:8" x14ac:dyDescent="0.25">
      <c r="A3677" s="2" t="s">
        <v>3697</v>
      </c>
      <c r="B3677" s="3" t="s">
        <v>42</v>
      </c>
      <c r="C3677" s="3"/>
      <c r="D3677" s="3"/>
      <c r="E3677" s="5" t="str">
        <f>HYPERLINK("https://dpmzos25m8ivg.cloudfront.net/Documentos/631/07491844693/6310749184469311092023164155.pdf","https://dpmzos25m8ivg.cloudfront.net/Documentos/631/07491844693/6310749184469311092023164155.pdf")</f>
        <v>https://dpmzos25m8ivg.cloudfront.net/Documentos/631/07491844693/6310749184469311092023164155.pdf</v>
      </c>
      <c r="F3677" s="5" t="str">
        <f>HYPERLINK("https://dpmzos25m8ivg.cloudfront.net/Documentos/631/07491844693/6310749184469311092023164318.pdf","https://dpmzos25m8ivg.cloudfront.net/Documentos/631/07491844693/6310749184469311092023164318.pdf")</f>
        <v>https://dpmzos25m8ivg.cloudfront.net/Documentos/631/07491844693/6310749184469311092023164318.pdf</v>
      </c>
      <c r="G3677" s="5" t="str">
        <f>HYPERLINK("https://dpmzos25m8ivg.cloudfront.net/Documentos/631/07491844693/6310749184469311092023164343.pdf","https://dpmzos25m8ivg.cloudfront.net/Documentos/631/07491844693/6310749184469311092023164343.pdf")</f>
        <v>https://dpmzos25m8ivg.cloudfront.net/Documentos/631/07491844693/6310749184469311092023164343.pdf</v>
      </c>
      <c r="H3677" s="5" t="s">
        <v>12255</v>
      </c>
    </row>
    <row r="3678" spans="1:8" x14ac:dyDescent="0.25">
      <c r="A3678" s="2" t="s">
        <v>3698</v>
      </c>
      <c r="B3678" s="3"/>
      <c r="C3678" s="3"/>
      <c r="D3678" s="3"/>
      <c r="E3678" s="5" t="str">
        <f>HYPERLINK("https://dpmzos25m8ivg.cloudfront.net/Documentos/631/07494739599/6310749473959909092023153306.jpg","https://dpmzos25m8ivg.cloudfront.net/Documentos/631/07494739599/6310749473959909092023153306.jpg")</f>
        <v>https://dpmzos25m8ivg.cloudfront.net/Documentos/631/07494739599/6310749473959909092023153306.jpg</v>
      </c>
      <c r="F3678" s="5" t="str">
        <f>HYPERLINK("https://dpmzos25m8ivg.cloudfront.net/Documentos/631/07494739599/6310749473959909092023153324.jpg","https://dpmzos25m8ivg.cloudfront.net/Documentos/631/07494739599/6310749473959909092023153324.jpg")</f>
        <v>https://dpmzos25m8ivg.cloudfront.net/Documentos/631/07494739599/6310749473959909092023153324.jpg</v>
      </c>
      <c r="G3678" s="5" t="str">
        <f>HYPERLINK("https://dpmzos25m8ivg.cloudfront.net/Documentos/631/07494739599/6310749473959909092023153340.jpg","https://dpmzos25m8ivg.cloudfront.net/Documentos/631/07494739599/6310749473959909092023153340.jpg")</f>
        <v>https://dpmzos25m8ivg.cloudfront.net/Documentos/631/07494739599/6310749473959909092023153340.jpg</v>
      </c>
      <c r="H3678" s="5" t="s">
        <v>12256</v>
      </c>
    </row>
    <row r="3679" spans="1:8" x14ac:dyDescent="0.25">
      <c r="A3679" s="2" t="s">
        <v>3699</v>
      </c>
      <c r="B3679" s="3"/>
      <c r="C3679" s="3"/>
      <c r="D3679" s="3"/>
      <c r="E3679" s="5" t="str">
        <f>HYPERLINK("https://dpmzos25m8ivg.cloudfront.net/Documentos/631/07495929316/6310749592931614092023113123.jpg","https://dpmzos25m8ivg.cloudfront.net/Documentos/631/07495929316/6310749592931614092023113123.jpg")</f>
        <v>https://dpmzos25m8ivg.cloudfront.net/Documentos/631/07495929316/6310749592931614092023113123.jpg</v>
      </c>
      <c r="F3679" s="5" t="str">
        <f>HYPERLINK("https://dpmzos25m8ivg.cloudfront.net/Documentos/631/07495929316/6310749592931614092023113134.jpg","https://dpmzos25m8ivg.cloudfront.net/Documentos/631/07495929316/6310749592931614092023113134.jpg")</f>
        <v>https://dpmzos25m8ivg.cloudfront.net/Documentos/631/07495929316/6310749592931614092023113134.jpg</v>
      </c>
      <c r="G3679" s="5" t="str">
        <f>HYPERLINK("https://dpmzos25m8ivg.cloudfront.net/Documentos/631/07495929316/6310749592931614092023113144.jpg","https://dpmzos25m8ivg.cloudfront.net/Documentos/631/07495929316/6310749592931614092023113144.jpg")</f>
        <v>https://dpmzos25m8ivg.cloudfront.net/Documentos/631/07495929316/6310749592931614092023113144.jpg</v>
      </c>
      <c r="H3679" s="5" t="s">
        <v>12257</v>
      </c>
    </row>
    <row r="3680" spans="1:8" x14ac:dyDescent="0.25">
      <c r="A3680" s="2" t="s">
        <v>3700</v>
      </c>
      <c r="B3680" s="3"/>
      <c r="C3680" s="3"/>
      <c r="D3680" s="3"/>
      <c r="E3680" s="5" t="str">
        <f>HYPERLINK("https://dpmzos25m8ivg.cloudfront.net/Documentos/631/07499047555/6310749904755511092023095120.pdf","https://dpmzos25m8ivg.cloudfront.net/Documentos/631/07499047555/6310749904755511092023095120.pdf")</f>
        <v>https://dpmzos25m8ivg.cloudfront.net/Documentos/631/07499047555/6310749904755511092023095120.pdf</v>
      </c>
      <c r="F3680" s="5" t="str">
        <f>HYPERLINK("https://dpmzos25m8ivg.cloudfront.net/Documentos/631/07499047555/6310749904755511092023095131.pdf","https://dpmzos25m8ivg.cloudfront.net/Documentos/631/07499047555/6310749904755511092023095131.pdf")</f>
        <v>https://dpmzos25m8ivg.cloudfront.net/Documentos/631/07499047555/6310749904755511092023095131.pdf</v>
      </c>
      <c r="G3680" s="5" t="str">
        <f>HYPERLINK("https://dpmzos25m8ivg.cloudfront.net/Documentos/631/07499047555/6310749904755511092023095149.pdf","https://dpmzos25m8ivg.cloudfront.net/Documentos/631/07499047555/6310749904755511092023095149.pdf")</f>
        <v>https://dpmzos25m8ivg.cloudfront.net/Documentos/631/07499047555/6310749904755511092023095149.pdf</v>
      </c>
      <c r="H3680" s="5" t="s">
        <v>12258</v>
      </c>
    </row>
    <row r="3681" spans="1:8" x14ac:dyDescent="0.25">
      <c r="A3681" s="2" t="s">
        <v>3701</v>
      </c>
      <c r="B3681" s="3"/>
      <c r="C3681" s="3"/>
      <c r="D3681" s="3"/>
      <c r="E3681" s="5" t="str">
        <f>HYPERLINK("https://dpmzos25m8ivg.cloudfront.net/Documentos/631/07499158462/6310749915846214092023141806.pdf","https://dpmzos25m8ivg.cloudfront.net/Documentos/631/07499158462/6310749915846214092023141806.pdf")</f>
        <v>https://dpmzos25m8ivg.cloudfront.net/Documentos/631/07499158462/6310749915846214092023141806.pdf</v>
      </c>
      <c r="F3681" s="5" t="str">
        <f>HYPERLINK("https://dpmzos25m8ivg.cloudfront.net/Documentos/631/07499158462/6310749915846214092023141819.pdf","https://dpmzos25m8ivg.cloudfront.net/Documentos/631/07499158462/6310749915846214092023141819.pdf")</f>
        <v>https://dpmzos25m8ivg.cloudfront.net/Documentos/631/07499158462/6310749915846214092023141819.pdf</v>
      </c>
      <c r="G3681" s="5" t="str">
        <f>HYPERLINK("https://dpmzos25m8ivg.cloudfront.net/Documentos/631/07499158462/6310749915846214092023141831.pdf","https://dpmzos25m8ivg.cloudfront.net/Documentos/631/07499158462/6310749915846214092023141831.pdf")</f>
        <v>https://dpmzos25m8ivg.cloudfront.net/Documentos/631/07499158462/6310749915846214092023141831.pdf</v>
      </c>
      <c r="H3681" s="5" t="s">
        <v>12259</v>
      </c>
    </row>
    <row r="3682" spans="1:8" x14ac:dyDescent="0.25">
      <c r="A3682" s="2" t="s">
        <v>3702</v>
      </c>
      <c r="B3682" s="3"/>
      <c r="C3682" s="3"/>
      <c r="D3682" s="3"/>
      <c r="E3682" s="5" t="str">
        <f>HYPERLINK("https://dpmzos25m8ivg.cloudfront.net/Documentos/631/07500441363/6310750044136305092023195248.pdf","https://dpmzos25m8ivg.cloudfront.net/Documentos/631/07500441363/6310750044136305092023195248.pdf")</f>
        <v>https://dpmzos25m8ivg.cloudfront.net/Documentos/631/07500441363/6310750044136305092023195248.pdf</v>
      </c>
      <c r="F3682" s="5" t="str">
        <f>HYPERLINK("https://dpmzos25m8ivg.cloudfront.net/Documentos/631/07500441363/6310750044136305092023195305.pdf","https://dpmzos25m8ivg.cloudfront.net/Documentos/631/07500441363/6310750044136305092023195305.pdf")</f>
        <v>https://dpmzos25m8ivg.cloudfront.net/Documentos/631/07500441363/6310750044136305092023195305.pdf</v>
      </c>
      <c r="G3682" s="5" t="str">
        <f>HYPERLINK("https://dpmzos25m8ivg.cloudfront.net/Documentos/631/07500441363/6310750044136305092023195317.pdf","https://dpmzos25m8ivg.cloudfront.net/Documentos/631/07500441363/6310750044136305092023195317.pdf")</f>
        <v>https://dpmzos25m8ivg.cloudfront.net/Documentos/631/07500441363/6310750044136305092023195317.pdf</v>
      </c>
      <c r="H3682" s="5" t="s">
        <v>12260</v>
      </c>
    </row>
    <row r="3683" spans="1:8" x14ac:dyDescent="0.25">
      <c r="A3683" s="2" t="s">
        <v>3703</v>
      </c>
      <c r="B3683" s="3"/>
      <c r="C3683" s="3"/>
      <c r="D3683" s="3"/>
      <c r="E3683" s="5" t="str">
        <f>HYPERLINK("https://dpmzos25m8ivg.cloudfront.net/Documentos/631/07507670813/6310750767081306092023105823.pdf","https://dpmzos25m8ivg.cloudfront.net/Documentos/631/07507670813/6310750767081306092023105823.pdf")</f>
        <v>https://dpmzos25m8ivg.cloudfront.net/Documentos/631/07507670813/6310750767081306092023105823.pdf</v>
      </c>
      <c r="F3683" s="5" t="str">
        <f>HYPERLINK("https://dpmzos25m8ivg.cloudfront.net/Documentos/631/07507670813/6310750767081306092023110025.pdf","https://dpmzos25m8ivg.cloudfront.net/Documentos/631/07507670813/6310750767081306092023110025.pdf")</f>
        <v>https://dpmzos25m8ivg.cloudfront.net/Documentos/631/07507670813/6310750767081306092023110025.pdf</v>
      </c>
      <c r="G3683" s="5" t="str">
        <f>HYPERLINK("https://dpmzos25m8ivg.cloudfront.net/Documentos/631/07507670813/6310750767081306092023110126.pdf","https://dpmzos25m8ivg.cloudfront.net/Documentos/631/07507670813/6310750767081306092023110126.pdf")</f>
        <v>https://dpmzos25m8ivg.cloudfront.net/Documentos/631/07507670813/6310750767081306092023110126.pdf</v>
      </c>
      <c r="H3683" s="5" t="s">
        <v>12261</v>
      </c>
    </row>
    <row r="3684" spans="1:8" x14ac:dyDescent="0.25">
      <c r="A3684" s="2" t="s">
        <v>3704</v>
      </c>
      <c r="B3684" s="3"/>
      <c r="C3684" s="3"/>
      <c r="D3684" s="3"/>
      <c r="E3684" s="5" t="str">
        <f>HYPERLINK("https://dpmzos25m8ivg.cloudfront.net/Documentos/631/07508293975/6310750829397511092023150325.pdf","https://dpmzos25m8ivg.cloudfront.net/Documentos/631/07508293975/6310750829397511092023150325.pdf")</f>
        <v>https://dpmzos25m8ivg.cloudfront.net/Documentos/631/07508293975/6310750829397511092023150325.pdf</v>
      </c>
      <c r="F3684" s="5" t="str">
        <f>HYPERLINK("https://dpmzos25m8ivg.cloudfront.net/Documentos/631/07508293975/6310750829397511092023150337.pdf","https://dpmzos25m8ivg.cloudfront.net/Documentos/631/07508293975/6310750829397511092023150337.pdf")</f>
        <v>https://dpmzos25m8ivg.cloudfront.net/Documentos/631/07508293975/6310750829397511092023150337.pdf</v>
      </c>
      <c r="G3684" s="5" t="str">
        <f>HYPERLINK("https://dpmzos25m8ivg.cloudfront.net/Documentos/631/07508293975/6310750829397511092023150349.pdf","https://dpmzos25m8ivg.cloudfront.net/Documentos/631/07508293975/6310750829397511092023150349.pdf")</f>
        <v>https://dpmzos25m8ivg.cloudfront.net/Documentos/631/07508293975/6310750829397511092023150349.pdf</v>
      </c>
      <c r="H3684" s="5" t="s">
        <v>12262</v>
      </c>
    </row>
    <row r="3685" spans="1:8" x14ac:dyDescent="0.25">
      <c r="A3685" s="2" t="s">
        <v>3705</v>
      </c>
      <c r="B3685" s="3"/>
      <c r="C3685" s="3"/>
      <c r="D3685" s="3"/>
      <c r="E3685" s="5" t="str">
        <f>HYPERLINK("https://dpmzos25m8ivg.cloudfront.net/Documentos/631/07509579139/6310750957913911092023164106.pdf","https://dpmzos25m8ivg.cloudfront.net/Documentos/631/07509579139/6310750957913911092023164106.pdf")</f>
        <v>https://dpmzos25m8ivg.cloudfront.net/Documentos/631/07509579139/6310750957913911092023164106.pdf</v>
      </c>
      <c r="F3685" s="5" t="str">
        <f>HYPERLINK("https://dpmzos25m8ivg.cloudfront.net/Documentos/631/07509579139/6310750957913911092023164054.pdf","https://dpmzos25m8ivg.cloudfront.net/Documentos/631/07509579139/6310750957913911092023164054.pdf")</f>
        <v>https://dpmzos25m8ivg.cloudfront.net/Documentos/631/07509579139/6310750957913911092023164054.pdf</v>
      </c>
      <c r="G3685" s="5" t="str">
        <f>HYPERLINK("https://dpmzos25m8ivg.cloudfront.net/Documentos/631/07509579139/6310750957913911092023164045.pdf","https://dpmzos25m8ivg.cloudfront.net/Documentos/631/07509579139/6310750957913911092023164045.pdf")</f>
        <v>https://dpmzos25m8ivg.cloudfront.net/Documentos/631/07509579139/6310750957913911092023164045.pdf</v>
      </c>
      <c r="H3685" s="5" t="s">
        <v>12263</v>
      </c>
    </row>
    <row r="3686" spans="1:8" x14ac:dyDescent="0.25">
      <c r="A3686" s="2" t="s">
        <v>3706</v>
      </c>
      <c r="B3686" s="3"/>
      <c r="C3686" s="3"/>
      <c r="D3686" s="3"/>
      <c r="E3686" s="5" t="str">
        <f>HYPERLINK("https://dpmzos25m8ivg.cloudfront.net/Documentos/631/07509957346/6310750995734609092023165909.pdf","https://dpmzos25m8ivg.cloudfront.net/Documentos/631/07509957346/6310750995734609092023165909.pdf")</f>
        <v>https://dpmzos25m8ivg.cloudfront.net/Documentos/631/07509957346/6310750995734609092023165909.pdf</v>
      </c>
      <c r="F3686" s="5" t="str">
        <f>HYPERLINK("https://dpmzos25m8ivg.cloudfront.net/Documentos/631/07509957346/6310750995734609092023165943.pdf","https://dpmzos25m8ivg.cloudfront.net/Documentos/631/07509957346/6310750995734609092023165943.pdf")</f>
        <v>https://dpmzos25m8ivg.cloudfront.net/Documentos/631/07509957346/6310750995734609092023165943.pdf</v>
      </c>
      <c r="G3686" s="5" t="str">
        <f>HYPERLINK("https://dpmzos25m8ivg.cloudfront.net/Documentos/631/07509957346/6310750995734609092023170028.pdf","https://dpmzos25m8ivg.cloudfront.net/Documentos/631/07509957346/6310750995734609092023170028.pdf")</f>
        <v>https://dpmzos25m8ivg.cloudfront.net/Documentos/631/07509957346/6310750995734609092023170028.pdf</v>
      </c>
      <c r="H3686" s="5" t="s">
        <v>12264</v>
      </c>
    </row>
    <row r="3687" spans="1:8" x14ac:dyDescent="0.25">
      <c r="A3687" s="2" t="s">
        <v>3707</v>
      </c>
      <c r="B3687" s="3"/>
      <c r="C3687" s="3"/>
      <c r="D3687" s="3"/>
      <c r="E3687" s="5" t="str">
        <f>HYPERLINK("https://dpmzos25m8ivg.cloudfront.net/Documentos/631/07513537526/6310751353752614092023161954.pdf","https://dpmzos25m8ivg.cloudfront.net/Documentos/631/07513537526/6310751353752614092023161954.pdf")</f>
        <v>https://dpmzos25m8ivg.cloudfront.net/Documentos/631/07513537526/6310751353752614092023161954.pdf</v>
      </c>
      <c r="F3687" s="5" t="str">
        <f>HYPERLINK("https://dpmzos25m8ivg.cloudfront.net/Documentos/631/07513537526/6310751353752614092023162007.pdf","https://dpmzos25m8ivg.cloudfront.net/Documentos/631/07513537526/6310751353752614092023162007.pdf")</f>
        <v>https://dpmzos25m8ivg.cloudfront.net/Documentos/631/07513537526/6310751353752614092023162007.pdf</v>
      </c>
      <c r="G3687" s="5" t="str">
        <f>HYPERLINK("https://dpmzos25m8ivg.cloudfront.net/Documentos/631/07513537526/6310751353752614092023162022.pdf","https://dpmzos25m8ivg.cloudfront.net/Documentos/631/07513537526/6310751353752614092023162022.pdf")</f>
        <v>https://dpmzos25m8ivg.cloudfront.net/Documentos/631/07513537526/6310751353752614092023162022.pdf</v>
      </c>
      <c r="H3687" s="5" t="s">
        <v>12265</v>
      </c>
    </row>
    <row r="3688" spans="1:8" x14ac:dyDescent="0.25">
      <c r="A3688" s="2" t="s">
        <v>3708</v>
      </c>
      <c r="B3688" s="3"/>
      <c r="C3688" s="3"/>
      <c r="D3688" s="3"/>
      <c r="E3688" s="5" t="str">
        <f>HYPERLINK("https://dpmzos25m8ivg.cloudfront.net/Documentos/631/07514254439/6310751425443906092023180203.pdf","https://dpmzos25m8ivg.cloudfront.net/Documentos/631/07514254439/6310751425443906092023180203.pdf")</f>
        <v>https://dpmzos25m8ivg.cloudfront.net/Documentos/631/07514254439/6310751425443906092023180203.pdf</v>
      </c>
      <c r="F3688" s="5" t="str">
        <f>HYPERLINK("https://dpmzos25m8ivg.cloudfront.net/Documentos/631/07514254439/6310751425443906092023180223.pdf","https://dpmzos25m8ivg.cloudfront.net/Documentos/631/07514254439/6310751425443906092023180223.pdf")</f>
        <v>https://dpmzos25m8ivg.cloudfront.net/Documentos/631/07514254439/6310751425443906092023180223.pdf</v>
      </c>
      <c r="G3688" s="5" t="str">
        <f>HYPERLINK("https://dpmzos25m8ivg.cloudfront.net/Documentos/631/07514254439/6310751425443906092023180242.pdf","https://dpmzos25m8ivg.cloudfront.net/Documentos/631/07514254439/6310751425443906092023180242.pdf")</f>
        <v>https://dpmzos25m8ivg.cloudfront.net/Documentos/631/07514254439/6310751425443906092023180242.pdf</v>
      </c>
      <c r="H3688" s="5" t="s">
        <v>12266</v>
      </c>
    </row>
    <row r="3689" spans="1:8" x14ac:dyDescent="0.25">
      <c r="A3689" s="2" t="s">
        <v>3709</v>
      </c>
      <c r="B3689" s="3" t="s">
        <v>42</v>
      </c>
      <c r="C3689" s="3"/>
      <c r="D3689" s="3"/>
      <c r="E3689" s="5" t="str">
        <f>HYPERLINK("https://dpmzos25m8ivg.cloudfront.net/Documentos/631/07517567411/6310751756741105092023124354.jpg","https://dpmzos25m8ivg.cloudfront.net/Documentos/631/07517567411/6310751756741105092023124354.jpg")</f>
        <v>https://dpmzos25m8ivg.cloudfront.net/Documentos/631/07517567411/6310751756741105092023124354.jpg</v>
      </c>
      <c r="F3689" s="5" t="str">
        <f>HYPERLINK("https://dpmzos25m8ivg.cloudfront.net/Documentos/631/07517567411/6310751756741105092023124403.jpg","https://dpmzos25m8ivg.cloudfront.net/Documentos/631/07517567411/6310751756741105092023124403.jpg")</f>
        <v>https://dpmzos25m8ivg.cloudfront.net/Documentos/631/07517567411/6310751756741105092023124403.jpg</v>
      </c>
      <c r="G3689" s="5" t="str">
        <f>HYPERLINK("https://dpmzos25m8ivg.cloudfront.net/Documentos/631/07517567411/6310751756741105092023124428.jpg","https://dpmzos25m8ivg.cloudfront.net/Documentos/631/07517567411/6310751756741105092023124428.jpg")</f>
        <v>https://dpmzos25m8ivg.cloudfront.net/Documentos/631/07517567411/6310751756741105092023124428.jpg</v>
      </c>
      <c r="H3689" s="5" t="s">
        <v>12267</v>
      </c>
    </row>
    <row r="3690" spans="1:8" x14ac:dyDescent="0.25">
      <c r="A3690" s="2" t="s">
        <v>3710</v>
      </c>
      <c r="B3690" s="3" t="s">
        <v>8</v>
      </c>
      <c r="C3690" s="3"/>
      <c r="D3690" s="3"/>
      <c r="E3690" s="5" t="str">
        <f>HYPERLINK("https://dpmzos25m8ivg.cloudfront.net/Documentos/631/07517803166/6310751780316611092023152658.pdf","https://dpmzos25m8ivg.cloudfront.net/Documentos/631/07517803166/6310751780316611092023152658.pdf")</f>
        <v>https://dpmzos25m8ivg.cloudfront.net/Documentos/631/07517803166/6310751780316611092023152658.pdf</v>
      </c>
      <c r="F3690" s="5" t="str">
        <f>HYPERLINK("https://dpmzos25m8ivg.cloudfront.net/Documentos/631/07517803166/6310751780316611092023152712.pdf","https://dpmzos25m8ivg.cloudfront.net/Documentos/631/07517803166/6310751780316611092023152712.pdf")</f>
        <v>https://dpmzos25m8ivg.cloudfront.net/Documentos/631/07517803166/6310751780316611092023152712.pdf</v>
      </c>
      <c r="G3690" s="5" t="str">
        <f>HYPERLINK("https://dpmzos25m8ivg.cloudfront.net/Documentos/631/07517803166/6310751780316611092023152728.pdf","https://dpmzos25m8ivg.cloudfront.net/Documentos/631/07517803166/6310751780316611092023152728.pdf")</f>
        <v>https://dpmzos25m8ivg.cloudfront.net/Documentos/631/07517803166/6310751780316611092023152728.pdf</v>
      </c>
      <c r="H3690" s="5" t="s">
        <v>9010</v>
      </c>
    </row>
    <row r="3691" spans="1:8" x14ac:dyDescent="0.25">
      <c r="A3691" s="2" t="s">
        <v>3711</v>
      </c>
      <c r="B3691" s="3"/>
      <c r="C3691" s="3"/>
      <c r="D3691" s="3"/>
      <c r="E3691" s="5" t="str">
        <f>HYPERLINK("https://dpmzos25m8ivg.cloudfront.net/Documentos/631/07519195198/6310751919519813092023155933.pdf","https://dpmzos25m8ivg.cloudfront.net/Documentos/631/07519195198/6310751919519813092023155933.pdf")</f>
        <v>https://dpmzos25m8ivg.cloudfront.net/Documentos/631/07519195198/6310751919519813092023155933.pdf</v>
      </c>
      <c r="F3691" s="5" t="str">
        <f>HYPERLINK("https://dpmzos25m8ivg.cloudfront.net/Documentos/631/07519195198/6310751919519813092023155942.pdf","https://dpmzos25m8ivg.cloudfront.net/Documentos/631/07519195198/6310751919519813092023155942.pdf")</f>
        <v>https://dpmzos25m8ivg.cloudfront.net/Documentos/631/07519195198/6310751919519813092023155942.pdf</v>
      </c>
      <c r="G3691" s="5" t="str">
        <f>HYPERLINK("https://dpmzos25m8ivg.cloudfront.net/Documentos/631/07519195198/6310751919519813092023155950.pdf","https://dpmzos25m8ivg.cloudfront.net/Documentos/631/07519195198/6310751919519813092023155950.pdf")</f>
        <v>https://dpmzos25m8ivg.cloudfront.net/Documentos/631/07519195198/6310751919519813092023155950.pdf</v>
      </c>
      <c r="H3691" s="5" t="s">
        <v>12268</v>
      </c>
    </row>
    <row r="3692" spans="1:8" x14ac:dyDescent="0.25">
      <c r="A3692" s="2" t="s">
        <v>3712</v>
      </c>
      <c r="B3692" s="3"/>
      <c r="C3692" s="3"/>
      <c r="D3692" s="3"/>
      <c r="E3692" s="5" t="str">
        <f>HYPERLINK("https://dpmzos25m8ivg.cloudfront.net/Documentos/631/07519469158/6310751946915811092023153352.pdf","https://dpmzos25m8ivg.cloudfront.net/Documentos/631/07519469158/6310751946915811092023153352.pdf")</f>
        <v>https://dpmzos25m8ivg.cloudfront.net/Documentos/631/07519469158/6310751946915811092023153352.pdf</v>
      </c>
      <c r="F3692" s="5" t="str">
        <f>HYPERLINK("https://dpmzos25m8ivg.cloudfront.net/Documentos/631/07519469158/6310751946915811092023153411.pdf","https://dpmzos25m8ivg.cloudfront.net/Documentos/631/07519469158/6310751946915811092023153411.pdf")</f>
        <v>https://dpmzos25m8ivg.cloudfront.net/Documentos/631/07519469158/6310751946915811092023153411.pdf</v>
      </c>
      <c r="G3692" s="5" t="str">
        <f>HYPERLINK("https://dpmzos25m8ivg.cloudfront.net/Documentos/631/07519469158/6310751946915811092023153430.pdf","https://dpmzos25m8ivg.cloudfront.net/Documentos/631/07519469158/6310751946915811092023153430.pdf")</f>
        <v>https://dpmzos25m8ivg.cloudfront.net/Documentos/631/07519469158/6310751946915811092023153430.pdf</v>
      </c>
      <c r="H3692" s="5" t="s">
        <v>12269</v>
      </c>
    </row>
    <row r="3693" spans="1:8" x14ac:dyDescent="0.25">
      <c r="A3693" s="2" t="s">
        <v>3713</v>
      </c>
      <c r="B3693" s="3"/>
      <c r="C3693" s="3"/>
      <c r="D3693" s="3"/>
      <c r="E3693" s="5" t="str">
        <f>HYPERLINK("https://dpmzos25m8ivg.cloudfront.net/Documentos/631/07519643441/6310751964344111092023134045.pdf","https://dpmzos25m8ivg.cloudfront.net/Documentos/631/07519643441/6310751964344111092023134045.pdf")</f>
        <v>https://dpmzos25m8ivg.cloudfront.net/Documentos/631/07519643441/6310751964344111092023134045.pdf</v>
      </c>
      <c r="F3693" s="5" t="str">
        <f>HYPERLINK("https://dpmzos25m8ivg.cloudfront.net/Documentos/631/07519643441/6310751964344111092023134104.pdf","https://dpmzos25m8ivg.cloudfront.net/Documentos/631/07519643441/6310751964344111092023134104.pdf")</f>
        <v>https://dpmzos25m8ivg.cloudfront.net/Documentos/631/07519643441/6310751964344111092023134104.pdf</v>
      </c>
      <c r="G3693" s="5" t="str">
        <f>HYPERLINK("https://dpmzos25m8ivg.cloudfront.net/Documentos/631/07519643441/6310751964344111092023134118.pdf","https://dpmzos25m8ivg.cloudfront.net/Documentos/631/07519643441/6310751964344111092023134118.pdf")</f>
        <v>https://dpmzos25m8ivg.cloudfront.net/Documentos/631/07519643441/6310751964344111092023134118.pdf</v>
      </c>
      <c r="H3693" s="5" t="s">
        <v>12270</v>
      </c>
    </row>
    <row r="3694" spans="1:8" x14ac:dyDescent="0.25">
      <c r="A3694" s="2" t="s">
        <v>3714</v>
      </c>
      <c r="B3694" s="3"/>
      <c r="C3694" s="3"/>
      <c r="D3694" s="3"/>
      <c r="E3694" s="5" t="str">
        <f>HYPERLINK("https://dpmzos25m8ivg.cloudfront.net/Documentos/631/07523790542/6310752379054211092023164014.pdf","https://dpmzos25m8ivg.cloudfront.net/Documentos/631/07523790542/6310752379054211092023164014.pdf")</f>
        <v>https://dpmzos25m8ivg.cloudfront.net/Documentos/631/07523790542/6310752379054211092023164014.pdf</v>
      </c>
      <c r="F3694" s="5" t="str">
        <f>HYPERLINK("https://dpmzos25m8ivg.cloudfront.net/Documentos/631/07523790542/6310752379054211092023163959.pdf","https://dpmzos25m8ivg.cloudfront.net/Documentos/631/07523790542/6310752379054211092023163959.pdf")</f>
        <v>https://dpmzos25m8ivg.cloudfront.net/Documentos/631/07523790542/6310752379054211092023163959.pdf</v>
      </c>
      <c r="G3694" s="5" t="str">
        <f>HYPERLINK("https://dpmzos25m8ivg.cloudfront.net/Documentos/631/07523790542/6310752379054211092023163945.pdf","https://dpmzos25m8ivg.cloudfront.net/Documentos/631/07523790542/6310752379054211092023163945.pdf")</f>
        <v>https://dpmzos25m8ivg.cloudfront.net/Documentos/631/07523790542/6310752379054211092023163945.pdf</v>
      </c>
      <c r="H3694" s="5" t="s">
        <v>12271</v>
      </c>
    </row>
    <row r="3695" spans="1:8" x14ac:dyDescent="0.25">
      <c r="A3695" s="2" t="s">
        <v>3715</v>
      </c>
      <c r="B3695" s="3"/>
      <c r="C3695" s="3"/>
      <c r="D3695" s="3"/>
      <c r="E3695" s="5" t="str">
        <f>HYPERLINK("https://dpmzos25m8ivg.cloudfront.net/Documentos/631/07524971389/6310752497138911092023093936.jpg","https://dpmzos25m8ivg.cloudfront.net/Documentos/631/07524971389/6310752497138911092023093936.jpg")</f>
        <v>https://dpmzos25m8ivg.cloudfront.net/Documentos/631/07524971389/6310752497138911092023093936.jpg</v>
      </c>
      <c r="F3695" s="5" t="str">
        <f>HYPERLINK("https://dpmzos25m8ivg.cloudfront.net/Documentos/631/07524971389/6310752497138911092023093949.jpg","https://dpmzos25m8ivg.cloudfront.net/Documentos/631/07524971389/6310752497138911092023093949.jpg")</f>
        <v>https://dpmzos25m8ivg.cloudfront.net/Documentos/631/07524971389/6310752497138911092023093949.jpg</v>
      </c>
      <c r="G3695" s="5" t="str">
        <f>HYPERLINK("https://dpmzos25m8ivg.cloudfront.net/Documentos/631/07524971389/6310752497138911092023094008.jpg","https://dpmzos25m8ivg.cloudfront.net/Documentos/631/07524971389/6310752497138911092023094008.jpg")</f>
        <v>https://dpmzos25m8ivg.cloudfront.net/Documentos/631/07524971389/6310752497138911092023094008.jpg</v>
      </c>
      <c r="H3695" s="5" t="s">
        <v>12272</v>
      </c>
    </row>
    <row r="3696" spans="1:8" x14ac:dyDescent="0.25">
      <c r="A3696" s="2" t="s">
        <v>3716</v>
      </c>
      <c r="B3696" s="3" t="s">
        <v>90</v>
      </c>
      <c r="C3696" s="3"/>
      <c r="D3696" s="3"/>
      <c r="E3696" s="5" t="str">
        <f>HYPERLINK("https://dpmzos25m8ivg.cloudfront.net/Documentos/631/07527601140/6310752760114006092023160143.pdf","https://dpmzos25m8ivg.cloudfront.net/Documentos/631/07527601140/6310752760114006092023160143.pdf")</f>
        <v>https://dpmzos25m8ivg.cloudfront.net/Documentos/631/07527601140/6310752760114006092023160143.pdf</v>
      </c>
      <c r="F3696" s="5" t="str">
        <f>HYPERLINK("https://dpmzos25m8ivg.cloudfront.net/Documentos/631/07527601140/6310752760114006092023160151.pdf","https://dpmzos25m8ivg.cloudfront.net/Documentos/631/07527601140/6310752760114006092023160151.pdf")</f>
        <v>https://dpmzos25m8ivg.cloudfront.net/Documentos/631/07527601140/6310752760114006092023160151.pdf</v>
      </c>
      <c r="G3696" s="5" t="str">
        <f>HYPERLINK("https://dpmzos25m8ivg.cloudfront.net/Documentos/631/07527601140/6310752760114006092023160200.pdf","https://dpmzos25m8ivg.cloudfront.net/Documentos/631/07527601140/6310752760114006092023160200.pdf")</f>
        <v>https://dpmzos25m8ivg.cloudfront.net/Documentos/631/07527601140/6310752760114006092023160200.pdf</v>
      </c>
      <c r="H3696" s="5" t="s">
        <v>12273</v>
      </c>
    </row>
    <row r="3697" spans="1:8" x14ac:dyDescent="0.25">
      <c r="A3697" s="2" t="s">
        <v>3717</v>
      </c>
      <c r="B3697" s="3"/>
      <c r="C3697" s="3"/>
      <c r="D3697" s="3"/>
      <c r="E3697" s="5" t="str">
        <f>HYPERLINK("https://dpmzos25m8ivg.cloudfront.net/Documentos/631/07528675989/6310752867598906092023154030.pdf","https://dpmzos25m8ivg.cloudfront.net/Documentos/631/07528675989/6310752867598906092023154030.pdf")</f>
        <v>https://dpmzos25m8ivg.cloudfront.net/Documentos/631/07528675989/6310752867598906092023154030.pdf</v>
      </c>
      <c r="F3697" s="5" t="str">
        <f>HYPERLINK("https://dpmzos25m8ivg.cloudfront.net/Documentos/631/07528675989/6310752867598906092023154038.pdf","https://dpmzos25m8ivg.cloudfront.net/Documentos/631/07528675989/6310752867598906092023154038.pdf")</f>
        <v>https://dpmzos25m8ivg.cloudfront.net/Documentos/631/07528675989/6310752867598906092023154038.pdf</v>
      </c>
      <c r="G3697" s="5" t="str">
        <f>HYPERLINK("https://dpmzos25m8ivg.cloudfront.net/Documentos/631/07528675989/6310752867598906092023154047.pdf","https://dpmzos25m8ivg.cloudfront.net/Documentos/631/07528675989/6310752867598906092023154047.pdf")</f>
        <v>https://dpmzos25m8ivg.cloudfront.net/Documentos/631/07528675989/6310752867598906092023154047.pdf</v>
      </c>
      <c r="H3697" s="5" t="s">
        <v>12274</v>
      </c>
    </row>
    <row r="3698" spans="1:8" x14ac:dyDescent="0.25">
      <c r="A3698" s="2" t="s">
        <v>3718</v>
      </c>
      <c r="B3698" s="3"/>
      <c r="C3698" s="3"/>
      <c r="D3698" s="3"/>
      <c r="E3698" s="5" t="str">
        <f>HYPERLINK("https://dpmzos25m8ivg.cloudfront.net/Documentos/631/07531447436/6310753144743604092023193233.pdf","https://dpmzos25m8ivg.cloudfront.net/Documentos/631/07531447436/6310753144743604092023193233.pdf")</f>
        <v>https://dpmzos25m8ivg.cloudfront.net/Documentos/631/07531447436/6310753144743604092023193233.pdf</v>
      </c>
      <c r="F3698" s="5" t="str">
        <f>HYPERLINK("https://dpmzos25m8ivg.cloudfront.net/Documentos/631/07531447436/6310753144743604092023193453.pdf","https://dpmzos25m8ivg.cloudfront.net/Documentos/631/07531447436/6310753144743604092023193453.pdf")</f>
        <v>https://dpmzos25m8ivg.cloudfront.net/Documentos/631/07531447436/6310753144743604092023193453.pdf</v>
      </c>
      <c r="G3698" s="5" t="str">
        <f>HYPERLINK("https://dpmzos25m8ivg.cloudfront.net/Documentos/631/07531447436/6310753144743604092023222134.pdf","https://dpmzos25m8ivg.cloudfront.net/Documentos/631/07531447436/6310753144743604092023222134.pdf")</f>
        <v>https://dpmzos25m8ivg.cloudfront.net/Documentos/631/07531447436/6310753144743604092023222134.pdf</v>
      </c>
      <c r="H3698" s="5" t="s">
        <v>12275</v>
      </c>
    </row>
    <row r="3699" spans="1:8" x14ac:dyDescent="0.25">
      <c r="A3699" s="2" t="s">
        <v>3719</v>
      </c>
      <c r="B3699" s="3"/>
      <c r="C3699" s="3"/>
      <c r="D3699" s="3"/>
      <c r="E3699" s="5" t="str">
        <f>HYPERLINK("https://dpmzos25m8ivg.cloudfront.net/Documentos/631/07532772632/6310753277263211092023133041.pdf","https://dpmzos25m8ivg.cloudfront.net/Documentos/631/07532772632/6310753277263211092023133041.pdf")</f>
        <v>https://dpmzos25m8ivg.cloudfront.net/Documentos/631/07532772632/6310753277263211092023133041.pdf</v>
      </c>
      <c r="F3699" s="5" t="str">
        <f>HYPERLINK("https://dpmzos25m8ivg.cloudfront.net/Documentos/631/07532772632/6310753277263210092023113543.pdf","https://dpmzos25m8ivg.cloudfront.net/Documentos/631/07532772632/6310753277263210092023113543.pdf")</f>
        <v>https://dpmzos25m8ivg.cloudfront.net/Documentos/631/07532772632/6310753277263210092023113543.pdf</v>
      </c>
      <c r="G3699" s="5" t="str">
        <f>HYPERLINK("https://dpmzos25m8ivg.cloudfront.net/Documentos/631/07532772632/6310753277263210092023113648.pdf","https://dpmzos25m8ivg.cloudfront.net/Documentos/631/07532772632/6310753277263210092023113648.pdf")</f>
        <v>https://dpmzos25m8ivg.cloudfront.net/Documentos/631/07532772632/6310753277263210092023113648.pdf</v>
      </c>
      <c r="H3699" s="5" t="s">
        <v>12276</v>
      </c>
    </row>
    <row r="3700" spans="1:8" x14ac:dyDescent="0.25">
      <c r="A3700" s="2" t="s">
        <v>3720</v>
      </c>
      <c r="B3700" s="3"/>
      <c r="C3700" s="3"/>
      <c r="D3700" s="3"/>
      <c r="E3700" s="5" t="str">
        <f>HYPERLINK("https://dpmzos25m8ivg.cloudfront.net/Documentos/631/07539367393/6310753936739311092023170022.pdf","https://dpmzos25m8ivg.cloudfront.net/Documentos/631/07539367393/6310753936739311092023170022.pdf")</f>
        <v>https://dpmzos25m8ivg.cloudfront.net/Documentos/631/07539367393/6310753936739311092023170022.pdf</v>
      </c>
      <c r="F3700" s="5" t="str">
        <f>HYPERLINK("https://dpmzos25m8ivg.cloudfront.net/Documentos/631/07539367393/6310753936739311092023170036.pdf","https://dpmzos25m8ivg.cloudfront.net/Documentos/631/07539367393/6310753936739311092023170036.pdf")</f>
        <v>https://dpmzos25m8ivg.cloudfront.net/Documentos/631/07539367393/6310753936739311092023170036.pdf</v>
      </c>
      <c r="G3700" s="5" t="str">
        <f>HYPERLINK("https://dpmzos25m8ivg.cloudfront.net/Documentos/631/07539367393/6310753936739311092023170052.pdf","https://dpmzos25m8ivg.cloudfront.net/Documentos/631/07539367393/6310753936739311092023170052.pdf")</f>
        <v>https://dpmzos25m8ivg.cloudfront.net/Documentos/631/07539367393/6310753936739311092023170052.pdf</v>
      </c>
      <c r="H3700" s="5" t="s">
        <v>12277</v>
      </c>
    </row>
    <row r="3701" spans="1:8" x14ac:dyDescent="0.25">
      <c r="A3701" s="2" t="s">
        <v>3721</v>
      </c>
      <c r="B3701" s="3"/>
      <c r="C3701" s="3"/>
      <c r="D3701" s="3"/>
      <c r="E3701" s="5" t="str">
        <f>HYPERLINK("https://dpmzos25m8ivg.cloudfront.net/Documentos/631/07540499656/6310754049965611092023121729.pdf","https://dpmzos25m8ivg.cloudfront.net/Documentos/631/07540499656/6310754049965611092023121729.pdf")</f>
        <v>https://dpmzos25m8ivg.cloudfront.net/Documentos/631/07540499656/6310754049965611092023121729.pdf</v>
      </c>
      <c r="F3701" s="5" t="str">
        <f>HYPERLINK("https://dpmzos25m8ivg.cloudfront.net/Documentos/631/07540499656/6310754049965611092023121737.pdf","https://dpmzos25m8ivg.cloudfront.net/Documentos/631/07540499656/6310754049965611092023121737.pdf")</f>
        <v>https://dpmzos25m8ivg.cloudfront.net/Documentos/631/07540499656/6310754049965611092023121737.pdf</v>
      </c>
      <c r="G3701" s="5" t="str">
        <f>HYPERLINK("https://dpmzos25m8ivg.cloudfront.net/Documentos/631/07540499656/6310754049965611092023121743.pdf","https://dpmzos25m8ivg.cloudfront.net/Documentos/631/07540499656/6310754049965611092023121743.pdf")</f>
        <v>https://dpmzos25m8ivg.cloudfront.net/Documentos/631/07540499656/6310754049965611092023121743.pdf</v>
      </c>
      <c r="H3701" s="5" t="s">
        <v>12278</v>
      </c>
    </row>
    <row r="3702" spans="1:8" x14ac:dyDescent="0.25">
      <c r="A3702" s="2" t="s">
        <v>3722</v>
      </c>
      <c r="B3702" s="3" t="s">
        <v>8</v>
      </c>
      <c r="C3702" s="3"/>
      <c r="D3702" s="3"/>
      <c r="E3702" s="5" t="str">
        <f>HYPERLINK("https://dpmzos25m8ivg.cloudfront.net/Documentos/631/07546195403/6310754619540306092023184333.pdf","https://dpmzos25m8ivg.cloudfront.net/Documentos/631/07546195403/6310754619540306092023184333.pdf")</f>
        <v>https://dpmzos25m8ivg.cloudfront.net/Documentos/631/07546195403/6310754619540306092023184333.pdf</v>
      </c>
      <c r="F3702" s="5" t="str">
        <f>HYPERLINK("https://dpmzos25m8ivg.cloudfront.net/Documentos/631/07546195403/6310754619540306092023184343.pdf","https://dpmzos25m8ivg.cloudfront.net/Documentos/631/07546195403/6310754619540306092023184343.pdf")</f>
        <v>https://dpmzos25m8ivg.cloudfront.net/Documentos/631/07546195403/6310754619540306092023184343.pdf</v>
      </c>
      <c r="G3702" s="5" t="str">
        <f>HYPERLINK("https://dpmzos25m8ivg.cloudfront.net/Documentos/631/07546195403/6310754619540306092023184351.pdf","https://dpmzos25m8ivg.cloudfront.net/Documentos/631/07546195403/6310754619540306092023184351.pdf")</f>
        <v>https://dpmzos25m8ivg.cloudfront.net/Documentos/631/07546195403/6310754619540306092023184351.pdf</v>
      </c>
      <c r="H3702" s="5" t="s">
        <v>12279</v>
      </c>
    </row>
    <row r="3703" spans="1:8" x14ac:dyDescent="0.25">
      <c r="A3703" s="2" t="s">
        <v>3723</v>
      </c>
      <c r="B3703" s="3" t="s">
        <v>90</v>
      </c>
      <c r="C3703" s="3"/>
      <c r="D3703" s="3"/>
      <c r="E3703" s="5" t="str">
        <f>HYPERLINK("https://dpmzos25m8ivg.cloudfront.net/Documentos/631/07551237607/6310755123760706092023093337.pdf","https://dpmzos25m8ivg.cloudfront.net/Documentos/631/07551237607/6310755123760706092023093337.pdf")</f>
        <v>https://dpmzos25m8ivg.cloudfront.net/Documentos/631/07551237607/6310755123760706092023093337.pdf</v>
      </c>
      <c r="F3703" s="5" t="str">
        <f>HYPERLINK("https://dpmzos25m8ivg.cloudfront.net/Documentos/631/07551237607/6310755123760706092023093418.pdf","https://dpmzos25m8ivg.cloudfront.net/Documentos/631/07551237607/6310755123760706092023093418.pdf")</f>
        <v>https://dpmzos25m8ivg.cloudfront.net/Documentos/631/07551237607/6310755123760706092023093418.pdf</v>
      </c>
      <c r="G3703" s="5" t="str">
        <f>HYPERLINK("https://dpmzos25m8ivg.cloudfront.net/Documentos/631/07551237607/6310755123760706092023093436.pdf","https://dpmzos25m8ivg.cloudfront.net/Documentos/631/07551237607/6310755123760706092023093436.pdf")</f>
        <v>https://dpmzos25m8ivg.cloudfront.net/Documentos/631/07551237607/6310755123760706092023093436.pdf</v>
      </c>
      <c r="H3703" s="5" t="s">
        <v>12280</v>
      </c>
    </row>
    <row r="3704" spans="1:8" x14ac:dyDescent="0.25">
      <c r="A3704" s="2" t="s">
        <v>3724</v>
      </c>
      <c r="B3704" s="3"/>
      <c r="C3704" s="3"/>
      <c r="D3704" s="3"/>
      <c r="E3704" s="5" t="str">
        <f>HYPERLINK("https://dpmzos25m8ivg.cloudfront.net/Documentos/631/07557498470/6310755749847011092023102701.pdf","https://dpmzos25m8ivg.cloudfront.net/Documentos/631/07557498470/6310755749847011092023102701.pdf")</f>
        <v>https://dpmzos25m8ivg.cloudfront.net/Documentos/631/07557498470/6310755749847011092023102701.pdf</v>
      </c>
      <c r="F3704" s="5" t="str">
        <f>HYPERLINK("https://dpmzos25m8ivg.cloudfront.net/Documentos/631/07557498470/6310755749847011092023102724.pdf","https://dpmzos25m8ivg.cloudfront.net/Documentos/631/07557498470/6310755749847011092023102724.pdf")</f>
        <v>https://dpmzos25m8ivg.cloudfront.net/Documentos/631/07557498470/6310755749847011092023102724.pdf</v>
      </c>
      <c r="G3704" s="5" t="str">
        <f>HYPERLINK("https://dpmzos25m8ivg.cloudfront.net/Documentos/631/07557498470/6310755749847011092023102753.pdf","https://dpmzos25m8ivg.cloudfront.net/Documentos/631/07557498470/6310755749847011092023102753.pdf")</f>
        <v>https://dpmzos25m8ivg.cloudfront.net/Documentos/631/07557498470/6310755749847011092023102753.pdf</v>
      </c>
      <c r="H3704" s="5" t="s">
        <v>12281</v>
      </c>
    </row>
    <row r="3705" spans="1:8" x14ac:dyDescent="0.25">
      <c r="A3705" s="2" t="s">
        <v>3725</v>
      </c>
      <c r="B3705" s="3" t="s">
        <v>8</v>
      </c>
      <c r="C3705" s="3"/>
      <c r="D3705" s="3"/>
      <c r="E3705" s="5" t="str">
        <f>HYPERLINK("https://dpmzos25m8ivg.cloudfront.net/Documentos/631/07561157444/6310756115744411092023130250.pdf","https://dpmzos25m8ivg.cloudfront.net/Documentos/631/07561157444/6310756115744411092023130250.pdf")</f>
        <v>https://dpmzos25m8ivg.cloudfront.net/Documentos/631/07561157444/6310756115744411092023130250.pdf</v>
      </c>
      <c r="F3705" s="5" t="str">
        <f>HYPERLINK("https://dpmzos25m8ivg.cloudfront.net/Documentos/631/07561157444/6310756115744411092023130340.pdf","https://dpmzos25m8ivg.cloudfront.net/Documentos/631/07561157444/6310756115744411092023130340.pdf")</f>
        <v>https://dpmzos25m8ivg.cloudfront.net/Documentos/631/07561157444/6310756115744411092023130340.pdf</v>
      </c>
      <c r="G3705" s="5" t="str">
        <f>HYPERLINK("https://dpmzos25m8ivg.cloudfront.net/Documentos/631/07561157444/6310756115744411092023131423.pdf","https://dpmzos25m8ivg.cloudfront.net/Documentos/631/07561157444/6310756115744411092023131423.pdf")</f>
        <v>https://dpmzos25m8ivg.cloudfront.net/Documentos/631/07561157444/6310756115744411092023131423.pdf</v>
      </c>
      <c r="H3705" s="5" t="s">
        <v>12282</v>
      </c>
    </row>
    <row r="3706" spans="1:8" x14ac:dyDescent="0.25">
      <c r="A3706" s="2" t="s">
        <v>3726</v>
      </c>
      <c r="B3706" s="3"/>
      <c r="C3706" s="3"/>
      <c r="D3706" s="3"/>
      <c r="E3706" s="5" t="str">
        <f>HYPERLINK("https://dpmzos25m8ivg.cloudfront.net/Documentos/631/07566127306/6310756612730605092023155742.pdf","https://dpmzos25m8ivg.cloudfront.net/Documentos/631/07566127306/6310756612730605092023155742.pdf")</f>
        <v>https://dpmzos25m8ivg.cloudfront.net/Documentos/631/07566127306/6310756612730605092023155742.pdf</v>
      </c>
      <c r="F3706" s="5" t="str">
        <f>HYPERLINK("https://dpmzos25m8ivg.cloudfront.net/Documentos/631/07566127306/6310756612730605092023155757.pdf","https://dpmzos25m8ivg.cloudfront.net/Documentos/631/07566127306/6310756612730605092023155757.pdf")</f>
        <v>https://dpmzos25m8ivg.cloudfront.net/Documentos/631/07566127306/6310756612730605092023155757.pdf</v>
      </c>
      <c r="G3706" s="5" t="str">
        <f>HYPERLINK("https://dpmzos25m8ivg.cloudfront.net/Documentos/631/07566127306/6310756612730605092023155813.pdf","https://dpmzos25m8ivg.cloudfront.net/Documentos/631/07566127306/6310756612730605092023155813.pdf")</f>
        <v>https://dpmzos25m8ivg.cloudfront.net/Documentos/631/07566127306/6310756612730605092023155813.pdf</v>
      </c>
      <c r="H3706" s="5" t="s">
        <v>12283</v>
      </c>
    </row>
    <row r="3707" spans="1:8" x14ac:dyDescent="0.25">
      <c r="A3707" s="2" t="s">
        <v>3727</v>
      </c>
      <c r="B3707" s="3"/>
      <c r="C3707" s="3"/>
      <c r="D3707" s="3"/>
      <c r="E3707" s="5" t="str">
        <f>HYPERLINK("https://dpmzos25m8ivg.cloudfront.net/Documentos/631/07571180546/6310757118054610092023144104.pdf","https://dpmzos25m8ivg.cloudfront.net/Documentos/631/07571180546/6310757118054610092023144104.pdf")</f>
        <v>https://dpmzos25m8ivg.cloudfront.net/Documentos/631/07571180546/6310757118054610092023144104.pdf</v>
      </c>
      <c r="F3707" s="5" t="str">
        <f>HYPERLINK("https://dpmzos25m8ivg.cloudfront.net/Documentos/631/07571180546/6310757118054610092023144126.pdf","https://dpmzos25m8ivg.cloudfront.net/Documentos/631/07571180546/6310757118054610092023144126.pdf")</f>
        <v>https://dpmzos25m8ivg.cloudfront.net/Documentos/631/07571180546/6310757118054610092023144126.pdf</v>
      </c>
      <c r="G3707" s="5" t="str">
        <f>HYPERLINK("https://dpmzos25m8ivg.cloudfront.net/Documentos/631/07571180546/6310757118054610092023144148.pdf","https://dpmzos25m8ivg.cloudfront.net/Documentos/631/07571180546/6310757118054610092023144148.pdf")</f>
        <v>https://dpmzos25m8ivg.cloudfront.net/Documentos/631/07571180546/6310757118054610092023144148.pdf</v>
      </c>
      <c r="H3707" s="5" t="s">
        <v>12284</v>
      </c>
    </row>
    <row r="3708" spans="1:8" x14ac:dyDescent="0.25">
      <c r="A3708" s="2" t="s">
        <v>3728</v>
      </c>
      <c r="B3708" s="3"/>
      <c r="C3708" s="3"/>
      <c r="D3708" s="3"/>
      <c r="E3708" s="5" t="str">
        <f>HYPERLINK("https://dpmzos25m8ivg.cloudfront.net/Documentos/631/07572267360/6310757226736012092023202001.pdf","https://dpmzos25m8ivg.cloudfront.net/Documentos/631/07572267360/6310757226736012092023202001.pdf")</f>
        <v>https://dpmzos25m8ivg.cloudfront.net/Documentos/631/07572267360/6310757226736012092023202001.pdf</v>
      </c>
      <c r="F3708" s="5" t="str">
        <f>HYPERLINK("https://dpmzos25m8ivg.cloudfront.net/Documentos/631/07572267360/6310757226736012092023202032.pdf","https://dpmzos25m8ivg.cloudfront.net/Documentos/631/07572267360/6310757226736012092023202032.pdf")</f>
        <v>https://dpmzos25m8ivg.cloudfront.net/Documentos/631/07572267360/6310757226736012092023202032.pdf</v>
      </c>
      <c r="G3708" s="5" t="str">
        <f>HYPERLINK("https://dpmzos25m8ivg.cloudfront.net/Documentos/631/07572267360/6310757226736012092023202048.pdf","https://dpmzos25m8ivg.cloudfront.net/Documentos/631/07572267360/6310757226736012092023202048.pdf")</f>
        <v>https://dpmzos25m8ivg.cloudfront.net/Documentos/631/07572267360/6310757226736012092023202048.pdf</v>
      </c>
      <c r="H3708" s="5" t="s">
        <v>12285</v>
      </c>
    </row>
    <row r="3709" spans="1:8" x14ac:dyDescent="0.25">
      <c r="A3709" s="2" t="s">
        <v>3729</v>
      </c>
      <c r="B3709" s="3" t="s">
        <v>42</v>
      </c>
      <c r="C3709" s="3"/>
      <c r="D3709" s="3"/>
      <c r="E3709" s="5" t="str">
        <f>HYPERLINK("https://dpmzos25m8ivg.cloudfront.net/Documentos/631/07573942486/6310757394248611092023120235.pdf","https://dpmzos25m8ivg.cloudfront.net/Documentos/631/07573942486/6310757394248611092023120235.pdf")</f>
        <v>https://dpmzos25m8ivg.cloudfront.net/Documentos/631/07573942486/6310757394248611092023120235.pdf</v>
      </c>
      <c r="F3709" s="5" t="str">
        <f>HYPERLINK("https://dpmzos25m8ivg.cloudfront.net/Documentos/631/07573942486/6310757394248611092023120259.pdf","https://dpmzos25m8ivg.cloudfront.net/Documentos/631/07573942486/6310757394248611092023120259.pdf")</f>
        <v>https://dpmzos25m8ivg.cloudfront.net/Documentos/631/07573942486/6310757394248611092023120259.pdf</v>
      </c>
      <c r="G3709" s="5" t="str">
        <f>HYPERLINK("https://dpmzos25m8ivg.cloudfront.net/Documentos/631/07573942486/6310757394248611092023120326.pdf","https://dpmzos25m8ivg.cloudfront.net/Documentos/631/07573942486/6310757394248611092023120326.pdf")</f>
        <v>https://dpmzos25m8ivg.cloudfront.net/Documentos/631/07573942486/6310757394248611092023120326.pdf</v>
      </c>
      <c r="H3709" s="5" t="s">
        <v>12286</v>
      </c>
    </row>
    <row r="3710" spans="1:8" x14ac:dyDescent="0.25">
      <c r="A3710" s="2" t="s">
        <v>3730</v>
      </c>
      <c r="B3710" s="3" t="s">
        <v>90</v>
      </c>
      <c r="C3710" s="3"/>
      <c r="D3710" s="3"/>
      <c r="E3710" s="5" t="str">
        <f>HYPERLINK("https://dpmzos25m8ivg.cloudfront.net/Documentos/631/07580812517/6310758081251711092023164626.jpg","https://dpmzos25m8ivg.cloudfront.net/Documentos/631/07580812517/6310758081251711092023164626.jpg")</f>
        <v>https://dpmzos25m8ivg.cloudfront.net/Documentos/631/07580812517/6310758081251711092023164626.jpg</v>
      </c>
      <c r="F3710" s="5" t="str">
        <f>HYPERLINK("https://dpmzos25m8ivg.cloudfront.net/Documentos/631/07580812517/6310758081251711092023164614.jpg","https://dpmzos25m8ivg.cloudfront.net/Documentos/631/07580812517/6310758081251711092023164614.jpg")</f>
        <v>https://dpmzos25m8ivg.cloudfront.net/Documentos/631/07580812517/6310758081251711092023164614.jpg</v>
      </c>
      <c r="G3710" s="5" t="str">
        <f>HYPERLINK("https://dpmzos25m8ivg.cloudfront.net/Documentos/631/07580812517/6310758081251711092023164558.jpg","https://dpmzos25m8ivg.cloudfront.net/Documentos/631/07580812517/6310758081251711092023164558.jpg")</f>
        <v>https://dpmzos25m8ivg.cloudfront.net/Documentos/631/07580812517/6310758081251711092023164558.jpg</v>
      </c>
      <c r="H3710" s="5" t="s">
        <v>12287</v>
      </c>
    </row>
    <row r="3711" spans="1:8" x14ac:dyDescent="0.25">
      <c r="A3711" s="2" t="s">
        <v>3731</v>
      </c>
      <c r="B3711" s="3"/>
      <c r="C3711" s="3"/>
      <c r="D3711" s="3"/>
      <c r="E3711" s="5" t="str">
        <f>HYPERLINK("https://dpmzos25m8ivg.cloudfront.net/Documentos/631/07582886542/6310758288654208092023004429.pdf","https://dpmzos25m8ivg.cloudfront.net/Documentos/631/07582886542/6310758288654208092023004429.pdf")</f>
        <v>https://dpmzos25m8ivg.cloudfront.net/Documentos/631/07582886542/6310758288654208092023004429.pdf</v>
      </c>
      <c r="F3711" s="5" t="str">
        <f>HYPERLINK("https://dpmzos25m8ivg.cloudfront.net/Documentos/631/07582886542/6310758288654208092023004444.pdf","https://dpmzos25m8ivg.cloudfront.net/Documentos/631/07582886542/6310758288654208092023004444.pdf")</f>
        <v>https://dpmzos25m8ivg.cloudfront.net/Documentos/631/07582886542/6310758288654208092023004444.pdf</v>
      </c>
      <c r="G3711" s="5" t="str">
        <f>HYPERLINK("https://dpmzos25m8ivg.cloudfront.net/Documentos/631/07582886542/6310758288654208092023004501.pdf","https://dpmzos25m8ivg.cloudfront.net/Documentos/631/07582886542/6310758288654208092023004501.pdf")</f>
        <v>https://dpmzos25m8ivg.cloudfront.net/Documentos/631/07582886542/6310758288654208092023004501.pdf</v>
      </c>
      <c r="H3711" s="5" t="s">
        <v>12288</v>
      </c>
    </row>
    <row r="3712" spans="1:8" x14ac:dyDescent="0.25">
      <c r="A3712" s="2" t="s">
        <v>3732</v>
      </c>
      <c r="B3712" s="3"/>
      <c r="C3712" s="3"/>
      <c r="D3712" s="3"/>
      <c r="E3712" s="5" t="str">
        <f>HYPERLINK("https://dpmzos25m8ivg.cloudfront.net/Documentos/631/07584734944/6310758473494414092023140111.jpeg","https://dpmzos25m8ivg.cloudfront.net/Documentos/631/07584734944/6310758473494414092023140111.jpeg")</f>
        <v>https://dpmzos25m8ivg.cloudfront.net/Documentos/631/07584734944/6310758473494414092023140111.jpeg</v>
      </c>
      <c r="F3712" s="5" t="str">
        <f>HYPERLINK("https://dpmzos25m8ivg.cloudfront.net/Documentos/631/07584734944/6310758473494414092023140123.jpeg","https://dpmzos25m8ivg.cloudfront.net/Documentos/631/07584734944/6310758473494414092023140123.jpeg")</f>
        <v>https://dpmzos25m8ivg.cloudfront.net/Documentos/631/07584734944/6310758473494414092023140123.jpeg</v>
      </c>
      <c r="G3712" s="5" t="str">
        <f>HYPERLINK("https://dpmzos25m8ivg.cloudfront.net/Documentos/631/07584734944/6310758473494414092023140138.jpeg","https://dpmzos25m8ivg.cloudfront.net/Documentos/631/07584734944/6310758473494414092023140138.jpeg")</f>
        <v>https://dpmzos25m8ivg.cloudfront.net/Documentos/631/07584734944/6310758473494414092023140138.jpeg</v>
      </c>
      <c r="H3712" s="5" t="s">
        <v>12289</v>
      </c>
    </row>
    <row r="3713" spans="1:8" x14ac:dyDescent="0.25">
      <c r="A3713" s="2" t="s">
        <v>3733</v>
      </c>
      <c r="B3713" s="3"/>
      <c r="C3713" s="3"/>
      <c r="D3713" s="3"/>
      <c r="E3713" s="5" t="str">
        <f>HYPERLINK("https://dpmzos25m8ivg.cloudfront.net/Documentos/631/07585468156/6310758546815608092023164425.pdf","https://dpmzos25m8ivg.cloudfront.net/Documentos/631/07585468156/6310758546815608092023164425.pdf")</f>
        <v>https://dpmzos25m8ivg.cloudfront.net/Documentos/631/07585468156/6310758546815608092023164425.pdf</v>
      </c>
      <c r="F3713" s="5" t="str">
        <f>HYPERLINK("https://dpmzos25m8ivg.cloudfront.net/Documentos/631/07585468156/6310758546815608092023164435.pdf","https://dpmzos25m8ivg.cloudfront.net/Documentos/631/07585468156/6310758546815608092023164435.pdf")</f>
        <v>https://dpmzos25m8ivg.cloudfront.net/Documentos/631/07585468156/6310758546815608092023164435.pdf</v>
      </c>
      <c r="G3713" s="5" t="str">
        <f>HYPERLINK("https://dpmzos25m8ivg.cloudfront.net/Documentos/631/07585468156/6310758546815608092023164445.pdf","https://dpmzos25m8ivg.cloudfront.net/Documentos/631/07585468156/6310758546815608092023164445.pdf")</f>
        <v>https://dpmzos25m8ivg.cloudfront.net/Documentos/631/07585468156/6310758546815608092023164445.pdf</v>
      </c>
      <c r="H3713" s="5" t="s">
        <v>12290</v>
      </c>
    </row>
    <row r="3714" spans="1:8" x14ac:dyDescent="0.25">
      <c r="A3714" s="2" t="s">
        <v>3734</v>
      </c>
      <c r="B3714" s="3"/>
      <c r="C3714" s="3"/>
      <c r="D3714" s="3"/>
      <c r="E3714" s="5" t="str">
        <f>HYPERLINK("https://dpmzos25m8ivg.cloudfront.net/Documentos/631/07586711569/6310758671156911092023163856.pdf","https://dpmzos25m8ivg.cloudfront.net/Documentos/631/07586711569/6310758671156911092023163856.pdf")</f>
        <v>https://dpmzos25m8ivg.cloudfront.net/Documentos/631/07586711569/6310758671156911092023163856.pdf</v>
      </c>
      <c r="F3714" s="5" t="str">
        <f>HYPERLINK("https://dpmzos25m8ivg.cloudfront.net/Documentos/631/07586711569/6310758671156911092023163908.pdf","https://dpmzos25m8ivg.cloudfront.net/Documentos/631/07586711569/6310758671156911092023163908.pdf")</f>
        <v>https://dpmzos25m8ivg.cloudfront.net/Documentos/631/07586711569/6310758671156911092023163908.pdf</v>
      </c>
      <c r="G3714" s="5" t="str">
        <f>HYPERLINK("https://dpmzos25m8ivg.cloudfront.net/Documentos/631/07586711569/6310758671156911092023163931.pdf","https://dpmzos25m8ivg.cloudfront.net/Documentos/631/07586711569/6310758671156911092023163931.pdf")</f>
        <v>https://dpmzos25m8ivg.cloudfront.net/Documentos/631/07586711569/6310758671156911092023163931.pdf</v>
      </c>
      <c r="H3714" s="5" t="s">
        <v>12291</v>
      </c>
    </row>
    <row r="3715" spans="1:8" x14ac:dyDescent="0.25">
      <c r="A3715" s="2" t="s">
        <v>3735</v>
      </c>
      <c r="B3715" s="3"/>
      <c r="C3715" s="3"/>
      <c r="D3715" s="3"/>
      <c r="E3715" s="5" t="str">
        <f>HYPERLINK("https://dpmzos25m8ivg.cloudfront.net/Documentos/631/07588625635/6310758862563511092023151538.pdf","https://dpmzos25m8ivg.cloudfront.net/Documentos/631/07588625635/6310758862563511092023151538.pdf")</f>
        <v>https://dpmzos25m8ivg.cloudfront.net/Documentos/631/07588625635/6310758862563511092023151538.pdf</v>
      </c>
      <c r="F3715" s="5" t="str">
        <f>HYPERLINK("https://dpmzos25m8ivg.cloudfront.net/Documentos/631/07588625635/6310758862563511092023151606.pdf","https://dpmzos25m8ivg.cloudfront.net/Documentos/631/07588625635/6310758862563511092023151606.pdf")</f>
        <v>https://dpmzos25m8ivg.cloudfront.net/Documentos/631/07588625635/6310758862563511092023151606.pdf</v>
      </c>
      <c r="G3715" s="5" t="str">
        <f>HYPERLINK("https://dpmzos25m8ivg.cloudfront.net/Documentos/631/07588625635/6310758862563511092023151636.pdf","https://dpmzos25m8ivg.cloudfront.net/Documentos/631/07588625635/6310758862563511092023151636.pdf")</f>
        <v>https://dpmzos25m8ivg.cloudfront.net/Documentos/631/07588625635/6310758862563511092023151636.pdf</v>
      </c>
      <c r="H3715" s="5" t="s">
        <v>12292</v>
      </c>
    </row>
    <row r="3716" spans="1:8" x14ac:dyDescent="0.25">
      <c r="A3716" s="2" t="s">
        <v>3736</v>
      </c>
      <c r="B3716" s="3" t="s">
        <v>90</v>
      </c>
      <c r="C3716" s="3"/>
      <c r="D3716" s="3"/>
      <c r="E3716" s="5" t="str">
        <f>HYPERLINK("https://dpmzos25m8ivg.cloudfront.net/Documentos/631/07589657611/6310758965761111092023002226.pdf","https://dpmzos25m8ivg.cloudfront.net/Documentos/631/07589657611/6310758965761111092023002226.pdf")</f>
        <v>https://dpmzos25m8ivg.cloudfront.net/Documentos/631/07589657611/6310758965761111092023002226.pdf</v>
      </c>
      <c r="F3716" s="5" t="str">
        <f>HYPERLINK("https://dpmzos25m8ivg.cloudfront.net/Documentos/631/07589657611/6310758965761111092023002303.pdf","https://dpmzos25m8ivg.cloudfront.net/Documentos/631/07589657611/6310758965761111092023002303.pdf")</f>
        <v>https://dpmzos25m8ivg.cloudfront.net/Documentos/631/07589657611/6310758965761111092023002303.pdf</v>
      </c>
      <c r="G3716" s="5" t="str">
        <f>HYPERLINK("https://dpmzos25m8ivg.cloudfront.net/Documentos/631/07589657611/6310758965761111092023002314.pdf","https://dpmzos25m8ivg.cloudfront.net/Documentos/631/07589657611/6310758965761111092023002314.pdf")</f>
        <v>https://dpmzos25m8ivg.cloudfront.net/Documentos/631/07589657611/6310758965761111092023002314.pdf</v>
      </c>
      <c r="H3716" s="5" t="s">
        <v>12293</v>
      </c>
    </row>
    <row r="3717" spans="1:8" x14ac:dyDescent="0.25">
      <c r="A3717" s="2" t="s">
        <v>3737</v>
      </c>
      <c r="B3717" s="3"/>
      <c r="C3717" s="3"/>
      <c r="D3717" s="3"/>
      <c r="E3717" s="5" t="str">
        <f>HYPERLINK("https://dpmzos25m8ivg.cloudfront.net/Documentos/631/07591499505/6310759149950510092023142745.pdf","https://dpmzos25m8ivg.cloudfront.net/Documentos/631/07591499505/6310759149950510092023142745.pdf")</f>
        <v>https://dpmzos25m8ivg.cloudfront.net/Documentos/631/07591499505/6310759149950510092023142745.pdf</v>
      </c>
      <c r="F3717" s="5" t="str">
        <f>HYPERLINK("https://dpmzos25m8ivg.cloudfront.net/Documentos/631/07591499505/6310759149950510092023142802.pdf","https://dpmzos25m8ivg.cloudfront.net/Documentos/631/07591499505/6310759149950510092023142802.pdf")</f>
        <v>https://dpmzos25m8ivg.cloudfront.net/Documentos/631/07591499505/6310759149950510092023142802.pdf</v>
      </c>
      <c r="G3717" s="5" t="str">
        <f>HYPERLINK("https://dpmzos25m8ivg.cloudfront.net/Documentos/631/07591499505/6310759149950510092023142820.pdf","https://dpmzos25m8ivg.cloudfront.net/Documentos/631/07591499505/6310759149950510092023142820.pdf")</f>
        <v>https://dpmzos25m8ivg.cloudfront.net/Documentos/631/07591499505/6310759149950510092023142820.pdf</v>
      </c>
      <c r="H3717" s="5" t="s">
        <v>12294</v>
      </c>
    </row>
    <row r="3718" spans="1:8" x14ac:dyDescent="0.25">
      <c r="A3718" s="2" t="s">
        <v>3738</v>
      </c>
      <c r="B3718" s="3"/>
      <c r="C3718" s="3"/>
      <c r="D3718" s="3"/>
      <c r="E3718" s="5" t="str">
        <f>HYPERLINK("https://dpmzos25m8ivg.cloudfront.net/Documentos/631/07592492539/6310759249253911092023135925.pdf","https://dpmzos25m8ivg.cloudfront.net/Documentos/631/07592492539/6310759249253911092023135925.pdf")</f>
        <v>https://dpmzos25m8ivg.cloudfront.net/Documentos/631/07592492539/6310759249253911092023135925.pdf</v>
      </c>
      <c r="F3718" s="5" t="str">
        <f>HYPERLINK("https://dpmzos25m8ivg.cloudfront.net/Documentos/631/07592492539/6310759249253911092023135934.pdf","https://dpmzos25m8ivg.cloudfront.net/Documentos/631/07592492539/6310759249253911092023135934.pdf")</f>
        <v>https://dpmzos25m8ivg.cloudfront.net/Documentos/631/07592492539/6310759249253911092023135934.pdf</v>
      </c>
      <c r="G3718" s="5" t="str">
        <f>HYPERLINK("https://dpmzos25m8ivg.cloudfront.net/Documentos/631/07592492539/6310759249253911092023135945.pdf","https://dpmzos25m8ivg.cloudfront.net/Documentos/631/07592492539/6310759249253911092023135945.pdf")</f>
        <v>https://dpmzos25m8ivg.cloudfront.net/Documentos/631/07592492539/6310759249253911092023135945.pdf</v>
      </c>
      <c r="H3718" s="5" t="s">
        <v>12295</v>
      </c>
    </row>
    <row r="3719" spans="1:8" x14ac:dyDescent="0.25">
      <c r="A3719" s="2" t="s">
        <v>3739</v>
      </c>
      <c r="B3719" s="3"/>
      <c r="C3719" s="3"/>
      <c r="D3719" s="3"/>
      <c r="E3719" s="5" t="str">
        <f>HYPERLINK("https://dpmzos25m8ivg.cloudfront.net/Documentos/631/07598420947/6310759842094705092023103433.pdf","https://dpmzos25m8ivg.cloudfront.net/Documentos/631/07598420947/6310759842094705092023103433.pdf")</f>
        <v>https://dpmzos25m8ivg.cloudfront.net/Documentos/631/07598420947/6310759842094705092023103433.pdf</v>
      </c>
      <c r="F3719" s="5" t="str">
        <f>HYPERLINK("https://dpmzos25m8ivg.cloudfront.net/Documentos/631/07598420947/6310759842094705092023103443.pdf","https://dpmzos25m8ivg.cloudfront.net/Documentos/631/07598420947/6310759842094705092023103443.pdf")</f>
        <v>https://dpmzos25m8ivg.cloudfront.net/Documentos/631/07598420947/6310759842094705092023103443.pdf</v>
      </c>
      <c r="G3719" s="5" t="str">
        <f>HYPERLINK("https://dpmzos25m8ivg.cloudfront.net/Documentos/631/07598420947/6310759842094705092023103456.pdf","https://dpmzos25m8ivg.cloudfront.net/Documentos/631/07598420947/6310759842094705092023103456.pdf")</f>
        <v>https://dpmzos25m8ivg.cloudfront.net/Documentos/631/07598420947/6310759842094705092023103456.pdf</v>
      </c>
      <c r="H3719" s="5" t="s">
        <v>12296</v>
      </c>
    </row>
    <row r="3720" spans="1:8" x14ac:dyDescent="0.25">
      <c r="A3720" s="2" t="s">
        <v>3740</v>
      </c>
      <c r="B3720" s="3"/>
      <c r="C3720" s="3"/>
      <c r="D3720" s="3"/>
      <c r="E3720" s="5" t="str">
        <f>HYPERLINK("https://dpmzos25m8ivg.cloudfront.net/Documentos/631/07599867627/6310759986762712092023193430.pdf","https://dpmzos25m8ivg.cloudfront.net/Documentos/631/07599867627/6310759986762712092023193430.pdf")</f>
        <v>https://dpmzos25m8ivg.cloudfront.net/Documentos/631/07599867627/6310759986762712092023193430.pdf</v>
      </c>
      <c r="F3720" s="5" t="str">
        <f>HYPERLINK("https://dpmzos25m8ivg.cloudfront.net/Documentos/631/07599867627/6310759986762712092023193650.pdf","https://dpmzos25m8ivg.cloudfront.net/Documentos/631/07599867627/6310759986762712092023193650.pdf")</f>
        <v>https://dpmzos25m8ivg.cloudfront.net/Documentos/631/07599867627/6310759986762712092023193650.pdf</v>
      </c>
      <c r="G3720" s="5" t="str">
        <f>HYPERLINK("https://dpmzos25m8ivg.cloudfront.net/Documentos/631/07599867627/6310759986762712092023193747.pdf","https://dpmzos25m8ivg.cloudfront.net/Documentos/631/07599867627/6310759986762712092023193747.pdf")</f>
        <v>https://dpmzos25m8ivg.cloudfront.net/Documentos/631/07599867627/6310759986762712092023193747.pdf</v>
      </c>
      <c r="H3720" s="5" t="s">
        <v>12297</v>
      </c>
    </row>
    <row r="3721" spans="1:8" x14ac:dyDescent="0.25">
      <c r="A3721" s="2" t="s">
        <v>3741</v>
      </c>
      <c r="B3721" s="3"/>
      <c r="C3721" s="3"/>
      <c r="D3721" s="3"/>
      <c r="E3721" s="5" t="str">
        <f>HYPERLINK("https://dpmzos25m8ivg.cloudfront.net/Documentos/631/07605321686/6310760532168608092023214746.pdf","https://dpmzos25m8ivg.cloudfront.net/Documentos/631/07605321686/6310760532168608092023214746.pdf")</f>
        <v>https://dpmzos25m8ivg.cloudfront.net/Documentos/631/07605321686/6310760532168608092023214746.pdf</v>
      </c>
      <c r="F3721" s="5" t="str">
        <f>HYPERLINK("https://dpmzos25m8ivg.cloudfront.net/Documentos/631/07605321686/6310760532168610092023223245.jpg","https://dpmzos25m8ivg.cloudfront.net/Documentos/631/07605321686/6310760532168610092023223245.jpg")</f>
        <v>https://dpmzos25m8ivg.cloudfront.net/Documentos/631/07605321686/6310760532168610092023223245.jpg</v>
      </c>
      <c r="G3721" s="5" t="str">
        <f>HYPERLINK("https://dpmzos25m8ivg.cloudfront.net/Documentos/631/07605321686/6310760532168610092023223312.jpg","https://dpmzos25m8ivg.cloudfront.net/Documentos/631/07605321686/6310760532168610092023223312.jpg")</f>
        <v>https://dpmzos25m8ivg.cloudfront.net/Documentos/631/07605321686/6310760532168610092023223312.jpg</v>
      </c>
      <c r="H3721" s="5" t="s">
        <v>12298</v>
      </c>
    </row>
    <row r="3722" spans="1:8" x14ac:dyDescent="0.25">
      <c r="A3722" s="2" t="s">
        <v>3742</v>
      </c>
      <c r="B3722" s="3"/>
      <c r="C3722" s="3"/>
      <c r="D3722" s="3"/>
      <c r="E3722" s="5" t="str">
        <f>HYPERLINK("https://dpmzos25m8ivg.cloudfront.net/Documentos/631/07605603665/6310760560366505092023131639.pdf","https://dpmzos25m8ivg.cloudfront.net/Documentos/631/07605603665/6310760560366505092023131639.pdf")</f>
        <v>https://dpmzos25m8ivg.cloudfront.net/Documentos/631/07605603665/6310760560366505092023131639.pdf</v>
      </c>
      <c r="F3722" s="5" t="str">
        <f>HYPERLINK("https://dpmzos25m8ivg.cloudfront.net/Documentos/631/07605603665/6310760560366505092023131656.pdf","https://dpmzos25m8ivg.cloudfront.net/Documentos/631/07605603665/6310760560366505092023131656.pdf")</f>
        <v>https://dpmzos25m8ivg.cloudfront.net/Documentos/631/07605603665/6310760560366505092023131656.pdf</v>
      </c>
      <c r="G3722" s="5" t="str">
        <f>HYPERLINK("https://dpmzos25m8ivg.cloudfront.net/Documentos/631/07605603665/6310760560366505092023133226.pdf","https://dpmzos25m8ivg.cloudfront.net/Documentos/631/07605603665/6310760560366505092023133226.pdf")</f>
        <v>https://dpmzos25m8ivg.cloudfront.net/Documentos/631/07605603665/6310760560366505092023133226.pdf</v>
      </c>
      <c r="H3722" s="5" t="s">
        <v>12299</v>
      </c>
    </row>
    <row r="3723" spans="1:8" x14ac:dyDescent="0.25">
      <c r="A3723" s="2" t="s">
        <v>3743</v>
      </c>
      <c r="B3723" s="3"/>
      <c r="C3723" s="3"/>
      <c r="D3723" s="3"/>
      <c r="E3723" s="5" t="str">
        <f>HYPERLINK("https://dpmzos25m8ivg.cloudfront.net/Documentos/631/07606604177/6310760660417711092023110637.pdf","https://dpmzos25m8ivg.cloudfront.net/Documentos/631/07606604177/6310760660417711092023110637.pdf")</f>
        <v>https://dpmzos25m8ivg.cloudfront.net/Documentos/631/07606604177/6310760660417711092023110637.pdf</v>
      </c>
      <c r="F3723" s="5" t="str">
        <f>HYPERLINK("https://dpmzos25m8ivg.cloudfront.net/Documentos/631/07606604177/6310760660417711092023110711.pdf","https://dpmzos25m8ivg.cloudfront.net/Documentos/631/07606604177/6310760660417711092023110711.pdf")</f>
        <v>https://dpmzos25m8ivg.cloudfront.net/Documentos/631/07606604177/6310760660417711092023110711.pdf</v>
      </c>
      <c r="G3723" s="5" t="str">
        <f>HYPERLINK("https://dpmzos25m8ivg.cloudfront.net/Documentos/631/07606604177/6310760660417711092023110739.pdf","https://dpmzos25m8ivg.cloudfront.net/Documentos/631/07606604177/6310760660417711092023110739.pdf")</f>
        <v>https://dpmzos25m8ivg.cloudfront.net/Documentos/631/07606604177/6310760660417711092023110739.pdf</v>
      </c>
      <c r="H3723" s="5" t="s">
        <v>12300</v>
      </c>
    </row>
    <row r="3724" spans="1:8" x14ac:dyDescent="0.25">
      <c r="A3724" s="2" t="s">
        <v>3744</v>
      </c>
      <c r="B3724" s="3" t="s">
        <v>42</v>
      </c>
      <c r="C3724" s="3"/>
      <c r="D3724" s="3"/>
      <c r="E3724" s="5" t="str">
        <f>HYPERLINK("https://dpmzos25m8ivg.cloudfront.net/Documentos/631/07608702176/6310760870217608092023125439.pdf","https://dpmzos25m8ivg.cloudfront.net/Documentos/631/07608702176/6310760870217608092023125439.pdf")</f>
        <v>https://dpmzos25m8ivg.cloudfront.net/Documentos/631/07608702176/6310760870217608092023125439.pdf</v>
      </c>
      <c r="F3724" s="5" t="str">
        <f>HYPERLINK("https://dpmzos25m8ivg.cloudfront.net/Documentos/631/07608702176/6310760870217608092023125449.pdf","https://dpmzos25m8ivg.cloudfront.net/Documentos/631/07608702176/6310760870217608092023125449.pdf")</f>
        <v>https://dpmzos25m8ivg.cloudfront.net/Documentos/631/07608702176/6310760870217608092023125449.pdf</v>
      </c>
      <c r="G3724" s="5" t="str">
        <f>HYPERLINK("https://dpmzos25m8ivg.cloudfront.net/Documentos/631/07608702176/6310760870217608092023125458.pdf","https://dpmzos25m8ivg.cloudfront.net/Documentos/631/07608702176/6310760870217608092023125458.pdf")</f>
        <v>https://dpmzos25m8ivg.cloudfront.net/Documentos/631/07608702176/6310760870217608092023125458.pdf</v>
      </c>
      <c r="H3724" s="5" t="s">
        <v>12301</v>
      </c>
    </row>
    <row r="3725" spans="1:8" x14ac:dyDescent="0.25">
      <c r="A3725" s="2" t="s">
        <v>3745</v>
      </c>
      <c r="B3725" s="3" t="s">
        <v>3385</v>
      </c>
      <c r="C3725" s="3"/>
      <c r="D3725" s="3"/>
      <c r="E3725" s="5" t="str">
        <f>HYPERLINK("https://dpmzos25m8ivg.cloudfront.net/Documentos/631/07608852739/6310760885273905092023130540.jpg","https://dpmzos25m8ivg.cloudfront.net/Documentos/631/07608852739/6310760885273905092023130540.jpg")</f>
        <v>https://dpmzos25m8ivg.cloudfront.net/Documentos/631/07608852739/6310760885273905092023130540.jpg</v>
      </c>
      <c r="F3725" s="5" t="str">
        <f>HYPERLINK("https://dpmzos25m8ivg.cloudfront.net/Documentos/631/07608852739/6310760885273905092023130609.jpg","https://dpmzos25m8ivg.cloudfront.net/Documentos/631/07608852739/6310760885273905092023130609.jpg")</f>
        <v>https://dpmzos25m8ivg.cloudfront.net/Documentos/631/07608852739/6310760885273905092023130609.jpg</v>
      </c>
      <c r="G3725" s="5" t="str">
        <f>HYPERLINK("https://dpmzos25m8ivg.cloudfront.net/Documentos/631/07608852739/6310760885273905092023130711.jpg","https://dpmzos25m8ivg.cloudfront.net/Documentos/631/07608852739/6310760885273905092023130711.jpg")</f>
        <v>https://dpmzos25m8ivg.cloudfront.net/Documentos/631/07608852739/6310760885273905092023130711.jpg</v>
      </c>
      <c r="H3725" s="5" t="s">
        <v>12302</v>
      </c>
    </row>
    <row r="3726" spans="1:8" x14ac:dyDescent="0.25">
      <c r="A3726" s="2" t="s">
        <v>3746</v>
      </c>
      <c r="B3726" s="3" t="s">
        <v>3385</v>
      </c>
      <c r="C3726" s="3"/>
      <c r="D3726" s="3"/>
      <c r="E3726" s="5" t="str">
        <f>HYPERLINK("https://dpmzos25m8ivg.cloudfront.net/Documentos/631/07610245577/6310761024557711092023090855.pdf","https://dpmzos25m8ivg.cloudfront.net/Documentos/631/07610245577/6310761024557711092023090855.pdf")</f>
        <v>https://dpmzos25m8ivg.cloudfront.net/Documentos/631/07610245577/6310761024557711092023090855.pdf</v>
      </c>
      <c r="F3726" s="5" t="str">
        <f>HYPERLINK("https://dpmzos25m8ivg.cloudfront.net/Documentos/631/07610245577/6310761024557711092023090907.pdf","https://dpmzos25m8ivg.cloudfront.net/Documentos/631/07610245577/6310761024557711092023090907.pdf")</f>
        <v>https://dpmzos25m8ivg.cloudfront.net/Documentos/631/07610245577/6310761024557711092023090907.pdf</v>
      </c>
      <c r="G3726" s="5" t="str">
        <f>HYPERLINK("https://dpmzos25m8ivg.cloudfront.net/Documentos/631/07610245577/6310761024557711092023090926.pdf","https://dpmzos25m8ivg.cloudfront.net/Documentos/631/07610245577/6310761024557711092023090926.pdf")</f>
        <v>https://dpmzos25m8ivg.cloudfront.net/Documentos/631/07610245577/6310761024557711092023090926.pdf</v>
      </c>
      <c r="H3726" s="5" t="s">
        <v>12303</v>
      </c>
    </row>
    <row r="3727" spans="1:8" x14ac:dyDescent="0.25">
      <c r="A3727" s="2" t="s">
        <v>3747</v>
      </c>
      <c r="B3727" s="3"/>
      <c r="C3727" s="3"/>
      <c r="D3727" s="3"/>
      <c r="E3727" s="5" t="str">
        <f>HYPERLINK("https://dpmzos25m8ivg.cloudfront.net/Documentos/631/07612458551/6310761245855108092023213115.pdf","https://dpmzos25m8ivg.cloudfront.net/Documentos/631/07612458551/6310761245855108092023213115.pdf")</f>
        <v>https://dpmzos25m8ivg.cloudfront.net/Documentos/631/07612458551/6310761245855108092023213115.pdf</v>
      </c>
      <c r="F3727" s="5" t="str">
        <f>HYPERLINK("https://dpmzos25m8ivg.cloudfront.net/Documentos/631/07612458551/6310761245855108092023213123.pdf","https://dpmzos25m8ivg.cloudfront.net/Documentos/631/07612458551/6310761245855108092023213123.pdf")</f>
        <v>https://dpmzos25m8ivg.cloudfront.net/Documentos/631/07612458551/6310761245855108092023213123.pdf</v>
      </c>
      <c r="G3727" s="5" t="str">
        <f>HYPERLINK("https://dpmzos25m8ivg.cloudfront.net/Documentos/631/07612458551/6310761245855108092023213133.pdf","https://dpmzos25m8ivg.cloudfront.net/Documentos/631/07612458551/6310761245855108092023213133.pdf")</f>
        <v>https://dpmzos25m8ivg.cloudfront.net/Documentos/631/07612458551/6310761245855108092023213133.pdf</v>
      </c>
      <c r="H3727" s="5" t="s">
        <v>12304</v>
      </c>
    </row>
    <row r="3728" spans="1:8" x14ac:dyDescent="0.25">
      <c r="A3728" s="2" t="s">
        <v>3748</v>
      </c>
      <c r="B3728" s="3"/>
      <c r="C3728" s="3"/>
      <c r="D3728" s="3"/>
      <c r="E3728" s="5" t="str">
        <f>HYPERLINK("https://dpmzos25m8ivg.cloudfront.net/Documentos/631/07619886532/6310761988653214092023155631.pdf","https://dpmzos25m8ivg.cloudfront.net/Documentos/631/07619886532/6310761988653214092023155631.pdf")</f>
        <v>https://dpmzos25m8ivg.cloudfront.net/Documentos/631/07619886532/6310761988653214092023155631.pdf</v>
      </c>
      <c r="F3728" s="5" t="str">
        <f>HYPERLINK("https://dpmzos25m8ivg.cloudfront.net/Documentos/631/07619886532/6310761988653214092023160324.pdf","https://dpmzos25m8ivg.cloudfront.net/Documentos/631/07619886532/6310761988653214092023160324.pdf")</f>
        <v>https://dpmzos25m8ivg.cloudfront.net/Documentos/631/07619886532/6310761988653214092023160324.pdf</v>
      </c>
      <c r="G3728" s="5" t="str">
        <f>HYPERLINK("https://dpmzos25m8ivg.cloudfront.net/Documentos/631/07619886532/6310761988653214092023160852.pdf","https://dpmzos25m8ivg.cloudfront.net/Documentos/631/07619886532/6310761988653214092023160852.pdf")</f>
        <v>https://dpmzos25m8ivg.cloudfront.net/Documentos/631/07619886532/6310761988653214092023160852.pdf</v>
      </c>
      <c r="H3728" s="5" t="s">
        <v>12305</v>
      </c>
    </row>
    <row r="3729" spans="1:8" x14ac:dyDescent="0.25">
      <c r="A3729" s="2" t="s">
        <v>3749</v>
      </c>
      <c r="B3729" s="3"/>
      <c r="C3729" s="3"/>
      <c r="D3729" s="3"/>
      <c r="E3729" s="5" t="str">
        <f>HYPERLINK("https://dpmzos25m8ivg.cloudfront.net/Documentos/631/07620424350/6310762042435011092023113434.jpg","https://dpmzos25m8ivg.cloudfront.net/Documentos/631/07620424350/6310762042435011092023113434.jpg")</f>
        <v>https://dpmzos25m8ivg.cloudfront.net/Documentos/631/07620424350/6310762042435011092023113434.jpg</v>
      </c>
      <c r="F3729" s="5" t="str">
        <f>HYPERLINK("https://dpmzos25m8ivg.cloudfront.net/Documentos/631/07620424350/6310762042435011092023113451.jpg","https://dpmzos25m8ivg.cloudfront.net/Documentos/631/07620424350/6310762042435011092023113451.jpg")</f>
        <v>https://dpmzos25m8ivg.cloudfront.net/Documentos/631/07620424350/6310762042435011092023113451.jpg</v>
      </c>
      <c r="G3729" s="5" t="str">
        <f>HYPERLINK("https://dpmzos25m8ivg.cloudfront.net/Documentos/631/07620424350/6310762042435011092023113503.jpg","https://dpmzos25m8ivg.cloudfront.net/Documentos/631/07620424350/6310762042435011092023113503.jpg")</f>
        <v>https://dpmzos25m8ivg.cloudfront.net/Documentos/631/07620424350/6310762042435011092023113503.jpg</v>
      </c>
      <c r="H3729" s="5" t="s">
        <v>12306</v>
      </c>
    </row>
    <row r="3730" spans="1:8" x14ac:dyDescent="0.25">
      <c r="A3730" s="2" t="s">
        <v>3750</v>
      </c>
      <c r="B3730" s="3" t="s">
        <v>3385</v>
      </c>
      <c r="C3730" s="3"/>
      <c r="D3730" s="3"/>
      <c r="E3730" s="5" t="str">
        <f>HYPERLINK("https://dpmzos25m8ivg.cloudfront.net/Documentos/631/07621251360/6310762125136005092023174022.pdf","https://dpmzos25m8ivg.cloudfront.net/Documentos/631/07621251360/6310762125136005092023174022.pdf")</f>
        <v>https://dpmzos25m8ivg.cloudfront.net/Documentos/631/07621251360/6310762125136005092023174022.pdf</v>
      </c>
      <c r="F3730" s="5" t="str">
        <f>HYPERLINK("https://dpmzos25m8ivg.cloudfront.net/Documentos/631/07621251360/6310762125136005092023174034.pdf","https://dpmzos25m8ivg.cloudfront.net/Documentos/631/07621251360/6310762125136005092023174034.pdf")</f>
        <v>https://dpmzos25m8ivg.cloudfront.net/Documentos/631/07621251360/6310762125136005092023174034.pdf</v>
      </c>
      <c r="G3730" s="5" t="str">
        <f>HYPERLINK("https://dpmzos25m8ivg.cloudfront.net/Documentos/631/07621251360/6310762125136005092023174046.pdf","https://dpmzos25m8ivg.cloudfront.net/Documentos/631/07621251360/6310762125136005092023174046.pdf")</f>
        <v>https://dpmzos25m8ivg.cloudfront.net/Documentos/631/07621251360/6310762125136005092023174046.pdf</v>
      </c>
      <c r="H3730" s="5" t="s">
        <v>12307</v>
      </c>
    </row>
    <row r="3731" spans="1:8" x14ac:dyDescent="0.25">
      <c r="A3731" s="2" t="s">
        <v>3751</v>
      </c>
      <c r="B3731" s="3" t="s">
        <v>8</v>
      </c>
      <c r="C3731" s="3"/>
      <c r="D3731" s="3"/>
      <c r="E3731" s="5" t="str">
        <f>HYPERLINK("https://dpmzos25m8ivg.cloudfront.net/Documentos/631/07623871307/6310762387130711092023071908.pdf","https://dpmzos25m8ivg.cloudfront.net/Documentos/631/07623871307/6310762387130711092023071908.pdf")</f>
        <v>https://dpmzos25m8ivg.cloudfront.net/Documentos/631/07623871307/6310762387130711092023071908.pdf</v>
      </c>
      <c r="F3731" s="5" t="str">
        <f>HYPERLINK("https://dpmzos25m8ivg.cloudfront.net/Documentos/631/07623871307/6310762387130711092023071933.pdf","https://dpmzos25m8ivg.cloudfront.net/Documentos/631/07623871307/6310762387130711092023071933.pdf")</f>
        <v>https://dpmzos25m8ivg.cloudfront.net/Documentos/631/07623871307/6310762387130711092023071933.pdf</v>
      </c>
      <c r="G3731" s="5" t="str">
        <f>HYPERLINK("https://dpmzos25m8ivg.cloudfront.net/Documentos/631/07623871307/6310762387130711092023071942.pdf","https://dpmzos25m8ivg.cloudfront.net/Documentos/631/07623871307/6310762387130711092023071942.pdf")</f>
        <v>https://dpmzos25m8ivg.cloudfront.net/Documentos/631/07623871307/6310762387130711092023071942.pdf</v>
      </c>
      <c r="H3731" s="5" t="s">
        <v>12308</v>
      </c>
    </row>
    <row r="3732" spans="1:8" x14ac:dyDescent="0.25">
      <c r="A3732" s="2" t="s">
        <v>3752</v>
      </c>
      <c r="B3732" s="3"/>
      <c r="C3732" s="3"/>
      <c r="D3732" s="3"/>
      <c r="E3732" s="5" t="str">
        <f>HYPERLINK("https://dpmzos25m8ivg.cloudfront.net/Documentos/631/07631060703/6310763106070308092023002626.pdf","https://dpmzos25m8ivg.cloudfront.net/Documentos/631/07631060703/6310763106070308092023002626.pdf")</f>
        <v>https://dpmzos25m8ivg.cloudfront.net/Documentos/631/07631060703/6310763106070308092023002626.pdf</v>
      </c>
      <c r="F3732" s="5" t="str">
        <f>HYPERLINK("https://dpmzos25m8ivg.cloudfront.net/Documentos/631/07631060703/6310763106070308092023003034.pdf","https://dpmzos25m8ivg.cloudfront.net/Documentos/631/07631060703/6310763106070308092023003034.pdf")</f>
        <v>https://dpmzos25m8ivg.cloudfront.net/Documentos/631/07631060703/6310763106070308092023003034.pdf</v>
      </c>
      <c r="G3732" s="5" t="str">
        <f>HYPERLINK("https://dpmzos25m8ivg.cloudfront.net/Documentos/631/07631060703/6310763106070308092023003047.pdf","https://dpmzos25m8ivg.cloudfront.net/Documentos/631/07631060703/6310763106070308092023003047.pdf")</f>
        <v>https://dpmzos25m8ivg.cloudfront.net/Documentos/631/07631060703/6310763106070308092023003047.pdf</v>
      </c>
      <c r="H3732" s="5" t="s">
        <v>12309</v>
      </c>
    </row>
    <row r="3733" spans="1:8" x14ac:dyDescent="0.25">
      <c r="A3733" s="2" t="s">
        <v>3753</v>
      </c>
      <c r="B3733" s="3"/>
      <c r="C3733" s="3"/>
      <c r="D3733" s="3"/>
      <c r="E3733" s="5" t="str">
        <f>HYPERLINK("https://dpmzos25m8ivg.cloudfront.net/Documentos/631/07631687935/6310763168793511092023124033.pdf","https://dpmzos25m8ivg.cloudfront.net/Documentos/631/07631687935/6310763168793511092023124033.pdf")</f>
        <v>https://dpmzos25m8ivg.cloudfront.net/Documentos/631/07631687935/6310763168793511092023124033.pdf</v>
      </c>
      <c r="F3733" s="5" t="str">
        <f>HYPERLINK("https://dpmzos25m8ivg.cloudfront.net/Documentos/631/07631687935/6310763168793511092023124053.pdf","https://dpmzos25m8ivg.cloudfront.net/Documentos/631/07631687935/6310763168793511092023124053.pdf")</f>
        <v>https://dpmzos25m8ivg.cloudfront.net/Documentos/631/07631687935/6310763168793511092023124053.pdf</v>
      </c>
      <c r="G3733" s="5" t="str">
        <f>HYPERLINK("https://dpmzos25m8ivg.cloudfront.net/Documentos/631/07631687935/6310763168793511092023124105.pdf","https://dpmzos25m8ivg.cloudfront.net/Documentos/631/07631687935/6310763168793511092023124105.pdf")</f>
        <v>https://dpmzos25m8ivg.cloudfront.net/Documentos/631/07631687935/6310763168793511092023124105.pdf</v>
      </c>
      <c r="H3733" s="5" t="s">
        <v>12310</v>
      </c>
    </row>
    <row r="3734" spans="1:8" x14ac:dyDescent="0.25">
      <c r="A3734" s="2" t="s">
        <v>3754</v>
      </c>
      <c r="B3734" s="3"/>
      <c r="C3734" s="3"/>
      <c r="D3734" s="3"/>
      <c r="E3734" s="5" t="str">
        <f>HYPERLINK("https://dpmzos25m8ivg.cloudfront.net/Documentos/631/07632212361/6310763221236107092023155923.pdf","https://dpmzos25m8ivg.cloudfront.net/Documentos/631/07632212361/6310763221236107092023155923.pdf")</f>
        <v>https://dpmzos25m8ivg.cloudfront.net/Documentos/631/07632212361/6310763221236107092023155923.pdf</v>
      </c>
      <c r="F3734" s="5" t="str">
        <f>HYPERLINK("https://dpmzos25m8ivg.cloudfront.net/Documentos/631/07632212361/6310763221236107092023160012.pdf","https://dpmzos25m8ivg.cloudfront.net/Documentos/631/07632212361/6310763221236107092023160012.pdf")</f>
        <v>https://dpmzos25m8ivg.cloudfront.net/Documentos/631/07632212361/6310763221236107092023160012.pdf</v>
      </c>
      <c r="G3734" s="5" t="str">
        <f>HYPERLINK("https://dpmzos25m8ivg.cloudfront.net/Documentos/631/07632212361/6310763221236107092023160033.pdf","https://dpmzos25m8ivg.cloudfront.net/Documentos/631/07632212361/6310763221236107092023160033.pdf")</f>
        <v>https://dpmzos25m8ivg.cloudfront.net/Documentos/631/07632212361/6310763221236107092023160033.pdf</v>
      </c>
      <c r="H3734" s="5" t="s">
        <v>12311</v>
      </c>
    </row>
    <row r="3735" spans="1:8" x14ac:dyDescent="0.25">
      <c r="A3735" s="2" t="s">
        <v>3755</v>
      </c>
      <c r="B3735" s="3"/>
      <c r="C3735" s="3"/>
      <c r="D3735" s="3"/>
      <c r="E3735" s="5" t="str">
        <f>HYPERLINK("https://dpmzos25m8ivg.cloudfront.net/Documentos/631/07636386500/6310763638650006092023100004.pdf","https://dpmzos25m8ivg.cloudfront.net/Documentos/631/07636386500/6310763638650006092023100004.pdf")</f>
        <v>https://dpmzos25m8ivg.cloudfront.net/Documentos/631/07636386500/6310763638650006092023100004.pdf</v>
      </c>
      <c r="F3735" s="5" t="str">
        <f>HYPERLINK("https://dpmzos25m8ivg.cloudfront.net/Documentos/631/07636386500/6310763638650006092023100025.pdf","https://dpmzos25m8ivg.cloudfront.net/Documentos/631/07636386500/6310763638650006092023100025.pdf")</f>
        <v>https://dpmzos25m8ivg.cloudfront.net/Documentos/631/07636386500/6310763638650006092023100025.pdf</v>
      </c>
      <c r="G3735" s="5" t="str">
        <f>HYPERLINK("https://dpmzos25m8ivg.cloudfront.net/Documentos/631/07636386500/6310763638650006092023100043.pdf","https://dpmzos25m8ivg.cloudfront.net/Documentos/631/07636386500/6310763638650006092023100043.pdf")</f>
        <v>https://dpmzos25m8ivg.cloudfront.net/Documentos/631/07636386500/6310763638650006092023100043.pdf</v>
      </c>
      <c r="H3735" s="5" t="s">
        <v>12312</v>
      </c>
    </row>
    <row r="3736" spans="1:8" x14ac:dyDescent="0.25">
      <c r="A3736" s="2" t="s">
        <v>3756</v>
      </c>
      <c r="B3736" s="3"/>
      <c r="C3736" s="3"/>
      <c r="D3736" s="3"/>
      <c r="E3736" s="5" t="str">
        <f>HYPERLINK("https://dpmzos25m8ivg.cloudfront.net/Documentos/631/07637312500/6310763731250011092023142741.pdf","https://dpmzos25m8ivg.cloudfront.net/Documentos/631/07637312500/6310763731250011092023142741.pdf")</f>
        <v>https://dpmzos25m8ivg.cloudfront.net/Documentos/631/07637312500/6310763731250011092023142741.pdf</v>
      </c>
      <c r="F3736" s="5" t="str">
        <f>HYPERLINK("https://dpmzos25m8ivg.cloudfront.net/Documentos/631/07637312500/6310763731250011092023142816.pdf","https://dpmzos25m8ivg.cloudfront.net/Documentos/631/07637312500/6310763731250011092023142816.pdf")</f>
        <v>https://dpmzos25m8ivg.cloudfront.net/Documentos/631/07637312500/6310763731250011092023142816.pdf</v>
      </c>
      <c r="G3736" s="5" t="str">
        <f>HYPERLINK("https://dpmzos25m8ivg.cloudfront.net/Documentos/631/07637312500/6310763731250011092023142838.pdf","https://dpmzos25m8ivg.cloudfront.net/Documentos/631/07637312500/6310763731250011092023142838.pdf")</f>
        <v>https://dpmzos25m8ivg.cloudfront.net/Documentos/631/07637312500/6310763731250011092023142838.pdf</v>
      </c>
      <c r="H3736" s="5" t="s">
        <v>12313</v>
      </c>
    </row>
    <row r="3737" spans="1:8" x14ac:dyDescent="0.25">
      <c r="A3737" s="2" t="s">
        <v>3757</v>
      </c>
      <c r="B3737" s="15" t="s">
        <v>42</v>
      </c>
      <c r="C3737" s="3"/>
      <c r="D3737" s="3"/>
      <c r="E3737" s="5" t="str">
        <f>HYPERLINK("https://dpmzos25m8ivg.cloudfront.net/Documentos/631/07639543576/6310763954357605092023115334.pdf","https://dpmzos25m8ivg.cloudfront.net/Documentos/631/07639543576/6310763954357605092023115334.pdf")</f>
        <v>https://dpmzos25m8ivg.cloudfront.net/Documentos/631/07639543576/6310763954357605092023115334.pdf</v>
      </c>
      <c r="F3737" s="5" t="str">
        <f>HYPERLINK("https://dpmzos25m8ivg.cloudfront.net/Documentos/631/07639543576/6310763954357605092023115355.pdf","https://dpmzos25m8ivg.cloudfront.net/Documentos/631/07639543576/6310763954357605092023115355.pdf")</f>
        <v>https://dpmzos25m8ivg.cloudfront.net/Documentos/631/07639543576/6310763954357605092023115355.pdf</v>
      </c>
      <c r="G3737" s="5" t="str">
        <f>HYPERLINK("https://dpmzos25m8ivg.cloudfront.net/Documentos/631/07639543576/6310763954357605092023115425.pdf","https://dpmzos25m8ivg.cloudfront.net/Documentos/631/07639543576/6310763954357605092023115425.pdf")</f>
        <v>https://dpmzos25m8ivg.cloudfront.net/Documentos/631/07639543576/6310763954357605092023115425.pdf</v>
      </c>
      <c r="H3737" s="5" t="s">
        <v>12314</v>
      </c>
    </row>
    <row r="3738" spans="1:8" x14ac:dyDescent="0.25">
      <c r="A3738" s="2" t="s">
        <v>3758</v>
      </c>
      <c r="B3738" s="3"/>
      <c r="C3738" s="3"/>
      <c r="D3738" s="3"/>
      <c r="E3738" s="5" t="str">
        <f>HYPERLINK("https://dpmzos25m8ivg.cloudfront.net/Documentos/631/07639734754/6310763973475411092023120232.pdf","https://dpmzos25m8ivg.cloudfront.net/Documentos/631/07639734754/6310763973475411092023120232.pdf")</f>
        <v>https://dpmzos25m8ivg.cloudfront.net/Documentos/631/07639734754/6310763973475411092023120232.pdf</v>
      </c>
      <c r="F3738" s="5" t="str">
        <f>HYPERLINK("https://dpmzos25m8ivg.cloudfront.net/Documentos/631/07639734754/6310763973475411092023120244.pdf","https://dpmzos25m8ivg.cloudfront.net/Documentos/631/07639734754/6310763973475411092023120244.pdf")</f>
        <v>https://dpmzos25m8ivg.cloudfront.net/Documentos/631/07639734754/6310763973475411092023120244.pdf</v>
      </c>
      <c r="G3738" s="5" t="str">
        <f>HYPERLINK("https://dpmzos25m8ivg.cloudfront.net/Documentos/631/07639734754/6310763973475411092023120255.pdf","https://dpmzos25m8ivg.cloudfront.net/Documentos/631/07639734754/6310763973475411092023120255.pdf")</f>
        <v>https://dpmzos25m8ivg.cloudfront.net/Documentos/631/07639734754/6310763973475411092023120255.pdf</v>
      </c>
      <c r="H3738" s="5" t="s">
        <v>12315</v>
      </c>
    </row>
    <row r="3739" spans="1:8" x14ac:dyDescent="0.25">
      <c r="A3739" s="2" t="s">
        <v>3759</v>
      </c>
      <c r="B3739" s="3"/>
      <c r="C3739" s="3"/>
      <c r="D3739" s="3"/>
      <c r="E3739" s="5" t="str">
        <f>HYPERLINK("https://dpmzos25m8ivg.cloudfront.net/Documentos/631/07642445318/6310764244531808092023193913.pdf","https://dpmzos25m8ivg.cloudfront.net/Documentos/631/07642445318/6310764244531808092023193913.pdf")</f>
        <v>https://dpmzos25m8ivg.cloudfront.net/Documentos/631/07642445318/6310764244531808092023193913.pdf</v>
      </c>
      <c r="F3739" s="5" t="str">
        <f>HYPERLINK("https://dpmzos25m8ivg.cloudfront.net/Documentos/631/07642445318/6310764244531808092023193930.pdf","https://dpmzos25m8ivg.cloudfront.net/Documentos/631/07642445318/6310764244531808092023193930.pdf")</f>
        <v>https://dpmzos25m8ivg.cloudfront.net/Documentos/631/07642445318/6310764244531808092023193930.pdf</v>
      </c>
      <c r="G3739" s="5" t="str">
        <f>HYPERLINK("https://dpmzos25m8ivg.cloudfront.net/Documentos/631/07642445318/6310764244531808092023193947.pdf","https://dpmzos25m8ivg.cloudfront.net/Documentos/631/07642445318/6310764244531808092023193947.pdf")</f>
        <v>https://dpmzos25m8ivg.cloudfront.net/Documentos/631/07642445318/6310764244531808092023193947.pdf</v>
      </c>
      <c r="H3739" s="5" t="s">
        <v>12316</v>
      </c>
    </row>
    <row r="3740" spans="1:8" x14ac:dyDescent="0.25">
      <c r="A3740" s="2" t="s">
        <v>3760</v>
      </c>
      <c r="B3740" s="3" t="s">
        <v>3385</v>
      </c>
      <c r="C3740" s="3"/>
      <c r="D3740" s="3"/>
      <c r="E3740" s="5" t="str">
        <f>HYPERLINK("https://dpmzos25m8ivg.cloudfront.net/Documentos/631/07643445362/6310764344536208092023185027.pdf","https://dpmzos25m8ivg.cloudfront.net/Documentos/631/07643445362/6310764344536208092023185027.pdf")</f>
        <v>https://dpmzos25m8ivg.cloudfront.net/Documentos/631/07643445362/6310764344536208092023185027.pdf</v>
      </c>
      <c r="F3740" s="5" t="str">
        <f>HYPERLINK("https://dpmzos25m8ivg.cloudfront.net/Documentos/631/07643445362/6310764344536208092023185058.pdf","https://dpmzos25m8ivg.cloudfront.net/Documentos/631/07643445362/6310764344536208092023185058.pdf")</f>
        <v>https://dpmzos25m8ivg.cloudfront.net/Documentos/631/07643445362/6310764344536208092023185058.pdf</v>
      </c>
      <c r="G3740" s="5" t="str">
        <f>HYPERLINK("https://dpmzos25m8ivg.cloudfront.net/Documentos/631/07643445362/6310764344536208092023185108.pdf","https://dpmzos25m8ivg.cloudfront.net/Documentos/631/07643445362/6310764344536208092023185108.pdf")</f>
        <v>https://dpmzos25m8ivg.cloudfront.net/Documentos/631/07643445362/6310764344536208092023185108.pdf</v>
      </c>
      <c r="H3740" s="5" t="s">
        <v>12317</v>
      </c>
    </row>
    <row r="3741" spans="1:8" x14ac:dyDescent="0.25">
      <c r="A3741" s="2" t="s">
        <v>3761</v>
      </c>
      <c r="B3741" s="3"/>
      <c r="C3741" s="3"/>
      <c r="D3741" s="3"/>
      <c r="E3741" s="5" t="str">
        <f>HYPERLINK("https://dpmzos25m8ivg.cloudfront.net/Documentos/631/07644923659/6310764492365911092023094744.pdf","https://dpmzos25m8ivg.cloudfront.net/Documentos/631/07644923659/6310764492365911092023094744.pdf")</f>
        <v>https://dpmzos25m8ivg.cloudfront.net/Documentos/631/07644923659/6310764492365911092023094744.pdf</v>
      </c>
      <c r="F3741" s="5" t="str">
        <f>HYPERLINK("https://dpmzos25m8ivg.cloudfront.net/Documentos/631/07644923659/6310764492365911092023094815.pdf","https://dpmzos25m8ivg.cloudfront.net/Documentos/631/07644923659/6310764492365911092023094815.pdf")</f>
        <v>https://dpmzos25m8ivg.cloudfront.net/Documentos/631/07644923659/6310764492365911092023094815.pdf</v>
      </c>
      <c r="G3741" s="5" t="str">
        <f>HYPERLINK("https://dpmzos25m8ivg.cloudfront.net/Documentos/631/07644923659/6310764492365911092023094837.pdf","https://dpmzos25m8ivg.cloudfront.net/Documentos/631/07644923659/6310764492365911092023094837.pdf")</f>
        <v>https://dpmzos25m8ivg.cloudfront.net/Documentos/631/07644923659/6310764492365911092023094837.pdf</v>
      </c>
      <c r="H3741" s="5" t="s">
        <v>12318</v>
      </c>
    </row>
    <row r="3742" spans="1:8" x14ac:dyDescent="0.25">
      <c r="A3742" s="2" t="s">
        <v>3762</v>
      </c>
      <c r="B3742" s="3" t="s">
        <v>42</v>
      </c>
      <c r="C3742" s="3"/>
      <c r="D3742" s="3"/>
      <c r="E3742" s="5" t="str">
        <f>HYPERLINK("https://dpmzos25m8ivg.cloudfront.net/Documentos/631/07645784130/6310764578413009092023180534.pdf","https://dpmzos25m8ivg.cloudfront.net/Documentos/631/07645784130/6310764578413009092023180534.pdf")</f>
        <v>https://dpmzos25m8ivg.cloudfront.net/Documentos/631/07645784130/6310764578413009092023180534.pdf</v>
      </c>
      <c r="F3742" s="5" t="str">
        <f>HYPERLINK("https://dpmzos25m8ivg.cloudfront.net/Documentos/631/07645784130/6310764578413009092023180605.pdf","https://dpmzos25m8ivg.cloudfront.net/Documentos/631/07645784130/6310764578413009092023180605.pdf")</f>
        <v>https://dpmzos25m8ivg.cloudfront.net/Documentos/631/07645784130/6310764578413009092023180605.pdf</v>
      </c>
      <c r="G3742" s="5" t="str">
        <f>HYPERLINK("https://dpmzos25m8ivg.cloudfront.net/Documentos/631/07645784130/6310764578413009092023180631.pdf","https://dpmzos25m8ivg.cloudfront.net/Documentos/631/07645784130/6310764578413009092023180631.pdf")</f>
        <v>https://dpmzos25m8ivg.cloudfront.net/Documentos/631/07645784130/6310764578413009092023180631.pdf</v>
      </c>
      <c r="H3742" s="5" t="s">
        <v>12319</v>
      </c>
    </row>
    <row r="3743" spans="1:8" x14ac:dyDescent="0.25">
      <c r="A3743" s="2" t="s">
        <v>3763</v>
      </c>
      <c r="B3743" s="3"/>
      <c r="C3743" s="3"/>
      <c r="D3743" s="3"/>
      <c r="E3743" s="5" t="str">
        <f>HYPERLINK("https://dpmzos25m8ivg.cloudfront.net/Documentos/631/07646419567/6310764641956711092023115202.pdf","https://dpmzos25m8ivg.cloudfront.net/Documentos/631/07646419567/6310764641956711092023115202.pdf")</f>
        <v>https://dpmzos25m8ivg.cloudfront.net/Documentos/631/07646419567/6310764641956711092023115202.pdf</v>
      </c>
      <c r="F3743" s="5" t="str">
        <f>HYPERLINK("https://dpmzos25m8ivg.cloudfront.net/Documentos/631/07646419567/6310764641956711092023115214.pdf","https://dpmzos25m8ivg.cloudfront.net/Documentos/631/07646419567/6310764641956711092023115214.pdf")</f>
        <v>https://dpmzos25m8ivg.cloudfront.net/Documentos/631/07646419567/6310764641956711092023115214.pdf</v>
      </c>
      <c r="G3743" s="5" t="str">
        <f>HYPERLINK("https://dpmzos25m8ivg.cloudfront.net/Documentos/631/07646419567/6310764641956711092023115224.pdf","https://dpmzos25m8ivg.cloudfront.net/Documentos/631/07646419567/6310764641956711092023115224.pdf")</f>
        <v>https://dpmzos25m8ivg.cloudfront.net/Documentos/631/07646419567/6310764641956711092023115224.pdf</v>
      </c>
      <c r="H3743" s="5" t="s">
        <v>12320</v>
      </c>
    </row>
    <row r="3744" spans="1:8" x14ac:dyDescent="0.25">
      <c r="A3744" s="2" t="s">
        <v>3764</v>
      </c>
      <c r="B3744" s="3"/>
      <c r="C3744" s="3"/>
      <c r="D3744" s="3"/>
      <c r="E3744" s="5" t="str">
        <f>HYPERLINK("https://dpmzos25m8ivg.cloudfront.net/Documentos/631/07646779776/6310764677977610092023221804.pdf","https://dpmzos25m8ivg.cloudfront.net/Documentos/631/07646779776/6310764677977610092023221804.pdf")</f>
        <v>https://dpmzos25m8ivg.cloudfront.net/Documentos/631/07646779776/6310764677977610092023221804.pdf</v>
      </c>
      <c r="F3744" s="5" t="str">
        <f>HYPERLINK("https://dpmzos25m8ivg.cloudfront.net/Documentos/631/07646779776/6310764677977610092023221746.pdf","https://dpmzos25m8ivg.cloudfront.net/Documentos/631/07646779776/6310764677977610092023221746.pdf")</f>
        <v>https://dpmzos25m8ivg.cloudfront.net/Documentos/631/07646779776/6310764677977610092023221746.pdf</v>
      </c>
      <c r="G3744" s="5" t="str">
        <f>HYPERLINK("https://dpmzos25m8ivg.cloudfront.net/Documentos/631/07646779776/6310764677977610092023221723.pdf","https://dpmzos25m8ivg.cloudfront.net/Documentos/631/07646779776/6310764677977610092023221723.pdf")</f>
        <v>https://dpmzos25m8ivg.cloudfront.net/Documentos/631/07646779776/6310764677977610092023221723.pdf</v>
      </c>
      <c r="H3744" s="5" t="s">
        <v>12321</v>
      </c>
    </row>
    <row r="3745" spans="1:8" x14ac:dyDescent="0.25">
      <c r="A3745" s="2" t="s">
        <v>3765</v>
      </c>
      <c r="B3745" s="3"/>
      <c r="C3745" s="3"/>
      <c r="D3745" s="3"/>
      <c r="E3745" s="5" t="str">
        <f>HYPERLINK("https://dpmzos25m8ivg.cloudfront.net/Documentos/631/07646814350/6310764681435006092023162632.pdf","https://dpmzos25m8ivg.cloudfront.net/Documentos/631/07646814350/6310764681435006092023162632.pdf")</f>
        <v>https://dpmzos25m8ivg.cloudfront.net/Documentos/631/07646814350/6310764681435006092023162632.pdf</v>
      </c>
      <c r="F3745" s="5" t="str">
        <f>HYPERLINK("https://dpmzos25m8ivg.cloudfront.net/Documentos/631/07646814350/6310764681435006092023162648.pdf","https://dpmzos25m8ivg.cloudfront.net/Documentos/631/07646814350/6310764681435006092023162648.pdf")</f>
        <v>https://dpmzos25m8ivg.cloudfront.net/Documentos/631/07646814350/6310764681435006092023162648.pdf</v>
      </c>
      <c r="G3745" s="5" t="str">
        <f>HYPERLINK("https://dpmzos25m8ivg.cloudfront.net/Documentos/631/07646814350/6310764681435006092023162734.pdf","https://dpmzos25m8ivg.cloudfront.net/Documentos/631/07646814350/6310764681435006092023162734.pdf")</f>
        <v>https://dpmzos25m8ivg.cloudfront.net/Documentos/631/07646814350/6310764681435006092023162734.pdf</v>
      </c>
      <c r="H3745" s="5" t="s">
        <v>12322</v>
      </c>
    </row>
    <row r="3746" spans="1:8" x14ac:dyDescent="0.25">
      <c r="A3746" s="2" t="s">
        <v>3766</v>
      </c>
      <c r="B3746" s="3"/>
      <c r="C3746" s="3"/>
      <c r="D3746" s="3"/>
      <c r="E3746" s="5" t="str">
        <f>HYPERLINK("https://dpmzos25m8ivg.cloudfront.net/Documentos/631/07646959324/6310764695932411092023121445.pdf","https://dpmzos25m8ivg.cloudfront.net/Documentos/631/07646959324/6310764695932411092023121445.pdf")</f>
        <v>https://dpmzos25m8ivg.cloudfront.net/Documentos/631/07646959324/6310764695932411092023121445.pdf</v>
      </c>
      <c r="F3746" s="5" t="str">
        <f>HYPERLINK("https://dpmzos25m8ivg.cloudfront.net/Documentos/631/07646959324/6310764695932411092023121459.pdf","https://dpmzos25m8ivg.cloudfront.net/Documentos/631/07646959324/6310764695932411092023121459.pdf")</f>
        <v>https://dpmzos25m8ivg.cloudfront.net/Documentos/631/07646959324/6310764695932411092023121459.pdf</v>
      </c>
      <c r="G3746" s="5" t="str">
        <f>HYPERLINK("https://dpmzos25m8ivg.cloudfront.net/Documentos/631/07646959324/6310764695932411092023121511.pdf","https://dpmzos25m8ivg.cloudfront.net/Documentos/631/07646959324/6310764695932411092023121511.pdf")</f>
        <v>https://dpmzos25m8ivg.cloudfront.net/Documentos/631/07646959324/6310764695932411092023121511.pdf</v>
      </c>
      <c r="H3746" s="5" t="s">
        <v>12323</v>
      </c>
    </row>
    <row r="3747" spans="1:8" x14ac:dyDescent="0.25">
      <c r="A3747" s="2" t="s">
        <v>3767</v>
      </c>
      <c r="B3747" s="3"/>
      <c r="C3747" s="3"/>
      <c r="D3747" s="3"/>
      <c r="E3747" s="5" t="str">
        <f>HYPERLINK("https://dpmzos25m8ivg.cloudfront.net/Documentos/631/07649379604/6310764937960411092023104811.jpeg","https://dpmzos25m8ivg.cloudfront.net/Documentos/631/07649379604/6310764937960411092023104811.jpeg")</f>
        <v>https://dpmzos25m8ivg.cloudfront.net/Documentos/631/07649379604/6310764937960411092023104811.jpeg</v>
      </c>
      <c r="F3747" s="5" t="str">
        <f>HYPERLINK("https://dpmzos25m8ivg.cloudfront.net/Documentos/631/07649379604/6310764937960411092023104841.jpeg","https://dpmzos25m8ivg.cloudfront.net/Documentos/631/07649379604/6310764937960411092023104841.jpeg")</f>
        <v>https://dpmzos25m8ivg.cloudfront.net/Documentos/631/07649379604/6310764937960411092023104841.jpeg</v>
      </c>
      <c r="G3747" s="5" t="str">
        <f>HYPERLINK("https://dpmzos25m8ivg.cloudfront.net/Documentos/631/07649379604/6310764937960411092023104857.jpeg","https://dpmzos25m8ivg.cloudfront.net/Documentos/631/07649379604/6310764937960411092023104857.jpeg")</f>
        <v>https://dpmzos25m8ivg.cloudfront.net/Documentos/631/07649379604/6310764937960411092023104857.jpeg</v>
      </c>
      <c r="H3747" s="5" t="s">
        <v>12324</v>
      </c>
    </row>
    <row r="3748" spans="1:8" x14ac:dyDescent="0.25">
      <c r="A3748" s="2" t="s">
        <v>3768</v>
      </c>
      <c r="B3748" s="3"/>
      <c r="C3748" s="3"/>
      <c r="D3748" s="3"/>
      <c r="E3748" s="5" t="str">
        <f>HYPERLINK("https://dpmzos25m8ivg.cloudfront.net/Documentos/631/07651757386/6310765175738611092023162527.pdf","https://dpmzos25m8ivg.cloudfront.net/Documentos/631/07651757386/6310765175738611092023162527.pdf")</f>
        <v>https://dpmzos25m8ivg.cloudfront.net/Documentos/631/07651757386/6310765175738611092023162527.pdf</v>
      </c>
      <c r="F3748" s="5" t="str">
        <f>HYPERLINK("https://dpmzos25m8ivg.cloudfront.net/Documentos/631/07651757386/6310765175738611092023162455.pdf","https://dpmzos25m8ivg.cloudfront.net/Documentos/631/07651757386/6310765175738611092023162455.pdf")</f>
        <v>https://dpmzos25m8ivg.cloudfront.net/Documentos/631/07651757386/6310765175738611092023162455.pdf</v>
      </c>
      <c r="G3748" s="5" t="str">
        <f>HYPERLINK("https://dpmzos25m8ivg.cloudfront.net/Documentos/631/07651757386/6310765175738611092023162417.pdf","https://dpmzos25m8ivg.cloudfront.net/Documentos/631/07651757386/6310765175738611092023162417.pdf")</f>
        <v>https://dpmzos25m8ivg.cloudfront.net/Documentos/631/07651757386/6310765175738611092023162417.pdf</v>
      </c>
      <c r="H3748" s="5" t="s">
        <v>12325</v>
      </c>
    </row>
    <row r="3749" spans="1:8" x14ac:dyDescent="0.25">
      <c r="A3749" s="2" t="s">
        <v>3769</v>
      </c>
      <c r="B3749" s="3"/>
      <c r="C3749" s="3"/>
      <c r="D3749" s="3"/>
      <c r="E3749" s="5" t="str">
        <f>HYPERLINK("https://dpmzos25m8ivg.cloudfront.net/Documentos/631/07657892307/6310765789230706092023154112.pdf","https://dpmzos25m8ivg.cloudfront.net/Documentos/631/07657892307/6310765789230706092023154112.pdf")</f>
        <v>https://dpmzos25m8ivg.cloudfront.net/Documentos/631/07657892307/6310765789230706092023154112.pdf</v>
      </c>
      <c r="F3749" s="5" t="str">
        <f>HYPERLINK("https://dpmzos25m8ivg.cloudfront.net/Documentos/631/07657892307/6310765789230706092023154122.pdf","https://dpmzos25m8ivg.cloudfront.net/Documentos/631/07657892307/6310765789230706092023154122.pdf")</f>
        <v>https://dpmzos25m8ivg.cloudfront.net/Documentos/631/07657892307/6310765789230706092023154122.pdf</v>
      </c>
      <c r="G3749" s="5" t="str">
        <f>HYPERLINK("https://dpmzos25m8ivg.cloudfront.net/Documentos/631/07657892307/6310765789230706092023154137.pdf","https://dpmzos25m8ivg.cloudfront.net/Documentos/631/07657892307/6310765789230706092023154137.pdf")</f>
        <v>https://dpmzos25m8ivg.cloudfront.net/Documentos/631/07657892307/6310765789230706092023154137.pdf</v>
      </c>
      <c r="H3749" s="5" t="s">
        <v>12326</v>
      </c>
    </row>
    <row r="3750" spans="1:8" x14ac:dyDescent="0.25">
      <c r="A3750" s="2" t="s">
        <v>3770</v>
      </c>
      <c r="B3750" s="3"/>
      <c r="C3750" s="3"/>
      <c r="D3750" s="3"/>
      <c r="E3750" s="5" t="str">
        <f>HYPERLINK("https://dpmzos25m8ivg.cloudfront.net/Documentos/631/07660255940/6310766025594010092023165717.jpg","https://dpmzos25m8ivg.cloudfront.net/Documentos/631/07660255940/6310766025594010092023165717.jpg")</f>
        <v>https://dpmzos25m8ivg.cloudfront.net/Documentos/631/07660255940/6310766025594010092023165717.jpg</v>
      </c>
      <c r="F3750" s="5" t="str">
        <f>HYPERLINK("https://dpmzos25m8ivg.cloudfront.net/Documentos/631/07660255940/6310766025594010092023165731.jpg","https://dpmzos25m8ivg.cloudfront.net/Documentos/631/07660255940/6310766025594010092023165731.jpg")</f>
        <v>https://dpmzos25m8ivg.cloudfront.net/Documentos/631/07660255940/6310766025594010092023165731.jpg</v>
      </c>
      <c r="G3750" s="5" t="str">
        <f>HYPERLINK("https://dpmzos25m8ivg.cloudfront.net/Documentos/631/07660255940/6310766025594010092023165739.jpg","https://dpmzos25m8ivg.cloudfront.net/Documentos/631/07660255940/6310766025594010092023165739.jpg")</f>
        <v>https://dpmzos25m8ivg.cloudfront.net/Documentos/631/07660255940/6310766025594010092023165739.jpg</v>
      </c>
      <c r="H3750" s="5" t="s">
        <v>12327</v>
      </c>
    </row>
    <row r="3751" spans="1:8" x14ac:dyDescent="0.25">
      <c r="A3751" s="2" t="s">
        <v>3771</v>
      </c>
      <c r="B3751" s="3"/>
      <c r="C3751" s="3"/>
      <c r="D3751" s="3"/>
      <c r="E3751" s="5" t="str">
        <f>HYPERLINK("https://dpmzos25m8ivg.cloudfront.net/Documentos/631/07661601141/6310766160114106092023135346.pdf","https://dpmzos25m8ivg.cloudfront.net/Documentos/631/07661601141/6310766160114106092023135346.pdf")</f>
        <v>https://dpmzos25m8ivg.cloudfront.net/Documentos/631/07661601141/6310766160114106092023135346.pdf</v>
      </c>
      <c r="F3751" s="5" t="str">
        <f>HYPERLINK("https://dpmzos25m8ivg.cloudfront.net/Documentos/631/07661601141/6310766160114106092023135355.pdf","https://dpmzos25m8ivg.cloudfront.net/Documentos/631/07661601141/6310766160114106092023135355.pdf")</f>
        <v>https://dpmzos25m8ivg.cloudfront.net/Documentos/631/07661601141/6310766160114106092023135355.pdf</v>
      </c>
      <c r="G3751" s="5" t="str">
        <f>HYPERLINK("https://dpmzos25m8ivg.cloudfront.net/Documentos/631/07661601141/6310766160114106092023135405.pdf","https://dpmzos25m8ivg.cloudfront.net/Documentos/631/07661601141/6310766160114106092023135405.pdf")</f>
        <v>https://dpmzos25m8ivg.cloudfront.net/Documentos/631/07661601141/6310766160114106092023135405.pdf</v>
      </c>
      <c r="H3751" s="5" t="s">
        <v>12328</v>
      </c>
    </row>
    <row r="3752" spans="1:8" x14ac:dyDescent="0.25">
      <c r="A3752" s="2" t="s">
        <v>3772</v>
      </c>
      <c r="B3752" s="3"/>
      <c r="C3752" s="3"/>
      <c r="D3752" s="3"/>
      <c r="E3752" s="5" t="str">
        <f>HYPERLINK("https://dpmzos25m8ivg.cloudfront.net/Documentos/631/07663322843/6310766332284311092023101141.pdf","https://dpmzos25m8ivg.cloudfront.net/Documentos/631/07663322843/6310766332284311092023101141.pdf")</f>
        <v>https://dpmzos25m8ivg.cloudfront.net/Documentos/631/07663322843/6310766332284311092023101141.pdf</v>
      </c>
      <c r="F3752" s="5" t="str">
        <f>HYPERLINK("https://dpmzos25m8ivg.cloudfront.net/Documentos/631/07663322843/6310766332284311092023101224.pdf","https://dpmzos25m8ivg.cloudfront.net/Documentos/631/07663322843/6310766332284311092023101224.pdf")</f>
        <v>https://dpmzos25m8ivg.cloudfront.net/Documentos/631/07663322843/6310766332284311092023101224.pdf</v>
      </c>
      <c r="G3752" s="5" t="str">
        <f>HYPERLINK("https://dpmzos25m8ivg.cloudfront.net/Documentos/631/07663322843/6310766332284311092023101231.pdf","https://dpmzos25m8ivg.cloudfront.net/Documentos/631/07663322843/6310766332284311092023101231.pdf")</f>
        <v>https://dpmzos25m8ivg.cloudfront.net/Documentos/631/07663322843/6310766332284311092023101231.pdf</v>
      </c>
      <c r="H3752" s="5" t="s">
        <v>12329</v>
      </c>
    </row>
    <row r="3753" spans="1:8" x14ac:dyDescent="0.25">
      <c r="A3753" s="2" t="s">
        <v>3773</v>
      </c>
      <c r="B3753" s="3"/>
      <c r="C3753" s="3"/>
      <c r="D3753" s="3"/>
      <c r="E3753" s="5" t="str">
        <f>HYPERLINK("https://dpmzos25m8ivg.cloudfront.net/Documentos/631/07666885504/6310766688550408092023192803.pdf","https://dpmzos25m8ivg.cloudfront.net/Documentos/631/07666885504/6310766688550408092023192803.pdf")</f>
        <v>https://dpmzos25m8ivg.cloudfront.net/Documentos/631/07666885504/6310766688550408092023192803.pdf</v>
      </c>
      <c r="F3753" s="5" t="str">
        <f>HYPERLINK("https://dpmzos25m8ivg.cloudfront.net/Documentos/631/07666885504/6310766688550408092023192823.pdf","https://dpmzos25m8ivg.cloudfront.net/Documentos/631/07666885504/6310766688550408092023192823.pdf")</f>
        <v>https://dpmzos25m8ivg.cloudfront.net/Documentos/631/07666885504/6310766688550408092023192823.pdf</v>
      </c>
      <c r="G3753" s="5" t="str">
        <f>HYPERLINK("https://dpmzos25m8ivg.cloudfront.net/Documentos/631/07666885504/6310766688550408092023192753.pdf","https://dpmzos25m8ivg.cloudfront.net/Documentos/631/07666885504/6310766688550408092023192753.pdf")</f>
        <v>https://dpmzos25m8ivg.cloudfront.net/Documentos/631/07666885504/6310766688550408092023192753.pdf</v>
      </c>
      <c r="H3753" s="5" t="s">
        <v>12330</v>
      </c>
    </row>
    <row r="3754" spans="1:8" x14ac:dyDescent="0.25">
      <c r="A3754" s="2" t="s">
        <v>3774</v>
      </c>
      <c r="B3754" s="3" t="s">
        <v>42</v>
      </c>
      <c r="C3754" s="3"/>
      <c r="D3754" s="3"/>
      <c r="E3754" s="5" t="str">
        <f>HYPERLINK("https://dpmzos25m8ivg.cloudfront.net/Documentos/631/07667371520/6310766737152011092023151910.pdf","https://dpmzos25m8ivg.cloudfront.net/Documentos/631/07667371520/6310766737152011092023151910.pdf")</f>
        <v>https://dpmzos25m8ivg.cloudfront.net/Documentos/631/07667371520/6310766737152011092023151910.pdf</v>
      </c>
      <c r="F3754" s="5" t="str">
        <f>HYPERLINK("https://dpmzos25m8ivg.cloudfront.net/Documentos/631/07667371520/6310766737152011092023151916.pdf","https://dpmzos25m8ivg.cloudfront.net/Documentos/631/07667371520/6310766737152011092023151916.pdf")</f>
        <v>https://dpmzos25m8ivg.cloudfront.net/Documentos/631/07667371520/6310766737152011092023151916.pdf</v>
      </c>
      <c r="G3754" s="5" t="str">
        <f>HYPERLINK("https://dpmzos25m8ivg.cloudfront.net/Documentos/631/07667371520/6310766737152011092023151922.pdf","https://dpmzos25m8ivg.cloudfront.net/Documentos/631/07667371520/6310766737152011092023151922.pdf")</f>
        <v>https://dpmzos25m8ivg.cloudfront.net/Documentos/631/07667371520/6310766737152011092023151922.pdf</v>
      </c>
      <c r="H3754" s="5" t="s">
        <v>12331</v>
      </c>
    </row>
    <row r="3755" spans="1:8" x14ac:dyDescent="0.25">
      <c r="A3755" s="2" t="s">
        <v>3775</v>
      </c>
      <c r="B3755" s="3"/>
      <c r="C3755" s="3"/>
      <c r="D3755" s="3"/>
      <c r="E3755" s="5" t="str">
        <f>HYPERLINK("https://dpmzos25m8ivg.cloudfront.net/Documentos/631/07677019501/6310767701950105092023095949.pdf","https://dpmzos25m8ivg.cloudfront.net/Documentos/631/07677019501/6310767701950105092023095949.pdf")</f>
        <v>https://dpmzos25m8ivg.cloudfront.net/Documentos/631/07677019501/6310767701950105092023095949.pdf</v>
      </c>
      <c r="F3755" s="5" t="str">
        <f>HYPERLINK("https://dpmzos25m8ivg.cloudfront.net/Documentos/631/07677019501/6310767701950105092023100010.pdf","https://dpmzos25m8ivg.cloudfront.net/Documentos/631/07677019501/6310767701950105092023100010.pdf")</f>
        <v>https://dpmzos25m8ivg.cloudfront.net/Documentos/631/07677019501/6310767701950105092023100010.pdf</v>
      </c>
      <c r="G3755" s="5" t="str">
        <f>HYPERLINK("https://dpmzos25m8ivg.cloudfront.net/Documentos/631/07677019501/6310767701950105092023100045.pdf","https://dpmzos25m8ivg.cloudfront.net/Documentos/631/07677019501/6310767701950105092023100045.pdf")</f>
        <v>https://dpmzos25m8ivg.cloudfront.net/Documentos/631/07677019501/6310767701950105092023100045.pdf</v>
      </c>
      <c r="H3755" s="5" t="s">
        <v>12332</v>
      </c>
    </row>
    <row r="3756" spans="1:8" x14ac:dyDescent="0.25">
      <c r="A3756" s="14" t="s">
        <v>3776</v>
      </c>
      <c r="B3756" s="3"/>
      <c r="C3756" s="3"/>
      <c r="D3756" s="3"/>
      <c r="E3756" s="5" t="str">
        <f>HYPERLINK("https://dpmzos25m8ivg.cloudfront.net/Documentos/631/07678567324/6310767856732409092023132156.pdf","https://dpmzos25m8ivg.cloudfront.net/Documentos/631/07678567324/6310767856732409092023132156.pdf")</f>
        <v>https://dpmzos25m8ivg.cloudfront.net/Documentos/631/07678567324/6310767856732409092023132156.pdf</v>
      </c>
      <c r="F3756" s="5" t="str">
        <f>HYPERLINK("https://dpmzos25m8ivg.cloudfront.net/Documentos/631/07678567324/6310767856732409092023132241.pdf","https://dpmzos25m8ivg.cloudfront.net/Documentos/631/07678567324/6310767856732409092023132241.pdf")</f>
        <v>https://dpmzos25m8ivg.cloudfront.net/Documentos/631/07678567324/6310767856732409092023132241.pdf</v>
      </c>
      <c r="G3756" s="5" t="str">
        <f>HYPERLINK("https://dpmzos25m8ivg.cloudfront.net/Documentos/631/07678567324/6310767856732409092023132320.pdf","https://dpmzos25m8ivg.cloudfront.net/Documentos/631/07678567324/6310767856732409092023132320.pdf")</f>
        <v>https://dpmzos25m8ivg.cloudfront.net/Documentos/631/07678567324/6310767856732409092023132320.pdf</v>
      </c>
      <c r="H3756" s="5" t="s">
        <v>12333</v>
      </c>
    </row>
    <row r="3757" spans="1:8" x14ac:dyDescent="0.25">
      <c r="A3757" s="14" t="s">
        <v>3777</v>
      </c>
      <c r="B3757" s="3" t="s">
        <v>3385</v>
      </c>
      <c r="C3757" s="3"/>
      <c r="D3757" s="3"/>
      <c r="E3757" s="5" t="str">
        <f>HYPERLINK("https://dpmzos25m8ivg.cloudfront.net/Documentos/631/07686199630/6310768619963011092023164637.pdf","https://dpmzos25m8ivg.cloudfront.net/Documentos/631/07686199630/6310768619963011092023164637.pdf")</f>
        <v>https://dpmzos25m8ivg.cloudfront.net/Documentos/631/07686199630/6310768619963011092023164637.pdf</v>
      </c>
      <c r="F3757" s="5" t="str">
        <f>HYPERLINK("https://dpmzos25m8ivg.cloudfront.net/Documentos/631/07686199630/6310768619963011092023164937.pdf","https://dpmzos25m8ivg.cloudfront.net/Documentos/631/07686199630/6310768619963011092023164937.pdf")</f>
        <v>https://dpmzos25m8ivg.cloudfront.net/Documentos/631/07686199630/6310768619963011092023164937.pdf</v>
      </c>
      <c r="G3757" s="5" t="str">
        <f>HYPERLINK("https://dpmzos25m8ivg.cloudfront.net/Documentos/631/07686199630/6310768619963011092023164956.pdf","https://dpmzos25m8ivg.cloudfront.net/Documentos/631/07686199630/6310768619963011092023164956.pdf")</f>
        <v>https://dpmzos25m8ivg.cloudfront.net/Documentos/631/07686199630/6310768619963011092023164956.pdf</v>
      </c>
      <c r="H3757" s="5" t="s">
        <v>12334</v>
      </c>
    </row>
    <row r="3758" spans="1:8" x14ac:dyDescent="0.25">
      <c r="A3758" s="14" t="s">
        <v>3778</v>
      </c>
      <c r="B3758" s="3"/>
      <c r="C3758" s="3"/>
      <c r="D3758" s="3"/>
      <c r="E3758" s="5" t="str">
        <f>HYPERLINK("https://dpmzos25m8ivg.cloudfront.net/Documentos/631/07687695585/6310768769558507092023211640.jpeg","https://dpmzos25m8ivg.cloudfront.net/Documentos/631/07687695585/6310768769558507092023211640.jpeg")</f>
        <v>https://dpmzos25m8ivg.cloudfront.net/Documentos/631/07687695585/6310768769558507092023211640.jpeg</v>
      </c>
      <c r="F3758" s="5" t="str">
        <f>HYPERLINK("https://dpmzos25m8ivg.cloudfront.net/Documentos/631/07687695585/6310768769558507092023211654.jpeg","https://dpmzos25m8ivg.cloudfront.net/Documentos/631/07687695585/6310768769558507092023211654.jpeg")</f>
        <v>https://dpmzos25m8ivg.cloudfront.net/Documentos/631/07687695585/6310768769558507092023211654.jpeg</v>
      </c>
      <c r="G3758" s="5" t="str">
        <f>HYPERLINK("https://dpmzos25m8ivg.cloudfront.net/Documentos/631/07687695585/6310768769558507092023211709.jpeg","https://dpmzos25m8ivg.cloudfront.net/Documentos/631/07687695585/6310768769558507092023211709.jpeg")</f>
        <v>https://dpmzos25m8ivg.cloudfront.net/Documentos/631/07687695585/6310768769558507092023211709.jpeg</v>
      </c>
      <c r="H3758" s="5" t="s">
        <v>12335</v>
      </c>
    </row>
    <row r="3759" spans="1:8" x14ac:dyDescent="0.25">
      <c r="A3759" s="14" t="s">
        <v>3779</v>
      </c>
      <c r="B3759" s="3"/>
      <c r="C3759" s="3"/>
      <c r="D3759" s="3"/>
      <c r="E3759" s="5" t="str">
        <f>HYPERLINK("https://dpmzos25m8ivg.cloudfront.net/Documentos/631/07689767583/6310768976758311092023000702.pdf","https://dpmzos25m8ivg.cloudfront.net/Documentos/631/07689767583/6310768976758311092023000702.pdf")</f>
        <v>https://dpmzos25m8ivg.cloudfront.net/Documentos/631/07689767583/6310768976758311092023000702.pdf</v>
      </c>
      <c r="F3759" s="5" t="str">
        <f>HYPERLINK("https://dpmzos25m8ivg.cloudfront.net/Documentos/631/07689767583/6310768976758311092023000720.pdf","https://dpmzos25m8ivg.cloudfront.net/Documentos/631/07689767583/6310768976758311092023000720.pdf")</f>
        <v>https://dpmzos25m8ivg.cloudfront.net/Documentos/631/07689767583/6310768976758311092023000720.pdf</v>
      </c>
      <c r="G3759" s="5" t="str">
        <f>HYPERLINK("https://dpmzos25m8ivg.cloudfront.net/Documentos/631/07689767583/6310768976758311092023000730.pdf","https://dpmzos25m8ivg.cloudfront.net/Documentos/631/07689767583/6310768976758311092023000730.pdf")</f>
        <v>https://dpmzos25m8ivg.cloudfront.net/Documentos/631/07689767583/6310768976758311092023000730.pdf</v>
      </c>
      <c r="H3759" s="5" t="s">
        <v>12336</v>
      </c>
    </row>
    <row r="3760" spans="1:8" x14ac:dyDescent="0.25">
      <c r="A3760" s="14" t="s">
        <v>3780</v>
      </c>
      <c r="B3760" s="3"/>
      <c r="C3760" s="3"/>
      <c r="D3760" s="3"/>
      <c r="E3760" s="5" t="str">
        <f>HYPERLINK("https://dpmzos25m8ivg.cloudfront.net/Documentos/631/07692605602/6310769260560210092023231410.jpeg","https://dpmzos25m8ivg.cloudfront.net/Documentos/631/07692605602/6310769260560210092023231410.jpeg")</f>
        <v>https://dpmzos25m8ivg.cloudfront.net/Documentos/631/07692605602/6310769260560210092023231410.jpeg</v>
      </c>
      <c r="F3760" s="5" t="str">
        <f>HYPERLINK("https://dpmzos25m8ivg.cloudfront.net/Documentos/631/07692605602/6310769260560210092023231506.jpeg","https://dpmzos25m8ivg.cloudfront.net/Documentos/631/07692605602/6310769260560210092023231506.jpeg")</f>
        <v>https://dpmzos25m8ivg.cloudfront.net/Documentos/631/07692605602/6310769260560210092023231506.jpeg</v>
      </c>
      <c r="G3760" s="5" t="str">
        <f>HYPERLINK("https://dpmzos25m8ivg.cloudfront.net/Documentos/631/07692605602/6310769260560210092023231527.jpeg","https://dpmzos25m8ivg.cloudfront.net/Documentos/631/07692605602/6310769260560210092023231527.jpeg")</f>
        <v>https://dpmzos25m8ivg.cloudfront.net/Documentos/631/07692605602/6310769260560210092023231527.jpeg</v>
      </c>
      <c r="H3760" s="5" t="s">
        <v>12337</v>
      </c>
    </row>
    <row r="3761" spans="1:8" x14ac:dyDescent="0.25">
      <c r="A3761" s="14" t="s">
        <v>3781</v>
      </c>
      <c r="B3761" s="3"/>
      <c r="C3761" s="3"/>
      <c r="D3761" s="3"/>
      <c r="E3761" s="5" t="str">
        <f>HYPERLINK("https://dpmzos25m8ivg.cloudfront.net/Documentos/631/07693094610/6310769309461005092023142411.pdf","https://dpmzos25m8ivg.cloudfront.net/Documentos/631/07693094610/6310769309461005092023142411.pdf")</f>
        <v>https://dpmzos25m8ivg.cloudfront.net/Documentos/631/07693094610/6310769309461005092023142411.pdf</v>
      </c>
      <c r="F3761" s="5" t="str">
        <f>HYPERLINK("https://dpmzos25m8ivg.cloudfront.net/Documentos/631/07693094610/6310769309461005092023142422.pdf","https://dpmzos25m8ivg.cloudfront.net/Documentos/631/07693094610/6310769309461005092023142422.pdf")</f>
        <v>https://dpmzos25m8ivg.cloudfront.net/Documentos/631/07693094610/6310769309461005092023142422.pdf</v>
      </c>
      <c r="G3761" s="5" t="str">
        <f>HYPERLINK("https://dpmzos25m8ivg.cloudfront.net/Documentos/631/07693094610/6310769309461005092023142431.pdf","https://dpmzos25m8ivg.cloudfront.net/Documentos/631/07693094610/6310769309461005092023142431.pdf")</f>
        <v>https://dpmzos25m8ivg.cloudfront.net/Documentos/631/07693094610/6310769309461005092023142431.pdf</v>
      </c>
      <c r="H3761" s="5" t="s">
        <v>12338</v>
      </c>
    </row>
    <row r="3762" spans="1:8" x14ac:dyDescent="0.25">
      <c r="A3762" s="14" t="s">
        <v>3782</v>
      </c>
      <c r="B3762" s="3"/>
      <c r="C3762" s="3"/>
      <c r="D3762" s="3"/>
      <c r="E3762" s="5" t="str">
        <f>HYPERLINK("https://dpmzos25m8ivg.cloudfront.net/Documentos/631/07700793697/6310770079369705092023142719.jpg","https://dpmzos25m8ivg.cloudfront.net/Documentos/631/07700793697/6310770079369705092023142719.jpg")</f>
        <v>https://dpmzos25m8ivg.cloudfront.net/Documentos/631/07700793697/6310770079369705092023142719.jpg</v>
      </c>
      <c r="F3762" s="5" t="str">
        <f>HYPERLINK("https://dpmzos25m8ivg.cloudfront.net/Documentos/631/07700793697/6310770079369705092023142742.jpg","https://dpmzos25m8ivg.cloudfront.net/Documentos/631/07700793697/6310770079369705092023142742.jpg")</f>
        <v>https://dpmzos25m8ivg.cloudfront.net/Documentos/631/07700793697/6310770079369705092023142742.jpg</v>
      </c>
      <c r="G3762" s="5" t="str">
        <f>HYPERLINK("https://dpmzos25m8ivg.cloudfront.net/Documentos/631/07700793697/6310770079369705092023142807.jpg","https://dpmzos25m8ivg.cloudfront.net/Documentos/631/07700793697/6310770079369705092023142807.jpg")</f>
        <v>https://dpmzos25m8ivg.cloudfront.net/Documentos/631/07700793697/6310770079369705092023142807.jpg</v>
      </c>
      <c r="H3762" s="5" t="s">
        <v>12339</v>
      </c>
    </row>
    <row r="3763" spans="1:8" x14ac:dyDescent="0.25">
      <c r="A3763" s="14" t="s">
        <v>3783</v>
      </c>
      <c r="B3763" s="3"/>
      <c r="C3763" s="3"/>
      <c r="D3763" s="3"/>
      <c r="E3763" s="5" t="str">
        <f>HYPERLINK("https://dpmzos25m8ivg.cloudfront.net/Documentos/631/07704225944/6310770422594406092023134334.pdf","https://dpmzos25m8ivg.cloudfront.net/Documentos/631/07704225944/6310770422594406092023134334.pdf")</f>
        <v>https://dpmzos25m8ivg.cloudfront.net/Documentos/631/07704225944/6310770422594406092023134334.pdf</v>
      </c>
      <c r="F3763" s="5" t="str">
        <f>HYPERLINK("https://dpmzos25m8ivg.cloudfront.net/Documentos/631/07704225944/6310770422594406092023134349.pdf","https://dpmzos25m8ivg.cloudfront.net/Documentos/631/07704225944/6310770422594406092023134349.pdf")</f>
        <v>https://dpmzos25m8ivg.cloudfront.net/Documentos/631/07704225944/6310770422594406092023134349.pdf</v>
      </c>
      <c r="G3763" s="5" t="str">
        <f>HYPERLINK("https://dpmzos25m8ivg.cloudfront.net/Documentos/631/07704225944/6310770422594406092023134358.pdf","https://dpmzos25m8ivg.cloudfront.net/Documentos/631/07704225944/6310770422594406092023134358.pdf")</f>
        <v>https://dpmzos25m8ivg.cloudfront.net/Documentos/631/07704225944/6310770422594406092023134358.pdf</v>
      </c>
      <c r="H3763" s="5" t="s">
        <v>12340</v>
      </c>
    </row>
    <row r="3764" spans="1:8" x14ac:dyDescent="0.25">
      <c r="A3764" s="2" t="s">
        <v>3784</v>
      </c>
      <c r="B3764" s="3" t="s">
        <v>3785</v>
      </c>
      <c r="C3764" s="3"/>
      <c r="D3764" s="3"/>
      <c r="E3764" s="5" t="str">
        <f>HYPERLINK("https://dpmzos25m8ivg.cloudfront.net/Documentos/631/07707870450/6310770787045011092023000403.pdf","https://dpmzos25m8ivg.cloudfront.net/Documentos/631/07707870450/6310770787045011092023000403.pdf")</f>
        <v>https://dpmzos25m8ivg.cloudfront.net/Documentos/631/07707870450/6310770787045011092023000403.pdf</v>
      </c>
      <c r="F3764" s="5" t="str">
        <f>HYPERLINK("https://dpmzos25m8ivg.cloudfront.net/Documentos/631/07707870450/6310770787045011092023000446.pdf","https://dpmzos25m8ivg.cloudfront.net/Documentos/631/07707870450/6310770787045011092023000446.pdf")</f>
        <v>https://dpmzos25m8ivg.cloudfront.net/Documentos/631/07707870450/6310770787045011092023000446.pdf</v>
      </c>
      <c r="G3764" s="5" t="str">
        <f>HYPERLINK("https://dpmzos25m8ivg.cloudfront.net/Documentos/631/07707870450/6310770787045011092023000514.pdf","https://dpmzos25m8ivg.cloudfront.net/Documentos/631/07707870450/6310770787045011092023000514.pdf")</f>
        <v>https://dpmzos25m8ivg.cloudfront.net/Documentos/631/07707870450/6310770787045011092023000514.pdf</v>
      </c>
      <c r="H3764" s="5" t="s">
        <v>12341</v>
      </c>
    </row>
    <row r="3765" spans="1:8" x14ac:dyDescent="0.25">
      <c r="A3765" s="2" t="s">
        <v>3786</v>
      </c>
      <c r="B3765" s="3" t="s">
        <v>3787</v>
      </c>
      <c r="C3765" s="3"/>
      <c r="D3765" s="3"/>
      <c r="E3765" s="5" t="str">
        <f>HYPERLINK("https://dpmzos25m8ivg.cloudfront.net/Documentos/631/07708710464/6310770871046406092023131909.jpg","https://dpmzos25m8ivg.cloudfront.net/Documentos/631/07708710464/6310770871046406092023131909.jpg")</f>
        <v>https://dpmzos25m8ivg.cloudfront.net/Documentos/631/07708710464/6310770871046406092023131909.jpg</v>
      </c>
      <c r="F3765" s="5" t="str">
        <f>HYPERLINK("https://dpmzos25m8ivg.cloudfront.net/Documentos/631/07708710464/6310770871046407092023140330.jpg","https://dpmzos25m8ivg.cloudfront.net/Documentos/631/07708710464/6310770871046407092023140330.jpg")</f>
        <v>https://dpmzos25m8ivg.cloudfront.net/Documentos/631/07708710464/6310770871046407092023140330.jpg</v>
      </c>
      <c r="G3765" s="5" t="str">
        <f>HYPERLINK("https://dpmzos25m8ivg.cloudfront.net/Documentos/631/07708710464/6310770871046407092023140425.jpg","https://dpmzos25m8ivg.cloudfront.net/Documentos/631/07708710464/6310770871046407092023140425.jpg")</f>
        <v>https://dpmzos25m8ivg.cloudfront.net/Documentos/631/07708710464/6310770871046407092023140425.jpg</v>
      </c>
      <c r="H3765" s="5" t="s">
        <v>12342</v>
      </c>
    </row>
    <row r="3766" spans="1:8" x14ac:dyDescent="0.25">
      <c r="A3766" s="14" t="s">
        <v>3788</v>
      </c>
      <c r="B3766" s="3"/>
      <c r="C3766" s="3"/>
      <c r="D3766" s="3"/>
      <c r="E3766" s="5" t="str">
        <f>HYPERLINK("https://dpmzos25m8ivg.cloudfront.net/Documentos/631/07711184573/6310771118457311092023114808.pdf","https://dpmzos25m8ivg.cloudfront.net/Documentos/631/07711184573/6310771118457311092023114808.pdf")</f>
        <v>https://dpmzos25m8ivg.cloudfront.net/Documentos/631/07711184573/6310771118457311092023114808.pdf</v>
      </c>
      <c r="F3766" s="5" t="str">
        <f>HYPERLINK("https://dpmzos25m8ivg.cloudfront.net/Documentos/631/07711184573/6310771118457311092023114816.pdf","https://dpmzos25m8ivg.cloudfront.net/Documentos/631/07711184573/6310771118457311092023114816.pdf")</f>
        <v>https://dpmzos25m8ivg.cloudfront.net/Documentos/631/07711184573/6310771118457311092023114816.pdf</v>
      </c>
      <c r="G3766" s="5" t="str">
        <f>HYPERLINK("https://dpmzos25m8ivg.cloudfront.net/Documentos/631/07711184573/6310771118457311092023114825.pdf","https://dpmzos25m8ivg.cloudfront.net/Documentos/631/07711184573/6310771118457311092023114825.pdf")</f>
        <v>https://dpmzos25m8ivg.cloudfront.net/Documentos/631/07711184573/6310771118457311092023114825.pdf</v>
      </c>
      <c r="H3766" s="5" t="s">
        <v>12343</v>
      </c>
    </row>
    <row r="3767" spans="1:8" x14ac:dyDescent="0.25">
      <c r="A3767" s="2" t="s">
        <v>3789</v>
      </c>
      <c r="B3767" s="19" t="s">
        <v>3785</v>
      </c>
      <c r="C3767" s="3"/>
      <c r="D3767" s="3"/>
      <c r="E3767" s="5" t="str">
        <f>HYPERLINK("https://dpmzos25m8ivg.cloudfront.net/Documentos/631/07715249351/6310771524935105092023211756.pdf","https://dpmzos25m8ivg.cloudfront.net/Documentos/631/07715249351/6310771524935105092023211756.pdf")</f>
        <v>https://dpmzos25m8ivg.cloudfront.net/Documentos/631/07715249351/6310771524935105092023211756.pdf</v>
      </c>
      <c r="F3767" s="5" t="str">
        <f>HYPERLINK("https://dpmzos25m8ivg.cloudfront.net/Documentos/631/07715249351/6310771524935105092023211906.pdf","https://dpmzos25m8ivg.cloudfront.net/Documentos/631/07715249351/6310771524935105092023211906.pdf")</f>
        <v>https://dpmzos25m8ivg.cloudfront.net/Documentos/631/07715249351/6310771524935105092023211906.pdf</v>
      </c>
      <c r="G3767" s="5" t="str">
        <f>HYPERLINK("https://dpmzos25m8ivg.cloudfront.net/Documentos/631/07715249351/6310771524935105092023211807.pdf","https://dpmzos25m8ivg.cloudfront.net/Documentos/631/07715249351/6310771524935105092023211807.pdf")</f>
        <v>https://dpmzos25m8ivg.cloudfront.net/Documentos/631/07715249351/6310771524935105092023211807.pdf</v>
      </c>
      <c r="H3767" s="5" t="s">
        <v>12344</v>
      </c>
    </row>
    <row r="3768" spans="1:8" x14ac:dyDescent="0.25">
      <c r="A3768" s="14" t="s">
        <v>3790</v>
      </c>
      <c r="B3768" s="3"/>
      <c r="C3768" s="3"/>
      <c r="D3768" s="3"/>
      <c r="E3768" s="5" t="str">
        <f>HYPERLINK("https://dpmzos25m8ivg.cloudfront.net/Documentos/631/07717798522/6310771779852211092023132815.pdf","https://dpmzos25m8ivg.cloudfront.net/Documentos/631/07717798522/6310771779852211092023132815.pdf")</f>
        <v>https://dpmzos25m8ivg.cloudfront.net/Documentos/631/07717798522/6310771779852211092023132815.pdf</v>
      </c>
      <c r="F3768" s="5" t="str">
        <f>HYPERLINK("https://dpmzos25m8ivg.cloudfront.net/Documentos/631/07717798522/6310771779852211092023132833.pdf","https://dpmzos25m8ivg.cloudfront.net/Documentos/631/07717798522/6310771779852211092023132833.pdf")</f>
        <v>https://dpmzos25m8ivg.cloudfront.net/Documentos/631/07717798522/6310771779852211092023132833.pdf</v>
      </c>
      <c r="G3768" s="5" t="str">
        <f>HYPERLINK("https://dpmzos25m8ivg.cloudfront.net/Documentos/631/07717798522/6310771779852211092023132845.pdf","https://dpmzos25m8ivg.cloudfront.net/Documentos/631/07717798522/6310771779852211092023132845.pdf")</f>
        <v>https://dpmzos25m8ivg.cloudfront.net/Documentos/631/07717798522/6310771779852211092023132845.pdf</v>
      </c>
      <c r="H3768" s="5" t="s">
        <v>12345</v>
      </c>
    </row>
    <row r="3769" spans="1:8" x14ac:dyDescent="0.25">
      <c r="A3769" s="14" t="s">
        <v>3791</v>
      </c>
      <c r="B3769" s="3"/>
      <c r="C3769" s="3"/>
      <c r="D3769" s="3"/>
      <c r="E3769" s="5" t="str">
        <f>HYPERLINK("https://dpmzos25m8ivg.cloudfront.net/Documentos/631/07718762467/6310771876246705092023143233.pdf","https://dpmzos25m8ivg.cloudfront.net/Documentos/631/07718762467/6310771876246705092023143233.pdf")</f>
        <v>https://dpmzos25m8ivg.cloudfront.net/Documentos/631/07718762467/6310771876246705092023143233.pdf</v>
      </c>
      <c r="F3769" s="5" t="str">
        <f>HYPERLINK("https://dpmzos25m8ivg.cloudfront.net/Documentos/631/07718762467/6310771876246705092023143246.pdf","https://dpmzos25m8ivg.cloudfront.net/Documentos/631/07718762467/6310771876246705092023143246.pdf")</f>
        <v>https://dpmzos25m8ivg.cloudfront.net/Documentos/631/07718762467/6310771876246705092023143246.pdf</v>
      </c>
      <c r="G3769" s="5" t="str">
        <f>HYPERLINK("https://dpmzos25m8ivg.cloudfront.net/Documentos/631/07718762467/6310771876246705092023143257.pdf","https://dpmzos25m8ivg.cloudfront.net/Documentos/631/07718762467/6310771876246705092023143257.pdf")</f>
        <v>https://dpmzos25m8ivg.cloudfront.net/Documentos/631/07718762467/6310771876246705092023143257.pdf</v>
      </c>
      <c r="H3769" s="5" t="s">
        <v>12346</v>
      </c>
    </row>
    <row r="3770" spans="1:8" x14ac:dyDescent="0.25">
      <c r="A3770" s="14" t="s">
        <v>3792</v>
      </c>
      <c r="B3770" s="3"/>
      <c r="C3770" s="3"/>
      <c r="D3770" s="3"/>
      <c r="E3770" s="5" t="str">
        <f>HYPERLINK("https://dpmzos25m8ivg.cloudfront.net/Documentos/631/07719913558/6310771991355811092023164742.jpg","https://dpmzos25m8ivg.cloudfront.net/Documentos/631/07719913558/6310771991355811092023164742.jpg")</f>
        <v>https://dpmzos25m8ivg.cloudfront.net/Documentos/631/07719913558/6310771991355811092023164742.jpg</v>
      </c>
      <c r="F3770" s="5" t="str">
        <f>HYPERLINK("https://dpmzos25m8ivg.cloudfront.net/Documentos/631/07719913558/6310771991355811092023164752.jpg","https://dpmzos25m8ivg.cloudfront.net/Documentos/631/07719913558/6310771991355811092023164752.jpg")</f>
        <v>https://dpmzos25m8ivg.cloudfront.net/Documentos/631/07719913558/6310771991355811092023164752.jpg</v>
      </c>
      <c r="G3770" s="5" t="str">
        <f>HYPERLINK("https://dpmzos25m8ivg.cloudfront.net/Documentos/631/07719913558/6310771991355811092023164759.jpg","https://dpmzos25m8ivg.cloudfront.net/Documentos/631/07719913558/6310771991355811092023164759.jpg")</f>
        <v>https://dpmzos25m8ivg.cloudfront.net/Documentos/631/07719913558/6310771991355811092023164759.jpg</v>
      </c>
      <c r="H3770" s="5" t="s">
        <v>12347</v>
      </c>
    </row>
    <row r="3771" spans="1:8" x14ac:dyDescent="0.25">
      <c r="A3771" s="14" t="s">
        <v>3793</v>
      </c>
      <c r="B3771" s="3"/>
      <c r="C3771" s="3"/>
      <c r="D3771" s="3"/>
      <c r="E3771" s="5" t="str">
        <f>HYPERLINK("https://dpmzos25m8ivg.cloudfront.net/Documentos/631/07720969960/6310772096996011092023120321.jpg","https://dpmzos25m8ivg.cloudfront.net/Documentos/631/07720969960/6310772096996011092023120321.jpg")</f>
        <v>https://dpmzos25m8ivg.cloudfront.net/Documentos/631/07720969960/6310772096996011092023120321.jpg</v>
      </c>
      <c r="F3771" s="5" t="str">
        <f>HYPERLINK("https://dpmzos25m8ivg.cloudfront.net/Documentos/631/07720969960/6310772096996011092023120333.jpg","https://dpmzos25m8ivg.cloudfront.net/Documentos/631/07720969960/6310772096996011092023120333.jpg")</f>
        <v>https://dpmzos25m8ivg.cloudfront.net/Documentos/631/07720969960/6310772096996011092023120333.jpg</v>
      </c>
      <c r="G3771" s="5" t="str">
        <f>HYPERLINK("https://dpmzos25m8ivg.cloudfront.net/Documentos/631/07720969960/6310772096996011092023120344.jpg","https://dpmzos25m8ivg.cloudfront.net/Documentos/631/07720969960/6310772096996011092023120344.jpg")</f>
        <v>https://dpmzos25m8ivg.cloudfront.net/Documentos/631/07720969960/6310772096996011092023120344.jpg</v>
      </c>
      <c r="H3771" s="5" t="s">
        <v>12348</v>
      </c>
    </row>
    <row r="3772" spans="1:8" x14ac:dyDescent="0.25">
      <c r="A3772" s="14" t="s">
        <v>3794</v>
      </c>
      <c r="B3772" s="3"/>
      <c r="C3772" s="3"/>
      <c r="D3772" s="3"/>
      <c r="E3772" s="5" t="str">
        <f>HYPERLINK("https://dpmzos25m8ivg.cloudfront.net/Documentos/631/07721391563/6310772139156308092023183042.pdf","https://dpmzos25m8ivg.cloudfront.net/Documentos/631/07721391563/6310772139156308092023183042.pdf")</f>
        <v>https://dpmzos25m8ivg.cloudfront.net/Documentos/631/07721391563/6310772139156308092023183042.pdf</v>
      </c>
      <c r="F3772" s="5" t="str">
        <f>HYPERLINK("https://dpmzos25m8ivg.cloudfront.net/Documentos/631/07721391563/6310772139156308092023183051.pdf","https://dpmzos25m8ivg.cloudfront.net/Documentos/631/07721391563/6310772139156308092023183051.pdf")</f>
        <v>https://dpmzos25m8ivg.cloudfront.net/Documentos/631/07721391563/6310772139156308092023183051.pdf</v>
      </c>
      <c r="G3772" s="5" t="str">
        <f>HYPERLINK("https://dpmzos25m8ivg.cloudfront.net/Documentos/631/07721391563/6310772139156308092023183100.pdf","https://dpmzos25m8ivg.cloudfront.net/Documentos/631/07721391563/6310772139156308092023183100.pdf")</f>
        <v>https://dpmzos25m8ivg.cloudfront.net/Documentos/631/07721391563/6310772139156308092023183100.pdf</v>
      </c>
      <c r="H3772" s="5" t="s">
        <v>12349</v>
      </c>
    </row>
    <row r="3773" spans="1:8" x14ac:dyDescent="0.25">
      <c r="A3773" s="14" t="s">
        <v>3795</v>
      </c>
      <c r="B3773" s="3"/>
      <c r="C3773" s="3"/>
      <c r="D3773" s="3"/>
      <c r="E3773" s="5" t="str">
        <f>HYPERLINK("https://dpmzos25m8ivg.cloudfront.net/Documentos/631/07721497558/6310772149755805092023224020.jpg","https://dpmzos25m8ivg.cloudfront.net/Documentos/631/07721497558/6310772149755805092023224020.jpg")</f>
        <v>https://dpmzos25m8ivg.cloudfront.net/Documentos/631/07721497558/6310772149755805092023224020.jpg</v>
      </c>
      <c r="F3773" s="5" t="str">
        <f>HYPERLINK("https://dpmzos25m8ivg.cloudfront.net/Documentos/631/07721497558/6310772149755805092023224241.jpg","https://dpmzos25m8ivg.cloudfront.net/Documentos/631/07721497558/6310772149755805092023224241.jpg")</f>
        <v>https://dpmzos25m8ivg.cloudfront.net/Documentos/631/07721497558/6310772149755805092023224241.jpg</v>
      </c>
      <c r="G3773" s="5" t="str">
        <f>HYPERLINK("https://dpmzos25m8ivg.cloudfront.net/Documentos/631/07721497558/6310772149755805092023224426.jpg","https://dpmzos25m8ivg.cloudfront.net/Documentos/631/07721497558/6310772149755805092023224426.jpg")</f>
        <v>https://dpmzos25m8ivg.cloudfront.net/Documentos/631/07721497558/6310772149755805092023224426.jpg</v>
      </c>
      <c r="H3773" s="5" t="s">
        <v>12350</v>
      </c>
    </row>
    <row r="3774" spans="1:8" x14ac:dyDescent="0.25">
      <c r="A3774" s="14" t="s">
        <v>3796</v>
      </c>
      <c r="B3774" s="3"/>
      <c r="C3774" s="3"/>
      <c r="D3774" s="3"/>
      <c r="E3774" s="5" t="str">
        <f>HYPERLINK("https://dpmzos25m8ivg.cloudfront.net/Documentos/631/07726976390/6310772697639009092023161209.jpg","https://dpmzos25m8ivg.cloudfront.net/Documentos/631/07726976390/6310772697639009092023161209.jpg")</f>
        <v>https://dpmzos25m8ivg.cloudfront.net/Documentos/631/07726976390/6310772697639009092023161209.jpg</v>
      </c>
      <c r="F3774" s="5" t="str">
        <f>HYPERLINK("https://dpmzos25m8ivg.cloudfront.net/Documentos/631/07726976390/6310772697639009092023161220.jpg","https://dpmzos25m8ivg.cloudfront.net/Documentos/631/07726976390/6310772697639009092023161220.jpg")</f>
        <v>https://dpmzos25m8ivg.cloudfront.net/Documentos/631/07726976390/6310772697639009092023161220.jpg</v>
      </c>
      <c r="G3774" s="5" t="str">
        <f>HYPERLINK("https://dpmzos25m8ivg.cloudfront.net/Documentos/631/07726976390/6310772697639009092023161234.jpg","https://dpmzos25m8ivg.cloudfront.net/Documentos/631/07726976390/6310772697639009092023161234.jpg")</f>
        <v>https://dpmzos25m8ivg.cloudfront.net/Documentos/631/07726976390/6310772697639009092023161234.jpg</v>
      </c>
      <c r="H3774" s="5" t="s">
        <v>12351</v>
      </c>
    </row>
    <row r="3775" spans="1:8" x14ac:dyDescent="0.25">
      <c r="A3775" s="2" t="s">
        <v>3797</v>
      </c>
      <c r="B3775" s="19" t="s">
        <v>3785</v>
      </c>
      <c r="C3775" s="3"/>
      <c r="D3775" s="3"/>
      <c r="E3775" s="5" t="str">
        <f>HYPERLINK("https://dpmzos25m8ivg.cloudfront.net/Documentos/631/07730135558/6310773013555808092023185615.pdf","https://dpmzos25m8ivg.cloudfront.net/Documentos/631/07730135558/6310773013555808092023185615.pdf")</f>
        <v>https://dpmzos25m8ivg.cloudfront.net/Documentos/631/07730135558/6310773013555808092023185615.pdf</v>
      </c>
      <c r="F3775" s="5" t="str">
        <f>HYPERLINK("https://dpmzos25m8ivg.cloudfront.net/Documentos/631/07730135558/6310773013555808092023185630.pdf","https://dpmzos25m8ivg.cloudfront.net/Documentos/631/07730135558/6310773013555808092023185630.pdf")</f>
        <v>https://dpmzos25m8ivg.cloudfront.net/Documentos/631/07730135558/6310773013555808092023185630.pdf</v>
      </c>
      <c r="G3775" s="5" t="str">
        <f>HYPERLINK("https://dpmzos25m8ivg.cloudfront.net/Documentos/631/07730135558/6310773013555808092023185652.pdf","https://dpmzos25m8ivg.cloudfront.net/Documentos/631/07730135558/6310773013555808092023185652.pdf")</f>
        <v>https://dpmzos25m8ivg.cloudfront.net/Documentos/631/07730135558/6310773013555808092023185652.pdf</v>
      </c>
      <c r="H3775" s="5" t="s">
        <v>12352</v>
      </c>
    </row>
    <row r="3776" spans="1:8" x14ac:dyDescent="0.25">
      <c r="A3776" s="14" t="s">
        <v>3798</v>
      </c>
      <c r="B3776" s="3"/>
      <c r="C3776" s="3"/>
      <c r="D3776" s="3"/>
      <c r="E3776" s="5" t="str">
        <f>HYPERLINK("https://dpmzos25m8ivg.cloudfront.net/Documentos/631/07730945550/6310773094555011092023145716.pdf","https://dpmzos25m8ivg.cloudfront.net/Documentos/631/07730945550/6310773094555011092023145716.pdf")</f>
        <v>https://dpmzos25m8ivg.cloudfront.net/Documentos/631/07730945550/6310773094555011092023145716.pdf</v>
      </c>
      <c r="F3776" s="5" t="str">
        <f>HYPERLINK("https://dpmzos25m8ivg.cloudfront.net/Documentos/631/07730945550/6310773094555011092023145726.pdf","https://dpmzos25m8ivg.cloudfront.net/Documentos/631/07730945550/6310773094555011092023145726.pdf")</f>
        <v>https://dpmzos25m8ivg.cloudfront.net/Documentos/631/07730945550/6310773094555011092023145726.pdf</v>
      </c>
      <c r="G3776" s="5" t="str">
        <f>HYPERLINK("https://dpmzos25m8ivg.cloudfront.net/Documentos/631/07730945550/6310773094555011092023145737.pdf","https://dpmzos25m8ivg.cloudfront.net/Documentos/631/07730945550/6310773094555011092023145737.pdf")</f>
        <v>https://dpmzos25m8ivg.cloudfront.net/Documentos/631/07730945550/6310773094555011092023145737.pdf</v>
      </c>
      <c r="H3776" s="5" t="s">
        <v>12353</v>
      </c>
    </row>
    <row r="3777" spans="1:8" x14ac:dyDescent="0.25">
      <c r="A3777" s="14" t="s">
        <v>3799</v>
      </c>
      <c r="B3777" s="3" t="s">
        <v>8</v>
      </c>
      <c r="C3777" s="3"/>
      <c r="D3777" s="3"/>
      <c r="E3777" s="5" t="str">
        <f>HYPERLINK("https://dpmzos25m8ivg.cloudfront.net/Documentos/631/07731797805/6310773179780511092023114641.pdf","https://dpmzos25m8ivg.cloudfront.net/Documentos/631/07731797805/6310773179780511092023114641.pdf")</f>
        <v>https://dpmzos25m8ivg.cloudfront.net/Documentos/631/07731797805/6310773179780511092023114641.pdf</v>
      </c>
      <c r="F3777" s="5" t="str">
        <f>HYPERLINK("https://dpmzos25m8ivg.cloudfront.net/Documentos/631/07731797805/6310773179780511092023114714.pdf","https://dpmzos25m8ivg.cloudfront.net/Documentos/631/07731797805/6310773179780511092023114714.pdf")</f>
        <v>https://dpmzos25m8ivg.cloudfront.net/Documentos/631/07731797805/6310773179780511092023114714.pdf</v>
      </c>
      <c r="G3777" s="5" t="str">
        <f>HYPERLINK("https://dpmzos25m8ivg.cloudfront.net/Documentos/631/07731797805/6310773179780511092023114735.pdf","https://dpmzos25m8ivg.cloudfront.net/Documentos/631/07731797805/6310773179780511092023114735.pdf")</f>
        <v>https://dpmzos25m8ivg.cloudfront.net/Documentos/631/07731797805/6310773179780511092023114735.pdf</v>
      </c>
      <c r="H3777" s="5" t="s">
        <v>12354</v>
      </c>
    </row>
    <row r="3778" spans="1:8" x14ac:dyDescent="0.25">
      <c r="A3778" s="14" t="s">
        <v>3800</v>
      </c>
      <c r="B3778" s="3" t="s">
        <v>3385</v>
      </c>
      <c r="C3778" s="3"/>
      <c r="D3778" s="3"/>
      <c r="E3778" s="5" t="str">
        <f>HYPERLINK("https://dpmzos25m8ivg.cloudfront.net/Documentos/631/07734197566/6310773419756605092023190209.jpeg","https://dpmzos25m8ivg.cloudfront.net/Documentos/631/07734197566/6310773419756605092023190209.jpeg")</f>
        <v>https://dpmzos25m8ivg.cloudfront.net/Documentos/631/07734197566/6310773419756605092023190209.jpeg</v>
      </c>
      <c r="F3778" s="5" t="str">
        <f>HYPERLINK("https://dpmzos25m8ivg.cloudfront.net/Documentos/631/07734197566/6310773419756605092023190220.jpeg","https://dpmzos25m8ivg.cloudfront.net/Documentos/631/07734197566/6310773419756605092023190220.jpeg")</f>
        <v>https://dpmzos25m8ivg.cloudfront.net/Documentos/631/07734197566/6310773419756605092023190220.jpeg</v>
      </c>
      <c r="G3778" s="5" t="str">
        <f>HYPERLINK("https://dpmzos25m8ivg.cloudfront.net/Documentos/631/07734197566/6310773419756605092023190235.jpeg","https://dpmzos25m8ivg.cloudfront.net/Documentos/631/07734197566/6310773419756605092023190235.jpeg")</f>
        <v>https://dpmzos25m8ivg.cloudfront.net/Documentos/631/07734197566/6310773419756605092023190235.jpeg</v>
      </c>
      <c r="H3778" s="5" t="s">
        <v>12355</v>
      </c>
    </row>
    <row r="3779" spans="1:8" x14ac:dyDescent="0.25">
      <c r="A3779" s="14" t="s">
        <v>3801</v>
      </c>
      <c r="B3779" s="3"/>
      <c r="C3779" s="3"/>
      <c r="D3779" s="3"/>
      <c r="E3779" s="5" t="str">
        <f>HYPERLINK("https://dpmzos25m8ivg.cloudfront.net/Documentos/631/07736644594/6310773664459411092023114527.jpg","https://dpmzos25m8ivg.cloudfront.net/Documentos/631/07736644594/6310773664459411092023114527.jpg")</f>
        <v>https://dpmzos25m8ivg.cloudfront.net/Documentos/631/07736644594/6310773664459411092023114527.jpg</v>
      </c>
      <c r="F3779" s="5" t="str">
        <f>HYPERLINK("https://dpmzos25m8ivg.cloudfront.net/Documentos/631/07736644594/6310773664459411092023114544.jpg","https://dpmzos25m8ivg.cloudfront.net/Documentos/631/07736644594/6310773664459411092023114544.jpg")</f>
        <v>https://dpmzos25m8ivg.cloudfront.net/Documentos/631/07736644594/6310773664459411092023114544.jpg</v>
      </c>
      <c r="G3779" s="5" t="str">
        <f>HYPERLINK("https://dpmzos25m8ivg.cloudfront.net/Documentos/631/07736644594/6310773664459411092023114558.jpg","https://dpmzos25m8ivg.cloudfront.net/Documentos/631/07736644594/6310773664459411092023114558.jpg")</f>
        <v>https://dpmzos25m8ivg.cloudfront.net/Documentos/631/07736644594/6310773664459411092023114558.jpg</v>
      </c>
      <c r="H3779" s="5" t="s">
        <v>12356</v>
      </c>
    </row>
    <row r="3780" spans="1:8" x14ac:dyDescent="0.25">
      <c r="A3780" s="14" t="s">
        <v>3802</v>
      </c>
      <c r="B3780" s="3"/>
      <c r="C3780" s="3"/>
      <c r="D3780" s="3"/>
      <c r="E3780" s="5" t="str">
        <f>HYPERLINK("https://dpmzos25m8ivg.cloudfront.net/Documentos/631/07739852635/6310773985263507092023165419.pdf","https://dpmzos25m8ivg.cloudfront.net/Documentos/631/07739852635/6310773985263507092023165419.pdf")</f>
        <v>https://dpmzos25m8ivg.cloudfront.net/Documentos/631/07739852635/6310773985263507092023165419.pdf</v>
      </c>
      <c r="F3780" s="5" t="str">
        <f>HYPERLINK("https://dpmzos25m8ivg.cloudfront.net/Documentos/631/07739852635/6310773985263507092023165440.pdf","https://dpmzos25m8ivg.cloudfront.net/Documentos/631/07739852635/6310773985263507092023165440.pdf")</f>
        <v>https://dpmzos25m8ivg.cloudfront.net/Documentos/631/07739852635/6310773985263507092023165440.pdf</v>
      </c>
      <c r="G3780" s="5" t="str">
        <f>HYPERLINK("https://dpmzos25m8ivg.cloudfront.net/Documentos/631/07739852635/6310773985263507092023165456.pdf","https://dpmzos25m8ivg.cloudfront.net/Documentos/631/07739852635/6310773985263507092023165456.pdf")</f>
        <v>https://dpmzos25m8ivg.cloudfront.net/Documentos/631/07739852635/6310773985263507092023165456.pdf</v>
      </c>
      <c r="H3780" s="5" t="s">
        <v>12357</v>
      </c>
    </row>
    <row r="3781" spans="1:8" x14ac:dyDescent="0.25">
      <c r="A3781" s="14" t="s">
        <v>3803</v>
      </c>
      <c r="B3781" s="3"/>
      <c r="C3781" s="3"/>
      <c r="D3781" s="3"/>
      <c r="E3781" s="5" t="str">
        <f>HYPERLINK("https://dpmzos25m8ivg.cloudfront.net/Documentos/631/07740003506/6310774000350614092023161522.pdf","https://dpmzos25m8ivg.cloudfront.net/Documentos/631/07740003506/6310774000350614092023161522.pdf")</f>
        <v>https://dpmzos25m8ivg.cloudfront.net/Documentos/631/07740003506/6310774000350614092023161522.pdf</v>
      </c>
      <c r="F3781" s="5" t="str">
        <f>HYPERLINK("https://dpmzos25m8ivg.cloudfront.net/Documentos/631/07740003506/6310774000350614092023161544.pdf","https://dpmzos25m8ivg.cloudfront.net/Documentos/631/07740003506/6310774000350614092023161544.pdf")</f>
        <v>https://dpmzos25m8ivg.cloudfront.net/Documentos/631/07740003506/6310774000350614092023161544.pdf</v>
      </c>
      <c r="G3781" s="5" t="str">
        <f>HYPERLINK("https://dpmzos25m8ivg.cloudfront.net/Documentos/631/07740003506/6310774000350614092023161558.pdf","https://dpmzos25m8ivg.cloudfront.net/Documentos/631/07740003506/6310774000350614092023161558.pdf")</f>
        <v>https://dpmzos25m8ivg.cloudfront.net/Documentos/631/07740003506/6310774000350614092023161558.pdf</v>
      </c>
      <c r="H3781" s="5" t="s">
        <v>12358</v>
      </c>
    </row>
    <row r="3782" spans="1:8" x14ac:dyDescent="0.25">
      <c r="A3782" s="2" t="s">
        <v>3804</v>
      </c>
      <c r="B3782" s="19" t="s">
        <v>3785</v>
      </c>
      <c r="C3782" s="3"/>
      <c r="D3782" s="3"/>
      <c r="E3782" s="5" t="str">
        <f>HYPERLINK("https://dpmzos25m8ivg.cloudfront.net/Documentos/631/07742540762/6310774254076211092023155204.pdf","https://dpmzos25m8ivg.cloudfront.net/Documentos/631/07742540762/6310774254076211092023155204.pdf")</f>
        <v>https://dpmzos25m8ivg.cloudfront.net/Documentos/631/07742540762/6310774254076211092023155204.pdf</v>
      </c>
      <c r="F3782" s="5" t="str">
        <f>HYPERLINK("https://dpmzos25m8ivg.cloudfront.net/Documentos/631/07742540762/6310774254076211092023155229.pdf","https://dpmzos25m8ivg.cloudfront.net/Documentos/631/07742540762/6310774254076211092023155229.pdf")</f>
        <v>https://dpmzos25m8ivg.cloudfront.net/Documentos/631/07742540762/6310774254076211092023155229.pdf</v>
      </c>
      <c r="G3782" s="5" t="str">
        <f>HYPERLINK("https://dpmzos25m8ivg.cloudfront.net/Documentos/631/07742540762/6310774254076211092023155255.pdf","https://dpmzos25m8ivg.cloudfront.net/Documentos/631/07742540762/6310774254076211092023155255.pdf")</f>
        <v>https://dpmzos25m8ivg.cloudfront.net/Documentos/631/07742540762/6310774254076211092023155255.pdf</v>
      </c>
      <c r="H3782" s="5" t="s">
        <v>12359</v>
      </c>
    </row>
    <row r="3783" spans="1:8" x14ac:dyDescent="0.25">
      <c r="A3783" s="14" t="s">
        <v>3805</v>
      </c>
      <c r="B3783" s="3"/>
      <c r="C3783" s="3"/>
      <c r="D3783" s="3"/>
      <c r="E3783" s="5" t="str">
        <f>HYPERLINK("https://dpmzos25m8ivg.cloudfront.net/Documentos/631/07744180100/6310774418010005092023161426.pdf","https://dpmzos25m8ivg.cloudfront.net/Documentos/631/07744180100/6310774418010005092023161426.pdf")</f>
        <v>https://dpmzos25m8ivg.cloudfront.net/Documentos/631/07744180100/6310774418010005092023161426.pdf</v>
      </c>
      <c r="F3783" s="5" t="str">
        <f>HYPERLINK("https://dpmzos25m8ivg.cloudfront.net/Documentos/631/07744180100/6310774418010005092023161436.pdf","https://dpmzos25m8ivg.cloudfront.net/Documentos/631/07744180100/6310774418010005092023161436.pdf")</f>
        <v>https://dpmzos25m8ivg.cloudfront.net/Documentos/631/07744180100/6310774418010005092023161436.pdf</v>
      </c>
      <c r="G3783" s="5" t="str">
        <f>HYPERLINK("https://dpmzos25m8ivg.cloudfront.net/Documentos/631/07744180100/6310774418010005092023161453.pdf","https://dpmzos25m8ivg.cloudfront.net/Documentos/631/07744180100/6310774418010005092023161453.pdf")</f>
        <v>https://dpmzos25m8ivg.cloudfront.net/Documentos/631/07744180100/6310774418010005092023161453.pdf</v>
      </c>
      <c r="H3783" s="5" t="s">
        <v>12360</v>
      </c>
    </row>
    <row r="3784" spans="1:8" x14ac:dyDescent="0.25">
      <c r="A3784" s="14" t="s">
        <v>3806</v>
      </c>
      <c r="B3784" s="3" t="s">
        <v>3385</v>
      </c>
      <c r="C3784" s="3"/>
      <c r="D3784" s="3"/>
      <c r="E3784" s="5" t="str">
        <f>HYPERLINK("https://dpmzos25m8ivg.cloudfront.net/Documentos/631/07744729366/6310774472936614092023111339.pdf","https://dpmzos25m8ivg.cloudfront.net/Documentos/631/07744729366/6310774472936614092023111339.pdf")</f>
        <v>https://dpmzos25m8ivg.cloudfront.net/Documentos/631/07744729366/6310774472936614092023111339.pdf</v>
      </c>
      <c r="F3784" s="5" t="str">
        <f>HYPERLINK("https://dpmzos25m8ivg.cloudfront.net/Documentos/631/07744729366/6310774472936614092023103822.pdf","https://dpmzos25m8ivg.cloudfront.net/Documentos/631/07744729366/6310774472936614092023103822.pdf")</f>
        <v>https://dpmzos25m8ivg.cloudfront.net/Documentos/631/07744729366/6310774472936614092023103822.pdf</v>
      </c>
      <c r="G3784" s="5" t="str">
        <f>HYPERLINK("https://dpmzos25m8ivg.cloudfront.net/Documentos/631/07744729366/6310774472936614092023103630.pdf","https://dpmzos25m8ivg.cloudfront.net/Documentos/631/07744729366/6310774472936614092023103630.pdf")</f>
        <v>https://dpmzos25m8ivg.cloudfront.net/Documentos/631/07744729366/6310774472936614092023103630.pdf</v>
      </c>
      <c r="H3784" s="5" t="s">
        <v>12361</v>
      </c>
    </row>
    <row r="3785" spans="1:8" x14ac:dyDescent="0.25">
      <c r="A3785" s="14" t="s">
        <v>3807</v>
      </c>
      <c r="B3785" s="3"/>
      <c r="C3785" s="3"/>
      <c r="D3785" s="3"/>
      <c r="E3785" s="5" t="str">
        <f>HYPERLINK("https://dpmzos25m8ivg.cloudfront.net/Documentos/631/07749841474/6310774984147414092023165133.pdf","https://dpmzos25m8ivg.cloudfront.net/Documentos/631/07749841474/6310774984147414092023165133.pdf")</f>
        <v>https://dpmzos25m8ivg.cloudfront.net/Documentos/631/07749841474/6310774984147414092023165133.pdf</v>
      </c>
      <c r="F3785" s="5" t="str">
        <f>HYPERLINK("https://dpmzos25m8ivg.cloudfront.net/Documentos/631/07749841474/6310774984147414092023165201.pdf","https://dpmzos25m8ivg.cloudfront.net/Documentos/631/07749841474/6310774984147414092023165201.pdf")</f>
        <v>https://dpmzos25m8ivg.cloudfront.net/Documentos/631/07749841474/6310774984147414092023165201.pdf</v>
      </c>
      <c r="G3785" s="5" t="str">
        <f>HYPERLINK("https://dpmzos25m8ivg.cloudfront.net/Documentos/631/07749841474/6310774984147414092023165238.pdf","https://dpmzos25m8ivg.cloudfront.net/Documentos/631/07749841474/6310774984147414092023165238.pdf")</f>
        <v>https://dpmzos25m8ivg.cloudfront.net/Documentos/631/07749841474/6310774984147414092023165238.pdf</v>
      </c>
      <c r="H3785" s="5" t="s">
        <v>12362</v>
      </c>
    </row>
    <row r="3786" spans="1:8" x14ac:dyDescent="0.25">
      <c r="A3786" s="14" t="s">
        <v>3808</v>
      </c>
      <c r="B3786" s="3"/>
      <c r="C3786" s="3"/>
      <c r="D3786" s="3"/>
      <c r="E3786" s="5" t="str">
        <f>HYPERLINK("https://dpmzos25m8ivg.cloudfront.net/Documentos/631/07750302956/6310775030295610092023180030.pdf","https://dpmzos25m8ivg.cloudfront.net/Documentos/631/07750302956/6310775030295610092023180030.pdf")</f>
        <v>https://dpmzos25m8ivg.cloudfront.net/Documentos/631/07750302956/6310775030295610092023180030.pdf</v>
      </c>
      <c r="F3786" s="5" t="str">
        <f>HYPERLINK("https://dpmzos25m8ivg.cloudfront.net/Documentos/631/07750302956/6310775030295610092023180040.pdf","https://dpmzos25m8ivg.cloudfront.net/Documentos/631/07750302956/6310775030295610092023180040.pdf")</f>
        <v>https://dpmzos25m8ivg.cloudfront.net/Documentos/631/07750302956/6310775030295610092023180040.pdf</v>
      </c>
      <c r="G3786" s="5" t="str">
        <f>HYPERLINK("https://dpmzos25m8ivg.cloudfront.net/Documentos/631/07750302956/6310775030295610092023180046.pdf","https://dpmzos25m8ivg.cloudfront.net/Documentos/631/07750302956/6310775030295610092023180046.pdf")</f>
        <v>https://dpmzos25m8ivg.cloudfront.net/Documentos/631/07750302956/6310775030295610092023180046.pdf</v>
      </c>
      <c r="H3786" s="5" t="s">
        <v>12363</v>
      </c>
    </row>
    <row r="3787" spans="1:8" x14ac:dyDescent="0.25">
      <c r="A3787" s="14" t="s">
        <v>3809</v>
      </c>
      <c r="B3787" s="3" t="s">
        <v>8</v>
      </c>
      <c r="C3787" s="3"/>
      <c r="D3787" s="3"/>
      <c r="E3787" s="5" t="str">
        <f>HYPERLINK("https://dpmzos25m8ivg.cloudfront.net/Documentos/631/07754872790/6310775487279006092023230039.pdf","https://dpmzos25m8ivg.cloudfront.net/Documentos/631/07754872790/6310775487279006092023230039.pdf")</f>
        <v>https://dpmzos25m8ivg.cloudfront.net/Documentos/631/07754872790/6310775487279006092023230039.pdf</v>
      </c>
      <c r="F3787" s="5" t="str">
        <f>HYPERLINK("https://dpmzos25m8ivg.cloudfront.net/Documentos/631/07754872790/6310775487279006092023230134.pdf","https://dpmzos25m8ivg.cloudfront.net/Documentos/631/07754872790/6310775487279006092023230134.pdf")</f>
        <v>https://dpmzos25m8ivg.cloudfront.net/Documentos/631/07754872790/6310775487279006092023230134.pdf</v>
      </c>
      <c r="G3787" s="5" t="str">
        <f>HYPERLINK("https://dpmzos25m8ivg.cloudfront.net/Documentos/631/07754872790/6310775487279006092023230108.pdf","https://dpmzos25m8ivg.cloudfront.net/Documentos/631/07754872790/6310775487279006092023230108.pdf")</f>
        <v>https://dpmzos25m8ivg.cloudfront.net/Documentos/631/07754872790/6310775487279006092023230108.pdf</v>
      </c>
      <c r="H3787" s="5" t="s">
        <v>12364</v>
      </c>
    </row>
    <row r="3788" spans="1:8" x14ac:dyDescent="0.25">
      <c r="A3788" s="14" t="s">
        <v>3810</v>
      </c>
      <c r="B3788" s="3" t="s">
        <v>3385</v>
      </c>
      <c r="C3788" s="3"/>
      <c r="D3788" s="3"/>
      <c r="E3788" s="5" t="str">
        <f>HYPERLINK("https://dpmzos25m8ivg.cloudfront.net/Documentos/631/07755768325/6310775576832507092023151453.pdf","https://dpmzos25m8ivg.cloudfront.net/Documentos/631/07755768325/6310775576832507092023151453.pdf")</f>
        <v>https://dpmzos25m8ivg.cloudfront.net/Documentos/631/07755768325/6310775576832507092023151453.pdf</v>
      </c>
      <c r="F3788" s="5" t="str">
        <f>HYPERLINK("https://dpmzos25m8ivg.cloudfront.net/Documentos/631/07755768325/6310775576832507092023151508.pdf","https://dpmzos25m8ivg.cloudfront.net/Documentos/631/07755768325/6310775576832507092023151508.pdf")</f>
        <v>https://dpmzos25m8ivg.cloudfront.net/Documentos/631/07755768325/6310775576832507092023151508.pdf</v>
      </c>
      <c r="G3788" s="5" t="str">
        <f>HYPERLINK("https://dpmzos25m8ivg.cloudfront.net/Documentos/631/07755768325/6310775576832507092023151521.pdf","https://dpmzos25m8ivg.cloudfront.net/Documentos/631/07755768325/6310775576832507092023151521.pdf")</f>
        <v>https://dpmzos25m8ivg.cloudfront.net/Documentos/631/07755768325/6310775576832507092023151521.pdf</v>
      </c>
      <c r="H3788" s="5" t="s">
        <v>12365</v>
      </c>
    </row>
    <row r="3789" spans="1:8" x14ac:dyDescent="0.25">
      <c r="A3789" s="14" t="s">
        <v>3811</v>
      </c>
      <c r="B3789" s="3" t="s">
        <v>3385</v>
      </c>
      <c r="C3789" s="3"/>
      <c r="D3789" s="3"/>
      <c r="E3789" s="5" t="str">
        <f>HYPERLINK("https://dpmzos25m8ivg.cloudfront.net/Documentos/631/07755818365/6310775581836507092023155057.pdf","https://dpmzos25m8ivg.cloudfront.net/Documentos/631/07755818365/6310775581836507092023155057.pdf")</f>
        <v>https://dpmzos25m8ivg.cloudfront.net/Documentos/631/07755818365/6310775581836507092023155057.pdf</v>
      </c>
      <c r="F3789" s="5" t="str">
        <f>HYPERLINK("https://dpmzos25m8ivg.cloudfront.net/Documentos/631/07755818365/6310775581836507092023155111.pdf","https://dpmzos25m8ivg.cloudfront.net/Documentos/631/07755818365/6310775581836507092023155111.pdf")</f>
        <v>https://dpmzos25m8ivg.cloudfront.net/Documentos/631/07755818365/6310775581836507092023155111.pdf</v>
      </c>
      <c r="G3789" s="5" t="str">
        <f>HYPERLINK("https://dpmzos25m8ivg.cloudfront.net/Documentos/631/07755818365/6310775581836507092023155123.pdf","https://dpmzos25m8ivg.cloudfront.net/Documentos/631/07755818365/6310775581836507092023155123.pdf")</f>
        <v>https://dpmzos25m8ivg.cloudfront.net/Documentos/631/07755818365/6310775581836507092023155123.pdf</v>
      </c>
      <c r="H3789" s="5" t="s">
        <v>12366</v>
      </c>
    </row>
    <row r="3790" spans="1:8" x14ac:dyDescent="0.25">
      <c r="A3790" s="2" t="s">
        <v>3812</v>
      </c>
      <c r="B3790" s="19" t="s">
        <v>3785</v>
      </c>
      <c r="C3790" s="3"/>
      <c r="D3790" s="3"/>
      <c r="E3790" s="5" t="str">
        <f>HYPERLINK("https://dpmzos25m8ivg.cloudfront.net/Documentos/631/07757612144/6310775761214411092023145904.pdf","https://dpmzos25m8ivg.cloudfront.net/Documentos/631/07757612144/6310775761214411092023145904.pdf")</f>
        <v>https://dpmzos25m8ivg.cloudfront.net/Documentos/631/07757612144/6310775761214411092023145904.pdf</v>
      </c>
      <c r="F3790" s="5" t="str">
        <f>HYPERLINK("https://dpmzos25m8ivg.cloudfront.net/Documentos/631/07757612144/6310775761214411092023145913.pdf","https://dpmzos25m8ivg.cloudfront.net/Documentos/631/07757612144/6310775761214411092023145913.pdf")</f>
        <v>https://dpmzos25m8ivg.cloudfront.net/Documentos/631/07757612144/6310775761214411092023145913.pdf</v>
      </c>
      <c r="G3790" s="5" t="str">
        <f>HYPERLINK("https://dpmzos25m8ivg.cloudfront.net/Documentos/631/07757612144/6310775761214411092023145922.pdf","https://dpmzos25m8ivg.cloudfront.net/Documentos/631/07757612144/6310775761214411092023145922.pdf")</f>
        <v>https://dpmzos25m8ivg.cloudfront.net/Documentos/631/07757612144/6310775761214411092023145922.pdf</v>
      </c>
      <c r="H3790" s="5" t="s">
        <v>12367</v>
      </c>
    </row>
    <row r="3791" spans="1:8" x14ac:dyDescent="0.25">
      <c r="A3791" s="14" t="s">
        <v>3813</v>
      </c>
      <c r="B3791" s="3" t="s">
        <v>3385</v>
      </c>
      <c r="C3791" s="3"/>
      <c r="D3791" s="3"/>
      <c r="E3791" s="5" t="str">
        <f>HYPERLINK("https://dpmzos25m8ivg.cloudfront.net/Documentos/631/07759229437/6310775922943705092023142853.pdf","https://dpmzos25m8ivg.cloudfront.net/Documentos/631/07759229437/6310775922943705092023142853.pdf")</f>
        <v>https://dpmzos25m8ivg.cloudfront.net/Documentos/631/07759229437/6310775922943705092023142853.pdf</v>
      </c>
      <c r="F3791" s="5" t="str">
        <f>HYPERLINK("https://dpmzos25m8ivg.cloudfront.net/Documentos/631/07759229437/6310775922943705092023142934.pdf","https://dpmzos25m8ivg.cloudfront.net/Documentos/631/07759229437/6310775922943705092023142934.pdf")</f>
        <v>https://dpmzos25m8ivg.cloudfront.net/Documentos/631/07759229437/6310775922943705092023142934.pdf</v>
      </c>
      <c r="G3791" s="5" t="str">
        <f>HYPERLINK("https://dpmzos25m8ivg.cloudfront.net/Documentos/631/07759229437/6310775922943705092023142945.pdf","https://dpmzos25m8ivg.cloudfront.net/Documentos/631/07759229437/6310775922943705092023142945.pdf")</f>
        <v>https://dpmzos25m8ivg.cloudfront.net/Documentos/631/07759229437/6310775922943705092023142945.pdf</v>
      </c>
      <c r="H3791" s="5" t="s">
        <v>12368</v>
      </c>
    </row>
    <row r="3792" spans="1:8" x14ac:dyDescent="0.25">
      <c r="A3792" s="14" t="s">
        <v>3814</v>
      </c>
      <c r="B3792" s="3"/>
      <c r="C3792" s="3"/>
      <c r="D3792" s="3"/>
      <c r="E3792" s="5" t="str">
        <f>HYPERLINK("https://dpmzos25m8ivg.cloudfront.net/Documentos/631/07759627327/6310775962732709092023140715.jpeg","https://dpmzos25m8ivg.cloudfront.net/Documentos/631/07759627327/6310775962732709092023140715.jpeg")</f>
        <v>https://dpmzos25m8ivg.cloudfront.net/Documentos/631/07759627327/6310775962732709092023140715.jpeg</v>
      </c>
      <c r="F3792" s="5" t="str">
        <f>HYPERLINK("https://dpmzos25m8ivg.cloudfront.net/Documentos/631/07759627327/6310775962732709092023140735.jpeg","https://dpmzos25m8ivg.cloudfront.net/Documentos/631/07759627327/6310775962732709092023140735.jpeg")</f>
        <v>https://dpmzos25m8ivg.cloudfront.net/Documentos/631/07759627327/6310775962732709092023140735.jpeg</v>
      </c>
      <c r="G3792" s="5" t="str">
        <f>HYPERLINK("https://dpmzos25m8ivg.cloudfront.net/Documentos/631/07759627327/6310775962732709092023140804.jpeg","https://dpmzos25m8ivg.cloudfront.net/Documentos/631/07759627327/6310775962732709092023140804.jpeg")</f>
        <v>https://dpmzos25m8ivg.cloudfront.net/Documentos/631/07759627327/6310775962732709092023140804.jpeg</v>
      </c>
      <c r="H3792" s="5" t="s">
        <v>12369</v>
      </c>
    </row>
    <row r="3793" spans="1:8" x14ac:dyDescent="0.25">
      <c r="A3793" s="14" t="s">
        <v>3815</v>
      </c>
      <c r="B3793" s="3"/>
      <c r="C3793" s="3"/>
      <c r="D3793" s="3"/>
      <c r="E3793" s="5" t="str">
        <f>HYPERLINK("https://dpmzos25m8ivg.cloudfront.net/Documentos/631/07760504357/6310776050435707092023123810.pdf","https://dpmzos25m8ivg.cloudfront.net/Documentos/631/07760504357/6310776050435707092023123810.pdf")</f>
        <v>https://dpmzos25m8ivg.cloudfront.net/Documentos/631/07760504357/6310776050435707092023123810.pdf</v>
      </c>
      <c r="F3793" s="5" t="str">
        <f>HYPERLINK("https://dpmzos25m8ivg.cloudfront.net/Documentos/631/07760504357/6310776050435707092023123827.pdf","https://dpmzos25m8ivg.cloudfront.net/Documentos/631/07760504357/6310776050435707092023123827.pdf")</f>
        <v>https://dpmzos25m8ivg.cloudfront.net/Documentos/631/07760504357/6310776050435707092023123827.pdf</v>
      </c>
      <c r="G3793" s="5" t="str">
        <f>HYPERLINK("https://dpmzos25m8ivg.cloudfront.net/Documentos/631/07760504357/6310776050435707092023123847.pdf","https://dpmzos25m8ivg.cloudfront.net/Documentos/631/07760504357/6310776050435707092023123847.pdf")</f>
        <v>https://dpmzos25m8ivg.cloudfront.net/Documentos/631/07760504357/6310776050435707092023123847.pdf</v>
      </c>
      <c r="H3793" s="5" t="s">
        <v>12370</v>
      </c>
    </row>
    <row r="3794" spans="1:8" x14ac:dyDescent="0.25">
      <c r="A3794" s="14" t="s">
        <v>3816</v>
      </c>
      <c r="B3794" s="3"/>
      <c r="C3794" s="3"/>
      <c r="D3794" s="3"/>
      <c r="E3794" s="5" t="str">
        <f>HYPERLINK("https://dpmzos25m8ivg.cloudfront.net/Documentos/631/07762244506/6310776224450611092023144349.jpg","https://dpmzos25m8ivg.cloudfront.net/Documentos/631/07762244506/6310776224450611092023144349.jpg")</f>
        <v>https://dpmzos25m8ivg.cloudfront.net/Documentos/631/07762244506/6310776224450611092023144349.jpg</v>
      </c>
      <c r="F3794" s="5" t="str">
        <f>HYPERLINK("https://dpmzos25m8ivg.cloudfront.net/Documentos/631/07762244506/6310776224450611092023144403.jpg","https://dpmzos25m8ivg.cloudfront.net/Documentos/631/07762244506/6310776224450611092023144403.jpg")</f>
        <v>https://dpmzos25m8ivg.cloudfront.net/Documentos/631/07762244506/6310776224450611092023144403.jpg</v>
      </c>
      <c r="G3794" s="5" t="str">
        <f>HYPERLINK("https://dpmzos25m8ivg.cloudfront.net/Documentos/631/07762244506/6310776224450611092023144420.jpg","https://dpmzos25m8ivg.cloudfront.net/Documentos/631/07762244506/6310776224450611092023144420.jpg")</f>
        <v>https://dpmzos25m8ivg.cloudfront.net/Documentos/631/07762244506/6310776224450611092023144420.jpg</v>
      </c>
      <c r="H3794" s="5" t="s">
        <v>12371</v>
      </c>
    </row>
    <row r="3795" spans="1:8" x14ac:dyDescent="0.25">
      <c r="A3795" s="14" t="s">
        <v>3817</v>
      </c>
      <c r="B3795" s="3"/>
      <c r="C3795" s="3"/>
      <c r="D3795" s="3"/>
      <c r="E3795" s="5" t="str">
        <f>HYPERLINK("https://dpmzos25m8ivg.cloudfront.net/Documentos/631/07762344470/6310776234447005092023185810.pdf","https://dpmzos25m8ivg.cloudfront.net/Documentos/631/07762344470/6310776234447005092023185810.pdf")</f>
        <v>https://dpmzos25m8ivg.cloudfront.net/Documentos/631/07762344470/6310776234447005092023185810.pdf</v>
      </c>
      <c r="F3795" s="5" t="str">
        <f>HYPERLINK("https://dpmzos25m8ivg.cloudfront.net/Documentos/631/07762344470/6310776234447005092023185834.pdf","https://dpmzos25m8ivg.cloudfront.net/Documentos/631/07762344470/6310776234447005092023185834.pdf")</f>
        <v>https://dpmzos25m8ivg.cloudfront.net/Documentos/631/07762344470/6310776234447005092023185834.pdf</v>
      </c>
      <c r="G3795" s="5" t="str">
        <f>HYPERLINK("https://dpmzos25m8ivg.cloudfront.net/Documentos/631/07762344470/6310776234447005092023185857.pdf","https://dpmzos25m8ivg.cloudfront.net/Documentos/631/07762344470/6310776234447005092023185857.pdf")</f>
        <v>https://dpmzos25m8ivg.cloudfront.net/Documentos/631/07762344470/6310776234447005092023185857.pdf</v>
      </c>
      <c r="H3795" s="5" t="s">
        <v>12372</v>
      </c>
    </row>
    <row r="3796" spans="1:8" x14ac:dyDescent="0.25">
      <c r="A3796" s="14" t="s">
        <v>3818</v>
      </c>
      <c r="B3796" s="3"/>
      <c r="C3796" s="3"/>
      <c r="D3796" s="3"/>
      <c r="E3796" s="5" t="str">
        <f>HYPERLINK("https://dpmzos25m8ivg.cloudfront.net/Documentos/631/07762669345/6310776266934509092023134114.pdf","https://dpmzos25m8ivg.cloudfront.net/Documentos/631/07762669345/6310776266934509092023134114.pdf")</f>
        <v>https://dpmzos25m8ivg.cloudfront.net/Documentos/631/07762669345/6310776266934509092023134114.pdf</v>
      </c>
      <c r="F3796" s="5" t="str">
        <f>HYPERLINK("https://dpmzos25m8ivg.cloudfront.net/Documentos/631/07762669345/6310776266934509092023134234.pdf","https://dpmzos25m8ivg.cloudfront.net/Documentos/631/07762669345/6310776266934509092023134234.pdf")</f>
        <v>https://dpmzos25m8ivg.cloudfront.net/Documentos/631/07762669345/6310776266934509092023134234.pdf</v>
      </c>
      <c r="G3796" s="5" t="str">
        <f>HYPERLINK("https://dpmzos25m8ivg.cloudfront.net/Documentos/631/07762669345/6310776266934509092023134245.pdf","https://dpmzos25m8ivg.cloudfront.net/Documentos/631/07762669345/6310776266934509092023134245.pdf")</f>
        <v>https://dpmzos25m8ivg.cloudfront.net/Documentos/631/07762669345/6310776266934509092023134245.pdf</v>
      </c>
      <c r="H3796" s="5" t="s">
        <v>12373</v>
      </c>
    </row>
    <row r="3797" spans="1:8" x14ac:dyDescent="0.25">
      <c r="A3797" s="14" t="s">
        <v>3819</v>
      </c>
      <c r="B3797" s="3"/>
      <c r="C3797" s="3"/>
      <c r="D3797" s="3"/>
      <c r="E3797" s="5" t="str">
        <f>HYPERLINK("https://dpmzos25m8ivg.cloudfront.net/Documentos/631/07763929561/6310776392956111092023153236.pdf","https://dpmzos25m8ivg.cloudfront.net/Documentos/631/07763929561/6310776392956111092023153236.pdf")</f>
        <v>https://dpmzos25m8ivg.cloudfront.net/Documentos/631/07763929561/6310776392956111092023153236.pdf</v>
      </c>
      <c r="F3797" s="5" t="str">
        <f>HYPERLINK("https://dpmzos25m8ivg.cloudfront.net/Documentos/631/07763929561/6310776392956111092023153245.pdf","https://dpmzos25m8ivg.cloudfront.net/Documentos/631/07763929561/6310776392956111092023153245.pdf")</f>
        <v>https://dpmzos25m8ivg.cloudfront.net/Documentos/631/07763929561/6310776392956111092023153245.pdf</v>
      </c>
      <c r="G3797" s="5" t="str">
        <f>HYPERLINK("https://dpmzos25m8ivg.cloudfront.net/Documentos/631/07763929561/6310776392956111092023153255.pdf","https://dpmzos25m8ivg.cloudfront.net/Documentos/631/07763929561/6310776392956111092023153255.pdf")</f>
        <v>https://dpmzos25m8ivg.cloudfront.net/Documentos/631/07763929561/6310776392956111092023153255.pdf</v>
      </c>
      <c r="H3797" s="5" t="s">
        <v>12374</v>
      </c>
    </row>
    <row r="3798" spans="1:8" x14ac:dyDescent="0.25">
      <c r="A3798" s="14" t="s">
        <v>3820</v>
      </c>
      <c r="B3798" s="3"/>
      <c r="C3798" s="3"/>
      <c r="D3798" s="3"/>
      <c r="E3798" s="5" t="str">
        <f>HYPERLINK("https://dpmzos25m8ivg.cloudfront.net/Documentos/631/07766366428/6310776636642808092023141912.pdf","https://dpmzos25m8ivg.cloudfront.net/Documentos/631/07766366428/6310776636642808092023141912.pdf")</f>
        <v>https://dpmzos25m8ivg.cloudfront.net/Documentos/631/07766366428/6310776636642808092023141912.pdf</v>
      </c>
      <c r="F3798" s="5" t="str">
        <f>HYPERLINK("https://dpmzos25m8ivg.cloudfront.net/Documentos/631/07766366428/6310776636642808092023141918.pdf","https://dpmzos25m8ivg.cloudfront.net/Documentos/631/07766366428/6310776636642808092023141918.pdf")</f>
        <v>https://dpmzos25m8ivg.cloudfront.net/Documentos/631/07766366428/6310776636642808092023141918.pdf</v>
      </c>
      <c r="G3798" s="5" t="str">
        <f>HYPERLINK("https://dpmzos25m8ivg.cloudfront.net/Documentos/631/07766366428/6310776636642808092023141924.pdf","https://dpmzos25m8ivg.cloudfront.net/Documentos/631/07766366428/6310776636642808092023141924.pdf")</f>
        <v>https://dpmzos25m8ivg.cloudfront.net/Documentos/631/07766366428/6310776636642808092023141924.pdf</v>
      </c>
      <c r="H3798" s="5" t="s">
        <v>12375</v>
      </c>
    </row>
    <row r="3799" spans="1:8" x14ac:dyDescent="0.25">
      <c r="A3799" s="14" t="s">
        <v>3821</v>
      </c>
      <c r="B3799" s="3"/>
      <c r="C3799" s="3"/>
      <c r="D3799" s="3"/>
      <c r="E3799" s="5" t="str">
        <f>HYPERLINK("https://dpmzos25m8ivg.cloudfront.net/Documentos/631/07766780356/6310776678035611092023152400.pdf","https://dpmzos25m8ivg.cloudfront.net/Documentos/631/07766780356/6310776678035611092023152400.pdf")</f>
        <v>https://dpmzos25m8ivg.cloudfront.net/Documentos/631/07766780356/6310776678035611092023152400.pdf</v>
      </c>
      <c r="F3799" s="5" t="str">
        <f>HYPERLINK("https://dpmzos25m8ivg.cloudfront.net/Documentos/631/07766780356/6310776678035611092023154709.pdf","https://dpmzos25m8ivg.cloudfront.net/Documentos/631/07766780356/6310776678035611092023154709.pdf")</f>
        <v>https://dpmzos25m8ivg.cloudfront.net/Documentos/631/07766780356/6310776678035611092023154709.pdf</v>
      </c>
      <c r="G3799" s="5" t="str">
        <f>HYPERLINK("https://dpmzos25m8ivg.cloudfront.net/Documentos/631/07766780356/6310776678035611092023154729.pdf","https://dpmzos25m8ivg.cloudfront.net/Documentos/631/07766780356/6310776678035611092023154729.pdf")</f>
        <v>https://dpmzos25m8ivg.cloudfront.net/Documentos/631/07766780356/6310776678035611092023154729.pdf</v>
      </c>
      <c r="H3799" s="5" t="s">
        <v>12376</v>
      </c>
    </row>
    <row r="3800" spans="1:8" x14ac:dyDescent="0.25">
      <c r="A3800" s="14" t="s">
        <v>3822</v>
      </c>
      <c r="B3800" s="3"/>
      <c r="C3800" s="3"/>
      <c r="D3800" s="3"/>
      <c r="E3800" s="5" t="str">
        <f>HYPERLINK("https://dpmzos25m8ivg.cloudfront.net/Documentos/631/07767087751/6310776708775111092023091256.pdf","https://dpmzos25m8ivg.cloudfront.net/Documentos/631/07767087751/6310776708775111092023091256.pdf")</f>
        <v>https://dpmzos25m8ivg.cloudfront.net/Documentos/631/07767087751/6310776708775111092023091256.pdf</v>
      </c>
      <c r="F3800" s="5" t="str">
        <f>HYPERLINK("https://dpmzos25m8ivg.cloudfront.net/Documentos/631/07767087751/6310776708775111092023091320.pdf","https://dpmzos25m8ivg.cloudfront.net/Documentos/631/07767087751/6310776708775111092023091320.pdf")</f>
        <v>https://dpmzos25m8ivg.cloudfront.net/Documentos/631/07767087751/6310776708775111092023091320.pdf</v>
      </c>
      <c r="G3800" s="5" t="str">
        <f>HYPERLINK("https://dpmzos25m8ivg.cloudfront.net/Documentos/631/07767087751/6310776708775111092023091349.pdf","https://dpmzos25m8ivg.cloudfront.net/Documentos/631/07767087751/6310776708775111092023091349.pdf")</f>
        <v>https://dpmzos25m8ivg.cloudfront.net/Documentos/631/07767087751/6310776708775111092023091349.pdf</v>
      </c>
      <c r="H3800" s="5" t="s">
        <v>12377</v>
      </c>
    </row>
    <row r="3801" spans="1:8" x14ac:dyDescent="0.25">
      <c r="A3801" s="14" t="s">
        <v>3823</v>
      </c>
      <c r="B3801" s="3"/>
      <c r="C3801" s="3"/>
      <c r="D3801" s="3"/>
      <c r="E3801" s="5" t="str">
        <f>HYPERLINK("https://dpmzos25m8ivg.cloudfront.net/Documentos/631/07768128745/6310776812874511092023142320.jpeg","https://dpmzos25m8ivg.cloudfront.net/Documentos/631/07768128745/6310776812874511092023142320.jpeg")</f>
        <v>https://dpmzos25m8ivg.cloudfront.net/Documentos/631/07768128745/6310776812874511092023142320.jpeg</v>
      </c>
      <c r="F3801" s="5" t="str">
        <f>HYPERLINK("https://dpmzos25m8ivg.cloudfront.net/Documentos/631/07768128745/6310776812874511092023142342.jpeg","https://dpmzos25m8ivg.cloudfront.net/Documentos/631/07768128745/6310776812874511092023142342.jpeg")</f>
        <v>https://dpmzos25m8ivg.cloudfront.net/Documentos/631/07768128745/6310776812874511092023142342.jpeg</v>
      </c>
      <c r="G3801" s="5" t="str">
        <f>HYPERLINK("https://dpmzos25m8ivg.cloudfront.net/Documentos/631/07768128745/6310776812874511092023142404.jpeg","https://dpmzos25m8ivg.cloudfront.net/Documentos/631/07768128745/6310776812874511092023142404.jpeg")</f>
        <v>https://dpmzos25m8ivg.cloudfront.net/Documentos/631/07768128745/6310776812874511092023142404.jpeg</v>
      </c>
      <c r="H3801" s="5" t="s">
        <v>12378</v>
      </c>
    </row>
    <row r="3802" spans="1:8" x14ac:dyDescent="0.25">
      <c r="A3802" s="14" t="s">
        <v>3824</v>
      </c>
      <c r="B3802" s="3"/>
      <c r="C3802" s="3"/>
      <c r="D3802" s="3"/>
      <c r="E3802" s="5" t="str">
        <f>HYPERLINK("https://dpmzos25m8ivg.cloudfront.net/Documentos/631/07769215331/6310776921533111092023133725.pdf","https://dpmzos25m8ivg.cloudfront.net/Documentos/631/07769215331/6310776921533111092023133725.pdf")</f>
        <v>https://dpmzos25m8ivg.cloudfront.net/Documentos/631/07769215331/6310776921533111092023133725.pdf</v>
      </c>
      <c r="F3802" s="5" t="str">
        <f>HYPERLINK("https://dpmzos25m8ivg.cloudfront.net/Documentos/631/07769215331/6310776921533111092023133739.pdf","https://dpmzos25m8ivg.cloudfront.net/Documentos/631/07769215331/6310776921533111092023133739.pdf")</f>
        <v>https://dpmzos25m8ivg.cloudfront.net/Documentos/631/07769215331/6310776921533111092023133739.pdf</v>
      </c>
      <c r="G3802" s="5" t="str">
        <f>HYPERLINK("https://dpmzos25m8ivg.cloudfront.net/Documentos/631/07769215331/6310776921533111092023133746.pdf","https://dpmzos25m8ivg.cloudfront.net/Documentos/631/07769215331/6310776921533111092023133746.pdf")</f>
        <v>https://dpmzos25m8ivg.cloudfront.net/Documentos/631/07769215331/6310776921533111092023133746.pdf</v>
      </c>
      <c r="H3802" s="5" t="s">
        <v>12379</v>
      </c>
    </row>
    <row r="3803" spans="1:8" x14ac:dyDescent="0.25">
      <c r="A3803" s="14" t="s">
        <v>3825</v>
      </c>
      <c r="B3803" s="3"/>
      <c r="C3803" s="3"/>
      <c r="D3803" s="3"/>
      <c r="E3803" s="5" t="str">
        <f>HYPERLINK("https://dpmzos25m8ivg.cloudfront.net/Documentos/631/07770451760/6310777045176013092023145916.pdf","https://dpmzos25m8ivg.cloudfront.net/Documentos/631/07770451760/6310777045176013092023145916.pdf")</f>
        <v>https://dpmzos25m8ivg.cloudfront.net/Documentos/631/07770451760/6310777045176013092023145916.pdf</v>
      </c>
      <c r="F3803" s="5" t="str">
        <f>HYPERLINK("https://dpmzos25m8ivg.cloudfront.net/Documentos/631/07770451760/6310777045176013092023150034.pdf","https://dpmzos25m8ivg.cloudfront.net/Documentos/631/07770451760/6310777045176013092023150034.pdf")</f>
        <v>https://dpmzos25m8ivg.cloudfront.net/Documentos/631/07770451760/6310777045176013092023150034.pdf</v>
      </c>
      <c r="G3803" s="5" t="str">
        <f>HYPERLINK("https://dpmzos25m8ivg.cloudfront.net/Documentos/631/07770451760/6310777045176013092023150109.pdf","https://dpmzos25m8ivg.cloudfront.net/Documentos/631/07770451760/6310777045176013092023150109.pdf")</f>
        <v>https://dpmzos25m8ivg.cloudfront.net/Documentos/631/07770451760/6310777045176013092023150109.pdf</v>
      </c>
      <c r="H3803" s="5" t="s">
        <v>12380</v>
      </c>
    </row>
    <row r="3804" spans="1:8" x14ac:dyDescent="0.25">
      <c r="A3804" s="14" t="s">
        <v>3826</v>
      </c>
      <c r="B3804" s="3"/>
      <c r="C3804" s="3"/>
      <c r="D3804" s="3"/>
      <c r="E3804" s="5" t="str">
        <f>HYPERLINK("https://dpmzos25m8ivg.cloudfront.net/Documentos/631/07772128541/6310777212854105092023180041.pdf","https://dpmzos25m8ivg.cloudfront.net/Documentos/631/07772128541/6310777212854105092023180041.pdf")</f>
        <v>https://dpmzos25m8ivg.cloudfront.net/Documentos/631/07772128541/6310777212854105092023180041.pdf</v>
      </c>
      <c r="F3804" s="5" t="str">
        <f>HYPERLINK("https://dpmzos25m8ivg.cloudfront.net/Documentos/631/07772128541/6310777212854105092023180053.pdf","https://dpmzos25m8ivg.cloudfront.net/Documentos/631/07772128541/6310777212854105092023180053.pdf")</f>
        <v>https://dpmzos25m8ivg.cloudfront.net/Documentos/631/07772128541/6310777212854105092023180053.pdf</v>
      </c>
      <c r="G3804" s="5" t="str">
        <f>HYPERLINK("https://dpmzos25m8ivg.cloudfront.net/Documentos/631/07772128541/6310777212854105092023180102.pdf","https://dpmzos25m8ivg.cloudfront.net/Documentos/631/07772128541/6310777212854105092023180102.pdf")</f>
        <v>https://dpmzos25m8ivg.cloudfront.net/Documentos/631/07772128541/6310777212854105092023180102.pdf</v>
      </c>
      <c r="H3804" s="5" t="s">
        <v>12381</v>
      </c>
    </row>
    <row r="3805" spans="1:8" x14ac:dyDescent="0.25">
      <c r="A3805" s="2" t="s">
        <v>3827</v>
      </c>
      <c r="B3805" s="19" t="s">
        <v>3785</v>
      </c>
      <c r="C3805" s="3"/>
      <c r="D3805" s="3"/>
      <c r="E3805" s="5" t="str">
        <f>HYPERLINK("https://dpmzos25m8ivg.cloudfront.net/Documentos/631/07773387770/6310777338777013092023160905.pdf","https://dpmzos25m8ivg.cloudfront.net/Documentos/631/07773387770/6310777338777013092023160905.pdf")</f>
        <v>https://dpmzos25m8ivg.cloudfront.net/Documentos/631/07773387770/6310777338777013092023160905.pdf</v>
      </c>
      <c r="F3805" s="5" t="str">
        <f>HYPERLINK("https://dpmzos25m8ivg.cloudfront.net/Documentos/631/07773387770/6310777338777013092023160918.pdf","https://dpmzos25m8ivg.cloudfront.net/Documentos/631/07773387770/6310777338777013092023160918.pdf")</f>
        <v>https://dpmzos25m8ivg.cloudfront.net/Documentos/631/07773387770/6310777338777013092023160918.pdf</v>
      </c>
      <c r="G3805" s="5" t="str">
        <f>HYPERLINK("https://dpmzos25m8ivg.cloudfront.net/Documentos/631/07773387770/6310777338777013092023160943.pdf","https://dpmzos25m8ivg.cloudfront.net/Documentos/631/07773387770/6310777338777013092023160943.pdf")</f>
        <v>https://dpmzos25m8ivg.cloudfront.net/Documentos/631/07773387770/6310777338777013092023160943.pdf</v>
      </c>
      <c r="H3805" s="5" t="s">
        <v>12382</v>
      </c>
    </row>
    <row r="3806" spans="1:8" x14ac:dyDescent="0.25">
      <c r="A3806" s="14" t="s">
        <v>3828</v>
      </c>
      <c r="B3806" s="3"/>
      <c r="C3806" s="3"/>
      <c r="D3806" s="3"/>
      <c r="E3806" s="5" t="str">
        <f>HYPERLINK("https://dpmzos25m8ivg.cloudfront.net/Documentos/631/07776224596/6310777622459606092023143111.pdf","https://dpmzos25m8ivg.cloudfront.net/Documentos/631/07776224596/6310777622459606092023143111.pdf")</f>
        <v>https://dpmzos25m8ivg.cloudfront.net/Documentos/631/07776224596/6310777622459606092023143111.pdf</v>
      </c>
      <c r="F3806" s="5" t="str">
        <f>HYPERLINK("https://dpmzos25m8ivg.cloudfront.net/Documentos/631/07776224596/6310777622459606092023143126.pdf","https://dpmzos25m8ivg.cloudfront.net/Documentos/631/07776224596/6310777622459606092023143126.pdf")</f>
        <v>https://dpmzos25m8ivg.cloudfront.net/Documentos/631/07776224596/6310777622459606092023143126.pdf</v>
      </c>
      <c r="G3806" s="5" t="str">
        <f>HYPERLINK("https://dpmzos25m8ivg.cloudfront.net/Documentos/631/07776224596/6310777622459606092023143952.pdf","https://dpmzos25m8ivg.cloudfront.net/Documentos/631/07776224596/6310777622459606092023143952.pdf")</f>
        <v>https://dpmzos25m8ivg.cloudfront.net/Documentos/631/07776224596/6310777622459606092023143952.pdf</v>
      </c>
      <c r="H3806" s="5" t="s">
        <v>12383</v>
      </c>
    </row>
    <row r="3807" spans="1:8" x14ac:dyDescent="0.25">
      <c r="A3807" s="14" t="s">
        <v>3829</v>
      </c>
      <c r="B3807" s="3"/>
      <c r="C3807" s="3"/>
      <c r="D3807" s="3"/>
      <c r="E3807" s="5" t="str">
        <f>HYPERLINK("https://dpmzos25m8ivg.cloudfront.net/Documentos/631/07777997408/6310777799740804092023171906.pdf","https://dpmzos25m8ivg.cloudfront.net/Documentos/631/07777997408/6310777799740804092023171906.pdf")</f>
        <v>https://dpmzos25m8ivg.cloudfront.net/Documentos/631/07777997408/6310777799740804092023171906.pdf</v>
      </c>
      <c r="F3807" s="5" t="str">
        <f>HYPERLINK("https://dpmzos25m8ivg.cloudfront.net/Documentos/631/07777997408/6310777799740804092023172003.pdf","https://dpmzos25m8ivg.cloudfront.net/Documentos/631/07777997408/6310777799740804092023172003.pdf")</f>
        <v>https://dpmzos25m8ivg.cloudfront.net/Documentos/631/07777997408/6310777799740804092023172003.pdf</v>
      </c>
      <c r="G3807" s="5" t="str">
        <f>HYPERLINK("https://dpmzos25m8ivg.cloudfront.net/Documentos/631/07777997408/6310777799740804092023173717.pdf","https://dpmzos25m8ivg.cloudfront.net/Documentos/631/07777997408/6310777799740804092023173717.pdf")</f>
        <v>https://dpmzos25m8ivg.cloudfront.net/Documentos/631/07777997408/6310777799740804092023173717.pdf</v>
      </c>
      <c r="H3807" s="5" t="s">
        <v>12384</v>
      </c>
    </row>
    <row r="3808" spans="1:8" x14ac:dyDescent="0.25">
      <c r="A3808" s="14" t="s">
        <v>3830</v>
      </c>
      <c r="B3808" s="3"/>
      <c r="C3808" s="3"/>
      <c r="D3808" s="3"/>
      <c r="E3808" s="5" t="str">
        <f>HYPERLINK("https://dpmzos25m8ivg.cloudfront.net/Documentos/631/07780926583/6310778092658310092023200043.pdf","https://dpmzos25m8ivg.cloudfront.net/Documentos/631/07780926583/6310778092658310092023200043.pdf")</f>
        <v>https://dpmzos25m8ivg.cloudfront.net/Documentos/631/07780926583/6310778092658310092023200043.pdf</v>
      </c>
      <c r="F3808" s="5" t="str">
        <f>HYPERLINK("https://dpmzos25m8ivg.cloudfront.net/Documentos/631/07780926583/6310778092658310092023200140.pdf","https://dpmzos25m8ivg.cloudfront.net/Documentos/631/07780926583/6310778092658310092023200140.pdf")</f>
        <v>https://dpmzos25m8ivg.cloudfront.net/Documentos/631/07780926583/6310778092658310092023200140.pdf</v>
      </c>
      <c r="G3808" s="5" t="str">
        <f>HYPERLINK("https://dpmzos25m8ivg.cloudfront.net/Documentos/631/07780926583/6310778092658310092023200200.pdf","https://dpmzos25m8ivg.cloudfront.net/Documentos/631/07780926583/6310778092658310092023200200.pdf")</f>
        <v>https://dpmzos25m8ivg.cloudfront.net/Documentos/631/07780926583/6310778092658310092023200200.pdf</v>
      </c>
      <c r="H3808" s="5" t="s">
        <v>12385</v>
      </c>
    </row>
    <row r="3809" spans="1:8" x14ac:dyDescent="0.25">
      <c r="A3809" s="14" t="s">
        <v>3831</v>
      </c>
      <c r="B3809" s="3" t="s">
        <v>3385</v>
      </c>
      <c r="C3809" s="3"/>
      <c r="D3809" s="3"/>
      <c r="E3809" s="5" t="str">
        <f>HYPERLINK("https://dpmzos25m8ivg.cloudfront.net/Documentos/631/07780942945/6310778094294513092023150835.jpg","https://dpmzos25m8ivg.cloudfront.net/Documentos/631/07780942945/6310778094294513092023150835.jpg")</f>
        <v>https://dpmzos25m8ivg.cloudfront.net/Documentos/631/07780942945/6310778094294513092023150835.jpg</v>
      </c>
      <c r="F3809" s="5" t="str">
        <f>HYPERLINK("https://dpmzos25m8ivg.cloudfront.net/Documentos/631/07780942945/6310778094294513092023150854.jpg","https://dpmzos25m8ivg.cloudfront.net/Documentos/631/07780942945/6310778094294513092023150854.jpg")</f>
        <v>https://dpmzos25m8ivg.cloudfront.net/Documentos/631/07780942945/6310778094294513092023150854.jpg</v>
      </c>
      <c r="G3809" s="5" t="str">
        <f>HYPERLINK("https://dpmzos25m8ivg.cloudfront.net/Documentos/631/07780942945/6310778094294513092023150906.jpg","https://dpmzos25m8ivg.cloudfront.net/Documentos/631/07780942945/6310778094294513092023150906.jpg")</f>
        <v>https://dpmzos25m8ivg.cloudfront.net/Documentos/631/07780942945/6310778094294513092023150906.jpg</v>
      </c>
      <c r="H3809" s="5" t="s">
        <v>12386</v>
      </c>
    </row>
    <row r="3810" spans="1:8" x14ac:dyDescent="0.25">
      <c r="A3810" s="2" t="s">
        <v>3832</v>
      </c>
      <c r="B3810" s="19" t="s">
        <v>3785</v>
      </c>
      <c r="C3810" s="3"/>
      <c r="D3810" s="3"/>
      <c r="E3810" s="5" t="str">
        <f>HYPERLINK("https://dpmzos25m8ivg.cloudfront.net/Documentos/631/07785274339/6310778527433913092023210947.pdf","https://dpmzos25m8ivg.cloudfront.net/Documentos/631/07785274339/6310778527433913092023210947.pdf")</f>
        <v>https://dpmzos25m8ivg.cloudfront.net/Documentos/631/07785274339/6310778527433913092023210947.pdf</v>
      </c>
      <c r="F3810" s="5" t="str">
        <f>HYPERLINK("https://dpmzos25m8ivg.cloudfront.net/Documentos/631/07785274339/6310778527433913092023211004.pdf","https://dpmzos25m8ivg.cloudfront.net/Documentos/631/07785274339/6310778527433913092023211004.pdf")</f>
        <v>https://dpmzos25m8ivg.cloudfront.net/Documentos/631/07785274339/6310778527433913092023211004.pdf</v>
      </c>
      <c r="G3810" s="5" t="str">
        <f>HYPERLINK("https://dpmzos25m8ivg.cloudfront.net/Documentos/631/07785274339/6310778527433913092023211020.pdf","https://dpmzos25m8ivg.cloudfront.net/Documentos/631/07785274339/6310778527433913092023211020.pdf")</f>
        <v>https://dpmzos25m8ivg.cloudfront.net/Documentos/631/07785274339/6310778527433913092023211020.pdf</v>
      </c>
      <c r="H3810" s="5" t="s">
        <v>12387</v>
      </c>
    </row>
    <row r="3811" spans="1:8" x14ac:dyDescent="0.25">
      <c r="A3811" s="14" t="s">
        <v>3833</v>
      </c>
      <c r="B3811" s="3"/>
      <c r="C3811" s="3"/>
      <c r="D3811" s="3"/>
      <c r="E3811" s="5" t="str">
        <f>HYPERLINK("https://dpmzos25m8ivg.cloudfront.net/Documentos/631/07786375147/6310778637514710092023235042.pdf","https://dpmzos25m8ivg.cloudfront.net/Documentos/631/07786375147/6310778637514710092023235042.pdf")</f>
        <v>https://dpmzos25m8ivg.cloudfront.net/Documentos/631/07786375147/6310778637514710092023235042.pdf</v>
      </c>
      <c r="F3811" s="5" t="str">
        <f>HYPERLINK("https://dpmzos25m8ivg.cloudfront.net/Documentos/631/07786375147/6310778637514710092023235055.pdf","https://dpmzos25m8ivg.cloudfront.net/Documentos/631/07786375147/6310778637514710092023235055.pdf")</f>
        <v>https://dpmzos25m8ivg.cloudfront.net/Documentos/631/07786375147/6310778637514710092023235055.pdf</v>
      </c>
      <c r="G3811" s="5" t="str">
        <f>HYPERLINK("https://dpmzos25m8ivg.cloudfront.net/Documentos/631/07786375147/6310778637514710092023235105.pdf","https://dpmzos25m8ivg.cloudfront.net/Documentos/631/07786375147/6310778637514710092023235105.pdf")</f>
        <v>https://dpmzos25m8ivg.cloudfront.net/Documentos/631/07786375147/6310778637514710092023235105.pdf</v>
      </c>
      <c r="H3811" s="5" t="s">
        <v>12388</v>
      </c>
    </row>
    <row r="3812" spans="1:8" x14ac:dyDescent="0.25">
      <c r="A3812" s="14" t="s">
        <v>3834</v>
      </c>
      <c r="B3812" s="3"/>
      <c r="C3812" s="3"/>
      <c r="D3812" s="3"/>
      <c r="E3812" s="5" t="str">
        <f>HYPERLINK("https://dpmzos25m8ivg.cloudfront.net/Documentos/631/07787198559/6310778719855910092023110906.pdf","https://dpmzos25m8ivg.cloudfront.net/Documentos/631/07787198559/6310778719855910092023110906.pdf")</f>
        <v>https://dpmzos25m8ivg.cloudfront.net/Documentos/631/07787198559/6310778719855910092023110906.pdf</v>
      </c>
      <c r="F3812" s="5" t="str">
        <f>HYPERLINK("https://dpmzos25m8ivg.cloudfront.net/Documentos/631/07787198559/6310778719855910092023110919.pdf","https://dpmzos25m8ivg.cloudfront.net/Documentos/631/07787198559/6310778719855910092023110919.pdf")</f>
        <v>https://dpmzos25m8ivg.cloudfront.net/Documentos/631/07787198559/6310778719855910092023110919.pdf</v>
      </c>
      <c r="G3812" s="5" t="str">
        <f>HYPERLINK("https://dpmzos25m8ivg.cloudfront.net/Documentos/631/07787198559/6310778719855910092023110932.pdf","https://dpmzos25m8ivg.cloudfront.net/Documentos/631/07787198559/6310778719855910092023110932.pdf")</f>
        <v>https://dpmzos25m8ivg.cloudfront.net/Documentos/631/07787198559/6310778719855910092023110932.pdf</v>
      </c>
      <c r="H3812" s="5" t="s">
        <v>12389</v>
      </c>
    </row>
    <row r="3813" spans="1:8" x14ac:dyDescent="0.25">
      <c r="A3813" s="14" t="s">
        <v>3835</v>
      </c>
      <c r="B3813" s="3"/>
      <c r="C3813" s="3"/>
      <c r="D3813" s="3"/>
      <c r="E3813" s="5" t="str">
        <f>HYPERLINK("https://dpmzos25m8ivg.cloudfront.net/Documentos/631/07788952389/6310778895238909092023144352.pdf","https://dpmzos25m8ivg.cloudfront.net/Documentos/631/07788952389/6310778895238909092023144352.pdf")</f>
        <v>https://dpmzos25m8ivg.cloudfront.net/Documentos/631/07788952389/6310778895238909092023144352.pdf</v>
      </c>
      <c r="F3813" s="5" t="str">
        <f>HYPERLINK("https://dpmzos25m8ivg.cloudfront.net/Documentos/631/07788952389/6310778895238909092023144427.pdf","https://dpmzos25m8ivg.cloudfront.net/Documentos/631/07788952389/6310778895238909092023144427.pdf")</f>
        <v>https://dpmzos25m8ivg.cloudfront.net/Documentos/631/07788952389/6310778895238909092023144427.pdf</v>
      </c>
      <c r="G3813" s="5" t="str">
        <f>HYPERLINK("https://dpmzos25m8ivg.cloudfront.net/Documentos/631/07788952389/6310778895238909092023144441.pdf","https://dpmzos25m8ivg.cloudfront.net/Documentos/631/07788952389/6310778895238909092023144441.pdf")</f>
        <v>https://dpmzos25m8ivg.cloudfront.net/Documentos/631/07788952389/6310778895238909092023144441.pdf</v>
      </c>
      <c r="H3813" s="5" t="s">
        <v>12390</v>
      </c>
    </row>
    <row r="3814" spans="1:8" x14ac:dyDescent="0.25">
      <c r="A3814" s="14" t="s">
        <v>3836</v>
      </c>
      <c r="B3814" s="3"/>
      <c r="C3814" s="3"/>
      <c r="D3814" s="3"/>
      <c r="E3814" s="5" t="str">
        <f>HYPERLINK("https://dpmzos25m8ivg.cloudfront.net/Documentos/631/07790940503/6310779094050311092023165054.pdf","https://dpmzos25m8ivg.cloudfront.net/Documentos/631/07790940503/6310779094050311092023165054.pdf")</f>
        <v>https://dpmzos25m8ivg.cloudfront.net/Documentos/631/07790940503/6310779094050311092023165054.pdf</v>
      </c>
      <c r="F3814" s="5" t="str">
        <f>HYPERLINK("https://dpmzos25m8ivg.cloudfront.net/Documentos/631/07790940503/6310779094050311092023165112.pdf","https://dpmzos25m8ivg.cloudfront.net/Documentos/631/07790940503/6310779094050311092023165112.pdf")</f>
        <v>https://dpmzos25m8ivg.cloudfront.net/Documentos/631/07790940503/6310779094050311092023165112.pdf</v>
      </c>
      <c r="G3814" s="5" t="str">
        <f>HYPERLINK("https://dpmzos25m8ivg.cloudfront.net/Documentos/631/07790940503/6310779094050311092023165122.pdf","https://dpmzos25m8ivg.cloudfront.net/Documentos/631/07790940503/6310779094050311092023165122.pdf")</f>
        <v>https://dpmzos25m8ivg.cloudfront.net/Documentos/631/07790940503/6310779094050311092023165122.pdf</v>
      </c>
      <c r="H3814" s="5" t="s">
        <v>12391</v>
      </c>
    </row>
    <row r="3815" spans="1:8" x14ac:dyDescent="0.25">
      <c r="A3815" s="14" t="s">
        <v>3837</v>
      </c>
      <c r="B3815" s="3"/>
      <c r="C3815" s="3"/>
      <c r="D3815" s="3"/>
      <c r="E3815" s="5" t="str">
        <f>HYPERLINK("https://dpmzos25m8ivg.cloudfront.net/Documentos/631/07799444371/6310779944437111092023151645.pdf","https://dpmzos25m8ivg.cloudfront.net/Documentos/631/07799444371/6310779944437111092023151645.pdf")</f>
        <v>https://dpmzos25m8ivg.cloudfront.net/Documentos/631/07799444371/6310779944437111092023151645.pdf</v>
      </c>
      <c r="F3815" s="5" t="str">
        <f>HYPERLINK("https://dpmzos25m8ivg.cloudfront.net/Documentos/631/07799444371/6310779944437111092023151748.pdf","https://dpmzos25m8ivg.cloudfront.net/Documentos/631/07799444371/6310779944437111092023151748.pdf")</f>
        <v>https://dpmzos25m8ivg.cloudfront.net/Documentos/631/07799444371/6310779944437111092023151748.pdf</v>
      </c>
      <c r="G3815" s="5" t="str">
        <f>HYPERLINK("https://dpmzos25m8ivg.cloudfront.net/Documentos/631/07799444371/6310779944437111092023151807.pdf","https://dpmzos25m8ivg.cloudfront.net/Documentos/631/07799444371/6310779944437111092023151807.pdf")</f>
        <v>https://dpmzos25m8ivg.cloudfront.net/Documentos/631/07799444371/6310779944437111092023151807.pdf</v>
      </c>
      <c r="H3815" s="5" t="s">
        <v>12392</v>
      </c>
    </row>
    <row r="3816" spans="1:8" x14ac:dyDescent="0.25">
      <c r="A3816" s="2" t="s">
        <v>3838</v>
      </c>
      <c r="B3816" s="19" t="s">
        <v>3785</v>
      </c>
      <c r="C3816" s="3"/>
      <c r="D3816" s="3"/>
      <c r="E3816" s="5" t="str">
        <f>HYPERLINK("https://dpmzos25m8ivg.cloudfront.net/Documentos/631/07800795152/6310780079515207092023162211.pdf","https://dpmzos25m8ivg.cloudfront.net/Documentos/631/07800795152/6310780079515207092023162211.pdf")</f>
        <v>https://dpmzos25m8ivg.cloudfront.net/Documentos/631/07800795152/6310780079515207092023162211.pdf</v>
      </c>
      <c r="F3816" s="5" t="str">
        <f>HYPERLINK("https://dpmzos25m8ivg.cloudfront.net/Documentos/631/07800795152/6310780079515207092023162305.pdf","https://dpmzos25m8ivg.cloudfront.net/Documentos/631/07800795152/6310780079515207092023162305.pdf")</f>
        <v>https://dpmzos25m8ivg.cloudfront.net/Documentos/631/07800795152/6310780079515207092023162305.pdf</v>
      </c>
      <c r="G3816" s="5" t="str">
        <f>HYPERLINK("https://dpmzos25m8ivg.cloudfront.net/Documentos/631/07800795152/6310780079515207092023162315.pdf","https://dpmzos25m8ivg.cloudfront.net/Documentos/631/07800795152/6310780079515207092023162315.pdf")</f>
        <v>https://dpmzos25m8ivg.cloudfront.net/Documentos/631/07800795152/6310780079515207092023162315.pdf</v>
      </c>
      <c r="H3816" s="5" t="s">
        <v>12393</v>
      </c>
    </row>
    <row r="3817" spans="1:8" x14ac:dyDescent="0.25">
      <c r="A3817" s="14" t="s">
        <v>3839</v>
      </c>
      <c r="B3817" s="3" t="s">
        <v>8</v>
      </c>
      <c r="C3817" s="3"/>
      <c r="D3817" s="3"/>
      <c r="E3817" s="5" t="str">
        <f>HYPERLINK("https://dpmzos25m8ivg.cloudfront.net/Documentos/631/07801567579/6310780156757911092023165311.pdf","https://dpmzos25m8ivg.cloudfront.net/Documentos/631/07801567579/6310780156757911092023165311.pdf")</f>
        <v>https://dpmzos25m8ivg.cloudfront.net/Documentos/631/07801567579/6310780156757911092023165311.pdf</v>
      </c>
      <c r="F3817" s="5" t="str">
        <f>HYPERLINK("https://dpmzos25m8ivg.cloudfront.net/Documentos/631/07801567579/6310780156757911092023165321.pdf","https://dpmzos25m8ivg.cloudfront.net/Documentos/631/07801567579/6310780156757911092023165321.pdf")</f>
        <v>https://dpmzos25m8ivg.cloudfront.net/Documentos/631/07801567579/6310780156757911092023165321.pdf</v>
      </c>
      <c r="G3817" s="5" t="str">
        <f>HYPERLINK("https://dpmzos25m8ivg.cloudfront.net/Documentos/631/07801567579/6310780156757911092023165332.pdf","https://dpmzos25m8ivg.cloudfront.net/Documentos/631/07801567579/6310780156757911092023165332.pdf")</f>
        <v>https://dpmzos25m8ivg.cloudfront.net/Documentos/631/07801567579/6310780156757911092023165332.pdf</v>
      </c>
      <c r="H3817" s="5" t="s">
        <v>12394</v>
      </c>
    </row>
    <row r="3818" spans="1:8" x14ac:dyDescent="0.25">
      <c r="A3818" s="14" t="s">
        <v>3840</v>
      </c>
      <c r="B3818" s="3"/>
      <c r="C3818" s="3"/>
      <c r="D3818" s="3"/>
      <c r="E3818" s="5" t="str">
        <f>HYPERLINK("https://dpmzos25m8ivg.cloudfront.net/Documentos/631/07813224302/6310781322430211092023123527.pdf","https://dpmzos25m8ivg.cloudfront.net/Documentos/631/07813224302/6310781322430211092023123527.pdf")</f>
        <v>https://dpmzos25m8ivg.cloudfront.net/Documentos/631/07813224302/6310781322430211092023123527.pdf</v>
      </c>
      <c r="F3818" s="5" t="str">
        <f>HYPERLINK("https://dpmzos25m8ivg.cloudfront.net/Documentos/631/07813224302/6310781322430211092023123544.pdf","https://dpmzos25m8ivg.cloudfront.net/Documentos/631/07813224302/6310781322430211092023123544.pdf")</f>
        <v>https://dpmzos25m8ivg.cloudfront.net/Documentos/631/07813224302/6310781322430211092023123544.pdf</v>
      </c>
      <c r="G3818" s="5" t="str">
        <f>HYPERLINK("https://dpmzos25m8ivg.cloudfront.net/Documentos/631/07813224302/6310781322430211092023123601.pdf","https://dpmzos25m8ivg.cloudfront.net/Documentos/631/07813224302/6310781322430211092023123601.pdf")</f>
        <v>https://dpmzos25m8ivg.cloudfront.net/Documentos/631/07813224302/6310781322430211092023123601.pdf</v>
      </c>
      <c r="H3818" s="5" t="s">
        <v>12395</v>
      </c>
    </row>
    <row r="3819" spans="1:8" x14ac:dyDescent="0.25">
      <c r="A3819" s="14" t="s">
        <v>3841</v>
      </c>
      <c r="B3819" s="3"/>
      <c r="C3819" s="3"/>
      <c r="D3819" s="3"/>
      <c r="E3819" s="5" t="str">
        <f>HYPERLINK("https://dpmzos25m8ivg.cloudfront.net/Documentos/631/07813851560/6310781385156005092023200628.jpg","https://dpmzos25m8ivg.cloudfront.net/Documentos/631/07813851560/6310781385156005092023200628.jpg")</f>
        <v>https://dpmzos25m8ivg.cloudfront.net/Documentos/631/07813851560/6310781385156005092023200628.jpg</v>
      </c>
      <c r="F3819" s="5" t="str">
        <f>HYPERLINK("https://dpmzos25m8ivg.cloudfront.net/Documentos/631/07813851560/6310781385156005092023200639.jpg","https://dpmzos25m8ivg.cloudfront.net/Documentos/631/07813851560/6310781385156005092023200639.jpg")</f>
        <v>https://dpmzos25m8ivg.cloudfront.net/Documentos/631/07813851560/6310781385156005092023200639.jpg</v>
      </c>
      <c r="G3819" s="5" t="str">
        <f>HYPERLINK("https://dpmzos25m8ivg.cloudfront.net/Documentos/631/07813851560/6310781385156005092023200652.jpg","https://dpmzos25m8ivg.cloudfront.net/Documentos/631/07813851560/6310781385156005092023200652.jpg")</f>
        <v>https://dpmzos25m8ivg.cloudfront.net/Documentos/631/07813851560/6310781385156005092023200652.jpg</v>
      </c>
      <c r="H3819" s="5" t="s">
        <v>12396</v>
      </c>
    </row>
    <row r="3820" spans="1:8" x14ac:dyDescent="0.25">
      <c r="A3820" s="2" t="s">
        <v>3842</v>
      </c>
      <c r="B3820" s="19" t="s">
        <v>3785</v>
      </c>
      <c r="C3820" s="3"/>
      <c r="D3820" s="3"/>
      <c r="E3820" s="5" t="str">
        <f>HYPERLINK("https://dpmzos25m8ivg.cloudfront.net/Documentos/631/07814075327/6310781407532705092023212010.pdf","https://dpmzos25m8ivg.cloudfront.net/Documentos/631/07814075327/6310781407532705092023212010.pdf")</f>
        <v>https://dpmzos25m8ivg.cloudfront.net/Documentos/631/07814075327/6310781407532705092023212010.pdf</v>
      </c>
      <c r="F3820" s="5" t="str">
        <f>HYPERLINK("https://dpmzos25m8ivg.cloudfront.net/Documentos/631/07814075327/6310781407532705092023212018.pdf","https://dpmzos25m8ivg.cloudfront.net/Documentos/631/07814075327/6310781407532705092023212018.pdf")</f>
        <v>https://dpmzos25m8ivg.cloudfront.net/Documentos/631/07814075327/6310781407532705092023212018.pdf</v>
      </c>
      <c r="G3820" s="5" t="str">
        <f>HYPERLINK("https://dpmzos25m8ivg.cloudfront.net/Documentos/631/07814075327/6310781407532705092023212028.pdf","https://dpmzos25m8ivg.cloudfront.net/Documentos/631/07814075327/6310781407532705092023212028.pdf")</f>
        <v>https://dpmzos25m8ivg.cloudfront.net/Documentos/631/07814075327/6310781407532705092023212028.pdf</v>
      </c>
      <c r="H3820" s="5" t="s">
        <v>12397</v>
      </c>
    </row>
    <row r="3821" spans="1:8" x14ac:dyDescent="0.25">
      <c r="A3821" s="14" t="s">
        <v>3843</v>
      </c>
      <c r="B3821" s="3"/>
      <c r="C3821" s="3"/>
      <c r="D3821" s="3"/>
      <c r="E3821" s="5" t="str">
        <f>HYPERLINK("https://dpmzos25m8ivg.cloudfront.net/Documentos/631/07817071535/6310781707153507092023223230.pdf","https://dpmzos25m8ivg.cloudfront.net/Documentos/631/07817071535/6310781707153507092023223230.pdf")</f>
        <v>https://dpmzos25m8ivg.cloudfront.net/Documentos/631/07817071535/6310781707153507092023223230.pdf</v>
      </c>
      <c r="F3821" s="5" t="str">
        <f>HYPERLINK("https://dpmzos25m8ivg.cloudfront.net/Documentos/631/07817071535/6310781707153507092023223321.pdf","https://dpmzos25m8ivg.cloudfront.net/Documentos/631/07817071535/6310781707153507092023223321.pdf")</f>
        <v>https://dpmzos25m8ivg.cloudfront.net/Documentos/631/07817071535/6310781707153507092023223321.pdf</v>
      </c>
      <c r="G3821" s="5" t="str">
        <f>HYPERLINK("https://dpmzos25m8ivg.cloudfront.net/Documentos/631/07817071535/6310781707153507092023233633.pdf","https://dpmzos25m8ivg.cloudfront.net/Documentos/631/07817071535/6310781707153507092023233633.pdf")</f>
        <v>https://dpmzos25m8ivg.cloudfront.net/Documentos/631/07817071535/6310781707153507092023233633.pdf</v>
      </c>
      <c r="H3821" s="5" t="s">
        <v>12398</v>
      </c>
    </row>
    <row r="3822" spans="1:8" x14ac:dyDescent="0.25">
      <c r="A3822" s="14" t="s">
        <v>3844</v>
      </c>
      <c r="B3822" s="3" t="s">
        <v>8</v>
      </c>
      <c r="C3822" s="3"/>
      <c r="D3822" s="3"/>
      <c r="E3822" s="5" t="str">
        <f>HYPERLINK("https://dpmzos25m8ivg.cloudfront.net/Documentos/631/07817941106/6310781794110611092023124854.pdf","https://dpmzos25m8ivg.cloudfront.net/Documentos/631/07817941106/6310781794110611092023124854.pdf")</f>
        <v>https://dpmzos25m8ivg.cloudfront.net/Documentos/631/07817941106/6310781794110611092023124854.pdf</v>
      </c>
      <c r="F3822" s="5" t="str">
        <f>HYPERLINK("https://dpmzos25m8ivg.cloudfront.net/Documentos/631/07817941106/6310781794110611092023124904.pdf","https://dpmzos25m8ivg.cloudfront.net/Documentos/631/07817941106/6310781794110611092023124904.pdf")</f>
        <v>https://dpmzos25m8ivg.cloudfront.net/Documentos/631/07817941106/6310781794110611092023124904.pdf</v>
      </c>
      <c r="G3822" s="5" t="str">
        <f>HYPERLINK("https://dpmzos25m8ivg.cloudfront.net/Documentos/631/07817941106/6310781794110611092023124912.pdf","https://dpmzos25m8ivg.cloudfront.net/Documentos/631/07817941106/6310781794110611092023124912.pdf")</f>
        <v>https://dpmzos25m8ivg.cloudfront.net/Documentos/631/07817941106/6310781794110611092023124912.pdf</v>
      </c>
      <c r="H3822" s="5" t="s">
        <v>12399</v>
      </c>
    </row>
    <row r="3823" spans="1:8" x14ac:dyDescent="0.25">
      <c r="A3823" s="14" t="s">
        <v>3845</v>
      </c>
      <c r="B3823" s="3"/>
      <c r="C3823" s="3"/>
      <c r="D3823" s="3"/>
      <c r="E3823" s="5" t="str">
        <f>HYPERLINK("https://dpmzos25m8ivg.cloudfront.net/Documentos/631/07818098780/6310781809878010092023231226.pdf","https://dpmzos25m8ivg.cloudfront.net/Documentos/631/07818098780/6310781809878010092023231226.pdf")</f>
        <v>https://dpmzos25m8ivg.cloudfront.net/Documentos/631/07818098780/6310781809878010092023231226.pdf</v>
      </c>
      <c r="F3823" s="5" t="str">
        <f>HYPERLINK("https://dpmzos25m8ivg.cloudfront.net/Documentos/631/07818098780/6310781809878010092023231533.pdf","https://dpmzos25m8ivg.cloudfront.net/Documentos/631/07818098780/6310781809878010092023231533.pdf")</f>
        <v>https://dpmzos25m8ivg.cloudfront.net/Documentos/631/07818098780/6310781809878010092023231533.pdf</v>
      </c>
      <c r="G3823" s="5" t="str">
        <f>HYPERLINK("https://dpmzos25m8ivg.cloudfront.net/Documentos/631/07818098780/6310781809878010092023231551.pdf","https://dpmzos25m8ivg.cloudfront.net/Documentos/631/07818098780/6310781809878010092023231551.pdf")</f>
        <v>https://dpmzos25m8ivg.cloudfront.net/Documentos/631/07818098780/6310781809878010092023231551.pdf</v>
      </c>
      <c r="H3823" s="5" t="s">
        <v>12400</v>
      </c>
    </row>
    <row r="3824" spans="1:8" x14ac:dyDescent="0.25">
      <c r="A3824" s="14" t="s">
        <v>3846</v>
      </c>
      <c r="B3824" s="3"/>
      <c r="C3824" s="3"/>
      <c r="D3824" s="3"/>
      <c r="E3824" s="5" t="str">
        <f>HYPERLINK("https://dpmzos25m8ivg.cloudfront.net/Documentos/631/07820316330/6310782031633011092023153549.pdf","https://dpmzos25m8ivg.cloudfront.net/Documentos/631/07820316330/6310782031633011092023153549.pdf")</f>
        <v>https://dpmzos25m8ivg.cloudfront.net/Documentos/631/07820316330/6310782031633011092023153549.pdf</v>
      </c>
      <c r="F3824" s="5" t="str">
        <f>HYPERLINK("https://dpmzos25m8ivg.cloudfront.net/Documentos/631/07820316330/6310782031633011092023153602.pdf","https://dpmzos25m8ivg.cloudfront.net/Documentos/631/07820316330/6310782031633011092023153602.pdf")</f>
        <v>https://dpmzos25m8ivg.cloudfront.net/Documentos/631/07820316330/6310782031633011092023153602.pdf</v>
      </c>
      <c r="G3824" s="5" t="str">
        <f>HYPERLINK("https://dpmzos25m8ivg.cloudfront.net/Documentos/631/07820316330/6310782031633011092023153616.pdf","https://dpmzos25m8ivg.cloudfront.net/Documentos/631/07820316330/6310782031633011092023153616.pdf")</f>
        <v>https://dpmzos25m8ivg.cloudfront.net/Documentos/631/07820316330/6310782031633011092023153616.pdf</v>
      </c>
      <c r="H3824" s="5" t="s">
        <v>12401</v>
      </c>
    </row>
    <row r="3825" spans="1:8" x14ac:dyDescent="0.25">
      <c r="A3825" s="14" t="s">
        <v>3847</v>
      </c>
      <c r="B3825" s="3"/>
      <c r="C3825" s="3"/>
      <c r="D3825" s="3"/>
      <c r="E3825" s="5" t="str">
        <f>HYPERLINK("https://dpmzos25m8ivg.cloudfront.net/Documentos/631/07821692441/6310782169244113092023161930.jpeg","https://dpmzos25m8ivg.cloudfront.net/Documentos/631/07821692441/6310782169244113092023161930.jpeg")</f>
        <v>https://dpmzos25m8ivg.cloudfront.net/Documentos/631/07821692441/6310782169244113092023161930.jpeg</v>
      </c>
      <c r="F3825" s="5" t="str">
        <f>HYPERLINK("https://dpmzos25m8ivg.cloudfront.net/Documentos/631/07821692441/6310782169244113092023162122.jpg","https://dpmzos25m8ivg.cloudfront.net/Documentos/631/07821692441/6310782169244113092023162122.jpg")</f>
        <v>https://dpmzos25m8ivg.cloudfront.net/Documentos/631/07821692441/6310782169244113092023162122.jpg</v>
      </c>
      <c r="G3825" s="5" t="str">
        <f>HYPERLINK("https://dpmzos25m8ivg.cloudfront.net/Documentos/631/07821692441/6310782169244113092023162130.jpg","https://dpmzos25m8ivg.cloudfront.net/Documentos/631/07821692441/6310782169244113092023162130.jpg")</f>
        <v>https://dpmzos25m8ivg.cloudfront.net/Documentos/631/07821692441/6310782169244113092023162130.jpg</v>
      </c>
      <c r="H3825" s="5" t="s">
        <v>12402</v>
      </c>
    </row>
    <row r="3826" spans="1:8" x14ac:dyDescent="0.25">
      <c r="A3826" s="14" t="s">
        <v>3848</v>
      </c>
      <c r="B3826" s="3"/>
      <c r="C3826" s="3"/>
      <c r="D3826" s="3"/>
      <c r="E3826" s="5" t="str">
        <f>HYPERLINK("https://dpmzos25m8ivg.cloudfront.net/Documentos/631/07823191300/6310782319130011092023134334.pdf","https://dpmzos25m8ivg.cloudfront.net/Documentos/631/07823191300/6310782319130011092023134334.pdf")</f>
        <v>https://dpmzos25m8ivg.cloudfront.net/Documentos/631/07823191300/6310782319130011092023134334.pdf</v>
      </c>
      <c r="F3826" s="5" t="str">
        <f>HYPERLINK("https://dpmzos25m8ivg.cloudfront.net/Documentos/631/07823191300/6310782319130011092023134342.pdf","https://dpmzos25m8ivg.cloudfront.net/Documentos/631/07823191300/6310782319130011092023134342.pdf")</f>
        <v>https://dpmzos25m8ivg.cloudfront.net/Documentos/631/07823191300/6310782319130011092023134342.pdf</v>
      </c>
      <c r="G3826" s="5" t="str">
        <f>HYPERLINK("https://dpmzos25m8ivg.cloudfront.net/Documentos/631/07823191300/6310782319130011092023134350.pdf","https://dpmzos25m8ivg.cloudfront.net/Documentos/631/07823191300/6310782319130011092023134350.pdf")</f>
        <v>https://dpmzos25m8ivg.cloudfront.net/Documentos/631/07823191300/6310782319130011092023134350.pdf</v>
      </c>
      <c r="H3826" s="5" t="s">
        <v>12403</v>
      </c>
    </row>
    <row r="3827" spans="1:8" x14ac:dyDescent="0.25">
      <c r="A3827" s="14" t="s">
        <v>3849</v>
      </c>
      <c r="B3827" s="3"/>
      <c r="C3827" s="3"/>
      <c r="D3827" s="3"/>
      <c r="E3827" s="5" t="str">
        <f>HYPERLINK("https://dpmzos25m8ivg.cloudfront.net/Documentos/631/07825253345/6310782525334510092023193434.pdf","https://dpmzos25m8ivg.cloudfront.net/Documentos/631/07825253345/6310782525334510092023193434.pdf")</f>
        <v>https://dpmzos25m8ivg.cloudfront.net/Documentos/631/07825253345/6310782525334510092023193434.pdf</v>
      </c>
      <c r="F3827" s="5" t="str">
        <f>HYPERLINK("https://dpmzos25m8ivg.cloudfront.net/Documentos/631/07825253345/6310782525334510092023193457.pdf","https://dpmzos25m8ivg.cloudfront.net/Documentos/631/07825253345/6310782525334510092023193457.pdf")</f>
        <v>https://dpmzos25m8ivg.cloudfront.net/Documentos/631/07825253345/6310782525334510092023193457.pdf</v>
      </c>
      <c r="G3827" s="5" t="str">
        <f>HYPERLINK("https://dpmzos25m8ivg.cloudfront.net/Documentos/631/07825253345/6310782525334510092023193520.pdf","https://dpmzos25m8ivg.cloudfront.net/Documentos/631/07825253345/6310782525334510092023193520.pdf")</f>
        <v>https://dpmzos25m8ivg.cloudfront.net/Documentos/631/07825253345/6310782525334510092023193520.pdf</v>
      </c>
      <c r="H3827" s="5" t="s">
        <v>12404</v>
      </c>
    </row>
    <row r="3828" spans="1:8" x14ac:dyDescent="0.25">
      <c r="A3828" s="14" t="s">
        <v>3850</v>
      </c>
      <c r="B3828" s="3"/>
      <c r="C3828" s="3"/>
      <c r="D3828" s="3"/>
      <c r="E3828" s="5" t="str">
        <f>HYPERLINK("https://dpmzos25m8ivg.cloudfront.net/Documentos/631/07828908571/6310782890857107092023155747.jpg","https://dpmzos25m8ivg.cloudfront.net/Documentos/631/07828908571/6310782890857107092023155747.jpg")</f>
        <v>https://dpmzos25m8ivg.cloudfront.net/Documentos/631/07828908571/6310782890857107092023155747.jpg</v>
      </c>
      <c r="F3828" s="5" t="str">
        <f>HYPERLINK("https://dpmzos25m8ivg.cloudfront.net/Documentos/631/07828908571/6310782890857107092023155800.jpg","https://dpmzos25m8ivg.cloudfront.net/Documentos/631/07828908571/6310782890857107092023155800.jpg")</f>
        <v>https://dpmzos25m8ivg.cloudfront.net/Documentos/631/07828908571/6310782890857107092023155800.jpg</v>
      </c>
      <c r="G3828" s="5" t="str">
        <f>HYPERLINK("https://dpmzos25m8ivg.cloudfront.net/Documentos/631/07828908571/6310782890857107092023155811.jpg","https://dpmzos25m8ivg.cloudfront.net/Documentos/631/07828908571/6310782890857107092023155811.jpg")</f>
        <v>https://dpmzos25m8ivg.cloudfront.net/Documentos/631/07828908571/6310782890857107092023155811.jpg</v>
      </c>
      <c r="H3828" s="5" t="s">
        <v>12405</v>
      </c>
    </row>
    <row r="3829" spans="1:8" x14ac:dyDescent="0.25">
      <c r="A3829" s="2" t="s">
        <v>3851</v>
      </c>
      <c r="B3829" s="19" t="s">
        <v>3785</v>
      </c>
      <c r="C3829" s="3"/>
      <c r="D3829" s="3"/>
      <c r="E3829" s="5" t="str">
        <f>HYPERLINK("https://dpmzos25m8ivg.cloudfront.net/Documentos/631/07830485305/6310783048530511092023103159.pdf","https://dpmzos25m8ivg.cloudfront.net/Documentos/631/07830485305/6310783048530511092023103159.pdf")</f>
        <v>https://dpmzos25m8ivg.cloudfront.net/Documentos/631/07830485305/6310783048530511092023103159.pdf</v>
      </c>
      <c r="F3829" s="5" t="str">
        <f>HYPERLINK("https://dpmzos25m8ivg.cloudfront.net/Documentos/631/07830485305/6310783048530511092023103215.pdf","https://dpmzos25m8ivg.cloudfront.net/Documentos/631/07830485305/6310783048530511092023103215.pdf")</f>
        <v>https://dpmzos25m8ivg.cloudfront.net/Documentos/631/07830485305/6310783048530511092023103215.pdf</v>
      </c>
      <c r="G3829" s="5" t="str">
        <f>HYPERLINK("https://dpmzos25m8ivg.cloudfront.net/Documentos/631/07830485305/6310783048530511092023103241.pdf","https://dpmzos25m8ivg.cloudfront.net/Documentos/631/07830485305/6310783048530511092023103241.pdf")</f>
        <v>https://dpmzos25m8ivg.cloudfront.net/Documentos/631/07830485305/6310783048530511092023103241.pdf</v>
      </c>
      <c r="H3829" s="5" t="s">
        <v>12406</v>
      </c>
    </row>
    <row r="3830" spans="1:8" x14ac:dyDescent="0.25">
      <c r="A3830" s="14" t="s">
        <v>3852</v>
      </c>
      <c r="B3830" s="3"/>
      <c r="C3830" s="3"/>
      <c r="D3830" s="3"/>
      <c r="E3830" s="5" t="str">
        <f>HYPERLINK("https://dpmzos25m8ivg.cloudfront.net/Documentos/631/07831364471/6310783136447111092023002023.pdf","https://dpmzos25m8ivg.cloudfront.net/Documentos/631/07831364471/6310783136447111092023002023.pdf")</f>
        <v>https://dpmzos25m8ivg.cloudfront.net/Documentos/631/07831364471/6310783136447111092023002023.pdf</v>
      </c>
      <c r="F3830" s="5" t="str">
        <f>HYPERLINK("https://dpmzos25m8ivg.cloudfront.net/Documentos/631/07831364471/6310783136447111092023002041.pdf","https://dpmzos25m8ivg.cloudfront.net/Documentos/631/07831364471/6310783136447111092023002041.pdf")</f>
        <v>https://dpmzos25m8ivg.cloudfront.net/Documentos/631/07831364471/6310783136447111092023002041.pdf</v>
      </c>
      <c r="G3830" s="5" t="str">
        <f>HYPERLINK("https://dpmzos25m8ivg.cloudfront.net/Documentos/631/07831364471/6310783136447111092023002056.pdf","https://dpmzos25m8ivg.cloudfront.net/Documentos/631/07831364471/6310783136447111092023002056.pdf")</f>
        <v>https://dpmzos25m8ivg.cloudfront.net/Documentos/631/07831364471/6310783136447111092023002056.pdf</v>
      </c>
      <c r="H3830" s="5" t="s">
        <v>12407</v>
      </c>
    </row>
    <row r="3831" spans="1:8" x14ac:dyDescent="0.25">
      <c r="A3831" s="2" t="s">
        <v>3853</v>
      </c>
      <c r="B3831" s="19" t="s">
        <v>3785</v>
      </c>
      <c r="C3831" s="3"/>
      <c r="D3831" s="3"/>
      <c r="E3831" s="5" t="str">
        <f>HYPERLINK("https://dpmzos25m8ivg.cloudfront.net/Documentos/631/07831431411/6310783143141105092023204424.pdf","https://dpmzos25m8ivg.cloudfront.net/Documentos/631/07831431411/6310783143141105092023204424.pdf")</f>
        <v>https://dpmzos25m8ivg.cloudfront.net/Documentos/631/07831431411/6310783143141105092023204424.pdf</v>
      </c>
      <c r="F3831" s="5" t="str">
        <f>HYPERLINK("https://dpmzos25m8ivg.cloudfront.net/Documentos/631/07831431411/6310783143141105092023204902.pdf","https://dpmzos25m8ivg.cloudfront.net/Documentos/631/07831431411/6310783143141105092023204902.pdf")</f>
        <v>https://dpmzos25m8ivg.cloudfront.net/Documentos/631/07831431411/6310783143141105092023204902.pdf</v>
      </c>
      <c r="G3831" s="5" t="str">
        <f>HYPERLINK("https://dpmzos25m8ivg.cloudfront.net/Documentos/631/07831431411/6310783143141105092023204941.pdf","https://dpmzos25m8ivg.cloudfront.net/Documentos/631/07831431411/6310783143141105092023204941.pdf")</f>
        <v>https://dpmzos25m8ivg.cloudfront.net/Documentos/631/07831431411/6310783143141105092023204941.pdf</v>
      </c>
      <c r="H3831" s="5" t="s">
        <v>12408</v>
      </c>
    </row>
    <row r="3832" spans="1:8" x14ac:dyDescent="0.25">
      <c r="A3832" s="2" t="s">
        <v>3854</v>
      </c>
      <c r="B3832" s="19" t="s">
        <v>3785</v>
      </c>
      <c r="C3832" s="3"/>
      <c r="D3832" s="3"/>
      <c r="E3832" s="5" t="str">
        <f>HYPERLINK("https://dpmzos25m8ivg.cloudfront.net/Documentos/631/07832113502/6310783211350211092023165057.pdf","https://dpmzos25m8ivg.cloudfront.net/Documentos/631/07832113502/6310783211350211092023165057.pdf")</f>
        <v>https://dpmzos25m8ivg.cloudfront.net/Documentos/631/07832113502/6310783211350211092023165057.pdf</v>
      </c>
      <c r="F3832" s="5" t="str">
        <f>HYPERLINK("https://dpmzos25m8ivg.cloudfront.net/Documentos/631/07832113502/6310783211350211092023165238.pdf","https://dpmzos25m8ivg.cloudfront.net/Documentos/631/07832113502/6310783211350211092023165238.pdf")</f>
        <v>https://dpmzos25m8ivg.cloudfront.net/Documentos/631/07832113502/6310783211350211092023165238.pdf</v>
      </c>
      <c r="G3832" s="5" t="str">
        <f>HYPERLINK("https://dpmzos25m8ivg.cloudfront.net/Documentos/631/07832113502/6310783211350211092023165256.pdf","https://dpmzos25m8ivg.cloudfront.net/Documentos/631/07832113502/6310783211350211092023165256.pdf")</f>
        <v>https://dpmzos25m8ivg.cloudfront.net/Documentos/631/07832113502/6310783211350211092023165256.pdf</v>
      </c>
      <c r="H3832" s="5" t="s">
        <v>12409</v>
      </c>
    </row>
    <row r="3833" spans="1:8" x14ac:dyDescent="0.25">
      <c r="A3833" s="14" t="s">
        <v>3855</v>
      </c>
      <c r="B3833" s="3"/>
      <c r="C3833" s="3"/>
      <c r="D3833" s="3"/>
      <c r="E3833" s="5" t="str">
        <f>HYPERLINK("https://dpmzos25m8ivg.cloudfront.net/Documentos/631/07832328967/6310783232896705092023174921.pdf","https://dpmzos25m8ivg.cloudfront.net/Documentos/631/07832328967/6310783232896705092023174921.pdf")</f>
        <v>https://dpmzos25m8ivg.cloudfront.net/Documentos/631/07832328967/6310783232896705092023174921.pdf</v>
      </c>
      <c r="F3833" s="5" t="str">
        <f>HYPERLINK("https://dpmzos25m8ivg.cloudfront.net/Documentos/631/07832328967/6310783232896705092023174954.pdf","https://dpmzos25m8ivg.cloudfront.net/Documentos/631/07832328967/6310783232896705092023174954.pdf")</f>
        <v>https://dpmzos25m8ivg.cloudfront.net/Documentos/631/07832328967/6310783232896705092023174954.pdf</v>
      </c>
      <c r="G3833" s="5" t="str">
        <f>HYPERLINK("https://dpmzos25m8ivg.cloudfront.net/Documentos/631/07832328967/6310783232896705092023175012.pdf","https://dpmzos25m8ivg.cloudfront.net/Documentos/631/07832328967/6310783232896705092023175012.pdf")</f>
        <v>https://dpmzos25m8ivg.cloudfront.net/Documentos/631/07832328967/6310783232896705092023175012.pdf</v>
      </c>
      <c r="H3833" s="5" t="s">
        <v>12410</v>
      </c>
    </row>
    <row r="3834" spans="1:8" x14ac:dyDescent="0.25">
      <c r="A3834" s="14" t="s">
        <v>3856</v>
      </c>
      <c r="B3834" s="3"/>
      <c r="C3834" s="3"/>
      <c r="D3834" s="3"/>
      <c r="E3834" s="5" t="str">
        <f>HYPERLINK("https://dpmzos25m8ivg.cloudfront.net/Documentos/631/07832957310/6310783295731011092023131146.pdf","https://dpmzos25m8ivg.cloudfront.net/Documentos/631/07832957310/6310783295731011092023131146.pdf")</f>
        <v>https://dpmzos25m8ivg.cloudfront.net/Documentos/631/07832957310/6310783295731011092023131146.pdf</v>
      </c>
      <c r="F3834" s="5" t="str">
        <f>HYPERLINK("https://dpmzos25m8ivg.cloudfront.net/Documentos/631/07832957310/6310783295731011092023131158.pdf","https://dpmzos25m8ivg.cloudfront.net/Documentos/631/07832957310/6310783295731011092023131158.pdf")</f>
        <v>https://dpmzos25m8ivg.cloudfront.net/Documentos/631/07832957310/6310783295731011092023131158.pdf</v>
      </c>
      <c r="G3834" s="5" t="str">
        <f>HYPERLINK("https://dpmzos25m8ivg.cloudfront.net/Documentos/631/07832957310/6310783295731011092023131210.pdf","https://dpmzos25m8ivg.cloudfront.net/Documentos/631/07832957310/6310783295731011092023131210.pdf")</f>
        <v>https://dpmzos25m8ivg.cloudfront.net/Documentos/631/07832957310/6310783295731011092023131210.pdf</v>
      </c>
      <c r="H3834" s="5" t="s">
        <v>12411</v>
      </c>
    </row>
    <row r="3835" spans="1:8" x14ac:dyDescent="0.25">
      <c r="A3835" s="14" t="s">
        <v>3857</v>
      </c>
      <c r="B3835" s="3"/>
      <c r="C3835" s="3"/>
      <c r="D3835" s="3"/>
      <c r="E3835" s="5" t="str">
        <f>HYPERLINK("https://dpmzos25m8ivg.cloudfront.net/Documentos/631/07833855529/6310783385552907092023204840.pdf","https://dpmzos25m8ivg.cloudfront.net/Documentos/631/07833855529/6310783385552907092023204840.pdf")</f>
        <v>https://dpmzos25m8ivg.cloudfront.net/Documentos/631/07833855529/6310783385552907092023204840.pdf</v>
      </c>
      <c r="F3835" s="5" t="str">
        <f>HYPERLINK("https://dpmzos25m8ivg.cloudfront.net/Documentos/631/07833855529/6310783385552907092023204906.pdf","https://dpmzos25m8ivg.cloudfront.net/Documentos/631/07833855529/6310783385552907092023204906.pdf")</f>
        <v>https://dpmzos25m8ivg.cloudfront.net/Documentos/631/07833855529/6310783385552907092023204906.pdf</v>
      </c>
      <c r="G3835" s="5" t="str">
        <f>HYPERLINK("https://dpmzos25m8ivg.cloudfront.net/Documentos/631/07833855529/6310783385552907092023204918.pdf","https://dpmzos25m8ivg.cloudfront.net/Documentos/631/07833855529/6310783385552907092023204918.pdf")</f>
        <v>https://dpmzos25m8ivg.cloudfront.net/Documentos/631/07833855529/6310783385552907092023204918.pdf</v>
      </c>
      <c r="H3835" s="5" t="s">
        <v>12412</v>
      </c>
    </row>
    <row r="3836" spans="1:8" x14ac:dyDescent="0.25">
      <c r="A3836" s="14" t="s">
        <v>3858</v>
      </c>
      <c r="B3836" s="3"/>
      <c r="C3836" s="3"/>
      <c r="D3836" s="3"/>
      <c r="E3836" s="5" t="str">
        <f>HYPERLINK("https://dpmzos25m8ivg.cloudfront.net/Documentos/631/07837942159/6310783794215905092023164543.pdf","https://dpmzos25m8ivg.cloudfront.net/Documentos/631/07837942159/6310783794215905092023164543.pdf")</f>
        <v>https://dpmzos25m8ivg.cloudfront.net/Documentos/631/07837942159/6310783794215905092023164543.pdf</v>
      </c>
      <c r="F3836" s="5" t="str">
        <f>HYPERLINK("https://dpmzos25m8ivg.cloudfront.net/Documentos/631/07837942159/6310783794215905092023164609.pdf","https://dpmzos25m8ivg.cloudfront.net/Documentos/631/07837942159/6310783794215905092023164609.pdf")</f>
        <v>https://dpmzos25m8ivg.cloudfront.net/Documentos/631/07837942159/6310783794215905092023164609.pdf</v>
      </c>
      <c r="G3836" s="5" t="str">
        <f>HYPERLINK("https://dpmzos25m8ivg.cloudfront.net/Documentos/631/07837942159/6310783794215905092023164619.pdf","https://dpmzos25m8ivg.cloudfront.net/Documentos/631/07837942159/6310783794215905092023164619.pdf")</f>
        <v>https://dpmzos25m8ivg.cloudfront.net/Documentos/631/07837942159/6310783794215905092023164619.pdf</v>
      </c>
      <c r="H3836" s="5" t="s">
        <v>12413</v>
      </c>
    </row>
    <row r="3837" spans="1:8" x14ac:dyDescent="0.25">
      <c r="A3837" s="14" t="s">
        <v>3859</v>
      </c>
      <c r="B3837" s="3"/>
      <c r="C3837" s="3"/>
      <c r="D3837" s="3"/>
      <c r="E3837" s="5" t="str">
        <f>HYPERLINK("https://dpmzos25m8ivg.cloudfront.net/Documentos/631/07840860362/6310784086036209092023011318.pdf","https://dpmzos25m8ivg.cloudfront.net/Documentos/631/07840860362/6310784086036209092023011318.pdf")</f>
        <v>https://dpmzos25m8ivg.cloudfront.net/Documentos/631/07840860362/6310784086036209092023011318.pdf</v>
      </c>
      <c r="F3837" s="5" t="str">
        <f>HYPERLINK("https://dpmzos25m8ivg.cloudfront.net/Documentos/631/07840860362/6310784086036209092023011350.pdf","https://dpmzos25m8ivg.cloudfront.net/Documentos/631/07840860362/6310784086036209092023011350.pdf")</f>
        <v>https://dpmzos25m8ivg.cloudfront.net/Documentos/631/07840860362/6310784086036209092023011350.pdf</v>
      </c>
      <c r="G3837" s="5" t="str">
        <f>HYPERLINK("https://dpmzos25m8ivg.cloudfront.net/Documentos/631/07840860362/6310784086036209092023011439.pdf","https://dpmzos25m8ivg.cloudfront.net/Documentos/631/07840860362/6310784086036209092023011439.pdf")</f>
        <v>https://dpmzos25m8ivg.cloudfront.net/Documentos/631/07840860362/6310784086036209092023011439.pdf</v>
      </c>
      <c r="H3837" s="5" t="s">
        <v>12414</v>
      </c>
    </row>
    <row r="3838" spans="1:8" x14ac:dyDescent="0.25">
      <c r="A3838" s="14" t="s">
        <v>3860</v>
      </c>
      <c r="B3838" s="3"/>
      <c r="C3838" s="3"/>
      <c r="D3838" s="3"/>
      <c r="E3838" s="5" t="str">
        <f>HYPERLINK("https://dpmzos25m8ivg.cloudfront.net/Documentos/631/07843816747/6310784381674705092023221645.pdf","https://dpmzos25m8ivg.cloudfront.net/Documentos/631/07843816747/6310784381674705092023221645.pdf")</f>
        <v>https://dpmzos25m8ivg.cloudfront.net/Documentos/631/07843816747/6310784381674705092023221645.pdf</v>
      </c>
      <c r="F3838" s="5" t="str">
        <f>HYPERLINK("https://dpmzos25m8ivg.cloudfront.net/Documentos/631/07843816747/6310784381674705092023221705.pdf","https://dpmzos25m8ivg.cloudfront.net/Documentos/631/07843816747/6310784381674705092023221705.pdf")</f>
        <v>https://dpmzos25m8ivg.cloudfront.net/Documentos/631/07843816747/6310784381674705092023221705.pdf</v>
      </c>
      <c r="G3838" s="5" t="str">
        <f>HYPERLINK("https://dpmzos25m8ivg.cloudfront.net/Documentos/631/07843816747/6310784381674705092023221723.pdf","https://dpmzos25m8ivg.cloudfront.net/Documentos/631/07843816747/6310784381674705092023221723.pdf")</f>
        <v>https://dpmzos25m8ivg.cloudfront.net/Documentos/631/07843816747/6310784381674705092023221723.pdf</v>
      </c>
      <c r="H3838" s="5" t="s">
        <v>12415</v>
      </c>
    </row>
    <row r="3839" spans="1:8" x14ac:dyDescent="0.25">
      <c r="A3839" s="14" t="s">
        <v>3861</v>
      </c>
      <c r="B3839" s="3" t="s">
        <v>8</v>
      </c>
      <c r="C3839" s="3"/>
      <c r="D3839" s="3"/>
      <c r="E3839" s="5" t="str">
        <f>HYPERLINK("https://dpmzos25m8ivg.cloudfront.net/Documentos/631/07844568607/6310784456860711092023150420.pdf","https://dpmzos25m8ivg.cloudfront.net/Documentos/631/07844568607/6310784456860711092023150420.pdf")</f>
        <v>https://dpmzos25m8ivg.cloudfront.net/Documentos/631/07844568607/6310784456860711092023150420.pdf</v>
      </c>
      <c r="F3839" s="5" t="str">
        <f>HYPERLINK("https://dpmzos25m8ivg.cloudfront.net/Documentos/631/07844568607/6310784456860711092023150440.pdf","https://dpmzos25m8ivg.cloudfront.net/Documentos/631/07844568607/6310784456860711092023150440.pdf")</f>
        <v>https://dpmzos25m8ivg.cloudfront.net/Documentos/631/07844568607/6310784456860711092023150440.pdf</v>
      </c>
      <c r="G3839" s="5" t="str">
        <f>HYPERLINK("https://dpmzos25m8ivg.cloudfront.net/Documentos/631/07844568607/6310784456860711092023150449.pdf","https://dpmzos25m8ivg.cloudfront.net/Documentos/631/07844568607/6310784456860711092023150449.pdf")</f>
        <v>https://dpmzos25m8ivg.cloudfront.net/Documentos/631/07844568607/6310784456860711092023150449.pdf</v>
      </c>
      <c r="H3839" s="5" t="s">
        <v>12416</v>
      </c>
    </row>
    <row r="3840" spans="1:8" x14ac:dyDescent="0.25">
      <c r="A3840" s="2" t="s">
        <v>3862</v>
      </c>
      <c r="B3840" s="19" t="s">
        <v>3785</v>
      </c>
      <c r="C3840" s="3"/>
      <c r="D3840" s="3"/>
      <c r="E3840" s="5" t="str">
        <f>HYPERLINK("https://dpmzos25m8ivg.cloudfront.net/Documentos/631/07844759461/6310784475946107092023163547.pdf","https://dpmzos25m8ivg.cloudfront.net/Documentos/631/07844759461/6310784475946107092023163547.pdf")</f>
        <v>https://dpmzos25m8ivg.cloudfront.net/Documentos/631/07844759461/6310784475946107092023163547.pdf</v>
      </c>
      <c r="F3840" s="5" t="str">
        <f>HYPERLINK("https://dpmzos25m8ivg.cloudfront.net/Documentos/631/07844759461/6310784475946107092023163605.pdf","https://dpmzos25m8ivg.cloudfront.net/Documentos/631/07844759461/6310784475946107092023163605.pdf")</f>
        <v>https://dpmzos25m8ivg.cloudfront.net/Documentos/631/07844759461/6310784475946107092023163605.pdf</v>
      </c>
      <c r="G3840" s="5" t="str">
        <f>HYPERLINK("https://dpmzos25m8ivg.cloudfront.net/Documentos/631/07844759461/6310784475946107092023163624.pdf","https://dpmzos25m8ivg.cloudfront.net/Documentos/631/07844759461/6310784475946107092023163624.pdf")</f>
        <v>https://dpmzos25m8ivg.cloudfront.net/Documentos/631/07844759461/6310784475946107092023163624.pdf</v>
      </c>
      <c r="H3840" s="5" t="s">
        <v>12417</v>
      </c>
    </row>
    <row r="3841" spans="1:8" x14ac:dyDescent="0.25">
      <c r="A3841" s="14" t="s">
        <v>3863</v>
      </c>
      <c r="B3841" s="3"/>
      <c r="C3841" s="3"/>
      <c r="D3841" s="3"/>
      <c r="E3841" s="5" t="str">
        <f>HYPERLINK("https://dpmzos25m8ivg.cloudfront.net/Documentos/631/07846427377/6310784642737705092023160437.pdf","https://dpmzos25m8ivg.cloudfront.net/Documentos/631/07846427377/6310784642737705092023160437.pdf")</f>
        <v>https://dpmzos25m8ivg.cloudfront.net/Documentos/631/07846427377/6310784642737705092023160437.pdf</v>
      </c>
      <c r="F3841" s="5" t="str">
        <f>HYPERLINK("https://dpmzos25m8ivg.cloudfront.net/Documentos/631/07846427377/6310784642737705092023160446.pdf","https://dpmzos25m8ivg.cloudfront.net/Documentos/631/07846427377/6310784642737705092023160446.pdf")</f>
        <v>https://dpmzos25m8ivg.cloudfront.net/Documentos/631/07846427377/6310784642737705092023160446.pdf</v>
      </c>
      <c r="G3841" s="5" t="str">
        <f>HYPERLINK("https://dpmzos25m8ivg.cloudfront.net/Documentos/631/07846427377/6310784642737705092023160454.pdf","https://dpmzos25m8ivg.cloudfront.net/Documentos/631/07846427377/6310784642737705092023160454.pdf")</f>
        <v>https://dpmzos25m8ivg.cloudfront.net/Documentos/631/07846427377/6310784642737705092023160454.pdf</v>
      </c>
      <c r="H3841" s="5" t="s">
        <v>12418</v>
      </c>
    </row>
    <row r="3842" spans="1:8" x14ac:dyDescent="0.25">
      <c r="A3842" s="14" t="s">
        <v>3864</v>
      </c>
      <c r="B3842" s="3"/>
      <c r="C3842" s="3"/>
      <c r="D3842" s="3"/>
      <c r="E3842" s="5" t="str">
        <f>HYPERLINK("https://dpmzos25m8ivg.cloudfront.net/Documentos/631/07847464357/6310784746435711092023152604.pdf","https://dpmzos25m8ivg.cloudfront.net/Documentos/631/07847464357/6310784746435711092023152604.pdf")</f>
        <v>https://dpmzos25m8ivg.cloudfront.net/Documentos/631/07847464357/6310784746435711092023152604.pdf</v>
      </c>
      <c r="F3842" s="5" t="str">
        <f>HYPERLINK("https://dpmzos25m8ivg.cloudfront.net/Documentos/631/07847464357/6310784746435711092023152936.pdf","https://dpmzos25m8ivg.cloudfront.net/Documentos/631/07847464357/6310784746435711092023152936.pdf")</f>
        <v>https://dpmzos25m8ivg.cloudfront.net/Documentos/631/07847464357/6310784746435711092023152936.pdf</v>
      </c>
      <c r="G3842" s="5" t="str">
        <f>HYPERLINK("https://dpmzos25m8ivg.cloudfront.net/Documentos/631/07847464357/6310784746435711092023153218.pdf","https://dpmzos25m8ivg.cloudfront.net/Documentos/631/07847464357/6310784746435711092023153218.pdf")</f>
        <v>https://dpmzos25m8ivg.cloudfront.net/Documentos/631/07847464357/6310784746435711092023153218.pdf</v>
      </c>
      <c r="H3842" s="5" t="s">
        <v>12419</v>
      </c>
    </row>
    <row r="3843" spans="1:8" x14ac:dyDescent="0.25">
      <c r="A3843" s="14" t="s">
        <v>3865</v>
      </c>
      <c r="B3843" s="3"/>
      <c r="C3843" s="3"/>
      <c r="D3843" s="3"/>
      <c r="E3843" s="5" t="str">
        <f>HYPERLINK("https://dpmzos25m8ivg.cloudfront.net/Documentos/631/07849324501/6310784932450114092023153240.pdf","https://dpmzos25m8ivg.cloudfront.net/Documentos/631/07849324501/6310784932450114092023153240.pdf")</f>
        <v>https://dpmzos25m8ivg.cloudfront.net/Documentos/631/07849324501/6310784932450114092023153240.pdf</v>
      </c>
      <c r="F3843" s="5" t="str">
        <f>HYPERLINK("https://dpmzos25m8ivg.cloudfront.net/Documentos/631/07849324501/6310784932450114092023153254.pdf","https://dpmzos25m8ivg.cloudfront.net/Documentos/631/07849324501/6310784932450114092023153254.pdf")</f>
        <v>https://dpmzos25m8ivg.cloudfront.net/Documentos/631/07849324501/6310784932450114092023153254.pdf</v>
      </c>
      <c r="G3843" s="5" t="str">
        <f>HYPERLINK("https://dpmzos25m8ivg.cloudfront.net/Documentos/631/07849324501/6310784932450114092023153306.pdf","https://dpmzos25m8ivg.cloudfront.net/Documentos/631/07849324501/6310784932450114092023153306.pdf")</f>
        <v>https://dpmzos25m8ivg.cloudfront.net/Documentos/631/07849324501/6310784932450114092023153306.pdf</v>
      </c>
      <c r="H3843" s="5" t="s">
        <v>12420</v>
      </c>
    </row>
    <row r="3844" spans="1:8" x14ac:dyDescent="0.25">
      <c r="A3844" s="14" t="s">
        <v>3866</v>
      </c>
      <c r="B3844" s="3"/>
      <c r="C3844" s="3"/>
      <c r="D3844" s="3"/>
      <c r="E3844" s="5" t="str">
        <f>HYPERLINK("https://dpmzos25m8ivg.cloudfront.net/Documentos/631/07849732537/6310784973253708092023182649.pdf","https://dpmzos25m8ivg.cloudfront.net/Documentos/631/07849732537/6310784973253708092023182649.pdf")</f>
        <v>https://dpmzos25m8ivg.cloudfront.net/Documentos/631/07849732537/6310784973253708092023182649.pdf</v>
      </c>
      <c r="F3844" s="5" t="str">
        <f>HYPERLINK("https://dpmzos25m8ivg.cloudfront.net/Documentos/631/07849732537/6310784973253708092023182720.pdf","https://dpmzos25m8ivg.cloudfront.net/Documentos/631/07849732537/6310784973253708092023182720.pdf")</f>
        <v>https://dpmzos25m8ivg.cloudfront.net/Documentos/631/07849732537/6310784973253708092023182720.pdf</v>
      </c>
      <c r="G3844" s="5" t="str">
        <f>HYPERLINK("https://dpmzos25m8ivg.cloudfront.net/Documentos/631/07849732537/6310784973253708092023182736.pdf","https://dpmzos25m8ivg.cloudfront.net/Documentos/631/07849732537/6310784973253708092023182736.pdf")</f>
        <v>https://dpmzos25m8ivg.cloudfront.net/Documentos/631/07849732537/6310784973253708092023182736.pdf</v>
      </c>
      <c r="H3844" s="5" t="s">
        <v>12421</v>
      </c>
    </row>
    <row r="3845" spans="1:8" x14ac:dyDescent="0.25">
      <c r="A3845" s="14" t="s">
        <v>3867</v>
      </c>
      <c r="B3845" s="3" t="s">
        <v>3385</v>
      </c>
      <c r="C3845" s="3"/>
      <c r="D3845" s="3"/>
      <c r="E3845" s="5" t="str">
        <f>HYPERLINK("https://dpmzos25m8ivg.cloudfront.net/Documentos/631/07851609909/6310785160990911092023142325.pdf","https://dpmzos25m8ivg.cloudfront.net/Documentos/631/07851609909/6310785160990911092023142325.pdf")</f>
        <v>https://dpmzos25m8ivg.cloudfront.net/Documentos/631/07851609909/6310785160990911092023142325.pdf</v>
      </c>
      <c r="F3845" s="5" t="str">
        <f>HYPERLINK("https://dpmzos25m8ivg.cloudfront.net/Documentos/631/07851609909/6310785160990911092023142333.pdf","https://dpmzos25m8ivg.cloudfront.net/Documentos/631/07851609909/6310785160990911092023142333.pdf")</f>
        <v>https://dpmzos25m8ivg.cloudfront.net/Documentos/631/07851609909/6310785160990911092023142333.pdf</v>
      </c>
      <c r="G3845" s="5" t="str">
        <f>HYPERLINK("https://dpmzos25m8ivg.cloudfront.net/Documentos/631/07851609909/6310785160990911092023142343.pdf","https://dpmzos25m8ivg.cloudfront.net/Documentos/631/07851609909/6310785160990911092023142343.pdf")</f>
        <v>https://dpmzos25m8ivg.cloudfront.net/Documentos/631/07851609909/6310785160990911092023142343.pdf</v>
      </c>
      <c r="H3845" s="5" t="s">
        <v>12422</v>
      </c>
    </row>
    <row r="3846" spans="1:8" x14ac:dyDescent="0.25">
      <c r="A3846" s="14" t="s">
        <v>3868</v>
      </c>
      <c r="B3846" s="3"/>
      <c r="C3846" s="3"/>
      <c r="D3846" s="3"/>
      <c r="E3846" s="5" t="str">
        <f>HYPERLINK("https://dpmzos25m8ivg.cloudfront.net/Documentos/631/07853929390/6310785392939011092023164336.pdf","https://dpmzos25m8ivg.cloudfront.net/Documentos/631/07853929390/6310785392939011092023164336.pdf")</f>
        <v>https://dpmzos25m8ivg.cloudfront.net/Documentos/631/07853929390/6310785392939011092023164336.pdf</v>
      </c>
      <c r="F3846" s="5" t="str">
        <f>HYPERLINK("https://dpmzos25m8ivg.cloudfront.net/Documentos/631/07853929390/6310785392939011092023164402.pdf","https://dpmzos25m8ivg.cloudfront.net/Documentos/631/07853929390/6310785392939011092023164402.pdf")</f>
        <v>https://dpmzos25m8ivg.cloudfront.net/Documentos/631/07853929390/6310785392939011092023164402.pdf</v>
      </c>
      <c r="G3846" s="5" t="str">
        <f>HYPERLINK("https://dpmzos25m8ivg.cloudfront.net/Documentos/631/07853929390/6310785392939011092023164416.pdf","https://dpmzos25m8ivg.cloudfront.net/Documentos/631/07853929390/6310785392939011092023164416.pdf")</f>
        <v>https://dpmzos25m8ivg.cloudfront.net/Documentos/631/07853929390/6310785392939011092023164416.pdf</v>
      </c>
      <c r="H3846" s="5" t="s">
        <v>12423</v>
      </c>
    </row>
    <row r="3847" spans="1:8" x14ac:dyDescent="0.25">
      <c r="A3847" s="14" t="s">
        <v>3869</v>
      </c>
      <c r="B3847" s="3"/>
      <c r="C3847" s="3"/>
      <c r="D3847" s="3"/>
      <c r="E3847" s="5" t="str">
        <f>HYPERLINK("https://dpmzos25m8ivg.cloudfront.net/Documentos/631/07858308475/6310785830847505092023200845.pdf","https://dpmzos25m8ivg.cloudfront.net/Documentos/631/07858308475/6310785830847505092023200845.pdf")</f>
        <v>https://dpmzos25m8ivg.cloudfront.net/Documentos/631/07858308475/6310785830847505092023200845.pdf</v>
      </c>
      <c r="F3847" s="5" t="str">
        <f>HYPERLINK("https://dpmzos25m8ivg.cloudfront.net/Documentos/631/07858308475/6310785830847505092023200857.pdf","https://dpmzos25m8ivg.cloudfront.net/Documentos/631/07858308475/6310785830847505092023200857.pdf")</f>
        <v>https://dpmzos25m8ivg.cloudfront.net/Documentos/631/07858308475/6310785830847505092023200857.pdf</v>
      </c>
      <c r="G3847" s="5" t="str">
        <f>HYPERLINK("https://dpmzos25m8ivg.cloudfront.net/Documentos/631/07858308475/6310785830847505092023200911.pdf","https://dpmzos25m8ivg.cloudfront.net/Documentos/631/07858308475/6310785830847505092023200911.pdf")</f>
        <v>https://dpmzos25m8ivg.cloudfront.net/Documentos/631/07858308475/6310785830847505092023200911.pdf</v>
      </c>
      <c r="H3847" s="5" t="s">
        <v>12424</v>
      </c>
    </row>
    <row r="3848" spans="1:8" x14ac:dyDescent="0.25">
      <c r="A3848" s="14" t="s">
        <v>3870</v>
      </c>
      <c r="B3848" s="3"/>
      <c r="C3848" s="3"/>
      <c r="D3848" s="3"/>
      <c r="E3848" s="5" t="str">
        <f>HYPERLINK("https://dpmzos25m8ivg.cloudfront.net/Documentos/631/07859423510/6310785942351009092023142001.jpg","https://dpmzos25m8ivg.cloudfront.net/Documentos/631/07859423510/6310785942351009092023142001.jpg")</f>
        <v>https://dpmzos25m8ivg.cloudfront.net/Documentos/631/07859423510/6310785942351009092023142001.jpg</v>
      </c>
      <c r="F3848" s="5" t="str">
        <f>HYPERLINK("https://dpmzos25m8ivg.cloudfront.net/Documentos/631/07859423510/6310785942351009092023142037.jpg","https://dpmzos25m8ivg.cloudfront.net/Documentos/631/07859423510/6310785942351009092023142037.jpg")</f>
        <v>https://dpmzos25m8ivg.cloudfront.net/Documentos/631/07859423510/6310785942351009092023142037.jpg</v>
      </c>
      <c r="G3848" s="5" t="str">
        <f>HYPERLINK("https://dpmzos25m8ivg.cloudfront.net/Documentos/631/07859423510/6310785942351009092023142057.jpg","https://dpmzos25m8ivg.cloudfront.net/Documentos/631/07859423510/6310785942351009092023142057.jpg")</f>
        <v>https://dpmzos25m8ivg.cloudfront.net/Documentos/631/07859423510/6310785942351009092023142057.jpg</v>
      </c>
      <c r="H3848" s="5" t="s">
        <v>12425</v>
      </c>
    </row>
    <row r="3849" spans="1:8" x14ac:dyDescent="0.25">
      <c r="A3849" s="14" t="s">
        <v>3871</v>
      </c>
      <c r="B3849" s="3"/>
      <c r="C3849" s="3"/>
      <c r="D3849" s="3"/>
      <c r="E3849" s="5" t="str">
        <f>HYPERLINK("https://dpmzos25m8ivg.cloudfront.net/Documentos/631/07861014312/6310786101431211092023104635.pdf","https://dpmzos25m8ivg.cloudfront.net/Documentos/631/07861014312/6310786101431211092023104635.pdf")</f>
        <v>https://dpmzos25m8ivg.cloudfront.net/Documentos/631/07861014312/6310786101431211092023104635.pdf</v>
      </c>
      <c r="F3849" s="5" t="str">
        <f>HYPERLINK("https://dpmzos25m8ivg.cloudfront.net/Documentos/631/07861014312/6310786101431211092023110446.pdf","https://dpmzos25m8ivg.cloudfront.net/Documentos/631/07861014312/6310786101431211092023110446.pdf")</f>
        <v>https://dpmzos25m8ivg.cloudfront.net/Documentos/631/07861014312/6310786101431211092023110446.pdf</v>
      </c>
      <c r="G3849" s="5" t="str">
        <f>HYPERLINK("https://dpmzos25m8ivg.cloudfront.net/Documentos/631/07861014312/6310786101431211092023110457.pdf","https://dpmzos25m8ivg.cloudfront.net/Documentos/631/07861014312/6310786101431211092023110457.pdf")</f>
        <v>https://dpmzos25m8ivg.cloudfront.net/Documentos/631/07861014312/6310786101431211092023110457.pdf</v>
      </c>
      <c r="H3849" s="5" t="s">
        <v>12426</v>
      </c>
    </row>
    <row r="3850" spans="1:8" x14ac:dyDescent="0.25">
      <c r="A3850" s="14" t="s">
        <v>3872</v>
      </c>
      <c r="B3850" s="3"/>
      <c r="C3850" s="3"/>
      <c r="D3850" s="3"/>
      <c r="E3850" s="5" t="str">
        <f>HYPERLINK("https://dpmzos25m8ivg.cloudfront.net/Documentos/631/07863331382/6310786333138210092023232544.jpg","https://dpmzos25m8ivg.cloudfront.net/Documentos/631/07863331382/6310786333138210092023232544.jpg")</f>
        <v>https://dpmzos25m8ivg.cloudfront.net/Documentos/631/07863331382/6310786333138210092023232544.jpg</v>
      </c>
      <c r="F3850" s="5" t="str">
        <f>HYPERLINK("https://dpmzos25m8ivg.cloudfront.net/Documentos/631/07863331382/6310786333138210092023232559.jpg","https://dpmzos25m8ivg.cloudfront.net/Documentos/631/07863331382/6310786333138210092023232559.jpg")</f>
        <v>https://dpmzos25m8ivg.cloudfront.net/Documentos/631/07863331382/6310786333138210092023232559.jpg</v>
      </c>
      <c r="G3850" s="5" t="str">
        <f>HYPERLINK("https://dpmzos25m8ivg.cloudfront.net/Documentos/631/07863331382/6310786333138210092023232615.jpg","https://dpmzos25m8ivg.cloudfront.net/Documentos/631/07863331382/6310786333138210092023232615.jpg")</f>
        <v>https://dpmzos25m8ivg.cloudfront.net/Documentos/631/07863331382/6310786333138210092023232615.jpg</v>
      </c>
      <c r="H3850" s="5" t="s">
        <v>12427</v>
      </c>
    </row>
    <row r="3851" spans="1:8" x14ac:dyDescent="0.25">
      <c r="A3851" s="14" t="s">
        <v>3873</v>
      </c>
      <c r="B3851" s="3"/>
      <c r="C3851" s="3"/>
      <c r="D3851" s="3"/>
      <c r="E3851" s="5" t="str">
        <f>HYPERLINK("https://dpmzos25m8ivg.cloudfront.net/Documentos/631/07865645392/6310786564539206092023002531.pdf","https://dpmzos25m8ivg.cloudfront.net/Documentos/631/07865645392/6310786564539206092023002531.pdf")</f>
        <v>https://dpmzos25m8ivg.cloudfront.net/Documentos/631/07865645392/6310786564539206092023002531.pdf</v>
      </c>
      <c r="F3851" s="5" t="str">
        <f>HYPERLINK("https://dpmzos25m8ivg.cloudfront.net/Documentos/631/07865645392/6310786564539206092023002549.pdf","https://dpmzos25m8ivg.cloudfront.net/Documentos/631/07865645392/6310786564539206092023002549.pdf")</f>
        <v>https://dpmzos25m8ivg.cloudfront.net/Documentos/631/07865645392/6310786564539206092023002549.pdf</v>
      </c>
      <c r="G3851" s="5" t="str">
        <f>HYPERLINK("https://dpmzos25m8ivg.cloudfront.net/Documentos/631/07865645392/6310786564539206092023002601.pdf","https://dpmzos25m8ivg.cloudfront.net/Documentos/631/07865645392/6310786564539206092023002601.pdf")</f>
        <v>https://dpmzos25m8ivg.cloudfront.net/Documentos/631/07865645392/6310786564539206092023002601.pdf</v>
      </c>
      <c r="H3851" s="5" t="s">
        <v>12428</v>
      </c>
    </row>
    <row r="3852" spans="1:8" x14ac:dyDescent="0.25">
      <c r="A3852" s="14" t="s">
        <v>3874</v>
      </c>
      <c r="B3852" s="3"/>
      <c r="C3852" s="3"/>
      <c r="D3852" s="3"/>
      <c r="E3852" s="5" t="str">
        <f>HYPERLINK("https://dpmzos25m8ivg.cloudfront.net/Documentos/631/07869300551/6310786930055107092023180957.jpg","https://dpmzos25m8ivg.cloudfront.net/Documentos/631/07869300551/6310786930055107092023180957.jpg")</f>
        <v>https://dpmzos25m8ivg.cloudfront.net/Documentos/631/07869300551/6310786930055107092023180957.jpg</v>
      </c>
      <c r="F3852" s="5" t="str">
        <f>HYPERLINK("https://dpmzos25m8ivg.cloudfront.net/Documentos/631/07869300551/6310786930055107092023181115.jpg","https://dpmzos25m8ivg.cloudfront.net/Documentos/631/07869300551/6310786930055107092023181115.jpg")</f>
        <v>https://dpmzos25m8ivg.cloudfront.net/Documentos/631/07869300551/6310786930055107092023181115.jpg</v>
      </c>
      <c r="G3852" s="5" t="str">
        <f>HYPERLINK("https://dpmzos25m8ivg.cloudfront.net/Documentos/631/07869300551/6310786930055107092023181225.jpg","https://dpmzos25m8ivg.cloudfront.net/Documentos/631/07869300551/6310786930055107092023181225.jpg")</f>
        <v>https://dpmzos25m8ivg.cloudfront.net/Documentos/631/07869300551/6310786930055107092023181225.jpg</v>
      </c>
      <c r="H3852" s="5" t="s">
        <v>12429</v>
      </c>
    </row>
    <row r="3853" spans="1:8" x14ac:dyDescent="0.25">
      <c r="A3853" s="14" t="s">
        <v>3875</v>
      </c>
      <c r="B3853" s="3" t="s">
        <v>8</v>
      </c>
      <c r="C3853" s="3"/>
      <c r="D3853" s="3"/>
      <c r="E3853" s="5" t="str">
        <f>HYPERLINK("https://dpmzos25m8ivg.cloudfront.net/Documentos/631/07869345490/6310786934549009092023223133.jpeg","https://dpmzos25m8ivg.cloudfront.net/Documentos/631/07869345490/6310786934549009092023223133.jpeg")</f>
        <v>https://dpmzos25m8ivg.cloudfront.net/Documentos/631/07869345490/6310786934549009092023223133.jpeg</v>
      </c>
      <c r="F3853" s="5" t="str">
        <f>HYPERLINK("https://dpmzos25m8ivg.cloudfront.net/Documentos/631/07869345490/6310786934549009092023223151.jpeg","https://dpmzos25m8ivg.cloudfront.net/Documentos/631/07869345490/6310786934549009092023223151.jpeg")</f>
        <v>https://dpmzos25m8ivg.cloudfront.net/Documentos/631/07869345490/6310786934549009092023223151.jpeg</v>
      </c>
      <c r="G3853" s="5" t="str">
        <f>HYPERLINK("https://dpmzos25m8ivg.cloudfront.net/Documentos/631/07869345490/6310786934549009092023223208.jpeg","https://dpmzos25m8ivg.cloudfront.net/Documentos/631/07869345490/6310786934549009092023223208.jpeg")</f>
        <v>https://dpmzos25m8ivg.cloudfront.net/Documentos/631/07869345490/6310786934549009092023223208.jpeg</v>
      </c>
      <c r="H3853" s="5" t="s">
        <v>12430</v>
      </c>
    </row>
    <row r="3854" spans="1:8" x14ac:dyDescent="0.25">
      <c r="A3854" s="14" t="s">
        <v>3876</v>
      </c>
      <c r="B3854" s="3"/>
      <c r="C3854" s="3"/>
      <c r="D3854" s="3"/>
      <c r="E3854" s="5" t="str">
        <f>HYPERLINK("https://dpmzos25m8ivg.cloudfront.net/Documentos/631/07870065560/6310787006556009092023182313.pdf","https://dpmzos25m8ivg.cloudfront.net/Documentos/631/07870065560/6310787006556009092023182313.pdf")</f>
        <v>https://dpmzos25m8ivg.cloudfront.net/Documentos/631/07870065560/6310787006556009092023182313.pdf</v>
      </c>
      <c r="F3854" s="5" t="str">
        <f>HYPERLINK("https://dpmzos25m8ivg.cloudfront.net/Documentos/631/07870065560/6310787006556009092023182326.pdf","https://dpmzos25m8ivg.cloudfront.net/Documentos/631/07870065560/6310787006556009092023182326.pdf")</f>
        <v>https://dpmzos25m8ivg.cloudfront.net/Documentos/631/07870065560/6310787006556009092023182326.pdf</v>
      </c>
      <c r="G3854" s="5" t="str">
        <f>HYPERLINK("https://dpmzos25m8ivg.cloudfront.net/Documentos/631/07870065560/6310787006556009092023182341.pdf","https://dpmzos25m8ivg.cloudfront.net/Documentos/631/07870065560/6310787006556009092023182341.pdf")</f>
        <v>https://dpmzos25m8ivg.cloudfront.net/Documentos/631/07870065560/6310787006556009092023182341.pdf</v>
      </c>
      <c r="H3854" s="5" t="s">
        <v>12431</v>
      </c>
    </row>
    <row r="3855" spans="1:8" x14ac:dyDescent="0.25">
      <c r="A3855" s="14" t="s">
        <v>3877</v>
      </c>
      <c r="B3855" s="3"/>
      <c r="C3855" s="3"/>
      <c r="D3855" s="3"/>
      <c r="E3855" s="5" t="str">
        <f>HYPERLINK("https://dpmzos25m8ivg.cloudfront.net/Documentos/631/07870684384/6310787068438411092023151920.jpg","https://dpmzos25m8ivg.cloudfront.net/Documentos/631/07870684384/6310787068438411092023151920.jpg")</f>
        <v>https://dpmzos25m8ivg.cloudfront.net/Documentos/631/07870684384/6310787068438411092023151920.jpg</v>
      </c>
      <c r="F3855" s="5" t="str">
        <f>HYPERLINK("https://dpmzos25m8ivg.cloudfront.net/Documentos/631/07870684384/6310787068438411092023151930.jpg","https://dpmzos25m8ivg.cloudfront.net/Documentos/631/07870684384/6310787068438411092023151930.jpg")</f>
        <v>https://dpmzos25m8ivg.cloudfront.net/Documentos/631/07870684384/6310787068438411092023151930.jpg</v>
      </c>
      <c r="G3855" s="5" t="str">
        <f>HYPERLINK("https://dpmzos25m8ivg.cloudfront.net/Documentos/631/07870684384/6310787068438411092023151941.jpg","https://dpmzos25m8ivg.cloudfront.net/Documentos/631/07870684384/6310787068438411092023151941.jpg")</f>
        <v>https://dpmzos25m8ivg.cloudfront.net/Documentos/631/07870684384/6310787068438411092023151941.jpg</v>
      </c>
      <c r="H3855" s="5" t="s">
        <v>12432</v>
      </c>
    </row>
    <row r="3856" spans="1:8" x14ac:dyDescent="0.25">
      <c r="A3856" s="14" t="s">
        <v>3878</v>
      </c>
      <c r="B3856" s="3"/>
      <c r="C3856" s="3"/>
      <c r="D3856" s="3"/>
      <c r="E3856" s="5" t="str">
        <f>HYPERLINK("https://dpmzos25m8ivg.cloudfront.net/Documentos/631/07871005367/6310787100536709092023023729.pdf","https://dpmzos25m8ivg.cloudfront.net/Documentos/631/07871005367/6310787100536709092023023729.pdf")</f>
        <v>https://dpmzos25m8ivg.cloudfront.net/Documentos/631/07871005367/6310787100536709092023023729.pdf</v>
      </c>
      <c r="F3856" s="5" t="str">
        <f>HYPERLINK("https://dpmzos25m8ivg.cloudfront.net/Documentos/631/07871005367/6310787100536709092023023744.pdf","https://dpmzos25m8ivg.cloudfront.net/Documentos/631/07871005367/6310787100536709092023023744.pdf")</f>
        <v>https://dpmzos25m8ivg.cloudfront.net/Documentos/631/07871005367/6310787100536709092023023744.pdf</v>
      </c>
      <c r="G3856" s="5" t="str">
        <f>HYPERLINK("https://dpmzos25m8ivg.cloudfront.net/Documentos/631/07871005367/6310787100536709092023023758.pdf","https://dpmzos25m8ivg.cloudfront.net/Documentos/631/07871005367/6310787100536709092023023758.pdf")</f>
        <v>https://dpmzos25m8ivg.cloudfront.net/Documentos/631/07871005367/6310787100536709092023023758.pdf</v>
      </c>
      <c r="H3856" s="5" t="s">
        <v>12433</v>
      </c>
    </row>
    <row r="3857" spans="1:8" x14ac:dyDescent="0.25">
      <c r="A3857" s="14" t="s">
        <v>3879</v>
      </c>
      <c r="B3857" s="3"/>
      <c r="C3857" s="3"/>
      <c r="D3857" s="3"/>
      <c r="E3857" s="5" t="str">
        <f>HYPERLINK("https://dpmzos25m8ivg.cloudfront.net/Documentos/631/07871268376/6310787126837614092023152916.pdf","https://dpmzos25m8ivg.cloudfront.net/Documentos/631/07871268376/6310787126837614092023152916.pdf")</f>
        <v>https://dpmzos25m8ivg.cloudfront.net/Documentos/631/07871268376/6310787126837614092023152916.pdf</v>
      </c>
      <c r="F3857" s="5" t="str">
        <f>HYPERLINK("https://dpmzos25m8ivg.cloudfront.net/Documentos/631/07871268376/6310787126837614092023153011.pdf","https://dpmzos25m8ivg.cloudfront.net/Documentos/631/07871268376/6310787126837614092023153011.pdf")</f>
        <v>https://dpmzos25m8ivg.cloudfront.net/Documentos/631/07871268376/6310787126837614092023153011.pdf</v>
      </c>
      <c r="G3857" s="5" t="str">
        <f>HYPERLINK("https://dpmzos25m8ivg.cloudfront.net/Documentos/631/07871268376/6310787126837614092023153116.pdf","https://dpmzos25m8ivg.cloudfront.net/Documentos/631/07871268376/6310787126837614092023153116.pdf")</f>
        <v>https://dpmzos25m8ivg.cloudfront.net/Documentos/631/07871268376/6310787126837614092023153116.pdf</v>
      </c>
      <c r="H3857" s="5" t="s">
        <v>12434</v>
      </c>
    </row>
    <row r="3858" spans="1:8" x14ac:dyDescent="0.25">
      <c r="A3858" s="14" t="s">
        <v>3880</v>
      </c>
      <c r="B3858" s="3"/>
      <c r="C3858" s="3"/>
      <c r="D3858" s="3"/>
      <c r="E3858" s="5" t="str">
        <f>HYPERLINK("https://dpmzos25m8ivg.cloudfront.net/Documentos/631/07872001314/6310787200131414092023054928.jpeg","https://dpmzos25m8ivg.cloudfront.net/Documentos/631/07872001314/6310787200131414092023054928.jpeg")</f>
        <v>https://dpmzos25m8ivg.cloudfront.net/Documentos/631/07872001314/6310787200131414092023054928.jpeg</v>
      </c>
      <c r="F3858" s="5" t="str">
        <f>HYPERLINK("https://dpmzos25m8ivg.cloudfront.net/Documentos/631/07872001314/6310787200131414092023054938.jpeg","https://dpmzos25m8ivg.cloudfront.net/Documentos/631/07872001314/6310787200131414092023054938.jpeg")</f>
        <v>https://dpmzos25m8ivg.cloudfront.net/Documentos/631/07872001314/6310787200131414092023054938.jpeg</v>
      </c>
      <c r="G3858" s="5" t="str">
        <f>HYPERLINK("https://dpmzos25m8ivg.cloudfront.net/Documentos/631/07872001314/6310787200131414092023054950.jpeg","https://dpmzos25m8ivg.cloudfront.net/Documentos/631/07872001314/6310787200131414092023054950.jpeg")</f>
        <v>https://dpmzos25m8ivg.cloudfront.net/Documentos/631/07872001314/6310787200131414092023054950.jpeg</v>
      </c>
      <c r="H3858" s="5" t="s">
        <v>12435</v>
      </c>
    </row>
    <row r="3859" spans="1:8" x14ac:dyDescent="0.25">
      <c r="A3859" s="14" t="s">
        <v>3881</v>
      </c>
      <c r="B3859" s="3"/>
      <c r="C3859" s="3"/>
      <c r="D3859" s="3"/>
      <c r="E3859" s="5" t="str">
        <f>HYPERLINK("https://dpmzos25m8ivg.cloudfront.net/Documentos/631/07873096564/6310787309656411092023150051.pdf","https://dpmzos25m8ivg.cloudfront.net/Documentos/631/07873096564/6310787309656411092023150051.pdf")</f>
        <v>https://dpmzos25m8ivg.cloudfront.net/Documentos/631/07873096564/6310787309656411092023150051.pdf</v>
      </c>
      <c r="F3859" s="5" t="str">
        <f>HYPERLINK("https://dpmzos25m8ivg.cloudfront.net/Documentos/631/07873096564/6310787309656411092023150227.pdf","https://dpmzos25m8ivg.cloudfront.net/Documentos/631/07873096564/6310787309656411092023150227.pdf")</f>
        <v>https://dpmzos25m8ivg.cloudfront.net/Documentos/631/07873096564/6310787309656411092023150227.pdf</v>
      </c>
      <c r="G3859" s="5" t="str">
        <f>HYPERLINK("https://dpmzos25m8ivg.cloudfront.net/Documentos/631/07873096564/6310787309656411092023150250.pdf","https://dpmzos25m8ivg.cloudfront.net/Documentos/631/07873096564/6310787309656411092023150250.pdf")</f>
        <v>https://dpmzos25m8ivg.cloudfront.net/Documentos/631/07873096564/6310787309656411092023150250.pdf</v>
      </c>
      <c r="H3859" s="5" t="s">
        <v>12436</v>
      </c>
    </row>
    <row r="3860" spans="1:8" x14ac:dyDescent="0.25">
      <c r="A3860" s="14" t="s">
        <v>3882</v>
      </c>
      <c r="B3860" s="3" t="s">
        <v>8</v>
      </c>
      <c r="C3860" s="3"/>
      <c r="D3860" s="3"/>
      <c r="E3860" s="5" t="str">
        <f>HYPERLINK("https://dpmzos25m8ivg.cloudfront.net/Documentos/631/07873415503/6310787341550311092023164630.pdf","https://dpmzos25m8ivg.cloudfront.net/Documentos/631/07873415503/6310787341550311092023164630.pdf")</f>
        <v>https://dpmzos25m8ivg.cloudfront.net/Documentos/631/07873415503/6310787341550311092023164630.pdf</v>
      </c>
      <c r="F3860" s="5" t="str">
        <f>HYPERLINK("https://dpmzos25m8ivg.cloudfront.net/Documentos/631/07873415503/6310787341550311092023165438.pdf","https://dpmzos25m8ivg.cloudfront.net/Documentos/631/07873415503/6310787341550311092023165438.pdf")</f>
        <v>https://dpmzos25m8ivg.cloudfront.net/Documentos/631/07873415503/6310787341550311092023165438.pdf</v>
      </c>
      <c r="G3860" s="5" t="str">
        <f>HYPERLINK("https://dpmzos25m8ivg.cloudfront.net/Documentos/631/07873415503/6310787341550311092023165501.pdf","https://dpmzos25m8ivg.cloudfront.net/Documentos/631/07873415503/6310787341550311092023165501.pdf")</f>
        <v>https://dpmzos25m8ivg.cloudfront.net/Documentos/631/07873415503/6310787341550311092023165501.pdf</v>
      </c>
      <c r="H3860" s="5" t="s">
        <v>12437</v>
      </c>
    </row>
    <row r="3861" spans="1:8" x14ac:dyDescent="0.25">
      <c r="A3861" s="14" t="s">
        <v>3883</v>
      </c>
      <c r="B3861" s="3"/>
      <c r="C3861" s="3"/>
      <c r="D3861" s="3"/>
      <c r="E3861" s="5" t="str">
        <f>HYPERLINK("https://dpmzos25m8ivg.cloudfront.net/Documentos/631/07873619508/6310787361950814092023140643.pdf","https://dpmzos25m8ivg.cloudfront.net/Documentos/631/07873619508/6310787361950814092023140643.pdf")</f>
        <v>https://dpmzos25m8ivg.cloudfront.net/Documentos/631/07873619508/6310787361950814092023140643.pdf</v>
      </c>
      <c r="F3861" s="5" t="str">
        <f>HYPERLINK("https://dpmzos25m8ivg.cloudfront.net/Documentos/631/07873619508/6310787361950814092023140708.pdf","https://dpmzos25m8ivg.cloudfront.net/Documentos/631/07873619508/6310787361950814092023140708.pdf")</f>
        <v>https://dpmzos25m8ivg.cloudfront.net/Documentos/631/07873619508/6310787361950814092023140708.pdf</v>
      </c>
      <c r="G3861" s="5" t="str">
        <f>HYPERLINK("https://dpmzos25m8ivg.cloudfront.net/Documentos/631/07873619508/6310787361950814092023134430.pdf","https://dpmzos25m8ivg.cloudfront.net/Documentos/631/07873619508/6310787361950814092023134430.pdf")</f>
        <v>https://dpmzos25m8ivg.cloudfront.net/Documentos/631/07873619508/6310787361950814092023134430.pdf</v>
      </c>
      <c r="H3861" s="5" t="s">
        <v>12438</v>
      </c>
    </row>
    <row r="3862" spans="1:8" x14ac:dyDescent="0.25">
      <c r="A3862" s="14" t="s">
        <v>3884</v>
      </c>
      <c r="B3862" s="3"/>
      <c r="C3862" s="3"/>
      <c r="D3862" s="3"/>
      <c r="E3862" s="5" t="str">
        <f>HYPERLINK("https://dpmzos25m8ivg.cloudfront.net/Documentos/631/07874184556/6310787418455611092023124002.pdf","https://dpmzos25m8ivg.cloudfront.net/Documentos/631/07874184556/6310787418455611092023124002.pdf")</f>
        <v>https://dpmzos25m8ivg.cloudfront.net/Documentos/631/07874184556/6310787418455611092023124002.pdf</v>
      </c>
      <c r="F3862" s="5" t="str">
        <f>HYPERLINK("https://dpmzos25m8ivg.cloudfront.net/Documentos/631/07874184556/6310787418455611092023124012.pdf","https://dpmzos25m8ivg.cloudfront.net/Documentos/631/07874184556/6310787418455611092023124012.pdf")</f>
        <v>https://dpmzos25m8ivg.cloudfront.net/Documentos/631/07874184556/6310787418455611092023124012.pdf</v>
      </c>
      <c r="G3862" s="5" t="str">
        <f>HYPERLINK("https://dpmzos25m8ivg.cloudfront.net/Documentos/631/07874184556/6310787418455611092023124025.pdf","https://dpmzos25m8ivg.cloudfront.net/Documentos/631/07874184556/6310787418455611092023124025.pdf")</f>
        <v>https://dpmzos25m8ivg.cloudfront.net/Documentos/631/07874184556/6310787418455611092023124025.pdf</v>
      </c>
      <c r="H3862" s="5" t="s">
        <v>12439</v>
      </c>
    </row>
    <row r="3863" spans="1:8" x14ac:dyDescent="0.25">
      <c r="A3863" s="14" t="s">
        <v>3885</v>
      </c>
      <c r="B3863" s="3"/>
      <c r="C3863" s="3"/>
      <c r="D3863" s="3"/>
      <c r="E3863" s="5" t="str">
        <f>HYPERLINK("https://dpmzos25m8ivg.cloudfront.net/Documentos/631/07874506693/6310787450669311092023135313.pdf","https://dpmzos25m8ivg.cloudfront.net/Documentos/631/07874506693/6310787450669311092023135313.pdf")</f>
        <v>https://dpmzos25m8ivg.cloudfront.net/Documentos/631/07874506693/6310787450669311092023135313.pdf</v>
      </c>
      <c r="F3863" s="5" t="str">
        <f>HYPERLINK("https://dpmzos25m8ivg.cloudfront.net/Documentos/631/07874506693/6310787450669311092023135611.pdf","https://dpmzos25m8ivg.cloudfront.net/Documentos/631/07874506693/6310787450669311092023135611.pdf")</f>
        <v>https://dpmzos25m8ivg.cloudfront.net/Documentos/631/07874506693/6310787450669311092023135611.pdf</v>
      </c>
      <c r="G3863" s="5" t="str">
        <f>HYPERLINK("https://dpmzos25m8ivg.cloudfront.net/Documentos/631/07874506693/6310787450669311092023140936.pdf","https://dpmzos25m8ivg.cloudfront.net/Documentos/631/07874506693/6310787450669311092023140936.pdf")</f>
        <v>https://dpmzos25m8ivg.cloudfront.net/Documentos/631/07874506693/6310787450669311092023140936.pdf</v>
      </c>
      <c r="H3863" s="5" t="s">
        <v>12440</v>
      </c>
    </row>
    <row r="3864" spans="1:8" x14ac:dyDescent="0.25">
      <c r="A3864" s="2" t="s">
        <v>3886</v>
      </c>
      <c r="B3864" s="19" t="s">
        <v>3785</v>
      </c>
      <c r="C3864" s="3"/>
      <c r="D3864" s="3"/>
      <c r="E3864" s="5" t="str">
        <f>HYPERLINK("https://dpmzos25m8ivg.cloudfront.net/Documentos/631/07877952597/6310787795259709092023172055.jpg","https://dpmzos25m8ivg.cloudfront.net/Documentos/631/07877952597/6310787795259709092023172055.jpg")</f>
        <v>https://dpmzos25m8ivg.cloudfront.net/Documentos/631/07877952597/6310787795259709092023172055.jpg</v>
      </c>
      <c r="F3864" s="5" t="str">
        <f>HYPERLINK("https://dpmzos25m8ivg.cloudfront.net/Documentos/631/07877952597/6310787795259709092023172109.jpg","https://dpmzos25m8ivg.cloudfront.net/Documentos/631/07877952597/6310787795259709092023172109.jpg")</f>
        <v>https://dpmzos25m8ivg.cloudfront.net/Documentos/631/07877952597/6310787795259709092023172109.jpg</v>
      </c>
      <c r="G3864" s="5" t="str">
        <f>HYPERLINK("https://dpmzos25m8ivg.cloudfront.net/Documentos/631/07877952597/6310787795259709092023172125.jpg","https://dpmzos25m8ivg.cloudfront.net/Documentos/631/07877952597/6310787795259709092023172125.jpg")</f>
        <v>https://dpmzos25m8ivg.cloudfront.net/Documentos/631/07877952597/6310787795259709092023172125.jpg</v>
      </c>
      <c r="H3864" s="5" t="s">
        <v>12441</v>
      </c>
    </row>
    <row r="3865" spans="1:8" x14ac:dyDescent="0.25">
      <c r="A3865" s="14" t="s">
        <v>3887</v>
      </c>
      <c r="B3865" s="3"/>
      <c r="C3865" s="3"/>
      <c r="D3865" s="3"/>
      <c r="E3865" s="5" t="str">
        <f>HYPERLINK("https://dpmzos25m8ivg.cloudfront.net/Documentos/631/07878246580/6310787824658011092023102127.jpeg","https://dpmzos25m8ivg.cloudfront.net/Documentos/631/07878246580/6310787824658011092023102127.jpeg")</f>
        <v>https://dpmzos25m8ivg.cloudfront.net/Documentos/631/07878246580/6310787824658011092023102127.jpeg</v>
      </c>
      <c r="F3865" s="5" t="str">
        <f>HYPERLINK("https://dpmzos25m8ivg.cloudfront.net/Documentos/631/07878246580/6310787824658011092023102141.jpeg","https://dpmzos25m8ivg.cloudfront.net/Documentos/631/07878246580/6310787824658011092023102141.jpeg")</f>
        <v>https://dpmzos25m8ivg.cloudfront.net/Documentos/631/07878246580/6310787824658011092023102141.jpeg</v>
      </c>
      <c r="G3865" s="5" t="str">
        <f>HYPERLINK("https://dpmzos25m8ivg.cloudfront.net/Documentos/631/07878246580/6310787824658011092023102156.jpeg","https://dpmzos25m8ivg.cloudfront.net/Documentos/631/07878246580/6310787824658011092023102156.jpeg")</f>
        <v>https://dpmzos25m8ivg.cloudfront.net/Documentos/631/07878246580/6310787824658011092023102156.jpeg</v>
      </c>
      <c r="H3865" s="5" t="s">
        <v>12442</v>
      </c>
    </row>
    <row r="3866" spans="1:8" x14ac:dyDescent="0.25">
      <c r="A3866" s="14" t="s">
        <v>3888</v>
      </c>
      <c r="B3866" s="3"/>
      <c r="C3866" s="3"/>
      <c r="D3866" s="3"/>
      <c r="E3866" s="5" t="str">
        <f>HYPERLINK("https://dpmzos25m8ivg.cloudfront.net/Documentos/631/07880412581/6310788041258110092023204322.pdf","https://dpmzos25m8ivg.cloudfront.net/Documentos/631/07880412581/6310788041258110092023204322.pdf")</f>
        <v>https://dpmzos25m8ivg.cloudfront.net/Documentos/631/07880412581/6310788041258110092023204322.pdf</v>
      </c>
      <c r="F3866" s="5" t="str">
        <f>HYPERLINK("https://dpmzos25m8ivg.cloudfront.net/Documentos/631/07880412581/6310788041258110092023204406.pdf","https://dpmzos25m8ivg.cloudfront.net/Documentos/631/07880412581/6310788041258110092023204406.pdf")</f>
        <v>https://dpmzos25m8ivg.cloudfront.net/Documentos/631/07880412581/6310788041258110092023204406.pdf</v>
      </c>
      <c r="G3866" s="5" t="str">
        <f>HYPERLINK("https://dpmzos25m8ivg.cloudfront.net/Documentos/631/07880412581/6310788041258110092023204418.pdf","https://dpmzos25m8ivg.cloudfront.net/Documentos/631/07880412581/6310788041258110092023204418.pdf")</f>
        <v>https://dpmzos25m8ivg.cloudfront.net/Documentos/631/07880412581/6310788041258110092023204418.pdf</v>
      </c>
      <c r="H3866" s="5" t="s">
        <v>12443</v>
      </c>
    </row>
    <row r="3867" spans="1:8" x14ac:dyDescent="0.25">
      <c r="A3867" s="14" t="s">
        <v>3889</v>
      </c>
      <c r="B3867" s="3"/>
      <c r="C3867" s="3"/>
      <c r="D3867" s="3"/>
      <c r="E3867" s="5" t="str">
        <f>HYPERLINK("https://dpmzos25m8ivg.cloudfront.net/Documentos/631/07881735376/6310788173537611092023102255.pdf","https://dpmzos25m8ivg.cloudfront.net/Documentos/631/07881735376/6310788173537611092023102255.pdf")</f>
        <v>https://dpmzos25m8ivg.cloudfront.net/Documentos/631/07881735376/6310788173537611092023102255.pdf</v>
      </c>
      <c r="F3867" s="5" t="str">
        <f>HYPERLINK("https://dpmzos25m8ivg.cloudfront.net/Documentos/631/07881735376/6310788173537611092023102316.pdf","https://dpmzos25m8ivg.cloudfront.net/Documentos/631/07881735376/6310788173537611092023102316.pdf")</f>
        <v>https://dpmzos25m8ivg.cloudfront.net/Documentos/631/07881735376/6310788173537611092023102316.pdf</v>
      </c>
      <c r="G3867" s="5" t="str">
        <f>HYPERLINK("https://dpmzos25m8ivg.cloudfront.net/Documentos/631/07881735376/6310788173537611092023102335.pdf","https://dpmzos25m8ivg.cloudfront.net/Documentos/631/07881735376/6310788173537611092023102335.pdf")</f>
        <v>https://dpmzos25m8ivg.cloudfront.net/Documentos/631/07881735376/6310788173537611092023102335.pdf</v>
      </c>
      <c r="H3867" s="5" t="s">
        <v>12444</v>
      </c>
    </row>
    <row r="3868" spans="1:8" x14ac:dyDescent="0.25">
      <c r="A3868" s="14" t="s">
        <v>3890</v>
      </c>
      <c r="B3868" s="3"/>
      <c r="C3868" s="3"/>
      <c r="D3868" s="3"/>
      <c r="E3868" s="5" t="str">
        <f>HYPERLINK("https://dpmzos25m8ivg.cloudfront.net/Documentos/631/07883702513/6310788370251310092023131734.pdf","https://dpmzos25m8ivg.cloudfront.net/Documentos/631/07883702513/6310788370251310092023131734.pdf")</f>
        <v>https://dpmzos25m8ivg.cloudfront.net/Documentos/631/07883702513/6310788370251310092023131734.pdf</v>
      </c>
      <c r="F3868" s="5" t="str">
        <f>HYPERLINK("https://dpmzos25m8ivg.cloudfront.net/Documentos/631/07883702513/6310788370251310092023131801.pdf","https://dpmzos25m8ivg.cloudfront.net/Documentos/631/07883702513/6310788370251310092023131801.pdf")</f>
        <v>https://dpmzos25m8ivg.cloudfront.net/Documentos/631/07883702513/6310788370251310092023131801.pdf</v>
      </c>
      <c r="G3868" s="5" t="str">
        <f>HYPERLINK("https://dpmzos25m8ivg.cloudfront.net/Documentos/631/07883702513/6310788370251310092023131812.pdf","https://dpmzos25m8ivg.cloudfront.net/Documentos/631/07883702513/6310788370251310092023131812.pdf")</f>
        <v>https://dpmzos25m8ivg.cloudfront.net/Documentos/631/07883702513/6310788370251310092023131812.pdf</v>
      </c>
      <c r="H3868" s="5" t="s">
        <v>12445</v>
      </c>
    </row>
    <row r="3869" spans="1:8" x14ac:dyDescent="0.25">
      <c r="A3869" s="2" t="s">
        <v>3891</v>
      </c>
      <c r="B3869" s="19" t="s">
        <v>3785</v>
      </c>
      <c r="C3869" s="3"/>
      <c r="D3869" s="3"/>
      <c r="E3869" s="5" t="str">
        <f>HYPERLINK("https://dpmzos25m8ivg.cloudfront.net/Documentos/631/07884600560/6310788460056011092023113041.jpeg","https://dpmzos25m8ivg.cloudfront.net/Documentos/631/07884600560/6310788460056011092023113041.jpeg")</f>
        <v>https://dpmzos25m8ivg.cloudfront.net/Documentos/631/07884600560/6310788460056011092023113041.jpeg</v>
      </c>
      <c r="F3869" s="5" t="str">
        <f>HYPERLINK("https://dpmzos25m8ivg.cloudfront.net/Documentos/631/07884600560/6310788460056011092023113108.jpeg","https://dpmzos25m8ivg.cloudfront.net/Documentos/631/07884600560/6310788460056011092023113108.jpeg")</f>
        <v>https://dpmzos25m8ivg.cloudfront.net/Documentos/631/07884600560/6310788460056011092023113108.jpeg</v>
      </c>
      <c r="G3869" s="5" t="str">
        <f>HYPERLINK("https://dpmzos25m8ivg.cloudfront.net/Documentos/631/07884600560/6310788460056011092023113127.jpeg","https://dpmzos25m8ivg.cloudfront.net/Documentos/631/07884600560/6310788460056011092023113127.jpeg")</f>
        <v>https://dpmzos25m8ivg.cloudfront.net/Documentos/631/07884600560/6310788460056011092023113127.jpeg</v>
      </c>
      <c r="H3869" s="5" t="s">
        <v>12446</v>
      </c>
    </row>
    <row r="3870" spans="1:8" x14ac:dyDescent="0.25">
      <c r="A3870" s="14" t="s">
        <v>3892</v>
      </c>
      <c r="B3870" s="3"/>
      <c r="C3870" s="3"/>
      <c r="D3870" s="3"/>
      <c r="E3870" s="5" t="str">
        <f>HYPERLINK("https://dpmzos25m8ivg.cloudfront.net/Documentos/631/07884781417/6310788478141706092023134635.pdf","https://dpmzos25m8ivg.cloudfront.net/Documentos/631/07884781417/6310788478141706092023134635.pdf")</f>
        <v>https://dpmzos25m8ivg.cloudfront.net/Documentos/631/07884781417/6310788478141706092023134635.pdf</v>
      </c>
      <c r="F3870" s="5" t="str">
        <f>HYPERLINK("https://dpmzos25m8ivg.cloudfront.net/Documentos/631/07884781417/6310788478141706092023135051.pdf","https://dpmzos25m8ivg.cloudfront.net/Documentos/631/07884781417/6310788478141706092023135051.pdf")</f>
        <v>https://dpmzos25m8ivg.cloudfront.net/Documentos/631/07884781417/6310788478141706092023135051.pdf</v>
      </c>
      <c r="G3870" s="5" t="str">
        <f>HYPERLINK("https://dpmzos25m8ivg.cloudfront.net/Documentos/631/07884781417/6310788478141706092023135500.pdf","https://dpmzos25m8ivg.cloudfront.net/Documentos/631/07884781417/6310788478141706092023135500.pdf")</f>
        <v>https://dpmzos25m8ivg.cloudfront.net/Documentos/631/07884781417/6310788478141706092023135500.pdf</v>
      </c>
      <c r="H3870" s="5" t="s">
        <v>12447</v>
      </c>
    </row>
    <row r="3871" spans="1:8" x14ac:dyDescent="0.25">
      <c r="A3871" s="14" t="s">
        <v>3893</v>
      </c>
      <c r="B3871" s="3"/>
      <c r="C3871" s="3"/>
      <c r="D3871" s="3"/>
      <c r="E3871" s="5" t="str">
        <f>HYPERLINK("https://dpmzos25m8ivg.cloudfront.net/Documentos/631/07884783541/6310788478354111092023124415.pdf","https://dpmzos25m8ivg.cloudfront.net/Documentos/631/07884783541/6310788478354111092023124415.pdf")</f>
        <v>https://dpmzos25m8ivg.cloudfront.net/Documentos/631/07884783541/6310788478354111092023124415.pdf</v>
      </c>
      <c r="F3871" s="5" t="str">
        <f>HYPERLINK("https://dpmzos25m8ivg.cloudfront.net/Documentos/631/07884783541/6310788478354111092023124440.pdf","https://dpmzos25m8ivg.cloudfront.net/Documentos/631/07884783541/6310788478354111092023124440.pdf")</f>
        <v>https://dpmzos25m8ivg.cloudfront.net/Documentos/631/07884783541/6310788478354111092023124440.pdf</v>
      </c>
      <c r="G3871" s="5" t="str">
        <f>HYPERLINK("https://dpmzos25m8ivg.cloudfront.net/Documentos/631/07884783541/6310788478354111092023124456.pdf","https://dpmzos25m8ivg.cloudfront.net/Documentos/631/07884783541/6310788478354111092023124456.pdf")</f>
        <v>https://dpmzos25m8ivg.cloudfront.net/Documentos/631/07884783541/6310788478354111092023124456.pdf</v>
      </c>
      <c r="H3871" s="5" t="s">
        <v>12448</v>
      </c>
    </row>
    <row r="3872" spans="1:8" x14ac:dyDescent="0.25">
      <c r="A3872" s="14" t="s">
        <v>3894</v>
      </c>
      <c r="B3872" s="3"/>
      <c r="C3872" s="3"/>
      <c r="D3872" s="3"/>
      <c r="E3872" s="5" t="str">
        <f>HYPERLINK("https://dpmzos25m8ivg.cloudfront.net/Documentos/631/07887424690/6310788742469008092023093409.pdf","https://dpmzos25m8ivg.cloudfront.net/Documentos/631/07887424690/6310788742469008092023093409.pdf")</f>
        <v>https://dpmzos25m8ivg.cloudfront.net/Documentos/631/07887424690/6310788742469008092023093409.pdf</v>
      </c>
      <c r="F3872" s="5" t="str">
        <f>HYPERLINK("https://dpmzos25m8ivg.cloudfront.net/Documentos/631/07887424690/6310788742469008092023093419.pdf","https://dpmzos25m8ivg.cloudfront.net/Documentos/631/07887424690/6310788742469008092023093419.pdf")</f>
        <v>https://dpmzos25m8ivg.cloudfront.net/Documentos/631/07887424690/6310788742469008092023093419.pdf</v>
      </c>
      <c r="G3872" s="5" t="str">
        <f>HYPERLINK("https://dpmzos25m8ivg.cloudfront.net/Documentos/631/07887424690/6310788742469008092023093429.pdf","https://dpmzos25m8ivg.cloudfront.net/Documentos/631/07887424690/6310788742469008092023093429.pdf")</f>
        <v>https://dpmzos25m8ivg.cloudfront.net/Documentos/631/07887424690/6310788742469008092023093429.pdf</v>
      </c>
      <c r="H3872" s="5" t="s">
        <v>12449</v>
      </c>
    </row>
    <row r="3873" spans="1:8" x14ac:dyDescent="0.25">
      <c r="A3873" s="14" t="s">
        <v>3895</v>
      </c>
      <c r="B3873" s="3"/>
      <c r="C3873" s="3"/>
      <c r="D3873" s="3"/>
      <c r="E3873" s="5" t="str">
        <f>HYPERLINK("https://dpmzos25m8ivg.cloudfront.net/Documentos/631/07888742505/6310788874250505092023124217.pdf","https://dpmzos25m8ivg.cloudfront.net/Documentos/631/07888742505/6310788874250505092023124217.pdf")</f>
        <v>https://dpmzos25m8ivg.cloudfront.net/Documentos/631/07888742505/6310788874250505092023124217.pdf</v>
      </c>
      <c r="F3873" s="5" t="str">
        <f>HYPERLINK("https://dpmzos25m8ivg.cloudfront.net/Documentos/631/07888742505/6310788874250505092023124300.pdf","https://dpmzos25m8ivg.cloudfront.net/Documentos/631/07888742505/6310788874250505092023124300.pdf")</f>
        <v>https://dpmzos25m8ivg.cloudfront.net/Documentos/631/07888742505/6310788874250505092023124300.pdf</v>
      </c>
      <c r="G3873" s="5" t="str">
        <f>HYPERLINK("https://dpmzos25m8ivg.cloudfront.net/Documentos/631/07888742505/6310788874250505092023124326.pdf","https://dpmzos25m8ivg.cloudfront.net/Documentos/631/07888742505/6310788874250505092023124326.pdf")</f>
        <v>https://dpmzos25m8ivg.cloudfront.net/Documentos/631/07888742505/6310788874250505092023124326.pdf</v>
      </c>
      <c r="H3873" s="5" t="s">
        <v>12450</v>
      </c>
    </row>
    <row r="3874" spans="1:8" x14ac:dyDescent="0.25">
      <c r="A3874" s="14" t="s">
        <v>3896</v>
      </c>
      <c r="B3874" s="3"/>
      <c r="C3874" s="3"/>
      <c r="D3874" s="3"/>
      <c r="E3874" s="5" t="str">
        <f>HYPERLINK("https://dpmzos25m8ivg.cloudfront.net/Documentos/631/07889961502/6310788996150213092023101600.pdf","https://dpmzos25m8ivg.cloudfront.net/Documentos/631/07889961502/6310788996150213092023101600.pdf")</f>
        <v>https://dpmzos25m8ivg.cloudfront.net/Documentos/631/07889961502/6310788996150213092023101600.pdf</v>
      </c>
      <c r="F3874" s="5" t="str">
        <f>HYPERLINK("https://dpmzos25m8ivg.cloudfront.net/Documentos/631/07889961502/6310788996150213092023101607.pdf","https://dpmzos25m8ivg.cloudfront.net/Documentos/631/07889961502/6310788996150213092023101607.pdf")</f>
        <v>https://dpmzos25m8ivg.cloudfront.net/Documentos/631/07889961502/6310788996150213092023101607.pdf</v>
      </c>
      <c r="G3874" s="5" t="str">
        <f>HYPERLINK("https://dpmzos25m8ivg.cloudfront.net/Documentos/631/07889961502/6310788996150213092023101613.pdf","https://dpmzos25m8ivg.cloudfront.net/Documentos/631/07889961502/6310788996150213092023101613.pdf")</f>
        <v>https://dpmzos25m8ivg.cloudfront.net/Documentos/631/07889961502/6310788996150213092023101613.pdf</v>
      </c>
      <c r="H3874" s="5" t="s">
        <v>12451</v>
      </c>
    </row>
    <row r="3875" spans="1:8" x14ac:dyDescent="0.25">
      <c r="A3875" s="14" t="s">
        <v>3897</v>
      </c>
      <c r="B3875" s="3"/>
      <c r="C3875" s="3"/>
      <c r="D3875" s="3"/>
      <c r="E3875" s="5" t="str">
        <f>HYPERLINK("https://dpmzos25m8ivg.cloudfront.net/Documentos/631/07890909454/6310789090945405092023133438.jpeg","https://dpmzos25m8ivg.cloudfront.net/Documentos/631/07890909454/6310789090945405092023133438.jpeg")</f>
        <v>https://dpmzos25m8ivg.cloudfront.net/Documentos/631/07890909454/6310789090945405092023133438.jpeg</v>
      </c>
      <c r="F3875" s="5" t="str">
        <f>HYPERLINK("https://dpmzos25m8ivg.cloudfront.net/Documentos/631/07890909454/6310789090945405092023133455.jpeg","https://dpmzos25m8ivg.cloudfront.net/Documentos/631/07890909454/6310789090945405092023133455.jpeg")</f>
        <v>https://dpmzos25m8ivg.cloudfront.net/Documentos/631/07890909454/6310789090945405092023133455.jpeg</v>
      </c>
      <c r="G3875" s="5" t="str">
        <f>HYPERLINK("https://dpmzos25m8ivg.cloudfront.net/AR359Documentos/631/07890909454/6310789090945405092023133504.jpeg","https://dpmzos25m8ivg.cloudfront.net/Documentos/631/07890909454/6310789090945405092023133504.jpeg")</f>
        <v>https://dpmzos25m8ivg.cloudfront.net/Documentos/631/07890909454/6310789090945405092023133504.jpeg</v>
      </c>
      <c r="H3875" s="5" t="s">
        <v>12452</v>
      </c>
    </row>
    <row r="3876" spans="1:8" x14ac:dyDescent="0.25">
      <c r="A3876" s="14" t="s">
        <v>3898</v>
      </c>
      <c r="B3876" s="3"/>
      <c r="C3876" s="3"/>
      <c r="D3876" s="3"/>
      <c r="E3876" s="5" t="str">
        <f>HYPERLINK("https://dpmzos25m8ivg.cloudfront.net/Documentos/631/07891200700/6310789120070010092023223057.jpg","https://dpmzos25m8ivg.cloudfront.net/Documentos/631/07891200700/6310789120070010092023223057.jpg")</f>
        <v>https://dpmzos25m8ivg.cloudfront.net/Documentos/631/07891200700/6310789120070010092023223057.jpg</v>
      </c>
      <c r="F3876" s="5" t="str">
        <f>HYPERLINK("https://dpmzos25m8ivg.cloudfront.net/Documentos/631/07891200700/6310789120070010092023223153.jpg","https://dpmzos25m8ivg.cloudfront.net/Documentos/631/07891200700/6310789120070010092023223153.jpg")</f>
        <v>https://dpmzos25m8ivg.cloudfront.net/Documentos/631/07891200700/6310789120070010092023223153.jpg</v>
      </c>
      <c r="G3876" s="5" t="str">
        <f>HYPERLINK("https://dpmzos25m8ivg.cloudfront.net/Documentos/631/07891200700/6310789120070010092023223237.jpg","https://dpmzos25m8ivg.cloudfront.net/Documentos/631/07891200700/6310789120070010092023223237.jpg")</f>
        <v>https://dpmzos25m8ivg.cloudfront.net/Documentos/631/07891200700/6310789120070010092023223237.jpg</v>
      </c>
      <c r="H3876" s="5" t="s">
        <v>12453</v>
      </c>
    </row>
    <row r="3877" spans="1:8" x14ac:dyDescent="0.25">
      <c r="A3877" s="14" t="s">
        <v>3899</v>
      </c>
      <c r="B3877" s="3"/>
      <c r="C3877" s="3"/>
      <c r="D3877" s="3"/>
      <c r="E3877" s="5" t="str">
        <f>HYPERLINK("https://dpmzos25m8ivg.cloudfront.net/Documentos/631/07891896585/6310789189658505092023104032.pdf","https://dpmzos25m8ivg.cloudfront.net/Documentos/631/07891896585/6310789189658505092023104032.pdf")</f>
        <v>https://dpmzos25m8ivg.cloudfront.net/Documentos/631/07891896585/6310789189658505092023104032.pdf</v>
      </c>
      <c r="F3877" s="5" t="str">
        <f>HYPERLINK("https://dpmzos25m8ivg.cloudfront.net/Documentos/631/07891896585/6310789189658505092023104047.pdf","https://dpmzos25m8ivg.cloudfront.net/Documentos/631/07891896585/6310789189658505092023104047.pdf")</f>
        <v>https://dpmzos25m8ivg.cloudfront.net/Documentos/631/07891896585/6310789189658505092023104047.pdf</v>
      </c>
      <c r="G3877" s="5" t="str">
        <f>HYPERLINK("https://dpmzos25m8ivg.cloudfront.net/Documentos/631/07891896585/6310789189658505092023104104.pdf","https://dpmzos25m8ivg.cloudfront.net/Documentos/631/07891896585/6310789189658505092023104104.pdf")</f>
        <v>https://dpmzos25m8ivg.cloudfront.net/Documentos/631/07891896585/6310789189658505092023104104.pdf</v>
      </c>
      <c r="H3877" s="5" t="s">
        <v>12454</v>
      </c>
    </row>
    <row r="3878" spans="1:8" x14ac:dyDescent="0.25">
      <c r="A3878" s="14" t="s">
        <v>3900</v>
      </c>
      <c r="B3878" s="3"/>
      <c r="C3878" s="3"/>
      <c r="D3878" s="3"/>
      <c r="E3878" s="5" t="str">
        <f>HYPERLINK("https://dpmzos25m8ivg.cloudfront.net/Documentos/631/07895128582/6310789512858211092023135952.pdf","https://dpmzos25m8ivg.cloudfront.net/Documentos/631/07895128582/6310789512858211092023135952.pdf")</f>
        <v>https://dpmzos25m8ivg.cloudfront.net/Documentos/631/07895128582/6310789512858211092023135952.pdf</v>
      </c>
      <c r="F3878" s="5" t="str">
        <f>HYPERLINK("https://dpmzos25m8ivg.cloudfront.net/Documentos/631/07895128582/6310789512858211092023140009.pdf","https://dpmzos25m8ivg.cloudfront.net/Documentos/631/07895128582/6310789512858211092023140009.pdf")</f>
        <v>https://dpmzos25m8ivg.cloudfront.net/Documentos/631/07895128582/6310789512858211092023140009.pdf</v>
      </c>
      <c r="G3878" s="5" t="str">
        <f>HYPERLINK("https://dpmzos25m8ivg.cloudfront.net/Documentos/631/07895128582/6310789512858211092023140021.pdf","https://dpmzos25m8ivg.cloudfront.net/Documentos/631/07895128582/6310789512858211092023140021.pdf")</f>
        <v>https://dpmzos25m8ivg.cloudfront.net/Documentos/631/07895128582/6310789512858211092023140021.pdf</v>
      </c>
      <c r="H3878" s="5" t="s">
        <v>12455</v>
      </c>
    </row>
    <row r="3879" spans="1:8" x14ac:dyDescent="0.25">
      <c r="A3879" s="14" t="s">
        <v>3901</v>
      </c>
      <c r="B3879" s="3"/>
      <c r="C3879" s="3"/>
      <c r="D3879" s="3"/>
      <c r="E3879" s="5" t="str">
        <f>HYPERLINK("https://dpmzos25m8ivg.cloudfront.net/Documentos/631/07895276506/6310789527650608092023233054.jpg","https://dpmzos25m8ivg.cloudfront.net/Documentos/631/07895276506/6310789527650608092023233054.jpg")</f>
        <v>https://dpmzos25m8ivg.cloudfront.net/Documentos/631/07895276506/6310789527650608092023233054.jpg</v>
      </c>
      <c r="F3879" s="5" t="str">
        <f>HYPERLINK("https://dpmzos25m8ivg.cloudfront.net/Documentos/631/07895276506/6310789527650608092023233621.jpeg","https://dpmzos25m8ivg.cloudfront.net/Documentos/631/07895276506/6310789527650608092023233621.jpeg")</f>
        <v>https://dpmzos25m8ivg.cloudfront.net/Documentos/631/07895276506/6310789527650608092023233621.jpeg</v>
      </c>
      <c r="G3879" s="5" t="str">
        <f>HYPERLINK("https://dpmzos25m8ivg.cloudfront.net/Documentos/631/07895276506/6310789527650608092023233642.jpeg","https://dpmzos25m8ivg.cloudfront.net/Documentos/631/07895276506/6310789527650608092023233642.jpeg")</f>
        <v>https://dpmzos25m8ivg.cloudfront.net/Documentos/631/07895276506/6310789527650608092023233642.jpeg</v>
      </c>
      <c r="H3879" s="5" t="s">
        <v>12456</v>
      </c>
    </row>
    <row r="3880" spans="1:8" x14ac:dyDescent="0.25">
      <c r="A3880" s="2" t="s">
        <v>3902</v>
      </c>
      <c r="B3880" s="19" t="s">
        <v>3785</v>
      </c>
      <c r="C3880" s="3"/>
      <c r="D3880" s="3"/>
      <c r="E3880" s="5" t="str">
        <f>HYPERLINK("https://dpmzos25m8ivg.cloudfront.net/Documentos/631/07895290509/6310789529050907092023154745.pdf","https://dpmzos25m8ivg.cloudfront.net/Documentos/631/07895290509/6310789529050907092023154745.pdf")</f>
        <v>https://dpmzos25m8ivg.cloudfront.net/Documentos/631/07895290509/6310789529050907092023154745.pdf</v>
      </c>
      <c r="F3880" s="5" t="str">
        <f>HYPERLINK("https://dpmzos25m8ivg.cloudfront.net/Documentos/631/07895290509/6310789529050907092023154846.pdf","https://dpmzos25m8ivg.cloudfront.net/Documentos/631/07895290509/6310789529050907092023154846.pdf")</f>
        <v>https://dpmzos25m8ivg.cloudfront.net/Documentos/631/07895290509/6310789529050907092023154846.pdf</v>
      </c>
      <c r="G3880" s="5" t="str">
        <f>HYPERLINK("https://dpmzos25m8ivg.cloudfront.net/Documentos/631/07895290509/6310789529050907092023155015.pdf","https://dpmzos25m8ivg.cloudfront.net/Documentos/631/07895290509/6310789529050907092023155015.pdf")</f>
        <v>https://dpmzos25m8ivg.cloudfront.net/Documentos/631/07895290509/6310789529050907092023155015.pdf</v>
      </c>
      <c r="H3880" s="5" t="s">
        <v>12457</v>
      </c>
    </row>
    <row r="3881" spans="1:8" x14ac:dyDescent="0.25">
      <c r="A3881" s="14" t="s">
        <v>3903</v>
      </c>
      <c r="B3881" s="3"/>
      <c r="C3881" s="3"/>
      <c r="D3881" s="3"/>
      <c r="E3881" s="5" t="str">
        <f>HYPERLINK("https://dpmzos25m8ivg.cloudfront.net/Documentos/631/07895401424/6310789540142405092023100125.pdf","https://dpmzos25m8ivg.cloudfront.net/Documentos/631/07895401424/6310789540142405092023100125.pdf")</f>
        <v>https://dpmzos25m8ivg.cloudfront.net/Documentos/631/07895401424/6310789540142405092023100125.pdf</v>
      </c>
      <c r="F3881" s="5" t="str">
        <f>HYPERLINK("https://dpmzos25m8ivg.cloudfront.net/Documentos/631/07895401424/6310789540142405092023100140.pdf","https://dpmzos25m8ivg.cloudfront.net/Documentos/631/07895401424/6310789540142405092023100140.pdf")</f>
        <v>https://dpmzos25m8ivg.cloudfront.net/Documentos/631/07895401424/6310789540142405092023100140.pdf</v>
      </c>
      <c r="G3881" s="5" t="str">
        <f>HYPERLINK("https://dpmzos25m8ivg.cloudfront.net/Documentos/631/07895401424/6310789540142405092023100154.pdf","https://dpmzos25m8ivg.cloudfront.net/Documentos/631/07895401424/6310789540142405092023100154.pdf")</f>
        <v>https://dpmzos25m8ivg.cloudfront.net/Documentos/631/07895401424/6310789540142405092023100154.pdf</v>
      </c>
      <c r="H3881" s="5" t="s">
        <v>12458</v>
      </c>
    </row>
    <row r="3882" spans="1:8" x14ac:dyDescent="0.25">
      <c r="A3882" s="14" t="s">
        <v>3904</v>
      </c>
      <c r="B3882" s="3"/>
      <c r="C3882" s="3"/>
      <c r="D3882" s="3"/>
      <c r="E3882" s="5" t="str">
        <f>HYPERLINK("https://dpmzos25m8ivg.cloudfront.net/Documentos/631/07895854569/6310789585456905092023164403.pdf","https://dpmzos25m8ivg.cloudfront.net/Documentos/631/07895854569/6310789585456905092023164403.pdf")</f>
        <v>https://dpmzos25m8ivg.cloudfront.net/Documentos/631/07895854569/6310789585456905092023164403.pdf</v>
      </c>
      <c r="F3882" s="5" t="str">
        <f>HYPERLINK("https://dpmzos25m8ivg.cloudfront.net/Documentos/631/07895854569/6310789585456905092023164415.pdf","https://dpmzos25m8ivg.cloudfront.net/Documentos/631/07895854569/6310789585456905092023164415.pdf")</f>
        <v>https://dpmzos25m8ivg.cloudfront.net/Documentos/631/07895854569/6310789585456905092023164415.pdf</v>
      </c>
      <c r="G3882" s="5" t="str">
        <f>HYPERLINK("https://dpmzos25m8ivg.cloudfront.net/Documentos/631/07895854569/6310789585456905092023164423.pdf","https://dpmzos25m8ivg.cloudfront.net/Documentos/631/07895854569/6310789585456905092023164423.pdf")</f>
        <v>https://dpmzos25m8ivg.cloudfront.net/Documentos/631/07895854569/6310789585456905092023164423.pdf</v>
      </c>
      <c r="H3882" s="5" t="s">
        <v>12459</v>
      </c>
    </row>
    <row r="3883" spans="1:8" x14ac:dyDescent="0.25">
      <c r="A3883" s="14" t="s">
        <v>3905</v>
      </c>
      <c r="B3883" s="3"/>
      <c r="C3883" s="3"/>
      <c r="D3883" s="3"/>
      <c r="E3883" s="5" t="str">
        <f>HYPERLINK("https://dpmzos25m8ivg.cloudfront.net/Documentos/631/07896120542/6310789612054211092023151627.pdf","https://dpmzos25m8ivg.cloudfront.net/Documentos/631/07896120542/6310789612054211092023151627.pdf")</f>
        <v>https://dpmzos25m8ivg.cloudfront.net/Documentos/631/07896120542/6310789612054211092023151627.pdf</v>
      </c>
      <c r="F3883" s="5" t="str">
        <f>HYPERLINK("https://dpmzos25m8ivg.cloudfront.net/Documentos/631/07896120542/6310789612054211092023151052.pdf","https://dpmzos25m8ivg.cloudfront.net/Documentos/631/07896120542/6310789612054211092023151052.pdf")</f>
        <v>https://dpmzos25m8ivg.cloudfront.net/Documentos/631/07896120542/6310789612054211092023151052.pdf</v>
      </c>
      <c r="G3883" s="5" t="str">
        <f>HYPERLINK("https://dpmzos25m8ivg.cloudfront.net/Documentos/631/07896120542/6310789612054211092023150934.pdf","https://dpmzos25m8ivg.cloudfront.net/Documentos/631/07896120542/6310789612054211092023150934.pdf")</f>
        <v>https://dpmzos25m8ivg.cloudfront.net/Documentos/631/07896120542/6310789612054211092023150934.pdf</v>
      </c>
      <c r="H3883" s="5" t="s">
        <v>12460</v>
      </c>
    </row>
    <row r="3884" spans="1:8" x14ac:dyDescent="0.25">
      <c r="A3884" s="14" t="s">
        <v>3906</v>
      </c>
      <c r="B3884" s="3"/>
      <c r="C3884" s="3"/>
      <c r="D3884" s="3"/>
      <c r="E3884" s="5" t="str">
        <f>HYPERLINK("https://dpmzos25m8ivg.cloudfront.net/Documentos/631/07897382524/6310789738252411092023131739.jpeg","https://dpmzos25m8ivg.cloudfront.net/Documentos/631/07897382524/6310789738252411092023131739.jpeg")</f>
        <v>https://dpmzos25m8ivg.cloudfront.net/Documentos/631/07897382524/6310789738252411092023131739.jpeg</v>
      </c>
      <c r="F3884" s="5" t="str">
        <f>HYPERLINK("https://dpmzos25m8ivg.cloudfront.net/Documentos/631/07897382524/6310789738252411092023131806.jpeg","https://dpmzos25m8ivg.cloudfront.net/Documentos/631/07897382524/6310789738252411092023131806.jpeg")</f>
        <v>https://dpmzos25m8ivg.cloudfront.net/Documentos/631/07897382524/6310789738252411092023131806.jpeg</v>
      </c>
      <c r="G3884" s="5" t="str">
        <f>HYPERLINK("https://dpmzos25m8ivg.cloudfront.net/Documentos/631/07897382524/6310789738252411092023131846.jpeg","https://dpmzos25m8ivg.cloudfront.net/Documentos/631/07897382524/6310789738252411092023131846.jpeg")</f>
        <v>https://dpmzos25m8ivg.cloudfront.net/Documentos/631/07897382524/6310789738252411092023131846.jpeg</v>
      </c>
      <c r="H3884" s="5" t="s">
        <v>12461</v>
      </c>
    </row>
    <row r="3885" spans="1:8" x14ac:dyDescent="0.25">
      <c r="A3885" s="14" t="s">
        <v>3907</v>
      </c>
      <c r="B3885" s="3"/>
      <c r="C3885" s="3"/>
      <c r="D3885" s="3"/>
      <c r="E3885" s="5" t="str">
        <f>HYPERLINK("https://dpmzos25m8ivg.cloudfront.net/Documentos/631/07899587590/6310789958759011092023162930.pdf","https://dpmzos25m8ivg.cloudfront.net/Documentos/631/07899587590/6310789958759011092023162930.pdf")</f>
        <v>https://dpmzos25m8ivg.cloudfront.net/Documentos/631/07899587590/6310789958759011092023162930.pdf</v>
      </c>
      <c r="F3885" s="5" t="str">
        <f>HYPERLINK("https://dpmzos25m8ivg.cloudfront.net/Documentos/631/07899587590/6310789958759011092023163015.pdf","https://dpmzos25m8ivg.cloudfront.net/Documentos/631/07899587590/6310789958759011092023163015.pdf")</f>
        <v>https://dpmzos25m8ivg.cloudfront.net/Documentos/631/07899587590/6310789958759011092023163015.pdf</v>
      </c>
      <c r="G3885" s="5" t="str">
        <f>HYPERLINK("https://dpmzos25m8ivg.cloudfront.net/Documentos/631/07899587590/6310789958759011092023163055.pdf","https://dpmzos25m8ivg.cloudfront.net/Documentos/631/07899587590/6310789958759011092023163055.pdf")</f>
        <v>https://dpmzos25m8ivg.cloudfront.net/Documentos/631/07899587590/6310789958759011092023163055.pdf</v>
      </c>
      <c r="H3885" s="5" t="s">
        <v>12462</v>
      </c>
    </row>
    <row r="3886" spans="1:8" x14ac:dyDescent="0.25">
      <c r="A3886" s="14" t="s">
        <v>3908</v>
      </c>
      <c r="B3886" s="3"/>
      <c r="C3886" s="3"/>
      <c r="D3886" s="3"/>
      <c r="E3886" s="5" t="str">
        <f>HYPERLINK("https://dpmzos25m8ivg.cloudfront.net/Documentos/631/07899711517/6310789971151711092023161618.pdf","https://dpmzos25m8ivg.cloudfront.net/Documentos/631/07899711517/6310789971151711092023161618.pdf")</f>
        <v>https://dpmzos25m8ivg.cloudfront.net/Documentos/631/07899711517/6310789971151711092023161618.pdf</v>
      </c>
      <c r="F3886" s="5" t="str">
        <f>HYPERLINK("https://dpmzos25m8ivg.cloudfront.net/Documentos/631/07899711517/6310789971151711092023161637.pdf","https://dpmzos25m8ivg.cloudfront.net/Documentos/631/07899711517/6310789971151711092023161637.pdf")</f>
        <v>https://dpmzos25m8ivg.cloudfront.net/Documentos/631/07899711517/6310789971151711092023161637.pdf</v>
      </c>
      <c r="G3886" s="5" t="str">
        <f>HYPERLINK("https://dpmzos25m8ivg.cloudfront.net/Documentos/631/07899711517/6310789971151711092023161653.pdf","https://dpmzos25m8ivg.cloudfront.net/Documentos/631/07899711517/6310789971151711092023161653.pdf")</f>
        <v>https://dpmzos25m8ivg.cloudfront.net/Documentos/631/07899711517/6310789971151711092023161653.pdf</v>
      </c>
      <c r="H3886" s="5" t="s">
        <v>12463</v>
      </c>
    </row>
    <row r="3887" spans="1:8" x14ac:dyDescent="0.25">
      <c r="A3887" s="14" t="s">
        <v>3909</v>
      </c>
      <c r="B3887" s="3"/>
      <c r="C3887" s="3"/>
      <c r="D3887" s="3"/>
      <c r="E3887" s="5" t="str">
        <f>HYPERLINK("https://dpmzos25m8ivg.cloudfront.net/Documentos/631/07902171557/6310790217155711092023161536.pdf","https://dpmzos25m8ivg.cloudfront.net/Documentos/631/07902171557/6310790217155711092023161536.pdf")</f>
        <v>https://dpmzos25m8ivg.cloudfront.net/Documentos/631/07902171557/6310790217155711092023161536.pdf</v>
      </c>
      <c r="F3887" s="5" t="str">
        <f>HYPERLINK("https://dpmzos25m8ivg.cloudfront.net/Documentos/631/07902171557/6310790217155711092023161547.pdf","https://dpmzos25m8ivg.cloudfront.net/Documentos/631/07902171557/6310790217155711092023161547.pdf")</f>
        <v>https://dpmzos25m8ivg.cloudfront.net/Documentos/631/07902171557/6310790217155711092023161547.pdf</v>
      </c>
      <c r="G3887" s="5" t="str">
        <f>HYPERLINK("https://dpmzos25m8ivg.cloudfront.net/Documentos/631/07902171557/6310790217155711092023161557.pdf","https://dpmzos25m8ivg.cloudfront.net/Documentos/631/07902171557/6310790217155711092023161557.pdf")</f>
        <v>https://dpmzos25m8ivg.cloudfront.net/Documentos/631/07902171557/6310790217155711092023161557.pdf</v>
      </c>
      <c r="H3887" s="5" t="s">
        <v>12464</v>
      </c>
    </row>
    <row r="3888" spans="1:8" x14ac:dyDescent="0.25">
      <c r="A3888" s="14" t="s">
        <v>3910</v>
      </c>
      <c r="B3888" s="3"/>
      <c r="C3888" s="3"/>
      <c r="D3888" s="3"/>
      <c r="E3888" s="5" t="str">
        <f>HYPERLINK("https://dpmzos25m8ivg.cloudfront.net/Documentos/631/07902938629/6310790293862911092023131444.pdf","https://dpmzos25m8ivg.cloudfront.net/Documentos/631/07902938629/6310790293862911092023131444.pdf")</f>
        <v>https://dpmzos25m8ivg.cloudfront.net/Documentos/631/07902938629/6310790293862911092023131444.pdf</v>
      </c>
      <c r="F3888" s="5" t="str">
        <f>HYPERLINK("https://dpmzos25m8ivg.cloudfront.net/Documentos/631/07902938629/6310790293862911092023131425.pdf","https://dpmzos25m8ivg.cloudfront.net/Documentos/631/07902938629/6310790293862911092023131425.pdf")</f>
        <v>https://dpmzos25m8ivg.cloudfront.net/Documentos/631/07902938629/6310790293862911092023131425.pdf</v>
      </c>
      <c r="G3888" s="5" t="str">
        <f>HYPERLINK("https://dpmzos25m8ivg.cloudfront.net/Documentos/631/07902938629/6310790293862911092023131410.pdf","https://dpmzos25m8ivg.cloudfront.net/Documentos/631/07902938629/6310790293862911092023131410.pdf")</f>
        <v>https://dpmzos25m8ivg.cloudfront.net/Documentos/631/07902938629/6310790293862911092023131410.pdf</v>
      </c>
      <c r="H3888" s="5" t="s">
        <v>12465</v>
      </c>
    </row>
    <row r="3889" spans="1:8" x14ac:dyDescent="0.25">
      <c r="A3889" s="14" t="s">
        <v>3911</v>
      </c>
      <c r="B3889" s="3"/>
      <c r="C3889" s="3"/>
      <c r="D3889" s="3"/>
      <c r="E3889" s="5" t="str">
        <f>HYPERLINK("https://dpmzos25m8ivg.cloudfront.net/Documentos/631/07905426505/6310790542650511092023101504.pdf","https://dpmzos25m8ivg.cloudfront.net/Documentos/631/07905426505/6310790542650511092023101504.pdf")</f>
        <v>https://dpmzos25m8ivg.cloudfront.net/Documentos/631/07905426505/6310790542650511092023101504.pdf</v>
      </c>
      <c r="F3889" s="5" t="str">
        <f>HYPERLINK("https://dpmzos25m8ivg.cloudfront.net/Documentos/631/07905426505/6310790542650511092023101532.pdf","https://dpmzos25m8ivg.cloudfront.net/Documentos/631/07905426505/6310790542650511092023101532.pdf")</f>
        <v>https://dpmzos25m8ivg.cloudfront.net/Documentos/631/07905426505/6310790542650511092023101532.pdf</v>
      </c>
      <c r="G3889" s="5" t="str">
        <f>HYPERLINK("https://dpmzos25m8ivg.cloudfront.net/Documentos/631/07905426505/6310790542650511092023101549.pdf","https://dpmzos25m8ivg.cloudfront.net/Documentos/631/07905426505/6310790542650511092023101549.pdf")</f>
        <v>https://dpmzos25m8ivg.cloudfront.net/Documentos/631/07905426505/6310790542650511092023101549.pdf</v>
      </c>
      <c r="H3889" s="5" t="s">
        <v>12466</v>
      </c>
    </row>
    <row r="3890" spans="1:8" x14ac:dyDescent="0.25">
      <c r="A3890" s="14" t="s">
        <v>3912</v>
      </c>
      <c r="B3890" s="3"/>
      <c r="C3890" s="3"/>
      <c r="D3890" s="3"/>
      <c r="E3890" s="5" t="str">
        <f>HYPERLINK("https://dpmzos25m8ivg.cloudfront.net/Documentos/631/07906841522/6310790684152207092023161946.pdf","https://dpmzos25m8ivg.cloudfront.net/Documentos/631/07906841522/6310790684152207092023161946.pdf")</f>
        <v>https://dpmzos25m8ivg.cloudfront.net/Documentos/631/07906841522/6310790684152207092023161946.pdf</v>
      </c>
      <c r="F3890" s="5" t="str">
        <f>HYPERLINK("https://dpmzos25m8ivg.cloudfront.net/Documentos/631/07906841522/6310790684152207092023161956.pdf","https://dpmzos25m8ivg.cloudfront.net/Documentos/631/07906841522/6310790684152207092023161956.pdf")</f>
        <v>https://dpmzos25m8ivg.cloudfront.net/Documentos/631/07906841522/6310790684152207092023161956.pdf</v>
      </c>
      <c r="G3890" s="5" t="str">
        <f>HYPERLINK("https://dpmzos25m8ivg.cloudfront.net/Documentos/631/07906841522/6310790684152207092023162007.pdf","https://dpmzos25m8ivg.cloudfront.net/Documentos/631/07906841522/6310790684152207092023162007.pdf")</f>
        <v>https://dpmzos25m8ivg.cloudfront.net/Documentos/631/07906841522/6310790684152207092023162007.pdf</v>
      </c>
      <c r="H3890" s="5" t="s">
        <v>12467</v>
      </c>
    </row>
    <row r="3891" spans="1:8" x14ac:dyDescent="0.25">
      <c r="A3891" s="14" t="s">
        <v>3913</v>
      </c>
      <c r="B3891" s="3"/>
      <c r="C3891" s="3"/>
      <c r="D3891" s="3"/>
      <c r="E3891" s="5" t="str">
        <f>HYPERLINK("https://dpmzos25m8ivg.cloudfront.net/Documentos/631/07907082560/6310790708256011092023113131.pdf","https://dpmzos25m8ivg.cloudfront.net/Documentos/631/07907082560/6310790708256011092023113131.pdf")</f>
        <v>https://dpmzos25m8ivg.cloudfront.net/Documentos/631/07907082560/6310790708256011092023113131.pdf</v>
      </c>
      <c r="F3891" s="5" t="str">
        <f>HYPERLINK("https://dpmzos25m8ivg.cloudfront.net/Documentos/631/07907082560/6310790708256011092023113218.pdf","https://dpmzos25m8ivg.cloudfront.net/Documentos/631/07907082560/6310790708256011092023113218.pdf")</f>
        <v>https://dpmzos25m8ivg.cloudfront.net/Documentos/631/07907082560/6310790708256011092023113218.pdf</v>
      </c>
      <c r="G3891" s="5" t="str">
        <f>HYPERLINK("https://dpmzos25m8ivg.cloudfront.net/Documentos/631/07907082560/6310790708256011092023113241.pdf","https://dpmzos25m8ivg.cloudfront.net/Documentos/631/07907082560/6310790708256011092023113241.pdf")</f>
        <v>https://dpmzos25m8ivg.cloudfront.net/Documentos/631/07907082560/6310790708256011092023113241.pdf</v>
      </c>
      <c r="H3891" s="5" t="s">
        <v>12468</v>
      </c>
    </row>
    <row r="3892" spans="1:8" x14ac:dyDescent="0.25">
      <c r="A3892" s="14" t="s">
        <v>3914</v>
      </c>
      <c r="B3892" s="3"/>
      <c r="C3892" s="3"/>
      <c r="D3892" s="3"/>
      <c r="E3892" s="5" t="str">
        <f>HYPERLINK("https://dpmzos25m8ivg.cloudfront.net/Documentos/631/07909648308/6310790964830809092023194251.pdf","https://dpmzos25m8ivg.cloudfront.net/Documentos/631/07909648308/6310790964830809092023194251.pdf")</f>
        <v>https://dpmzos25m8ivg.cloudfront.net/Documentos/631/07909648308/6310790964830809092023194251.pdf</v>
      </c>
      <c r="F3892" s="5" t="str">
        <f>HYPERLINK("https://dpmzos25m8ivg.cloudfront.net/Documentos/631/07909648308/6310790964830809092023194306.pdf","https://dpmzos25m8ivg.cloudfront.net/Documentos/631/07909648308/6310790964830809092023194306.pdf")</f>
        <v>https://dpmzos25m8ivg.cloudfront.net/Documentos/631/07909648308/6310790964830809092023194306.pdf</v>
      </c>
      <c r="G3892" s="5" t="str">
        <f>HYPERLINK("https://dpmzos25m8ivg.cloudfront.net/Documentos/631/07909648308/6310790964830809092023194320.pdf","https://dpmzos25m8ivg.cloudfront.net/Documentos/631/07909648308/6310790964830809092023194320.pdf")</f>
        <v>https://dpmzos25m8ivg.cloudfront.net/Documentos/631/07909648308/6310790964830809092023194320.pdf</v>
      </c>
      <c r="H3892" s="5" t="s">
        <v>12469</v>
      </c>
    </row>
    <row r="3893" spans="1:8" x14ac:dyDescent="0.25">
      <c r="A3893" s="14" t="s">
        <v>3915</v>
      </c>
      <c r="B3893" s="3"/>
      <c r="C3893" s="3"/>
      <c r="D3893" s="3"/>
      <c r="E3893" s="5" t="str">
        <f>HYPERLINK("https://dpmzos25m8ivg.cloudfront.net/Documentos/631/07910519435/6310791051943511092023161055.pdf","https://dpmzos25m8ivg.cloudfront.net/Documentos/631/07910519435/6310791051943511092023161055.pdf")</f>
        <v>https://dpmzos25m8ivg.cloudfront.net/Documentos/631/07910519435/6310791051943511092023161055.pdf</v>
      </c>
      <c r="F3893" s="5" t="str">
        <f>HYPERLINK("https://dpmzos25m8ivg.cloudfront.net/Documentos/631/07910519435/6310791051943511092023161113.pdf","https://dpmzos25m8ivg.cloudfront.net/Documentos/631/07910519435/6310791051943511092023161113.pdf")</f>
        <v>https://dpmzos25m8ivg.cloudfront.net/Documentos/631/07910519435/6310791051943511092023161113.pdf</v>
      </c>
      <c r="G3893" s="5" t="str">
        <f>HYPERLINK("https://dpmzos25m8ivg.cloudfront.net/Documentos/631/07910519435/6310791051943511092023161127.pdf","https://dpmzos25m8ivg.cloudfront.net/Documentos/631/07910519435/6310791051943511092023161127.pdf")</f>
        <v>https://dpmzos25m8ivg.cloudfront.net/Documentos/631/07910519435/6310791051943511092023161127.pdf</v>
      </c>
      <c r="H3893" s="5" t="s">
        <v>12470</v>
      </c>
    </row>
    <row r="3894" spans="1:8" x14ac:dyDescent="0.25">
      <c r="A3894" s="14" t="s">
        <v>3916</v>
      </c>
      <c r="B3894" s="3"/>
      <c r="C3894" s="3"/>
      <c r="D3894" s="3"/>
      <c r="E3894" s="5" t="str">
        <f>HYPERLINK("https://dpmzos25m8ivg.cloudfront.net/Documentos/631/07910699310/6310791069931011092023135048.pdf","https://dpmzos25m8ivg.cloudfront.net/Documentos/631/07910699310/6310791069931011092023135048.pdf")</f>
        <v>https://dpmzos25m8ivg.cloudfront.net/Documentos/631/07910699310/6310791069931011092023135048.pdf</v>
      </c>
      <c r="F3894" s="5" t="str">
        <f>HYPERLINK("https://dpmzos25m8ivg.cloudfront.net/Documentos/631/07910699310/6310791069931011092023135054.pdf","https://dpmzos25m8ivg.cloudfront.net/Documentos/631/07910699310/6310791069931011092023135054.pdf")</f>
        <v>https://dpmzos25m8ivg.cloudfront.net/Documentos/631/07910699310/6310791069931011092023135054.pdf</v>
      </c>
      <c r="G3894" s="5" t="str">
        <f>HYPERLINK("https://dpmzos25m8ivg.cloudfront.net/Documentos/631/07910699310/6310791069931011092023135100.pdf","https://dpmzos25m8ivg.cloudfront.net/Documentos/631/07910699310/6310791069931011092023135100.pdf")</f>
        <v>https://dpmzos25m8ivg.cloudfront.net/Documentos/631/07910699310/6310791069931011092023135100.pdf</v>
      </c>
      <c r="H3894" s="5" t="s">
        <v>12471</v>
      </c>
    </row>
    <row r="3895" spans="1:8" x14ac:dyDescent="0.25">
      <c r="A3895" s="14" t="s">
        <v>3917</v>
      </c>
      <c r="B3895" s="3"/>
      <c r="C3895" s="3"/>
      <c r="D3895" s="3"/>
      <c r="E3895" s="5" t="str">
        <f>HYPERLINK("https://dpmzos25m8ivg.cloudfront.net/Documentos/631/07910925344/6310791092534405092023140834.pdf","https://dpmzos25m8ivg.cloudfront.net/Documentos/631/07910925344/6310791092534405092023140834.pdf")</f>
        <v>https://dpmzos25m8ivg.cloudfront.net/Documentos/631/07910925344/6310791092534405092023140834.pdf</v>
      </c>
      <c r="F3895" s="5" t="str">
        <f>HYPERLINK("https://dpmzos25m8ivg.cloudfront.net/Documentos/631/07910925344/6310791092534405092023140845.pdf","https://dpmzos25m8ivg.cloudfront.net/Documentos/631/07910925344/6310791092534405092023140845.pdf")</f>
        <v>https://dpmzos25m8ivg.cloudfront.net/Documentos/631/07910925344/6310791092534405092023140845.pdf</v>
      </c>
      <c r="G3895" s="5" t="str">
        <f>HYPERLINK("https://dpmzos25m8ivg.cloudfront.net/Documentos/631/07910925344/6310791092534405092023140856.pdf","https://dpmzos25m8ivg.cloudfront.net/Documentos/631/07910925344/6310791092534405092023140856.pdf")</f>
        <v>https://dpmzos25m8ivg.cloudfront.net/Documentos/631/07910925344/6310791092534405092023140856.pdf</v>
      </c>
      <c r="H3895" s="5" t="s">
        <v>12472</v>
      </c>
    </row>
    <row r="3896" spans="1:8" x14ac:dyDescent="0.25">
      <c r="A3896" s="2" t="s">
        <v>3918</v>
      </c>
      <c r="B3896" s="19" t="s">
        <v>3785</v>
      </c>
      <c r="C3896" s="3"/>
      <c r="D3896" s="3"/>
      <c r="E3896" s="5" t="str">
        <f>HYPERLINK("https://dpmzos25m8ivg.cloudfront.net/Documentos/631/07911366390/6310791136639011092023132111.pdf","https://dpmzos25m8ivg.cloudfront.net/Documentos/631/07911366390/6310791136639011092023132111.pdf")</f>
        <v>https://dpmzos25m8ivg.cloudfront.net/Documentos/631/07911366390/6310791136639011092023132111.pdf</v>
      </c>
      <c r="F3896" s="5" t="str">
        <f>HYPERLINK("https://dpmzos25m8ivg.cloudfront.net/Documentos/631/07911366390/6310791136639011092023132117.pdf","https://dpmzos25m8ivg.cloudfront.net/Documentos/631/07911366390/6310791136639011092023132117.pdf")</f>
        <v>https://dpmzos25m8ivg.cloudfront.net/Documentos/631/07911366390/6310791136639011092023132117.pdf</v>
      </c>
      <c r="G3896" s="5" t="str">
        <f>HYPERLINK("https://dpmzos25m8ivg.cloudfront.net/Documentos/631/07911366390/6310791136639011092023132125.pdf","https://dpmzos25m8ivg.cloudfront.net/Documentos/631/07911366390/6310791136639011092023132125.pdf")</f>
        <v>https://dpmzos25m8ivg.cloudfront.net/Documentos/631/07911366390/6310791136639011092023132125.pdf</v>
      </c>
      <c r="H3896" s="5" t="s">
        <v>12473</v>
      </c>
    </row>
    <row r="3897" spans="1:8" x14ac:dyDescent="0.25">
      <c r="A3897" s="14" t="s">
        <v>3919</v>
      </c>
      <c r="B3897" s="3"/>
      <c r="C3897" s="3"/>
      <c r="D3897" s="3"/>
      <c r="E3897" s="5" t="str">
        <f>HYPERLINK("https://dpmzos25m8ivg.cloudfront.net/Documentos/631/07914870323/6310791487032311092023152412.pdf","https://dpmzos25m8ivg.cloudfront.net/Documentos/631/07914870323/6310791487032311092023152412.pdf")</f>
        <v>https://dpmzos25m8ivg.cloudfront.net/Documentos/631/07914870323/6310791487032311092023152412.pdf</v>
      </c>
      <c r="F3897" s="5" t="str">
        <f>HYPERLINK("https://dpmzos25m8ivg.cloudfront.net/Documentos/631/07914870323/6310791487032311092023152421.pdf","https://dpmzos25m8ivg.cloudfront.net/Documentos/631/07914870323/6310791487032311092023152421.pdf")</f>
        <v>https://dpmzos25m8ivg.cloudfront.net/Documentos/631/07914870323/6310791487032311092023152421.pdf</v>
      </c>
      <c r="G3897" s="5" t="str">
        <f>HYPERLINK("https://dpmzos25m8ivg.cloudfront.net/Documentos/631/07914870323/6310791487032311092023152430.pdf","https://dpmzos25m8ivg.cloudfront.net/Documentos/631/07914870323/6310791487032311092023152430.pdf")</f>
        <v>https://dpmzos25m8ivg.cloudfront.net/Documentos/631/07914870323/6310791487032311092023152430.pdf</v>
      </c>
      <c r="H3897" s="5" t="s">
        <v>12474</v>
      </c>
    </row>
    <row r="3898" spans="1:8" x14ac:dyDescent="0.25">
      <c r="A3898" s="14" t="s">
        <v>3920</v>
      </c>
      <c r="B3898" s="3"/>
      <c r="C3898" s="3"/>
      <c r="D3898" s="3"/>
      <c r="E3898" s="5" t="str">
        <f>HYPERLINK("https://dpmzos25m8ivg.cloudfront.net/Documentos/631/07926064424/6310792606442409092023120953.pdf","https://dpmzos25m8ivg.cloudfront.net/Documentos/631/07926064424/6310792606442409092023120953.pdf")</f>
        <v>https://dpmzos25m8ivg.cloudfront.net/Documentos/631/07926064424/6310792606442409092023120953.pdf</v>
      </c>
      <c r="F3898" s="5" t="str">
        <f>HYPERLINK("https://dpmzos25m8ivg.cloudfront.net/Documentos/631/07926064424/6310792606442409092023121008.pdf","https://dpmzos25m8ivg.cloudfront.net/Documentos/631/07926064424/6310792606442409092023121008.pdf")</f>
        <v>https://dpmzos25m8ivg.cloudfront.net/Documentos/631/07926064424/6310792606442409092023121008.pdf</v>
      </c>
      <c r="G3898" s="5" t="str">
        <f>HYPERLINK("https://dpmzos25m8ivg.cloudfront.net/Documentos/631/07926064424/6310792606442409092023121020.pdf","https://dpmzos25m8ivg.cloudfront.net/Documentos/631/07926064424/6310792606442409092023121020.pdf")</f>
        <v>https://dpmzos25m8ivg.cloudfront.net/Documentos/631/07926064424/6310792606442409092023121020.pdf</v>
      </c>
      <c r="H3898" s="5" t="s">
        <v>12475</v>
      </c>
    </row>
    <row r="3899" spans="1:8" x14ac:dyDescent="0.25">
      <c r="A3899" s="14" t="s">
        <v>3921</v>
      </c>
      <c r="B3899" s="3"/>
      <c r="C3899" s="3"/>
      <c r="D3899" s="3"/>
      <c r="E3899" s="5" t="str">
        <f>HYPERLINK("https://dpmzos25m8ivg.cloudfront.net/Documentos/631/07927489640/6310792748964009092023190637.jpg","https://dpmzos25m8ivg.cloudfront.net/Documentos/631/07927489640/6310792748964009092023190637.jpg")</f>
        <v>https://dpmzos25m8ivg.cloudfront.net/Documentos/631/07927489640/6310792748964009092023190637.jpg</v>
      </c>
      <c r="F3899" s="5" t="str">
        <f>HYPERLINK("https://dpmzos25m8ivg.cloudfront.net/Documentos/631/07927489640/6310792748964009092023190736.jpg","https://dpmzos25m8ivg.cloudfront.net/Documentos/631/07927489640/6310792748964009092023190736.jpg")</f>
        <v>https://dpmzos25m8ivg.cloudfront.net/Documentos/631/07927489640/6310792748964009092023190736.jpg</v>
      </c>
      <c r="G3899" s="5" t="str">
        <f>HYPERLINK("https://dpmzos25m8ivg.cloudfront.net/Documentos/631/07927489640/6310792748964009092023190810.jpg","https://dpmzos25m8ivg.cloudfront.net/Documentos/631/07927489640/6310792748964009092023190810.jpg")</f>
        <v>https://dpmzos25m8ivg.cloudfront.net/Documentos/631/07927489640/6310792748964009092023190810.jpg</v>
      </c>
      <c r="H3899" s="5" t="s">
        <v>12476</v>
      </c>
    </row>
    <row r="3900" spans="1:8" x14ac:dyDescent="0.25">
      <c r="A3900" s="14" t="s">
        <v>3922</v>
      </c>
      <c r="B3900" s="3"/>
      <c r="C3900" s="3"/>
      <c r="D3900" s="3"/>
      <c r="E3900" s="5" t="str">
        <f>HYPERLINK("https://dpmzos25m8ivg.cloudfront.net/Documentos/631/07931784367/6310793178436709092023131801.pdf","https://dpmzos25m8ivg.cloudfront.net/Documentos/631/07931784367/6310793178436709092023131801.pdf")</f>
        <v>https://dpmzos25m8ivg.cloudfront.net/Documentos/631/07931784367/6310793178436709092023131801.pdf</v>
      </c>
      <c r="F3900" s="5" t="str">
        <f>HYPERLINK("https://dpmzos25m8ivg.cloudfront.net/Documentos/631/07931784367/6310793178436709092023131814.pdf","https://dpmzos25m8ivg.cloudfront.net/Documentos/631/07931784367/6310793178436709092023131814.pdf")</f>
        <v>https://dpmzos25m8ivg.cloudfront.net/Documentos/631/07931784367/6310793178436709092023131814.pdf</v>
      </c>
      <c r="G3900" s="5" t="str">
        <f>HYPERLINK("https://dpmzos25m8ivg.cloudfront.net/Documentos/631/07931784367/6310793178436709092023131826.pdf","https://dpmzos25m8ivg.cloudfront.net/Documentos/631/07931784367/6310793178436709092023131826.pdf")</f>
        <v>https://dpmzos25m8ivg.cloudfront.net/Documentos/631/07931784367/6310793178436709092023131826.pdf</v>
      </c>
      <c r="H3900" s="5" t="s">
        <v>12477</v>
      </c>
    </row>
    <row r="3901" spans="1:8" x14ac:dyDescent="0.25">
      <c r="A3901" s="14" t="s">
        <v>3923</v>
      </c>
      <c r="B3901" s="3"/>
      <c r="C3901" s="3"/>
      <c r="D3901" s="3"/>
      <c r="E3901" s="5" t="str">
        <f>HYPERLINK("https://dpmzos25m8ivg.cloudfront.net/Documentos/631/07935872554/6310793587255411092023160347.pdf","https://dpmzos25m8ivg.cloudfront.net/Documentos/631/07935872554/6310793587255411092023160347.pdf")</f>
        <v>https://dpmzos25m8ivg.cloudfront.net/Documentos/631/07935872554/6310793587255411092023160347.pdf</v>
      </c>
      <c r="F3901" s="5" t="str">
        <f>HYPERLINK("https://dpmzos25m8ivg.cloudfront.net/Documentos/631/07935872554/6310793587255411092023160405.pdf","https://dpmzos25m8ivg.cloudfront.net/Documentos/631/07935872554/6310793587255411092023160405.pdf")</f>
        <v>https://dpmzos25m8ivg.cloudfront.net/Documentos/631/07935872554/6310793587255411092023160405.pdf</v>
      </c>
      <c r="G3901" s="5" t="str">
        <f>HYPERLINK("https://dpmzos25m8ivg.cloudfront.net/Documentos/631/07935872554/6310793587255411092023160413.pdf","https://dpmzos25m8ivg.cloudfront.net/Documentos/631/07935872554/6310793587255411092023160413.pdf")</f>
        <v>https://dpmzos25m8ivg.cloudfront.net/Documentos/631/07935872554/6310793587255411092023160413.pdf</v>
      </c>
      <c r="H3901" s="5" t="s">
        <v>12478</v>
      </c>
    </row>
    <row r="3902" spans="1:8" x14ac:dyDescent="0.25">
      <c r="A3902" s="2" t="s">
        <v>3924</v>
      </c>
      <c r="B3902" s="19" t="s">
        <v>3785</v>
      </c>
      <c r="C3902" s="3"/>
      <c r="D3902" s="3"/>
      <c r="E3902" s="5" t="str">
        <f>HYPERLINK("https://dpmzos25m8ivg.cloudfront.net/Documentos/631/07938595659/6310793859565910092023211750.jpg","https://dpmzos25m8ivg.cloudfront.net/Documentos/631/07938595659/6310793859565910092023211750.jpg")</f>
        <v>https://dpmzos25m8ivg.cloudfront.net/Documentos/631/07938595659/6310793859565910092023211750.jpg</v>
      </c>
      <c r="F3902" s="5" t="str">
        <f>HYPERLINK("https://dpmzos25m8ivg.cloudfront.net/Documentos/631/07938595659/6310793859565910092023211815.jpg","https://dpmzos25m8ivg.cloudfront.net/Documentos/631/07938595659/6310793859565910092023211815.jpg")</f>
        <v>https://dpmzos25m8ivg.cloudfront.net/Documentos/631/07938595659/6310793859565910092023211815.jpg</v>
      </c>
      <c r="G3902" s="5" t="str">
        <f>HYPERLINK("https://dpmzos25m8ivg.cloudfront.net/Documentos/631/07938595659/6310793859565910092023211833.jpg","https://dpmzos25m8ivg.cloudfront.net/Documentos/631/07938595659/6310793859565910092023211833.jpg")</f>
        <v>https://dpmzos25m8ivg.cloudfront.net/Documentos/631/07938595659/6310793859565910092023211833.jpg</v>
      </c>
      <c r="H3902" s="5" t="s">
        <v>12479</v>
      </c>
    </row>
    <row r="3903" spans="1:8" x14ac:dyDescent="0.25">
      <c r="A3903" s="14" t="s">
        <v>3925</v>
      </c>
      <c r="B3903" s="3" t="s">
        <v>8</v>
      </c>
      <c r="C3903" s="3"/>
      <c r="D3903" s="3"/>
      <c r="E3903" s="5" t="str">
        <f>HYPERLINK("https://dpmzos25m8ivg.cloudfront.net/Documentos/631/07939384732/6310793938473211092023165910.pdf","https://dpmzos25m8ivg.cloudfront.net/Documentos/631/07939384732/6310793938473211092023165910.pdf")</f>
        <v>https://dpmzos25m8ivg.cloudfront.net/Documentos/631/07939384732/6310793938473211092023165910.pdf</v>
      </c>
      <c r="F3903" s="5" t="str">
        <f>HYPERLINK("https://dpmzos25m8ivg.cloudfront.net/Documentos/631/07939384732/6310793938473211092023165937.pdf","https://dpmzos25m8ivg.cloudfront.net/Documentos/631/07939384732/6310793938473211092023165937.pdf")</f>
        <v>https://dpmzos25m8ivg.cloudfront.net/Documentos/631/07939384732/6310793938473211092023165937.pdf</v>
      </c>
      <c r="G3903" s="5" t="str">
        <f>HYPERLINK("https://dpmzos25m8ivg.cloudfront.net/Documentos/631/07939384732/6310793938473211092023170003.pdf","https://dpmzos25m8ivg.cloudfront.net/Documentos/631/07939384732/6310793938473211092023170003.pdf")</f>
        <v>https://dpmzos25m8ivg.cloudfront.net/Documentos/631/07939384732/6310793938473211092023170003.pdf</v>
      </c>
      <c r="H3903" s="5" t="s">
        <v>12480</v>
      </c>
    </row>
    <row r="3904" spans="1:8" x14ac:dyDescent="0.25">
      <c r="A3904" s="2" t="s">
        <v>3926</v>
      </c>
      <c r="B3904" s="19" t="s">
        <v>3785</v>
      </c>
      <c r="C3904" s="3"/>
      <c r="D3904" s="3"/>
      <c r="E3904" s="5" t="str">
        <f>HYPERLINK("https://dpmzos25m8ivg.cloudfront.net/Documentos/631/07942353958/6310794235395811092023124822.pdf","https://dpmzos25m8ivg.cloudfront.net/Documentos/631/07942353958/6310794235395811092023124822.pdf")</f>
        <v>https://dpmzos25m8ivg.cloudfront.net/Documentos/631/07942353958/6310794235395811092023124822.pdf</v>
      </c>
      <c r="F3904" s="5" t="str">
        <f>HYPERLINK("https://dpmzos25m8ivg.cloudfront.net/Documentos/631/07942353958/6310794235395811092023124839.pdf","https://dpmzos25m8ivg.cloudfront.net/Documentos/631/07942353958/6310794235395811092023124839.pdf")</f>
        <v>https://dpmzos25m8ivg.cloudfront.net/Documentos/631/07942353958/6310794235395811092023124839.pdf</v>
      </c>
      <c r="G3904" s="5" t="str">
        <f>HYPERLINK("https://dpmzos25m8ivg.cloudfront.net/Documentos/631/07942353958/6310794235395811092023124848.pdf","https://dpmzos25m8ivg.cloudfront.net/Documentos/631/07942353958/6310794235395811092023124848.pdf")</f>
        <v>https://dpmzos25m8ivg.cloudfront.net/Documentos/631/07942353958/6310794235395811092023124848.pdf</v>
      </c>
      <c r="H3904" s="5" t="s">
        <v>12481</v>
      </c>
    </row>
    <row r="3905" spans="1:8" x14ac:dyDescent="0.25">
      <c r="A3905" s="14" t="s">
        <v>3927</v>
      </c>
      <c r="B3905" s="3" t="s">
        <v>8</v>
      </c>
      <c r="C3905" s="3"/>
      <c r="D3905" s="3"/>
      <c r="E3905" s="5" t="str">
        <f>HYPERLINK("https://dpmzos25m8ivg.cloudfront.net/Documentos/631/07942900789/6310794290078911092023164915.pdf","https://dpmzos25m8ivg.cloudfront.net/Documentos/631/07942900789/6310794290078911092023164915.pdf")</f>
        <v>https://dpmzos25m8ivg.cloudfront.net/Documentos/631/07942900789/6310794290078911092023164915.pdf</v>
      </c>
      <c r="F3905" s="5" t="str">
        <f>HYPERLINK("https://dpmzos25m8ivg.cloudfront.net/Documentos/631/07942900789/6310794290078911092023164934.pdf","https://dpmzos25m8ivg.cloudfront.net/Documentos/631/07942900789/6310794290078911092023164934.pdf")</f>
        <v>https://dpmzos25m8ivg.cloudfront.net/Documentos/631/07942900789/6310794290078911092023164934.pdf</v>
      </c>
      <c r="G3905" s="5" t="str">
        <f>HYPERLINK("https://dpmzos25m8ivg.cloudfront.net/Documentos/631/07942900789/6310794290078911092023165005.pdf","https://dpmzos25m8ivg.cloudfront.net/Documentos/631/07942900789/6310794290078911092023165005.pdf")</f>
        <v>https://dpmzos25m8ivg.cloudfront.net/Documentos/631/07942900789/6310794290078911092023165005.pdf</v>
      </c>
      <c r="H3905" s="5" t="s">
        <v>9010</v>
      </c>
    </row>
    <row r="3906" spans="1:8" x14ac:dyDescent="0.25">
      <c r="A3906" s="14" t="s">
        <v>3928</v>
      </c>
      <c r="B3906" s="3"/>
      <c r="C3906" s="3"/>
      <c r="D3906" s="3"/>
      <c r="E3906" s="5" t="str">
        <f>HYPERLINK("https://dpmzos25m8ivg.cloudfront.net/Documentos/631/07952241338/6310795224133814092023150719.pdf","https://dpmzos25m8ivg.cloudfront.net/Documentos/631/07952241338/6310795224133814092023150719.pdf")</f>
        <v>https://dpmzos25m8ivg.cloudfront.net/Documentos/631/07952241338/6310795224133814092023150719.pdf</v>
      </c>
      <c r="F3906" s="5" t="str">
        <f>HYPERLINK("https://dpmzos25m8ivg.cloudfront.net/Documentos/631/07952241338/6310795224133814092023150741.pdf","https://dpmzos25m8ivg.cloudfront.net/Documentos/631/07952241338/6310795224133814092023150741.pdf")</f>
        <v>https://dpmzos25m8ivg.cloudfront.net/Documentos/631/07952241338/6310795224133814092023150741.pdf</v>
      </c>
      <c r="G3906" s="5" t="str">
        <f>HYPERLINK("https://dpmzos25m8ivg.cloudfront.net/Documentos/631/07952241338/6310795224133814092023150753.pdf","https://dpmzos25m8ivg.cloudfront.net/Documentos/631/07952241338/6310795224133814092023150753.pdf")</f>
        <v>https://dpmzos25m8ivg.cloudfront.net/Documentos/631/07952241338/6310795224133814092023150753.pdf</v>
      </c>
      <c r="H3906" s="5" t="s">
        <v>12482</v>
      </c>
    </row>
    <row r="3907" spans="1:8" x14ac:dyDescent="0.25">
      <c r="A3907" s="2" t="s">
        <v>3929</v>
      </c>
      <c r="B3907" s="19" t="s">
        <v>3785</v>
      </c>
      <c r="C3907" s="3"/>
      <c r="D3907" s="3"/>
      <c r="E3907" s="5" t="str">
        <f>HYPERLINK("https://dpmzos25m8ivg.cloudfront.net/Documentos/631/07959566658/6310795956665810092023183003.jpeg","https://dpmzos25m8ivg.cloudfront.net/Documentos/631/07959566658/6310795956665810092023183003.jpeg")</f>
        <v>https://dpmzos25m8ivg.cloudfront.net/Documentos/631/07959566658/6310795956665810092023183003.jpeg</v>
      </c>
      <c r="F3907" s="5" t="str">
        <f>HYPERLINK("https://dpmzos25m8ivg.cloudfront.net/Documentos/631/07959566658/6310795956665810092023183025.jpeg","https://dpmzos25m8ivg.cloudfront.net/Documentos/631/07959566658/6310795956665810092023183025.jpeg")</f>
        <v>https://dpmzos25m8ivg.cloudfront.net/Documentos/631/07959566658/6310795956665810092023183025.jpeg</v>
      </c>
      <c r="G3907" s="5" t="str">
        <f>HYPERLINK("https://dpmzos25m8ivg.cloudfront.net/Documentos/631/07959566658/6310795956665810092023183037.jpeg","https://dpmzos25m8ivg.cloudfront.net/Documentos/631/07959566658/6310795956665810092023183037.jpeg")</f>
        <v>https://dpmzos25m8ivg.cloudfront.net/Documentos/631/07959566658/6310795956665810092023183037.jpeg</v>
      </c>
      <c r="H3907" s="5" t="s">
        <v>12483</v>
      </c>
    </row>
    <row r="3908" spans="1:8" x14ac:dyDescent="0.25">
      <c r="A3908" s="14" t="s">
        <v>3930</v>
      </c>
      <c r="B3908" s="3" t="s">
        <v>8</v>
      </c>
      <c r="C3908" s="3"/>
      <c r="D3908" s="3"/>
      <c r="E3908" s="5" t="str">
        <f>HYPERLINK("https://dpmzos25m8ivg.cloudfront.net/Documentos/631/07960329630/6310796032963011092023143233.jpg","https://dpmzos25m8ivg.cloudfront.net/Documentos/631/07960329630/6310796032963011092023143233.jpg")</f>
        <v>https://dpmzos25m8ivg.cloudfront.net/Documentos/631/07960329630/6310796032963011092023143233.jpg</v>
      </c>
      <c r="F3908" s="5" t="str">
        <f>HYPERLINK("https://dpmzos25m8ivg.cloudfront.net/Documentos/631/07960329630/6310796032963011092023143247.jpg","https://dpmzos25m8ivg.cloudfront.net/Documentos/631/07960329630/6310796032963011092023143247.jpg")</f>
        <v>https://dpmzos25m8ivg.cloudfront.net/Documentos/631/07960329630/6310796032963011092023143247.jpg</v>
      </c>
      <c r="G3908" s="5" t="str">
        <f>HYPERLINK("https://dpmzos25m8ivg.cloudfront.net/Documentos/631/07960329630/6310796032963011092023143305.jpg","https://dpmzos25m8ivg.cloudfront.net/Documentos/631/07960329630/6310796032963011092023143305.jpg")</f>
        <v>https://dpmzos25m8ivg.cloudfront.net/Documentos/631/07960329630/6310796032963011092023143305.jpg</v>
      </c>
      <c r="H3908" s="5" t="s">
        <v>12484</v>
      </c>
    </row>
    <row r="3909" spans="1:8" x14ac:dyDescent="0.25">
      <c r="A3909" s="14" t="s">
        <v>3931</v>
      </c>
      <c r="B3909" s="3"/>
      <c r="C3909" s="3"/>
      <c r="D3909" s="3"/>
      <c r="E3909" s="5" t="str">
        <f>HYPERLINK("https://dpmzos25m8ivg.cloudfront.net/Documentos/631/07970164307/6310797016430708092023101658.pdf","https://dpmzos25m8ivg.cloudfront.net/Documentos/631/07970164307/6310797016430708092023101658.pdf")</f>
        <v>https://dpmzos25m8ivg.cloudfront.net/Documentos/631/07970164307/6310797016430708092023101658.pdf</v>
      </c>
      <c r="F3909" s="5" t="str">
        <f>HYPERLINK("https://dpmzos25m8ivg.cloudfront.net/Documentos/631/07970164307/6310797016430708092023101731.pdf","https://dpmzos25m8ivg.cloudfront.net/Documentos/631/07970164307/6310797016430708092023101731.pdf")</f>
        <v>https://dpmzos25m8ivg.cloudfront.net/Documentos/631/07970164307/6310797016430708092023101731.pdf</v>
      </c>
      <c r="G3909" s="5" t="str">
        <f>HYPERLINK("https://dpmzos25m8ivg.cloudfront.net/Documentos/631/07970164307/6310797016430708092023101801.pdf","https://dpmzos25m8ivg.cloudfront.net/Documentos/631/07970164307/6310797016430708092023101801.pdf")</f>
        <v>https://dpmzos25m8ivg.cloudfront.net/Documentos/631/07970164307/6310797016430708092023101801.pdf</v>
      </c>
      <c r="H3909" s="5" t="s">
        <v>12485</v>
      </c>
    </row>
    <row r="3910" spans="1:8" x14ac:dyDescent="0.25">
      <c r="A3910" s="14" t="s">
        <v>3932</v>
      </c>
      <c r="B3910" s="3"/>
      <c r="C3910" s="3"/>
      <c r="D3910" s="3"/>
      <c r="E3910" s="5" t="str">
        <f>HYPERLINK("https://dpmzos25m8ivg.cloudfront.net/Documentos/631/07971827725/6310797182772511092023121230.jpg","https://dpmzos25m8ivg.cloudfront.net/Documentos/631/07971827725/6310797182772511092023121230.jpg")</f>
        <v>https://dpmzos25m8ivg.cloudfront.net/Documentos/631/07971827725/6310797182772511092023121230.jpg</v>
      </c>
      <c r="F3910" s="5" t="str">
        <f>HYPERLINK("https://dpmzos25m8ivg.cloudfront.net/Documentos/631/07971827725/6310797182772510092023172946.jpg","https://dpmzos25m8ivg.cloudfront.net/Documentos/631/07971827725/6310797182772510092023172946.jpg")</f>
        <v>https://dpmzos25m8ivg.cloudfront.net/Documentos/631/07971827725/6310797182772510092023172946.jpg</v>
      </c>
      <c r="G3910" s="5" t="str">
        <f>HYPERLINK("https://dpmzos25m8ivg.cloudfront.net/Documentos/631/07971827725/6310797182772510092023173006.jpg","https://dpmzos25m8ivg.cloudfront.net/Documentos/631/07971827725/6310797182772510092023173006.jpg")</f>
        <v>https://dpmzos25m8ivg.cloudfront.net/Documentos/631/07971827725/6310797182772510092023173006.jpg</v>
      </c>
      <c r="H3910" s="5" t="s">
        <v>12486</v>
      </c>
    </row>
    <row r="3911" spans="1:8" x14ac:dyDescent="0.25">
      <c r="A3911" s="14" t="s">
        <v>3933</v>
      </c>
      <c r="B3911" s="3"/>
      <c r="C3911" s="3"/>
      <c r="D3911" s="3"/>
      <c r="E3911" s="5" t="str">
        <f>HYPERLINK("https://dpmzos25m8ivg.cloudfront.net/Documentos/631/07972470928/6310797247092811092023130949.jpg","https://dpmzos25m8ivg.cloudfront.net/Documentos/631/07972470928/6310797247092811092023130949.jpg")</f>
        <v>https://dpmzos25m8ivg.cloudfront.net/Documentos/631/07972470928/6310797247092811092023130949.jpg</v>
      </c>
      <c r="F3911" s="5" t="str">
        <f>HYPERLINK("https://dpmzos25m8ivg.cloudfront.net/Documentos/631/07972470928/6310797247092811092023131142.jpg","https://dpmzos25m8ivg.cloudfront.net/Documentos/631/07972470928/6310797247092811092023131142.jpg")</f>
        <v>https://dpmzos25m8ivg.cloudfront.net/Documentos/631/07972470928/6310797247092811092023131142.jpg</v>
      </c>
      <c r="G3911" s="5" t="str">
        <f>HYPERLINK("https://dpmzos25m8ivg.cloudfront.net/Documentos/631/07972470928/6310797247092811092023131312.jpg","https://dpmzos25m8ivg.cloudfront.net/Documentos/631/07972470928/6310797247092811092023131312.jpg")</f>
        <v>https://dpmzos25m8ivg.cloudfront.net/Documentos/631/07972470928/6310797247092811092023131312.jpg</v>
      </c>
      <c r="H3911" s="5" t="s">
        <v>12487</v>
      </c>
    </row>
    <row r="3912" spans="1:8" x14ac:dyDescent="0.25">
      <c r="A3912" s="2" t="s">
        <v>3934</v>
      </c>
      <c r="B3912" s="19" t="s">
        <v>3785</v>
      </c>
      <c r="C3912" s="3"/>
      <c r="D3912" s="3"/>
      <c r="E3912" s="5" t="str">
        <f>HYPERLINK("https://dpmzos25m8ivg.cloudfront.net/Documentos/631/07972886350/6310797288635009092023194056.pdf","https://dpmzos25m8ivg.cloudfront.net/Documentos/631/07972886350/6310797288635009092023194056.pdf")</f>
        <v>https://dpmzos25m8ivg.cloudfront.net/Documentos/631/07972886350/6310797288635009092023194056.pdf</v>
      </c>
      <c r="F3912" s="5" t="str">
        <f>HYPERLINK("https://dpmzos25m8ivg.cloudfront.net/Documentos/631/07972886350/6310797288635009092023194108.pdf","https://dpmzos25m8ivg.cloudfront.net/Documentos/631/07972886350/6310797288635009092023194108.pdf")</f>
        <v>https://dpmzos25m8ivg.cloudfront.net/Documentos/631/07972886350/6310797288635009092023194108.pdf</v>
      </c>
      <c r="G3912" s="5" t="str">
        <f>HYPERLINK("https://dpmzos25m8ivg.cloudfront.net/Documentos/631/07972886350/6310797288635009092023194123.pdf","https://dpmzos25m8ivg.cloudfront.net/Documentos/631/AR48907972886350/6310797288635009092023194123.pdf")</f>
        <v>https://dpmzos25m8ivg.cloudfront.net/Documentos/631/AR48907972886350/6310797288635009092023194123.pdf</v>
      </c>
      <c r="H3912" s="5" t="s">
        <v>12488</v>
      </c>
    </row>
    <row r="3913" spans="1:8" x14ac:dyDescent="0.25">
      <c r="A3913" s="14" t="s">
        <v>3935</v>
      </c>
      <c r="B3913" s="3"/>
      <c r="C3913" s="3"/>
      <c r="D3913" s="3"/>
      <c r="E3913" s="5" t="str">
        <f>HYPERLINK("https://dpmzos25m8ivg.cloudfront.net/Documentos/631/07976923390/6310797692339011092023154549.pdf","https://dpmzos25m8ivg.cloudfront.net/Documentos/631/07976923390/6310797692339011092023154549.pdf")</f>
        <v>https://dpmzos25m8ivg.cloudfront.net/Documentos/631/07976923390/6310797692339011092023154549.pdf</v>
      </c>
      <c r="F3913" s="5" t="str">
        <f>HYPERLINK("https://dpmzos25m8ivg.cloudfront.net/Documentos/631/07976923390/6310797692339011092023154558.pdf","https://dpmzos25m8ivg.cloudfront.net/Documentos/631/07976923390/6310797692339011092023154558.pdf")</f>
        <v>https://dpmzos25m8ivg.cloudfront.net/Documentos/631/07976923390/6310797692339011092023154558.pdf</v>
      </c>
      <c r="G3913" s="5" t="str">
        <f>HYPERLINK("https://dpmzos25m8ivg.cloudfront.net/Documentos/631/07976923390/6310797692339011092023154609.pdf","https://dpmzos25m8ivg.cloudfront.net/Documentos/631/07976923390/6310797692339011092023154609.pdf")</f>
        <v>https://dpmzos25m8ivg.cloudfront.net/Documentos/631/07976923390/6310797692339011092023154609.pdf</v>
      </c>
      <c r="H3913" s="5" t="s">
        <v>12489</v>
      </c>
    </row>
    <row r="3914" spans="1:8" x14ac:dyDescent="0.25">
      <c r="A3914" s="14" t="s">
        <v>3936</v>
      </c>
      <c r="B3914" s="3"/>
      <c r="C3914" s="3"/>
      <c r="D3914" s="3"/>
      <c r="E3914" s="5" t="str">
        <f>HYPERLINK("https://dpmzos25m8ivg.cloudfront.net/Documentos/631/07980261623/6310798026162305092023214513.pdf","https://dpmzos25m8ivg.cloudfront.net/Documentos/631/07980261623/6310798026162305092023214513.pdf")</f>
        <v>https://dpmzos25m8ivg.cloudfront.net/Documentos/631/07980261623/6310798026162305092023214513.pdf</v>
      </c>
      <c r="F3914" s="5" t="str">
        <f>HYPERLINK("https://dpmzos25m8ivg.cloudfront.net/Documentos/631/07980261623/6310798026162305092023214526.pdf","https://dpmzos25m8ivg.cloudfront.net/Documentos/631/07980261623/6310798026162305092023214526.pdf")</f>
        <v>https://dpmzos25m8ivg.cloudfront.net/Documentos/631/07980261623/6310798026162305092023214526.pdf</v>
      </c>
      <c r="G3914" s="5" t="str">
        <f>HYPERLINK("https://dpmzos25m8ivg.cloudfront.net/Documentos/631/07980261623/6310798026162305092023214541.pdf","https://dpmzos25m8ivg.cloudfront.net/Documentos/631/07980261623/6310798026162305092023214541.pdf")</f>
        <v>https://dpmzos25m8ivg.cloudfront.net/Documentos/631/07980261623/6310798026162305092023214541.pdf</v>
      </c>
      <c r="H3914" s="5" t="s">
        <v>12490</v>
      </c>
    </row>
    <row r="3915" spans="1:8" x14ac:dyDescent="0.25">
      <c r="A3915" s="14" t="s">
        <v>3937</v>
      </c>
      <c r="B3915" s="3"/>
      <c r="C3915" s="3"/>
      <c r="D3915" s="3"/>
      <c r="E3915" s="5" t="str">
        <f>HYPERLINK("https://dpmzos25m8ivg.cloudfront.net/Documentos/631/07982478786/6310798247878606092023182033.pdf","https://dpmzos25m8ivg.cloudfront.net/Documentos/631/07982478786/6310798247878606092023182033.pdf")</f>
        <v>https://dpmzos25m8ivg.cloudfront.net/Documentos/631/07982478786/6310798247878606092023182033.pdf</v>
      </c>
      <c r="F3915" s="5" t="str">
        <f>HYPERLINK("https://dpmzos25m8ivg.cloudfront.net/Documentos/631/07982478786/6310798247878606092023182048.pdf","https://dpmzos25m8ivg.cloudfront.net/Documentos/631/07982478786/6310798247878606092023182048.pdf")</f>
        <v>https://dpmzos25m8ivg.cloudfront.net/Documentos/631/07982478786/6310798247878606092023182048.pdf</v>
      </c>
      <c r="G3915" s="5" t="str">
        <f>HYPERLINK("https://dpmzos25m8ivg.cloudfront.net/Documentos/631/07982478786/6310798247878606092023182102.pdf","https://dpmzos25m8ivg.cloudfront.net/Documentos/631/07982478786/6310798247878606092023182102.pdf")</f>
        <v>https://dpmzos25m8ivg.cloudfront.net/Documentos/631/07982478786/6310798247878606092023182102.pdf</v>
      </c>
      <c r="H3915" s="5" t="s">
        <v>12491</v>
      </c>
    </row>
    <row r="3916" spans="1:8" x14ac:dyDescent="0.25">
      <c r="A3916" s="2" t="s">
        <v>3938</v>
      </c>
      <c r="B3916" s="19" t="s">
        <v>3785</v>
      </c>
      <c r="C3916" s="3"/>
      <c r="D3916" s="3"/>
      <c r="E3916" s="5" t="str">
        <f>HYPERLINK("https://dpmzos25m8ivg.cloudfront.net/Documentos/631/07985103155/6310798510315511092023165828.jpeg","https://dpmzos25m8ivg.cloudfront.net/Documentos/631/07985103155/6310798510315511092023165828.jpeg")</f>
        <v>https://dpmzos25m8ivg.cloudfront.net/Documentos/631/07985103155/6310798510315511092023165828.jpeg</v>
      </c>
      <c r="F3916" s="5" t="str">
        <f>HYPERLINK("https://dpmzos25m8ivg.cloudfront.net/Documentos/631/07985103155/6310798510315511092023165837.jpeg","https://dpmzos25m8ivg.cloudfront.net/Documentos/631/07985103155/6310798510315511092023165837.jpeg")</f>
        <v>https://dpmzos25m8ivg.cloudfront.net/Documentos/631/07985103155/6310798510315511092023165837.jpeg</v>
      </c>
      <c r="G3916" s="5" t="str">
        <f>HYPERLINK("https://dpmzos25m8ivg.cloudfront.net/Documentos/631/07985103155/6310798510315511092023165853.jpeg","https://dpmzos25m8ivg.cloudfront.net/Documentos/631/07985103155/6310798510315511092023165853.jpeg")</f>
        <v>https://dpmzos25m8ivg.cloudfront.net/Documentos/631/07985103155/6310798510315511092023165853.jpeg</v>
      </c>
      <c r="H3916" s="5" t="s">
        <v>12492</v>
      </c>
    </row>
    <row r="3917" spans="1:8" x14ac:dyDescent="0.25">
      <c r="A3917" s="14" t="s">
        <v>3939</v>
      </c>
      <c r="B3917" s="3"/>
      <c r="C3917" s="3"/>
      <c r="D3917" s="3"/>
      <c r="E3917" s="5" t="str">
        <f>HYPERLINK("https://dpmzos25m8ivg.cloudfront.net/Documentos/631/07991311309/6310799131130911092023090615.pdf","https://dpmzos25m8ivg.cloudfront.net/Documentos/631/07991311309/6310799131130911092023090615.pdf")</f>
        <v>https://dpmzos25m8ivg.cloudfront.net/Documentos/631/07991311309/6310799131130911092023090615.pdf</v>
      </c>
      <c r="F3917" s="5" t="str">
        <f>HYPERLINK("https://dpmzos25m8ivg.cloudfront.net/Documentos/631/07991311309/6310799131130911092023090912.pdf","https://dpmzos25m8ivg.cloudfront.net/Documentos/631/07991311309/6310799131130911092023090912.pdf")</f>
        <v>https://dpmzos25m8ivg.cloudfront.net/Documentos/631/07991311309/6310799131130911092023090912.pdf</v>
      </c>
      <c r="G3917" s="5" t="str">
        <f>HYPERLINK("https://dpmzos25m8ivg.cloudfront.net/Documentos/631/07991311309/6310799131130911092023090924.pdf","https://dpmzos25m8ivg.cloudfront.net/Documentos/631/07991311309/6310799131130911092023090924.pdf")</f>
        <v>https://dpmzos25m8ivg.cloudfront.net/Documentos/631/07991311309/6310799131130911092023090924.pdf</v>
      </c>
      <c r="H3917" s="5" t="s">
        <v>12493</v>
      </c>
    </row>
    <row r="3918" spans="1:8" x14ac:dyDescent="0.25">
      <c r="A3918" s="14" t="s">
        <v>3940</v>
      </c>
      <c r="B3918" s="3"/>
      <c r="C3918" s="3"/>
      <c r="D3918" s="3"/>
      <c r="E3918" s="5" t="str">
        <f>HYPERLINK("https://dpmzos25m8ivg.cloudfront.net/Documentos/631/07993239346/6310799323934611092023103947.pdf","https://dpmzos25m8ivg.cloudfront.net/Documentos/631/07993239346/6310799323934611092023103947.pdf")</f>
        <v>https://dpmzos25m8ivg.cloudfront.net/Documentos/631/07993239346/6310799323934611092023103947.pdf</v>
      </c>
      <c r="F3918" s="5" t="str">
        <f>HYPERLINK("https://dpmzos25m8ivg.cloudfront.net/Documentos/631/07993239346/6310799323934611092023104559.pdf","https://dpmzos25m8ivg.cloudfront.net/Documentos/631/07993239346/6310799323934611092023104559.pdf")</f>
        <v>https://dpmzos25m8ivg.cloudfront.net/Documentos/631/07993239346/6310799323934611092023104559.pdf</v>
      </c>
      <c r="G3918" s="5" t="str">
        <f>HYPERLINK("https://dpmzos25m8ivg.cloudfront.net/Documentos/631/07993239346/6310799323934611092023105049.pdf","https://dpmzos25m8ivg.cloudfront.net/Documentos/631/07993239346/6310799323934611092023105049.pdf")</f>
        <v>https://dpmzos25m8ivg.cloudfront.net/Documentos/631/07993239346/6310799323934611092023105049.pdf</v>
      </c>
      <c r="H3918" s="5" t="s">
        <v>12494</v>
      </c>
    </row>
    <row r="3919" spans="1:8" x14ac:dyDescent="0.25">
      <c r="A3919" s="14" t="s">
        <v>3941</v>
      </c>
      <c r="B3919" s="3" t="s">
        <v>8</v>
      </c>
      <c r="C3919" s="3"/>
      <c r="D3919" s="3"/>
      <c r="E3919" s="5" t="str">
        <f>HYPERLINK("https://dpmzos25m8ivg.cloudfront.net/Documentos/631/07996731969/6310799673196905092023201011.pdf","https://dpmzos25m8ivg.cloudfront.net/Documentos/631/07996731969/6310799673196905092023201011.pdf")</f>
        <v>https://dpmzos25m8ivg.cloudfront.net/Documentos/631/07996731969/6310799673196905092023201011.pdf</v>
      </c>
      <c r="F3919" s="5" t="str">
        <f>HYPERLINK("https://dpmzos25m8ivg.cloudfront.net/Documentos/631/07996731969/6310799673196905092023202829.jpeg","https://dpmzos25m8ivg.cloudfront.net/Documentos/631/07996731969/6310799673196905092023202829.jpeg")</f>
        <v>https://dpmzos25m8ivg.cloudfront.net/Documentos/631/07996731969/6310799673196905092023202829.jpeg</v>
      </c>
      <c r="G3919" s="5" t="str">
        <f>HYPERLINK("https://dpmzos25m8ivg.cloudfront.net/Documentos/631/07996731969/6310799673196905092023203836.jpeg","https://dpmzos25m8ivg.cloudfront.net/Documentos/631/07996731969/6310799673196905092023203836.jpeg")</f>
        <v>https://dpmzos25m8ivg.cloudfront.net/Documentos/631/07996731969/6310799673196905092023203836.jpeg</v>
      </c>
      <c r="H3919" s="5" t="s">
        <v>12495</v>
      </c>
    </row>
    <row r="3920" spans="1:8" x14ac:dyDescent="0.25">
      <c r="A3920" s="14" t="s">
        <v>3942</v>
      </c>
      <c r="B3920" s="3" t="s">
        <v>8</v>
      </c>
      <c r="C3920" s="3"/>
      <c r="D3920" s="3"/>
      <c r="E3920" s="5" t="str">
        <f>HYPERLINK("https://dpmzos25m8ivg.cloudfront.net/Documentos/631/07996914966/6310799691496608092023205548.jpg","https://dpmzos25m8ivg.cloudfront.net/Documentos/631/07996914966/6310799691496608092023205548.jpg")</f>
        <v>https://dpmzos25m8ivg.cloudfront.net/Documentos/631/07996914966/6310799691496608092023205548.jpg</v>
      </c>
      <c r="F3920" s="5" t="str">
        <f>HYPERLINK("https://dpmzos25m8ivg.cloudfront.net/Documentos/631/07996914966/6310799691496608092023205620.jpg","https://dpmzos25m8ivg.cloudfront.net/Documentos/631/07996914966/6310799691496608092023205620.jpg")</f>
        <v>https://dpmzos25m8ivg.cloudfront.net/Documentos/631/07996914966/6310799691496608092023205620.jpg</v>
      </c>
      <c r="G3920" s="5" t="str">
        <f>HYPERLINK("https://dpmzos25m8ivg.cloudfront.net/Documentos/631/07996914966/6310799691496608092023205647.jpg","https://dpmzos25m8ivg.cloudfront.net/Documentos/631/07996914966/6310799691496608092023205647.jpg")</f>
        <v>https://dpmzos25m8ivg.cloudfront.net/Documentos/631/07996914966/6310799691496608092023205647.jpg</v>
      </c>
      <c r="H3920" s="5" t="s">
        <v>12496</v>
      </c>
    </row>
    <row r="3921" spans="1:8" x14ac:dyDescent="0.25">
      <c r="A3921" s="14" t="s">
        <v>3943</v>
      </c>
      <c r="B3921" s="3"/>
      <c r="C3921" s="3"/>
      <c r="D3921" s="3"/>
      <c r="E3921" s="5" t="str">
        <f>HYPERLINK("https://dpmzos25m8ivg.cloudfront.net/Documentos/631/07997945547/6310799794554710092023155447.pdf","https://dpmzos25m8ivg.cloudfront.net/Documentos/631/07997945547/6310799794554710092023155447.pdf")</f>
        <v>https://dpmzos25m8ivg.cloudfront.net/Documentos/631/07997945547/6310799794554710092023155447.pdf</v>
      </c>
      <c r="F3921" s="5" t="str">
        <f>HYPERLINK("https://dpmzos25m8ivg.cloudfront.net/Documentos/631/07997945547/6310799794554710092023155501.pdf","https://dpmzos25m8ivg.cloudfront.net/Documentos/631/07997945547/6310799794554710092023155501.pdf")</f>
        <v>https://dpmzos25m8ivg.cloudfront.net/Documentos/631/07997945547/6310799794554710092023155501.pdf</v>
      </c>
      <c r="G3921" s="5" t="str">
        <f>HYPERLINK("https://dpmzos25m8ivg.cloudfront.net/Documentos/631/07997945547/6310799794554710092023155520.pdf","https://dpmzos25m8ivg.cloudfront.net/Documentos/631/07997945547/6310799794554710092023155520.pdf")</f>
        <v>https://dpmzos25m8ivg.cloudfront.net/Documentos/631/07997945547/6310799794554710092023155520.pdf</v>
      </c>
      <c r="H3921" s="5" t="s">
        <v>12497</v>
      </c>
    </row>
    <row r="3922" spans="1:8" x14ac:dyDescent="0.25">
      <c r="A3922" s="14" t="s">
        <v>3944</v>
      </c>
      <c r="B3922" s="3"/>
      <c r="C3922" s="3"/>
      <c r="D3922" s="3"/>
      <c r="E3922" s="5" t="str">
        <f>HYPERLINK("https://dpmzos25m8ivg.cloudfront.net/Documentos/631/08000128101/6310800012810113092023174741.pdf","https://dpmzos25m8ivg.cloudfront.net/Documentos/631/08000128101/6310800012810113092023174741.pdf")</f>
        <v>https://dpmzos25m8ivg.cloudfront.net/Documentos/631/08000128101/6310800012810113092023174741.pdf</v>
      </c>
      <c r="F3922" s="5" t="str">
        <f>HYPERLINK("https://dpmzos25m8ivg.cloudfront.net/Documentos/631/08000128101/6310800012810113092023174911.pdf","https://dpmzos25m8ivg.cloudfront.net/Documentos/631/08000128101/6310800012810113092023174911.pdf")</f>
        <v>https://dpmzos25m8ivg.cloudfront.net/Documentos/631/08000128101/6310800012810113092023174911.pdf</v>
      </c>
      <c r="G3922" s="5" t="str">
        <f>HYPERLINK("https://dpmzos25m8ivg.cloudfront.net/Documentos/631/08000128101/6310800012810113092023174753.pdf","https://dpmzos25m8ivg.cloudfront.net/Documentos/631/08000128101/6310800012810113092023174753.pdf")</f>
        <v>https://dpmzos25m8ivg.cloudfront.net/Documentos/631/08000128101/6310800012810113092023174753.pdf</v>
      </c>
      <c r="H3922" s="5" t="s">
        <v>12498</v>
      </c>
    </row>
    <row r="3923" spans="1:8" x14ac:dyDescent="0.25">
      <c r="A3923" s="14" t="s">
        <v>3945</v>
      </c>
      <c r="B3923" s="3"/>
      <c r="C3923" s="3"/>
      <c r="D3923" s="3"/>
      <c r="E3923" s="5" t="str">
        <f>HYPERLINK("https://dpmzos25m8ivg.cloudfront.net/Documentos/631/08000171457/6310800017145711092023135228.pdf","https://dpmzos25m8ivg.cloudfront.net/Documentos/631/08000171457/6310800017145711092023135228.pdf")</f>
        <v>https://dpmzos25m8ivg.cloudfront.net/Documentos/631/08000171457/6310800017145711092023135228.pdf</v>
      </c>
      <c r="F3923" s="5" t="str">
        <f>HYPERLINK("https://dpmzos25m8ivg.cloudfront.net/Documentos/631/08000171457/6310800017145711092023135247.pdf","https://dpmzos25m8ivg.cloudfront.net/Documentos/631/08000171457/6310800017145711092023135247.pdf")</f>
        <v>https://dpmzos25m8ivg.cloudfront.net/Documentos/631/08000171457/6310800017145711092023135247.pdf</v>
      </c>
      <c r="G3923" s="5" t="str">
        <f>HYPERLINK("https://dpmzos25m8ivg.cloudfront.net/Documentos/631/08000171457/6310800017145711092023135306.pdf","https://dpmzos25m8ivg.cloudfront.net/Documentos/631/08000171457/6310800017145711092023135306.pdf")</f>
        <v>https://dpmzos25m8ivg.cloudfront.net/Documentos/631/08000171457/6310800017145711092023135306.pdf</v>
      </c>
      <c r="H3923" s="5" t="s">
        <v>12499</v>
      </c>
    </row>
    <row r="3924" spans="1:8" x14ac:dyDescent="0.25">
      <c r="A3924" s="14" t="s">
        <v>3946</v>
      </c>
      <c r="B3924" s="3"/>
      <c r="C3924" s="3"/>
      <c r="D3924" s="3"/>
      <c r="E3924" s="5" t="str">
        <f>HYPERLINK("https://dpmzos25m8ivg.cloudfront.net/Documentos/631/08000520303/6310800052030311092023144447.pdf","https://dpmzos25m8ivg.cloudfront.net/Documentos/631/08000520303/6310800052030311092023144447.pdf")</f>
        <v>https://dpmzos25m8ivg.cloudfront.net/Documentos/631/08000520303/6310800052030311092023144447.pdf</v>
      </c>
      <c r="F3924" s="5" t="str">
        <f>HYPERLINK("https://dpmzos25m8ivg.cloudfront.net/Documentos/631/08000520303/6310800052030311092023144525.pdf","https://dpmzos25m8ivg.cloudfront.net/Documentos/631/08000520303/6310800052030311092023144525.pdf")</f>
        <v>https://dpmzos25m8ivg.cloudfront.net/Documentos/631/08000520303/6310800052030311092023144525.pdf</v>
      </c>
      <c r="G3924" s="5" t="str">
        <f>HYPERLINK("https://dpmzos25m8ivg.cloudfront.net/Documentos/631/08000520303/6310800052030311092023144540.pdf","https://dpmzos25m8ivg.cloudfront.net/Documentos/631/08000520303/6310800052030311092023144540.pdf")</f>
        <v>https://dpmzos25m8ivg.cloudfront.net/Documentos/631/08000520303/6310800052030311092023144540.pdf</v>
      </c>
      <c r="H3924" s="5" t="s">
        <v>12500</v>
      </c>
    </row>
    <row r="3925" spans="1:8" x14ac:dyDescent="0.25">
      <c r="A3925" s="14" t="s">
        <v>3947</v>
      </c>
      <c r="B3925" s="3"/>
      <c r="C3925" s="3"/>
      <c r="D3925" s="3"/>
      <c r="E3925" s="5" t="str">
        <f>HYPERLINK("https://dpmzos25m8ivg.cloudfront.net/Documentos/631/08000865548/6310800086554811092023102812.pdf","https://dpmzos25m8ivg.cloudfront.net/Documentos/631/08000865548/6310800086554811092023102812.pdf")</f>
        <v>https://dpmzos25m8ivg.cloudfront.net/Documentos/631/08000865548/6310800086554811092023102812.pdf</v>
      </c>
      <c r="F3925" s="5" t="str">
        <f>HYPERLINK("https://dpmzos25m8ivg.cloudfront.net/Documentos/631/08000865548/6310800086554811092023102823.pdf","https://dpmzos25m8ivg.cloudfront.net/Documentos/631/08000865548/6310800086554811092023102823.pdf")</f>
        <v>https://dpmzos25m8ivg.cloudfront.net/Documentos/631/08000865548/6310800086554811092023102823.pdf</v>
      </c>
      <c r="G3925" s="5" t="str">
        <f>HYPERLINK("https://dpmzos25m8ivg.cloudfront.net/Documentos/631/08000865548/6310800086554811092023102836.pdf","https://dpmzos25m8ivg.cloudfront.net/Documentos/631/08000865548/6310800086554811092023102836.pdf")</f>
        <v>https://dpmzos25m8ivg.cloudfront.net/Documentos/631/08000865548/6310800086554811092023102836.pdf</v>
      </c>
      <c r="H3925" s="5" t="s">
        <v>12501</v>
      </c>
    </row>
    <row r="3926" spans="1:8" x14ac:dyDescent="0.25">
      <c r="A3926" s="14" t="s">
        <v>3948</v>
      </c>
      <c r="B3926" s="3"/>
      <c r="C3926" s="3"/>
      <c r="D3926" s="3"/>
      <c r="E3926" s="5" t="str">
        <f>HYPERLINK("https://dpmzos25m8ivg.cloudfront.net/Documentos/631/08001199401/6310800119940105092023235938.jpg","https://dpmzos25m8ivg.cloudfront.net/Documentos/631/08001199401/6310800119940105092023235938.jpg")</f>
        <v>https://dpmzos25m8ivg.cloudfront.net/Documentos/631/08001199401/6310800119940105092023235938.jpg</v>
      </c>
      <c r="F3926" s="5" t="str">
        <f>HYPERLINK("https://dpmzos25m8ivg.cloudfront.net/Documentos/631/08001199401/6310800119940105092023235918.jpg","https://dpmzos25m8ivg.cloudfront.net/Documentos/631/08001199401/6310800119940105092023235918.jpg")</f>
        <v>https://dpmzos25m8ivg.cloudfront.net/Documentos/631/08001199401/6310800119940105092023235918.jpg</v>
      </c>
      <c r="G3926" s="5" t="str">
        <f>HYPERLINK("https://dpmzos25m8ivg.cloudfront.net/Documentos/631/08001199401/6310800119940105092023235859.jpg","https://dpmzos25m8ivg.cloudfront.net/Documentos/631/08001199401/6310800119940105092023235859.jpg")</f>
        <v>https://dpmzos25m8ivg.cloudfront.net/Documentos/631/08001199401/6310800119940105092023235859.jpg</v>
      </c>
      <c r="H3926" s="5" t="s">
        <v>12502</v>
      </c>
    </row>
    <row r="3927" spans="1:8" x14ac:dyDescent="0.25">
      <c r="A3927" s="14" t="s">
        <v>3949</v>
      </c>
      <c r="B3927" s="3"/>
      <c r="C3927" s="3"/>
      <c r="D3927" s="3"/>
      <c r="E3927" s="5" t="str">
        <f>HYPERLINK("https://dpmzos25m8ivg.cloudfront.net/Documentos/631/08003170508/6310800317050811092023120821.pdf","https://dpmzos25m8ivg.cloudfront.net/Documentos/631/08003170508/6310800317050811092023120821.pdf")</f>
        <v>https://dpmzos25m8ivg.cloudfront.net/Documentos/631/08003170508/6310800317050811092023120821.pdf</v>
      </c>
      <c r="F3927" s="5" t="str">
        <f>HYPERLINK("https://dpmzos25m8ivg.cloudfront.net/Documentos/631/08003170508/6310800317050811092023120832.pdf","https://dpmzos25m8ivg.cloudfront.net/Documentos/631/08003170508/6310800317050811092023120832.pdf")</f>
        <v>https://dpmzos25m8ivg.cloudfront.net/Documentos/631/08003170508/6310800317050811092023120832.pdf</v>
      </c>
      <c r="G3927" s="5" t="str">
        <f>HYPERLINK("https://dpmzos25m8ivg.cloudfront.net/Documentos/631/08003170508/6310800317050811092023120841.pdf","https://dpmzos25m8ivg.cloudfront.net/Documentos/631/08003170508/6310800317050811092023120841.pdf")</f>
        <v>https://dpmzos25m8ivg.cloudfront.net/Documentos/631/08003170508/6310800317050811092023120841.pdf</v>
      </c>
      <c r="H3927" s="5" t="s">
        <v>12503</v>
      </c>
    </row>
    <row r="3928" spans="1:8" x14ac:dyDescent="0.25">
      <c r="A3928" s="14" t="s">
        <v>3950</v>
      </c>
      <c r="B3928" s="3"/>
      <c r="C3928" s="3"/>
      <c r="D3928" s="3"/>
      <c r="E3928" s="5" t="str">
        <f>HYPERLINK("https://dpmzos25m8ivg.cloudfront.net/Documentos/631/08003822343/6310800382234305092023151552.pdf","https://dpmzos25m8ivg.cloudfront.net/Documentos/631/08003822343/6310800382234305092023151552.pdf")</f>
        <v>https://dpmzos25m8ivg.cloudfront.net/Documentos/631/08003822343/6310800382234305092023151552.pdf</v>
      </c>
      <c r="F3928" s="5" t="str">
        <f>HYPERLINK("https://dpmzos25m8ivg.cloudfront.net/Documentos/631/08003822343/6310800382234305092023151600.pdf","https://dpmzos25m8ivg.cloudfront.net/Documentos/631/08003822343/6310800382234305092023151600.pdf")</f>
        <v>https://dpmzos25m8ivg.cloudfront.net/Documentos/631/08003822343/6310800382234305092023151600.pdf</v>
      </c>
      <c r="G3928" s="5" t="str">
        <f>HYPERLINK("https://dpmzos25m8ivg.cloudfront.net/Documentos/631/08003822343/6310800382234305092023151616.pdf","https://dpmzos25m8ivg.cloudfront.net/Documentos/631/08003822343/6310800382234305092023151616.pdf")</f>
        <v>https://dpmzos25m8ivg.cloudfront.net/Documentos/631/08003822343/6310800382234305092023151616.pdf</v>
      </c>
      <c r="H3928" s="5" t="s">
        <v>12504</v>
      </c>
    </row>
    <row r="3929" spans="1:8" x14ac:dyDescent="0.25">
      <c r="A3929" s="14" t="s">
        <v>3951</v>
      </c>
      <c r="B3929" s="3"/>
      <c r="C3929" s="3"/>
      <c r="D3929" s="3"/>
      <c r="E3929" s="5" t="str">
        <f>HYPERLINK("https://dpmzos25m8ivg.cloudfront.net/Documentos/631/08004995578/6310800499557806092023145321.pdf","https://dpmzos25m8ivg.cloudfront.net/Documentos/631/08004995578/6310800499557806092023145321.pdf")</f>
        <v>https://dpmzos25m8ivg.cloudfront.net/Documentos/631/08004995578/6310800499557806092023145321.pdf</v>
      </c>
      <c r="F3929" s="5" t="str">
        <f>HYPERLINK("https://dpmzos25m8ivg.cloudfront.net/Documentos/631/08004995578/6310800499557806092023145333.pdf","https://dpmzos25m8ivg.cloudfront.net/Documentos/631/08004995578/6310800499557806092023145333.pdf")</f>
        <v>https://dpmzos25m8ivg.cloudfront.net/Documentos/631/08004995578/6310800499557806092023145333.pdf</v>
      </c>
      <c r="G3929" s="5" t="str">
        <f>HYPERLINK("https://dpmzos25m8ivg.cloudfront.net/Documentos/631/08004995578/6310800499557806092023145357.pdf","https://dpmzos25m8ivg.cloudfront.net/Documentos/631/08004995578/6310800499557806092023145357.pdf")</f>
        <v>https://dpmzos25m8ivg.cloudfront.net/Documentos/631/08004995578/6310800499557806092023145357.pdf</v>
      </c>
      <c r="H3929" s="5" t="s">
        <v>12505</v>
      </c>
    </row>
    <row r="3930" spans="1:8" x14ac:dyDescent="0.25">
      <c r="A3930" s="14" t="s">
        <v>3952</v>
      </c>
      <c r="B3930" s="3"/>
      <c r="C3930" s="3"/>
      <c r="D3930" s="3"/>
      <c r="E3930" s="5" t="str">
        <f>HYPERLINK("https://dpmzos25m8ivg.cloudfront.net/Documentos/631/08013461777/6310801346177706092023084845.pdf","https://dpmzos25m8ivg.cloudfront.net/Documentos/631/08013461777/6310801346177706092023084845.pdf")</f>
        <v>https://dpmzos25m8ivg.cloudfront.net/Documentos/631/08013461777/6310801346177706092023084845.pdf</v>
      </c>
      <c r="F3930" s="5" t="str">
        <f>HYPERLINK("https://dpmzos25m8ivg.cloudfront.net/Documentos/631/08013461777/6310801346177706092023084854.pdf","https://dpmzos25m8ivg.cloudfront.net/Documentos/631/08013461777/6310801346177706092023084854.pdf")</f>
        <v>https://dpmzos25m8ivg.cloudfront.net/Documentos/631/08013461777/6310801346177706092023084854.pdf</v>
      </c>
      <c r="G3930" s="5" t="str">
        <f>HYPERLINK("https://dpmzos25m8ivg.cloudfront.net/Documentos/631/08013461777/6310801346177706092023084903.pdf","https://dpmzos25m8ivg.cloudfront.net/Documentos/631/08013461777/6310801346177706092023084903.pdf")</f>
        <v>https://dpmzos25m8ivg.cloudfront.net/Documentos/631/08013461777/6310801346177706092023084903.pdf</v>
      </c>
      <c r="H3930" s="5" t="s">
        <v>12506</v>
      </c>
    </row>
    <row r="3931" spans="1:8" x14ac:dyDescent="0.25">
      <c r="A3931" s="14" t="s">
        <v>3953</v>
      </c>
      <c r="B3931" s="3"/>
      <c r="C3931" s="3"/>
      <c r="D3931" s="3"/>
      <c r="E3931" s="5" t="str">
        <f>HYPERLINK("https://dpmzos25m8ivg.cloudfront.net/Documentos/631/08018639370/6310801863937008092023193001.pdf","https://dpmzos25m8ivg.cloudfront.net/Documentos/631/08018639370/6310801863937008092023193001.pdf")</f>
        <v>https://dpmzos25m8ivg.cloudfront.net/Documentos/631/08018639370/6310801863937008092023193001.pdf</v>
      </c>
      <c r="F3931" s="5" t="str">
        <f>HYPERLINK("https://dpmzos25m8ivg.cloudfront.net/Documentos/631/08018639370/6310801863937008092023193009.pdf","https://dpmzos25m8ivg.cloudfront.net/Documentos/631/08018639370/6310801863937008092023193009.pdf")</f>
        <v>https://dpmzos25m8ivg.cloudfront.net/Documentos/631/08018639370/6310801863937008092023193009.pdf</v>
      </c>
      <c r="G3931" s="5" t="str">
        <f>HYPERLINK("https://dpmzos25m8ivg.cloudfront.net/Documentos/631/08018639370/6310801863937008092023193018.pdf","https://dpmzos25m8ivg.cloudfront.net/Documentos/631/08018639370/6310801863937008092023193018.pdf")</f>
        <v>https://dpmzos25m8ivg.cloudfront.net/Documentos/631/08018639370/6310801863937008092023193018.pdf</v>
      </c>
      <c r="H3931" s="5" t="s">
        <v>12507</v>
      </c>
    </row>
    <row r="3932" spans="1:8" x14ac:dyDescent="0.25">
      <c r="A3932" s="14" t="s">
        <v>3954</v>
      </c>
      <c r="B3932" s="3"/>
      <c r="C3932" s="3"/>
      <c r="D3932" s="3"/>
      <c r="E3932" s="5" t="str">
        <f>HYPERLINK("https://dpmzos25m8ivg.cloudfront.net/Documentos/631/08020203648/6310802020364805092023084128.pdf","https://dpmzos25m8ivg.cloudfront.net/Documentos/631/08020203648/6310802020364805092023084128.pdf")</f>
        <v>https://dpmzos25m8ivg.cloudfront.net/Documentos/631/08020203648/6310802020364805092023084128.pdf</v>
      </c>
      <c r="F3932" s="5" t="str">
        <f>HYPERLINK("https://dpmzos25m8ivg.cloudfront.net/Documentos/631/08020203648/6310802020364805092023084154.pdf","https://dpmzos25m8ivg.cloudfront.net/Documentos/631/08020203648/6310802020364805092023084154.pdf")</f>
        <v>https://dpmzos25m8ivg.cloudfront.net/Documentos/631/08020203648/6310802020364805092023084154.pdf</v>
      </c>
      <c r="G3932" s="5" t="str">
        <f>HYPERLINK("https://dpmzos25m8ivg.cloudfront.net/Documentos/631/08020203648/6310802020364805092023084208.pdf","https://dpmzos25m8ivg.cloudfront.net/Documentos/631/08020203648/6310802020364805092023084208.pdf")</f>
        <v>https://dpmzos25m8ivg.cloudfront.net/Documentos/631/08020203648/6310802020364805092023084208.pdf</v>
      </c>
      <c r="H3932" s="5" t="s">
        <v>12508</v>
      </c>
    </row>
    <row r="3933" spans="1:8" x14ac:dyDescent="0.25">
      <c r="A3933" s="14" t="s">
        <v>3955</v>
      </c>
      <c r="B3933" s="3"/>
      <c r="C3933" s="3"/>
      <c r="D3933" s="3"/>
      <c r="E3933" s="5" t="str">
        <f>HYPERLINK("https://dpmzos25m8ivg.cloudfront.net/Documentos/631/08022088439/6310802208843908092023103420.jpg","https://dpmzos25m8ivg.cloudfront.net/Documentos/631/08022088439/6310802208843908092023103420.jpg")</f>
        <v>https://dpmzos25m8ivg.cloudfront.net/Documentos/631/08022088439/6310802208843908092023103420.jpg</v>
      </c>
      <c r="F3933" s="5" t="str">
        <f>HYPERLINK("https://dpmzos25m8ivg.cloudfront.net/Documentos/631/08022088439/6310802208843908092023104556.jpg","https://dpmzos25m8ivg.cloudfront.net/Documentos/631/08022088439/6310802208843908092023104556.jpg")</f>
        <v>https://dpmzos25m8ivg.cloudfront.net/Documentos/631/08022088439/6310802208843908092023104556.jpg</v>
      </c>
      <c r="G3933" s="5" t="str">
        <f>HYPERLINK("https://dpmzos25m8ivg.cloudfront.net/Documentos/631/08022088439/6310802208843908092023105210.jpg","https://dpmzos25m8ivg.cloudfront.net/Documentos/631/08022088439/6310802208843908092023105210.jpg")</f>
        <v>https://dpmzos25m8ivg.cloudfront.net/Documentos/631/08022088439/6310802208843908092023105210.jpg</v>
      </c>
      <c r="H3933" s="5" t="s">
        <v>12509</v>
      </c>
    </row>
    <row r="3934" spans="1:8" x14ac:dyDescent="0.25">
      <c r="A3934" s="14" t="s">
        <v>3956</v>
      </c>
      <c r="B3934" s="19" t="s">
        <v>3785</v>
      </c>
      <c r="C3934" s="3"/>
      <c r="D3934" s="3"/>
      <c r="E3934" s="5" t="str">
        <f>HYPERLINK("https://dpmzos25m8ivg.cloudfront.net/Documentos/631/08022421626/6310802242162611092023145200.pdf","https://dpmzos25m8ivg.cloudfront.net/Documentos/631/08022421626/6310802242162611092023145200.pdf")</f>
        <v>https://dpmzos25m8ivg.cloudfront.net/Documentos/631/08022421626/6310802242162611092023145200.pdf</v>
      </c>
      <c r="F3934" s="5" t="str">
        <f>HYPERLINK("https://dpmzos25m8ivg.cloudfront.net/Documentos/631/08022421626/6310802242162611092023161045.jpeg","https://dpmzos25m8ivg.cloudfront.net/Documentos/631/08022421626/6310802242162611092023161045.jpeg")</f>
        <v>https://dpmzos25m8ivg.cloudfront.net/Documentos/631/08022421626/6310802242162611092023161045.jpeg</v>
      </c>
      <c r="G3934" s="5" t="str">
        <f>HYPERLINK("https://dpmzos25m8ivg.cloudfront.net/Documentos/631/08022421626/6310802242162611092023161054.jpeg","https://dpmzos25m8ivg.cloudfront.net/Documentos/631/08022421626/6310802242162611092023161054.jpeg")</f>
        <v>https://dpmzos25m8ivg.cloudfront.net/Documentos/631/08022421626/6310802242162611092023161054.jpeg</v>
      </c>
      <c r="H3934" s="5" t="s">
        <v>12510</v>
      </c>
    </row>
    <row r="3935" spans="1:8" x14ac:dyDescent="0.25">
      <c r="A3935" s="14" t="s">
        <v>3957</v>
      </c>
      <c r="B3935" s="3" t="s">
        <v>8</v>
      </c>
      <c r="C3935" s="3"/>
      <c r="D3935" s="3"/>
      <c r="E3935" s="5" t="str">
        <f>HYPERLINK("https://dpmzos25m8ivg.cloudfront.net/Documentos/631/08026423658/6310802642365811092023142529.pdf","https://dpmzos25m8ivg.cloudfront.net/Documentos/631/08026423658/6310802642365811092023142529.pdf")</f>
        <v>https://dpmzos25m8ivg.cloudfront.net/Documentos/631/08026423658/6310802642365811092023142529.pdf</v>
      </c>
      <c r="F3935" s="5" t="str">
        <f>HYPERLINK("https://dpmzos25m8ivg.cloudfront.net/Documentos/631/08026423658/6310802642365811092023142546.pdf","https://dpmzos25m8ivg.cloudfront.net/Documentos/631/08026423658/6310802642365811092023142546.pdf")</f>
        <v>https://dpmzos25m8ivg.cloudfront.net/Documentos/631/08026423658/6310802642365811092023142546.pdf</v>
      </c>
      <c r="G3935" s="5" t="str">
        <f>HYPERLINK("https://dpmzos25m8ivg.cloudfront.net/Documentos/631/08026423658/6310802642365811092023142743.pdf","https://dpmzos25m8ivg.cloudfront.net/Documentos/631/08026423658/6310802642365811092023142743.pdf")</f>
        <v>https://dpmzos25m8ivg.cloudfront.net/Documentos/631/08026423658/6310802642365811092023142743.pdf</v>
      </c>
      <c r="H3935" s="5" t="s">
        <v>12511</v>
      </c>
    </row>
    <row r="3936" spans="1:8" x14ac:dyDescent="0.25">
      <c r="A3936" s="14" t="s">
        <v>3958</v>
      </c>
      <c r="B3936" s="3"/>
      <c r="C3936" s="3"/>
      <c r="D3936" s="3"/>
      <c r="E3936" s="5" t="str">
        <f>HYPERLINK("https://dpmzos25m8ivg.cloudfront.net/Documentos/631/08026773985/6310802677398511092023165259.jpeg","https://dpmzos25m8ivg.cloudfront.net/Documentos/631/08026773985/6310802677398511092023165259.jpeg")</f>
        <v>https://dpmzos25m8ivg.cloudfront.net/Documentos/631/08026773985/6310802677398511092023165259.jpeg</v>
      </c>
      <c r="F3936" s="5" t="str">
        <f>HYPERLINK("https://dpmzos25m8ivg.cloudfront.net/Documentos/631/08026773985/6310802677398511092023165311.jpeg","https://dpmzos25m8ivg.cloudfront.net/Documentos/631/08026773985/6310802677398511092023165311.jpeg")</f>
        <v>https://dpmzos25m8ivg.cloudfront.net/Documentos/631/08026773985/6310802677398511092023165311.jpeg</v>
      </c>
      <c r="G3936" s="5" t="str">
        <f>HYPERLINK("https://dpmzos25m8ivg.cloudfront.net/Documentos/631/08026773985/6310802677398511092023165334.jpeg","https://dpmzos25m8ivg.cloudfront.net/Documentos/631/08026773985/6310802677398511092023165334.jpeg")</f>
        <v>https://dpmzos25m8ivg.cloudfront.net/Documentos/631/08026773985/6310802677398511092023165334.jpeg</v>
      </c>
      <c r="H3936" s="5" t="s">
        <v>12512</v>
      </c>
    </row>
    <row r="3937" spans="1:8" x14ac:dyDescent="0.25">
      <c r="A3937" s="14" t="s">
        <v>3959</v>
      </c>
      <c r="B3937" s="3"/>
      <c r="C3937" s="3"/>
      <c r="D3937" s="3"/>
      <c r="E3937" s="5" t="str">
        <f>HYPERLINK("https://dpmzos25m8ivg.cloudfront.net/Documentos/631/08029957483/6310802995748306092023142639.jpg","https://dpmzos25m8ivg.cloudfront.net/Documentos/631/08029957483/6310802995748306092023142639.jpg")</f>
        <v>https://dpmzos25m8ivg.cloudfront.net/Documentos/631/08029957483/6310802995748306092023142639.jpg</v>
      </c>
      <c r="F3937" s="5" t="str">
        <f>HYPERLINK("https://dpmzos25m8ivg.cloudfront.net/Documentos/631/08029957483/6310802995748306092023142705.jpg","https://dpmzos25m8ivg.cloudfront.net/Documentos/631/08029957483/6310802995748306092023142705.jpg")</f>
        <v>https://dpmzos25m8ivg.cloudfront.net/Documentos/631/08029957483/6310802995748306092023142705.jpg</v>
      </c>
      <c r="G3937" s="5" t="str">
        <f>HYPERLINK("https://dpmzos25m8ivg.cloudfront.net/Documentos/631/08029957483/6310802995748306092023142727.jpg","https://dpmzos25m8ivg.cloudfront.net/Documentos/631/08029957483/6310802995748306092023142727.jpg")</f>
        <v>https://dpmzos25m8ivg.cloudfront.net/Documentos/631/08029957483/6310802995748306092023142727.jpg</v>
      </c>
      <c r="H3937" s="5" t="s">
        <v>12513</v>
      </c>
    </row>
    <row r="3938" spans="1:8" x14ac:dyDescent="0.25">
      <c r="A3938" s="14" t="s">
        <v>3960</v>
      </c>
      <c r="B3938" s="3"/>
      <c r="C3938" s="3"/>
      <c r="D3938" s="3"/>
      <c r="E3938" s="5" t="str">
        <f>HYPERLINK("https://dpmzos25m8ivg.cloudfront.net/Documentos/631/08030290551/6310803029055113092023004919.pdf","https://dpmzos25m8ivg.cloudfront.net/Documentos/631/08030290551/6310803029055113092023004919.pdf")</f>
        <v>https://dpmzos25m8ivg.cloudfront.net/Documentos/631/08030290551/6310803029055113092023004919.pdf</v>
      </c>
      <c r="F3938" s="5" t="str">
        <f>HYPERLINK("https://dpmzos25m8ivg.cloudfront.net/Documentos/631/08030290551/6310803029055113092023004928.pdf","https://dpmzos25m8ivg.cloudfront.net/Documentos/631/08030290551/6310803029055113092023004928.pdf")</f>
        <v>https://dpmzos25m8ivg.cloudfront.net/Documentos/631/08030290551/6310803029055113092023004928.pdf</v>
      </c>
      <c r="G3938" s="5" t="str">
        <f>HYPERLINK("https://dpmzos25m8ivg.cloudfront.net/Documentos/631/08030290551/6310803029055113092023004941.pdf","https://dpmzos25m8ivg.cloudfront.net/Documentos/631/08030290551/6310803029055113092023004941.pdf")</f>
        <v>https://dpmzos25m8ivg.cloudfront.net/Documentos/631/08030290551/6310803029055113092023004941.pdf</v>
      </c>
      <c r="H3938" s="5" t="s">
        <v>12514</v>
      </c>
    </row>
    <row r="3939" spans="1:8" x14ac:dyDescent="0.25">
      <c r="A3939" s="14" t="s">
        <v>3961</v>
      </c>
      <c r="B3939" s="3"/>
      <c r="C3939" s="3"/>
      <c r="D3939" s="3"/>
      <c r="E3939" s="5" t="str">
        <f>HYPERLINK("https://dpmzos25m8ivg.cloudfront.net/Documentos/631/08030739338/6310803073933807092023163853.pdf","https://dpmzos25m8ivg.cloudfront.net/Documentos/631/08030739338/6310803073933807092023163853.pdf")</f>
        <v>https://dpmzos25m8ivg.cloudfront.net/Documentos/631/08030739338/6310803073933807092023163853.pdf</v>
      </c>
      <c r="F3939" s="5" t="str">
        <f>HYPERLINK("https://dpmzos25m8ivg.cloudfront.net/Documentos/631/08030739338/6310803073933807092023163925.pdf","https://dpmzos25m8ivg.cloudfront.net/Documentos/631/08030739338/6310803073933807092023163925.pdf")</f>
        <v>https://dpmzos25m8ivg.cloudfront.net/Documentos/631/08030739338/6310803073933807092023163925.pdf</v>
      </c>
      <c r="G3939" s="5" t="str">
        <f>HYPERLINK("https://dpmzos25m8ivg.cloudfront.net/Documentos/631/08030739338/6310803073933807092023163954.pdf","https://dpmzos25m8ivg.cloudfront.net/Documentos/631/08030739338/6310803073933807092023163954.pdf")</f>
        <v>https://dpmzos25m8ivg.cloudfront.net/Documentos/631/08030739338/6310803073933807092023163954.pdf</v>
      </c>
      <c r="H3939" s="5" t="s">
        <v>12515</v>
      </c>
    </row>
    <row r="3940" spans="1:8" x14ac:dyDescent="0.25">
      <c r="A3940" s="2" t="s">
        <v>3962</v>
      </c>
      <c r="B3940" s="19" t="s">
        <v>3785</v>
      </c>
      <c r="C3940" s="3"/>
      <c r="D3940" s="3"/>
      <c r="E3940" s="5" t="str">
        <f>HYPERLINK("https://dpmzos25m8ivg.cloudfront.net/Documentos/631/08031929408/6310803192940806092023183047.jpeg","https://dpmzos25m8ivg.cloudfront.net/Documentos/631/08031929408/6310803192940806092023183047.jpeg")</f>
        <v>https://dpmzos25m8ivg.cloudfront.net/Documentos/631/08031929408/6310803192940806092023183047.jpeg</v>
      </c>
      <c r="F3940" s="5" t="str">
        <f>HYPERLINK("https://dpmzos25m8ivg.cloudfront.net/Documentos/631/08031929408/6310803192940806092023183108.jpeg","https://dpmzos25m8ivg.cloudfront.net/Documentos/631/08031929408/6310803192940806092023183108.jpeg")</f>
        <v>https://dpmzos25m8ivg.cloudfront.net/Documentos/631/08031929408/6310803192940806092023183108.jpeg</v>
      </c>
      <c r="G3940" s="5" t="str">
        <f>HYPERLINK("https://dpmzos25m8ivg.cloudfront.net/Documentos/631/08031929408/6310803192940806092023183136.jpeg","https://dpmzos25m8ivg.cloudfront.net/Documentos/631/08031929408/6310803192940806092023183136.jpeg")</f>
        <v>https://dpmzos25m8ivg.cloudfront.net/Documentos/631/08031929408/6310803192940806092023183136.jpeg</v>
      </c>
      <c r="H3940" s="5" t="s">
        <v>12516</v>
      </c>
    </row>
    <row r="3941" spans="1:8" x14ac:dyDescent="0.25">
      <c r="A3941" s="14" t="s">
        <v>3963</v>
      </c>
      <c r="B3941" s="3" t="s">
        <v>8</v>
      </c>
      <c r="C3941" s="3"/>
      <c r="D3941" s="3"/>
      <c r="E3941" s="5" t="str">
        <f>HYPERLINK("https://dpmzos25m8ivg.cloudfront.net/Documentos/631/08032509755/6310803250975510092023171413.jpeg","https://dpmzos25m8ivg.cloudfront.net/Documentos/631/08032509755/6310803250975510092023171413.jpeg")</f>
        <v>https://dpmzos25m8ivg.cloudfront.net/Documentos/631/08032509755/6310803250975510092023171413.jpeg</v>
      </c>
      <c r="F3941" s="5" t="str">
        <f>HYPERLINK("https://dpmzos25m8ivg.cloudfront.net/Documentos/631/08032509755/6310803250975510092023171430.jpeg","https://dpmzos25m8ivg.cloudfront.net/Documentos/631/08032509755/6310803250975510092023171430.jpeg")</f>
        <v>https://dpmzos25m8ivg.cloudfront.net/Documentos/631/08032509755/6310803250975510092023171430.jpeg</v>
      </c>
      <c r="G3941" s="5" t="str">
        <f>HYPERLINK("https://dpmzos25m8ivg.cloudfront.net/Documentos/631/08032509755/6310803250975510092023171444.jpeg","https://dpmzos25m8ivg.cloudfront.net/Documentos/631/08032509755/6310803250975510092023171444.jpeg")</f>
        <v>https://dpmzos25m8ivg.cloudfront.net/Documentos/631/08032509755/6310803250975510092023171444.jpeg</v>
      </c>
      <c r="H3941" s="5" t="s">
        <v>12517</v>
      </c>
    </row>
    <row r="3942" spans="1:8" x14ac:dyDescent="0.25">
      <c r="A3942" s="2" t="s">
        <v>3964</v>
      </c>
      <c r="B3942" s="19" t="s">
        <v>3785</v>
      </c>
      <c r="C3942" s="3"/>
      <c r="D3942" s="3"/>
      <c r="E3942" s="5" t="str">
        <f>HYPERLINK("https://dpmzos25m8ivg.cloudfront.net/Documentos/631/08032740171/6310803274017106092023120156.pdf","https://dpmzos25m8ivg.cloudfront.net/Documentos/631/08032740171/6310803274017106092023120156.pdf")</f>
        <v>https://dpmzos25m8ivg.cloudfront.net/Documentos/631/08032740171/6310803274017106092023120156.pdf</v>
      </c>
      <c r="F3942" s="5" t="str">
        <f>HYPERLINK("https://dpmzos25m8ivg.cloudfront.net/Documentos/631/08032740171/6310803274017106092023120209.pdf","https://dpmzos25m8ivg.cloudfront.net/Documentos/631/08032740171/6310803274017106092023120209.pdf")</f>
        <v>https://dpmzos25m8ivg.cloudfront.net/Documentos/631/08032740171/6310803274017106092023120209.pdf</v>
      </c>
      <c r="G3942" s="5" t="str">
        <f>HYPERLINK("https://dpmzos25m8ivg.cloudfront.net/Documentos/631/08032740171/6310803274017106092023120220.pdf","https://dpmzos25m8ivg.cloudfront.net/Documentos/631/08032740171/6310803274017106092023120220.pdf")</f>
        <v>https://dpmzos25m8ivg.cloudfront.net/Documentos/631/08032740171/6310803274017106092023120220.pdf</v>
      </c>
      <c r="H3942" s="5" t="s">
        <v>12518</v>
      </c>
    </row>
    <row r="3943" spans="1:8" x14ac:dyDescent="0.25">
      <c r="A3943" s="14" t="s">
        <v>3965</v>
      </c>
      <c r="B3943" s="3"/>
      <c r="C3943" s="3"/>
      <c r="D3943" s="3"/>
      <c r="E3943" s="5" t="str">
        <f>HYPERLINK("https://dpmzos25m8ivg.cloudfront.net/Documentos/631/08036732300/6310803673230008092023174844.pdf","https://dpmzos25m8ivg.cloudfront.net/Documentos/631/08036732300/6310803673230008092023174844.pdf")</f>
        <v>https://dpmzos25m8ivg.cloudfront.net/Documentos/631/08036732300/6310803673230008092023174844.pdf</v>
      </c>
      <c r="F3943" s="5" t="str">
        <f>HYPERLINK("https://dpmzos25m8ivg.cloudfront.net/Documentos/631/08036732300/6310803673230008092023174906.pdf","https://dpmzos25m8ivg.cloudfront.net/Documentos/631/08036732300/6310803673230008092023174906.pdf")</f>
        <v>https://dpmzos25m8ivg.cloudfront.net/Documentos/631/08036732300/6310803673230008092023174906.pdf</v>
      </c>
      <c r="G3943" s="5" t="str">
        <f>HYPERLINK("https://dpmzos25m8ivg.cloudfront.net/Documentos/631/08036732300/6310803673230008092023174921.pdf","https://dpmzos25m8ivg.cloudfront.net/Documentos/631/08036732300/6310803673230008092023174921.pdf")</f>
        <v>https://dpmzos25m8ivg.cloudfront.net/Documentos/631/08036732300/6310803673230008092023174921.pdf</v>
      </c>
      <c r="H3943" s="5" t="s">
        <v>12519</v>
      </c>
    </row>
    <row r="3944" spans="1:8" x14ac:dyDescent="0.25">
      <c r="A3944" s="14" t="s">
        <v>3966</v>
      </c>
      <c r="B3944" s="3"/>
      <c r="C3944" s="3"/>
      <c r="D3944" s="3"/>
      <c r="E3944" s="5" t="str">
        <f>HYPERLINK("https://dpmzos25m8ivg.cloudfront.net/Documentos/631/08036735580/6310803673558009092023131043.pdf","https://dpmzos25m8ivg.cloudfront.net/Documentos/631/08036735580/6310803673558009092023131043.pdf")</f>
        <v>https://dpmzos25m8ivg.cloudfront.net/Documentos/631/08036735580/6310803673558009092023131043.pdf</v>
      </c>
      <c r="F3944" s="5" t="str">
        <f>HYPERLINK("https://dpmzos25m8ivg.cloudfront.net/Documentos/631/08036735580/6310803673558009092023131055.pdf","https://dpmzos25m8ivg.cloudfront.net/Documentos/631/08036735580/6310803673558009092023131055.pdf")</f>
        <v>https://dpmzos25m8ivg.cloudfront.net/Documentos/631/08036735580/6310803673558009092023131055.pdf</v>
      </c>
      <c r="G3944" s="5" t="str">
        <f>HYPERLINK("https://dpmzos25m8ivg.cloudfront.net/Documentos/631/08036735580/6310803673558009092023131114.pdf","https://dpmzos25m8ivg.cloudfront.net/Documentos/631/08036735580/6310803673558009092023131114.pdf")</f>
        <v>https://dpmzos25m8ivg.cloudfront.net/Documentos/631/08036735580/6310803673558009092023131114.pdf</v>
      </c>
      <c r="H3944" s="5" t="s">
        <v>12520</v>
      </c>
    </row>
    <row r="3945" spans="1:8" x14ac:dyDescent="0.25">
      <c r="A3945" s="14" t="s">
        <v>3967</v>
      </c>
      <c r="B3945" s="3"/>
      <c r="C3945" s="3"/>
      <c r="D3945" s="3"/>
      <c r="E3945" s="5" t="str">
        <f>HYPERLINK("https://dpmzos25m8ivg.cloudfront.net/Documentos/631/08037128555/6310803712855505092023151140.jpeg","https://dpmzos25m8ivg.cloudfront.net/Documentos/631/08037128555/6310803712855505092023151140.jpeg")</f>
        <v>https://dpmzos25m8ivg.cloudfront.net/Documentos/631/08037128555/6310803712855505092023151140.jpeg</v>
      </c>
      <c r="F3945" s="5" t="str">
        <f>HYPERLINK("https://dpmzos25m8ivg.cloudfront.net/Documentos/631/08037128555/6310803712855505092023151221.jpeg","https://dpmzos25m8ivg.cloudfront.net/Documentos/631/08037128555/6310803712855505092023151221.jpeg")</f>
        <v>https://dpmzos25m8ivg.cloudfront.net/Documentos/631/08037128555/6310803712855505092023151221.jpeg</v>
      </c>
      <c r="G3945" s="5" t="str">
        <f>HYPERLINK("https://dpmzos25m8ivg.cloudfront.net/Documentos/631/08037128555/6310803712855505092023151624.jpeg","https://dpmzos25m8ivg.cloudfront.net/Documentos/631/08037128555/6310803712855505092023151624.jpeg")</f>
        <v>https://dpmzos25m8ivg.cloudfront.net/Documentos/631/08037128555/6310803712855505092023151624.jpeg</v>
      </c>
      <c r="H3945" s="5" t="s">
        <v>12521</v>
      </c>
    </row>
    <row r="3946" spans="1:8" x14ac:dyDescent="0.25">
      <c r="A3946" s="14" t="s">
        <v>3968</v>
      </c>
      <c r="B3946" s="3" t="s">
        <v>8</v>
      </c>
      <c r="C3946" s="3"/>
      <c r="D3946" s="3"/>
      <c r="E3946" s="5" t="str">
        <f>HYPERLINK("https://dpmzos25m8ivg.cloudfront.net/Documentos/631/08037193616/6310803719361614092023144441.jpg","https://dpmzos25m8ivg.cloudfront.net/Documentos/631/08037193616/6310803719361614092023144441.jpg")</f>
        <v>https://dpmzos25m8ivg.cloudfront.net/Documentos/631/08037193616/6310803719361614092023144441.jpg</v>
      </c>
      <c r="F3946" s="5" t="str">
        <f>HYPERLINK("https://dpmzos25m8ivg.cloudfront.net/Documentos/631/08037193616/6310803719361614092023144852.jpg","https://dpmzos25m8ivg.cloudfront.net/Documentos/631/08037193616/6310803719361614092023144852.jpg")</f>
        <v>https://dpmzos25m8ivg.cloudfront.net/Documentos/631/08037193616/6310803719361614092023144852.jpg</v>
      </c>
      <c r="G3946" s="5" t="str">
        <f>HYPERLINK("https://dpmzos25m8ivg.cloudfront.net/Documentos/631/08037193616/6310803719361614092023144915.jpg","https://dpmzos25m8ivg.cloudfront.net/Documentos/631/08037193616/6310803719361614092023144915.jpg")</f>
        <v>https://dpmzos25m8ivg.cloudfront.net/Documentos/631/08037193616/6310803719361614092023144915.jpg</v>
      </c>
      <c r="H3946" s="5" t="s">
        <v>12522</v>
      </c>
    </row>
    <row r="3947" spans="1:8" x14ac:dyDescent="0.25">
      <c r="A3947" s="14" t="s">
        <v>3969</v>
      </c>
      <c r="B3947" s="3"/>
      <c r="C3947" s="3"/>
      <c r="D3947" s="3"/>
      <c r="E3947" s="5" t="str">
        <f>HYPERLINK("https://dpmzos25m8ivg.cloudfront.net/Documentos/631/08038525507/6310803852550709092023010835.jpg","https://dpmzos25m8ivg.cloudfront.net/Documentos/631/08038525507/6310803852550709092023010835.jpg")</f>
        <v>https://dpmzos25m8ivg.cloudfront.net/Documentos/631/08038525507/6310803852550709092023010835.jpg</v>
      </c>
      <c r="F3947" s="5" t="str">
        <f>HYPERLINK("https://dpmzos25m8ivg.cloudfront.net/Documentos/631/08038525507/6310803852550709092023010847.jpg","https://dpmzos25m8ivg.cloudfront.net/Documentos/631/08038525507/6310803852550709092023010847.jpg")</f>
        <v>https://dpmzos25m8ivg.cloudfront.net/Documentos/631/08038525507/6310803852550709092023010847.jpg</v>
      </c>
      <c r="G3947" s="5" t="str">
        <f>HYPERLINK("https://dpmzos25m8ivg.cloudfront.net/Documentos/631/08038525507/6310803852550709092023010858.jpg","https://dpmzos25m8ivg.cloudfront.net/Documentos/631/08038525507/6310803852550709092023010858.jpg")</f>
        <v>https://dpmzos25m8ivg.cloudfront.net/Documentos/631/08038525507/6310803852550709092023010858.jpg</v>
      </c>
      <c r="H3947" s="5" t="s">
        <v>12523</v>
      </c>
    </row>
    <row r="3948" spans="1:8" x14ac:dyDescent="0.25">
      <c r="A3948" s="14" t="s">
        <v>3970</v>
      </c>
      <c r="B3948" s="3"/>
      <c r="C3948" s="3"/>
      <c r="D3948" s="3"/>
      <c r="E3948" s="5" t="str">
        <f>HYPERLINK("https://dpmzos25m8ivg.cloudfront.net/Documentos/631/08042619626/6310804261962611092023135853.pdf","https://dpmzos25m8ivg.cloudfront.net/Documentos/631/08042619626/6310804261962611092023135853.pdf")</f>
        <v>https://dpmzos25m8ivg.cloudfront.net/Documentos/631/08042619626/6310804261962611092023135853.pdf</v>
      </c>
      <c r="F3948" s="5" t="str">
        <f>HYPERLINK("https://dpmzos25m8ivg.cloudfront.net/Documentos/631/08042619626/6310804261962611092023135904.pdf","https://dpmzos25m8ivg.cloudfront.net/Documentos/631/08042619626/6310804261962611092023135904.pdf")</f>
        <v>https://dpmzos25m8ivg.cloudfront.net/Documentos/631/08042619626/6310804261962611092023135904.pdf</v>
      </c>
      <c r="G3948" s="5" t="str">
        <f>HYPERLINK("https://dpmzos25m8ivg.cloudfront.net/Documentos/631/08042619626/6310804261962611092023135916.pdf","https://dpmzos25m8ivg.cloudfront.net/Documentos/631/08042619626/6310804261962611092023135916.pdf")</f>
        <v>https://dpmzos25m8ivg.cloudfront.net/Documentos/631/08042619626/6310804261962611092023135916.pdf</v>
      </c>
      <c r="H3948" s="5" t="s">
        <v>12524</v>
      </c>
    </row>
    <row r="3949" spans="1:8" x14ac:dyDescent="0.25">
      <c r="A3949" s="14" t="s">
        <v>3971</v>
      </c>
      <c r="B3949" s="3"/>
      <c r="C3949" s="3"/>
      <c r="D3949" s="3"/>
      <c r="E3949" s="5" t="str">
        <f>HYPERLINK("https://dpmzos25m8ivg.cloudfront.net/Documentos/631/08043114986/6310804311498606092023121813.pdf","https://dpmzos25m8ivg.cloudfront.net/Documentos/631/08043114986/6310804311498606092023121813.pdf")</f>
        <v>https://dpmzos25m8ivg.cloudfront.net/Documentos/631/08043114986/6310804311498606092023121813.pdf</v>
      </c>
      <c r="F3949" s="5" t="str">
        <f>HYPERLINK("https://dpmzos25m8ivg.cloudfront.net/Documentos/631/08043114986/6310804311498606092023121824.pdf","https://dpmzos25m8ivg.cloudfront.net/Documentos/631/08043114986/6310804311498606092023121824.pdf")</f>
        <v>https://dpmzos25m8ivg.cloudfront.net/Documentos/631/08043114986/6310804311498606092023121824.pdf</v>
      </c>
      <c r="G3949" s="5" t="str">
        <f>HYPERLINK("https://dpmzos25m8ivg.cloudfront.net/Documentos/631/08043114986/6310804311498606092023121833.pdf","https://dpmzos25m8ivg.cloudfront.net/Documentos/631/08043114986/6310804311498606092023121833.pdf")</f>
        <v>https://dpmzos25m8ivg.cloudfront.net/Documentos/631/08043114986/6310804311498606092023121833.pdf</v>
      </c>
      <c r="H3949" s="5" t="s">
        <v>12525</v>
      </c>
    </row>
    <row r="3950" spans="1:8" x14ac:dyDescent="0.25">
      <c r="A3950" s="14" t="s">
        <v>3972</v>
      </c>
      <c r="B3950" s="3"/>
      <c r="C3950" s="3"/>
      <c r="D3950" s="3"/>
      <c r="E3950" s="5" t="str">
        <f>HYPERLINK("https://dpmzos25m8ivg.cloudfront.net/Documentos/631/08045098325/6310804509832514092023145228.jpeg","https://dpmzos25m8ivg.cloudfront.net/Documentos/631/08045098325/6310804509832514092023145228.jpeg")</f>
        <v>https://dpmzos25m8ivg.cloudfront.net/Documentos/631/08045098325/6310804509832514092023145228.jpeg</v>
      </c>
      <c r="F3950" s="5" t="str">
        <f>HYPERLINK("https://dpmzos25m8ivg.cloudfront.net/Documentos/631/08045098325/6310804509832514092023145238.jpeg","https://dpmzos25m8ivg.cloudfront.net/Documentos/631/08045098325/6310804509832514092023145238.jpeg")</f>
        <v>https://dpmzos25m8ivg.cloudfront.net/Documentos/631/08045098325/6310804509832514092023145238.jpeg</v>
      </c>
      <c r="G3950" s="5" t="str">
        <f>HYPERLINK("https://dpmzos25m8ivg.cloudfront.net/Documentos/631/08045098325/6310804509832514092023145246.jpeg","https://dpmzos25m8ivg.cloudfront.net/Documentos/631/08045098325/6310804509832514092023145246.jpeg")</f>
        <v>https://dpmzos25m8ivg.cloudfront.net/Documentos/631/08045098325/6310804509832514092023145246.jpeg</v>
      </c>
      <c r="H3950" s="5" t="s">
        <v>12526</v>
      </c>
    </row>
    <row r="3951" spans="1:8" x14ac:dyDescent="0.25">
      <c r="A3951" s="14" t="s">
        <v>3973</v>
      </c>
      <c r="B3951" s="3"/>
      <c r="C3951" s="3"/>
      <c r="D3951" s="3"/>
      <c r="E3951" s="5" t="str">
        <f>HYPERLINK("https://dpmzos25m8ivg.cloudfront.net/Documentos/631/08049784681/6310804978468108092023153410.pdf","https://dpmzos25m8ivg.cloudfront.net/Documentos/631/08049784681/6310804978468108092023153410.pdf")</f>
        <v>https://dpmzos25m8ivg.cloudfront.net/Documentos/631/08049784681/6310804978468108092023153410.pdf</v>
      </c>
      <c r="F3951" s="5" t="str">
        <f>HYPERLINK("https://dpmzos25m8ivg.cloudfront.net/Documentos/631/08049784681/6310804978468108092023153426.pdf","https://dpmzos25m8ivg.cloudfront.net/Documentos/631/08049784681/6310804978468108092023153426.pdf")</f>
        <v>https://dpmzos25m8ivg.cloudfront.net/Documentos/631/08049784681/6310804978468108092023153426.pdf</v>
      </c>
      <c r="G3951" s="5" t="str">
        <f>HYPERLINK("https://dpmzos25m8ivg.cloudfront.net/Documentos/631/08049784681/6310804978468108092023153448.pdf","https://dpmzos25m8ivg.cloudfront.net/Documentos/631/08049784681/6310804978468108092023153448.pdf")</f>
        <v>https://dpmzos25m8ivg.cloudfront.net/Documentos/631/08049784681/6310804978468108092023153448.pdf</v>
      </c>
      <c r="H3951" s="5" t="s">
        <v>12527</v>
      </c>
    </row>
    <row r="3952" spans="1:8" x14ac:dyDescent="0.25">
      <c r="A3952" s="14" t="s">
        <v>3974</v>
      </c>
      <c r="B3952" s="3"/>
      <c r="C3952" s="3"/>
      <c r="D3952" s="3"/>
      <c r="E3952" s="5" t="str">
        <f>HYPERLINK("https://dpmzos25m8ivg.cloudfront.net/Documentos/631/08049828484/6310804982848405092023084655.jpeg","https://dpmzos25m8ivg.cloudfront.net/Documentos/631/08049828484/6310804982848405092023084655.jpeg")</f>
        <v>https://dpmzos25m8ivg.cloudfront.net/Documentos/631/08049828484/6310804982848405092023084655.jpeg</v>
      </c>
      <c r="F3952" s="5" t="str">
        <f>HYPERLINK("https://dpmzos25m8ivg.cloudfront.net/Documentos/631/08049828484/6310804982848405092023084711.jpeg","https://dpmzos25m8ivg.cloudfront.net/Documentos/631/08049828484/6310804982848405092023084711.jpeg")</f>
        <v>https://dpmzos25m8ivg.cloudfront.net/Documentos/631/08049828484/6310804982848405092023084711.jpeg</v>
      </c>
      <c r="G3952" s="5" t="str">
        <f>HYPERLINK("https://dpmzos25m8ivg.cloudfront.net/Documentos/631/08049828484/6310804982848405092023084720.jpeg","https://dpmzos25m8ivg.cloudfront.net/Documentos/631/08049828484/6310804982848405092023084720.jpeg")</f>
        <v>https://dpmzos25m8ivg.cloudfront.net/Documentos/631/08049828484/6310804982848405092023084720.jpeg</v>
      </c>
      <c r="H3952" s="5" t="s">
        <v>12528</v>
      </c>
    </row>
    <row r="3953" spans="1:8" x14ac:dyDescent="0.25">
      <c r="A3953" s="14" t="s">
        <v>3975</v>
      </c>
      <c r="B3953" s="3"/>
      <c r="C3953" s="3"/>
      <c r="D3953" s="3"/>
      <c r="E3953" s="5" t="str">
        <f>HYPERLINK("https://dpmzos25m8ivg.cloudfront.net/Documentos/631/08051088310/6310805108831006092023154647.pdf","https://dpmzos25m8ivg.cloudfront.net/Documentos/631/08051088310/6310805108831006092023154647.pdf")</f>
        <v>https://dpmzos25m8ivg.cloudfront.net/Documentos/631/08051088310/6310805108831006092023154647.pdf</v>
      </c>
      <c r="F3953" s="5" t="str">
        <f>HYPERLINK("https://dpmzos25m8ivg.cloudfront.net/Documentos/631/08051088310/6310805108831006092023154701.pdf","https://dpmzos25m8ivg.cloudfront.net/Documentos/631/08051088310/6310805108831006092023154701.pdf")</f>
        <v>https://dpmzos25m8ivg.cloudfront.net/Documentos/631/08051088310/6310805108831006092023154701.pdf</v>
      </c>
      <c r="G3953" s="5" t="str">
        <f>HYPERLINK("https://dpmzos25m8ivg.cloudfront.net/Documentos/631/08051088310/6310805108831006092023154715.pdf","https://dpmzos25m8ivg.cloudfront.net/Documentos/631/08051088310/6310805108831006092023154715.pdf")</f>
        <v>https://dpmzos25m8ivg.cloudfront.net/Documentos/631/08051088310/6310805108831006092023154715.pdf</v>
      </c>
      <c r="H3953" s="5" t="s">
        <v>12529</v>
      </c>
    </row>
    <row r="3954" spans="1:8" x14ac:dyDescent="0.25">
      <c r="A3954" s="14" t="s">
        <v>3976</v>
      </c>
      <c r="B3954" s="3"/>
      <c r="C3954" s="3"/>
      <c r="D3954" s="3"/>
      <c r="E3954" s="5" t="str">
        <f>HYPERLINK("https://dpmzos25m8ivg.cloudfront.net/Documentos/631/08051555546/6310805155554611092023160316.pdf","https://dpmzos25m8ivg.cloudfront.net/Documentos/631/08051555546/6310805155554611092023160316.pdf")</f>
        <v>https://dpmzos25m8ivg.cloudfront.net/Documentos/631/08051555546/6310805155554611092023160316.pdf</v>
      </c>
      <c r="F3954" s="5" t="str">
        <f>HYPERLINK("https://dpmzos25m8ivg.cloudfront.net/Documentos/631/08051555546/6310805155554611092023160322.pdf","https://dpmzos25m8ivg.cloudfront.net/Documentos/631/08051555546/6310805155554611092023160322.pdf")</f>
        <v>https://dpmzos25m8ivg.cloudfront.net/Documentos/631/08051555546/6310805155554611092023160322.pdf</v>
      </c>
      <c r="G3954" s="5" t="str">
        <f>HYPERLINK("https://dpmzos25m8ivg.cloudfront.net/Documentos/631/08051555546/6310805155554611092023160336.pdf","https://dpmzos25m8ivg.cloudfront.net/Documentos/631/08051555546/6310805155554611092023160336.pdf")</f>
        <v>https://dpmzos25m8ivg.cloudfront.net/Documentos/631/08051555546/6310805155554611092023160336.pdf</v>
      </c>
      <c r="H3954" s="5" t="s">
        <v>12530</v>
      </c>
    </row>
    <row r="3955" spans="1:8" x14ac:dyDescent="0.25">
      <c r="A3955" s="14" t="s">
        <v>3977</v>
      </c>
      <c r="B3955" s="3"/>
      <c r="C3955" s="3"/>
      <c r="D3955" s="3"/>
      <c r="E3955" s="5" t="str">
        <f>HYPERLINK("https://dpmzos25m8ivg.cloudfront.net/Documentos/631/08053584390/6310805358439008092023155226.pdf","https://dpmzos25m8ivg.cloudfront.net/Documentos/631/08053584390/6310805358439008092023155226.pdf")</f>
        <v>https://dpmzos25m8ivg.cloudfront.net/Documentos/631/08053584390/6310805358439008092023155226.pdf</v>
      </c>
      <c r="F3955" s="5" t="str">
        <f>HYPERLINK("https://dpmzos25m8ivg.cloudfront.net/Documentos/631/08053584390/6310805358439008092023155251.pdf","https://dpmzos25m8ivg.cloudfront.net/Documentos/631/08053584390/6310805358439008092023155251.pdf")</f>
        <v>https://dpmzos25m8ivg.cloudfront.net/Documentos/631/08053584390/6310805358439008092023155251.pdf</v>
      </c>
      <c r="G3955" s="5" t="str">
        <f>HYPERLINK("https://dpmzos25m8ivg.cloudfront.net/Documentos/631/08053584390/6310805358439008092023161233.pdf","https://dpmzos25m8ivg.cloudfront.net/Documentos/631/08053584390/6310805358439008092023161233.pdf")</f>
        <v>https://dpmzos25m8ivg.cloudfront.net/Documentos/631/08053584390/6310805358439008092023161233.pdf</v>
      </c>
      <c r="H3955" s="5" t="s">
        <v>12531</v>
      </c>
    </row>
    <row r="3956" spans="1:8" x14ac:dyDescent="0.25">
      <c r="A3956" s="14" t="s">
        <v>3978</v>
      </c>
      <c r="B3956" s="3"/>
      <c r="C3956" s="3"/>
      <c r="D3956" s="3"/>
      <c r="E3956" s="5" t="str">
        <f>HYPERLINK("https://dpmzos25m8ivg.cloudfront.net/Documentos/631/08054735308/6310805473530808092023211109.pdf","https://dpmzos25m8ivg.cloudfront.net/Documentos/631/08054735308/6310805473530808092023211109.pdf")</f>
        <v>https://dpmzos25m8ivg.cloudfront.net/Documentos/631/08054735308/6310805473530808092023211109.pdf</v>
      </c>
      <c r="F3956" s="5" t="str">
        <f>HYPERLINK("https://dpmzos25m8ivg.cloudfront.net/Documentos/631/08054735308/6310805473530808092023211119.pdf","https://dpmzos25m8ivg.cloudfront.net/Documentos/631/08054735308/6310805473530808092023211119.pdf")</f>
        <v>https://dpmzos25m8ivg.cloudfront.net/Documentos/631/08054735308/6310805473530808092023211119.pdf</v>
      </c>
      <c r="G3956" s="5" t="str">
        <f>HYPERLINK("https://dpmzos25m8ivg.cloudfront.net/Documentos/631/08054735308/6310805473530808092023211127.pdf","https://dpmzos25m8ivg.cloudfront.net/Documentos/631/08054735308/6310805473530808092023211127.pdf")</f>
        <v>https://dpmzos25m8ivg.cloudfront.net/Documentos/631/08054735308/6310805473530808092023211127.pdf</v>
      </c>
      <c r="H3956" s="5" t="s">
        <v>12532</v>
      </c>
    </row>
    <row r="3957" spans="1:8" x14ac:dyDescent="0.25">
      <c r="A3957" s="14" t="s">
        <v>3979</v>
      </c>
      <c r="B3957" s="3"/>
      <c r="C3957" s="3"/>
      <c r="D3957" s="3"/>
      <c r="E3957" s="5" t="str">
        <f>HYPERLINK("https://dpmzos25m8ivg.cloudfront.net/Documentos/631/08058106330/6310805810633010092023103245.pdf","https://dpmzos25m8ivg.cloudfront.net/Documentos/631/08058106330/6310805810633010092023103245.pdf")</f>
        <v>https://dpmzos25m8ivg.cloudfront.net/Documentos/631/08058106330/6310805810633010092023103245.pdf</v>
      </c>
      <c r="F3957" s="5" t="str">
        <f>HYPERLINK("https://dpmzos25m8ivg.cloudfront.net/Documentos/631/08058106330/6310805810633010092023103301.pdf","https://dpmzos25m8ivg.cloudfront.net/Documentos/631/08058106330/6310805810633010092023103301.pdf")</f>
        <v>https://dpmzos25m8ivg.cloudfront.net/Documentos/631/08058106330/6310805810633010092023103301.pdf</v>
      </c>
      <c r="G3957" s="5" t="str">
        <f>HYPERLINK("https://dpmzos25m8ivg.cloudfront.net/Documentos/631/08058106330/6310805810633010092023103319.pdf","https://dpmzos25m8ivg.cloudfront.net/Documentos/631/08058106330/6310805810633010092023103319.pdf")</f>
        <v>https://dpmzos25m8ivg.cloudfront.net/Documentos/631/08058106330/6310805810633010092023103319.pdf</v>
      </c>
      <c r="H3957" s="5" t="s">
        <v>12533</v>
      </c>
    </row>
    <row r="3958" spans="1:8" x14ac:dyDescent="0.25">
      <c r="A3958" s="14" t="s">
        <v>3980</v>
      </c>
      <c r="B3958" s="3" t="s">
        <v>3385</v>
      </c>
      <c r="C3958" s="3"/>
      <c r="D3958" s="3"/>
      <c r="E3958" s="5" t="str">
        <f>HYPERLINK("https://dpmzos25m8ivg.cloudfront.net/Documentos/631/08063809505/6310806380950511092023125328.pdf","https://dpmzos25m8ivg.cloudfront.net/Documentos/631/08063809505/6310806380950511092023125328.pdf")</f>
        <v>https://dpmzos25m8ivg.cloudfront.net/Documentos/631/08063809505/6310806380950511092023125328.pdf</v>
      </c>
      <c r="F3958" s="5" t="str">
        <f>HYPERLINK("https://dpmzos25m8ivg.cloudfront.net/Documentos/631/08063809505/6310806380950511092023125315.pdf","https://dpmzos25m8ivg.cloudfront.net/Documentos/631/08063809505/6310806380950511092023125315.pdf")</f>
        <v>https://dpmzos25m8ivg.cloudfront.net/Documentos/631/08063809505/6310806380950511092023125315.pdf</v>
      </c>
      <c r="G3958" s="5" t="str">
        <f>HYPERLINK("https://dpmzos25m8ivg.cloudfront.net/Documentos/631/08063809505/6310806380950511092023125302.pdf","https://dpmzos25m8ivg.cloudfront.net/Documentos/631/08063809505/6310806380950511092023125302.pdf")</f>
        <v>https://dpmzos25m8ivg.cloudfront.net/Documentos/631/08063809505/6310806380950511092023125302.pdf</v>
      </c>
      <c r="H3958" s="5" t="s">
        <v>12534</v>
      </c>
    </row>
    <row r="3959" spans="1:8" x14ac:dyDescent="0.25">
      <c r="A3959" s="14" t="s">
        <v>3981</v>
      </c>
      <c r="B3959" s="3"/>
      <c r="C3959" s="3"/>
      <c r="D3959" s="3"/>
      <c r="E3959" s="5" t="str">
        <f>HYPERLINK("https://dpmzos25m8ivg.cloudfront.net/Documentos/631/08066646658/6310806664665811092023101600.pdf","https://dpmzos25m8ivg.cloudfront.net/Documentos/631/08066646658/6310806664665811092023101600.pdf")</f>
        <v>https://dpmzos25m8ivg.cloudfront.net/Documentos/631/08066646658/6310806664665811092023101600.pdf</v>
      </c>
      <c r="F3959" s="5" t="str">
        <f>HYPERLINK("https://dpmzos25m8ivg.cloudfront.net/Documentos/631/08066646658/6310806664665811092023101545.pdf","https://dpmzos25m8ivg.cloudfront.net/Documentos/631/08066646658/6310806664665811092023101545.pdf")</f>
        <v>https://dpmzos25m8ivg.cloudfront.net/Documentos/631/08066646658/6310806664665811092023101545.pdf</v>
      </c>
      <c r="G3959" s="5" t="str">
        <f>HYPERLINK("https://dpmzos25m8ivg.cloudfront.net/Documentos/631/08066646658/6310806664665811092023101521.pdf","https://dpmzos25m8ivg.cloudfront.net/Documentos/631/08066646658/6310806664665811092023101521.pdf")</f>
        <v>https://dpmzos25m8ivg.cloudfront.net/Documentos/631/08066646658/6310806664665811092023101521.pdf</v>
      </c>
      <c r="H3959" s="5" t="s">
        <v>12535</v>
      </c>
    </row>
    <row r="3960" spans="1:8" x14ac:dyDescent="0.25">
      <c r="A3960" s="14" t="s">
        <v>3982</v>
      </c>
      <c r="B3960" s="3" t="s">
        <v>8</v>
      </c>
      <c r="C3960" s="3"/>
      <c r="D3960" s="3"/>
      <c r="E3960" s="5" t="str">
        <f>HYPERLINK("https://dpmzos25m8ivg.cloudfront.net/Documentos/631/08067335435/6310806733543505092023084746.pdf","https://dpmzos25m8ivg.cloudfront.net/Documentos/631/08067335435/6310806733543505092023084746.pdf")</f>
        <v>https://dpmzos25m8ivg.cloudfront.net/Documentos/631/08067335435/6310806733543505092023084746.pdf</v>
      </c>
      <c r="F3960" s="5" t="str">
        <f>HYPERLINK("https://dpmzos25m8ivg.cloudfront.net/Documentos/631/08067335435/6310806733543505092023084754.pdf","https://dpmzos25m8ivg.cloudfront.net/Documentos/631/08067335435/6310806733543505092023084754.pdf")</f>
        <v>https://dpmzos25m8ivg.cloudfront.net/Documentos/631/08067335435/6310806733543505092023084754.pdf</v>
      </c>
      <c r="G3960" s="5" t="str">
        <f>HYPERLINK("https://dpmzos25m8ivg.cloudfront.net/Documentos/631/08067335435/6310806733543505092023084804.pdf","https://dpmzos25m8ivg.cloudfront.net/Documentos/631/08067335435/6310806733543505092023084804.pdf")</f>
        <v>https://dpmzos25m8ivg.cloudfront.net/Documentos/631/08067335435/6310806733543505092023084804.pdf</v>
      </c>
      <c r="H3960" s="5" t="s">
        <v>12536</v>
      </c>
    </row>
    <row r="3961" spans="1:8" x14ac:dyDescent="0.25">
      <c r="A3961" s="14" t="s">
        <v>3983</v>
      </c>
      <c r="B3961" s="3" t="s">
        <v>8</v>
      </c>
      <c r="C3961" s="3"/>
      <c r="D3961" s="3"/>
      <c r="E3961" s="5" t="str">
        <f>HYPERLINK("https://dpmzos25m8ivg.cloudfront.net/Documentos/631/08068428577/6310806842857708092023175240.pdf","https://dpmzos25m8ivg.cloudfront.net/Documentos/631/08068428577/6310806842857708092023175240.pdf")</f>
        <v>https://dpmzos25m8ivg.cloudfront.net/Documentos/631/08068428577/6310806842857708092023175240.pdf</v>
      </c>
      <c r="F3961" s="5" t="str">
        <f>HYPERLINK("https://dpmzos25m8ivg.cloudfront.net/Documentos/631/08068428577/6310806842857708092023175215.pdf","https://dpmzos25m8ivg.cloudfront.net/Documentos/631/08068428577/6310806842857708092023175215.pdf")</f>
        <v>https://dpmzos25m8ivg.cloudfront.net/Documentos/631/08068428577/6310806842857708092023175215.pdf</v>
      </c>
      <c r="G3961" s="5" t="str">
        <f>HYPERLINK("https://dpmzos25m8ivg.cloudfront.net/Documentos/631/08068428577/6310806842857708092023175151.pdf","https://dpmzos25m8ivg.cloudfront.net/Documentos/631/08068428577/6310806842857708092023175151.pdf")</f>
        <v>https://dpmzos25m8ivg.cloudfront.net/Documentos/631/08068428577/6310806842857708092023175151.pdf</v>
      </c>
      <c r="H3961" s="5" t="s">
        <v>12537</v>
      </c>
    </row>
    <row r="3962" spans="1:8" x14ac:dyDescent="0.25">
      <c r="A3962" s="14" t="s">
        <v>3984</v>
      </c>
      <c r="B3962" s="3"/>
      <c r="C3962" s="3"/>
      <c r="D3962" s="3"/>
      <c r="E3962" s="5" t="str">
        <f>HYPERLINK("https://dpmzos25m8ivg.cloudfront.net/Documentos/631/08068834567/6310806883456711092023154937.pdf","https://dpmzos25m8ivg.cloudfront.net/Documentos/631/08068834567/6310806883456711092023154937.pdf")</f>
        <v>https://dpmzos25m8ivg.cloudfront.net/Documentos/631/08068834567/6310806883456711092023154937.pdf</v>
      </c>
      <c r="F3962" s="5" t="str">
        <f>HYPERLINK("https://dpmzos25m8ivg.cloudfront.net/Documentos/631/08068834567/6310806883456711092023154959.pdf","https://dpmzos25m8ivg.cloudfront.net/Documentos/631/08068834567/6310806883456711092023154959.pdf")</f>
        <v>https://dpmzos25m8ivg.cloudfront.net/Documentos/631/08068834567/6310806883456711092023154959.pdf</v>
      </c>
      <c r="G3962" s="5" t="str">
        <f>HYPERLINK("https://dpmzos25m8ivg.cloudfront.net/Documentos/631/08068834567/6310806883456711092023155021.pdf","https://dpmzos25m8ivg.cloudfront.net/Documentos/631/08068834567/6310806883456711092023155021.pdf")</f>
        <v>https://dpmzos25m8ivg.cloudfront.net/Documentos/631/08068834567/6310806883456711092023155021.pdf</v>
      </c>
      <c r="H3962" s="5" t="s">
        <v>12538</v>
      </c>
    </row>
    <row r="3963" spans="1:8" x14ac:dyDescent="0.25">
      <c r="A3963" s="14" t="s">
        <v>3985</v>
      </c>
      <c r="B3963" s="3"/>
      <c r="C3963" s="3"/>
      <c r="D3963" s="3"/>
      <c r="E3963" s="5" t="str">
        <f>HYPERLINK("https://dpmzos25m8ivg.cloudfront.net/Documentos/631/08069962429/6310806996242911092023085744.pdf","https://dpmzos25m8ivg.cloudfront.net/Documentos/631/08069962429/6310806996242911092023085744.pdf")</f>
        <v>https://dpmzos25m8ivg.cloudfront.net/Documentos/631/08069962429/6310806996242911092023085744.pdf</v>
      </c>
      <c r="F3963" s="5" t="str">
        <f>HYPERLINK("https://dpmzos25m8ivg.cloudfront.net/Documentos/631/08069962429/6310806996242911092023085757.pdf","https://dpmzos25m8ivg.cloudfront.net/Documentos/631/08069962429/6310806996242911092023085757.pdf")</f>
        <v>https://dpmzos25m8ivg.cloudfront.net/Documentos/631/08069962429/6310806996242911092023085757.pdf</v>
      </c>
      <c r="G3963" s="5" t="str">
        <f>HYPERLINK("https://dpmzos25m8ivg.cloudfront.net/Documentos/631/08069962429/6310806996242911092023085812.pdf","https://dpmzos25m8ivg.cloudfront.net/Documentos/631/08069962429/6310806996242911092023085812.pdf")</f>
        <v>https://dpmzos25m8ivg.cloudfront.net/Documentos/631/08069962429/6310806996242911092023085812.pdf</v>
      </c>
      <c r="H3963" s="5" t="s">
        <v>12539</v>
      </c>
    </row>
    <row r="3964" spans="1:8" x14ac:dyDescent="0.25">
      <c r="A3964" s="14" t="s">
        <v>3986</v>
      </c>
      <c r="B3964" s="3" t="s">
        <v>8</v>
      </c>
      <c r="C3964" s="3"/>
      <c r="D3964" s="3"/>
      <c r="E3964" s="5" t="str">
        <f>HYPERLINK("https://dpmzos25m8ivg.cloudfront.net/Documentos/631/08074226492/6310807422649211092023170238.jpeg","https://dpmzos25m8ivg.cloudfront.net/Documentos/631/08074226492/6310807422649211092023170238.jpeg")</f>
        <v>https://dpmzos25m8ivg.cloudfront.net/Documentos/631/08074226492/6310807422649211092023170238.jpeg</v>
      </c>
      <c r="F3964" s="5" t="str">
        <f>HYPERLINK("https://dpmzos25m8ivg.cloudfront.net/Documentos/631/08074226492/6310807422649211092023170245.jpeg","https://dpmzos25m8ivg.cloudfront.net/Documentos/631/08074226492/6310807422649211092023170245.jpeg")</f>
        <v>https://dpmzos25m8ivg.cloudfront.net/Documentos/631/08074226492/6310807422649211092023170245.jpeg</v>
      </c>
      <c r="G3964" s="5" t="str">
        <f>HYPERLINK("https://dpmzos25m8ivg.cloudfront.net/Documentos/631/08074226492/6310807422649211092023170310.jpeg","https://dpmzos25m8ivg.cloudfront.net/Documentos/631/08074226492/6310807422649211092023170310.jpeg")</f>
        <v>https://dpmzos25m8ivg.cloudfront.net/Documentos/631/08074226492/6310807422649211092023170310.jpeg</v>
      </c>
      <c r="H3964" s="5" t="s">
        <v>12540</v>
      </c>
    </row>
    <row r="3965" spans="1:8" x14ac:dyDescent="0.25">
      <c r="A3965" s="14" t="s">
        <v>3987</v>
      </c>
      <c r="B3965" s="3"/>
      <c r="C3965" s="3"/>
      <c r="D3965" s="3"/>
      <c r="E3965" s="5" t="str">
        <f>HYPERLINK("https://dpmzos25m8ivg.cloudfront.net/Documentos/631/08075372506/6310807537250611092023162347.pdf","https://dpmzos25m8ivg.cloudfront.net/Documentos/631/08075372506/6310807537250611092023162347.pdf")</f>
        <v>https://dpmzos25m8ivg.cloudfront.net/Documentos/631/08075372506/6310807537250611092023162347.pdf</v>
      </c>
      <c r="F3965" s="5" t="str">
        <f>HYPERLINK("https://dpmzos25m8ivg.cloudfront.net/Documentos/631/08075372506/6310807537250611092023162412.pdf","https://dpmzos25m8ivg.cloudfront.net/Documentos/631/08075372506/6310807537250611092023162412.pdf")</f>
        <v>https://dpmzos25m8ivg.cloudfront.net/Documentos/631/08075372506/6310807537250611092023162412.pdf</v>
      </c>
      <c r="G3965" s="5" t="str">
        <f>HYPERLINK("https://dpmzos25m8ivg.cloudfront.net/Documentos/631/08075372506/6310807537250611092023162435.pdf","https://dpmzos25m8ivg.cloudfront.net/Documentos/631/08075372506/6310807537250611092023162435.pdf")</f>
        <v>https://dpmzos25m8ivg.cloudfront.net/Documentos/631/08075372506/6310807537250611092023162435.pdf</v>
      </c>
      <c r="H3965" s="5" t="s">
        <v>12541</v>
      </c>
    </row>
    <row r="3966" spans="1:8" x14ac:dyDescent="0.25">
      <c r="A3966" s="14" t="s">
        <v>3988</v>
      </c>
      <c r="B3966" s="3"/>
      <c r="C3966" s="3"/>
      <c r="D3966" s="3"/>
      <c r="E3966" s="5" t="str">
        <f>HYPERLINK("https://dpmzos25m8ivg.cloudfront.net/Documentos/631/08077717918/6310807771791811092023150433.pdf","https://dpmzos25m8ivg.cloudfront.net/Documentos/631/08077717918/6310807771791811092023150433.pdf")</f>
        <v>https://dpmzos25m8ivg.cloudfront.net/Documentos/631/08077717918/6310807771791811092023150433.pdf</v>
      </c>
      <c r="F3966" s="5" t="str">
        <f>HYPERLINK("https://dpmzos25m8ivg.cloudfront.net/Documentos/631/08077717918/6310807771791811092023150443.pdf","https://dpmzos25m8ivg.cloudfront.net/Documentos/631/08077717918/6310807771791811092023150443.pdf")</f>
        <v>https://dpmzos25m8ivg.cloudfront.net/Documentos/631/08077717918/6310807771791811092023150443.pdf</v>
      </c>
      <c r="G3966" s="5" t="str">
        <f>HYPERLINK("https://dpmzos25m8ivg.cloudfront.net/Documentos/631/08077717918/6310807771791811092023150451.pdf","https://dpmzos25m8ivg.cloudfront.net/Documentos/631/08077717918/6310807771791811092023150451.pdf")</f>
        <v>https://dpmzos25m8ivg.cloudfront.net/Documentos/631/08077717918/6310807771791811092023150451.pdf</v>
      </c>
      <c r="H3966" s="5" t="s">
        <v>12542</v>
      </c>
    </row>
    <row r="3967" spans="1:8" x14ac:dyDescent="0.25">
      <c r="A3967" s="14" t="s">
        <v>3989</v>
      </c>
      <c r="B3967" s="3"/>
      <c r="C3967" s="3"/>
      <c r="D3967" s="3"/>
      <c r="E3967" s="5" t="str">
        <f>HYPERLINK("https://dpmzos25m8ivg.cloudfront.net/Documentos/631/08081113100/6310808111310010092023225544.jpeg","https://dpmzos25m8ivg.cloudfront.net/Documentos/631/08081113100/6310808111310010092023225544.jpeg")</f>
        <v>https://dpmzos25m8ivg.cloudfront.net/Documentos/631/08081113100/6310808111310010092023225544.jpeg</v>
      </c>
      <c r="F3967" s="5" t="str">
        <f>HYPERLINK("https://dpmzos25m8ivg.cloudfront.net/Documentos/631/08081113100/6310808111310010092023225602.jpeg","https://dpmzos25m8ivg.cloudfront.net/Documentos/631/08081113100/6310808111310010092023225602.jpeg")</f>
        <v>https://dpmzos25m8ivg.cloudfront.net/Documentos/631/08081113100/6310808111310010092023225602.jpeg</v>
      </c>
      <c r="G3967" s="5" t="str">
        <f>HYPERLINK("https://dpmzos25m8ivg.cloudfront.net/Documentos/631/08081113100/6310808111310010092023225651.jpeg","https://dpmzos25m8ivg.cloudfront.net/Documentos/631/08081113100/6310808111310010092023225651.jpeg")</f>
        <v>https://dpmzos25m8ivg.cloudfront.net/Documentos/631/08081113100/6310808111310010092023225651.jpeg</v>
      </c>
      <c r="H3967" s="5" t="s">
        <v>12543</v>
      </c>
    </row>
    <row r="3968" spans="1:8" x14ac:dyDescent="0.25">
      <c r="A3968" s="14" t="s">
        <v>3990</v>
      </c>
      <c r="B3968" s="3"/>
      <c r="C3968" s="3"/>
      <c r="D3968" s="3"/>
      <c r="E3968" s="5" t="str">
        <f>HYPERLINK("https://dpmzos25m8ivg.cloudfront.net/Documentos/631/08081614150/6310808161415014092023154710.pdf","https://dpmzos25m8ivg.cloudfront.net/Documentos/631/08081614150/6310808161415014092023154710.pdf")</f>
        <v>https://dpmzos25m8ivg.cloudfront.net/Documentos/631/08081614150/6310808161415014092023154710.pdf</v>
      </c>
      <c r="F3968" s="5" t="str">
        <f>HYPERLINK("https://dpmzos25m8ivg.cloudfront.net/Documentos/631/08081614150/6310808161415014092023154719.pdf","https://dpmzos25m8ivg.cloudfront.net/Documentos/631/08081614150/6310808161415014092023154719.pdf")</f>
        <v>https://dpmzos25m8ivg.cloudfront.net/Documentos/631/08081614150/6310808161415014092023154719.pdf</v>
      </c>
      <c r="G3968" s="5" t="str">
        <f>HYPERLINK("https://dpmzos25m8ivg.cloudfront.net/Documentos/631/08081614150/6310808161415014092023154727.pdf","https://dpmzos25m8ivg.cloudfront.net/Documentos/631/08081614150/6310808161415014092023154727.pdf")</f>
        <v>https://dpmzos25m8ivg.cloudfront.net/Documentos/631/08081614150/6310808161415014092023154727.pdf</v>
      </c>
      <c r="H3968" s="5" t="s">
        <v>12544</v>
      </c>
    </row>
    <row r="3969" spans="1:8" x14ac:dyDescent="0.25">
      <c r="A3969" s="14" t="s">
        <v>3991</v>
      </c>
      <c r="B3969" s="3"/>
      <c r="C3969" s="3"/>
      <c r="D3969" s="3"/>
      <c r="E3969" s="5" t="str">
        <f>HYPERLINK("https://dpmzos25m8ivg.cloudfront.net/Documentos/631/08082186461/6310808218646110092023213145.pdf","https://dpmzos25m8ivg.cloudfront.net/Documentos/631/08082186461/6310808218646110092023213145.pdf")</f>
        <v>https://dpmzos25m8ivg.cloudfront.net/Documentos/631/08082186461/6310808218646110092023213145.pdf</v>
      </c>
      <c r="F3969" s="5" t="str">
        <f>HYPERLINK("https://dpmzos25m8ivg.cloudfront.net/Documentos/631/08082186461/6310808218646110092023213159.pdf","https://dpmzos25m8ivg.cloudfront.net/Documentos/631/08082186461/6310808218646110092023213159.pdf")</f>
        <v>https://dpmzos25m8ivg.cloudfront.net/Documentos/631/08082186461/6310808218646110092023213159.pdf</v>
      </c>
      <c r="G3969" s="5" t="str">
        <f>HYPERLINK("https://dpmzos25m8ivg.cloudfront.net/Documentos/631/08082186461/6310808218646110092023213215.pdf","https://dpmzos25m8ivg.cloudfront.net/Documentos/631/08082186461/6310808218646110092023213215.pdf")</f>
        <v>https://dpmzos25m8ivg.cloudfront.net/Documentos/631/08082186461/6310808218646110092023213215.pdf</v>
      </c>
      <c r="H3969" s="5" t="s">
        <v>12545</v>
      </c>
    </row>
    <row r="3970" spans="1:8" x14ac:dyDescent="0.25">
      <c r="A3970" s="14" t="s">
        <v>3992</v>
      </c>
      <c r="B3970" s="3"/>
      <c r="C3970" s="3"/>
      <c r="D3970" s="3"/>
      <c r="E3970" s="5" t="str">
        <f>HYPERLINK("https://dpmzos25m8ivg.cloudfront.net/Documentos/631/08085251310/6310808525131005092023134416.pdf","https://dpmzos25m8ivg.cloudfront.net/Documentos/631/08085251310/6310808525131005092023134416.pdf")</f>
        <v>https://dpmzos25m8ivg.cloudfront.net/Documentos/631/08085251310/6310808525131005092023134416.pdf</v>
      </c>
      <c r="F3970" s="5" t="str">
        <f>HYPERLINK("https://dpmzos25m8ivg.cloudfront.net/Documentos/631/08085251310/6310808525131005092023134455.pdf","https://dpmzos25m8ivg.cloudfront.net/Documentos/631/08085251310/6310808525131005092023134455.pdf")</f>
        <v>https://dpmzos25m8ivg.cloudfront.net/Documentos/631/08085251310/6310808525131005092023134455.pdf</v>
      </c>
      <c r="G3970" s="5" t="str">
        <f>HYPERLINK("https://dpmzos25m8ivg.cloudfront.net/Documentos/631/08085251310/6310808525131005092023134508.pdf","https://dpmzos25m8ivg.cloudfront.net/Documentos/631/08085251310/6310808525131005092023134508.pdf")</f>
        <v>https://dpmzos25m8ivg.cloudfront.net/Documentos/631/08085251310/6310808525131005092023134508.pdf</v>
      </c>
      <c r="H3970" s="5" t="s">
        <v>12546</v>
      </c>
    </row>
    <row r="3971" spans="1:8" x14ac:dyDescent="0.25">
      <c r="A3971" s="14" t="s">
        <v>3993</v>
      </c>
      <c r="B3971" s="3"/>
      <c r="C3971" s="3"/>
      <c r="D3971" s="3"/>
      <c r="E3971" s="5" t="str">
        <f>HYPERLINK("https://dpmzos25m8ivg.cloudfront.net/Documentos/631/08090292518/6310809029251811092023150403.pdf","https://dpmzos25m8ivg.cloudfront.net/Documentos/631/08090292518/6310809029251811092023150403.pdf")</f>
        <v>https://dpmzos25m8ivg.cloudfront.net/Documentos/631/08090292518/6310809029251811092023150403.pdf</v>
      </c>
      <c r="F3971" s="5" t="str">
        <f>HYPERLINK("https://dpmzos25m8ivg.cloudfront.net/Documentos/631/08090292518/6310809029251811092023150411.pdf","https://dpmzos25m8ivg.cloudfront.net/Documentos/631/08090292518/6310809029251811092023150411.pdf")</f>
        <v>https://dpmzos25m8ivg.cloudfront.net/Documentos/631/08090292518/6310809029251811092023150411.pdf</v>
      </c>
      <c r="G3971" s="5" t="str">
        <f>HYPERLINK("https://dpmzos25m8ivg.cloudfront.net/Documentos/631/08090292518/6310809029251811092023150419.pdf","https://dpmzos25m8ivg.cloudfront.net/Documentos/631/08090292518/6310809029251811092023150419.pdf")</f>
        <v>https://dpmzos25m8ivg.cloudfront.net/Documentos/631/08090292518/6310809029251811092023150419.pdf</v>
      </c>
      <c r="H3971" s="5" t="s">
        <v>12547</v>
      </c>
    </row>
    <row r="3972" spans="1:8" x14ac:dyDescent="0.25">
      <c r="A3972" s="14" t="s">
        <v>3994</v>
      </c>
      <c r="B3972" s="3"/>
      <c r="C3972" s="3"/>
      <c r="D3972" s="3"/>
      <c r="E3972" s="5" t="str">
        <f>HYPERLINK("https://dpmzos25m8ivg.cloudfront.net/Documentos/631/08091349696/6310809134969606092023131021.jpg","https://dpmzos25m8ivg.cloudfront.net/Documentos/631/08091349696/6310809134969606092023131021.jpg")</f>
        <v>https://dpmzos25m8ivg.cloudfront.net/Documentos/631/08091349696/6310809134969606092023131021.jpg</v>
      </c>
      <c r="F3972" s="5" t="str">
        <f>HYPERLINK("https://dpmzos25m8ivg.cloudfront.net/Documentos/631/08091349696/6310809134969606092023131056.jpg","https://dpmzos25m8ivg.cloudfront.net/Documentos/631/08091349696/6310809134969606092023131056.jpg")</f>
        <v>https://dpmzos25m8ivg.cloudfront.net/Documentos/631/08091349696/6310809134969606092023131056.jpg</v>
      </c>
      <c r="G3972" s="5" t="str">
        <f>HYPERLINK("https://dpmzos25m8ivg.cloudfront.net/Documentos/631/08091349696/6310809134969606092023131115.jpg","https://dpmzos25m8ivg.cloudfront.net/Documentos/631/08091349696/6310809134969606092023131115.jpg")</f>
        <v>https://dpmzos25m8ivg.cloudfront.net/Documentos/631/08091349696/6310809134969606092023131115.jpg</v>
      </c>
      <c r="H3972" s="5" t="s">
        <v>12548</v>
      </c>
    </row>
    <row r="3973" spans="1:8" x14ac:dyDescent="0.25">
      <c r="A3973" s="14" t="s">
        <v>3995</v>
      </c>
      <c r="B3973" s="3" t="s">
        <v>197</v>
      </c>
      <c r="C3973" s="3"/>
      <c r="D3973" s="3"/>
      <c r="E3973" s="5" t="str">
        <f>HYPERLINK("https://dpmzos25m8ivg.cloudfront.net/Documentos/631/08091836767/6310809183676714092023133809.pdf","https://dpmzos25m8ivg.cloudfront.net/Documentos/631/08091836767/6310809183676714092023133809.pdf")</f>
        <v>https://dpmzos25m8ivg.cloudfront.net/Documentos/631/08091836767/6310809183676714092023133809.pdf</v>
      </c>
      <c r="F3973" s="5" t="str">
        <f>HYPERLINK("https://dpmzos25m8ivg.cloudfront.net/Documentos/631/08091836767/6310809183676714092023133824.pdf","https://dpmzos25m8ivg.cloudfront.net/Documentos/631/08091836767/6310809183676714092023133824.pdf")</f>
        <v>https://dpmzos25m8ivg.cloudfront.net/Documentos/631/08091836767/6310809183676714092023133824.pdf</v>
      </c>
      <c r="G3973" s="5" t="str">
        <f>HYPERLINK("https://dpmzos25m8ivg.cloudfront.net/Documentos/631/08091836767/6310809183676714092023154203.pdf","https://dpmzos25m8ivg.cloudfront.net/Documentos/631/08091836767/6310809183676714092023154203.pdf")</f>
        <v>https://dpmzos25m8ivg.cloudfront.net/Documentos/631/08091836767/6310809183676714092023154203.pdf</v>
      </c>
      <c r="H3973" s="5" t="s">
        <v>12549</v>
      </c>
    </row>
    <row r="3974" spans="1:8" x14ac:dyDescent="0.25">
      <c r="A3974" s="14" t="s">
        <v>3996</v>
      </c>
      <c r="B3974" s="3"/>
      <c r="C3974" s="3"/>
      <c r="D3974" s="3"/>
      <c r="E3974" s="5" t="str">
        <f>HYPERLINK("https://dpmzos25m8ivg.cloudfront.net/Documentos/631/08097427486/6310809742748611092023164925.pdf","https://dpmzos25m8ivg.cloudfront.net/Documentos/631/08097427486/6310809742748611092023164925.pdf")</f>
        <v>https://dpmzos25m8ivg.cloudfront.net/Documentos/631/08097427486/6310809742748611092023164925.pdf</v>
      </c>
      <c r="F3974" s="5" t="str">
        <f>HYPERLINK("https://dpmzos25m8ivg.cloudfront.net/Documentos/631/08097427486/6310809742748611092023165019.pdf","https://dpmzos25m8ivg.cloudfront.net/Documentos/631/08097427486/6310809742748611092023165019.pdf")</f>
        <v>https://dpmzos25m8ivg.cloudfront.net/Documentos/631/08097427486/6310809742748611092023165019.pdf</v>
      </c>
      <c r="G3974" s="5" t="str">
        <f>HYPERLINK("https://dpmzos25m8ivg.cloudfront.net/Documentos/631/08097427486/6310809742748611092023165036.pdf","https://dpmzos25m8ivg.cloudfront.net/Documentos/631/08097427486/6310809742748611092023165036.pdf")</f>
        <v>https://dpmzos25m8ivg.cloudfront.net/Documentos/631/08097427486/6310809742748611092023165036.pdf</v>
      </c>
      <c r="H3974" s="5" t="s">
        <v>12550</v>
      </c>
    </row>
    <row r="3975" spans="1:8" x14ac:dyDescent="0.25">
      <c r="A3975" s="14" t="s">
        <v>3997</v>
      </c>
      <c r="B3975" s="3" t="s">
        <v>8</v>
      </c>
      <c r="C3975" s="3"/>
      <c r="D3975" s="3"/>
      <c r="E3975" s="5" t="str">
        <f>HYPERLINK("https://dpmzos25m8ivg.cloudfront.net/Documentos/631/08098470512/6310809847051214092023145129.pdf","https://dpmzos25m8ivg.cloudfront.net/Documentos/631/08098470512/6310809847051214092023145129.pdf")</f>
        <v>https://dpmzos25m8ivg.cloudfront.net/Documentos/631/08098470512/6310809847051214092023145129.pdf</v>
      </c>
      <c r="F3975" s="5" t="str">
        <f>HYPERLINK("https://dpmzos25m8ivg.cloudfront.net/Documentos/631/08098470512/6310809847051214092023145139.pdf","https://dpmzos25m8ivg.cloudfront.net/Documentos/631/08098470512/6310809847051214092023145139.pdf")</f>
        <v>https://dpmzos25m8ivg.cloudfront.net/Documentos/631/08098470512/6310809847051214092023145139.pdf</v>
      </c>
      <c r="G3975" s="5" t="str">
        <f>HYPERLINK("https://dpmzos25m8ivg.cloudfront.net/Documentos/631/08098470512/6310809847051214092023145147.pdf","https://dpmzos25m8ivg.cloudfront.net/Documentos/631/08098470512/6310809847051214092023145147.pdf")</f>
        <v>https://dpmzos25m8ivg.cloudfront.net/Documentos/631/08098470512/6310809847051214092023145147.pdf</v>
      </c>
      <c r="H3975" s="5" t="s">
        <v>12551</v>
      </c>
    </row>
    <row r="3976" spans="1:8" x14ac:dyDescent="0.25">
      <c r="A3976" s="14" t="s">
        <v>3998</v>
      </c>
      <c r="B3976" s="3"/>
      <c r="C3976" s="3"/>
      <c r="D3976" s="3"/>
      <c r="E3976" s="5" t="str">
        <f>HYPERLINK("https://dpmzos25m8ivg.cloudfront.net/Documentos/631/08100347948/6310810034794810092023220100.jpeg","https://dpmzos25m8ivg.cloudfront.net/Documentos/631/08100347948/6310810034794810092023220100.jpeg")</f>
        <v>https://dpmzos25m8ivg.cloudfront.net/Documentos/631/08100347948/6310810034794810092023220100.jpeg</v>
      </c>
      <c r="F3976" s="5" t="str">
        <f>HYPERLINK("https://dpmzos25m8ivg.cloudfront.net/Documentos/631/08100347948/6310810034794810092023220129.jpeg","https://dpmzos25m8ivg.cloudfront.net/Documentos/631/08100347948/6310810034794810092023220129.jpeg")</f>
        <v>https://dpmzos25m8ivg.cloudfront.net/Documentos/631/08100347948/6310810034794810092023220129.jpeg</v>
      </c>
      <c r="G3976" s="5" t="str">
        <f>HYPERLINK("https://dpmzos25m8ivg.cloudfront.net/Documentos/631/08100347948/6310810034794810092023220200.jpeg","https://dpmzos25m8ivg.cloudfront.net/Documentos/631/08100347948/6310810034794810092023220200.jpeg")</f>
        <v>https://dpmzos25m8ivg.cloudfront.net/Documentos/631/08100347948/6310810034794810092023220200.jpeg</v>
      </c>
      <c r="H3976" s="5" t="s">
        <v>12552</v>
      </c>
    </row>
    <row r="3977" spans="1:8" x14ac:dyDescent="0.25">
      <c r="A3977" s="14" t="s">
        <v>3999</v>
      </c>
      <c r="B3977" s="3"/>
      <c r="C3977" s="3"/>
      <c r="D3977" s="3"/>
      <c r="E3977" s="5" t="str">
        <f>HYPERLINK("https://dpmzos25m8ivg.cloudfront.net/Documentos/631/08109436978/6310810943697813092023161022.pdf","https://dpmzos25m8ivg.cloudfront.net/Documentos/631/08109436978/6310810943697813092023161022.pdf")</f>
        <v>https://dpmzos25m8ivg.cloudfront.net/Documentos/631/08109436978/6310810943697813092023161022.pdf</v>
      </c>
      <c r="F3977" s="5" t="str">
        <f>HYPERLINK("https://dpmzos25m8ivg.cloudfront.net/Documentos/631/08109436978/6310810943697813092023161059.pdf","https://dpmzos25m8ivg.cloudfront.net/Documentos/631/08109436978/6310810943697813092023161059.pdf")</f>
        <v>https://dpmzos25m8ivg.cloudfront.net/Documentos/631/08109436978/6310810943697813092023161059.pdf</v>
      </c>
      <c r="G3977" s="5" t="str">
        <f>HYPERLINK("https://dpmzos25m8ivg.cloudfront.net/Documentos/631/08109436978/6310810943697813092023161122.pdf","https://dpmzos25m8ivg.cloudfront.net/Documentos/631/08109436978/6310810943697813092023161122.pdf")</f>
        <v>https://dpmzos25m8ivg.cloudfront.net/Documentos/631/08109436978/6310810943697813092023161122.pdf</v>
      </c>
      <c r="H3977" s="5" t="s">
        <v>12553</v>
      </c>
    </row>
    <row r="3978" spans="1:8" x14ac:dyDescent="0.25">
      <c r="A3978" s="2" t="s">
        <v>4000</v>
      </c>
      <c r="B3978" s="19" t="s">
        <v>3785</v>
      </c>
      <c r="C3978" s="3"/>
      <c r="D3978" s="3"/>
      <c r="E3978" s="5" t="str">
        <f>HYPERLINK("https://dpmzos25m8ivg.cloudfront.net/Documentos/631/08112422931/6310811242293111092023101026.pdf","https://dpmzos25m8ivg.cloudfront.net/Documentos/631/08112422931/6310811242293111092023101026.pdf")</f>
        <v>https://dpmzos25m8ivg.cloudfront.net/Documentos/631/08112422931/6310811242293111092023101026.pdf</v>
      </c>
      <c r="F3978" s="5" t="str">
        <f>HYPERLINK("https://dpmzos25m8ivg.cloudfront.net/Documentos/631/08112422931/6310811242293111092023101033.pdf","https://dpmzos25m8ivg.cloudfront.net/Documentos/631/08112422931/6310811242293111092023101033.pdf")</f>
        <v>https://dpmzos25m8ivg.cloudfront.net/Documentos/631/08112422931/6310811242293111092023101033.pdf</v>
      </c>
      <c r="G3978" s="5" t="str">
        <f>HYPERLINK("https://dpmzos25m8ivg.cloudfront.net/Documentos/631/08112422931/6310811242293111092023101041.pdf","https://dpmzos25m8ivg.cloudfront.net/Documentos/631/08112422931/6310811242293111092023101041.pdf")</f>
        <v>https://dpmzos25m8ivg.cloudfront.net/Documentos/631/08112422931/6310811242293111092023101041.pdf</v>
      </c>
      <c r="H3978" s="5" t="s">
        <v>12554</v>
      </c>
    </row>
    <row r="3979" spans="1:8" x14ac:dyDescent="0.25">
      <c r="A3979" s="2" t="s">
        <v>4001</v>
      </c>
      <c r="B3979" s="19" t="s">
        <v>3785</v>
      </c>
      <c r="C3979" s="3"/>
      <c r="D3979" s="3"/>
      <c r="E3979" s="5" t="str">
        <f>HYPERLINK("https://dpmzos25m8ivg.cloudfront.net/Documentos/631/08117583542/6310811758354207092023192912.pdf","https://dpmzos25m8ivg.cloudfront.net/Documentos/631/08117583542/6310811758354207092023192912.pdf")</f>
        <v>https://dpmzos25m8ivg.cloudfront.net/Documentos/631/08117583542/6310811758354207092023192912.pdf</v>
      </c>
      <c r="F3979" s="5" t="str">
        <f>HYPERLINK("https://dpmzos25m8ivg.cloudfront.net/Documentos/631/08117583542/6310811758354207092023193020.pdf","https://dpmzos25m8ivg.cloudfront.net/Documentos/631/08117583542/6310811758354207092023193020.pdf")</f>
        <v>https://dpmzos25m8ivg.cloudfront.net/Documentos/631/08117583542/6310811758354207092023193020.pdf</v>
      </c>
      <c r="G3979" s="5" t="str">
        <f>HYPERLINK("https://dpmzos25m8ivg.cloudfront.net/Documentos/631/08117583542/6310811758354207092023193055.pdf","https://dpmzos25m8ivg.cloudfront.net/Documentos/631/08117583542/6310811758354207092023193055.pdf")</f>
        <v>https://dpmzos25m8ivg.cloudfront.net/Documentos/631/08117583542/6310811758354207092023193055.pdf</v>
      </c>
      <c r="H3979" s="5" t="s">
        <v>12555</v>
      </c>
    </row>
    <row r="3980" spans="1:8" x14ac:dyDescent="0.25">
      <c r="A3980" s="14" t="s">
        <v>4002</v>
      </c>
      <c r="B3980" s="3"/>
      <c r="C3980" s="3"/>
      <c r="D3980" s="3"/>
      <c r="E3980" s="5" t="str">
        <f>HYPERLINK("https://dpmzos25m8ivg.cloudfront.net/Documentos/631/08123319312/6310812331931211092023125157.pdf","https://dpmzos25m8ivg.cloudfront.net/Documentos/631/08123319312/6310812331931211092023125157.pdf")</f>
        <v>https://dpmzos25m8ivg.cloudfront.net/Documentos/631/08123319312/6310812331931211092023125157.pdf</v>
      </c>
      <c r="F3980" s="5" t="str">
        <f>HYPERLINK("https://dpmzos25m8ivg.cloudfront.net/Documentos/631/08123319312/6310812331931211092023125302.pdf","https://dpmzos25m8ivg.cloudfront.net/Documentos/631/08123319312/6310812331931211092023125302.pdf")</f>
        <v>https://dpmzos25m8ivg.cloudfront.net/Documentos/631/08123319312/6310812331931211092023125302.pdf</v>
      </c>
      <c r="G3980" s="5" t="str">
        <f>HYPERLINK("https://dpmzos25m8ivg.cloudfront.net/Documentos/631/08123319312/6310812331931211092023125343.pdf","https://dpmzos25m8ivg.cloudfront.net/Documentos/631/08123319312/6310812331931211092023125343.pdf")</f>
        <v>https://dpmzos25m8ivg.cloudfront.net/Documentos/631/08123319312/6310812331931211092023125343.pdf</v>
      </c>
      <c r="H3980" s="5" t="s">
        <v>12556</v>
      </c>
    </row>
    <row r="3981" spans="1:8" x14ac:dyDescent="0.25">
      <c r="A3981" s="14" t="s">
        <v>4003</v>
      </c>
      <c r="B3981" s="3"/>
      <c r="C3981" s="3"/>
      <c r="D3981" s="3"/>
      <c r="E3981" s="5" t="str">
        <f>HYPERLINK("https://dpmzos25m8ivg.cloudfront.net/Documentos/631/08126008512/6310812600851208092023183335.pdf","https://dpmzos25m8ivg.cloudfront.net/Documentos/631/08126008512/6310812600851208092023183335.pdf")</f>
        <v>https://dpmzos25m8ivg.cloudfront.net/Documentos/631/08126008512/6310812600851208092023183335.pdf</v>
      </c>
      <c r="F3981" s="5" t="str">
        <f>HYPERLINK("https://dpmzos25m8ivg.cloudfront.net/Documentos/631/08126008512/6310812600851208092023183345.pdf","https://dpmzos25m8ivg.cloudfront.net/Documentos/631/08126008512/6310812600851208092023183345.pdf")</f>
        <v>https://dpmzos25m8ivg.cloudfront.net/Documentos/631/08126008512/6310812600851208092023183345.pdf</v>
      </c>
      <c r="G3981" s="5" t="str">
        <f>HYPERLINK("https://dpmzos25m8ivg.cloudfront.net/Documentos/631/08126008512/6310812600851208092023183354.pdf","https://dpmzos25m8ivg.cloudfront.net/Documentos/631/08126008512/6310812600851208092023183354.pdf")</f>
        <v>https://dpmzos25m8ivg.cloudfront.net/Documentos/631/08126008512/6310812600851208092023183354.pdf</v>
      </c>
      <c r="H3981" s="5" t="s">
        <v>12557</v>
      </c>
    </row>
    <row r="3982" spans="1:8" x14ac:dyDescent="0.25">
      <c r="A3982" s="14" t="s">
        <v>4004</v>
      </c>
      <c r="B3982" s="3" t="s">
        <v>8</v>
      </c>
      <c r="C3982" s="3"/>
      <c r="D3982" s="3"/>
      <c r="E3982" s="5" t="str">
        <f>HYPERLINK("https://dpmzos25m8ivg.cloudfront.net/Documentos/631/08128156616/6310812815661608092023175452.pdf","https://dpmzos25m8ivg.cloudfront.net/Documentos/631/08128156616/6310812815661608092023175452.pdf")</f>
        <v>https://dpmzos25m8ivg.cloudfront.net/Documentos/631/08128156616/6310812815661608092023175452.pdf</v>
      </c>
      <c r="F3982" s="5" t="str">
        <f>HYPERLINK("https://dpmzos25m8ivg.cloudfront.net/Documentos/631/08128156616/6310812815661608092023175459.pdf","https://dpmzos25m8ivg.cloudfront.net/Documentos/631/08128156616/6310812815661608092023175459.pdf")</f>
        <v>https://dpmzos25m8ivg.cloudfront.net/Documentos/631/08128156616/6310812815661608092023175459.pdf</v>
      </c>
      <c r="G3982" s="5" t="str">
        <f>HYPERLINK("https://dpmzos25m8ivg.cloudfront.net/Documentos/631/08128156616/6310812815661608092023175505.pdf","https://dpmzos25m8ivg.cloudfront.net/Documentos/631/08128156616/6310812815661608092023175505.pdf")</f>
        <v>https://dpmzos25m8ivg.cloudfront.net/Documentos/631/08128156616/6310812815661608092023175505.pdf</v>
      </c>
      <c r="H3982" s="5" t="s">
        <v>12558</v>
      </c>
    </row>
    <row r="3983" spans="1:8" x14ac:dyDescent="0.25">
      <c r="A3983" s="2" t="s">
        <v>4005</v>
      </c>
      <c r="B3983" s="19" t="s">
        <v>3785</v>
      </c>
      <c r="C3983" s="3"/>
      <c r="D3983" s="3"/>
      <c r="E3983" s="5" t="str">
        <f>HYPERLINK("https://dpmzos25m8ivg.cloudfront.net/Documentos/631/08131200710/6310813120071014092023163949.jpg","https://dpmzos25m8ivg.cloudfront.net/Documentos/631/08131200710/6310813120071014092023163949.jpg")</f>
        <v>https://dpmzos25m8ivg.cloudfront.net/Documentos/631/08131200710/6310813120071014092023163949.jpg</v>
      </c>
      <c r="F3983" s="5" t="str">
        <f>HYPERLINK("https://dpmzos25m8ivg.cloudfront.net/Documentos/631/08131200710/6310813120071014092023164002.jpg","https://dpmzos25m8ivg.cloudfront.net/Documentos/631/08131200710/6310813120071014092023164002.jpg")</f>
        <v>https://dpmzos25m8ivg.cloudfront.net/Documentos/631/08131200710/6310813120071014092023164002.jpg</v>
      </c>
      <c r="G3983" s="5" t="str">
        <f>HYPERLINK("https://dpmzos25m8ivg.cloudfront.net/Documentos/631/08131200710/6310813120071014092023164012.jpg","https://dpmzos25m8ivg.cloudfront.net/Documentos/631/08131200710/6310813120071014092023164012.jpg")</f>
        <v>https://dpmzos25m8ivg.cloudfront.net/Documentos/631/08131200710/6310813120071014092023164012.jpg</v>
      </c>
      <c r="H3983" s="5" t="s">
        <v>12559</v>
      </c>
    </row>
    <row r="3984" spans="1:8" x14ac:dyDescent="0.25">
      <c r="A3984" s="14" t="s">
        <v>4006</v>
      </c>
      <c r="B3984" s="3"/>
      <c r="C3984" s="3"/>
      <c r="D3984" s="3"/>
      <c r="E3984" s="5" t="str">
        <f>HYPERLINK("https://dpmzos25m8ivg.cloudfront.net/Documentos/631/08131672565/6310813167256505092023223555.pdf","https://dpmzos25m8ivg.cloudfront.net/Documentos/631/08131672565/6310813167256505092023223555.pdf")</f>
        <v>https://dpmzos25m8ivg.cloudfront.net/Documentos/631/08131672565/6310813167256505092023223555.pdf</v>
      </c>
      <c r="F3984" s="5" t="str">
        <f>HYPERLINK("https://dpmzos25m8ivg.cloudfront.net/Documentos/631/08131672565/6310813167256505092023223624.pdf","https://dpmzos25m8ivg.cloudfront.net/Documentos/631/08131672565/6310813167256505092023223624.pdf")</f>
        <v>https://dpmzos25m8ivg.cloudfront.net/Documentos/631/08131672565/6310813167256505092023223624.pdf</v>
      </c>
      <c r="G3984" s="5" t="str">
        <f>HYPERLINK("https://dpmzos25m8ivg.cloudfront.net/Documentos/631/08131672565/6310813167256505092023223712.pdf","https://dpmzos25m8ivg.cloudfront.net/Documentos/631/08131672565/6310813167256505092023223712.pdf")</f>
        <v>https://dpmzos25m8ivg.cloudfront.net/Documentos/631/08131672565/6310813167256505092023223712.pdf</v>
      </c>
      <c r="H3984" s="5" t="s">
        <v>12560</v>
      </c>
    </row>
    <row r="3985" spans="1:8" x14ac:dyDescent="0.25">
      <c r="A3985" s="14" t="s">
        <v>4007</v>
      </c>
      <c r="B3985" s="3"/>
      <c r="C3985" s="3"/>
      <c r="D3985" s="3"/>
      <c r="E3985" s="5" t="str">
        <f>HYPERLINK("https://dpmzos25m8ivg.cloudfront.net/Documentos/631/08132797981/6310813279798110092023215639.pdf","https://dpmzos25m8ivg.cloudfront.net/Documentos/631/08132797981/6310813279798110092023215639.pdf")</f>
        <v>https://dpmzos25m8ivg.cloudfront.net/Documentos/631/08132797981/6310813279798110092023215639.pdf</v>
      </c>
      <c r="F3985" s="5" t="str">
        <f>HYPERLINK("https://dpmzos25m8ivg.cloudfront.net/Documentos/631/08132797981/6310813279798110092023221121.pdf","https://dpmzos25m8ivg.cloudfront.net/Documentos/631/08132797981/6310813279798110092023221121.pdf")</f>
        <v>https://dpmzos25m8ivg.cloudfront.net/Documentos/631/08132797981/6310813279798110092023221121.pdf</v>
      </c>
      <c r="G3985" s="5" t="str">
        <f>HYPERLINK("https://dpmzos25m8ivg.cloudfront.net/Documentos/631/08132797981/6310813279798110092023221150.pdf","https://dpmzos25m8ivg.cloudfront.net/Documentos/631/08132797981/6310813279798110092023221150.pdf")</f>
        <v>https://dpmzos25m8ivg.cloudfront.net/Documentos/631/08132797981/6310813279798110092023221150.pdf</v>
      </c>
      <c r="H3985" s="5" t="s">
        <v>12561</v>
      </c>
    </row>
    <row r="3986" spans="1:8" x14ac:dyDescent="0.25">
      <c r="A3986" s="14" t="s">
        <v>4008</v>
      </c>
      <c r="B3986" s="3"/>
      <c r="C3986" s="3"/>
      <c r="D3986" s="3"/>
      <c r="E3986" s="5" t="str">
        <f>HYPERLINK("https://dpmzos25m8ivg.cloudfront.net/Documentos/631/08140643378/6310814064337808092023163942.pdf","https://dpmzos25m8ivg.cloudfront.net/Documentos/631/08140643378/6310814064337808092023163942.pdf")</f>
        <v>https://dpmzos25m8ivg.cloudfront.net/Documentos/631/08140643378/6310814064337808092023163942.pdf</v>
      </c>
      <c r="F3986" s="5" t="str">
        <f>HYPERLINK("https://dpmzos25m8ivg.cloudfront.net/Documentos/631/08140643378/6310814064337808092023164001.pdf","https://dpmzos25m8ivg.cloudfront.net/Documentos/631/08140643378/6310814064337808092023164001.pdf")</f>
        <v>https://dpmzos25m8ivg.cloudfront.net/Documentos/631/08140643378/6310814064337808092023164001.pdf</v>
      </c>
      <c r="G3986" s="5" t="str">
        <f>HYPERLINK("https://dpmzos25m8ivg.cloudfront.net/Documentos/631/08140643378/6310814064337808092023164018.pdf","https://dpmzos25m8ivg.cloudfront.net/Documentos/631/08140643378/6310814064337808092023164018.pdf")</f>
        <v>https://dpmzos25m8ivg.cloudfront.net/Documentos/631/08140643378/6310814064337808092023164018.pdf</v>
      </c>
      <c r="H3986" s="5" t="s">
        <v>12562</v>
      </c>
    </row>
    <row r="3987" spans="1:8" x14ac:dyDescent="0.25">
      <c r="A3987" s="14" t="s">
        <v>4009</v>
      </c>
      <c r="B3987" s="3"/>
      <c r="C3987" s="3"/>
      <c r="D3987" s="3"/>
      <c r="E3987" s="5" t="str">
        <f>HYPERLINK("https://dpmzos25m8ivg.cloudfront.net/Documentos/631/08142879565/6310814287956510092023104415.pdf","https://dpmzos25m8ivg.cloudfront.net/Documentos/631/08142879565/6310814287956510092023104415.pdf")</f>
        <v>https://dpmzos25m8ivg.cloudfront.net/Documentos/631/08142879565/6310814287956510092023104415.pdf</v>
      </c>
      <c r="F3987" s="5" t="str">
        <f>HYPERLINK("https://dpmzos25m8ivg.cloudfront.net/Documentos/631/08142879565/6310814287956510092023104408.pdf","https://dpmzos25m8ivg.cloudfront.net/Documentos/631/08142879565/6310814287956510092023104408.pdf")</f>
        <v>https://dpmzos25m8ivg.cloudfront.net/Documentos/631/08142879565/6310814287956510092023104408.pdf</v>
      </c>
      <c r="G3987" s="5" t="str">
        <f>HYPERLINK("https://dpmzos25m8ivg.cloudfront.net/Documentos/631/08142879565/6310814287956510092023104400.pdf","https://dpmzos25m8ivg.cloudfront.net/Documentos/631/08142879565/6310814287956510092023104400.pdf")</f>
        <v>https://dpmzos25m8ivg.cloudfront.net/Documentos/631/08142879565/6310814287956510092023104400.pdf</v>
      </c>
      <c r="H3987" s="5" t="s">
        <v>12563</v>
      </c>
    </row>
    <row r="3988" spans="1:8" x14ac:dyDescent="0.25">
      <c r="A3988" s="2" t="s">
        <v>4010</v>
      </c>
      <c r="B3988" s="19" t="s">
        <v>3785</v>
      </c>
      <c r="C3988" s="3"/>
      <c r="D3988" s="3"/>
      <c r="E3988" s="5" t="str">
        <f>HYPERLINK("https://dpmzos25m8ivg.cloudfront.net/Documentos/631/08148404500/6310814840450011092023132514.pdf","https://dpmzos25m8ivg.cloudfront.net/Documentos/631/08148404500/6310814840450011092023132514.pdf")</f>
        <v>https://dpmzos25m8ivg.cloudfront.net/Documentos/631/08148404500/6310814840450011092023132514.pdf</v>
      </c>
      <c r="F3988" s="5" t="str">
        <f>HYPERLINK("https://dpmzos25m8ivg.cloudfront.net/Documentos/631/08148404500/6310814840450011092023132524.pdf","https://dpmzos25m8ivg.cloudfront.net/Documentos/631/08148404500/6310814840450011092023132524.pdf")</f>
        <v>https://dpmzos25m8ivg.cloudfront.net/Documentos/631/08148404500/6310814840450011092023132524.pdf</v>
      </c>
      <c r="G3988" s="5" t="str">
        <f>HYPERLINK("https://dpmzos25m8ivg.cloudfront.net/Documentos/631/08148404500/6310814840450011092023132533.pdf","https://dpmzos25m8ivg.cloudfront.net/Documentos/631/08148404500/6310814840450011092023132533.pdf")</f>
        <v>https://dpmzos25m8ivg.cloudfront.net/Documentos/631/08148404500/6310814840450011092023132533.pdf</v>
      </c>
      <c r="H3988" s="5" t="s">
        <v>12564</v>
      </c>
    </row>
    <row r="3989" spans="1:8" x14ac:dyDescent="0.25">
      <c r="A3989" s="14" t="s">
        <v>4011</v>
      </c>
      <c r="B3989" s="3" t="s">
        <v>8</v>
      </c>
      <c r="C3989" s="3"/>
      <c r="D3989" s="3"/>
      <c r="E3989" s="5" t="str">
        <f>HYPERLINK("https://dpmzos25m8ivg.cloudfront.net/Documentos/631/08151047585/6310815104758514092023115944.pdf","https://dpmzos25m8ivg.cloudfront.net/Documentos/631/08151047585/6310815104758514092023115944.pdf")</f>
        <v>https://dpmzos25m8ivg.cloudfront.net/Documentos/631/08151047585/6310815104758514092023115944.pdf</v>
      </c>
      <c r="F3989" s="5" t="str">
        <f>HYPERLINK("https://dpmzos25m8ivg.cloudfront.net/Documentos/631/08151047585/6310815104758514092023115955.pdf","https://dpmzos25m8ivg.cloudfront.net/Documentos/631/08151047585/6310815104758514092023115955.pdf")</f>
        <v>https://dpmzos25m8ivg.cloudfront.net/Documentos/631/08151047585/6310815104758514092023115955.pdf</v>
      </c>
      <c r="G3989" s="5" t="str">
        <f>HYPERLINK("https://dpmzos25m8ivg.cloudfront.net/Documentos/631/08151047585/6310815104758514092023120002.pdf","https://dpmzos25m8ivg.cloudfront.net/Documentos/631/08151047585/6310815104758514092023120002.pdf")</f>
        <v>https://dpmzos25m8ivg.cloudfront.net/Documentos/631/08151047585/6310815104758514092023120002.pdf</v>
      </c>
      <c r="H3989" s="5" t="s">
        <v>12565</v>
      </c>
    </row>
    <row r="3990" spans="1:8" x14ac:dyDescent="0.25">
      <c r="A3990" s="14" t="s">
        <v>4012</v>
      </c>
      <c r="B3990" s="3"/>
      <c r="C3990" s="3"/>
      <c r="D3990" s="3"/>
      <c r="E3990" s="5" t="str">
        <f>HYPERLINK("https://dpmzos25m8ivg.cloudfront.net/Documentos/631/08151973307/6310815197330713092023150101.pdf","https://dpmzos25m8ivg.cloudfront.net/Documentos/631/08151973307/6310815197330713092023150101.pdf")</f>
        <v>https://dpmzos25m8ivg.cloudfront.net/Documentos/631/08151973307/6310815197330713092023150101.pdf</v>
      </c>
      <c r="F3990" s="5" t="str">
        <f>HYPERLINK("https://dpmzos25m8ivg.cloudfront.net/Documentos/631/08151973307/6310815197330713092023150118.pdf","https://dpmzos25m8ivg.cloudfront.net/Documentos/631/08151973307/6310815197330713092023150118.pdf")</f>
        <v>https://dpmzos25m8ivg.cloudfront.net/Documentos/631/08151973307/6310815197330713092023150118.pdf</v>
      </c>
      <c r="G3990" s="5" t="str">
        <f>HYPERLINK("https://dpmzos25m8ivg.cloudfront.net/Documentos/631/08151973307/6310815197330713092023150128.pdf","https://dpmzos25m8ivg.cloudfront.net/Documentos/631/08151973307/6310815197330713092023150128.pdf")</f>
        <v>https://dpmzos25m8ivg.cloudfront.net/Documentos/631/08151973307/6310815197330713092023150128.pdf</v>
      </c>
      <c r="H3990" s="5" t="s">
        <v>12566</v>
      </c>
    </row>
    <row r="3991" spans="1:8" x14ac:dyDescent="0.25">
      <c r="A3991" s="2" t="s">
        <v>4013</v>
      </c>
      <c r="B3991" s="19" t="s">
        <v>3785</v>
      </c>
      <c r="C3991" s="3"/>
      <c r="D3991" s="3"/>
      <c r="E3991" s="5" t="str">
        <f>HYPERLINK("https://dpmzos25m8ivg.cloudfront.net/Documentos/631/08155541762/6310815554176207092023144152.jpg","https://dpmzos25m8ivg.cloudfront.net/Documentos/631/08155541762/6310815554176207092023144152.jpg")</f>
        <v>https://dpmzos25m8ivg.cloudfront.net/Documentos/631/08155541762/6310815554176207092023144152.jpg</v>
      </c>
      <c r="F3991" s="5" t="str">
        <f>HYPERLINK("https://dpmzos25m8ivg.cloudfront.net/Documentos/631/08155541762/6310815554176207092023144654.jpg","https://dpmzos25m8ivg.cloudfront.net/Documentos/631/08155541762/6310815554176207092023144654.jpg")</f>
        <v>https://dpmzos25m8ivg.cloudfront.net/Documentos/631/08155541762/6310815554176207092023144654.jpg</v>
      </c>
      <c r="G3991" s="5" t="str">
        <f>HYPERLINK("https://dpmzos25m8ivg.cloudfront.net/Documentos/631/08155541762/6310815554176207092023151700.jpg","https://dpmzos25m8ivg.cloudfront.net/Documentos/631/08155541762/6310815554176207092023151700.jpg")</f>
        <v>https://dpmzos25m8ivg.cloudfront.net/Documentos/631/08155541762/6310815554176207092023151700.jpg</v>
      </c>
      <c r="H3991" s="5" t="s">
        <v>12567</v>
      </c>
    </row>
    <row r="3992" spans="1:8" x14ac:dyDescent="0.25">
      <c r="A3992" s="14" t="s">
        <v>4014</v>
      </c>
      <c r="B3992" s="3"/>
      <c r="C3992" s="3"/>
      <c r="D3992" s="3"/>
      <c r="E3992" s="5" t="str">
        <f>HYPERLINK("https://dpmzos25m8ivg.cloudfront.net/Documentos/631/08155665658/6310815566565811092023124124.pdf","https://dpmzos25m8ivg.cloudfront.net/Documentos/631/08155665658/6310815566565811092023124124.pdf")</f>
        <v>https://dpmzos25m8ivg.cloudfront.net/Documentos/631/08155665658/6310815566565811092023124124.pdf</v>
      </c>
      <c r="F3992" s="5" t="str">
        <f>HYPERLINK("https://dpmzos25m8ivg.cloudfront.net/Documentos/631/08155665658/6310815566565811092023124131.pdf","https://dpmzos25m8ivg.cloudfront.net/Documentos/631/08155665658/6310815566565811092023124131.pdf")</f>
        <v>https://dpmzos25m8ivg.cloudfront.net/Documentos/631/08155665658/6310815566565811092023124131.pdf</v>
      </c>
      <c r="G3992" s="5" t="str">
        <f>HYPERLINK("https://dpmzos25m8ivg.cloudfront.net/Documentos/631/08155665658/6310815566565811092023124137.pdf","https://dpmzos25m8ivg.cloudfront.net/Documentos/631/08155665658/6310815566565811092023124137.pdf")</f>
        <v>https://dpmzos25m8ivg.cloudfront.net/Documentos/631/08155665658/6310815566565811092023124137.pdf</v>
      </c>
      <c r="H3992" s="5" t="s">
        <v>12568</v>
      </c>
    </row>
    <row r="3993" spans="1:8" x14ac:dyDescent="0.25">
      <c r="A3993" s="2" t="s">
        <v>4015</v>
      </c>
      <c r="B3993" s="19" t="s">
        <v>3785</v>
      </c>
      <c r="C3993" s="3"/>
      <c r="D3993" s="3"/>
      <c r="E3993" s="5" t="str">
        <f>HYPERLINK("https://dpmzos25m8ivg.cloudfront.net/Documentos/631/08157797713/6310815779771310092023225617.pdf","https://dpmzos25m8ivg.cloudfront.net/Documentos/631/08157797713/6310815779771310092023225617.pdf")</f>
        <v>https://dpmzos25m8ivg.cloudfront.net/Documentos/631/08157797713/6310815779771310092023225617.pdf</v>
      </c>
      <c r="F3993" s="5" t="str">
        <f>HYPERLINK("https://dpmzos25m8ivg.cloudfront.net/Documentos/631/08157797713/6310815779771310092023225638.pdf","https://dpmzos25m8ivg.cloudfront.net/Documentos/631/08157797713/6310815779771310092023225638.pdf")</f>
        <v>https://dpmzos25m8ivg.cloudfront.net/Documentos/631/08157797713/6310815779771310092023225638.pdf</v>
      </c>
      <c r="G3993" s="5" t="str">
        <f>HYPERLINK("https://dpmzos25m8ivg.cloudfront.net/Documentos/631/08157797713/6310815779771310092023225713.pdf","https://dpmzos25m8ivg.cloudfront.net/Documentos/631/08157797713/6310815779771310092023225713.pdf")</f>
        <v>https://dpmzos25m8ivg.cloudfront.net/Documentos/631/08157797713/6310815779771310092023225713.pdf</v>
      </c>
      <c r="H3993" s="5" t="s">
        <v>12569</v>
      </c>
    </row>
    <row r="3994" spans="1:8" x14ac:dyDescent="0.25">
      <c r="A3994" s="14" t="s">
        <v>4016</v>
      </c>
      <c r="B3994" s="3" t="s">
        <v>3385</v>
      </c>
      <c r="C3994" s="3"/>
      <c r="D3994" s="3"/>
      <c r="E3994" s="5" t="str">
        <f>HYPERLINK("https://dpmzos25m8ivg.cloudfront.net/Documentos/631/08158245803/6310815824580306092023122437.pdf","https://dpmzos25m8ivg.cloudfront.net/Documentos/631/08158245803/6310815824580306092023122437.pdf")</f>
        <v>https://dpmzos25m8ivg.cloudfront.net/Documentos/631/08158245803/6310815824580306092023122437.pdf</v>
      </c>
      <c r="F3994" s="5" t="str">
        <f>HYPERLINK("https://dpmzos25m8ivg.cloudfront.net/Documentos/631/08158245803/6310815824580306092023122557.pdf","https://dpmzos25m8ivg.cloudfront.net/Documentos/631/08158245803/6310815824580306092023122557.pdf")</f>
        <v>https://dpmzos25m8ivg.cloudfront.net/Documentos/631/08158245803/6310815824580306092023122557.pdf</v>
      </c>
      <c r="G3994" s="5" t="str">
        <f>HYPERLINK("https://dpmzos25m8ivg.cloudfront.net/Documentos/631/08158245803/6310815824580306092023104204.pdf","https://dpmzos25m8ivg.cloudfront.net/Documentos/631/08158245803/6310815824580306092023104204.pdf")</f>
        <v>https://dpmzos25m8ivg.cloudfront.net/Documentos/631/08158245803/6310815824580306092023104204.pdf</v>
      </c>
      <c r="H3994" s="5" t="s">
        <v>12570</v>
      </c>
    </row>
    <row r="3995" spans="1:8" x14ac:dyDescent="0.25">
      <c r="A3995" s="14" t="s">
        <v>4017</v>
      </c>
      <c r="B3995" s="3"/>
      <c r="C3995" s="3"/>
      <c r="D3995" s="3"/>
      <c r="E3995" s="5" t="str">
        <f>HYPERLINK("https://dpmzos25m8ivg.cloudfront.net/Documentos/631/08163363347/6310816336334711092023132919.jpeg","https://dpmzos25m8ivg.cloudfront.net/Documentos/631/08163363347/6310816336334711092023132919.jpeg")</f>
        <v>https://dpmzos25m8ivg.cloudfront.net/Documentos/631/08163363347/6310816336334711092023132919.jpeg</v>
      </c>
      <c r="F3995" s="5" t="str">
        <f>HYPERLINK("https://dpmzos25m8ivg.cloudfront.net/Documentos/631/08163363347/6310816336334711092023132932.jpeg","https://dpmzos25m8ivg.cloudfront.net/Documentos/631/08163363347/6310816336334711092023132932.jpeg")</f>
        <v>https://dpmzos25m8ivg.cloudfront.net/Documentos/631/08163363347/6310816336334711092023132932.jpeg</v>
      </c>
      <c r="G3995" s="5" t="str">
        <f>HYPERLINK("https://dpmzos25m8ivg.cloudfront.net/Documentos/631/08163363347/6310816336334711092023132945.jpeg","https://dpmzos25m8ivg.cloudfront.net/Documentos/631/08163363347/6310816336334711092023132945.jpeg")</f>
        <v>https://dpmzos25m8ivg.cloudfront.net/Documentos/631/08163363347/6310816336334711092023132945.jpeg</v>
      </c>
      <c r="H3995" s="5" t="s">
        <v>12571</v>
      </c>
    </row>
    <row r="3996" spans="1:8" x14ac:dyDescent="0.25">
      <c r="A3996" s="14" t="s">
        <v>4018</v>
      </c>
      <c r="B3996" s="3"/>
      <c r="C3996" s="3"/>
      <c r="D3996" s="3"/>
      <c r="E3996" s="5" t="str">
        <f>HYPERLINK("https://dpmzos25m8ivg.cloudfront.net/Documentos/631/08166089386/6310816608938610092023163317.pdf","https://dpmzos25m8ivg.cloudfront.net/Documentos/631/08166089386/6310816608938610092023163317.pdf")</f>
        <v>https://dpmzos25m8ivg.cloudfront.net/Documentos/631/08166089386/6310816608938610092023163317.pdf</v>
      </c>
      <c r="F3996" s="5" t="str">
        <f>HYPERLINK("https://dpmzos25m8ivg.cloudfront.net/Documentos/631/08166089386/6310816608938610092023161354.pdf","https://dpmzos25m8ivg.cloudfront.net/Documentos/631/08166089386/6310816608938610092023161354.pdf")</f>
        <v>https://dpmzos25m8ivg.cloudfront.net/Documentos/631/08166089386/6310816608938610092023161354.pdf</v>
      </c>
      <c r="G3996" s="5" t="str">
        <f>HYPERLINK("https://dpmzos25m8ivg.cloudfront.net/Documentos/631/08166089386/6310816608938610092023161427.pdf","https://dpmzos25m8ivg.cloudfront.net/Documentos/631/08166089386/6310816608938610092023161427.pdf")</f>
        <v>https://dpmzos25m8ivg.cloudfront.net/Documentos/631/08166089386/6310816608938610092023161427.pdf</v>
      </c>
      <c r="H3996" s="5" t="s">
        <v>12572</v>
      </c>
    </row>
    <row r="3997" spans="1:8" x14ac:dyDescent="0.25">
      <c r="A3997" s="14" t="s">
        <v>4019</v>
      </c>
      <c r="B3997" s="3"/>
      <c r="C3997" s="3"/>
      <c r="D3997" s="3"/>
      <c r="E3997" s="5" t="str">
        <f>HYPERLINK("https://dpmzos25m8ivg.cloudfront.net/Documentos/631/08166852667/6310816685266706092023092229.pdf","https://dpmzos25m8ivg.cloudfront.net/Documentos/631/08166852667/6310816685266706092023092229.pdf")</f>
        <v>https://dpmzos25m8ivg.cloudfront.net/Documentos/631/08166852667/6310816685266706092023092229.pdf</v>
      </c>
      <c r="F3997" s="5" t="str">
        <f>HYPERLINK("https://dpmzos25m8ivg.cloudfront.net/Documentos/631/08166852667/6310816685266706092023092249.pdf","https://dpmzos25m8ivg.cloudfront.net/Documentos/631/08166852667/6310816685266706092023092249.pdf")</f>
        <v>https://dpmzos25m8ivg.cloudfront.net/Documentos/631/08166852667/6310816685266706092023092249.pdf</v>
      </c>
      <c r="G3997" s="5" t="str">
        <f>HYPERLINK("https://dpmzos25m8ivg.cloudfront.net/Documentos/631/08166852667/6310816685266706092023092311.pdf","https://dpmzos25m8ivg.cloudfront.net/Documentos/631/08166852667/6310816685266706092023092311.pdf")</f>
        <v>https://dpmzos25m8ivg.cloudfront.net/Documentos/631/08166852667/6310816685266706092023092311.pdf</v>
      </c>
      <c r="H3997" s="5" t="s">
        <v>12573</v>
      </c>
    </row>
    <row r="3998" spans="1:8" x14ac:dyDescent="0.25">
      <c r="A3998" s="14" t="s">
        <v>4020</v>
      </c>
      <c r="B3998" s="3"/>
      <c r="C3998" s="3"/>
      <c r="D3998" s="3"/>
      <c r="E3998" s="5" t="str">
        <f>HYPERLINK("https://dpmzos25m8ivg.cloudfront.net/Documentos/631/08168328620/6310816832862005092023092919.jpg","https://dpmzos25m8ivg.cloudfront.net/Documentos/631/08168328620/6310816832862005092023092919.jpg")</f>
        <v>https://dpmzos25m8ivg.cloudfront.net/Documentos/631/08168328620/6310816832862005092023092919.jpg</v>
      </c>
      <c r="F3998" s="5" t="str">
        <f>HYPERLINK("https://dpmzos25m8ivg.cloudfront.net/Documentos/631/08168328620/6310816832862005092023093015.jpg","https://dpmzos25m8ivg.cloudfront.net/Documentos/631/08168328620/6310816832862005092023093015.jpg")</f>
        <v>https://dpmzos25m8ivg.cloudfront.net/Documentos/631/08168328620/6310816832862005092023093015.jpg</v>
      </c>
      <c r="G3998" s="5" t="str">
        <f>HYPERLINK("https://dpmzos25m8ivg.cloudfront.net/Documentos/631/08168328620/6310816832862005092023093059.jpg","https://dpmzos25m8ivg.cloudfront.net/Documentos/631/08168328620/6310816832862005092023093059.jpg")</f>
        <v>https://dpmzos25m8ivg.cloudfront.net/Documentos/631/08168328620/6310816832862005092023093059.jpg</v>
      </c>
      <c r="H3998" s="5" t="s">
        <v>12574</v>
      </c>
    </row>
    <row r="3999" spans="1:8" x14ac:dyDescent="0.25">
      <c r="A3999" s="14" t="s">
        <v>4021</v>
      </c>
      <c r="B3999" s="3"/>
      <c r="C3999" s="3"/>
      <c r="D3999" s="3"/>
      <c r="E3999" s="5" t="str">
        <f>HYPERLINK("https://dpmzos25m8ivg.cloudfront.net/Documentos/631/08177529609/6310817752960905092023145743.pdf","https://dpmzos25m8ivg.cloudfront.net/Documentos/631/08177529609/6310817752960905092023145743.pdf")</f>
        <v>https://dpmzos25m8ivg.cloudfront.net/Documentos/631/08177529609/6310817752960905092023145743.pdf</v>
      </c>
      <c r="F3999" s="5" t="str">
        <f>HYPERLINK("https://dpmzos25m8ivg.cloudfront.net/Documentos/631/08177529609/6310817752960905092023145833.pdf","https://dpmzos25m8ivg.cloudfront.net/Documentos/631/08177529609/6310817752960905092023145833.pdf")</f>
        <v>https://dpmzos25m8ivg.cloudfront.net/Documentos/631/08177529609/6310817752960905092023145833.pdf</v>
      </c>
      <c r="G3999" s="5" t="str">
        <f>HYPERLINK("https://dpmzos25m8ivg.cloudfront.net/Documentos/631/08177529609/6310817752960905092023145852.pdf","https://dpmzos25m8ivg.cloudfront.net/Documentos/631/08177529609/6310817752960905092023145852.pdf")</f>
        <v>https://dpmzos25m8ivg.cloudfront.net/Documentos/631/08177529609/6310817752960905092023145852.pdf</v>
      </c>
      <c r="H3999" s="5" t="s">
        <v>12575</v>
      </c>
    </row>
    <row r="4000" spans="1:8" x14ac:dyDescent="0.25">
      <c r="A4000" s="14" t="s">
        <v>4022</v>
      </c>
      <c r="B4000" s="3"/>
      <c r="C4000" s="3"/>
      <c r="D4000" s="3"/>
      <c r="E4000" s="5" t="str">
        <f>HYPERLINK("https://dpmzos25m8ivg.cloudfront.net/Documentos/631/08184122756/6310818412275611092023061207.jpg","https://dpmzos25m8ivg.cloudfront.net/Documentos/631/08184122756/6310818412275611092023061207.jpg")</f>
        <v>https://dpmzos25m8ivg.cloudfront.net/Documentos/631/08184122756/6310818412275611092023061207.jpg</v>
      </c>
      <c r="F4000" s="5" t="str">
        <f>HYPERLINK("https://dpmzos25m8ivg.cloudfront.net/Documentos/631/08184122756/6310818412275611092023061345.jpg","https://dpmzos25m8ivg.cloudfront.net/Documentos/631/08184122756/6310818412275611092023061345.jpg")</f>
        <v>https://dpmzos25m8ivg.cloudfront.net/Documentos/631/08184122756/6310818412275611092023061345.jpg</v>
      </c>
      <c r="G4000" s="5" t="str">
        <f>HYPERLINK("https://dpmzos25m8ivg.cloudfront.net/Documentos/631/08184122756/6310818412275611092023080608.jpg","https://dpmzos25m8ivg.cloudfront.net/Documentos/631/08184122756/6310818412275611092023080608.jpg")</f>
        <v>https://dpmzos25m8ivg.cloudfront.net/Documentos/631/08184122756/6310818412275611092023080608.jpg</v>
      </c>
      <c r="H4000" s="5" t="s">
        <v>12576</v>
      </c>
    </row>
    <row r="4001" spans="1:8" x14ac:dyDescent="0.25">
      <c r="A4001" s="14" t="s">
        <v>4023</v>
      </c>
      <c r="B4001" s="3" t="s">
        <v>2358</v>
      </c>
      <c r="C4001" s="3"/>
      <c r="D4001" s="3"/>
      <c r="E4001" s="5" t="str">
        <f>HYPERLINK("https://dpmzos25m8ivg.cloudfront.net/Documentos/631/08189686720/6310818968672005092023215915.jpg","https://dpmzos25m8ivg.cloudfront.net/Documentos/631/08189686720/6310818968672005092023215915.jpg")</f>
        <v>https://dpmzos25m8ivg.cloudfront.net/Documentos/631/08189686720/6310818968672005092023215915.jpg</v>
      </c>
      <c r="F4001" s="5" t="str">
        <f>HYPERLINK("https://dpmzos25m8ivg.cloudfront.net/Documentos/631/08189686720/6310818968672005092023215947.jpg","https://dpmzos25m8ivg.cloudfront.net/Documentos/631/08189686720/6310818968672005092023215947.jpg")</f>
        <v>https://dpmzos25m8ivg.cloudfront.net/Documentos/631/08189686720/6310818968672005092023215947.jpg</v>
      </c>
      <c r="G4001" s="5" t="str">
        <f>HYPERLINK("https://dpmzos25m8ivg.cloudfront.net/Documentos/631/08189686720/6310818968672005092023220008.jpg","https://dpmzos25m8ivg.cloudfront.net/Documentos/631/08189686720/6310818968672005092023220008.jpg")</f>
        <v>https://dpmzos25m8ivg.cloudfront.net/Documentos/631/08189686720/6310818968672005092023220008.jpg</v>
      </c>
      <c r="H4001" s="5" t="s">
        <v>12577</v>
      </c>
    </row>
    <row r="4002" spans="1:8" x14ac:dyDescent="0.25">
      <c r="A4002" s="14" t="s">
        <v>4024</v>
      </c>
      <c r="B4002" s="3"/>
      <c r="C4002" s="3"/>
      <c r="D4002" s="3"/>
      <c r="E4002" s="5" t="str">
        <f>HYPERLINK("https://dpmzos25m8ivg.cloudfront.net/Documentos/631/08190168371/6310819016837106092023121510.pdf","https://dpmzos25m8ivg.cloudfront.net/Documentos/631/08190168371/6310819016837106092023121510.pdf")</f>
        <v>https://dpmzos25m8ivg.cloudfront.net/Documentos/631/08190168371/6310819016837106092023121510.pdf</v>
      </c>
      <c r="F4002" s="5" t="str">
        <f>HYPERLINK("https://dpmzos25m8ivg.cloudfront.net/Documentos/631/08190168371/6310819016837106092023121519.pdf","https://dpmzos25m8ivg.cloudfront.net/Documentos/631/08190168371/6310819016837106092023121519.pdf")</f>
        <v>https://dpmzos25m8ivg.cloudfront.net/Documentos/631/08190168371/6310819016837106092023121519.pdf</v>
      </c>
      <c r="G4002" s="5" t="str">
        <f>HYPERLINK("https://dpmzos25m8ivg.cloudfront.net/Documentos/631/08190168371/6310819016837106092023121529.pdf","https://dpmzos25m8ivg.cloudfront.net/Documentos/631/08190168371/6310819016837106092023121529.pdf")</f>
        <v>https://dpmzos25m8ivg.cloudfront.net/Documentos/631/08190168371/6310819016837106092023121529.pdf</v>
      </c>
      <c r="H4002" s="5" t="s">
        <v>12578</v>
      </c>
    </row>
    <row r="4003" spans="1:8" x14ac:dyDescent="0.25">
      <c r="A4003" s="14" t="s">
        <v>4025</v>
      </c>
      <c r="B4003" s="3"/>
      <c r="C4003" s="3"/>
      <c r="D4003" s="3"/>
      <c r="E4003" s="5" t="str">
        <f>HYPERLINK("https://dpmzos25m8ivg.cloudfront.net/Documentos/631/08193670604/6310819367060406092023115239.pdf","https://dpmzos25m8ivg.cloudfront.net/Documentos/631/08193670604/6310819367060406092023115239.pdf")</f>
        <v>https://dpmzos25m8ivg.cloudfront.net/Documentos/631/08193670604/6310819367060406092023115239.pdf</v>
      </c>
      <c r="F4003" s="5" t="str">
        <f>HYPERLINK("https://dpmzos25m8ivg.cloudfront.net/Documentos/631/08193670604/6310819367060406092023115250.pdf","https://dpmzos25m8ivg.cloudfront.net/Documentos/631/08193670604/6310819367060406092023115250.pdf")</f>
        <v>https://dpmzos25m8ivg.cloudfront.net/Documentos/631/08193670604/6310819367060406092023115250.pdf</v>
      </c>
      <c r="G4003" s="5" t="str">
        <f>HYPERLINK("https://dpmzos25m8ivg.cloudfront.net/Documentos/631/08193670604/6310819367060406092023115256.pdf","https://dpmzos25m8ivg.cloudfront.net/Documentos/631/08193670604/6310819367060406092023115256.pdf")</f>
        <v>https://dpmzos25m8ivg.cloudfront.net/Documentos/631/08193670604/6310819367060406092023115256.pdf</v>
      </c>
      <c r="H4003" s="5" t="s">
        <v>12579</v>
      </c>
    </row>
    <row r="4004" spans="1:8" x14ac:dyDescent="0.25">
      <c r="A4004" s="2" t="s">
        <v>4026</v>
      </c>
      <c r="B4004" s="19" t="s">
        <v>3785</v>
      </c>
      <c r="C4004" s="3"/>
      <c r="D4004" s="3"/>
      <c r="E4004" s="5" t="str">
        <f>HYPERLINK("https://dpmzos25m8ivg.cloudfront.net/Documentos/631/08193977920/6310819397792005092023132436.jpg","https://dpmzos25m8ivg.cloudfront.net/Documentos/631/08193977920/6310819397792005092023132436.jpg")</f>
        <v>https://dpmzos25m8ivg.cloudfront.net/Documentos/631/08193977920/6310819397792005092023132436.jpg</v>
      </c>
      <c r="F4004" s="5" t="str">
        <f>HYPERLINK("https://dpmzos25m8ivg.cloudfront.net/Documentos/631/08193977920/6310819397792005092023132456.jpg","https://dpmzos25m8ivg.cloudfront.net/Documentos/631/08193977920/6310819397792005092023132456.jpg")</f>
        <v>https://dpmzos25m8ivg.cloudfront.net/Documentos/631/08193977920/6310819397792005092023132456.jpg</v>
      </c>
      <c r="G4004" s="5" t="str">
        <f>HYPERLINK("https://dpmzos25m8ivg.cloudfront.net/Documentos/631/08193977920/6310819397792005092023132515.jpg","https://dpmzos25m8ivg.cloudfront.net/Documentos/631/08193977920/6310819397792005092023132515.jpg")</f>
        <v>https://dpmzos25m8ivg.cloudfront.net/Documentos/631/08193977920/6310819397792005092023132515.jpg</v>
      </c>
      <c r="H4004" s="5" t="s">
        <v>12580</v>
      </c>
    </row>
    <row r="4005" spans="1:8" x14ac:dyDescent="0.25">
      <c r="A4005" s="14" t="s">
        <v>4027</v>
      </c>
      <c r="B4005" s="3"/>
      <c r="C4005" s="3"/>
      <c r="D4005" s="3"/>
      <c r="E4005" s="5" t="str">
        <f>HYPERLINK("https://dpmzos25m8ivg.cloudfront.net/Documentos/631/08197587523/6310819758752305092023191537.jpeg","https://dpmzos25m8ivg.cloudfront.net/Documentos/631/08197587523/6310819758752305092023191537.jpeg")</f>
        <v>https://dpmzos25m8ivg.cloudfront.net/Documentos/631/08197587523/6310819758752305092023191537.jpeg</v>
      </c>
      <c r="F4005" s="5" t="str">
        <f>HYPERLINK("https://dpmzos25m8ivg.cloudfront.net/Documentos/631/08197587523/6310819758752305092023191549.jpeg","https://dpmzos25m8ivg.cloudfront.net/Documentos/631/08197587523/6310819758752305092023191549.jpeg")</f>
        <v>https://dpmzos25m8ivg.cloudfront.net/Documentos/631/08197587523/6310819758752305092023191549.jpeg</v>
      </c>
      <c r="G4005" s="5" t="str">
        <f>HYPERLINK("https://dpmzos25m8ivg.cloudfront.net/Documentos/631/08197587523/6310819758752305092023191617.jpeg","https://dpmzos25m8ivg.cloudfront.net/Documentos/631/08197587523/6310819758752305092023191617.jpeg")</f>
        <v>https://dpmzos25m8ivg.cloudfront.net/Documentos/631/08197587523/6310819758752305092023191617.jpeg</v>
      </c>
      <c r="H4005" s="5" t="s">
        <v>12581</v>
      </c>
    </row>
    <row r="4006" spans="1:8" x14ac:dyDescent="0.25">
      <c r="A4006" s="14" t="s">
        <v>4028</v>
      </c>
      <c r="B4006" s="3"/>
      <c r="C4006" s="3"/>
      <c r="D4006" s="3"/>
      <c r="E4006" s="5" t="str">
        <f>HYPERLINK("https://dpmzos25m8ivg.cloudfront.net/Documentos/631/08208384542/6310820838454207092023190916.pdf","https://dpmzos25m8ivg.cloudfront.net/Documentos/631/08208384542/6310820838454207092023190916.pdf")</f>
        <v>https://dpmzos25m8ivg.cloudfront.net/Documentos/631/08208384542/6310820838454207092023190916.pdf</v>
      </c>
      <c r="F4006" s="5" t="str">
        <f>HYPERLINK("https://dpmzos25m8ivg.cloudfront.net/Documentos/631/08208384542/6310820838454207092023190932.pdf","https://dpmzos25m8ivg.cloudfront.net/Documentos/631/08208384542/6310820838454207092023190932.pdf")</f>
        <v>https://dpmzos25m8ivg.cloudfront.net/Documentos/631/08208384542/6310820838454207092023190932.pdf</v>
      </c>
      <c r="G4006" s="5" t="str">
        <f>HYPERLINK("https://dpmzos25m8ivg.cloudfront.net/Documentos/631/08208384542/6310820838454211092023080107.jpg","https://dpmzos25m8ivg.cloudfront.net/Documentos/631/08208384542/6310820838454211092023080107.jpg")</f>
        <v>https://dpmzos25m8ivg.cloudfront.net/Documentos/631/08208384542/6310820838454211092023080107.jpg</v>
      </c>
      <c r="H4006" s="5" t="s">
        <v>12582</v>
      </c>
    </row>
    <row r="4007" spans="1:8" x14ac:dyDescent="0.25">
      <c r="A4007" s="14" t="s">
        <v>4029</v>
      </c>
      <c r="B4007" s="3"/>
      <c r="C4007" s="3"/>
      <c r="D4007" s="3"/>
      <c r="E4007" s="5" t="str">
        <f>HYPERLINK("https://dpmzos25m8ivg.cloudfront.net/Documentos/631/08210410709/6310821041070905092023191823.pdf","https://dpmzos25m8ivg.cloudfront.net/Documentos/631/08210410709/6310821041070905092023191823.pdf")</f>
        <v>https://dpmzos25m8ivg.cloudfront.net/Documentos/631/08210410709/6310821041070905092023191823.pdf</v>
      </c>
      <c r="F4007" s="5" t="str">
        <f>HYPERLINK("https://dpmzos25m8ivg.cloudfront.net/Documentos/631/08210410709/6310821041070905092023192107.pdf","https://dpmzos25m8ivg.cloudfront.net/Documentos/631/08210410709/6310821041070905092023192107.pdf")</f>
        <v>https://dpmzos25m8ivg.cloudfront.net/Documentos/631/08210410709/6310821041070905092023192107.pdf</v>
      </c>
      <c r="G4007" s="5" t="str">
        <f>HYPERLINK("https://dpmzos25m8ivg.cloudfront.net/Documentos/631/08210410709/6310821041070905092023192128.pdf","https://dpmzos25m8ivg.cloudfront.net/Documentos/631/08210410709/6310821041070905092023192128.pdf")</f>
        <v>https://dpmzos25m8ivg.cloudfront.net/Documentos/631/08210410709/6310821041070905092023192128.pdf</v>
      </c>
      <c r="H4007" s="5" t="s">
        <v>12583</v>
      </c>
    </row>
    <row r="4008" spans="1:8" x14ac:dyDescent="0.25">
      <c r="A4008" s="14" t="s">
        <v>4030</v>
      </c>
      <c r="B4008" s="3"/>
      <c r="C4008" s="3"/>
      <c r="D4008" s="3"/>
      <c r="E4008" s="5" t="str">
        <f>HYPERLINK("https://dpmzos25m8ivg.cloudfront.net/Documentos/631/08214989400/6310821498940011092023151817.pdf","https://dpmzos25m8ivg.cloudfront.net/Documentos/631/08214989400/6310821498940011092023151817.pdf")</f>
        <v>https://dpmzos25m8ivg.cloudfront.net/Documentos/631/08214989400/6310821498940011092023151817.pdf</v>
      </c>
      <c r="F4008" s="5" t="str">
        <f>HYPERLINK("https://dpmzos25m8ivg.cloudfront.net/Documentos/631/08214989400/6310821498940011092023151833.pdf","https://dpmzos25m8ivg.cloudfront.net/Documentos/631/08214989400/6310821498940011092023151833.pdf")</f>
        <v>https://dpmzos25m8ivg.cloudfront.net/Documentos/631/08214989400/6310821498940011092023151833.pdf</v>
      </c>
      <c r="G4008" s="5" t="str">
        <f>HYPERLINK("https://dpmzos25m8ivg.cloudfront.net/Documentos/631/08214989400/6310821498940011092023151847.pdf","https://dpmzos25m8ivg.cloudfront.net/Documentos/631/08214989400/6310821498940011092023151847.pdf")</f>
        <v>https://dpmzos25m8ivg.cloudfront.net/Documentos/631/08214989400/6310821498940011092023151847.pdf</v>
      </c>
      <c r="H4008" s="5" t="s">
        <v>12584</v>
      </c>
    </row>
    <row r="4009" spans="1:8" x14ac:dyDescent="0.25">
      <c r="A4009" s="14" t="s">
        <v>4031</v>
      </c>
      <c r="B4009" s="3"/>
      <c r="C4009" s="3"/>
      <c r="D4009" s="3"/>
      <c r="E4009" s="5" t="str">
        <f>HYPERLINK("https://dpmzos25m8ivg.cloudfront.net/Documentos/631/08220621354/6310822062135411092023130023.pdf","https://dpmzos25m8ivg.cloudfront.net/Documentos/631/08220621354/6310822062135411092023130023.pdf")</f>
        <v>https://dpmzos25m8ivg.cloudfront.net/Documentos/631/08220621354/6310822062135411092023130023.pdf</v>
      </c>
      <c r="F4009" s="5" t="str">
        <f>HYPERLINK("https://dpmzos25m8ivg.cloudfront.net/Documentos/631/08220621354/6310822062135411092023130034.pdf","https://dpmzos25m8ivg.cloudfront.net/Documentos/631/08220621354/6310822062135411092023130034.pdf")</f>
        <v>https://dpmzos25m8ivg.cloudfront.net/Documentos/631/08220621354/6310822062135411092023130034.pdf</v>
      </c>
      <c r="G4009" s="5" t="str">
        <f>HYPERLINK("https://dpmzos25m8ivg.cloudfront.net/Documentos/631/08220621354/6310822062135411092023130046.pdf","https://dpmzos25m8ivg.cloudfront.net/Documentos/631/08220621354/6310822062135411092023130046.pdf")</f>
        <v>https://dpmzos25m8ivg.cloudfront.net/Documentos/631/08220621354/6310822062135411092023130046.pdf</v>
      </c>
      <c r="H4009" s="5" t="s">
        <v>12585</v>
      </c>
    </row>
    <row r="4010" spans="1:8" x14ac:dyDescent="0.25">
      <c r="A4010" s="14" t="s">
        <v>4032</v>
      </c>
      <c r="B4010" s="3"/>
      <c r="C4010" s="3"/>
      <c r="D4010" s="3"/>
      <c r="E4010" s="5" t="str">
        <f>HYPERLINK("https://dpmzos25m8ivg.cloudfront.net/Documentos/631/08226577594/6310822657759412092023205619.jpg","https://dpmzos25m8ivg.cloudfront.net/Documentos/631/08226577594/6310822657759412092023205619.jpg")</f>
        <v>https://dpmzos25m8ivg.cloudfront.net/Documentos/631/08226577594/6310822657759412092023205619.jpg</v>
      </c>
      <c r="F4010" s="5" t="str">
        <f>HYPERLINK("https://dpmzos25m8ivg.cloudfront.net/Documentos/631/08226577594/6310822657759412092023205655.jpg","https://dpmzos25m8ivg.cloudfront.net/Documentos/631/08226577594/6310822657759412092023205655.jpg")</f>
        <v>https://dpmzos25m8ivg.cloudfront.net/Documentos/631/08226577594/6310822657759412092023205655.jpg</v>
      </c>
      <c r="G4010" s="5" t="str">
        <f>HYPERLINK("https://dpmzos25m8ivg.cloudfront.net/Documentos/631/08226577594/6310822657759412092023205744.jpg","https://dpmzos25m8ivg.cloudfront.net/Documentos/631/08226577594/6310822657759412092023205744.jpg")</f>
        <v>https://dpmzos25m8ivg.cloudfront.net/Documentos/631/08226577594/6310822657759412092023205744.jpg</v>
      </c>
      <c r="H4010" s="5" t="s">
        <v>12586</v>
      </c>
    </row>
    <row r="4011" spans="1:8" x14ac:dyDescent="0.25">
      <c r="A4011" s="2" t="s">
        <v>4033</v>
      </c>
      <c r="B4011" s="3"/>
      <c r="C4011" s="3"/>
      <c r="D4011" s="3"/>
      <c r="E4011" s="5" t="str">
        <f>HYPERLINK("https://dpmzos25m8ivg.cloudfront.net/Documentos/631/08228686528/6310822868652810092023193818.pdf","https://dpmzos25m8ivg.cloudfront.net/Documentos/631/08228686528/6310822868652810092023193818.pdf")</f>
        <v>https://dpmzos25m8ivg.cloudfront.net/Documentos/631/08228686528/6310822868652810092023193818.pdf</v>
      </c>
      <c r="F4011" s="5" t="str">
        <f>HYPERLINK("https://dpmzos25m8ivg.cloudfront.net/Documentos/631/08228686528/6310822868652810092023193832.pdf","https://dpmzos25m8ivg.cloudfront.net/Documentos/631/08228686528/6310822868652810092023193832.pdf")</f>
        <v>https://dpmzos25m8ivg.cloudfront.net/Documentos/631/08228686528/6310822868652810092023193832.pdf</v>
      </c>
      <c r="G4011" s="5" t="str">
        <f>HYPERLINK("https://dpmzos25m8ivg.cloudfront.net/Documentos/631/08228686528/6310822868652810092023193901.pdf","https://dpmzos25m8ivg.cloudfront.net/Documentos/631/08228686528/6310822868652810092023193901.pdf")</f>
        <v>https://dpmzos25m8ivg.cloudfront.net/Documentos/631/08228686528/6310822868652810092023193901.pdf</v>
      </c>
      <c r="H4011" s="5" t="s">
        <v>12587</v>
      </c>
    </row>
    <row r="4012" spans="1:8" x14ac:dyDescent="0.25">
      <c r="A4012" s="14" t="s">
        <v>4034</v>
      </c>
      <c r="B4012" s="3"/>
      <c r="C4012" s="3"/>
      <c r="D4012" s="3"/>
      <c r="E4012" s="5" t="str">
        <f>HYPERLINK("https://dpmzos25m8ivg.cloudfront.net/Documentos/631/08232390395/6310823239039508092023130357.pdf","https://dpmzos25m8ivg.cloudfront.net/Documentos/631/08232390395/6310823239039508092023130357.pdf")</f>
        <v>https://dpmzos25m8ivg.cloudfront.net/Documentos/631/08232390395/6310823239039508092023130357.pdf</v>
      </c>
      <c r="F4012" s="5" t="str">
        <f>HYPERLINK("https://dpmzos25m8ivg.cloudfront.net/Documentos/631/08232390395/6310823239039508092023130406.pdf","https://dpmzos25m8ivg.cloudfront.net/Documentos/631/08232390395/6310823239039508092023130406.pdf")</f>
        <v>https://dpmzos25m8ivg.cloudfront.net/Documentos/631/08232390395/6310823239039508092023130406.pdf</v>
      </c>
      <c r="G4012" s="5" t="str">
        <f>HYPERLINK("https://dpmzos25m8ivg.cloudfront.net/Documentos/631/08232390395/6310823239039508092023130415.pdf","https://dpmzos25m8ivg.cloudfront.net/Documentos/631/08232390395/6310823239039508092023130415.pdf")</f>
        <v>https://dpmzos25m8ivg.cloudfront.net/Documentos/631/08232390395/6310823239039508092023130415.pdf</v>
      </c>
      <c r="H4012" s="5" t="s">
        <v>12588</v>
      </c>
    </row>
    <row r="4013" spans="1:8" x14ac:dyDescent="0.25">
      <c r="A4013" s="14" t="s">
        <v>4035</v>
      </c>
      <c r="B4013" s="3"/>
      <c r="C4013" s="3"/>
      <c r="D4013" s="3"/>
      <c r="E4013" s="5" t="str">
        <f>HYPERLINK("https://dpmzos25m8ivg.cloudfront.net/Documentos/631/08238110777/6310823811077705092023231458.pdf","https://dpmzos25m8ivg.cloudfront.net/Documentos/631/08238110777/6310823811077705092023231458.pdf")</f>
        <v>https://dpmzos25m8ivg.cloudfront.net/Documentos/631/08238110777/6310823811077705092023231458.pdf</v>
      </c>
      <c r="F4013" s="5" t="str">
        <f>HYPERLINK("https://dpmzos25m8ivg.cloudfront.net/Documentos/631/08238110777/6310823811077705092023231515.pdf","https://dpmzos25m8ivg.cloudfront.net/Documentos/631/08238110777/6310823811077705092023231515.pdf")</f>
        <v>https://dpmzos25m8ivg.cloudfront.net/Documentos/631/08238110777/6310823811077705092023231515.pdf</v>
      </c>
      <c r="G4013" s="5" t="str">
        <f>HYPERLINK("https://dpmzos25m8ivg.cloudfront.net/Documentos/631/08238110777/6310823811077705092023231530.pdf","https://dpmzos25m8ivg.cloudfront.net/Documentos/631/08238110777/6310823811077705092023231530.pdf")</f>
        <v>https://dpmzos25m8ivg.cloudfront.net/Documentos/631/08238110777/6310823811077705092023231530.pdf</v>
      </c>
      <c r="H4013" s="5" t="s">
        <v>12589</v>
      </c>
    </row>
    <row r="4014" spans="1:8" x14ac:dyDescent="0.25">
      <c r="A4014" s="14" t="s">
        <v>4036</v>
      </c>
      <c r="B4014" s="3"/>
      <c r="C4014" s="3"/>
      <c r="D4014" s="3"/>
      <c r="E4014" s="5" t="str">
        <f>HYPERLINK("https://dpmzos25m8ivg.cloudfront.net/Documentos/631/08238526361/6310823852636111092023145711.pdf","https://dpmzos25m8ivg.cloudfront.net/Documentos/631/08238526361/6310823852636111092023145711.pdf")</f>
        <v>https://dpmzos25m8ivg.cloudfront.net/Documentos/631/08238526361/6310823852636111092023145711.pdf</v>
      </c>
      <c r="F4014" s="5" t="str">
        <f>HYPERLINK("https://dpmzos25m8ivg.cloudfront.net/Documentos/631/08238526361/6310823852636111092023145720.pdf","https://dpmzos25m8ivg.cloudfront.net/Documentos/631/08238526361/6310823852636111092023145720.pdf")</f>
        <v>https://dpmzos25m8ivg.cloudfront.net/Documentos/631/08238526361/6310823852636111092023145720.pdf</v>
      </c>
      <c r="G4014" s="5" t="str">
        <f>HYPERLINK("https://dpmzos25m8ivg.cloudfront.net/Documentos/631/08238526361/6310823852636111092023145728.pdf","https://dpmzos25m8ivg.cloudfront.net/Documentos/631/08238526361/6310823852636111092023145728.pdf")</f>
        <v>https://dpmzos25m8ivg.cloudfront.net/Documentos/631/08238526361/6310823852636111092023145728.pdf</v>
      </c>
      <c r="H4014" s="5" t="s">
        <v>12590</v>
      </c>
    </row>
    <row r="4015" spans="1:8" x14ac:dyDescent="0.25">
      <c r="A4015" s="14" t="s">
        <v>4037</v>
      </c>
      <c r="B4015" s="3"/>
      <c r="C4015" s="3"/>
      <c r="D4015" s="3"/>
      <c r="E4015" s="5" t="str">
        <f>HYPERLINK("https://dpmzos25m8ivg.cloudfront.net/Documentos/631/08242350531/6310824235053110092023160918.pdf","https://dpmzos25m8ivg.cloudfront.net/Documentos/631/08242350531/6310824235053110092023160918.pdf")</f>
        <v>https://dpmzos25m8ivg.cloudfront.net/Documentos/631/08242350531/6310824235053110092023160918.pdf</v>
      </c>
      <c r="F4015" s="5" t="str">
        <f>HYPERLINK("https://dpmzos25m8ivg.cloudfront.net/Documentos/631/08242350531/6310824235053110092023160936.pdf","https://dpmzos25m8ivg.cloudfront.net/Documentos/631/08242350531/6310824235053110092023160936.pdf")</f>
        <v>https://dpmzos25m8ivg.cloudfront.net/Documentos/631/08242350531/6310824235053110092023160936.pdf</v>
      </c>
      <c r="G4015" s="5" t="str">
        <f>HYPERLINK("https://dpmzos25m8ivg.cloudfront.net/Documentos/631/08242350531/6310824235053110092023161023.pdf","https://dpmzos25m8ivg.cloudfront.net/Documentos/631/08242350531/6310824235053110092023161023.pdf")</f>
        <v>https://dpmzos25m8ivg.cloudfront.net/Documentos/631/08242350531/6310824235053110092023161023.pdf</v>
      </c>
      <c r="H4015" s="5" t="s">
        <v>12591</v>
      </c>
    </row>
    <row r="4016" spans="1:8" x14ac:dyDescent="0.25">
      <c r="A4016" s="14" t="s">
        <v>4038</v>
      </c>
      <c r="B4016" s="3"/>
      <c r="C4016" s="3"/>
      <c r="D4016" s="3"/>
      <c r="E4016" s="5" t="str">
        <f>HYPERLINK("https://dpmzos25m8ivg.cloudfront.net/Documentos/631/08242988617/6310824298861711092023151942.jpeg","https://dpmzos25m8ivg.cloudfront.net/Documentos/631/08242988617/6310824298861711092023151942.jpeg")</f>
        <v>https://dpmzos25m8ivg.cloudfront.net/Documentos/631/08242988617/6310824298861711092023151942.jpeg</v>
      </c>
      <c r="F4016" s="5" t="str">
        <f>HYPERLINK("https://dpmzos25m8ivg.cloudfront.net/Documentos/631/08242988617/6310824298861711092023151951.jpeg","https://dpmzos25m8ivg.cloudfront.net/Documentos/631/08242988617/6310824298861711092023151951.jpeg")</f>
        <v>https://dpmzos25m8ivg.cloudfront.net/Documentos/631/08242988617/6310824298861711092023151951.jpeg</v>
      </c>
      <c r="G4016" s="5" t="str">
        <f>HYPERLINK("https://dpmzos25m8ivg.cloudfront.net/Documentos/631/08242988617/6310824298861711092023152000.jpeg","https://dpmzos25m8ivg.cloudfront.net/Documentos/631/08242988617/6310824298861711092023152000.jpeg")</f>
        <v>https://dpmzos25m8ivg.cloudfront.net/Documentos/631/08242988617/6310824298861711092023152000.jpeg</v>
      </c>
      <c r="H4016" s="5" t="s">
        <v>12592</v>
      </c>
    </row>
    <row r="4017" spans="1:8" x14ac:dyDescent="0.25">
      <c r="A4017" s="14" t="s">
        <v>4039</v>
      </c>
      <c r="B4017" s="3"/>
      <c r="C4017" s="3"/>
      <c r="D4017" s="3"/>
      <c r="E4017" s="5" t="str">
        <f>HYPERLINK("https://dpmzos25m8ivg.cloudfront.net/Documentos/631/08243733590/6310824373359010092023210202.pdf","https://dpmzos25m8ivg.cloudfront.net/Documentos/631/08243733590/6310824373359010092023210202.pdf")</f>
        <v>https://dpmzos25m8ivg.cloudfront.net/Documentos/631/08243733590/6310824373359010092023210202.pdf</v>
      </c>
      <c r="F4017" s="5" t="str">
        <f>HYPERLINK("https://dpmzos25m8ivg.cloudfront.net/Documentos/631/08243733590/6310824373359010092023210230.pdf","https://dpmzos25m8ivg.cloudfront.net/Documentos/631/08243733590/6310824373359010092023210230.pdf")</f>
        <v>https://dpmzos25m8ivg.cloudfront.net/Documentos/631/08243733590/6310824373359010092023210230.pdf</v>
      </c>
      <c r="G4017" s="5" t="str">
        <f>HYPERLINK("https://dpmzos25m8ivg.cloudfront.net/Documentos/631/08243733590/6310824373359010092023210241.pdf","https://dpmzos25m8ivg.cloudfront.net/Documentos/631/08243733590/6310824373359010092023210241.pdf")</f>
        <v>https://dpmzos25m8ivg.cloudfront.net/Documentos/631/08243733590/6310824373359010092023210241.pdf</v>
      </c>
      <c r="H4017" s="5" t="s">
        <v>12593</v>
      </c>
    </row>
    <row r="4018" spans="1:8" x14ac:dyDescent="0.25">
      <c r="A4018" s="14" t="s">
        <v>4040</v>
      </c>
      <c r="B4018" s="3" t="s">
        <v>8</v>
      </c>
      <c r="C4018" s="3"/>
      <c r="D4018" s="3"/>
      <c r="E4018" s="5" t="str">
        <f>HYPERLINK("https://dpmzos25m8ivg.cloudfront.net/Documentos/631/08245585378/6310824558537811092023110800.pdf","https://dpmzos25m8ivg.cloudfront.net/Documentos/631/08245585378/6310824558537811092023110800.pdf")</f>
        <v>https://dpmzos25m8ivg.cloudfront.net/Documentos/631/08245585378/6310824558537811092023110800.pdf</v>
      </c>
      <c r="F4018" s="5" t="str">
        <f>HYPERLINK("https://dpmzos25m8ivg.cloudfront.net/Documentos/631/08245585378/6310824558537811092023110842.pdf","https://dpmzos25m8ivg.cloudfront.net/Documentos/631/08245585378/6310824558537811092023110842.pdf")</f>
        <v>https://dpmzos25m8ivg.cloudfront.net/Documentos/631/08245585378/6310824558537811092023110842.pdf</v>
      </c>
      <c r="G4018" s="5" t="str">
        <f>HYPERLINK("https://dpmzos25m8ivg.cloudfront.net/Documentos/631/08245585378/6310824558537811092023110907.pdf","https://dpmzos25m8ivg.cloudfront.net/Documentos/631/08245585378/6310824558537811092023110907.pdf")</f>
        <v>https://dpmzos25m8ivg.cloudfront.net/Documentos/631/08245585378/6310824558537811092023110907.pdf</v>
      </c>
      <c r="H4018" s="5" t="s">
        <v>12594</v>
      </c>
    </row>
    <row r="4019" spans="1:8" x14ac:dyDescent="0.25">
      <c r="A4019" s="2" t="s">
        <v>4041</v>
      </c>
      <c r="B4019" s="19" t="s">
        <v>3785</v>
      </c>
      <c r="C4019" s="3"/>
      <c r="D4019" s="3"/>
      <c r="E4019" s="5" t="str">
        <f>HYPERLINK("https://dpmzos25m8ivg.cloudfront.net/Documentos/631/08245840580/6310824584058006092023121201.pdf","https://dpmzos25m8ivg.cloudfront.net/Documentos/631/08245840580/6310824584058006092023121201.pdf")</f>
        <v>https://dpmzos25m8ivg.cloudfront.net/Documentos/631/08245840580/6310824584058006092023121201.pdf</v>
      </c>
      <c r="F4019" s="5" t="str">
        <f>HYPERLINK("https://dpmzos25m8ivg.cloudfront.net/Documentos/631/08245840580/6310824584058006092023121220.pdf","https://dpmzos25m8ivg.cloudfront.net/Documentos/631/08245840580/6310824584058006092023121220.pdf")</f>
        <v>https://dpmzos25m8ivg.cloudfront.net/Documentos/631/08245840580/6310824584058006092023121220.pdf</v>
      </c>
      <c r="G4019" s="5" t="str">
        <f>HYPERLINK("https://dpmzos25m8ivg.cloudfront.net/Documentos/631/08245840580/6310824584058006092023121242.pdf","https://dpmzos25m8ivg.cloudfront.net/Documentos/631/08245840580/6310824584058006092023121242.pdf")</f>
        <v>https://dpmzos25m8ivg.cloudfront.net/Documentos/631/08245840580/6310824584058006092023121242.pdf</v>
      </c>
      <c r="H4019" s="5" t="s">
        <v>12595</v>
      </c>
    </row>
    <row r="4020" spans="1:8" x14ac:dyDescent="0.25">
      <c r="A4020" s="14" t="s">
        <v>4042</v>
      </c>
      <c r="B4020" s="3"/>
      <c r="C4020" s="3"/>
      <c r="D4020" s="3"/>
      <c r="E4020" s="5" t="str">
        <f>HYPERLINK("https://dpmzos25m8ivg.cloudfront.net/Documentos/631/08247611546/6310824761154611092023153030.jpeg","https://dpmzos25m8ivg.cloudfront.net/Documentos/631/08247611546/6310824761154611092023153030.jpeg")</f>
        <v>https://dpmzos25m8ivg.cloudfront.net/Documentos/631/08247611546/6310824761154611092023153030.jpeg</v>
      </c>
      <c r="F4020" s="5" t="str">
        <f>HYPERLINK("https://dpmzos25m8ivg.cloudfront.net/Documentos/631/08247611546/6310824761154611092023153047.jpeg","https://dpmzos25m8ivg.cloudfront.net/Documentos/631/08247611546/6310824761154611092023153047.jpeg")</f>
        <v>https://dpmzos25m8ivg.cloudfront.net/Documentos/631/08247611546/6310824761154611092023153047.jpeg</v>
      </c>
      <c r="G4020" s="5" t="str">
        <f>HYPERLINK("https://dpmzos25m8ivg.cloudfront.net/Documentos/631/08247611546/6310824761154611092023153057.jpeg","https://dpmzos25m8ivg.cloudfront.net/Documentos/631/08247611546/6310824761154611092023153057.jpeg")</f>
        <v>https://dpmzos25m8ivg.cloudfront.net/Documentos/631/08247611546/6310824761154611092023153057.jpeg</v>
      </c>
      <c r="H4020" s="5" t="s">
        <v>12596</v>
      </c>
    </row>
    <row r="4021" spans="1:8" x14ac:dyDescent="0.25">
      <c r="A4021" s="14" t="s">
        <v>4043</v>
      </c>
      <c r="B4021" s="3" t="s">
        <v>8</v>
      </c>
      <c r="C4021" s="3"/>
      <c r="D4021" s="3"/>
      <c r="E4021" s="5" t="str">
        <f>HYPERLINK("https://dpmzos25m8ivg.cloudfront.net/Documentos/631/08252666370/6310825266637011092023151544.pdf","https://dpmzos25m8ivg.cloudfront.net/Documentos/631/08252666370/6310825266637011092023151544.pdf")</f>
        <v>https://dpmzos25m8ivg.cloudfront.net/Documentos/631/08252666370/6310825266637011092023151544.pdf</v>
      </c>
      <c r="F4021" s="5" t="str">
        <f>HYPERLINK("https://dpmzos25m8ivg.cloudfront.net/Documentos/631/08252666370/6310825266637011092023151602.pdf","https://dpmzos25m8ivg.cloudfront.net/Documentos/631/08252666370/6310825266637011092023151602.pdf")</f>
        <v>https://dpmzos25m8ivg.cloudfront.net/Documentos/631/08252666370/6310825266637011092023151602.pdf</v>
      </c>
      <c r="G4021" s="5" t="str">
        <f>HYPERLINK("https://dpmzos25m8ivg.cloudfront.net/Documentos/631/08252666370/6310825266637011092023151614.pdf","https://dpmzos25m8ivg.cloudfront.net/Documentos/631/08252666370/6310825266637011092023151614.pdf")</f>
        <v>https://dpmzos25m8ivg.cloudfront.net/Documentos/631/08252666370/6310825266637011092023151614.pdf</v>
      </c>
      <c r="H4021" s="5" t="s">
        <v>12597</v>
      </c>
    </row>
    <row r="4022" spans="1:8" x14ac:dyDescent="0.25">
      <c r="A4022" s="14" t="s">
        <v>4044</v>
      </c>
      <c r="B4022" s="3" t="s">
        <v>8</v>
      </c>
      <c r="C4022" s="3"/>
      <c r="D4022" s="3"/>
      <c r="E4022" s="5" t="str">
        <f>HYPERLINK("https://dpmzos25m8ivg.cloudfront.net/Documentos/631/08253593503/6310825359350311092023154124.pdf","https://dpmzos25m8ivg.cloudfront.net/Documentos/631/08253593503/6310825359350311092023154124.pdf")</f>
        <v>https://dpmzos25m8ivg.cloudfront.net/Documentos/631/08253593503/6310825359350311092023154124.pdf</v>
      </c>
      <c r="F4022" s="5" t="str">
        <f>HYPERLINK("https://dpmzos25m8ivg.cloudfront.net/Documentos/631/08253593503/6310825359350311092023154137.pdf","https://dpmzos25m8ivg.cloudfront.net/Documentos/631/08253593503/6310825359350311092023154137.pdf")</f>
        <v>https://dpmzos25m8ivg.cloudfront.net/Documentos/631/08253593503/6310825359350311092023154137.pdf</v>
      </c>
      <c r="G4022" s="5" t="str">
        <f>HYPERLINK("https://dpmzos25m8ivg.cloudfront.net/Documentos/631/08253593503/6310825359350311092023154147.pdf","https://dpmzos25m8ivg.cloudfront.net/Documentos/631/08253593503/6310825359350311092023154147.pdf")</f>
        <v>https://dpmzos25m8ivg.cloudfront.net/Documentos/631/08253593503/6310825359350311092023154147.pdf</v>
      </c>
      <c r="H4022" s="5" t="s">
        <v>12598</v>
      </c>
    </row>
    <row r="4023" spans="1:8" x14ac:dyDescent="0.25">
      <c r="A4023" s="14" t="s">
        <v>4045</v>
      </c>
      <c r="B4023" s="19" t="s">
        <v>3385</v>
      </c>
      <c r="C4023" s="3"/>
      <c r="D4023" s="3"/>
      <c r="E4023" s="5" t="str">
        <f>HYPERLINK("https://dpmzos25m8ivg.cloudfront.net/Documentos/631/08257921505/6310825792150511092023123809.pdf","https://dpmzos25m8ivg.cloudfront.net/Documentos/631/08257921505/6310825792150511092023123809.pdf")</f>
        <v>https://dpmzos25m8ivg.cloudfront.net/Documentos/631/08257921505/6310825792150511092023123809.pdf</v>
      </c>
      <c r="F4023" s="5" t="str">
        <f>HYPERLINK("https://dpmzos25m8ivg.cloudfront.net/Documentos/631/08257921505/6310825792150511092023123825.pdf","https://dpmzos25m8ivg.cloudfront.net/Documentos/631/08257921505/6310825792150511092023123825.pdf")</f>
        <v>https://dpmzos25m8ivg.cloudfront.net/Documentos/631/08257921505/6310825792150511092023123825.pdf</v>
      </c>
      <c r="G4023" s="5" t="str">
        <f>HYPERLINK("https://dpmzos25m8ivg.cloudfront.net/Documentos/631/08257921505/6310825792150511092023123838.pdf","https://dpmzos25m8ivg.cloudfront.net/Documentos/631/08257921505/6310825792150511092023123838.pdf")</f>
        <v>https://dpmzos25m8ivg.cloudfront.net/Documentos/631/08257921505/6310825792150511092023123838.pdf</v>
      </c>
      <c r="H4023" s="5" t="s">
        <v>12599</v>
      </c>
    </row>
    <row r="4024" spans="1:8" x14ac:dyDescent="0.25">
      <c r="A4024" s="2" t="s">
        <v>4046</v>
      </c>
      <c r="B4024" s="19" t="s">
        <v>3785</v>
      </c>
      <c r="C4024" s="3"/>
      <c r="D4024" s="3"/>
      <c r="E4024" s="5" t="str">
        <f>HYPERLINK("https://dpmzos25m8ivg.cloudfront.net/Documentos/631/08264243410/6310826424341009092023115821.pdf","https://dpmzos25m8ivg.cloudfront.net/Documentos/631/08264243410/6310826424341009092023115821.pdf")</f>
        <v>https://dpmzos25m8ivg.cloudfront.net/Documentos/631/08264243410/6310826424341009092023115821.pdf</v>
      </c>
      <c r="F4024" s="5" t="str">
        <f>HYPERLINK("https://dpmzos25m8ivg.cloudfront.net/Documentos/631/08264243410/6310826424341009092023115839.pdf","https://dpmzos25m8ivg.cloudfront.net/Documentos/631/08264243410/6310826424341009092023115839.pdf")</f>
        <v>https://dpmzos25m8ivg.cloudfront.net/Documentos/631/08264243410/6310826424341009092023115839.pdf</v>
      </c>
      <c r="G4024" s="5" t="str">
        <f>HYPERLINK("https://dpmzos25m8ivg.cloudfront.net/Documentos/631/08264243410/6310826424341009092023115852.pdf","https://dpmzos25m8ivg.cloudfront.net/Documentos/631/08264243410/6310826424341009092023115852.pdf")</f>
        <v>https://dpmzos25m8ivg.cloudfront.net/Documentos/631/08264243410/6310826424341009092023115852.pdf</v>
      </c>
      <c r="H4024" s="5" t="s">
        <v>12600</v>
      </c>
    </row>
    <row r="4025" spans="1:8" x14ac:dyDescent="0.25">
      <c r="A4025" s="14" t="s">
        <v>4047</v>
      </c>
      <c r="B4025" s="3"/>
      <c r="C4025" s="3"/>
      <c r="D4025" s="3"/>
      <c r="E4025" s="5" t="str">
        <f>HYPERLINK("https://dpmzos25m8ivg.cloudfront.net/Documentos/631/08265522347/6310826552234705092023091003.pdf","https://dpmzos25m8ivg.cloudfront.net/Documentos/631/08265522347/6310826552234705092023091003.pdf")</f>
        <v>https://dpmzos25m8ivg.cloudfront.net/Documentos/631/08265522347/6310826552234705092023091003.pdf</v>
      </c>
      <c r="F4025" s="5" t="str">
        <f>HYPERLINK("https://dpmzos25m8ivg.cloudfront.net/Documentos/631/08265522347/6310826552234705092023091015.pdf","https://dpmzos25m8ivg.cloudfront.net/Documentos/631/08265522347/6310826552234705092023091015.pdf")</f>
        <v>https://dpmzos25m8ivg.cloudfront.net/Documentos/631/08265522347/6310826552234705092023091015.pdf</v>
      </c>
      <c r="G4025" s="5" t="str">
        <f>HYPERLINK("https://dpmzos25m8ivg.cloudfront.net/Documentos/631/08265522347/6310826552234705092023091027.pdf","https://dpmzos25m8ivg.cloudfront.net/Documentos/631/08265522347/6310826552234705092023091027.pdf")</f>
        <v>https://dpmzos25m8ivg.cloudfront.net/Documentos/631/08265522347/6310826552234705092023091027.pdf</v>
      </c>
      <c r="H4025" s="5" t="s">
        <v>12601</v>
      </c>
    </row>
    <row r="4026" spans="1:8" x14ac:dyDescent="0.25">
      <c r="A4026" s="14" t="s">
        <v>4048</v>
      </c>
      <c r="B4026" s="3"/>
      <c r="C4026" s="3"/>
      <c r="D4026" s="3"/>
      <c r="E4026" s="5" t="str">
        <f>HYPERLINK("https://dpmzos25m8ivg.cloudfront.net/Documentos/631/08266052301/6310826605230110092023211253.pdf","https://dpmzos25m8ivg.cloudfront.net/Documentos/631/08266052301/6310826605230110092023211253.pdf")</f>
        <v>https://dpmzos25m8ivg.cloudfront.net/Documentos/631/08266052301/6310826605230110092023211253.pdf</v>
      </c>
      <c r="F4026" s="5" t="str">
        <f>HYPERLINK("https://dpmzos25m8ivg.cloudfront.net/Documentos/631/08266052301/6310826605230110092023211315.pdf","https://dpmzos25m8ivg.cloudfront.net/Documentos/631/08266052301/6310826605230110092023211315.pdf")</f>
        <v>https://dpmzos25m8ivg.cloudfront.net/Documentos/631/08266052301/6310826605230110092023211315.pdf</v>
      </c>
      <c r="G4026" s="5" t="str">
        <f>HYPERLINK("https://dpmzos25m8ivg.cloudfront.net/Documentos/631/08266052301/6310826605230110092023211332.pdf","https://dpmzos25m8ivg.cloudfront.net/Documentos/631/08266052301/6310826605230110092023211332.pdf")</f>
        <v>https://dpmzos25m8ivg.cloudfront.net/Documentos/631/08266052301/6310826605230110092023211332.pdf</v>
      </c>
      <c r="H4026" s="5" t="s">
        <v>12602</v>
      </c>
    </row>
    <row r="4027" spans="1:8" x14ac:dyDescent="0.25">
      <c r="A4027" s="14" t="s">
        <v>4049</v>
      </c>
      <c r="B4027" s="3"/>
      <c r="C4027" s="3"/>
      <c r="D4027" s="3"/>
      <c r="E4027" s="5" t="str">
        <f>HYPERLINK("https://dpmzos25m8ivg.cloudfront.net/Documentos/631/08269798584/6310826979858405092023110014.pdf","https://dpmzos25m8ivg.cloudfront.net/Documentos/631/08269798584/6310826979858405092023110014.pdf")</f>
        <v>https://dpmzos25m8ivg.cloudfront.net/Documentos/631/08269798584/6310826979858405092023110014.pdf</v>
      </c>
      <c r="F4027" s="5" t="str">
        <f>HYPERLINK("https://dpmzos25m8ivg.cloudfront.net/Documentos/631/08269798584/6310826979858405092023110031.pdf","https://dpmzos25m8ivg.cloudfront.net/Documentos/631/08269798584/6310826979858405092023110031.pdf")</f>
        <v>https://dpmzos25m8ivg.cloudfront.net/Documentos/631/08269798584/6310826979858405092023110031.pdf</v>
      </c>
      <c r="G4027" s="5" t="str">
        <f>HYPERLINK("https://dpmzos25m8ivg.cloudfront.net/Documentos/631/08269798584/6310826979858405092023110048.pdf","https://dpmzos25m8ivg.cloudfront.net/Documentos/631/08269798584/6310826979858405092023110048.pdf")</f>
        <v>https://dpmzos25m8ivg.cloudfront.net/Documentos/631/08269798584/6310826979858405092023110048.pdf</v>
      </c>
      <c r="H4027" s="5" t="s">
        <v>12603</v>
      </c>
    </row>
    <row r="4028" spans="1:8" x14ac:dyDescent="0.25">
      <c r="A4028" s="2" t="s">
        <v>4050</v>
      </c>
      <c r="B4028" s="19" t="s">
        <v>3785</v>
      </c>
      <c r="C4028" s="3"/>
      <c r="D4028" s="3"/>
      <c r="E4028" s="5" t="str">
        <f>HYPERLINK("https://dpmzos25m8ivg.cloudfront.net/Documentos/631/08270750573/6310827075057310092023155252.pdf","https://dpmzos25m8ivg.cloudfront.net/Documentos/631/08270750573/6310827075057310092023155252.pdf")</f>
        <v>https://dpmzos25m8ivg.cloudfront.net/Documentos/631/08270750573/6310827075057310092023155252.pdf</v>
      </c>
      <c r="F4028" s="5" t="str">
        <f>HYPERLINK("https://dpmzos25m8ivg.cloudfront.net/Documentos/631/08270750573/6310827075057310092023155300.pdf","https://dpmzos25m8ivg.cloudfront.net/Documentos/631/08270750573/6310827075057310092023155300.pdf")</f>
        <v>https://dpmzos25m8ivg.cloudfront.net/Documentos/631/08270750573/6310827075057310092023155300.pdf</v>
      </c>
      <c r="G4028" s="5" t="str">
        <f>HYPERLINK("https://dpmzos25m8ivg.cloudfront.net/Documentos/631/08270750573/6310827075057310092023155307.pdf","https://dpmzos25m8ivg.cloudfront.net/Documentos/631/08270750573/6310827075057310092023155307.pdf")</f>
        <v>https://dpmzos25m8ivg.cloudfront.net/Documentos/631/08270750573/6310827075057310092023155307.pdf</v>
      </c>
      <c r="H4028" s="5" t="s">
        <v>12604</v>
      </c>
    </row>
    <row r="4029" spans="1:8" x14ac:dyDescent="0.25">
      <c r="A4029" s="14" t="s">
        <v>4051</v>
      </c>
      <c r="B4029" s="3"/>
      <c r="C4029" s="3"/>
      <c r="D4029" s="3"/>
      <c r="E4029" s="5" t="str">
        <f>HYPERLINK("https://dpmzos25m8ivg.cloudfront.net/Documentos/631/08272776529/6310827277652908092023133815.pdf","https://dpmzos25m8ivg.cloudfront.net/Documentos/631/08272776529/6310827277652908092023133815.pdf")</f>
        <v>https://dpmzos25m8ivg.cloudfront.net/Documentos/631/08272776529/6310827277652908092023133815.pdf</v>
      </c>
      <c r="F4029" s="5" t="str">
        <f>HYPERLINK("https://dpmzos25m8ivg.cloudfront.net/Documentos/631/08272776529/6310827277652908092023133828.pdf","https://dpmzos25m8ivg.cloudfront.net/Documentos/631/08272776529/6310827277652908092023133828.pdf")</f>
        <v>https://dpmzos25m8ivg.cloudfront.net/Documentos/631/08272776529/6310827277652908092023133828.pdf</v>
      </c>
      <c r="G4029" s="5" t="str">
        <f>HYPERLINK("https://dpmzos25m8ivg.cloudfront.net/Documentos/631/08272776529/6310827277652908092023133841.pdf","https://dpmzos25m8ivg.cloudfront.net/Documentos/631/08272776529/6310827277652908092023133841.pdf")</f>
        <v>https://dpmzos25m8ivg.cloudfront.net/Documentos/631/08272776529/6310827277652908092023133841.pdf</v>
      </c>
      <c r="H4029" s="5" t="s">
        <v>12605</v>
      </c>
    </row>
    <row r="4030" spans="1:8" x14ac:dyDescent="0.25">
      <c r="A4030" s="14" t="s">
        <v>4052</v>
      </c>
      <c r="B4030" s="3"/>
      <c r="C4030" s="3"/>
      <c r="D4030" s="3"/>
      <c r="E4030" s="5" t="str">
        <f>HYPERLINK("https://dpmzos25m8ivg.cloudfront.net/Documentos/631/08273377440/6310827337744014092023110652.pdf","https://dpmzos25m8ivg.cloudfront.net/Documentos/631/08273377440/6310827337744014092023110652.pdf")</f>
        <v>https://dpmzos25m8ivg.cloudfront.net/Documentos/631/08273377440/6310827337744014092023110652.pdf</v>
      </c>
      <c r="F4030" s="5" t="str">
        <f>HYPERLINK("https://dpmzos25m8ivg.cloudfront.net/Documentos/631/08273377440/6310827337744014092023110704.pdf","https://dpmzos25m8ivg.cloudfront.net/Documentos/631/08273377440/6310827337744014092023110704.pdf")</f>
        <v>https://dpmzos25m8ivg.cloudfront.net/Documentos/631/08273377440/6310827337744014092023110704.pdf</v>
      </c>
      <c r="G4030" s="5" t="str">
        <f>HYPERLINK("https://dpmzos25m8ivg.cloudfront.net/Documentos/631/08273377440/6310827337744014092023110713.pdf","https://dpmzos25m8ivg.cloudfront.net/Documentos/631/08273377440/6310827337744014092023110713.pdf")</f>
        <v>https://dpmzos25m8ivg.cloudfront.net/Documentos/631/08273377440/6310827337744014092023110713.pdf</v>
      </c>
      <c r="H4030" s="5" t="s">
        <v>12606</v>
      </c>
    </row>
    <row r="4031" spans="1:8" x14ac:dyDescent="0.25">
      <c r="A4031" s="14" t="s">
        <v>4053</v>
      </c>
      <c r="B4031" s="3"/>
      <c r="C4031" s="3"/>
      <c r="D4031" s="3"/>
      <c r="E4031" s="5" t="str">
        <f>HYPERLINK("https://dpmzos25m8ivg.cloudfront.net/Documentos/631/08275096340/6310827509634011092023100402.jpg","https://dpmzos25m8ivg.cloudfront.net/Documentos/631/08275096340/6310827509634011092023100402.jpg")</f>
        <v>https://dpmzos25m8ivg.cloudfront.net/Documentos/631/08275096340/6310827509634011092023100402.jpg</v>
      </c>
      <c r="F4031" s="5" t="str">
        <f>HYPERLINK("https://dpmzos25m8ivg.cloudfront.net/Documentos/631/08275096340/6310827509634011092023100434.jpg","https://dpmzos25m8ivg.cloudfront.net/Documentos/631/08275096340/6310827509634011092023100434.jpg")</f>
        <v>https://dpmzos25m8ivg.cloudfront.net/Documentos/631/08275096340/6310827509634011092023100434.jpg</v>
      </c>
      <c r="G4031" s="5" t="str">
        <f>HYPERLINK("https://dpmzos25m8ivg.cloudfront.net/Documentos/631/08275096340/6310827509634011092023100449.jpg","https://dpmzos25m8ivg.cloudfront.net/Documentos/631/08275096340/6310827509634011092023100449.jpg")</f>
        <v>https://dpmzos25m8ivg.cloudfront.net/Documentos/631/08275096340/6310827509634011092023100449.jpg</v>
      </c>
      <c r="H4031" s="5" t="s">
        <v>12607</v>
      </c>
    </row>
    <row r="4032" spans="1:8" x14ac:dyDescent="0.25">
      <c r="A4032" s="14" t="s">
        <v>4054</v>
      </c>
      <c r="B4032" s="3"/>
      <c r="C4032" s="3"/>
      <c r="D4032" s="3"/>
      <c r="E4032" s="5" t="str">
        <f>HYPERLINK("https://dpmzos25m8ivg.cloudfront.net/Documentos/631/08277243308/6310827724330810092023123640.pdf","https://dpmzos25m8ivg.cloudfront.net/Documentos/631/08277243308/6310827724330810092023123640.pdf")</f>
        <v>https://dpmzos25m8ivg.cloudfront.net/Documentos/631/08277243308/6310827724330810092023123640.pdf</v>
      </c>
      <c r="F4032" s="5" t="str">
        <f>HYPERLINK("https://dpmzos25m8ivg.cloudfront.net/Documentos/631/08277243308/6310827724330810092023123650.pdf","https://dpmzos25m8ivg.cloudfront.net/Documentos/631/08277243308/6310827724330810092023123650.pdf")</f>
        <v>https://dpmzos25m8ivg.cloudfront.net/Documentos/631/08277243308/6310827724330810092023123650.pdf</v>
      </c>
      <c r="G4032" s="5" t="str">
        <f>HYPERLINK("https://dpmzos25m8ivg.cloudfront.net/Documentos/631/08277243308/6310827724330810092023123701.pdf","https://dpmzos25m8ivg.cloudfront.net/Documentos/631/08277243308/6310827724330810092023123701.pdf")</f>
        <v>https://dpmzos25m8ivg.cloudfront.net/Documentos/631/08277243308/6310827724330810092023123701.pdf</v>
      </c>
      <c r="H4032" s="5" t="s">
        <v>12608</v>
      </c>
    </row>
    <row r="4033" spans="1:8" x14ac:dyDescent="0.25">
      <c r="A4033" s="14" t="s">
        <v>4055</v>
      </c>
      <c r="B4033" s="3"/>
      <c r="C4033" s="3"/>
      <c r="D4033" s="3"/>
      <c r="E4033" s="5" t="str">
        <f>HYPERLINK("https://dpmzos25m8ivg.cloudfront.net/Documentos/631/08278068330/6310827806833009092023230035.pdf","https://dpmzos25m8ivg.cloudfront.net/Documentos/631/08278068330/6310827806833009092023230035.pdf")</f>
        <v>https://dpmzos25m8ivg.cloudfront.net/Documentos/631/08278068330/6310827806833009092023230035.pdf</v>
      </c>
      <c r="F4033" s="5" t="str">
        <f>HYPERLINK("https://dpmzos25m8ivg.cloudfront.net/Documentos/631/08278068330/6310827806833009092023230045.pdf","https://dpmzos25m8ivg.cloudfront.net/Documentos/631/08278068330/6310827806833009092023230045.pdf")</f>
        <v>https://dpmzos25m8ivg.cloudfront.net/Documentos/631/08278068330/6310827806833009092023230045.pdf</v>
      </c>
      <c r="G4033" s="5" t="str">
        <f>HYPERLINK("https://dpmzos25m8ivg.cloudfront.net/Documentos/631/08278068330/6310827806833009092023230057.pdf","https://dpmzos25m8ivg.cloudfront.net/Documentos/631/08278068330/6310827806833009092023230057.pdf")</f>
        <v>https://dpmzos25m8ivg.cloudfront.net/Documentos/631/08278068330/6310827806833009092023230057.pdf</v>
      </c>
      <c r="H4033" s="5" t="s">
        <v>12609</v>
      </c>
    </row>
    <row r="4034" spans="1:8" x14ac:dyDescent="0.25">
      <c r="A4034" s="14" t="s">
        <v>4056</v>
      </c>
      <c r="B4034" s="3"/>
      <c r="C4034" s="3"/>
      <c r="D4034" s="3"/>
      <c r="E4034" s="5" t="str">
        <f>HYPERLINK("https://dpmzos25m8ivg.cloudfront.net/Documentos/631/08279525386/6310827952538610092023233650.pdf","https://dpmzos25m8ivg.cloudfront.net/Documentos/631/08279525386/6310827952538610092023233650.pdf")</f>
        <v>https://dpmzos25m8ivg.cloudfront.net/Documentos/631/08279525386/6310827952538610092023233650.pdf</v>
      </c>
      <c r="F4034" s="5" t="str">
        <f>HYPERLINK("https://dpmzos25m8ivg.cloudfront.net/Documentos/631/08279525386/6310827952538610092023233712.pdf","https://dpmzos25m8ivg.cloudfront.net/Documentos/631/08279525386/6310827952538610092023233712.pdf")</f>
        <v>https://dpmzos25m8ivg.cloudfront.net/Documentos/631/08279525386/6310827952538610092023233712.pdf</v>
      </c>
      <c r="G4034" s="5" t="str">
        <f>HYPERLINK("https://dpmzos25m8ivg.cloudfront.net/Documentos/631/08279525386/6310827952538610092023233726.pdf","https://dpmzos25m8ivg.cloudfront.net/Documentos/631/08279525386/6310827952538610092023233726.pdf")</f>
        <v>https://dpmzos25m8ivg.cloudfront.net/Documentos/631/08279525386/6310827952538610092023233726.pdf</v>
      </c>
      <c r="H4034" s="5" t="s">
        <v>12610</v>
      </c>
    </row>
    <row r="4035" spans="1:8" x14ac:dyDescent="0.25">
      <c r="A4035" s="2" t="s">
        <v>4057</v>
      </c>
      <c r="B4035" s="19" t="s">
        <v>3785</v>
      </c>
      <c r="C4035" s="3"/>
      <c r="D4035" s="3"/>
      <c r="E4035" s="5" t="str">
        <f>HYPERLINK("https://dpmzos25m8ivg.cloudfront.net/Documentos/631/08282614661/6310828261466110092023112213.pdf","https://dpmzos25m8ivg.cloudfront.net/Documentos/631/08282614661/6310828261466110092023112213.pdf")</f>
        <v>https://dpmzos25m8ivg.cloudfront.net/Documentos/631/08282614661/6310828261466110092023112213.pdf</v>
      </c>
      <c r="F4035" s="5" t="str">
        <f>HYPERLINK("https://dpmzos25m8ivg.cloudfront.net/Documentos/631/08282614661/6310828261466110092023112234.pdf","https://dpmzos25m8ivg.cloudfront.net/Documentos/631/08282614661/6310828261466110092023112234.pdf")</f>
        <v>https://dpmzos25m8ivg.cloudfront.net/Documentos/631/08282614661/6310828261466110092023112234.pdf</v>
      </c>
      <c r="G4035" s="5" t="str">
        <f>HYPERLINK("https://dpmzos25m8ivg.cloudfront.net/Documentos/631/08282614661/6310828261466110092023112301.pdf","https://dpmzos25m8ivg.cloudfront.net/Documentos/631/08282614661/6310828261466110092023112301.pdf")</f>
        <v>https://dpmzos25m8ivg.cloudfront.net/Documentos/631/08282614661/6310828261466110092023112301.pdf</v>
      </c>
      <c r="H4035" s="5" t="s">
        <v>12611</v>
      </c>
    </row>
    <row r="4036" spans="1:8" x14ac:dyDescent="0.25">
      <c r="A4036" s="14" t="s">
        <v>4058</v>
      </c>
      <c r="B4036" s="3"/>
      <c r="C4036" s="3"/>
      <c r="D4036" s="3"/>
      <c r="E4036" s="5" t="str">
        <f>HYPERLINK("https://dpmzos25m8ivg.cloudfront.net/Documentos/631/08284065371/6310828406537111092023142451.pdf","https://dpmzos25m8ivg.cloudfront.net/Documentos/631/08284065371/6310828406537111092023142451.pdf")</f>
        <v>https://dpmzos25m8ivg.cloudfront.net/Documentos/631/08284065371/6310828406537111092023142451.pdf</v>
      </c>
      <c r="F4036" s="5" t="str">
        <f>HYPERLINK("https://dpmzos25m8ivg.cloudfront.net/Documentos/631/08284065371/6310828406537111092023142528.pdf","https://dpmzos25m8ivg.cloudfront.net/Documentos/631/08284065371/6310828406537111092023142528.pdf")</f>
        <v>https://dpmzos25m8ivg.cloudfront.net/Documentos/631/08284065371/6310828406537111092023142528.pdf</v>
      </c>
      <c r="G4036" s="5" t="str">
        <f>HYPERLINK("https://dpmzos25m8ivg.cloudfront.net/Documentos/631/08284065371/6310828406537111092023142621.pdf","https://dpmzos25m8ivg.cloudfront.net/Documentos/631/08284065371/6310828406537111092023142621.pdf")</f>
        <v>https://dpmzos25m8ivg.cloudfront.net/Documentos/631/08284065371/6310828406537111092023142621.pdf</v>
      </c>
      <c r="H4036" s="5" t="s">
        <v>12612</v>
      </c>
    </row>
    <row r="4037" spans="1:8" x14ac:dyDescent="0.25">
      <c r="A4037" s="14" t="s">
        <v>4059</v>
      </c>
      <c r="B4037" s="3"/>
      <c r="C4037" s="3"/>
      <c r="D4037" s="3"/>
      <c r="E4037" s="5" t="str">
        <f>HYPERLINK("https://dpmzos25m8ivg.cloudfront.net/Documentos/631/08292424490/6310829242449011092023151214.pdf","https://dpmzos25m8ivg.cloudfront.net/Documentos/631/08292424490/6310829242449011092023151214.pdf")</f>
        <v>https://dpmzos25m8ivg.cloudfront.net/Documentos/631/08292424490/6310829242449011092023151214.pdf</v>
      </c>
      <c r="F4037" s="5" t="str">
        <f>HYPERLINK("https://dpmzos25m8ivg.cloudfront.net/Documentos/631/08292424490/6310829242449011092023151221.pdf","https://dpmzos25m8ivg.cloudfront.net/Documentos/631/08292424490/6310829242449011092023151221.pdf")</f>
        <v>https://dpmzos25m8ivg.cloudfront.net/Documentos/631/08292424490/6310829242449011092023151221.pdf</v>
      </c>
      <c r="G4037" s="5" t="str">
        <f>HYPERLINK("https://dpmzos25m8ivg.cloudfront.net/Documentos/631/08292424490/6310829242449011092023151227.pdf","https://dpmzos25m8ivg.cloudfront.net/Documentos/631/08292424490/6310829242449011092023151227.pdf")</f>
        <v>https://dpmzos25m8ivg.cloudfront.net/Documentos/631/08292424490/6310829242449011092023151227.pdf</v>
      </c>
      <c r="H4037" s="5" t="s">
        <v>12613</v>
      </c>
    </row>
    <row r="4038" spans="1:8" x14ac:dyDescent="0.25">
      <c r="A4038" s="14" t="s">
        <v>4060</v>
      </c>
      <c r="B4038" s="3"/>
      <c r="C4038" s="3"/>
      <c r="D4038" s="3"/>
      <c r="E4038" s="5" t="str">
        <f>HYPERLINK("https://dpmzos25m8ivg.cloudfront.net/Documentos/631/08293447648/6310829344764804092023190319.jpeg","https://dpmzos25m8ivg.cloudfront.net/Documentos/631/08293447648/6310829344764804092023190319.jpeg")</f>
        <v>https://dpmzos25m8ivg.cloudfront.net/Documentos/631/08293447648/6310829344764804092023190319.jpeg</v>
      </c>
      <c r="F4038" s="5" t="str">
        <f>HYPERLINK("https://dpmzos25m8ivg.cloudfront.net/Documentos/631/08293447648/6310829344764806092023112408.jpeg","https://dpmzos25m8ivg.cloudfront.net/Documentos/631/08293447648/6310829344764806092023112408.jpeg")</f>
        <v>https://dpmzos25m8ivg.cloudfront.net/Documentos/631/08293447648/6310829344764806092023112408.jpeg</v>
      </c>
      <c r="G4038" s="5" t="str">
        <f>HYPERLINK("https://dpmzos25m8ivg.cloudfront.net/Documentos/631/08293447648/6310829344764806092023112434.jpeg","https://dpmzos25m8ivg.cloudfront.net/Documentos/631/08293447648/6310829344764806092023112434.jpeg")</f>
        <v>https://dpmzos25m8ivg.cloudfront.net/Documentos/631/08293447648/6310829344764806092023112434.jpeg</v>
      </c>
      <c r="H4038" s="5" t="s">
        <v>12614</v>
      </c>
    </row>
    <row r="4039" spans="1:8" x14ac:dyDescent="0.25">
      <c r="A4039" s="14" t="s">
        <v>4061</v>
      </c>
      <c r="B4039" s="3"/>
      <c r="C4039" s="3"/>
      <c r="D4039" s="3"/>
      <c r="E4039" s="5" t="str">
        <f>HYPERLINK("https://dpmzos25m8ivg.cloudfront.net/Documentos/631/08295222473/6310829522247309092023111651.pdf","https://dpmzos25m8ivg.cloudfront.net/Documentos/631/08295222473/6310829522247309092023111651.pdf")</f>
        <v>https://dpmzos25m8ivg.cloudfront.net/Documentos/631/08295222473/6310829522247309092023111651.pdf</v>
      </c>
      <c r="F4039" s="5" t="str">
        <f>HYPERLINK("https://dpmzos25m8ivg.cloudfront.net/Documentos/631/08295222473/6310829522247309092023112358.pdf","https://dpmzos25m8ivg.cloudfront.net/Documentos/631/08295222473/6310829522247309092023112358.pdf")</f>
        <v>https://dpmzos25m8ivg.cloudfront.net/Documentos/631/08295222473/6310829522247309092023112358.pdf</v>
      </c>
      <c r="G4039" s="5" t="str">
        <f>HYPERLINK("https://dpmzos25m8ivg.cloudfront.net/Documentos/631/08295222473/6310829522247309092023112406.pdf","https://dpmzos25m8ivg.cloudfront.net/Documentos/631/08295222473/6310829522247309092023112406.pdf")</f>
        <v>https://dpmzos25m8ivg.cloudfront.net/Documentos/631/08295222473/6310829522247309092023112406.pdf</v>
      </c>
      <c r="H4039" s="5" t="s">
        <v>12615</v>
      </c>
    </row>
    <row r="4040" spans="1:8" x14ac:dyDescent="0.25">
      <c r="A4040" s="14" t="s">
        <v>4062</v>
      </c>
      <c r="B4040" s="3"/>
      <c r="C4040" s="3"/>
      <c r="D4040" s="3"/>
      <c r="E4040" s="5" t="str">
        <f>HYPERLINK("https://dpmzos25m8ivg.cloudfront.net/Documentos/631/08295961519/6310829596151911092023153004.jpg","https://dpmzos25m8ivg.cloudfront.net/Documentos/631/08295961519/6310829596151911092023153004.jpg")</f>
        <v>https://dpmzos25m8ivg.cloudfront.net/Documentos/631/08295961519/6310829596151911092023153004.jpg</v>
      </c>
      <c r="F4040" s="5" t="str">
        <f>HYPERLINK("https://dpmzos25m8ivg.cloudfront.net/Documentos/631/08295961519/6310829596151911092023153017.jpg","https://dpmzos25m8ivg.cloudfront.net/Documentos/631/08295961519/6310829596151911092023153017.jpg")</f>
        <v>https://dpmzos25m8ivg.cloudfront.net/Documentos/631/08295961519/6310829596151911092023153017.jpg</v>
      </c>
      <c r="G4040" s="5" t="str">
        <f>HYPERLINK("https://dpmzos25m8ivg.cloudfront.net/Documentos/631/08295961519/6310829596151911092023153032.jpg","https://dpmzos25m8ivg.cloudfront.net/Documentos/631/08295961519/6310829596151911092023153032.jpg")</f>
        <v>https://dpmzos25m8ivg.cloudfront.net/Documentos/631/08295961519/6310829596151911092023153032.jpg</v>
      </c>
      <c r="H4040" s="5" t="s">
        <v>12616</v>
      </c>
    </row>
    <row r="4041" spans="1:8" x14ac:dyDescent="0.25">
      <c r="A4041" s="14" t="s">
        <v>4063</v>
      </c>
      <c r="B4041" s="3"/>
      <c r="C4041" s="3"/>
      <c r="D4041" s="3"/>
      <c r="E4041" s="5" t="str">
        <f>HYPERLINK("https://dpmzos25m8ivg.cloudfront.net/Documentos/631/08300789405/6310830078940513092023195415.pdf","https://dpmzos25m8ivg.cloudfront.net/Documentos/631/08300789405/6310830078940513092023195415.pdf")</f>
        <v>https://dpmzos25m8ivg.cloudfront.net/Documentos/631/08300789405/6310830078940513092023195415.pdf</v>
      </c>
      <c r="F4041" s="5" t="str">
        <f>HYPERLINK("https://dpmzos25m8ivg.cloudfront.net/Documentos/631/08300789405/6310830078940513092023195449.pdf","https://dpmzos25m8ivg.cloudfront.net/Documentos/631/08300789405/6310830078940513092023195449.pdf")</f>
        <v>https://dpmzos25m8ivg.cloudfront.net/Documentos/631/08300789405/6310830078940513092023195449.pdf</v>
      </c>
      <c r="G4041" s="5" t="str">
        <f>HYPERLINK("https://dpmzos25m8ivg.cloudfront.net/Documentos/631/08300789405/6310830078940513092023195512.pdf","https://dpmzos25m8ivg.cloudfront.net/Documentos/631/08300789405/6310830078940513092023195512.pdf")</f>
        <v>https://dpmzos25m8ivg.cloudfront.net/Documentos/631/08300789405/6310830078940513092023195512.pdf</v>
      </c>
      <c r="H4041" s="5" t="s">
        <v>12617</v>
      </c>
    </row>
    <row r="4042" spans="1:8" x14ac:dyDescent="0.25">
      <c r="A4042" s="14" t="s">
        <v>4064</v>
      </c>
      <c r="B4042" s="19" t="s">
        <v>3385</v>
      </c>
      <c r="C4042" s="3"/>
      <c r="D4042" s="3"/>
      <c r="E4042" s="5" t="str">
        <f>HYPERLINK("https://dpmzos25m8ivg.cloudfront.net/Documentos/631/08305681319/6310830568131910092023174824.jpeg","https://dpmzos25m8ivg.cloudfront.net/Documentos/631/08305681319/6310830568131910092023174824.jpeg")</f>
        <v>https://dpmzos25m8ivg.cloudfront.net/Documentos/631/08305681319/6310830568131910092023174824.jpeg</v>
      </c>
      <c r="F4042" s="5" t="str">
        <f>HYPERLINK("https://dpmzos25m8ivg.cloudfront.net/Documentos/631/08305681319/6310830568131910092023174843.jpeg","https://dpmzos25m8ivg.cloudfront.net/Documentos/631/08305681319/6310830568131910092023174843.jpeg")</f>
        <v>https://dpmzos25m8ivg.cloudfront.net/Documentos/631/08305681319/6310830568131910092023174843.jpeg</v>
      </c>
      <c r="G4042" s="5" t="str">
        <f>HYPERLINK("https://dpmzos25m8ivg.cloudfront.net/Documentos/631/08305681319/6310830568131910092023174907.jpeg","https://dpmzos25m8ivg.cloudfront.net/Documentos/631/08305681319/6310830568131910092023174907.jpeg")</f>
        <v>https://dpmzos25m8ivg.cloudfront.net/Documentos/631/08305681319/6310830568131910092023174907.jpeg</v>
      </c>
      <c r="H4042" s="5" t="s">
        <v>12618</v>
      </c>
    </row>
    <row r="4043" spans="1:8" x14ac:dyDescent="0.25">
      <c r="A4043" s="14" t="s">
        <v>4065</v>
      </c>
      <c r="B4043" s="3"/>
      <c r="C4043" s="3"/>
      <c r="D4043" s="3"/>
      <c r="E4043" s="5" t="str">
        <f>HYPERLINK("https://dpmzos25m8ivg.cloudfront.net/Documentos/631/08308749410/6310830874941011092023144807.jpeg","https://dpmzos25m8ivg.cloudfront.net/Documentos/631/08308749410/6310830874941011092023144807.jpeg")</f>
        <v>https://dpmzos25m8ivg.cloudfront.net/Documentos/631/08308749410/6310830874941011092023144807.jpeg</v>
      </c>
      <c r="F4043" s="5" t="str">
        <f>HYPERLINK("https://dpmzos25m8ivg.cloudfront.net/Documentos/631/08308749410/6310830874941011092023144846.jpeg","https://dpmzos25m8ivg.cloudfront.net/Documentos/631/08308749410/6310830874941011092023144846.jpeg")</f>
        <v>https://dpmzos25m8ivg.cloudfront.net/Documentos/631/08308749410/6310830874941011092023144846.jpeg</v>
      </c>
      <c r="G4043" s="5" t="str">
        <f>HYPERLINK("https://dpmzos25m8ivg.cloudfront.net/Documentos/631/08308749410/6310830874941011092023144903.jpeg","https://dpmzos25m8ivg.cloudfront.net/Documentos/631/08308749410/6310830874941011092023144903.jpeg")</f>
        <v>https://dpmzos25m8ivg.cloudfront.net/Documentos/631/08308749410/6310830874941011092023144903.jpeg</v>
      </c>
      <c r="H4043" s="5" t="s">
        <v>12619</v>
      </c>
    </row>
    <row r="4044" spans="1:8" x14ac:dyDescent="0.25">
      <c r="A4044" s="14" t="s">
        <v>4066</v>
      </c>
      <c r="B4044" s="3"/>
      <c r="C4044" s="3"/>
      <c r="D4044" s="3"/>
      <c r="E4044" s="5" t="str">
        <f>HYPERLINK("https://dpmzos25m8ivg.cloudfront.net/Documentos/631/08320340373/6310832034037310092023190551.pdf","https://dpmzos25m8ivg.cloudfront.net/Documentos/631/08320340373/6310832034037310092023190551.pdf")</f>
        <v>https://dpmzos25m8ivg.cloudfront.net/Documentos/631/08320340373/6310832034037310092023190551.pdf</v>
      </c>
      <c r="F4044" s="5" t="str">
        <f>HYPERLINK("https://dpmzos25m8ivg.cloudfront.net/Documentos/631/08320340373/6310832034037310092023190613.pdf","https://dpmzos25m8ivg.cloudfront.net/Documentos/631/08320340373/6310832034037310092023190613.pdf")</f>
        <v>https://dpmzos25m8ivg.cloudfront.net/Documentos/631/08320340373/6310832034037310092023190613.pdf</v>
      </c>
      <c r="G4044" s="5" t="str">
        <f>HYPERLINK("https://dpmzos25m8ivg.cloudfront.net/Documentos/631/08320340373/6310832034037310092023191013.pdf","https://dpmzos25m8ivg.cloudfront.net/Documentos/631/08320340373/6310832034037310092023191013.pdf")</f>
        <v>https://dpmzos25m8ivg.cloudfront.net/Documentos/631/08320340373/6310832034037310092023191013.pdf</v>
      </c>
      <c r="H4044" s="5" t="s">
        <v>12620</v>
      </c>
    </row>
    <row r="4045" spans="1:8" x14ac:dyDescent="0.25">
      <c r="A4045" s="14" t="s">
        <v>4067</v>
      </c>
      <c r="B4045" s="3"/>
      <c r="C4045" s="3"/>
      <c r="D4045" s="3"/>
      <c r="E4045" s="5" t="str">
        <f>HYPERLINK("https://dpmzos25m8ivg.cloudfront.net/Documentos/631/08321200575/6310832120057505092023094016.pdf","https://dpmzos25m8ivg.cloudfront.net/Documentos/631/08321200575/6310832120057505092023094016.pdf")</f>
        <v>https://dpmzos25m8ivg.cloudfront.net/Documentos/631/08321200575/6310832120057505092023094016.pdf</v>
      </c>
      <c r="F4045" s="5" t="str">
        <f>HYPERLINK("https://dpmzos25m8ivg.cloudfront.net/Documentos/631/08321200575/6310832120057505092023094041.pdf","https://dpmzos25m8ivg.cloudfront.net/Documentos/631/08321200575/6310832120057505092023094041.pdf")</f>
        <v>https://dpmzos25m8ivg.cloudfront.net/Documentos/631/08321200575/6310832120057505092023094041.pdf</v>
      </c>
      <c r="G4045" s="5" t="str">
        <f>HYPERLINK("https://dpmzos25m8ivg.cloudfront.net/Documentos/631/08321200575/6310832120057505092023094054.pdf","https://dpmzos25m8ivg.cloudfront.net/Documentos/631/08321200575/6310832120057505092023094054.pdf")</f>
        <v>https://dpmzos25m8ivg.cloudfront.net/Documentos/631/08321200575/6310832120057505092023094054.pdf</v>
      </c>
      <c r="H4045" s="5" t="s">
        <v>12621</v>
      </c>
    </row>
    <row r="4046" spans="1:8" x14ac:dyDescent="0.25">
      <c r="A4046" s="14" t="s">
        <v>4068</v>
      </c>
      <c r="B4046" s="3"/>
      <c r="C4046" s="3"/>
      <c r="D4046" s="3"/>
      <c r="E4046" s="5" t="str">
        <f>HYPERLINK("https://dpmzos25m8ivg.cloudfront.net/Documentos/631/08329344614/6310832934461408092023155355.pdf","https://dpmzos25m8ivg.cloudfront.net/Documentos/631/08329344614/6310832934461408092023155355.pdf")</f>
        <v>https://dpmzos25m8ivg.cloudfront.net/Documentos/631/08329344614/6310832934461408092023155355.pdf</v>
      </c>
      <c r="F4046" s="5" t="str">
        <f>HYPERLINK("https://dpmzos25m8ivg.cloudfront.net/Documentos/631/08329344614/6310832934461408092023155429.pdf","https://dpmzos25m8ivg.cloudfront.net/Documentos/631/08329344614/6310832934461408092023155429.pdf")</f>
        <v>https://dpmzos25m8ivg.cloudfront.net/Documentos/631/08329344614/6310832934461408092023155429.pdf</v>
      </c>
      <c r="G4046" s="5" t="str">
        <f>HYPERLINK("https://dpmzos25m8ivg.cloudfront.net/Documentos/631/08329344614/6310832934461408092023155448.pdf","https://dpmzos25m8ivg.cloudfront.net/Documentos/631/08329344614/6310832934461408092023155448.pdf")</f>
        <v>https://dpmzos25m8ivg.cloudfront.net/Documentos/631/08329344614/6310832934461408092023155448.pdf</v>
      </c>
      <c r="H4046" s="5" t="s">
        <v>12622</v>
      </c>
    </row>
    <row r="4047" spans="1:8" x14ac:dyDescent="0.25">
      <c r="A4047" s="14" t="s">
        <v>4069</v>
      </c>
      <c r="B4047" s="3"/>
      <c r="C4047" s="3"/>
      <c r="D4047" s="3"/>
      <c r="E4047" s="5" t="str">
        <f>HYPERLINK("https://dpmzos25m8ivg.cloudfront.net/Documentos/631/08332506395/6310833250639507092023180330.pdf","https://dpmzos25m8ivg.cloudfront.net/Documentos/631/08332506395/6310833250639507092023180330.pdf")</f>
        <v>https://dpmzos25m8ivg.cloudfront.net/Documentos/631/08332506395/6310833250639507092023180330.pdf</v>
      </c>
      <c r="F4047" s="5" t="str">
        <f>HYPERLINK("https://dpmzos25m8ivg.cloudfront.net/Documentos/631/08332506395/6310833250639507092023180346.pdf","https://dpmzos25m8ivg.cloudfront.net/Documentos/631/08332506395/6310833250639507092023180346.pdf")</f>
        <v>https://dpmzos25m8ivg.cloudfront.net/Documentos/631/08332506395/6310833250639507092023180346.pdf</v>
      </c>
      <c r="G4047" s="5" t="str">
        <f>HYPERLINK("https://dpmzos25m8ivg.cloudfront.net/Documentos/631/08332506395/6310833250639507092023180359.pdf","https://dpmzos25m8ivg.cloudfront.net/Documentos/631/08332506395/6310833250639507092023180359.pdf")</f>
        <v>https://dpmzos25m8ivg.cloudfront.net/Documentos/631/08332506395/6310833250639507092023180359.pdf</v>
      </c>
      <c r="H4047" s="5" t="s">
        <v>12623</v>
      </c>
    </row>
    <row r="4048" spans="1:8" x14ac:dyDescent="0.25">
      <c r="A4048" s="14" t="s">
        <v>4070</v>
      </c>
      <c r="B4048" s="3"/>
      <c r="C4048" s="3"/>
      <c r="D4048" s="3"/>
      <c r="E4048" s="5" t="str">
        <f>HYPERLINK("https://dpmzos25m8ivg.cloudfront.net/Documentos/631/08332793785/6310833279378507092023091224.pdf","https://dpmzos25m8ivg.cloudfront.net/Documentos/631/08332793785/6310833279378507092023091224.pdf")</f>
        <v>https://dpmzos25m8ivg.cloudfront.net/Documentos/631/08332793785/6310833279378507092023091224.pdf</v>
      </c>
      <c r="F4048" s="5" t="str">
        <f>HYPERLINK("https://dpmzos25m8ivg.cloudfront.net/Documentos/631/08332793785/6310833279378507092023091236.pdf","https://dpmzos25m8ivg.cloudfront.net/Documentos/631/08332793785/6310833279378507092023091236.pdf")</f>
        <v>https://dpmzos25m8ivg.cloudfront.net/Documentos/631/08332793785/6310833279378507092023091236.pdf</v>
      </c>
      <c r="G4048" s="5" t="str">
        <f>HYPERLINK("https://dpmzos25m8ivg.cloudfront.net/Documentos/631/08332793785/6310833279378507092023091248.pdf","https://dpmzos25m8ivg.cloudfront.net/Documentos/631/08332793785/6310833279378507092023091248.pdf")</f>
        <v>https://dpmzos25m8ivg.cloudfront.net/Documentos/631/08332793785/6310833279378507092023091248.pdf</v>
      </c>
      <c r="H4048" s="5" t="s">
        <v>12624</v>
      </c>
    </row>
    <row r="4049" spans="1:8" x14ac:dyDescent="0.25">
      <c r="A4049" s="2" t="s">
        <v>4071</v>
      </c>
      <c r="B4049" s="19" t="s">
        <v>3785</v>
      </c>
      <c r="C4049" s="3"/>
      <c r="D4049" s="3"/>
      <c r="E4049" s="5" t="str">
        <f>HYPERLINK("https://dpmzos25m8ivg.cloudfront.net/Documentos/631/08335537712/6310833553771211092023100601.pdf","https://dpmzos25m8ivg.cloudfront.net/Documentos/631/08335537712/6310833553771211092023100601.pdf")</f>
        <v>https://dpmzos25m8ivg.cloudfront.net/Documentos/631/08335537712/6310833553771211092023100601.pdf</v>
      </c>
      <c r="F4049" s="5" t="str">
        <f>HYPERLINK("https://dpmzos25m8ivg.cloudfront.net/Documentos/631/08335537712/6310833553771211092023100713.pdf","https://dpmzos25m8ivg.cloudfront.net/Documentos/631/08335537712/6310833553771211092023100713.pdf")</f>
        <v>https://dpmzos25m8ivg.cloudfront.net/Documentos/631/08335537712/6310833553771211092023100713.pdf</v>
      </c>
      <c r="G4049" s="5" t="str">
        <f>HYPERLINK("https://dpmzos25m8ivg.cloudfront.net/Documentos/631/08335537712/6310833553771211092023101404.pdf","https://dpmzos25m8ivg.cloudfront.net/Documentos/631/08335537712/6310833553771211092023101404.pdf")</f>
        <v>https://dpmzos25m8ivg.cloudfront.net/Documentos/631/08335537712/6310833553771211092023101404.pdf</v>
      </c>
      <c r="H4049" s="5" t="s">
        <v>12625</v>
      </c>
    </row>
    <row r="4050" spans="1:8" x14ac:dyDescent="0.25">
      <c r="A4050" s="14" t="s">
        <v>4072</v>
      </c>
      <c r="B4050" s="3"/>
      <c r="C4050" s="3"/>
      <c r="D4050" s="3"/>
      <c r="E4050" s="5" t="str">
        <f>HYPERLINK("https://dpmzos25m8ivg.cloudfront.net/Documentos/631/08337190760/6310833719076008092023141808.pdf","https://dpmzos25m8ivg.cloudfront.net/Documentos/631/08337190760/6310833719076008092023141808.pdf")</f>
        <v>https://dpmzos25m8ivg.cloudfront.net/Documentos/631/08337190760/6310833719076008092023141808.pdf</v>
      </c>
      <c r="F4050" s="5" t="str">
        <f>HYPERLINK("https://dpmzos25m8ivg.cloudfront.net/Documentos/631/08337190760/6310833719076008092023141829.pdf","https://dpmzos25m8ivg.cloudfront.net/Documentos/631/08337190760/6310833719076008092023141829.pdf")</f>
        <v>https://dpmzos25m8ivg.cloudfront.net/Documentos/631/08337190760/6310833719076008092023141829.pdf</v>
      </c>
      <c r="G4050" s="5" t="str">
        <f>HYPERLINK("https://dpmzos25m8ivg.cloudfront.net/Documentos/631/08337190760/6310833719076008092023141842.pdf","https://dpmzos25m8ivg.cloudfront.net/Documentos/631/08337190760/6310833719076008092023141842.pdf")</f>
        <v>https://dpmzos25m8ivg.cloudfront.net/Documentos/631/08337190760/6310833719076008092023141842.pdf</v>
      </c>
      <c r="H4050" s="5" t="s">
        <v>12626</v>
      </c>
    </row>
    <row r="4051" spans="1:8" x14ac:dyDescent="0.25">
      <c r="A4051" s="14" t="s">
        <v>4073</v>
      </c>
      <c r="B4051" s="3"/>
      <c r="C4051" s="3"/>
      <c r="D4051" s="3"/>
      <c r="E4051" s="5" t="str">
        <f>HYPERLINK("https://dpmzos25m8ivg.cloudfront.net/Documentos/631/08337244879/6310833724487911092023094457.jpg","https://dpmzos25m8ivg.cloudfront.net/Documentos/631/08337244879/6310833724487911092023094457.jpg")</f>
        <v>https://dpmzos25m8ivg.cloudfront.net/Documentos/631/08337244879/6310833724487911092023094457.jpg</v>
      </c>
      <c r="F4051" s="5" t="str">
        <f>HYPERLINK("https://dpmzos25m8ivg.cloudfront.net/Documentos/631/08337244879/6310833724487911092023094513.jpg","https://dpmzos25m8ivg.cloudfront.net/Documentos/631/08337244879/6310833724487911092023094513.jpg")</f>
        <v>https://dpmzos25m8ivg.cloudfront.net/Documentos/631/08337244879/6310833724487911092023094513.jpg</v>
      </c>
      <c r="G4051" s="5" t="str">
        <f>HYPERLINK("https://dpmzos25m8ivg.cloudfront.net/Documentos/631/08337244879/6310833724487911092023094522.jpg","https://dpmzos25m8ivg.cloudfront.net/Documentos/631/08337244879/6310833724487911092023094522.jpg")</f>
        <v>https://dpmzos25m8ivg.cloudfront.net/Documentos/631/08337244879/6310833724487911092023094522.jpg</v>
      </c>
      <c r="H4051" s="5" t="s">
        <v>12627</v>
      </c>
    </row>
    <row r="4052" spans="1:8" x14ac:dyDescent="0.25">
      <c r="A4052" s="14" t="s">
        <v>4074</v>
      </c>
      <c r="B4052" s="3"/>
      <c r="C4052" s="3"/>
      <c r="D4052" s="3"/>
      <c r="E4052" s="5" t="str">
        <f>HYPERLINK("https://dpmzos25m8ivg.cloudfront.net/Documentos/631/08338443344/6310833844334408092023104350.pdf","https://dpmzos25m8ivg.cloudfront.net/Documentos/631/08338443344/6310833844334408092023104350.pdf")</f>
        <v>https://dpmzos25m8ivg.cloudfront.net/Documentos/631/08338443344/6310833844334408092023104350.pdf</v>
      </c>
      <c r="F4052" s="5" t="str">
        <f>HYPERLINK("https://dpmzos25m8ivg.cloudfront.net/Documentos/631/08338443344/6310833844334408092023104359.pdf","https://dpmzos25m8ivg.cloudfront.net/Documentos/631/08338443344/6310833844334408092023104359.pdf")</f>
        <v>https://dpmzos25m8ivg.cloudfront.net/Documentos/631/08338443344/6310833844334408092023104359.pdf</v>
      </c>
      <c r="G4052" s="5" t="str">
        <f>HYPERLINK("https://dpmzos25m8ivg.cloudfront.net/Documentos/631/08338443344/6310833844334408092023104409.pdf","https://dpmzos25m8ivg.cloudfront.net/Documentos/631/08338443344/6310833844334408092023104409.pdf")</f>
        <v>https://dpmzos25m8ivg.cloudfront.net/Documentos/631/08338443344/6310833844334408092023104409.pdf</v>
      </c>
      <c r="H4052" s="5" t="s">
        <v>12628</v>
      </c>
    </row>
    <row r="4053" spans="1:8" x14ac:dyDescent="0.25">
      <c r="A4053" s="14" t="s">
        <v>4075</v>
      </c>
      <c r="B4053" s="3"/>
      <c r="C4053" s="3"/>
      <c r="D4053" s="3"/>
      <c r="E4053" s="5" t="str">
        <f>HYPERLINK("https://dpmzos25m8ivg.cloudfront.net/Documentos/631/08338860530/6310833886053012092023191926.pdf","https://dpmzos25m8ivg.cloudfront.net/Documentos/631/08338860530/6310833886053012092023191926.pdf")</f>
        <v>https://dpmzos25m8ivg.cloudfront.net/Documentos/631/08338860530/6310833886053012092023191926.pdf</v>
      </c>
      <c r="F4053" s="5" t="str">
        <f>HYPERLINK("https://dpmzos25m8ivg.cloudfront.net/Documentos/631/08338860530/6310833886053012092023191934.pdf","https://dpmzos25m8ivg.cloudfront.net/Documentos/631/08338860530/6310833886053012092023191934.pdf")</f>
        <v>https://dpmzos25m8ivg.cloudfront.net/Documentos/631/08338860530/6310833886053012092023191934.pdf</v>
      </c>
      <c r="G4053" s="5" t="str">
        <f>HYPERLINK("https://dpmzos25m8ivg.cloudfront.net/Documentos/631/08338860530/6310833886053012092023191953.pdf","https://dpmzos25m8ivg.cloudfront.net/Documentos/631/08338860530/6310833886053012092023191953.pdf")</f>
        <v>https://dpmzos25m8ivg.cloudfront.net/Documentos/631/08338860530/6310833886053012092023191953.pdf</v>
      </c>
      <c r="H4053" s="5" t="s">
        <v>12629</v>
      </c>
    </row>
    <row r="4054" spans="1:8" x14ac:dyDescent="0.25">
      <c r="A4054" s="14" t="s">
        <v>4076</v>
      </c>
      <c r="B4054" s="3"/>
      <c r="C4054" s="3"/>
      <c r="D4054" s="3"/>
      <c r="E4054" s="5" t="str">
        <f>HYPERLINK("https://dpmzos25m8ivg.cloudfront.net/Documentos/631/08340942409/6310834094240906092023160558.jpg","https://dpmzos25m8ivg.cloudfront.net/Documentos/631/08340942409/6310834094240906092023160558.jpg")</f>
        <v>https://dpmzos25m8ivg.cloudfront.net/Documentos/631/08340942409/6310834094240906092023160558.jpg</v>
      </c>
      <c r="F4054" s="5" t="str">
        <f>HYPERLINK("https://dpmzos25m8ivg.cloudfront.net/Documentos/631/08340942409/6310834094240906092023160618.jpg","https://dpmzos25m8ivg.cloudfront.net/Documentos/631/08340942409/6310834094240906092023160618.jpg")</f>
        <v>https://dpmzos25m8ivg.cloudfront.net/Documentos/631/08340942409/6310834094240906092023160618.jpg</v>
      </c>
      <c r="G4054" s="5" t="str">
        <f>HYPERLINK("https://dpmzos25m8ivg.cloudfront.net/Documentos/631/08340942409/6310834094240906092023160905.jpg","https://dpmzos25m8ivg.cloudfront.net/Documentos/631/08340942409/6310834094240906092023160905.jpg")</f>
        <v>https://dpmzos25m8ivg.cloudfront.net/Documentos/631/08340942409/6310834094240906092023160905.jpg</v>
      </c>
      <c r="H4054" s="5" t="s">
        <v>12630</v>
      </c>
    </row>
    <row r="4055" spans="1:8" x14ac:dyDescent="0.25">
      <c r="A4055" s="14" t="s">
        <v>4077</v>
      </c>
      <c r="B4055" s="3"/>
      <c r="C4055" s="3"/>
      <c r="D4055" s="3"/>
      <c r="E4055" s="5" t="str">
        <f>HYPERLINK("https://dpmzos25m8ivg.cloudfront.net/Documentos/631/08344651328/6310834465132808092023130007.pdf","https://dpmzos25m8ivg.cloudfront.net/Documentos/631/08344651328/6310834465132808092023130007.pdf")</f>
        <v>https://dpmzos25m8ivg.cloudfront.net/Documentos/631/08344651328/6310834465132808092023130007.pdf</v>
      </c>
      <c r="F4055" s="5" t="str">
        <f>HYPERLINK("https://dpmzos25m8ivg.cloudfront.net/Documentos/631/08344651328/6310834465132808092023130054.pdf","https://dpmzos25m8ivg.cloudfront.net/Documentos/631/08344651328/6310834465132808092023130054.pdf")</f>
        <v>https://dpmzos25m8ivg.cloudfront.net/Documentos/631/08344651328/6310834465132808092023130054.pdf</v>
      </c>
      <c r="G4055" s="5" t="str">
        <f>HYPERLINK("https://dpmzos25m8ivg.cloudfront.net/Documentos/631/08344651328/6310834465132808092023130203.pdf","https://dpmzos25m8ivg.cloudfront.net/Documentos/631/08344651328/6310834465132808092023130203.pdf")</f>
        <v>https://dpmzos25m8ivg.cloudfront.net/Documentos/631/08344651328/6310834465132808092023130203.pdf</v>
      </c>
      <c r="H4055" s="5" t="s">
        <v>12631</v>
      </c>
    </row>
    <row r="4056" spans="1:8" x14ac:dyDescent="0.25">
      <c r="A4056" s="14" t="s">
        <v>4078</v>
      </c>
      <c r="B4056" s="3"/>
      <c r="C4056" s="3"/>
      <c r="D4056" s="3"/>
      <c r="E4056" s="5" t="str">
        <f>HYPERLINK("https://dpmzos25m8ivg.cloudfront.net/Documentos/631/08346229470/6310834622947008092023144933.pdf","https://dpmzos25m8ivg.cloudfront.net/Documentos/631/08346229470/6310834622947008092023144933.pdf")</f>
        <v>https://dpmzos25m8ivg.cloudfront.net/Documentos/631/08346229470/6310834622947008092023144933.pdf</v>
      </c>
      <c r="F4056" s="5" t="str">
        <f>HYPERLINK("https://dpmzos25m8ivg.cloudfront.net/Documentos/631/08346229470/6310834622947008092023144947.pdf","https://dpmzos25m8ivg.cloudfront.net/Documentos/631/08346229470/6310834622947008092023144947.pdf")</f>
        <v>https://dpmzos25m8ivg.cloudfront.net/Documentos/631/08346229470/6310834622947008092023144947.pdf</v>
      </c>
      <c r="G4056" s="5" t="str">
        <f>HYPERLINK("https://dpmzos25m8ivg.cloudfront.net/Documentos/631/08346229470/6310834622947008092023145010.pdf","https://dpmzos25m8ivg.cloudfront.net/Documentos/631/08346229470/6310834622947008092023145010.pdf")</f>
        <v>https://dpmzos25m8ivg.cloudfront.net/Documentos/631/08346229470/6310834622947008092023145010.pdf</v>
      </c>
      <c r="H4056" s="5" t="s">
        <v>12632</v>
      </c>
    </row>
    <row r="4057" spans="1:8" x14ac:dyDescent="0.25">
      <c r="A4057" s="14" t="s">
        <v>4079</v>
      </c>
      <c r="B4057" s="3"/>
      <c r="C4057" s="3"/>
      <c r="D4057" s="3"/>
      <c r="E4057" s="5" t="str">
        <f>HYPERLINK("https://dpmzos25m8ivg.cloudfront.net/Documentos/631/08348594329/6310834859432914092023163139.jpeg","https://dpmzos25m8ivg.cloudfront.net/Documentos/631/08348594329/6310834859432914092023163139.jpeg")</f>
        <v>https://dpmzos25m8ivg.cloudfront.net/Documentos/631/08348594329/6310834859432914092023163139.jpeg</v>
      </c>
      <c r="F4057" s="5" t="str">
        <f>HYPERLINK("https://dpmzos25m8ivg.cloudfront.net/Documentos/631/08348594329/6310834859432914092023163120.jpeg","https://dpmzos25m8ivg.cloudfront.net/Documentos/631/08348594329/6310834859432914092023163120.jpeg")</f>
        <v>https://dpmzos25m8ivg.cloudfront.net/Documentos/631/08348594329/6310834859432914092023163120.jpeg</v>
      </c>
      <c r="G4057" s="5" t="str">
        <f>HYPERLINK("https://dpmzos25m8ivg.cloudfront.net/Documentos/631/08348594329/6310834859432914092023163049.jpeg","https://dpmzos25m8ivg.cloudfront.net/Documentos/631/08348594329/6310834859432914092023163049.jpeg")</f>
        <v>https://dpmzos25m8ivg.cloudfront.net/Documentos/631/08348594329/6310834859432914092023163049.jpeg</v>
      </c>
      <c r="H4057" s="5" t="s">
        <v>12633</v>
      </c>
    </row>
    <row r="4058" spans="1:8" x14ac:dyDescent="0.25">
      <c r="A4058" s="14" t="s">
        <v>4080</v>
      </c>
      <c r="B4058" s="3"/>
      <c r="C4058" s="3"/>
      <c r="D4058" s="3"/>
      <c r="E4058" s="5" t="str">
        <f>HYPERLINK("https://dpmzos25m8ivg.cloudfront.net/Documentos/631/08350478497/6310835047849714092023090223.pdf","https://dpmzos25m8ivg.cloudfront.net/Documentos/631/08350478497/6310835047849714092023090223.pdf")</f>
        <v>https://dpmzos25m8ivg.cloudfront.net/Documentos/631/08350478497/6310835047849714092023090223.pdf</v>
      </c>
      <c r="F4058" s="5" t="str">
        <f>HYPERLINK("https://dpmzos25m8ivg.cloudfront.net/Documentos/631/08350478497/6310835047849714092023090231.pdf","https://dpmzos25m8ivg.cloudfront.net/Documentos/631/08350478497/6310835047849714092023090231.pdf")</f>
        <v>https://dpmzos25m8ivg.cloudfront.net/Documentos/631/08350478497/6310835047849714092023090231.pdf</v>
      </c>
      <c r="G4058" s="5" t="str">
        <f>HYPERLINK("https://dpmzos25m8ivg.cloudfront.net/Documentos/631/08350478497/6310835047849714092023090240.pdf","https://dpmzos25m8ivg.cloudfront.net/Documentos/631/08350478497/6310835047849714092023090240.pdf")</f>
        <v>https://dpmzos25m8ivg.cloudfront.net/Documentos/631/08350478497/6310835047849714092023090240.pdf</v>
      </c>
      <c r="H4058" s="5" t="s">
        <v>12634</v>
      </c>
    </row>
    <row r="4059" spans="1:8" x14ac:dyDescent="0.25">
      <c r="A4059" s="14" t="s">
        <v>4081</v>
      </c>
      <c r="B4059" s="3"/>
      <c r="C4059" s="3"/>
      <c r="D4059" s="3"/>
      <c r="E4059" s="5" t="str">
        <f>HYPERLINK("https://dpmzos25m8ivg.cloudfront.net/Documentos/631/08351498114/6310835149811411092023152751.pdf","https://dpmzos25m8ivg.cloudfront.net/Documentos/631/08351498114/6310835149811411092023152751.pdf")</f>
        <v>https://dpmzos25m8ivg.cloudfront.net/Documentos/631/08351498114/6310835149811411092023152751.pdf</v>
      </c>
      <c r="F4059" s="5" t="str">
        <f>HYPERLINK("https://dpmzos25m8ivg.cloudfront.net/Documentos/631/08351498114/6310835149811411092023152805.pdf","https://dpmzos25m8ivg.cloudfront.net/Documentos/631/08351498114/6310835149811411092023152805.pdf")</f>
        <v>https://dpmzos25m8ivg.cloudfront.net/Documentos/631/08351498114/6310835149811411092023152805.pdf</v>
      </c>
      <c r="G4059" s="5" t="str">
        <f>HYPERLINK("https://dpmzos25m8ivg.cloudfront.net/Documentos/631/08351498114/6310835149811411092023152817.pdf","https://dpmzos25m8ivg.cloudfront.net/Documentos/631/08351498114/6310835149811411092023152817.pdf")</f>
        <v>https://dpmzos25m8ivg.cloudfront.net/Documentos/631/08351498114/6310835149811411092023152817.pdf</v>
      </c>
      <c r="H4059" s="5" t="s">
        <v>12635</v>
      </c>
    </row>
    <row r="4060" spans="1:8" x14ac:dyDescent="0.25">
      <c r="A4060" s="14" t="s">
        <v>4082</v>
      </c>
      <c r="B4060" s="3"/>
      <c r="C4060" s="3"/>
      <c r="D4060" s="3"/>
      <c r="E4060" s="5" t="str">
        <f>HYPERLINK("https://dpmzos25m8ivg.cloudfront.net/Documentos/631/08360933561/6310836093356114092023135722.pdf","https://dpmzos25m8ivg.cloudfront.net/Documentos/631/08360933561/6310836093356114092023135722.pdf")</f>
        <v>https://dpmzos25m8ivg.cloudfront.net/Documentos/631/08360933561/6310836093356114092023135722.pdf</v>
      </c>
      <c r="F4060" s="5" t="str">
        <f>HYPERLINK("https://dpmzos25m8ivg.cloudfront.net/Documentos/631/08360933561/6310836093356114092023135713.pdf","https://dpmzos25m8ivg.cloudfront.net/Documentos/631/08360933561/6310836093356114092023135713.pdf")</f>
        <v>https://dpmzos25m8ivg.cloudfront.net/Documentos/631/08360933561/6310836093356114092023135713.pdf</v>
      </c>
      <c r="G4060" s="5" t="str">
        <f>HYPERLINK("https://dpmzos25m8ivg.cloudfront.net/Documentos/631/08360933561/6310836093356114092023135733.pdf","https://dpmzos25m8ivg.cloudfront.net/Documentos/631/08360933561/6310836093356114092023135733.pdf")</f>
        <v>https://dpmzos25m8ivg.cloudfront.net/Documentos/631/08360933561/6310836093356114092023135733.pdf</v>
      </c>
      <c r="H4060" s="5" t="s">
        <v>12636</v>
      </c>
    </row>
    <row r="4061" spans="1:8" x14ac:dyDescent="0.25">
      <c r="A4061" s="14" t="s">
        <v>4083</v>
      </c>
      <c r="B4061" s="3"/>
      <c r="C4061" s="3"/>
      <c r="D4061" s="3"/>
      <c r="E4061" s="5" t="str">
        <f>HYPERLINK("https://dpmzos25m8ivg.cloudfront.net/Documentos/631/08372423474/6310837242347407092023190014.pdf","https://dpmzos25m8ivg.cloudfront.net/Documentos/631/08372423474/6310837242347407092023190014.pdf")</f>
        <v>https://dpmzos25m8ivg.cloudfront.net/Documentos/631/08372423474/6310837242347407092023190014.pdf</v>
      </c>
      <c r="F4061" s="5" t="str">
        <f>HYPERLINK("https://dpmzos25m8ivg.cloudfront.net/Documentos/631/08372423474/6310837242347407092023190035.pdf","https://dpmzos25m8ivg.cloudfront.net/Documentos/631/08372423474/6310837242347407092023190035.pdf")</f>
        <v>https://dpmzos25m8ivg.cloudfront.net/Documentos/631/08372423474/6310837242347407092023190035.pdf</v>
      </c>
      <c r="G4061" s="5" t="str">
        <f>HYPERLINK("https://dpmzos25m8ivg.cloudfront.net/Documentos/631/08372423474/6310837242347407092023190047.pdf","https://dpmzos25m8ivg.cloudfront.net/Documentos/631/08372423474/6310837242347407092023190047.pdf")</f>
        <v>https://dpmzos25m8ivg.cloudfront.net/Documentos/631/08372423474/6310837242347407092023190047.pdf</v>
      </c>
      <c r="H4061" s="5" t="s">
        <v>12637</v>
      </c>
    </row>
    <row r="4062" spans="1:8" x14ac:dyDescent="0.25">
      <c r="A4062" s="14" t="s">
        <v>4084</v>
      </c>
      <c r="B4062" s="3"/>
      <c r="C4062" s="3"/>
      <c r="D4062" s="3"/>
      <c r="E4062" s="5" t="str">
        <f>HYPERLINK("https://dpmzos25m8ivg.cloudfront.net/Documentos/631/08372979316/6310837297931611092023143632.jpg","https://dpmzos25m8ivg.cloudfront.net/Documentos/631/08372979316/6310837297931611092023143632.jpg")</f>
        <v>https://dpmzos25m8ivg.cloudfront.net/Documentos/631/08372979316/6310837297931611092023143632.jpg</v>
      </c>
      <c r="F4062" s="5" t="str">
        <f>HYPERLINK("https://dpmzos25m8ivg.cloudfront.net/Documentos/631/08372979316/6310837297931611092023143651.jpg","https://dpmzos25m8ivg.cloudfront.net/Documentos/631/08372979316/6310837297931611092023143651.jpg")</f>
        <v>https://dpmzos25m8ivg.cloudfront.net/Documentos/631/08372979316/6310837297931611092023143651.jpg</v>
      </c>
      <c r="G4062" s="5" t="str">
        <f>HYPERLINK("https://dpmzos25m8ivg.cloudfront.net/Documentos/631/08372979316/6310837297931611092023143712.jpg","https://dpmzos25m8ivg.cloudfront.net/Documentos/631/08372979316/6310837297931611092023143712.jpg")</f>
        <v>https://dpmzos25m8ivg.cloudfront.net/Documentos/631/08372979316/6310837297931611092023143712.jpg</v>
      </c>
      <c r="H4062" s="5" t="s">
        <v>12638</v>
      </c>
    </row>
    <row r="4063" spans="1:8" x14ac:dyDescent="0.25">
      <c r="A4063" s="14" t="s">
        <v>4085</v>
      </c>
      <c r="B4063" s="3"/>
      <c r="C4063" s="3"/>
      <c r="D4063" s="3"/>
      <c r="E4063" s="5" t="str">
        <f>HYPERLINK("https://dpmzos25m8ivg.cloudfront.net/Documentos/631/08375331805/6310837533180510092023221316.pdf","https://dpmzos25m8ivg.cloudfront.net/Documentos/631/08375331805/6310837533180510092023221316.pdf")</f>
        <v>https://dpmzos25m8ivg.cloudfront.net/Documentos/631/08375331805/6310837533180510092023221316.pdf</v>
      </c>
      <c r="F4063" s="5" t="str">
        <f>HYPERLINK("https://dpmzos25m8ivg.cloudfront.net/Documentos/631/08375331805/6310837533180510092023221324.pdf","https://dpmzos25m8ivg.cloudfront.net/Documentos/631/08375331805/6310837533180510092023221324.pdf")</f>
        <v>https://dpmzos25m8ivg.cloudfront.net/Documentos/631/08375331805/6310837533180510092023221324.pdf</v>
      </c>
      <c r="G4063" s="5" t="str">
        <f>HYPERLINK("https://dpmzos25m8ivg.cloudfront.net/Documentos/631/08375331805/6310837533180510092023221338.pdf","https://dpmzos25m8ivg.cloudfront.net/Documentos/631/08375331805/6310837533180510092023221338.pdf")</f>
        <v>https://dpmzos25m8ivg.cloudfront.net/Documentos/631/08375331805/6310837533180510092023221338.pdf</v>
      </c>
      <c r="H4063" s="5" t="s">
        <v>12639</v>
      </c>
    </row>
    <row r="4064" spans="1:8" x14ac:dyDescent="0.25">
      <c r="A4064" s="14" t="s">
        <v>4086</v>
      </c>
      <c r="B4064" s="19" t="s">
        <v>3385</v>
      </c>
      <c r="C4064" s="3"/>
      <c r="D4064" s="3"/>
      <c r="E4064" s="5" t="str">
        <f>HYPERLINK("https://dpmzos25m8ivg.cloudfront.net/Documentos/631/08379877683/6310837987768305092023111551.pdf","https://dpmzos25m8ivg.cloudfront.net/Documentos/631/08379877683/6310837987768305092023111551.pdf")</f>
        <v>https://dpmzos25m8ivg.cloudfront.net/Documentos/631/08379877683/6310837987768305092023111551.pdf</v>
      </c>
      <c r="F4064" s="5" t="str">
        <f>HYPERLINK("https://dpmzos25m8ivg.cloudfront.net/Documentos/631/08379877683/6310837987768305092023111558.pdf","https://dpmzos25m8ivg.cloudfront.net/Documentos/631/08379877683/6310837987768305092023111558.pdf")</f>
        <v>https://dpmzos25m8ivg.cloudfront.net/Documentos/631/08379877683/6310837987768305092023111558.pdf</v>
      </c>
      <c r="G4064" s="5" t="str">
        <f>HYPERLINK("https://dpmzos25m8ivg.cloudfront.net/Documentos/631/08379877683/6310837987768305092023111606.pdf","https://dpmzos25m8ivg.cloudfront.net/Documentos/631/08379877683/6310837987768305092023111606.pdf")</f>
        <v>https://dpmzos25m8ivg.cloudfront.net/Documentos/631/08379877683/6310837987768305092023111606.pdf</v>
      </c>
      <c r="H4064" s="5" t="s">
        <v>12640</v>
      </c>
    </row>
    <row r="4065" spans="1:8" x14ac:dyDescent="0.25">
      <c r="A4065" s="2" t="s">
        <v>4087</v>
      </c>
      <c r="B4065" s="19" t="s">
        <v>3785</v>
      </c>
      <c r="C4065" s="3"/>
      <c r="D4065" s="3"/>
      <c r="E4065" s="5" t="str">
        <f>HYPERLINK("https://dpmzos25m8ivg.cloudfront.net/Documentos/631/08381126177/6310838112617705092023135649.pdf","https://dpmzos25m8ivg.cloudfront.net/Documentos/631/08381126177/6310838112617705092023135649.pdf")</f>
        <v>https://dpmzos25m8ivg.cloudfront.net/Documentos/631/08381126177/6310838112617705092023135649.pdf</v>
      </c>
      <c r="F4065" s="5" t="str">
        <f>HYPERLINK("https://dpmzos25m8ivg.cloudfront.net/Documentos/631/08381126177/6310838112617705092023135755.pdf","https://dpmzos25m8ivg.cloudfront.net/Documentos/631/08381126177/6310838112617705092023135755.pdf")</f>
        <v>https://dpmzos25m8ivg.cloudfront.net/Documentos/631/08381126177/6310838112617705092023135755.pdf</v>
      </c>
      <c r="G4065" s="5" t="str">
        <f>HYPERLINK("https://dpmzos25m8ivg.cloudfront.net/Documentos/631/08381126177/6310838112617705092023135820.pdf","https://dpmzos25m8ivg.cloudfront.net/Documentos/631/08381126177/6310838112617705092023135820.pdf")</f>
        <v>https://dpmzos25m8ivg.cloudfront.net/Documentos/631/08381126177/6310838112617705092023135820.pdf</v>
      </c>
      <c r="H4065" s="5" t="s">
        <v>12641</v>
      </c>
    </row>
    <row r="4066" spans="1:8" x14ac:dyDescent="0.25">
      <c r="A4066" s="14" t="s">
        <v>4088</v>
      </c>
      <c r="B4066" s="3"/>
      <c r="C4066" s="3"/>
      <c r="D4066" s="3"/>
      <c r="E4066" s="5" t="str">
        <f>HYPERLINK("https://dpmzos25m8ivg.cloudfront.net/Documentos/631/08382535631/6310838253563110092023231800.pdf","https://dpmzos25m8ivg.cloudfront.net/Documentos/631/08382535631/6310838253563110092023231800.pdf")</f>
        <v>https://dpmzos25m8ivg.cloudfront.net/Documentos/631/08382535631/6310838253563110092023231800.pdf</v>
      </c>
      <c r="F4066" s="5" t="str">
        <f>HYPERLINK("https://dpmzos25m8ivg.cloudfront.net/Documentos/631/08382535631/6310838253563110092023231836.pdf","https://dpmzos25m8ivg.cloudfront.net/Documentos/631/08382535631/6310838253563110092023231836.pdf")</f>
        <v>https://dpmzos25m8ivg.cloudfront.net/Documentos/631/08382535631/6310838253563110092023231836.pdf</v>
      </c>
      <c r="G4066" s="5" t="str">
        <f>HYPERLINK("https://dpmzos25m8ivg.cloudfront.net/Documentos/631/08382535631/6310838253563110092023231816.pdf","https://dpmzos25m8ivg.cloudfront.net/Documentos/631/08382535631/6310838253563110092023231816.pdf")</f>
        <v>https://dpmzos25m8ivg.cloudfront.net/Documentos/631/08382535631/6310838253563110092023231816.pdf</v>
      </c>
      <c r="H4066" s="5" t="s">
        <v>12642</v>
      </c>
    </row>
    <row r="4067" spans="1:8" x14ac:dyDescent="0.25">
      <c r="A4067" s="14" t="s">
        <v>4089</v>
      </c>
      <c r="B4067" s="3"/>
      <c r="C4067" s="3"/>
      <c r="D4067" s="3"/>
      <c r="E4067" s="5" t="str">
        <f>HYPERLINK("https://dpmzos25m8ivg.cloudfront.net/Documentos/631/08390094533/6310839009453310092023125157.pdf","https://dpmzos25m8ivg.cloudfront.net/Documentos/631/08390094533/6310839009453310092023125157.pdf")</f>
        <v>https://dpmzos25m8ivg.cloudfront.net/Documentos/631/08390094533/6310839009453310092023125157.pdf</v>
      </c>
      <c r="F4067" s="5" t="str">
        <f>HYPERLINK("https://dpmzos25m8ivg.cloudfront.net/Documentos/631/08390094533/6310839009453310092023125205.pdf","https://dpmzos25m8ivg.cloudfront.net/Documentos/631/08390094533/6310839009453310092023125205.pdf")</f>
        <v>https://dpmzos25m8ivg.cloudfront.net/Documentos/631/08390094533/6310839009453310092023125205.pdf</v>
      </c>
      <c r="G4067" s="5" t="str">
        <f>HYPERLINK("https://dpmzos25m8ivg.cloudfront.net/Documentos/631/08390094533/6310839009453310092023125212.pdf","https://dpmzos25m8ivg.cloudfront.net/Documentos/631/08390094533/6310839009453310092023125212.pdf")</f>
        <v>https://dpmzos25m8ivg.cloudfront.net/Documentos/631/08390094533/6310839009453310092023125212.pdf</v>
      </c>
      <c r="H4067" s="5" t="s">
        <v>12643</v>
      </c>
    </row>
    <row r="4068" spans="1:8" x14ac:dyDescent="0.25">
      <c r="A4068" s="14" t="s">
        <v>4090</v>
      </c>
      <c r="B4068" s="3"/>
      <c r="C4068" s="3"/>
      <c r="D4068" s="3"/>
      <c r="E4068" s="5" t="str">
        <f>HYPERLINK("https://dpmzos25m8ivg.cloudfront.net/Documentos/631/08390938618/6310839093861807092023221636.pdf","https://dpmzos25m8ivg.cloudfront.net/Documentos/631/08390938618/6310839093861807092023221636.pdf")</f>
        <v>https://dpmzos25m8ivg.cloudfront.net/Documentos/631/08390938618/6310839093861807092023221636.pdf</v>
      </c>
      <c r="F4068" s="5" t="str">
        <f>HYPERLINK("https://dpmzos25m8ivg.cloudfront.net/Documentos/631/08390938618/6310839093861807092023221652.pdf","https://dpmzos25m8ivg.cloudfront.net/Documentos/631/08390938618/6310839093861807092023221652.pdf")</f>
        <v>https://dpmzos25m8ivg.cloudfront.net/Documentos/631/08390938618/6310839093861807092023221652.pdf</v>
      </c>
      <c r="G4068" s="5" t="str">
        <f>HYPERLINK("https://dpmzos25m8ivg.cloudfront.net/Documentos/631/08390938618/6310839093861807092023221709.pdf","https://dpmzos25m8ivg.cloudfront.net/Documentos/631/08390938618/6310839093861807092023221709.pdf")</f>
        <v>https://dpmzos25m8ivg.cloudfront.net/Documentos/631/08390938618/6310839093861807092023221709.pdf</v>
      </c>
      <c r="H4068" s="5" t="s">
        <v>12644</v>
      </c>
    </row>
    <row r="4069" spans="1:8" x14ac:dyDescent="0.25">
      <c r="A4069" s="14" t="s">
        <v>4091</v>
      </c>
      <c r="B4069" s="3"/>
      <c r="C4069" s="3"/>
      <c r="D4069" s="3"/>
      <c r="E4069" s="5" t="str">
        <f>HYPERLINK("https://dpmzos25m8ivg.cloudfront.net/Documentos/631/08393706793/6310839370679308092023230317.jpg","https://dpmzos25m8ivg.cloudfront.net/Documentos/631/08393706793/6310839370679308092023230317.jpg")</f>
        <v>https://dpmzos25m8ivg.cloudfront.net/Documentos/631/08393706793/6310839370679308092023230317.jpg</v>
      </c>
      <c r="F4069" s="5" t="str">
        <f>HYPERLINK("https://dpmzos25m8ivg.cloudfront.net/Documentos/631/08393706793/6310839370679308092023231337.jpg","https://dpmzos25m8ivg.cloudfront.net/Documentos/631/08393706793/6310839370679308092023231337.jpg")</f>
        <v>https://dpmzos25m8ivg.cloudfront.net/Documentos/631/08393706793/6310839370679308092023231337.jpg</v>
      </c>
      <c r="G4069" s="5" t="str">
        <f>HYPERLINK("https://dpmzos25m8ivg.cloudfront.net/Documentos/631/08393706793/6310839370679308092023231419.jpg","https://dpmzos25m8ivg.cloudfront.net/Documentos/631/08393706793/6310839370679308092023231419.jpg")</f>
        <v>https://dpmzos25m8ivg.cloudfront.net/Documentos/631/08393706793/6310839370679308092023231419.jpg</v>
      </c>
      <c r="H4069" s="5" t="s">
        <v>12645</v>
      </c>
    </row>
    <row r="4070" spans="1:8" x14ac:dyDescent="0.25">
      <c r="A4070" s="14" t="s">
        <v>4092</v>
      </c>
      <c r="B4070" s="3"/>
      <c r="C4070" s="3"/>
      <c r="D4070" s="3"/>
      <c r="E4070" s="5" t="str">
        <f>HYPERLINK("https://dpmzos25m8ivg.cloudfront.net/Documentos/631/08398892757/6310839889275711092023124042.pdf","https://dpmzos25m8ivg.cloudfront.net/Documentos/631/08398892757/6310839889275711092023124042.pdf")</f>
        <v>https://dpmzos25m8ivg.cloudfront.net/Documentos/631/08398892757/6310839889275711092023124042.pdf</v>
      </c>
      <c r="F4070" s="5" t="str">
        <f>HYPERLINK("https://dpmzos25m8ivg.cloudfront.net/Documentos/631/08398892757/6310839889275711092023124057.pdf","https://dpmzos25m8ivg.cloudfront.net/Documentos/631/08398892757/6310839889275711092023124057.pdf")</f>
        <v>https://dpmzos25m8ivg.cloudfront.net/Documentos/631/08398892757/6310839889275711092023124057.pdf</v>
      </c>
      <c r="G4070" s="5" t="str">
        <f>HYPERLINK("https://dpmzos25m8ivg.cloudfront.net/Documentos/631/08398892757/6310839889275711092023124136.pdf","https://dpmzos25m8ivg.cloudfront.net/Documentos/631/08398892757/6310839889275711092023124136.pdf")</f>
        <v>https://dpmzos25m8ivg.cloudfront.net/Documentos/631/08398892757/6310839889275711092023124136.pdf</v>
      </c>
      <c r="H4070" s="5" t="s">
        <v>12646</v>
      </c>
    </row>
    <row r="4071" spans="1:8" x14ac:dyDescent="0.25">
      <c r="A4071" s="14" t="s">
        <v>4093</v>
      </c>
      <c r="B4071" s="3"/>
      <c r="C4071" s="3"/>
      <c r="D4071" s="3"/>
      <c r="E4071" s="5" t="str">
        <f>HYPERLINK("https://dpmzos25m8ivg.cloudfront.net/Documentos/631/08399354716/6310839935471605092023194943.pdf","https://dpmzos25m8ivg.cloudfront.net/Documentos/631/08399354716/6310839935471605092023194943.pdf")</f>
        <v>https://dpmzos25m8ivg.cloudfront.net/Documentos/631/08399354716/6310839935471605092023194943.pdf</v>
      </c>
      <c r="F4071" s="5" t="str">
        <f>HYPERLINK("https://dpmzos25m8ivg.cloudfront.net/Documentos/631/08399354716/6310839935471605092023195002.pdf","https://dpmzos25m8ivg.cloudfront.net/Documentos/631/08399354716/6310839935471605092023195002.pdf")</f>
        <v>https://dpmzos25m8ivg.cloudfront.net/Documentos/631/08399354716/6310839935471605092023195002.pdf</v>
      </c>
      <c r="G4071" s="5" t="str">
        <f>HYPERLINK("https://dpmzos25m8ivg.cloudfront.net/Documentos/631/08399354716/6310839935471605092023195017.pdf","https://dpmzos25m8ivg.cloudfront.net/Documentos/631/08399354716/6310839935471605092023195017.pdf")</f>
        <v>https://dpmzos25m8ivg.cloudfront.net/Documentos/631/08399354716/6310839935471605092023195017.pdf</v>
      </c>
      <c r="H4071" s="5" t="s">
        <v>12647</v>
      </c>
    </row>
    <row r="4072" spans="1:8" x14ac:dyDescent="0.25">
      <c r="A4072" s="14" t="s">
        <v>4094</v>
      </c>
      <c r="B4072" s="3"/>
      <c r="C4072" s="3"/>
      <c r="D4072" s="3"/>
      <c r="E4072" s="5" t="str">
        <f>HYPERLINK("https://dpmzos25m8ivg.cloudfront.net/Documentos/631/08401893623/6310840189362309092023134505.pdf","https://dpmzos25m8ivg.cloudfront.net/Documentos/631/08401893623/6310840189362309092023134505.pdf")</f>
        <v>https://dpmzos25m8ivg.cloudfront.net/Documentos/631/08401893623/6310840189362309092023134505.pdf</v>
      </c>
      <c r="F4072" s="5" t="str">
        <f>HYPERLINK("https://dpmzos25m8ivg.cloudfront.net/Documentos/631/08401893623/6310840189362309092023134533.pdf","https://dpmzos25m8ivg.cloudfront.net/Documentos/631/08401893623/6310840189362309092023134533.pdf")</f>
        <v>https://dpmzos25m8ivg.cloudfront.net/Documentos/631/08401893623/6310840189362309092023134533.pdf</v>
      </c>
      <c r="G4072" s="5" t="str">
        <f>HYPERLINK("https://dpmzos25m8ivg.cloudfront.net/Documentos/631/08401893623/6310840189362309092023134603.pdf","https://dpmzos25m8ivg.cloudfront.net/Documentos/631/08401893623/6310840189362309092023134603.pdf")</f>
        <v>https://dpmzos25m8ivg.cloudfront.net/Documentos/631/08401893623/6310840189362309092023134603.pdf</v>
      </c>
      <c r="H4072" s="5" t="s">
        <v>12648</v>
      </c>
    </row>
    <row r="4073" spans="1:8" x14ac:dyDescent="0.25">
      <c r="A4073" s="14" t="s">
        <v>4095</v>
      </c>
      <c r="B4073" s="3"/>
      <c r="C4073" s="3"/>
      <c r="D4073" s="3"/>
      <c r="E4073" s="5" t="str">
        <f>HYPERLINK("https://dpmzos25m8ivg.cloudfront.net/Documentos/631/08408216546/6310840821654611092023124245.pdf","https://dpmzos25m8ivg.cloudfront.net/Documentos/631/08408216546/6310840821654611092023124245.pdf")</f>
        <v>https://dpmzos25m8ivg.cloudfront.net/Documentos/631/08408216546/6310840821654611092023124245.pdf</v>
      </c>
      <c r="F4073" s="5" t="str">
        <f>HYPERLINK("https://dpmzos25m8ivg.cloudfront.net/Documentos/631/08408216546/6310840821654611092023124425.pdf","https://dpmzos25m8ivg.cloudfront.net/Documentos/631/08408216546/6310840821654611092023124425.pdf")</f>
        <v>https://dpmzos25m8ivg.cloudfront.net/Documentos/631/08408216546/6310840821654611092023124425.pdf</v>
      </c>
      <c r="G4073" s="5" t="str">
        <f>HYPERLINK("https://dpmzos25m8ivg.cloudfront.net/Documentos/631/08408216546/6310840821654611092023124437.pdf","https://dpmzos25m8ivg.cloudfront.net/Documentos/631/08408216546/6310840821654611092023124437.pdf")</f>
        <v>https://dpmzos25m8ivg.cloudfront.net/Documentos/631/08408216546/6310840821654611092023124437.pdf</v>
      </c>
      <c r="H4073" s="5" t="s">
        <v>12649</v>
      </c>
    </row>
    <row r="4074" spans="1:8" x14ac:dyDescent="0.25">
      <c r="A4074" s="14" t="s">
        <v>4096</v>
      </c>
      <c r="B4074" s="3"/>
      <c r="C4074" s="3"/>
      <c r="D4074" s="3"/>
      <c r="E4074" s="5" t="str">
        <f>HYPERLINK("https://dpmzos25m8ivg.cloudfront.net/Documentos/631/08408731580/6310840873158011092023162100.pdf","https://dpmzos25m8ivg.cloudfront.net/Documentos/631/08408731580/6310840873158011092023162100.pdf")</f>
        <v>https://dpmzos25m8ivg.cloudfront.net/Documentos/631/08408731580/6310840873158011092023162100.pdf</v>
      </c>
      <c r="F4074" s="5" t="str">
        <f>HYPERLINK("https://dpmzos25m8ivg.cloudfront.net/Documentos/631/08408731580/6310840873158011092023162108.pdf","https://dpmzos25m8ivg.cloudfront.net/Documentos/631/08408731580/6310840873158011092023162108.pdf")</f>
        <v>https://dpmzos25m8ivg.cloudfront.net/Documentos/631/08408731580/6310840873158011092023162108.pdf</v>
      </c>
      <c r="G4074" s="5" t="str">
        <f>HYPERLINK("https://dpmzos25m8ivg.cloudfront.net/Documentos/631/08408731580/6310840873158011092023162115.pdf","https://dpmzos25m8ivg.cloudfront.net/Documentos/631/08408731580/6310840873158011092023162115.pdf")</f>
        <v>https://dpmzos25m8ivg.cloudfront.net/Documentos/631/08408731580/6310840873158011092023162115.pdf</v>
      </c>
      <c r="H4074" s="5" t="s">
        <v>12650</v>
      </c>
    </row>
    <row r="4075" spans="1:8" x14ac:dyDescent="0.25">
      <c r="A4075" s="14" t="s">
        <v>4097</v>
      </c>
      <c r="B4075" s="3"/>
      <c r="C4075" s="3"/>
      <c r="D4075" s="3"/>
      <c r="E4075" s="5" t="str">
        <f>HYPERLINK("https://dpmzos25m8ivg.cloudfront.net/Documentos/631/08412318773/6310841231877311092023161503.pdf","https://dpmzos25m8ivg.cloudfront.net/Documentos/631/08412318773/6310841231877311092023161503.pdf")</f>
        <v>https://dpmzos25m8ivg.cloudfront.net/Documentos/631/08412318773/6310841231877311092023161503.pdf</v>
      </c>
      <c r="F4075" s="5" t="str">
        <f>HYPERLINK("https://dpmzos25m8ivg.cloudfront.net/Documentos/631/08412318773/6310841231877311092023161516.pdf","https://dpmzos25m8ivg.cloudfront.net/Documentos/631/08412318773/6310841231877311092023161516.pdf")</f>
        <v>https://dpmzos25m8ivg.cloudfront.net/Documentos/631/08412318773/6310841231877311092023161516.pdf</v>
      </c>
      <c r="G4075" s="5" t="str">
        <f>HYPERLINK("https://dpmzos25m8ivg.cloudfront.net/Documentos/631/08412318773/6310841231877311092023161531.pdf","https://dpmzos25m8ivg.cloudfront.net/Documentos/631/08412318773/6310841231877311092023161531.pdf")</f>
        <v>https://dpmzos25m8ivg.cloudfront.net/Documentos/631/08412318773/6310841231877311092023161531.pdf</v>
      </c>
      <c r="H4075" s="5" t="s">
        <v>12651</v>
      </c>
    </row>
    <row r="4076" spans="1:8" x14ac:dyDescent="0.25">
      <c r="A4076" s="14" t="s">
        <v>4098</v>
      </c>
      <c r="B4076" s="3"/>
      <c r="C4076" s="3"/>
      <c r="D4076" s="3"/>
      <c r="E4076" s="5" t="str">
        <f>HYPERLINK("https://dpmzos25m8ivg.cloudfront.net/Documentos/631/08414154557/6310841415455713092023160957.pdf","https://dpmzos25m8ivg.cloudfront.net/Documentos/631/08414154557/6310841415455713092023160957.pdf")</f>
        <v>https://dpmzos25m8ivg.cloudfront.net/Documentos/631/08414154557/6310841415455713092023160957.pdf</v>
      </c>
      <c r="F4076" s="5" t="str">
        <f>HYPERLINK("https://dpmzos25m8ivg.cloudfront.net/Documentos/631/08414154557/6310841415455713092023161017.pdf","https://dpmzos25m8ivg.cloudfront.net/Documentos/631/08414154557/6310841415455713092023161017.pdf")</f>
        <v>https://dpmzos25m8ivg.cloudfront.net/Documentos/631/08414154557/6310841415455713092023161017.pdf</v>
      </c>
      <c r="G4076" s="5" t="str">
        <f>HYPERLINK("https://dpmzos25m8ivg.cloudfront.net/Documentos/631/08414154557/6310841415455713092023161025.pdf","https://dpmzos25m8ivg.cloudfront.net/Documentos/631/08414154557/6310841415455713092023161025.pdf")</f>
        <v>https://dpmzos25m8ivg.cloudfront.net/Documentos/631/08414154557/6310841415455713092023161025.pdf</v>
      </c>
      <c r="H4076" s="5" t="s">
        <v>12652</v>
      </c>
    </row>
    <row r="4077" spans="1:8" x14ac:dyDescent="0.25">
      <c r="A4077" s="2" t="s">
        <v>4099</v>
      </c>
      <c r="B4077" s="19" t="s">
        <v>3785</v>
      </c>
      <c r="C4077" s="3"/>
      <c r="D4077" s="3"/>
      <c r="E4077" s="5" t="str">
        <f>HYPERLINK("https://dpmzos25m8ivg.cloudfront.net/Documentos/631/08419081175/6310841908117511092023153850.pdf","https://dpmzos25m8ivg.cloudfront.net/Documentos/631/08419081175/6310841908117511092023153850.pdf")</f>
        <v>https://dpmzos25m8ivg.cloudfront.net/Documentos/631/08419081175/6310841908117511092023153850.pdf</v>
      </c>
      <c r="F4077" s="5" t="str">
        <f>HYPERLINK("https://dpmzos25m8ivg.cloudfront.net/Documentos/S1020631/08419081175/6310841908117511092023153912.pdf","https://dpmzos25m8ivg.cloudfront.net/Documentos/631/08419081175/6310841908117511092023153912.pdf")</f>
        <v>https://dpmzos25m8ivg.cloudfront.net/Documentos/631/08419081175/6310841908117511092023153912.pdf</v>
      </c>
      <c r="G4077" s="5" t="str">
        <f>HYPERLINK("https://dpmzos25m8ivg.cloudfront.net/Documentos/631/08419081175/6310841908117511092023153928.pdf","https://dpmzos25m8ivg.cloudfront.net/Documentos/631/08419081175/6310841908117511092023153928.pdf")</f>
        <v>https://dpmzos25m8ivg.cloudfront.net/Documentos/631/08419081175/6310841908117511092023153928.pdf</v>
      </c>
      <c r="H4077" s="5" t="s">
        <v>12653</v>
      </c>
    </row>
    <row r="4078" spans="1:8" x14ac:dyDescent="0.25">
      <c r="A4078" s="14" t="s">
        <v>4100</v>
      </c>
      <c r="B4078" s="19" t="s">
        <v>3385</v>
      </c>
      <c r="C4078" s="3"/>
      <c r="D4078" s="3"/>
      <c r="E4078" s="5" t="str">
        <f>HYPERLINK("https://dpmzos25m8ivg.cloudfront.net/Documentos/631/08419625370/6310841962537005092023203119.pdf","https://dpmzos25m8ivg.cloudfront.net/Documentos/631/08419625370/6310841962537005092023203119.pdf")</f>
        <v>https://dpmzos25m8ivg.cloudfront.net/Documentos/631/08419625370/6310841962537005092023203119.pdf</v>
      </c>
      <c r="F4078" s="5" t="str">
        <f>HYPERLINK("https://dpmzos25m8ivg.cloudfront.net/Documentos/631/08419625370/6310841962537005092023203133.pdf","https://dpmzos25m8ivg.cloudfront.net/Documentos/631/08419625370/6310841962537005092023203133.pdf")</f>
        <v>https://dpmzos25m8ivg.cloudfront.net/Documentos/631/08419625370/6310841962537005092023203133.pdf</v>
      </c>
      <c r="G4078" s="5" t="str">
        <f>HYPERLINK("https://dpmzos25m8ivg.cloudfront.net/Documentos/631/08419625370/6310841962537005092023203145.pdf","https://dpmzos25m8ivg.cloudfront.net/Documentos/631/08419625370/6310841962537005092023203145.pdf")</f>
        <v>https://dpmzos25m8ivg.cloudfront.net/Documentos/631/08419625370/6310841962537005092023203145.pdf</v>
      </c>
      <c r="H4078" s="5" t="s">
        <v>12654</v>
      </c>
    </row>
    <row r="4079" spans="1:8" x14ac:dyDescent="0.25">
      <c r="A4079" s="2" t="s">
        <v>4101</v>
      </c>
      <c r="B4079" s="3" t="s">
        <v>8</v>
      </c>
      <c r="C4079" s="3"/>
      <c r="D4079" s="3"/>
      <c r="E4079" s="5" t="str">
        <f>HYPERLINK("https://dpmzos25m8ivg.cloudfront.net/Documentos/631/08422107414/6310842210741414092023154811.jpeg","https://dpmzos25m8ivg.cloudfront.net/Documentos/631/08422107414/6310842210741414092023154811.jpeg")</f>
        <v>https://dpmzos25m8ivg.cloudfront.net/Documentos/631/08422107414/6310842210741414092023154811.jpeg</v>
      </c>
      <c r="F4079" s="5" t="str">
        <f>HYPERLINK("https://dpmzos25m8ivg.cloudfront.net/Documentos/631/08422107414/6310842210741414092023154819.jpeg","https://dpmzos25m8ivg.cloudfront.net/Documentos/631/08422107414/6310842210741414092023154819.jpeg")</f>
        <v>https://dpmzos25m8ivg.cloudfront.net/Documentos/631/08422107414/6310842210741414092023154819.jpeg</v>
      </c>
      <c r="G4079" s="5" t="str">
        <f>HYPERLINK("https://dpmzos25m8ivg.cloudfront.net/Documentos/631/08422107414/6310842210741414092023154826.jpeg","https://dpmzos25m8ivg.cloudfront.net/Documentos/631/08422107414/6310842210741414092023154826.jpeg")</f>
        <v>https://dpmzos25m8ivg.cloudfront.net/Documentos/631/08422107414/6310842210741414092023154826.jpeg</v>
      </c>
      <c r="H4079" s="5" t="s">
        <v>12655</v>
      </c>
    </row>
    <row r="4080" spans="1:8" x14ac:dyDescent="0.25">
      <c r="A4080" s="2" t="s">
        <v>4102</v>
      </c>
      <c r="B4080" s="3"/>
      <c r="C4080" s="3"/>
      <c r="D4080" s="3"/>
      <c r="E4080" s="5" t="str">
        <f>HYPERLINK("https://dpmzos25m8ivg.cloudfront.net/Documentos/631/08433262475/6310843326247511092023082250.jpeg","https://dpmzos25m8ivg.cloudfront.net/Documentos/631/08433262475/6310843326247511092023082250.jpeg")</f>
        <v>https://dpmzos25m8ivg.cloudfront.net/Documentos/631/08433262475/6310843326247511092023082250.jpeg</v>
      </c>
      <c r="F4080" s="5" t="str">
        <f>HYPERLINK("https://dpmzos25m8ivg.cloudfront.net/Documentos/631/08433262475/6310843326247511092023082342.jpeg","https://dpmzos25m8ivg.cloudfront.net/Documentos/631/08433262475/6310843326247511092023082342.jpeg")</f>
        <v>https://dpmzos25m8ivg.cloudfront.net/Documentos/631/08433262475/6310843326247511092023082342.jpeg</v>
      </c>
      <c r="G4080" s="5" t="str">
        <f>HYPERLINK("https://dpmzos25m8ivg.cloudfront.net/Documentos/631/08433262475/6310843326247511092023082427.jpeg","https://dpmzos25m8ivg.cloudfront.net/Documentos/631/08433262475/6310843326247511092023082427.jpeg")</f>
        <v>https://dpmzos25m8ivg.cloudfront.net/Documentos/631/08433262475/6310843326247511092023082427.jpeg</v>
      </c>
      <c r="H4080" s="5" t="s">
        <v>12656</v>
      </c>
    </row>
    <row r="4081" spans="1:8" x14ac:dyDescent="0.25">
      <c r="A4081" s="2" t="s">
        <v>4103</v>
      </c>
      <c r="B4081" s="3"/>
      <c r="C4081" s="3"/>
      <c r="D4081" s="3"/>
      <c r="E4081" s="5" t="str">
        <f>HYPERLINK("https://dpmzos25m8ivg.cloudfront.net/Documentos/631/08433515519/6310843351551911092023135459.pdf","https://dpmzos25m8ivg.cloudfront.net/Documentos/631/08433515519/6310843351551911092023135459.pdf")</f>
        <v>https://dpmzos25m8ivg.cloudfront.net/Documentos/631/08433515519/6310843351551911092023135459.pdf</v>
      </c>
      <c r="F4081" s="5" t="str">
        <f>HYPERLINK("https://dpmzos25m8ivg.cloudfront.net/Documentos/631/08433515519/6310843351551911092023140025.pdf","https://dpmzos25m8ivg.cloudfront.net/Documentos/631/08433515519/6310843351551911092023140025.pdf")</f>
        <v>https://dpmzos25m8ivg.cloudfront.net/Documentos/631/08433515519/6310843351551911092023140025.pdf</v>
      </c>
      <c r="G4081" s="5" t="str">
        <f>HYPERLINK("https://dpmzos25m8ivg.cloudfront.net/Documentos/631/08433515519/6310843351551911092023140220.pdf","https://dpmzos25m8ivg.cloudfront.net/Documentos/631/08433515519/6310843351551911092023140220.pdf")</f>
        <v>https://dpmzos25m8ivg.cloudfront.net/Documentos/631/08433515519/6310843351551911092023140220.pdf</v>
      </c>
      <c r="H4081" s="5" t="s">
        <v>12657</v>
      </c>
    </row>
    <row r="4082" spans="1:8" x14ac:dyDescent="0.25">
      <c r="A4082" s="2" t="s">
        <v>4104</v>
      </c>
      <c r="B4082" s="3"/>
      <c r="C4082" s="3"/>
      <c r="D4082" s="3"/>
      <c r="E4082" s="5" t="str">
        <f>HYPERLINK("https://dpmzos25m8ivg.cloudfront.net/Documentos/631/08435649547/6310843564954713092023183102.pdf","https://dpmzos25m8ivg.cloudfront.net/Documentos/631/08435649547/6310843564954713092023183102.pdf")</f>
        <v>https://dpmzos25m8ivg.cloudfront.net/Documentos/631/08435649547/6310843564954713092023183102.pdf</v>
      </c>
      <c r="F4082" s="5" t="str">
        <f>HYPERLINK("https://dpmzos25m8ivg.cloudfront.net/Documentos/631/08435649547/6310843564954713092023183114.pdf","https://dpmzos25m8ivg.cloudfront.net/Documentos/631/08435649547/6310843564954713092023183114.pdf")</f>
        <v>https://dpmzos25m8ivg.cloudfront.net/Documentos/631/08435649547/6310843564954713092023183114.pdf</v>
      </c>
      <c r="G4082" s="5" t="str">
        <f>HYPERLINK("https://dpmzos25m8ivg.cloudfront.net/Documentos/631/08435649547/6310843564954713092023183126.pdf","https://dpmzos25m8ivg.cloudfront.net/Documentos/631/08435649547/6310843564954713092023183126.pdf")</f>
        <v>https://dpmzos25m8ivg.cloudfront.net/Documentos/631/08435649547/6310843564954713092023183126.pdf</v>
      </c>
      <c r="H4082" s="5" t="s">
        <v>12658</v>
      </c>
    </row>
    <row r="4083" spans="1:8" x14ac:dyDescent="0.25">
      <c r="A4083" s="2" t="s">
        <v>4105</v>
      </c>
      <c r="B4083" s="3" t="s">
        <v>8</v>
      </c>
      <c r="C4083" s="3"/>
      <c r="D4083" s="3"/>
      <c r="E4083" s="5" t="str">
        <f>HYPERLINK("https://dpmzos25m8ivg.cloudfront.net/Documentos/631/08436062582/6310843606258205092023111052.pdf","https://dpmzos25m8ivg.cloudfront.net/Documentos/631/08436062582/6310843606258205092023111052.pdf")</f>
        <v>https://dpmzos25m8ivg.cloudfront.net/Documentos/631/08436062582/6310843606258205092023111052.pdf</v>
      </c>
      <c r="F4083" s="5" t="str">
        <f>HYPERLINK("https://dpmzos25m8ivg.cloudfront.net/Documentos/631/08436062582/6310843606258205092023111110.pdf","https://dpmzos25m8ivg.cloudfront.net/Documentos/631/08436062582/6310843606258205092023111110.pdf")</f>
        <v>https://dpmzos25m8ivg.cloudfront.net/Documentos/631/08436062582/6310843606258205092023111110.pdf</v>
      </c>
      <c r="G4083" s="5" t="str">
        <f>HYPERLINK("https://dpmzos25m8ivg.cloudfront.net/Documentos/631/08436062582/6310843606258205092023111125.pdf","https://dpmzos25m8ivg.cloudfront.net/Documentos/631/08436062582/6310843606258205092023111125.pdf")</f>
        <v>https://dpmzos25m8ivg.cloudfront.net/Documentos/631/08436062582/6310843606258205092023111125.pdf</v>
      </c>
      <c r="H4083" s="5" t="s">
        <v>12659</v>
      </c>
    </row>
    <row r="4084" spans="1:8" x14ac:dyDescent="0.25">
      <c r="A4084" s="2" t="s">
        <v>4106</v>
      </c>
      <c r="B4084" s="3"/>
      <c r="C4084" s="3"/>
      <c r="D4084" s="3"/>
      <c r="E4084" s="5" t="str">
        <f>HYPERLINK("https://dpmzos25m8ivg.cloudfront.net/Documentos/631/08439182503/6310843918250314092023150342.pdf","https://dpmzos25m8ivg.cloudfront.net/Documentos/631/08439182503/6310843918250314092023150342.pdf")</f>
        <v>https://dpmzos25m8ivg.cloudfront.net/Documentos/631/08439182503/6310843918250314092023150342.pdf</v>
      </c>
      <c r="F4084" s="5" t="str">
        <f>HYPERLINK("https://dpmzos25m8ivg.cloudfront.net/Documentos/631/08439182503/6310843918250314092023150351.pdf","https://dpmzos25m8ivg.cloudfront.net/Documentos/631/08439182503/6310843918250314092023150351.pdf")</f>
        <v>https://dpmzos25m8ivg.cloudfront.net/Documentos/631/08439182503/6310843918250314092023150351.pdf</v>
      </c>
      <c r="G4084" s="5" t="str">
        <f>HYPERLINK("https://dpmzos25m8ivg.cloudfront.net/Documentos/631/08439182503/6310843918250314092023150401.pdf","https://dpmzos25m8ivg.cloudfront.net/Documentos/631/08439182503/6310843918250314092023150401.pdf")</f>
        <v>https://dpmzos25m8ivg.cloudfront.net/Documentos/631/08439182503/6310843918250314092023150401.pdf</v>
      </c>
      <c r="H4084" s="5" t="s">
        <v>12660</v>
      </c>
    </row>
    <row r="4085" spans="1:8" x14ac:dyDescent="0.25">
      <c r="A4085" s="2" t="s">
        <v>4107</v>
      </c>
      <c r="B4085" s="3"/>
      <c r="C4085" s="3"/>
      <c r="D4085" s="3"/>
      <c r="E4085" s="5" t="str">
        <f>HYPERLINK("https://dpmzos25m8ivg.cloudfront.net/Documentos/631/08440052740/6310844005274011092023092416.pdf","https://dpmzos25m8ivg.cloudfront.net/Documentos/631/08440052740/6310844005274011092023092416.pdf")</f>
        <v>https://dpmzos25m8ivg.cloudfront.net/Documentos/631/08440052740/6310844005274011092023092416.pdf</v>
      </c>
      <c r="F4085" s="5" t="str">
        <f>HYPERLINK("https://dpmzos25m8ivg.cloudfront.net/Documentos/631/08440052740/6310844005274011092023092631.pdf","https://dpmzos25m8ivg.cloudfront.net/Documentos/631/08440052740/6310844005274011092023092631.pdf")</f>
        <v>https://dpmzos25m8ivg.cloudfront.net/Documentos/631/08440052740/6310844005274011092023092631.pdf</v>
      </c>
      <c r="G4085" s="5" t="str">
        <f>HYPERLINK("https://dpmzos25m8ivg.cloudfront.net/Documentos/631/08440052740/6310844005274011092023092657.pdf","https://dpmzos25m8ivg.cloudfront.net/Documentos/631/08440052740/6310844005274011092023092657.pdf")</f>
        <v>https://dpmzos25m8ivg.cloudfront.net/Documentos/631/08440052740/6310844005274011092023092657.pdf</v>
      </c>
      <c r="H4085" s="5" t="s">
        <v>12661</v>
      </c>
    </row>
    <row r="4086" spans="1:8" x14ac:dyDescent="0.25">
      <c r="A4086" s="2" t="s">
        <v>4108</v>
      </c>
      <c r="B4086" s="3"/>
      <c r="C4086" s="3"/>
      <c r="D4086" s="3"/>
      <c r="E4086" s="5" t="str">
        <f>HYPERLINK("https://dpmzos25m8ivg.cloudfront.net/Documentos/631/08440088507/6310844008850711092023145554.pdf","https://dpmzos25m8ivg.cloudfront.net/Documentos/631/08440088507/6310844008850711092023145554.pdf")</f>
        <v>https://dpmzos25m8ivg.cloudfront.net/Documentos/631/08440088507/6310844008850711092023145554.pdf</v>
      </c>
      <c r="F4086" s="5" t="str">
        <f>HYPERLINK("https://dpmzos25m8ivg.cloudfront.net/Documentos/631/08440088507/6310844008850711092023145611.pdf","https://dpmzos25m8ivg.cloudfront.net/Documentos/631/08440088507/6310844008850711092023145611.pdf")</f>
        <v>https://dpmzos25m8ivg.cloudfront.net/Documentos/631/08440088507/6310844008850711092023145611.pdf</v>
      </c>
      <c r="G4086" s="5" t="str">
        <f>HYPERLINK("https://dpmzos25m8ivg.cloudfront.net/Documentos/631/08440088507/6310844008850711092023145628.pdf","https://dpmzos25m8ivg.cloudfront.net/Documentos/631/08440088507/6310844008850711092023145628.pdf")</f>
        <v>https://dpmzos25m8ivg.cloudfront.net/Documentos/631/08440088507/6310844008850711092023145628.pdf</v>
      </c>
      <c r="H4086" s="5" t="s">
        <v>12662</v>
      </c>
    </row>
    <row r="4087" spans="1:8" x14ac:dyDescent="0.25">
      <c r="A4087" s="2" t="s">
        <v>4109</v>
      </c>
      <c r="B4087" s="3"/>
      <c r="C4087" s="3"/>
      <c r="D4087" s="3"/>
      <c r="E4087" s="5" t="str">
        <f>HYPERLINK("https://dpmzos25m8ivg.cloudfront.net/Documentos/631/08441150532/6310844115053208092023183843.pdf","https://dpmzos25m8ivg.cloudfront.net/Documentos/631/08441150532/6310844115053208092023183843.pdf")</f>
        <v>https://dpmzos25m8ivg.cloudfront.net/Documentos/631/08441150532/6310844115053208092023183843.pdf</v>
      </c>
      <c r="F4087" s="5" t="str">
        <f>HYPERLINK("https://dpmzos25m8ivg.cloudfront.net/Documentos/631/08441150532/6310844115053208092023183853.pdf","https://dpmzos25m8ivg.cloudfront.net/Documentos/631/08441150532/6310844115053208092023183853.pdf")</f>
        <v>https://dpmzos25m8ivg.cloudfront.net/Documentos/631/08441150532/6310844115053208092023183853.pdf</v>
      </c>
      <c r="G4087" s="5" t="str">
        <f>HYPERLINK("https://dpmzos25m8ivg.cloudfront.net/Documentos/631/08441150532/6310844115053208092023183926.pdf","https://dpmzos25m8ivg.cloudfront.net/Documentos/631/08441150532/6310844115053208092023183926.pdf")</f>
        <v>https://dpmzos25m8ivg.cloudfront.net/Documentos/631/08441150532/6310844115053208092023183926.pdf</v>
      </c>
      <c r="H4087" s="5" t="s">
        <v>12663</v>
      </c>
    </row>
    <row r="4088" spans="1:8" x14ac:dyDescent="0.25">
      <c r="A4088" s="2" t="s">
        <v>4110</v>
      </c>
      <c r="B4088" s="3"/>
      <c r="C4088" s="3"/>
      <c r="D4088" s="3"/>
      <c r="E4088" s="5" t="str">
        <f>HYPERLINK("https://dpmzos25m8ivg.cloudfront.net/Documentos/631/08442232982/6310844223298209092023202640.pdf","https://dpmzos25m8ivg.cloudfront.net/Documentos/631/08442232982/6310844223298209092023202640.pdf")</f>
        <v>https://dpmzos25m8ivg.cloudfront.net/Documentos/631/08442232982/6310844223298209092023202640.pdf</v>
      </c>
      <c r="F4088" s="5" t="str">
        <f>HYPERLINK("https://dpmzos25m8ivg.cloudfront.net/Documentos/631/08442232982/6310844223298209092023202648.pdf","https://dpmzos25m8ivg.cloudfront.net/Documentos/631/08442232982/6310844223298209092023202648.pdf")</f>
        <v>https://dpmzos25m8ivg.cloudfront.net/Documentos/631/08442232982/6310844223298209092023202648.pdf</v>
      </c>
      <c r="G4088" s="5" t="str">
        <f>HYPERLINK("https://dpmzos25m8ivg.cloudfront.net/Documentos/631/08442232982/6310844223298209092023202657.pdf","https://dpmzos25m8ivg.cloudfront.net/Documentos/631/08442232982/6310844223298209092023202657.pdf")</f>
        <v>https://dpmzos25m8ivg.cloudfront.net/Documentos/631/08442232982/6310844223298209092023202657.pdf</v>
      </c>
      <c r="H4088" s="5" t="s">
        <v>12664</v>
      </c>
    </row>
    <row r="4089" spans="1:8" x14ac:dyDescent="0.25">
      <c r="A4089" s="2" t="s">
        <v>4111</v>
      </c>
      <c r="B4089" s="3"/>
      <c r="C4089" s="3"/>
      <c r="D4089" s="3"/>
      <c r="E4089" s="5" t="str">
        <f>HYPERLINK("https://dpmzos25m8ivg.cloudfront.net/Documentos/631/08443302305/6310844330230511092023130410.pdf","https://dpmzos25m8ivg.cloudfront.net/Documentos/631/08443302305/6310844330230511092023130410.pdf")</f>
        <v>https://dpmzos25m8ivg.cloudfront.net/Documentos/631/08443302305/6310844330230511092023130410.pdf</v>
      </c>
      <c r="F4089" s="5" t="str">
        <f>HYPERLINK("https://dpmzos25m8ivg.cloudfront.net/Documentos/631/08443302305/6310844330230511092023130422.pdf","https://dpmzos25m8ivg.cloudfront.net/Documentos/631/08443302305/6310844330230511092023130422.pdf")</f>
        <v>https://dpmzos25m8ivg.cloudfront.net/Documentos/631/08443302305/6310844330230511092023130422.pdf</v>
      </c>
      <c r="G4089" s="5" t="str">
        <f>HYPERLINK("https://dpmzos25m8ivg.cloudfront.net/Documentos/631/08443302305/6310844330230511092023130433.pdf","https://dpmzos25m8ivg.cloudfront.net/Documentos/631/08443302305/6310844330230511092023130433.pdf")</f>
        <v>https://dpmzos25m8ivg.cloudfront.net/Documentos/631/08443302305/6310844330230511092023130433.pdf</v>
      </c>
      <c r="H4089" s="5" t="s">
        <v>12665</v>
      </c>
    </row>
    <row r="4090" spans="1:8" x14ac:dyDescent="0.25">
      <c r="A4090" s="2" t="s">
        <v>4112</v>
      </c>
      <c r="B4090" s="3"/>
      <c r="C4090" s="3"/>
      <c r="D4090" s="3"/>
      <c r="E4090" s="5" t="str">
        <f>HYPERLINK("https://dpmzos25m8ivg.cloudfront.net/Documentos/631/08446445441/6310844644544111092023131620.jpeg","https://dpmzos25m8ivg.cloudfront.net/Documentos/631/08446445441/6310844644544111092023131620.jpeg")</f>
        <v>https://dpmzos25m8ivg.cloudfront.net/Documentos/631/08446445441/6310844644544111092023131620.jpeg</v>
      </c>
      <c r="F4090" s="5" t="str">
        <f>HYPERLINK("https://dpmzos25m8ivg.cloudfront.net/Documentos/631/08446445441/6310844644544111092023131639.jpeg","https://dpmzos25m8ivg.cloudfront.net/Documentos/631/08446445441/6310844644544111092023131639.jpeg")</f>
        <v>https://dpmzos25m8ivg.cloudfront.net/Documentos/631/08446445441/6310844644544111092023131639.jpeg</v>
      </c>
      <c r="G4090" s="5" t="str">
        <f>HYPERLINK("https://dpmzos25m8ivg.cloudfront.net/Documentos/631/08446445441/6310844644544111092023131655.jpeg","https://dpmzos25m8ivg.cloudfront.net/Documentos/631/08446445441/6310844644544111092023131655.jpeg")</f>
        <v>https://dpmzos25m8ivg.cloudfront.net/Documentos/631/08446445441/6310844644544111092023131655.jpeg</v>
      </c>
      <c r="H4090" s="5" t="s">
        <v>12666</v>
      </c>
    </row>
    <row r="4091" spans="1:8" x14ac:dyDescent="0.25">
      <c r="A4091" s="2" t="s">
        <v>4113</v>
      </c>
      <c r="B4091" s="3"/>
      <c r="C4091" s="3"/>
      <c r="D4091" s="3"/>
      <c r="E4091" s="5" t="str">
        <f>HYPERLINK("https://dpmzos25m8ivg.cloudfront.net/Documentos/631/08448411374/6310844841137411092023150513.pdf","https://dpmzos25m8ivg.cloudfront.net/Documentos/631/08448411374/6310844841137411092023150513.pdf")</f>
        <v>https://dpmzos25m8ivg.cloudfront.net/Documentos/631/08448411374/6310844841137411092023150513.pdf</v>
      </c>
      <c r="F4091" s="5" t="str">
        <f>HYPERLINK("https://dpmzos25m8ivg.cloudfront.net/Documentos/631/08448411374/6310844841137411092023150701.pdf","https://dpmzos25m8ivg.cloudfront.net/Documentos/631/08448411374/6310844841137411092023150701.pdf")</f>
        <v>https://dpmzos25m8ivg.cloudfront.net/Documentos/631/08448411374/6310844841137411092023150701.pdf</v>
      </c>
      <c r="G4091" s="5" t="str">
        <f>HYPERLINK("https://dpmzos25m8ivg.cloudfront.net/Documentos/631/08448411374/6310844841137411092023150842.pdf","https://dpmzos25m8ivg.cloudfront.net/Documentos/631/08448411374/6310844841137411092023150842.pdf")</f>
        <v>https://dpmzos25m8ivg.cloudfront.net/Documentos/631/08448411374/6310844841137411092023150842.pdf</v>
      </c>
      <c r="H4091" s="5" t="s">
        <v>12667</v>
      </c>
    </row>
    <row r="4092" spans="1:8" x14ac:dyDescent="0.25">
      <c r="A4092" s="2" t="s">
        <v>4114</v>
      </c>
      <c r="B4092" s="3"/>
      <c r="C4092" s="3"/>
      <c r="D4092" s="3"/>
      <c r="E4092" s="5" t="str">
        <f>HYPERLINK("https://dpmzos25m8ivg.cloudfront.net/Documentos/631/08448722370/6310844872237011092023164348.pdf","https://dpmzos25m8ivg.cloudfront.net/Documentos/631/08448722370/6310844872237011092023164348.pdf")</f>
        <v>https://dpmzos25m8ivg.cloudfront.net/Documentos/631/08448722370/6310844872237011092023164348.pdf</v>
      </c>
      <c r="F4092" s="5" t="str">
        <f>HYPERLINK("https://dpmzos25m8ivg.cloudfront.net/Documentos/631/08448722370/6310844872237011092023164400.pdf","https://dpmzos25m8ivg.cloudfront.net/Documentos/631/08448722370/6310844872237011092023164400.pdf")</f>
        <v>https://dpmzos25m8ivg.cloudfront.net/Documentos/631/08448722370/6310844872237011092023164400.pdf</v>
      </c>
      <c r="G4092" s="5" t="str">
        <f>HYPERLINK("https://dpmzos25m8ivg.cloudfront.net/Documentos/631/08448722370/6310844872237011092023164412.pdf","https://dpmzos25m8ivg.cloudfront.net/Documentos/631/08448722370/6310844872237011092023164412.pdf")</f>
        <v>https://dpmzos25m8ivg.cloudfront.net/Documentos/631/08448722370/6310844872237011092023164412.pdf</v>
      </c>
      <c r="H4092" s="5" t="s">
        <v>12668</v>
      </c>
    </row>
    <row r="4093" spans="1:8" x14ac:dyDescent="0.25">
      <c r="A4093" s="2" t="s">
        <v>4115</v>
      </c>
      <c r="B4093" s="3" t="s">
        <v>42</v>
      </c>
      <c r="C4093" s="3"/>
      <c r="D4093" s="3"/>
      <c r="E4093" s="5" t="str">
        <f>HYPERLINK("https://dpmzos25m8ivg.cloudfront.net/Documentos/631/08453117861/6310845311786111092023125109.pdf","https://dpmzos25m8ivg.cloudfront.net/Documentos/631/08453117861/6310845311786111092023125109.pdf")</f>
        <v>https://dpmzos25m8ivg.cloudfront.net/Documentos/631/08453117861/6310845311786111092023125109.pdf</v>
      </c>
      <c r="F4093" s="5" t="str">
        <f>HYPERLINK("https://dpmzos25m8ivg.cloudfront.net/Documentos/631/08453117861/6310845311786111092023125118.pdf","https://dpmzos25m8ivg.cloudfront.net/Documentos/631/08453117861/6310845311786111092023125118.pdf")</f>
        <v>https://dpmzos25m8ivg.cloudfront.net/Documentos/631/08453117861/6310845311786111092023125118.pdf</v>
      </c>
      <c r="G4093" s="5" t="str">
        <f>HYPERLINK("https://dpmzos25m8ivg.cloudfront.net/Documentos/631/08453117861/6310845311786111092023125129.pdf","https://dpmzos25m8ivg.cloudfront.net/Documentos/631/08453117861/6310845311786111092023125129.pdf")</f>
        <v>https://dpmzos25m8ivg.cloudfront.net/Documentos/631/08453117861/6310845311786111092023125129.pdf</v>
      </c>
      <c r="H4093" s="5" t="s">
        <v>12669</v>
      </c>
    </row>
    <row r="4094" spans="1:8" x14ac:dyDescent="0.25">
      <c r="A4094" s="2" t="s">
        <v>4116</v>
      </c>
      <c r="B4094" s="3" t="s">
        <v>42</v>
      </c>
      <c r="C4094" s="3"/>
      <c r="D4094" s="3"/>
      <c r="E4094" s="5" t="str">
        <f>HYPERLINK("https://dpmzos25m8ivg.cloudfront.net/Documentos/631/08454382712/6310845438271205092023210552.jpeg","https://dpmzos25m8ivg.cloudfront.net/Documentos/631/08454382712/6310845438271205092023210552.jpeg")</f>
        <v>https://dpmzos25m8ivg.cloudfront.net/Documentos/631/08454382712/6310845438271205092023210552.jpeg</v>
      </c>
      <c r="F4094" s="5" t="str">
        <f>HYPERLINK("https://dpmzos25m8ivg.cloudfront.net/Documentos/631/08454382712/6310845438271205092023210605.jpeg","https://dpmzos25m8ivg.cloudfront.net/Documentos/631/08454382712/6310845438271205092023210605.jpeg")</f>
        <v>https://dpmzos25m8ivg.cloudfront.net/Documentos/631/08454382712/6310845438271205092023210605.jpeg</v>
      </c>
      <c r="G4094" s="5" t="str">
        <f>HYPERLINK("https://dpmzos25m8ivg.cloudfront.net/Documentos/631/08454382712/6310845438271205092023210620.jpeg","https://dpmzos25m8ivg.cloudfront.net/Documentos/631/08454382712/6310845438271205092023210620.jpeg")</f>
        <v>https://dpmzos25m8ivg.cloudfront.net/Documentos/631/08454382712/6310845438271205092023210620.jpeg</v>
      </c>
      <c r="H4094" s="5" t="s">
        <v>12670</v>
      </c>
    </row>
    <row r="4095" spans="1:8" x14ac:dyDescent="0.25">
      <c r="A4095" s="2" t="s">
        <v>4117</v>
      </c>
      <c r="B4095" s="3"/>
      <c r="C4095" s="3"/>
      <c r="D4095" s="3"/>
      <c r="E4095" s="5" t="str">
        <f>HYPERLINK("https://dpmzos25m8ivg.cloudfront.net/Documentos/631/08454830480/6310845483048007092023195418.pdf","https://dpmzos25m8ivg.cloudfront.net/Documentos/631/08454830480/6310845483048007092023195418.pdf")</f>
        <v>https://dpmzos25m8ivg.cloudfront.net/Documentos/631/08454830480/6310845483048007092023195418.pdf</v>
      </c>
      <c r="F4095" s="5" t="str">
        <f>HYPERLINK("https://dpmzos25m8ivg.cloudfront.net/Documentos/631/08454830480/6310845483048007092023195436.pdf","https://dpmzos25m8ivg.cloudfront.net/Documentos/631/08454830480/6310845483048007092023195436.pdf")</f>
        <v>https://dpmzos25m8ivg.cloudfront.net/Documentos/631/08454830480/6310845483048007092023195436.pdf</v>
      </c>
      <c r="G4095" s="5" t="str">
        <f>HYPERLINK("https://dpmzos25m8ivg.cloudfront.net/Documentos/631/08454830480/6310845483048007092023195449.pdf","https://dpmzos25m8ivg.cloudfront.net/Documentos/631/08454830480/6310845483048007092023195449.pdf")</f>
        <v>https://dpmzos25m8ivg.cloudfront.net/Documentos/631/08454830480/6310845483048007092023195449.pdf</v>
      </c>
      <c r="H4095" s="5" t="s">
        <v>12671</v>
      </c>
    </row>
    <row r="4096" spans="1:8" x14ac:dyDescent="0.25">
      <c r="A4096" s="2" t="s">
        <v>4118</v>
      </c>
      <c r="B4096" s="3"/>
      <c r="C4096" s="3"/>
      <c r="D4096" s="3"/>
      <c r="E4096" s="5" t="str">
        <f>HYPERLINK("https://dpmzos25m8ivg.cloudfront.net/Documentos/631/08459830918/6310845983091811092023151731.pdf","https://dpmzos25m8ivg.cloudfront.net/Documentos/631/08459830918/6310845983091811092023151731.pdf")</f>
        <v>https://dpmzos25m8ivg.cloudfront.net/Documentos/631/08459830918/6310845983091811092023151731.pdf</v>
      </c>
      <c r="F4096" s="5" t="str">
        <f>HYPERLINK("https://dpmzos25m8ivg.cloudfront.net/Documentos/631/08459830918/6310845983091811092023151901.pdf","https://dpmzos25m8ivg.cloudfront.net/Documentos/631/08459830918/6310845983091811092023151901.pdf")</f>
        <v>https://dpmzos25m8ivg.cloudfront.net/Documentos/631/08459830918/6310845983091811092023151901.pdf</v>
      </c>
      <c r="G4096" s="5" t="str">
        <f>HYPERLINK("https://dpmzos25m8ivg.cloudfront.net/Documentos/631/08459830918/6310845983091811092023151932.pdf","https://dpmzos25m8ivg.cloudfront.net/Documentos/631/08459830918/6310845983091811092023151932.pdf")</f>
        <v>https://dpmzos25m8ivg.cloudfront.net/Documentos/631/08459830918/6310845983091811092023151932.pdf</v>
      </c>
      <c r="H4096" s="5" t="s">
        <v>12672</v>
      </c>
    </row>
    <row r="4097" spans="1:8" x14ac:dyDescent="0.25">
      <c r="A4097" s="2" t="s">
        <v>4119</v>
      </c>
      <c r="B4097" s="3"/>
      <c r="C4097" s="3"/>
      <c r="D4097" s="3"/>
      <c r="E4097" s="5" t="str">
        <f>HYPERLINK("https://dpmzos25m8ivg.cloudfront.net/Documentos/631/08460781399/6310846078139907092023194252.pdf","https://dpmzos25m8ivg.cloudfront.net/Documentos/631/08460781399/6310846078139907092023194252.pdf")</f>
        <v>https://dpmzos25m8ivg.cloudfront.net/Documentos/631/08460781399/6310846078139907092023194252.pdf</v>
      </c>
      <c r="F4097" s="5" t="str">
        <f>HYPERLINK("https://dpmzos25m8ivg.cloudfront.net/Documentos/631/08460781399/6310846078139907092023194300.pdf","https://dpmzos25m8ivg.cloudfront.net/Documentos/631/08460781399/6310846078139907092023194300.pdf")</f>
        <v>https://dpmzos25m8ivg.cloudfront.net/Documentos/631/08460781399/6310846078139907092023194300.pdf</v>
      </c>
      <c r="G4097" s="5" t="str">
        <f>HYPERLINK("https://dpmzos25m8ivg.cloudfront.net/Documentos/631/08460781399/6310846078139907092023194308.pdf","https://dpmzos25m8ivg.cloudfront.net/Documentos/631/08460781399/6310846078139907092023194308.pdf")</f>
        <v>https://dpmzos25m8ivg.cloudfront.net/Documentos/631/08460781399/6310846078139907092023194308.pdf</v>
      </c>
      <c r="H4097" s="5" t="s">
        <v>12673</v>
      </c>
    </row>
    <row r="4098" spans="1:8" x14ac:dyDescent="0.25">
      <c r="A4098" s="2" t="s">
        <v>4120</v>
      </c>
      <c r="B4098" s="3"/>
      <c r="C4098" s="3"/>
      <c r="D4098" s="3"/>
      <c r="E4098" s="5" t="str">
        <f>HYPERLINK("https://dpmzos25m8ivg.cloudfront.net/Documentos/631/08462000157/6310846200015708092023135042.pdf","https://dpmzos25m8ivg.cloudfront.net/Documentos/631/08462000157/6310846200015708092023135042.pdf")</f>
        <v>https://dpmzos25m8ivg.cloudfront.net/Documentos/631/08462000157/6310846200015708092023135042.pdf</v>
      </c>
      <c r="F4098" s="5" t="str">
        <f>HYPERLINK("https://dpmzos25m8ivg.cloudfront.net/Documentos/631/08462000157/6310846200015708092023135112.pdf","https://dpmzos25m8ivg.cloudfront.net/Documentos/631/08462000157/6310846200015708092023135112.pdf")</f>
        <v>https://dpmzos25m8ivg.cloudfront.net/Documentos/631/08462000157/6310846200015708092023135112.pdf</v>
      </c>
      <c r="G4098" s="5" t="str">
        <f>HYPERLINK("https://dpmzos25m8ivg.cloudfront.net/Documentos/631/08462000157/6310846200015708092023135131.pdf","https://dpmzos25m8ivg.cloudfront.net/Documentos/631/08462000157/6310846200015708092023135131.pdf")</f>
        <v>https://dpmzos25m8ivg.cloudfront.net/Documentos/631/08462000157/6310846200015708092023135131.pdf</v>
      </c>
      <c r="H4098" s="5" t="s">
        <v>12674</v>
      </c>
    </row>
    <row r="4099" spans="1:8" x14ac:dyDescent="0.25">
      <c r="A4099" s="2" t="s">
        <v>4121</v>
      </c>
      <c r="B4099" s="3"/>
      <c r="C4099" s="3"/>
      <c r="D4099" s="3"/>
      <c r="E4099" s="5" t="str">
        <f>HYPERLINK("https://dpmzos25m8ivg.cloudfront.net/Documentos/631/08469684523/6310846968452305092023154849.pdf","https://dpmzos25m8ivg.cloudfront.net/Documentos/631/08469684523/6310846968452305092023154849.pdf")</f>
        <v>https://dpmzos25m8ivg.cloudfront.net/Documentos/631/08469684523/6310846968452305092023154849.pdf</v>
      </c>
      <c r="F4099" s="5" t="str">
        <f>HYPERLINK("https://dpmzos25m8ivg.cloudfront.net/Documentos/631/08469684523/6310846968452305092023154859.pdf","https://dpmzos25m8ivg.cloudfront.net/Documentos/631/08469684523/6310846968452305092023154859.pdf")</f>
        <v>https://dpmzos25m8ivg.cloudfront.net/Documentos/631/08469684523/6310846968452305092023154859.pdf</v>
      </c>
      <c r="G4099" s="5" t="str">
        <f>HYPERLINK("https://dpmzos25m8ivg.cloudfront.net/Documentos/631/08469684523/6310846968452305092023154909.pdf","https://dpmzos25m8ivg.cloudfront.net/Documentos/631/08469684523/6310846968452305092023154909.pdf")</f>
        <v>https://dpmzos25m8ivg.cloudfront.net/Documentos/631/08469684523/6310846968452305092023154909.pdf</v>
      </c>
      <c r="H4099" s="5" t="s">
        <v>12675</v>
      </c>
    </row>
    <row r="4100" spans="1:8" x14ac:dyDescent="0.25">
      <c r="A4100" s="2" t="s">
        <v>4122</v>
      </c>
      <c r="B4100" s="3"/>
      <c r="C4100" s="3"/>
      <c r="D4100" s="3"/>
      <c r="E4100" s="5" t="str">
        <f>HYPERLINK("https://dpmzos25m8ivg.cloudfront.net/Documentos/631/08471107619/6310847110761906092023001903.jpg","https://dpmzos25m8ivg.cloudfront.net/Documentos/631/08471107619/6310847110761906092023001903.jpg")</f>
        <v>https://dpmzos25m8ivg.cloudfront.net/Documentos/631/08471107619/6310847110761906092023001903.jpg</v>
      </c>
      <c r="F4100" s="5" t="str">
        <f>HYPERLINK("https://dpmzos25m8ivg.cloudfront.net/Documentos/631/08471107619/6310847110761906092023001912.jpg","https://dpmzos25m8ivg.cloudfront.net/Documentos/631/08471107619/6310847110761906092023001912.jpg")</f>
        <v>https://dpmzos25m8ivg.cloudfront.net/Documentos/631/08471107619/6310847110761906092023001912.jpg</v>
      </c>
      <c r="G4100" s="5" t="str">
        <f>HYPERLINK("https://dpmzos25m8ivg.cloudfront.net/Documentos/631/08471107619/6310847110761906092023001920.jpg","https://dpmzos25m8ivg.cloudfront.net/Documentos/631/08471107619/6310847110761906092023001920.jpg")</f>
        <v>https://dpmzos25m8ivg.cloudfront.net/Documentos/631/08471107619/6310847110761906092023001920.jpg</v>
      </c>
      <c r="H4100" s="5" t="s">
        <v>12676</v>
      </c>
    </row>
    <row r="4101" spans="1:8" x14ac:dyDescent="0.25">
      <c r="A4101" s="2" t="s">
        <v>4123</v>
      </c>
      <c r="B4101" s="3"/>
      <c r="C4101" s="3"/>
      <c r="D4101" s="3"/>
      <c r="E4101" s="5" t="str">
        <f>HYPERLINK("https://dpmzos25m8ivg.cloudfront.net/Documentos/631/08472553442/6310847255344211092023150433.pdf","https://dpmzos25m8ivg.cloudfront.net/Documentos/631/08472553442/6310847255344211092023150433.pdf")</f>
        <v>https://dpmzos25m8ivg.cloudfront.net/Documentos/631/08472553442/6310847255344211092023150433.pdf</v>
      </c>
      <c r="F4101" s="5" t="str">
        <f>HYPERLINK("https://dpmzos25m8ivg.cloudfront.net/Documentos/631/08472553442/6310847255344211092023150443.pdf","https://dpmzos25m8ivg.cloudfront.net/Documentos/631/08472553442/6310847255344211092023150443.pdf")</f>
        <v>https://dpmzos25m8ivg.cloudfront.net/Documentos/631/08472553442/6310847255344211092023150443.pdf</v>
      </c>
      <c r="G4101" s="5" t="str">
        <f>HYPERLINK("https://dpmzos25m8ivg.cloudfront.net/Documentos/631/08472553442/6310847255344211092023150453.pdf","https://dpmzos25m8ivg.cloudfront.net/Documentos/631/08472553442/6310847255344211092023150453.pdf")</f>
        <v>https://dpmzos25m8ivg.cloudfront.net/Documentos/631/08472553442/6310847255344211092023150453.pdf</v>
      </c>
      <c r="H4101" s="5" t="s">
        <v>12677</v>
      </c>
    </row>
    <row r="4102" spans="1:8" x14ac:dyDescent="0.25">
      <c r="A4102" s="2" t="s">
        <v>4124</v>
      </c>
      <c r="B4102" s="3"/>
      <c r="C4102" s="3"/>
      <c r="D4102" s="3"/>
      <c r="E4102" s="5" t="str">
        <f>HYPERLINK("https://dpmzos25m8ivg.cloudfront.net/Documentos/631/08499058507/6310849905850711092023161536.pdf","https://dpmzos25m8ivg.cloudfront.net/Documentos/631/08499058507/6310849905850711092023161536.pdf")</f>
        <v>https://dpmzos25m8ivg.cloudfront.net/Documentos/631/08499058507/6310849905850711092023161536.pdf</v>
      </c>
      <c r="F4102" s="5" t="str">
        <f>HYPERLINK("https://dpmzos25m8ivg.cloudfront.net/Documentos/631/08499058507/6310849905850711092023161548.pdf","https://dpmzos25m8ivg.cloudfront.net/Documentos/631/08499058507/6310849905850711092023161548.pdf")</f>
        <v>https://dpmzos25m8ivg.cloudfront.net/Documentos/631/08499058507/6310849905850711092023161548.pdf</v>
      </c>
      <c r="G4102" s="5" t="str">
        <f>HYPERLINK("https://dpmzos25m8ivg.cloudfront.net/Documentos/631/08499058507/6310849905850711092023161604.pdf","https://dpmzos25m8ivg.cloudfront.net/Documentos/631/08499058507/6310849905850711092023161604.pdf")</f>
        <v>https://dpmzos25m8ivg.cloudfront.net/Documentos/631/08499058507/6310849905850711092023161604.pdf</v>
      </c>
      <c r="H4102" s="5" t="s">
        <v>12678</v>
      </c>
    </row>
    <row r="4103" spans="1:8" x14ac:dyDescent="0.25">
      <c r="A4103" s="2" t="s">
        <v>4125</v>
      </c>
      <c r="B4103" s="3"/>
      <c r="C4103" s="3"/>
      <c r="D4103" s="3"/>
      <c r="E4103" s="5" t="str">
        <f>HYPERLINK("https://dpmzos25m8ivg.cloudfront.net/Documentos/631/08503163675/6310850316367511092023132004.pdf","https://dpmzos25m8ivg.cloudfront.net/Documentos/631/08503163675/6310850316367511092023132004.pdf")</f>
        <v>https://dpmzos25m8ivg.cloudfront.net/Documentos/631/08503163675/6310850316367511092023132004.pdf</v>
      </c>
      <c r="F4103" s="5" t="str">
        <f>HYPERLINK("https://dpmzos25m8ivg.cloudfront.net/Documentos/631/08503163675/6310850316367511092023132024.pdf","https://dpmzos25m8ivg.cloudfront.net/Documentos/631/08503163675/6310850316367511092023132024.pdf")</f>
        <v>https://dpmzos25m8ivg.cloudfront.net/Documentos/631/08503163675/6310850316367511092023132024.pdf</v>
      </c>
      <c r="G4103" s="5" t="str">
        <f>HYPERLINK("https://dpmzos25m8ivg.cloudfront.net/Documentos/631/08503163675/6310850316367511092023132052.pdf","https://dpmzos25m8ivg.cloudfront.net/Documentos/631/08503163675/6310850316367511092023132052.pdf")</f>
        <v>https://dpmzos25m8ivg.cloudfront.net/Documentos/631/08503163675/6310850316367511092023132052.pdf</v>
      </c>
      <c r="H4103" s="5" t="s">
        <v>12679</v>
      </c>
    </row>
    <row r="4104" spans="1:8" x14ac:dyDescent="0.25">
      <c r="A4104" s="2" t="s">
        <v>4126</v>
      </c>
      <c r="B4104" s="3"/>
      <c r="C4104" s="3"/>
      <c r="D4104" s="3"/>
      <c r="E4104" s="5" t="str">
        <f>HYPERLINK("https://dpmzos25m8ivg.cloudfront.net/Documentos/631/08510143722/6310851014372205092023105303.pdf","https://dpmzos25m8ivg.cloudfront.net/Documentos/631/08510143722/6310851014372205092023105303.pdf")</f>
        <v>https://dpmzos25m8ivg.cloudfront.net/Documentos/631/08510143722/6310851014372205092023105303.pdf</v>
      </c>
      <c r="F4104" s="5" t="str">
        <f>HYPERLINK("https://dpmzos25m8ivg.cloudfront.net/Documentos/631/08510143722/6310851014372205092023105315.pdf","https://dpmzos25m8ivg.cloudfront.net/Documentos/631/08510143722/6310851014372205092023105315.pdf")</f>
        <v>https://dpmzos25m8ivg.cloudfront.net/Documentos/631/08510143722/6310851014372205092023105315.pdf</v>
      </c>
      <c r="G4104" s="5" t="str">
        <f>HYPERLINK("https://dpmzos25m8ivg.cloudfront.net/Documentos/631/08510143722/6310851014372205092023105326.pdf","https://dpmzos25m8ivg.cloudfront.net/Documentos/631/08510143722/6310851014372205092023105326.pdf")</f>
        <v>https://dpmzos25m8ivg.cloudfront.net/Documentos/631/08510143722/6310851014372205092023105326.pdf</v>
      </c>
      <c r="H4104" s="5" t="s">
        <v>12680</v>
      </c>
    </row>
    <row r="4105" spans="1:8" x14ac:dyDescent="0.25">
      <c r="A4105" s="2" t="s">
        <v>4127</v>
      </c>
      <c r="B4105" s="3"/>
      <c r="C4105" s="3"/>
      <c r="D4105" s="3"/>
      <c r="E4105" s="5" t="str">
        <f>HYPERLINK("https://dpmzos25m8ivg.cloudfront.net/Documentos/631/08516660516/6310851666051606092023065211.pdf","https://dpmzos25m8ivg.cloudfront.net/Documentos/631/08516660516/6310851666051606092023065211.pdf")</f>
        <v>https://dpmzos25m8ivg.cloudfront.net/Documentos/631/08516660516/6310851666051606092023065211.pdf</v>
      </c>
      <c r="F4105" s="5" t="str">
        <f>HYPERLINK("https://dpmzos25m8ivg.cloudfront.net/Documentos/631/08516660516/6310851666051606092023065244.pdf","https://dpmzos25m8ivg.cloudfront.net/Documentos/631/08516660516/6310851666051606092023065244.pdf")</f>
        <v>https://dpmzos25m8ivg.cloudfront.net/Documentos/631/08516660516/6310851666051606092023065244.pdf</v>
      </c>
      <c r="G4105" s="5" t="str">
        <f>HYPERLINK("https://dpmzos25m8ivg.cloudfront.net/Documentos/631/08516660516/6310851666051606092023065259.pdf","https://dpmzos25m8ivg.cloudfront.net/Documentos/631/08516660516/6310851666051606092023065259.pdf")</f>
        <v>https://dpmzos25m8ivg.cloudfront.net/Documentos/631/08516660516/6310851666051606092023065259.pdf</v>
      </c>
      <c r="H4105" s="5" t="s">
        <v>12681</v>
      </c>
    </row>
    <row r="4106" spans="1:8" x14ac:dyDescent="0.25">
      <c r="A4106" s="2" t="s">
        <v>4128</v>
      </c>
      <c r="B4106" s="3"/>
      <c r="C4106" s="3"/>
      <c r="D4106" s="3"/>
      <c r="E4106" s="5" t="str">
        <f>HYPERLINK("https://dpmzos25m8ivg.cloudfront.net/Documentos/631/08520625754/6310852062575411092023163309.jpg","https://dpmzos25m8ivg.cloudfront.net/Documentos/631/08520625754/6310852062575411092023163309.jpg")</f>
        <v>https://dpmzos25m8ivg.cloudfront.net/Documentos/631/08520625754/6310852062575411092023163309.jpg</v>
      </c>
      <c r="F4106" s="5" t="str">
        <f>HYPERLINK("https://dpmzos25m8ivg.cloudfront.net/Documentos/631/08520625754/6310852062575411092023163327.jpg","https://dpmzos25m8ivg.cloudfront.net/Documentos/631/08520625754/6310852062575411092023163327.jpg")</f>
        <v>https://dpmzos25m8ivg.cloudfront.net/Documentos/631/08520625754/6310852062575411092023163327.jpg</v>
      </c>
      <c r="G4106" s="5" t="str">
        <f>HYPERLINK("https://dpmzos25m8ivg.cloudfront.net/Documentos/631/08520625754/6310852062575411092023163402.jpg","https://dpmzos25m8ivg.cloudfront.net/Documentos/631/08520625754/6310852062575411092023163402.jpg")</f>
        <v>https://dpmzos25m8ivg.cloudfront.net/Documentos/631/08520625754/6310852062575411092023163402.jpg</v>
      </c>
      <c r="H4106" s="5" t="s">
        <v>12682</v>
      </c>
    </row>
    <row r="4107" spans="1:8" x14ac:dyDescent="0.25">
      <c r="A4107" s="2" t="s">
        <v>4129</v>
      </c>
      <c r="B4107" s="3"/>
      <c r="C4107" s="3"/>
      <c r="D4107" s="3"/>
      <c r="E4107" s="5" t="str">
        <f>HYPERLINK("https://dpmzos25m8ivg.cloudfront.net/Documentos/631/08521895836/6310852189583613092023170311.pdf","https://dpmzos25m8ivg.cloudfront.net/Documentos/631/08521895836/6310852189583613092023170311.pdf")</f>
        <v>https://dpmzos25m8ivg.cloudfront.net/Documentos/631/08521895836/6310852189583613092023170311.pdf</v>
      </c>
      <c r="F4107" s="5" t="str">
        <f>HYPERLINK("https://dpmzos25m8ivg.cloudfront.net/Documentos/631/08521895836/6310852189583613092023170536.pdf","https://dpmzos25m8ivg.cloudfront.net/Documentos/631/08521895836/6310852189583613092023170536.pdf")</f>
        <v>https://dpmzos25m8ivg.cloudfront.net/Documentos/631/08521895836/6310852189583613092023170536.pdf</v>
      </c>
      <c r="G4107" s="5" t="str">
        <f>HYPERLINK("https://dpmzos25m8ivg.cloudfront.net/Documentos/631/08521895836/6310852189583613092023170556.pdf","https://dpmzos25m8ivg.cloudfront.net/Documentos/631/08521895836/6310852189583613092023170556.pdf")</f>
        <v>https://dpmzos25m8ivg.cloudfront.net/Documentos/631/08521895836/6310852189583613092023170556.pdf</v>
      </c>
      <c r="H4107" s="5" t="s">
        <v>12683</v>
      </c>
    </row>
    <row r="4108" spans="1:8" x14ac:dyDescent="0.25">
      <c r="A4108" s="2" t="s">
        <v>4130</v>
      </c>
      <c r="B4108" s="3" t="s">
        <v>90</v>
      </c>
      <c r="C4108" s="3"/>
      <c r="D4108" s="3"/>
      <c r="E4108" s="5" t="str">
        <f>HYPERLINK("https://dpmzos25m8ivg.cloudfront.net/Documentos/631/08524443464/6310852444346408092023135317.pdf","https://dpmzos25m8ivg.cloudfront.net/Documentos/631/08524443464/6310852444346408092023135317.pdf")</f>
        <v>https://dpmzos25m8ivg.cloudfront.net/Documentos/631/08524443464/6310852444346408092023135317.pdf</v>
      </c>
      <c r="F4108" s="5" t="str">
        <f>HYPERLINK("https://dpmzos25m8ivg.cloudfront.net/Documentos/631/08524443464/6310852444346408092023135334.pdf","https://dpmzos25m8ivg.cloudfront.net/Documentos/631/08524443464/6310852444346408092023135334.pdf")</f>
        <v>https://dpmzos25m8ivg.cloudfront.net/Documentos/631/08524443464/6310852444346408092023135334.pdf</v>
      </c>
      <c r="G4108" s="5" t="str">
        <f>HYPERLINK("https://dpmzos25m8ivg.cloudfront.net/Documentos/631/08524443464/6310852444346408092023135348.pdf","https://dpmzos25m8ivg.cloudfront.net/Documentos/631/08524443464/6310852444346408092023135348.pdf")</f>
        <v>https://dpmzos25m8ivg.cloudfront.net/Documentos/631/08524443464/6310852444346408092023135348.pdf</v>
      </c>
      <c r="H4108" s="5" t="s">
        <v>12684</v>
      </c>
    </row>
    <row r="4109" spans="1:8" x14ac:dyDescent="0.25">
      <c r="A4109" s="2" t="s">
        <v>4131</v>
      </c>
      <c r="B4109" s="3" t="s">
        <v>8</v>
      </c>
      <c r="C4109" s="3"/>
      <c r="D4109" s="3"/>
      <c r="E4109" s="5" t="str">
        <f>HYPERLINK("https://dpmzos25m8ivg.cloudfront.net/Documentos/631/08533372680/6310853337268013092023134951.pdf","https://dpmzos25m8ivg.cloudfront.net/Documentos/631/08533372680/6310853337268013092023134951.pdf")</f>
        <v>https://dpmzos25m8ivg.cloudfront.net/Documentos/631/08533372680/6310853337268013092023134951.pdf</v>
      </c>
      <c r="F4109" s="5" t="str">
        <f>HYPERLINK("https://dpmzos25m8ivg.cloudfront.net/Documentos/631/08533372680/6310853337268013092023135002.pdf","https://dpmzos25m8ivg.cloudfront.net/Documentos/631/08533372680/6310853337268013092023135002.pdf")</f>
        <v>https://dpmzos25m8ivg.cloudfront.net/Documentos/631/08533372680/6310853337268013092023135002.pdf</v>
      </c>
      <c r="G4109" s="5" t="str">
        <f>HYPERLINK("https://dpmzos25m8ivg.cloudfront.net/Documentos/631/08533372680/6310853337268013092023135017.pdf","https://dpmzos25m8ivg.cloudfront.net/Documentos/631/08533372680/6310853337268013092023135017.pdf")</f>
        <v>https://dpmzos25m8ivg.cloudfront.net/Documentos/631/08533372680/6310853337268013092023135017.pdf</v>
      </c>
      <c r="H4109" s="5" t="s">
        <v>9010</v>
      </c>
    </row>
    <row r="4110" spans="1:8" x14ac:dyDescent="0.25">
      <c r="A4110" s="2" t="s">
        <v>4132</v>
      </c>
      <c r="B4110" s="19" t="s">
        <v>3385</v>
      </c>
      <c r="C4110" s="3"/>
      <c r="D4110" s="3"/>
      <c r="E4110" s="5" t="str">
        <f>HYPERLINK("https://dpmzos25m8ivg.cloudfront.net/Documentos/631/08537112674/6310853711267411092023153724.pdf","https://dpmzos25m8ivg.cloudfront.net/Documentos/631/08537112674/6310853711267411092023153724.pdf")</f>
        <v>https://dpmzos25m8ivg.cloudfront.net/Documentos/631/08537112674/6310853711267411092023153724.pdf</v>
      </c>
      <c r="F4110" s="5" t="str">
        <f>HYPERLINK("https://dpmzos25m8ivg.cloudfront.net/Documentos/631/08537112674/6310853711267411092023153741.pdf","https://dpmzos25m8ivg.cloudfront.net/Documentos/631/08537112674/6310853711267411092023153741.pdf")</f>
        <v>https://dpmzos25m8ivg.cloudfront.net/Documentos/631/08537112674/6310853711267411092023153741.pdf</v>
      </c>
      <c r="G4110" s="5" t="str">
        <f>HYPERLINK("https://dpmzos25m8ivg.cloudfront.net/Documentos/631/08537112674/6310853711267411092023153751.pdf","https://dpmzos25m8ivg.cloudfront.net/Documentos/631/08537112674/6310853711267411092023153751.pdf")</f>
        <v>https://dpmzos25m8ivg.cloudfront.net/Documentos/631/08537112674/6310853711267411092023153751.pdf</v>
      </c>
      <c r="H4110" s="5" t="s">
        <v>12685</v>
      </c>
    </row>
    <row r="4111" spans="1:8" x14ac:dyDescent="0.25">
      <c r="A4111" s="2" t="s">
        <v>4133</v>
      </c>
      <c r="B4111" s="3"/>
      <c r="C4111" s="3"/>
      <c r="D4111" s="3"/>
      <c r="E4111" s="5" t="str">
        <f>HYPERLINK("https://dpmzos25m8ivg.cloudfront.net/Documentos/631/08537900869/6310853790086910092023224936.pdf","https://dpmzos25m8ivg.cloudfront.net/Documentos/631/08537900869/6310853790086910092023224936.pdf")</f>
        <v>https://dpmzos25m8ivg.cloudfront.net/Documentos/631/08537900869/6310853790086910092023224936.pdf</v>
      </c>
      <c r="F4111" s="5" t="str">
        <f>HYPERLINK("https://dpmzos25m8ivg.cloudfront.net/Documentos/631/08537900869/6310853790086910092023224954.pdf","https://dpmzos25m8ivg.cloudfront.net/Documentos/631/08537900869/6310853790086910092023224954.pdf")</f>
        <v>https://dpmzos25m8ivg.cloudfront.net/Documentos/631/08537900869/6310853790086910092023224954.pdf</v>
      </c>
      <c r="G4111" s="5" t="str">
        <f>HYPERLINK("https://dpmzos25m8ivg.cloudfront.net/Documentos/631/08537900869/6310853790086910092023225011.pdf","https://dpmzos25m8ivg.cloudfront.net/Documentos/631/08537900869/6310853790086910092023225011.pdf")</f>
        <v>https://dpmzos25m8ivg.cloudfront.net/Documentos/631/08537900869/6310853790086910092023225011.pdf</v>
      </c>
      <c r="H4111" s="5" t="s">
        <v>12686</v>
      </c>
    </row>
    <row r="4112" spans="1:8" x14ac:dyDescent="0.25">
      <c r="A4112" s="2" t="s">
        <v>4134</v>
      </c>
      <c r="B4112" s="3"/>
      <c r="C4112" s="3"/>
      <c r="D4112" s="3"/>
      <c r="E4112" s="5" t="str">
        <f>HYPERLINK("https://dpmzos25m8ivg.cloudfront.net/Documentos/631/08544636403/6310854463640311092023142035.jpeg","https://dpmzos25m8ivg.cloudfront.net/Documentos/631/08544636403/6310854463640311092023142035.jpeg")</f>
        <v>https://dpmzos25m8ivg.cloudfront.net/Documentos/631/08544636403/6310854463640311092023142035.jpeg</v>
      </c>
      <c r="F4112" s="5" t="str">
        <f>HYPERLINK("https://dpmzos25m8ivg.cloudfront.net/Documentos/631/08544636403/6310854463640311092023142053.jpeg","https://dpmzos25m8ivg.cloudfront.net/Documentos/631/08544636403/6310854463640311092023142053.jpeg")</f>
        <v>https://dpmzos25m8ivg.cloudfront.net/Documentos/631/08544636403/6310854463640311092023142053.jpeg</v>
      </c>
      <c r="G4112" s="5" t="str">
        <f>HYPERLINK("https://dpmzos25m8ivg.cloudfront.net/Documentos/631/08544636403/6310854463640311092023142109.jpeg","https://dpmzos25m8ivg.cloudfront.net/Documentos/631/08544636403/6310854463640311092023142109.jpeg")</f>
        <v>https://dpmzos25m8ivg.cloudfront.net/Documentos/631/08544636403/6310854463640311092023142109.jpeg</v>
      </c>
      <c r="H4112" s="5" t="s">
        <v>12687</v>
      </c>
    </row>
    <row r="4113" spans="1:8" x14ac:dyDescent="0.25">
      <c r="A4113" s="2" t="s">
        <v>4135</v>
      </c>
      <c r="B4113" s="3"/>
      <c r="C4113" s="3"/>
      <c r="D4113" s="3"/>
      <c r="E4113" s="5" t="str">
        <f>HYPERLINK("https://dpmzos25m8ivg.cloudfront.net/Documentos/631/08546972419/6310854697241906092023122528.jpg","https://dpmzos25m8ivg.cloudfront.net/Documentos/631/08546972419/6310854697241906092023122528.jpg")</f>
        <v>https://dpmzos25m8ivg.cloudfront.net/Documentos/631/08546972419/6310854697241906092023122528.jpg</v>
      </c>
      <c r="F4113" s="5" t="str">
        <f>HYPERLINK("https://dpmzos25m8ivg.cloudfront.net/Documentos/631/08546972419/6310854697241906092023122543.jpg","https://dpmzos25m8ivg.cloudfront.net/Documentos/631/08546972419/6310854697241906092023122543.jpg")</f>
        <v>https://dpmzos25m8ivg.cloudfront.net/Documentos/631/08546972419/6310854697241906092023122543.jpg</v>
      </c>
      <c r="G4113" s="5" t="str">
        <f>HYPERLINK("https://dpmzos25m8ivg.cloudfront.net/Documentos/631/08546972419/6310854697241906092023122557.jpg","https://dpmzos25m8ivg.cloudfront.net/Documentos/631/08546972419/6310854697241906092023122557.jpg")</f>
        <v>https://dpmzos25m8ivg.cloudfront.net/Documentos/631/08546972419/6310854697241906092023122557.jpg</v>
      </c>
      <c r="H4113" s="5" t="s">
        <v>12688</v>
      </c>
    </row>
    <row r="4114" spans="1:8" x14ac:dyDescent="0.25">
      <c r="A4114" s="2" t="s">
        <v>4136</v>
      </c>
      <c r="B4114" s="3" t="s">
        <v>8</v>
      </c>
      <c r="C4114" s="3"/>
      <c r="D4114" s="3"/>
      <c r="E4114" s="5" t="str">
        <f>HYPERLINK("https://dpmzos25m8ivg.cloudfront.net/Documentos/631/08548443413/6310854844341311092023091222.pdf","https://dpmzos25m8ivg.cloudfront.net/Documentos/631/08548443413/6310854844341311092023091222.pdf")</f>
        <v>https://dpmzos25m8ivg.cloudfront.net/Documentos/631/08548443413/6310854844341311092023091222.pdf</v>
      </c>
      <c r="F4114" s="5" t="str">
        <f>HYPERLINK("https://dpmzos25m8ivg.cloudfront.net/Documentos/631/08548443413/6310854844341311092023091239.pdf","https://dpmzos25m8ivg.cloudfront.net/Documentos/631/08548443413/6310854844341311092023091239.pdf")</f>
        <v>https://dpmzos25m8ivg.cloudfront.net/Documentos/631/08548443413/6310854844341311092023091239.pdf</v>
      </c>
      <c r="G4114" s="5" t="str">
        <f>HYPERLINK("https://dpmzos25m8ivg.cloudfront.net/Documentos/631/08548443413/6310854844341311092023091253.pdf","https://dpmzos25m8ivg.cloudfront.net/Documentos/631/08548443413/6310854844341311092023091253.pdf")</f>
        <v>https://dpmzos25m8ivg.cloudfront.net/Documentos/631/08548443413/6310854844341311092023091253.pdf</v>
      </c>
      <c r="H4114" s="5" t="s">
        <v>12689</v>
      </c>
    </row>
    <row r="4115" spans="1:8" x14ac:dyDescent="0.25">
      <c r="A4115" s="2" t="s">
        <v>4137</v>
      </c>
      <c r="B4115" s="3"/>
      <c r="C4115" s="3"/>
      <c r="D4115" s="3"/>
      <c r="E4115" s="5" t="str">
        <f>HYPERLINK("https://dpmzos25m8ivg.cloudfront.net/Documentos/631/08563423517/6310856342351710092023145940.pdf","https://dpmzos25m8ivg.cloudfront.net/Documentos/631/08563423517/6310856342351710092023145940.pdf")</f>
        <v>https://dpmzos25m8ivg.cloudfront.net/Documentos/631/08563423517/6310856342351710092023145940.pdf</v>
      </c>
      <c r="F4115" s="5" t="str">
        <f>HYPERLINK("https://dpmzos25m8ivg.cloudfront.net/Documentos/631/08563423517/6310856342351710092023145947.pdf","https://dpmzos25m8ivg.cloudfront.net/Documentos/631/08563423517/6310856342351710092023145947.pdf")</f>
        <v>https://dpmzos25m8ivg.cloudfront.net/Documentos/631/08563423517/6310856342351710092023145947.pdf</v>
      </c>
      <c r="G4115" s="5" t="str">
        <f>HYPERLINK("https://dpmzos25m8ivg.cloudfront.net/Documentos/631/08563423517/6310856342351710092023145954.pdf","https://dpmzos25m8ivg.cloudfront.net/Documentos/631/08563423517/6310856342351710092023145954.pdf")</f>
        <v>https://dpmzos25m8ivg.cloudfront.net/Documentos/631/08563423517/6310856342351710092023145954.pdf</v>
      </c>
      <c r="H4115" s="5" t="s">
        <v>12690</v>
      </c>
    </row>
    <row r="4116" spans="1:8" x14ac:dyDescent="0.25">
      <c r="A4116" s="2" t="s">
        <v>4138</v>
      </c>
      <c r="B4116" s="3"/>
      <c r="C4116" s="3"/>
      <c r="D4116" s="3"/>
      <c r="E4116" s="5" t="str">
        <f>HYPERLINK("https://dpmzos25m8ivg.cloudfront.net/Documentos/631/08563890646/6310856389064611092023075827.pdf","https://dpmzos25m8ivg.cloudfront.net/Documentos/631/08563890646/6310856389064611092023075827.pdf")</f>
        <v>https://dpmzos25m8ivg.cloudfront.net/Documentos/631/08563890646/6310856389064611092023075827.pdf</v>
      </c>
      <c r="F4116" s="5" t="str">
        <f>HYPERLINK("https://dpmzos25m8ivg.cloudfront.net/Documentos/631/08563890646/6310856389064611092023075837.pdf","https://dpmzos25m8ivg.cloudfront.net/Documentos/631/08563890646/6310856389064611092023075837.pdf")</f>
        <v>https://dpmzos25m8ivg.cloudfront.net/Documentos/631/08563890646/6310856389064611092023075837.pdf</v>
      </c>
      <c r="G4116" s="5" t="str">
        <f>HYPERLINK("https://dpmzos25m8ivg.cloudfront.net/Documentos/631/08563890646/6310856389064611092023075844.pdf","https://dpmzos25m8ivg.cloudfront.net/Documentos/631/08563890646/6310856389064611092023075844.pdf")</f>
        <v>https://dpmzos25m8ivg.cloudfront.net/Documentos/631/08563890646/6310856389064611092023075844.pdf</v>
      </c>
      <c r="H4116" s="5" t="s">
        <v>12691</v>
      </c>
    </row>
    <row r="4117" spans="1:8" x14ac:dyDescent="0.25">
      <c r="A4117" s="2" t="s">
        <v>4139</v>
      </c>
      <c r="B4117" s="3"/>
      <c r="C4117" s="3"/>
      <c r="D4117" s="3"/>
      <c r="E4117" s="5" t="str">
        <f>HYPERLINK("https://dpmzos25m8ivg.cloudfront.net/Documentos/631/08565971554/6310856597155411092023160225.jpeg","https://dpmzos25m8ivg.cloudfront.net/Documentos/631/08565971554/6310856597155411092023160225.jpeg")</f>
        <v>https://dpmzos25m8ivg.cloudfront.net/Documentos/631/08565971554/6310856597155411092023160225.jpeg</v>
      </c>
      <c r="F4117" s="5" t="str">
        <f>HYPERLINK("https://dpmzos25m8ivg.cloudfront.net/Documentos/631/08565971554/6310856597155411092023160303.jpeg","https://dpmzos25m8ivg.cloudfront.net/Documentos/631/08565971554/6310856597155411092023160303.jpeg")</f>
        <v>https://dpmzos25m8ivg.cloudfront.net/Documentos/631/08565971554/6310856597155411092023160303.jpeg</v>
      </c>
      <c r="G4117" s="5" t="str">
        <f>HYPERLINK("https://dpmzos25m8ivg.cloudfront.net/Documentos/631/08565971554/6310856597155411092023160325.jpeg","https://dpmzos25m8ivg.cloudfront.net/Documentos/631/08565971554/6310856597155411092023160325.jpeg")</f>
        <v>https://dpmzos25m8ivg.cloudfront.net/Documentos/631/08565971554/6310856597155411092023160325.jpeg</v>
      </c>
      <c r="H4117" s="5" t="s">
        <v>12692</v>
      </c>
    </row>
    <row r="4118" spans="1:8" x14ac:dyDescent="0.25">
      <c r="A4118" s="2" t="s">
        <v>4140</v>
      </c>
      <c r="B4118" s="19" t="s">
        <v>3385</v>
      </c>
      <c r="C4118" s="3"/>
      <c r="D4118" s="3"/>
      <c r="E4118" s="5" t="str">
        <f>HYPERLINK("https://dpmzos25m8ivg.cloudfront.net/Documentos/631/08567717590/6310856771759005092023000836.pdf","https://dpmzos25m8ivg.cloudfront.net/Documentos/631/08567717590/6310856771759005092023000836.pdf")</f>
        <v>https://dpmzos25m8ivg.cloudfront.net/Documentos/631/08567717590/6310856771759005092023000836.pdf</v>
      </c>
      <c r="F4118" s="5" t="str">
        <f>HYPERLINK("https://dpmzos25m8ivg.cloudfront.net/Documentos/631/08567717590/6310856771759005092023000919.pdf","https://dpmzos25m8ivg.cloudfront.net/Documentos/631/08567717590/6310856771759005092023000919.pdf")</f>
        <v>https://dpmzos25m8ivg.cloudfront.net/Documentos/631/08567717590/6310856771759005092023000919.pdf</v>
      </c>
      <c r="G4118" s="5" t="str">
        <f>HYPERLINK("https://dpmzos25m8ivg.cloudfront.net/Documentos/631/08567717590/6310856771759005092023001149.pdf","https://dpmzos25m8ivg.cloudfront.net/Documentos/631/08567717590/6310856771759005092023001149.pdf")</f>
        <v>https://dpmzos25m8ivg.cloudfront.net/Documentos/631/08567717590/6310856771759005092023001149.pdf</v>
      </c>
      <c r="H4118" s="5" t="s">
        <v>12693</v>
      </c>
    </row>
    <row r="4119" spans="1:8" x14ac:dyDescent="0.25">
      <c r="A4119" s="2" t="s">
        <v>4141</v>
      </c>
      <c r="B4119" s="3"/>
      <c r="C4119" s="3"/>
      <c r="D4119" s="3"/>
      <c r="E4119" s="5" t="str">
        <f>HYPERLINK("https://dpmzos25m8ivg.cloudfront.net/Documentos/631/08574622451/6310857462245107092023230906.pdf","https://dpmzos25m8ivg.cloudfront.net/Documentos/631/08574622451/6310857462245107092023230906.pdf")</f>
        <v>https://dpmzos25m8ivg.cloudfront.net/Documentos/631/08574622451/6310857462245107092023230906.pdf</v>
      </c>
      <c r="F4119" s="5" t="str">
        <f>HYPERLINK("https://dpmzos25m8ivg.cloudfront.net/Documentos/631/08574622451/6310857462245107092023230918.pdf","https://dpmzos25m8ivg.cloudfront.net/Documentos/631/08574622451/6310857462245107092023230918.pdf")</f>
        <v>https://dpmzos25m8ivg.cloudfront.net/Documentos/631/08574622451/6310857462245107092023230918.pdf</v>
      </c>
      <c r="G4119" s="5" t="str">
        <f>HYPERLINK("https://dpmzos25m8ivg.cloudfront.net/Documentos/631/08574622451/6310857462245107092023230931.pdf","https://dpmzos25m8ivg.cloudfront.net/Documentos/631/08574622451/6310857462245107092023230931.pdf")</f>
        <v>https://dpmzos25m8ivg.cloudfront.net/Documentos/631/08574622451/6310857462245107092023230931.pdf</v>
      </c>
      <c r="H4119" s="5" t="s">
        <v>12694</v>
      </c>
    </row>
    <row r="4120" spans="1:8" x14ac:dyDescent="0.25">
      <c r="A4120" s="2" t="s">
        <v>4142</v>
      </c>
      <c r="B4120" s="3"/>
      <c r="C4120" s="3"/>
      <c r="D4120" s="3"/>
      <c r="E4120" s="5" t="str">
        <f>HYPERLINK("https://dpmzos25m8ivg.cloudfront.net/Documentos/631/08575091441/6310857509144111092023155623.pdf","https://dpmzos25m8ivg.cloudfront.net/Documentos/631/08575091441/6310857509144111092023155623.pdf")</f>
        <v>https://dpmzos25m8ivg.cloudfront.net/Documentos/631/08575091441/6310857509144111092023155623.pdf</v>
      </c>
      <c r="F4120" s="5" t="str">
        <f>HYPERLINK("https://dpmzos25m8ivg.cloudfront.net/Documentos/631/08575091441/6310857509144111092023155631.pdf","https://dpmzos25m8ivg.cloudfront.net/Documentos/631/08575091441/6310857509144111092023155631.pdf")</f>
        <v>https://dpmzos25m8ivg.cloudfront.net/Documentos/631/08575091441/6310857509144111092023155631.pdf</v>
      </c>
      <c r="G4120" s="5" t="str">
        <f>HYPERLINK("https://dpmzos25m8ivg.cloudfront.net/Documentos/631/08575091441/6310857509144111092023155640.pdf","https://dpmzos25m8ivg.cloudfront.net/Documentos/631/08575091441/6310857509144111092023155640.pdf")</f>
        <v>https://dpmzos25m8ivg.cloudfront.net/Documentos/631/08575091441/6310857509144111092023155640.pdf</v>
      </c>
      <c r="H4120" s="5" t="s">
        <v>12695</v>
      </c>
    </row>
    <row r="4121" spans="1:8" x14ac:dyDescent="0.25">
      <c r="A4121" s="2" t="s">
        <v>4143</v>
      </c>
      <c r="B4121" s="3"/>
      <c r="C4121" s="3"/>
      <c r="D4121" s="3"/>
      <c r="E4121" s="5" t="str">
        <f>HYPERLINK("https://dpmzos25m8ivg.cloudfront.net/Documentos/631/08577687511/6310857768751109092023110959.pdf","https://dpmzos25m8ivg.cloudfront.net/Documentos/631/08577687511/6310857768751109092023110959.pdf")</f>
        <v>https://dpmzos25m8ivg.cloudfront.net/Documentos/631/08577687511/6310857768751109092023110959.pdf</v>
      </c>
      <c r="F4121" s="5" t="str">
        <f>HYPERLINK("https://dpmzos25m8ivg.cloudfront.net/Documentos/631/08577687511/6310857768751109092023111010.pdf","https://dpmzos25m8ivg.cloudfront.net/Documentos/631/08577687511/6310857768751109092023111010.pdf")</f>
        <v>https://dpmzos25m8ivg.cloudfront.net/Documentos/631/08577687511/6310857768751109092023111010.pdf</v>
      </c>
      <c r="G4121" s="5" t="str">
        <f>HYPERLINK("https://dpmzos25m8ivg.cloudfront.net/Documentos/631/08577687511/6310857768751109092023111018.pdf","https://dpmzos25m8ivg.cloudfront.net/Documentos/631/08577687511/6310857768751109092023111018.pdf")</f>
        <v>https://dpmzos25m8ivg.cloudfront.net/Documentos/631/08577687511/6310857768751109092023111018.pdf</v>
      </c>
      <c r="H4121" s="5" t="s">
        <v>12696</v>
      </c>
    </row>
    <row r="4122" spans="1:8" x14ac:dyDescent="0.25">
      <c r="A4122" s="2" t="s">
        <v>4144</v>
      </c>
      <c r="B4122" s="3"/>
      <c r="C4122" s="3"/>
      <c r="D4122" s="3"/>
      <c r="E4122" s="5" t="str">
        <f>HYPERLINK("https://dpmzos25m8ivg.cloudfront.net/Documentos/631/08582574592/6310858257459211092023001106.pdf","https://dpmzos25m8ivg.cloudfront.net/Documentos/631/08582574592/6310858257459211092023001106.pdf")</f>
        <v>https://dpmzos25m8ivg.cloudfront.net/Documentos/631/08582574592/6310858257459211092023001106.pdf</v>
      </c>
      <c r="F4122" s="5" t="str">
        <f>HYPERLINK("https://dpmzos25m8ivg.cloudfront.net/Documentos/631/08582574592/6310858257459211092023001226.pdf","https://dpmzos25m8ivg.cloudfront.net/Documentos/631/08582574592/6310858257459211092023001226.pdf")</f>
        <v>https://dpmzos25m8ivg.cloudfront.net/Documentos/631/08582574592/6310858257459211092023001226.pdf</v>
      </c>
      <c r="G4122" s="5" t="str">
        <f>HYPERLINK("https://dpmzos25m8ivg.cloudfront.net/Documentos/631/08582574592/6310858257459211092023001447.pdf","https://dpmzos25m8ivg.cloudfront.net/Documentos/631/08582574592/6310858257459211092023001447.pdf")</f>
        <v>https://dpmzos25m8ivg.cloudfront.net/Documentos/631/08582574592/6310858257459211092023001447.pdf</v>
      </c>
      <c r="H4122" s="5" t="s">
        <v>12697</v>
      </c>
    </row>
    <row r="4123" spans="1:8" x14ac:dyDescent="0.25">
      <c r="A4123" s="2" t="s">
        <v>4145</v>
      </c>
      <c r="B4123" s="3" t="s">
        <v>42</v>
      </c>
      <c r="C4123" s="3"/>
      <c r="D4123" s="3"/>
      <c r="E4123" s="5" t="str">
        <f>HYPERLINK("https://dpmzos25m8ivg.cloudfront.net/Documentos/631/08587696548/6310858769654811092023102818.pdf","https://dpmzos25m8ivg.cloudfront.net/Documentos/631/08587696548/6310858769654811092023102818.pdf")</f>
        <v>https://dpmzos25m8ivg.cloudfront.net/Documentos/631/08587696548/6310858769654811092023102818.pdf</v>
      </c>
      <c r="F4123" s="5" t="str">
        <f>HYPERLINK("https://dpmzos25m8ivg.cloudfront.net/Documentos/631/08587696548/6310858769654811092023102830.pdf","https://dpmzos25m8ivg.cloudfront.net/Documentos/631/08587696548/6310858769654811092023102830.pdf")</f>
        <v>https://dpmzos25m8ivg.cloudfront.net/Documentos/631/08587696548/6310858769654811092023102830.pdf</v>
      </c>
      <c r="G4123" s="5" t="str">
        <f>HYPERLINK("https://dpmzos25m8ivg.cloudfront.net/Documentos/631/08587696548/6310858769654811092023102842.pdf","https://dpmzos25m8ivg.cloudfront.net/Documentos/631/08587696548/6310858769654811092023102842.pdf")</f>
        <v>https://dpmzos25m8ivg.cloudfront.net/Documentos/631/08587696548/6310858769654811092023102842.pdf</v>
      </c>
      <c r="H4123" s="5" t="s">
        <v>12698</v>
      </c>
    </row>
    <row r="4124" spans="1:8" x14ac:dyDescent="0.25">
      <c r="A4124" s="2" t="s">
        <v>4146</v>
      </c>
      <c r="B4124" s="3"/>
      <c r="C4124" s="3"/>
      <c r="D4124" s="3"/>
      <c r="E4124" s="5" t="str">
        <f>HYPERLINK("https://dpmzos25m8ivg.cloudfront.net/Documentos/631/08591943619/6310859194361911092023124408.jpeg","https://dpmzos25m8ivg.cloudfront.net/Documentos/631/08591943619/6310859194361911092023124408.jpeg")</f>
        <v>https://dpmzos25m8ivg.cloudfront.net/Documentos/631/08591943619/6310859194361911092023124408.jpeg</v>
      </c>
      <c r="F4124" s="5" t="str">
        <f>HYPERLINK("https://dpmzos25m8ivg.cloudfront.net/Documentos/631/08591943619/6310859194361911092023124419.jpeg","https://dpmzos25m8ivg.cloudfront.net/Documentos/631/08591943619/6310859194361911092023124419.jpeg")</f>
        <v>https://dpmzos25m8ivg.cloudfront.net/Documentos/631/08591943619/6310859194361911092023124419.jpeg</v>
      </c>
      <c r="G4124" s="5" t="str">
        <f>HYPERLINK("https://dpmzos25m8ivg.cloudfront.net/Documentos/631/08591943619/6310859194361911092023124432.jpeg","https://dpmzos25m8ivg.cloudfront.net/Documentos/631/08591943619/6310859194361911092023124432.jpeg")</f>
        <v>https://dpmzos25m8ivg.cloudfront.net/Documentos/631/08591943619/6310859194361911092023124432.jpeg</v>
      </c>
      <c r="H4124" s="5" t="s">
        <v>12699</v>
      </c>
    </row>
    <row r="4125" spans="1:8" x14ac:dyDescent="0.25">
      <c r="A4125" s="2" t="s">
        <v>4147</v>
      </c>
      <c r="B4125" s="3"/>
      <c r="C4125" s="3"/>
      <c r="D4125" s="3"/>
      <c r="E4125" s="5" t="str">
        <f>HYPERLINK("https://dpmzos25m8ivg.cloudfront.net/Documentos/631/08592785499/6310859278549910092023202429.pdf","https://dpmzos25m8ivg.cloudfront.net/Documentos/631/08592785499/6310859278549910092023202429.pdf")</f>
        <v>https://dpmzos25m8ivg.cloudfront.net/Documentos/631/08592785499/6310859278549910092023202429.pdf</v>
      </c>
      <c r="F4125" s="5" t="str">
        <f>HYPERLINK("https://dpmzos25m8ivg.cloudfront.net/Documentos/631/08592785499/6310859278549910092023202457.pdf","https://dpmzos25m8ivg.cloudfront.net/Documentos/631/08592785499/6310859278549910092023202457.pdf")</f>
        <v>https://dpmzos25m8ivg.cloudfront.net/Documentos/631/08592785499/6310859278549910092023202457.pdf</v>
      </c>
      <c r="G4125" s="5" t="str">
        <f>HYPERLINK("https://dpmzos25m8ivg.cloudfront.net/Documentos/631/08592785499/6310859278549910092023202513.pdf","https://dpmzos25m8ivg.cloudfront.net/Documentos/631/08592785499/6310859278549910092023202513.pdf")</f>
        <v>https://dpmzos25m8ivg.cloudfront.net/Documentos/631/08592785499/6310859278549910092023202513.pdf</v>
      </c>
      <c r="H4125" s="5" t="s">
        <v>12700</v>
      </c>
    </row>
    <row r="4126" spans="1:8" x14ac:dyDescent="0.25">
      <c r="A4126" s="2" t="s">
        <v>4148</v>
      </c>
      <c r="B4126" s="3"/>
      <c r="C4126" s="3"/>
      <c r="D4126" s="3"/>
      <c r="E4126" s="5" t="str">
        <f>HYPERLINK("https://dpmzos25m8ivg.cloudfront.net/Documentos/631/08600092701/6310860009270105092023133823.jpg","https://dpmzos25m8ivg.cloudfront.net/Documentos/631/08600092701/6310860009270105092023133823.jpg")</f>
        <v>https://dpmzos25m8ivg.cloudfront.net/Documentos/631/08600092701/6310860009270105092023133823.jpg</v>
      </c>
      <c r="F4126" s="5" t="str">
        <f>HYPERLINK("https://dpmzos25m8ivg.cloudfront.net/Documentos/631/08600092701/6310860009270105092023133845.jpg","https://dpmzos25m8ivg.cloudfront.net/Documentos/631/08600092701/6310860009270105092023133845.jpg")</f>
        <v>https://dpmzos25m8ivg.cloudfront.net/Documentos/631/08600092701/6310860009270105092023133845.jpg</v>
      </c>
      <c r="G4126" s="5" t="str">
        <f>HYPERLINK("https://dpmzos25m8ivg.cloudfront.net/Documentos/631/08600092701/6310860009270105092023133901.jpg","https://dpmzos25m8ivg.cloudfront.net/Documentos/631/08600092701/6310860009270105092023133901.jpg")</f>
        <v>https://dpmzos25m8ivg.cloudfront.net/Documentos/631/08600092701/6310860009270105092023133901.jpg</v>
      </c>
      <c r="H4126" s="5" t="s">
        <v>12701</v>
      </c>
    </row>
    <row r="4127" spans="1:8" x14ac:dyDescent="0.25">
      <c r="A4127" s="2" t="s">
        <v>4149</v>
      </c>
      <c r="B4127" s="3"/>
      <c r="C4127" s="3"/>
      <c r="D4127" s="3"/>
      <c r="E4127" s="5" t="str">
        <f>HYPERLINK("https://dpmzos25m8ivg.cloudfront.net/Documentos/631/08613891667/6310861389166706092023073642.jpg","https://dpmzos25m8ivg.cloudfront.net/Documentos/631/08613891667/6310861389166706092023073642.jpg")</f>
        <v>https://dpmzos25m8ivg.cloudfront.net/Documentos/631/08613891667/6310861389166706092023073642.jpg</v>
      </c>
      <c r="F4127" s="5" t="str">
        <f>HYPERLINK("https://dpmzos25m8ivg.cloudfront.net/Documentos/631/08613891667/6310861389166706092023073654.jpg","https://dpmzos25m8ivg.cloudfront.net/Documentos/631/08613891667/6310861389166706092023073654.jpg")</f>
        <v>https://dpmzos25m8ivg.cloudfront.net/Documentos/631/08613891667/6310861389166706092023073654.jpg</v>
      </c>
      <c r="G4127" s="5" t="str">
        <f>HYPERLINK("https://dpmzos25m8ivg.cloudfront.net/Documentos/631/08613891667/6310861389166706092023073703.jpg","https://dpmzos25m8ivg.cloudfront.net/Documentos/631/08613891667/6310861389166706092023073703.jpg")</f>
        <v>https://dpmzos25m8ivg.cloudfront.net/Documentos/631/08613891667/6310861389166706092023073703.jpg</v>
      </c>
      <c r="H4127" s="5" t="s">
        <v>12702</v>
      </c>
    </row>
    <row r="4128" spans="1:8" x14ac:dyDescent="0.25">
      <c r="A4128" s="2" t="s">
        <v>4150</v>
      </c>
      <c r="B4128" s="3" t="s">
        <v>90</v>
      </c>
      <c r="C4128" s="3"/>
      <c r="D4128" s="3"/>
      <c r="E4128" s="5" t="str">
        <f>HYPERLINK("https://dpmzos25m8ivg.cloudfront.net/Documentos/631/08620100556/6310862010055611092023165427.pdf","https://dpmzos25m8ivg.cloudfront.net/Documentos/631/08620100556/6310862010055611092023165427.pdf")</f>
        <v>https://dpmzos25m8ivg.cloudfront.net/Documentos/631/08620100556/6310862010055611092023165427.pdf</v>
      </c>
      <c r="F4128" s="5" t="str">
        <f>HYPERLINK("https://dpmzos25m8ivg.cloudfront.net/Documentos/631/08620100556/6310862010055611092023165438.pdf","https://dpmzos25m8ivg.cloudfront.net/Documentos/631/08620100556/6310862010055611092023165438.pdf")</f>
        <v>https://dpmzos25m8ivg.cloudfront.net/Documentos/631/08620100556/6310862010055611092023165438.pdf</v>
      </c>
      <c r="G4128" s="5" t="str">
        <f>HYPERLINK("https://dpmzos25m8ivg.cloudfront.net/Documentos/631/08620100556/6310862010055611092023165448.pdf","https://dpmzos25m8ivg.cloudfront.net/Documentos/631/08620100556/6310862010055611092023165448.pdf")</f>
        <v>https://dpmzos25m8ivg.cloudfront.net/Documentos/631/08620100556/6310862010055611092023165448.pdf</v>
      </c>
      <c r="H4128" s="5" t="s">
        <v>12703</v>
      </c>
    </row>
    <row r="4129" spans="1:8" x14ac:dyDescent="0.25">
      <c r="A4129" s="2" t="s">
        <v>4151</v>
      </c>
      <c r="B4129" s="3"/>
      <c r="C4129" s="3"/>
      <c r="D4129" s="3"/>
      <c r="E4129" s="5" t="str">
        <f>HYPERLINK("https://dpmzos25m8ivg.cloudfront.net/Documentos/631/08622298639/6310862229863913092023114708.pdf","https://dpmzos25m8ivg.cloudfront.net/Documentos/631/08622298639/6310862229863913092023114708.pdf")</f>
        <v>https://dpmzos25m8ivg.cloudfront.net/Documentos/631/08622298639/6310862229863913092023114708.pdf</v>
      </c>
      <c r="F4129" s="5" t="str">
        <f>HYPERLINK("https://dpmzos25m8ivg.cloudfront.net/Documentos/631/08622298639/6310862229863913092023114735.pdf","https://dpmzos25m8ivg.cloudfront.net/Documentos/631/08622298639/6310862229863913092023114735.pdf")</f>
        <v>https://dpmzos25m8ivg.cloudfront.net/Documentos/631/08622298639/6310862229863913092023114735.pdf</v>
      </c>
      <c r="G4129" s="5" t="str">
        <f>HYPERLINK("https://dpmzos25m8ivg.cloudfront.net/Documentos/631/08622298639/6310862229863913092023114929.pdf","https://dpmzos25m8ivg.cloudfront.net/Documentos/631/08622298639/6310862229863913092023114929.pdf")</f>
        <v>https://dpmzos25m8ivg.cloudfront.net/Documentos/631/08622298639/6310862229863913092023114929.pdf</v>
      </c>
      <c r="H4129" s="5" t="s">
        <v>12704</v>
      </c>
    </row>
    <row r="4130" spans="1:8" x14ac:dyDescent="0.25">
      <c r="A4130" s="2" t="s">
        <v>4152</v>
      </c>
      <c r="B4130" s="3"/>
      <c r="C4130" s="3"/>
      <c r="D4130" s="3"/>
      <c r="E4130" s="5" t="str">
        <f>HYPERLINK("https://dpmzos25m8ivg.cloudfront.net/Documentos/631/08625149596/6310862514959607092023180632.pdf","https://dpmzos25m8ivg.cloudfront.net/Documentos/631/08625149596/6310862514959607092023180632.pdf")</f>
        <v>https://dpmzos25m8ivg.cloudfront.net/Documentos/631/08625149596/6310862514959607092023180632.pdf</v>
      </c>
      <c r="F4130" s="5" t="str">
        <f>HYPERLINK("https://dpmzos25m8ivg.cloudfront.net/Documentos/631/08625149596/6310862514959607092023180652.pdf","https://dpmzos25m8ivg.cloudfront.net/Documentos/631/08625149596/6310862514959607092023180652.pdf")</f>
        <v>https://dpmzos25m8ivg.cloudfront.net/Documentos/631/08625149596/6310862514959607092023180652.pdf</v>
      </c>
      <c r="G4130" s="5" t="str">
        <f>HYPERLINK("https://dpmzos25m8ivg.cloudfront.net/Documentos/631/08625149596/6310862514959607092023181847.pdf","https://dpmzos25m8ivg.cloudfront.net/Documentos/631/08625149596/6310862514959607092023181847.pdf")</f>
        <v>https://dpmzos25m8ivg.cloudfront.net/Documentos/631/08625149596/6310862514959607092023181847.pdf</v>
      </c>
      <c r="H4130" s="5" t="s">
        <v>12705</v>
      </c>
    </row>
    <row r="4131" spans="1:8" x14ac:dyDescent="0.25">
      <c r="A4131" s="2" t="s">
        <v>4153</v>
      </c>
      <c r="B4131" s="3"/>
      <c r="C4131" s="3"/>
      <c r="D4131" s="3"/>
      <c r="E4131" s="5" t="str">
        <f>HYPERLINK("https://dpmzos25m8ivg.cloudfront.net/Documentos/631/08627947902/6310862794790209092023134002.pdf","https://dpmzos25m8ivg.cloudfront.net/Documentos/631/08627947902/6310862794790209092023134002.pdf")</f>
        <v>https://dpmzos25m8ivg.cloudfront.net/Documentos/631/08627947902/6310862794790209092023134002.pdf</v>
      </c>
      <c r="F4131" s="5" t="str">
        <f>HYPERLINK("https://dpmzos25m8ivg.cloudfront.net/Documentos/631/08627947902/6310862794790209092023134013.pdf","https://dpmzos25m8ivg.cloudfront.net/Documentos/631/08627947902/6310862794790209092023134013.pdf")</f>
        <v>https://dpmzos25m8ivg.cloudfront.net/Documentos/631/08627947902/6310862794790209092023134013.pdf</v>
      </c>
      <c r="G4131" s="5" t="str">
        <f>HYPERLINK("https://dpmzos25m8ivg.cloudfront.net/Documentos/631/08627947902/6310862794790209092023134023.pdf","https://dpmzos25m8ivg.cloudfront.net/Documentos/631/08627947902/6310862794790209092023134023.pdf")</f>
        <v>https://dpmzos25m8ivg.cloudfront.net/Documentos/631/08627947902/6310862794790209092023134023.pdf</v>
      </c>
      <c r="H4131" s="5" t="s">
        <v>12706</v>
      </c>
    </row>
    <row r="4132" spans="1:8" x14ac:dyDescent="0.25">
      <c r="A4132" s="2" t="s">
        <v>4154</v>
      </c>
      <c r="B4132" s="3"/>
      <c r="C4132" s="3"/>
      <c r="D4132" s="3"/>
      <c r="E4132" s="5" t="str">
        <f>HYPERLINK("https://dpmzos25m8ivg.cloudfront.net/Documentos/631/08633833948/6310863383394814092023133028.pdf","https://dpmzos25m8ivg.cloudfront.net/Documentos/631/08633833948/6310863383394814092023133028.pdf")</f>
        <v>https://dpmzos25m8ivg.cloudfront.net/Documentos/631/08633833948/6310863383394814092023133028.pdf</v>
      </c>
      <c r="F4132" s="5" t="str">
        <f>HYPERLINK("https://dpmzos25m8ivg.cloudfront.net/Documentos/631/08633833948/6310863383394814092023133035.pdf","https://dpmzos25m8ivg.cloudfront.net/Documentos/631/08633833948/6310863383394814092023133035.pdf")</f>
        <v>https://dpmzos25m8ivg.cloudfront.net/Documentos/631/08633833948/6310863383394814092023133035.pdf</v>
      </c>
      <c r="G4132" s="5" t="str">
        <f>HYPERLINK("https://dpmzos25m8ivg.cloudfront.net/Documentos/631/08633833948/6310863383394814092023133042.pdf","https://dpmzos25m8ivg.cloudfront.net/Documentos/631/08633833948/6310863383394814092023133042.pdf")</f>
        <v>https://dpmzos25m8ivg.cloudfront.net/Documentos/631/08633833948/6310863383394814092023133042.pdf</v>
      </c>
      <c r="H4132" s="5" t="s">
        <v>12707</v>
      </c>
    </row>
    <row r="4133" spans="1:8" x14ac:dyDescent="0.25">
      <c r="A4133" s="2" t="s">
        <v>4155</v>
      </c>
      <c r="B4133" s="3"/>
      <c r="C4133" s="3"/>
      <c r="D4133" s="3"/>
      <c r="E4133" s="5" t="str">
        <f>HYPERLINK("https://dpmzos25m8ivg.cloudfront.net/Documentos/631/08634498409/6310863449840911092023143129.pdf","https://dpmzos25m8ivg.cloudfront.net/Documentos/631/08634498409/6310863449840911092023143129.pdf")</f>
        <v>https://dpmzos25m8ivg.cloudfront.net/Documentos/631/08634498409/6310863449840911092023143129.pdf</v>
      </c>
      <c r="F4133" s="5" t="str">
        <f>HYPERLINK("https://dpmzos25m8ivg.cloudfront.net/Documentos/631/08634498409/6310863449840911092023143138.pdf","https://dpmzos25m8ivg.cloudfront.net/Documentos/631/08634498409/6310863449840911092023143138.pdf")</f>
        <v>https://dpmzos25m8ivg.cloudfront.net/Documentos/631/08634498409/6310863449840911092023143138.pdf</v>
      </c>
      <c r="G4133" s="5" t="str">
        <f>HYPERLINK("https://dpmzos25m8ivg.cloudfront.net/Documentos/631/08634498409/6310863449840911092023143151.pdf","https://dpmzos25m8ivg.cloudfront.net/Documentos/631/08634498409/6310863449840911092023143151.pdf")</f>
        <v>https://dpmzos25m8ivg.cloudfront.net/Documentos/631/08634498409/6310863449840911092023143151.pdf</v>
      </c>
      <c r="H4133" s="5" t="s">
        <v>12708</v>
      </c>
    </row>
    <row r="4134" spans="1:8" x14ac:dyDescent="0.25">
      <c r="A4134" s="2" t="s">
        <v>4156</v>
      </c>
      <c r="B4134" s="3"/>
      <c r="C4134" s="3"/>
      <c r="D4134" s="3"/>
      <c r="E4134" s="5" t="str">
        <f>HYPERLINK("https://dpmzos25m8ivg.cloudfront.net/Documentos/631/08635002423/6310863500242306092023205920.jpeg","https://dpmzos25m8ivg.cloudfront.net/Documentos/631/08635002423/6310863500242306092023205920.jpeg")</f>
        <v>https://dpmzos25m8ivg.cloudfront.net/Documentos/631/08635002423/6310863500242306092023205920.jpeg</v>
      </c>
      <c r="F4134" s="5" t="str">
        <f>HYPERLINK("https://dpmzos25m8ivg.cloudfront.net/Documentos/631/08635002423/6310863500242306092023205931.jpeg","https://dpmzos25m8ivg.cloudfront.net/Documentos/631/08635002423/6310863500242306092023205931.jpeg")</f>
        <v>https://dpmzos25m8ivg.cloudfront.net/Documentos/631/08635002423/6310863500242306092023205931.jpeg</v>
      </c>
      <c r="G4134" s="5" t="str">
        <f>HYPERLINK("https://dpmzos25m8ivg.cloudfront.net/Documentos/631/08635002423/6310863500242306092023205941.jpeg","https://dpmzos25m8ivg.cloudfront.net/Documentos/631/08635002423/6310863500242306092023205941.jpeg")</f>
        <v>https://dpmzos25m8ivg.cloudfront.net/Documentos/631/08635002423/6310863500242306092023205941.jpeg</v>
      </c>
      <c r="H4134" s="5" t="s">
        <v>12709</v>
      </c>
    </row>
    <row r="4135" spans="1:8" x14ac:dyDescent="0.25">
      <c r="A4135" s="2" t="s">
        <v>4157</v>
      </c>
      <c r="B4135" s="3" t="s">
        <v>90</v>
      </c>
      <c r="C4135" s="3"/>
      <c r="D4135" s="3"/>
      <c r="E4135" s="5" t="str">
        <f>HYPERLINK("https://dpmzos25m8ivg.cloudfront.net/Documentos/631/08643006548/6310864300654807092023100548.pdf","https://dpmzos25m8ivg.cloudfront.net/Documentos/631/08643006548/6310864300654807092023100548.pdf")</f>
        <v>https://dpmzos25m8ivg.cloudfront.net/Documentos/631/08643006548/6310864300654807092023100548.pdf</v>
      </c>
      <c r="F4135" s="5" t="str">
        <f>HYPERLINK("https://dpmzos25m8ivg.cloudfront.net/Documentos/631/08643006548/6310864300654807092023100539.pdf","https://dpmzos25m8ivg.cloudfront.net/Documentos/631/08643006548/6310864300654807092023100539.pdf")</f>
        <v>https://dpmzos25m8ivg.cloudfront.net/Documentos/631/08643006548/6310864300654807092023100539.pdf</v>
      </c>
      <c r="G4135" s="5" t="str">
        <f>HYPERLINK("https://dpmzos25m8ivg.cloudfront.net/Documentos/631/08643006548/6310864300654807092023100528.pdf","https://dpmzos25m8ivg.cloudfront.net/Documentos/631/08643006548/6310864300654807092023100528.pdf")</f>
        <v>https://dpmzos25m8ivg.cloudfront.net/Documentos/631/08643006548/6310864300654807092023100528.pdf</v>
      </c>
      <c r="H4135" s="5" t="s">
        <v>12710</v>
      </c>
    </row>
    <row r="4136" spans="1:8" x14ac:dyDescent="0.25">
      <c r="A4136" s="2" t="s">
        <v>4158</v>
      </c>
      <c r="B4136" s="3" t="s">
        <v>90</v>
      </c>
      <c r="C4136" s="3"/>
      <c r="D4136" s="3"/>
      <c r="E4136" s="5" t="str">
        <f>HYPERLINK("https://dpmzos25m8ivg.cloudfront.net/Documentos/631/08643260509/6310864326050911092023151932.jpeg","https://dpmzos25m8ivg.cloudfront.net/Documentos/631/08643260509/6310864326050911092023151932.jpeg")</f>
        <v>https://dpmzos25m8ivg.cloudfront.net/Documentos/631/08643260509/6310864326050911092023151932.jpeg</v>
      </c>
      <c r="F4136" s="5" t="str">
        <f>HYPERLINK("https://dpmzos25m8ivg.cloudfront.net/Documentos/631/08643260509/6310864326050911092023152004.jpeg","https://dpmzos25m8ivg.cloudfront.net/Documentos/631/08643260509/6310864326050911092023152004.jpeg")</f>
        <v>https://dpmzos25m8ivg.cloudfront.net/Documentos/631/08643260509/6310864326050911092023152004.jpeg</v>
      </c>
      <c r="G4136" s="5" t="str">
        <f>HYPERLINK("https://dpmzos25m8ivg.cloudfront.net/Documentos/631/08643260509/6310864326050911092023152020.jpeg","https://dpmzos25m8ivg.cloudfront.net/Documentos/631/08643260509/6310864326050911092023152020.jpeg")</f>
        <v>https://dpmzos25m8ivg.cloudfront.net/Documentos/631/08643260509/6310864326050911092023152020.jpeg</v>
      </c>
      <c r="H4136" s="5" t="s">
        <v>12711</v>
      </c>
    </row>
    <row r="4137" spans="1:8" x14ac:dyDescent="0.25">
      <c r="A4137" s="2" t="s">
        <v>4159</v>
      </c>
      <c r="B4137" s="3"/>
      <c r="C4137" s="3"/>
      <c r="D4137" s="3"/>
      <c r="E4137" s="5" t="str">
        <f>HYPERLINK("https://dpmzos25m8ivg.cloudfront.net/Documentos/631/08644363514/6310864436351411092023155834.pdf","https://dpmzos25m8ivg.cloudfront.net/Documentos/631/08644363514/6310864436351411092023155834.pdf")</f>
        <v>https://dpmzos25m8ivg.cloudfront.net/Documentos/631/08644363514/6310864436351411092023155834.pdf</v>
      </c>
      <c r="F4137" s="5" t="str">
        <f>HYPERLINK("https://dpmzos25m8ivg.cloudfront.net/Documentos/631/08644363514/6310864436351411092023155850.pdf","https://dpmzos25m8ivg.cloudfront.net/Documentos/631/08644363514/6310864436351411092023155850.pdf")</f>
        <v>https://dpmzos25m8ivg.cloudfront.net/Documentos/631/08644363514/6310864436351411092023155850.pdf</v>
      </c>
      <c r="G4137" s="5" t="str">
        <f>HYPERLINK("https://dpmzos25m8ivg.cloudfront.net/Documentos/631/08644363514/6310864436351411092023155918.pdf","https://dpmzos25m8ivg.cloudfront.net/Documentos/631/08644363514/6310864436351411092023155918.pdf")</f>
        <v>https://dpmzos25m8ivg.cloudfront.net/Documentos/631/08644363514/6310864436351411092023155918.pdf</v>
      </c>
      <c r="H4137" s="5" t="s">
        <v>12712</v>
      </c>
    </row>
    <row r="4138" spans="1:8" x14ac:dyDescent="0.25">
      <c r="A4138" s="2" t="s">
        <v>4160</v>
      </c>
      <c r="B4138" s="3"/>
      <c r="C4138" s="3"/>
      <c r="D4138" s="3"/>
      <c r="E4138" s="5" t="str">
        <f>HYPERLINK("https://dpmzos25m8ivg.cloudfront.net/Documentos/631/08645437350/6310864543735011092023120542.jpeg","https://dpmzos25m8ivg.cloudfront.net/Documentos/631/08645437350/6310864543735011092023120542.jpeg")</f>
        <v>https://dpmzos25m8ivg.cloudfront.net/Documentos/631/08645437350/6310864543735011092023120542.jpeg</v>
      </c>
      <c r="F4138" s="5" t="str">
        <f>HYPERLINK("https://dpmzos25m8ivg.cloudfront.net/Documentos/631/08645437350/6310864543735011092023120556.jpeg","https://dpmzos25m8ivg.cloudfront.net/Documentos/631/08645437350/6310864543735011092023120556.jpeg")</f>
        <v>https://dpmzos25m8ivg.cloudfront.net/Documentos/631/08645437350/6310864543735011092023120556.jpeg</v>
      </c>
      <c r="G4138" s="5" t="str">
        <f>HYPERLINK("https://dpmzos25m8ivg.cloudfront.net/Documentos/631/08645437350/6310864543735011092023120610.jpeg","https://dpmzos25m8ivg.cloudfront.net/Documentos/631/08645437350/6310864543735011092023120610.jpeg")</f>
        <v>https://dpmzos25m8ivg.cloudfront.net/Documentos/631/08645437350/6310864543735011092023120610.jpeg</v>
      </c>
      <c r="H4138" s="5" t="s">
        <v>12713</v>
      </c>
    </row>
    <row r="4139" spans="1:8" x14ac:dyDescent="0.25">
      <c r="A4139" s="2" t="s">
        <v>4161</v>
      </c>
      <c r="B4139" s="3" t="s">
        <v>90</v>
      </c>
      <c r="C4139" s="3"/>
      <c r="D4139" s="3"/>
      <c r="E4139" s="5" t="str">
        <f>HYPERLINK("https://dpmzos25m8ivg.cloudfront.net/Documentos/631/08649680941/6310864968094110092023215529.pdf","https://dpmzos25m8ivg.cloudfront.net/Documentos/631/08649680941/6310864968094110092023215529.pdf")</f>
        <v>https://dpmzos25m8ivg.cloudfront.net/Documentos/631/08649680941/6310864968094110092023215529.pdf</v>
      </c>
      <c r="F4139" s="5" t="str">
        <f>HYPERLINK("https://dpmzos25m8ivg.cloudfront.net/Documentos/631/08649680941/6310864968094110092023215610.pdf","https://dpmzos25m8ivg.cloudfront.net/Documentos/631/08649680941/6310864968094110092023215610.pdf")</f>
        <v>https://dpmzos25m8ivg.cloudfront.net/Documentos/631/08649680941/6310864968094110092023215610.pdf</v>
      </c>
      <c r="G4139" s="5" t="str">
        <f>HYPERLINK("https://dpmzos25m8ivg.cloudfront.net/Documentos/631/08649680941/6310864968094110092023215628.pdf","https://dpmzos25m8ivg.cloudfront.net/Documentos/631/08649680941/6310864968094110092023215628.pdf")</f>
        <v>https://dpmzos25m8ivg.cloudfront.net/Documentos/631/08649680941/6310864968094110092023215628.pdf</v>
      </c>
      <c r="H4139" s="5" t="s">
        <v>12714</v>
      </c>
    </row>
    <row r="4140" spans="1:8" x14ac:dyDescent="0.25">
      <c r="A4140" s="2" t="s">
        <v>4162</v>
      </c>
      <c r="B4140" s="3"/>
      <c r="C4140" s="3"/>
      <c r="D4140" s="3"/>
      <c r="E4140" s="5" t="str">
        <f>HYPERLINK("https://dpmzos25m8ivg.cloudfront.net/Documentos/631/08654843764/6310865484376406092023185847.pdf","https://dpmzos25m8ivg.cloudfront.net/Documentos/631/08654843764/6310865484376406092023185847.pdf")</f>
        <v>https://dpmzos25m8ivg.cloudfront.net/Documentos/631/08654843764/6310865484376406092023185847.pdf</v>
      </c>
      <c r="F4140" s="5" t="str">
        <f>HYPERLINK("https://dpmzos25m8ivg.cloudfront.net/Documentos/631/08654843764/6310865484376406092023185854.pdf","https://dpmzos25m8ivg.cloudfront.net/Documentos/631/08654843764/6310865484376406092023185854.pdf")</f>
        <v>https://dpmzos25m8ivg.cloudfront.net/Documentos/631/08654843764/6310865484376406092023185854.pdf</v>
      </c>
      <c r="G4140" s="5" t="str">
        <f>HYPERLINK("https://dpmzos25m8ivg.cloudfront.net/Documentos/631/08654843764/6310865484376406092023185900.pdf","https://dpmzos25m8ivg.cloudfront.net/Documentos/631/08654843764/6310865484376406092023185900.pdf")</f>
        <v>https://dpmzos25m8ivg.cloudfront.net/Documentos/631/08654843764/6310865484376406092023185900.pdf</v>
      </c>
      <c r="H4140" s="5" t="s">
        <v>12715</v>
      </c>
    </row>
    <row r="4141" spans="1:8" x14ac:dyDescent="0.25">
      <c r="A4141" s="2" t="s">
        <v>4163</v>
      </c>
      <c r="B4141" s="3"/>
      <c r="C4141" s="3"/>
      <c r="D4141" s="3"/>
      <c r="E4141" s="5" t="str">
        <f>HYPERLINK("https://dpmzos25m8ivg.cloudfront.net/Documentos/631/08655399442/6310865539944208092023112712.pdf","https://dpmzos25m8ivg.cloudfront.net/Documentos/631/08655399442/6310865539944208092023112712.pdf")</f>
        <v>https://dpmzos25m8ivg.cloudfront.net/Documentos/631/08655399442/6310865539944208092023112712.pdf</v>
      </c>
      <c r="F4141" s="5" t="str">
        <f>HYPERLINK("https://dpmzos25m8ivg.cloudfront.net/Documentos/631/08655399442/6310865539944208092023112721.pdf","https://dpmzos25m8ivg.cloudfront.net/Documentos/631/08655399442/6310865539944208092023112721.pdf")</f>
        <v>https://dpmzos25m8ivg.cloudfront.net/Documentos/631/08655399442/6310865539944208092023112721.pdf</v>
      </c>
      <c r="G4141" s="5" t="str">
        <f>HYPERLINK("https://dpmzos25m8ivg.cloudfront.net/Documentos/631/08655399442/6310865539944208092023112728.pdf","https://dpmzos25m8ivg.cloudfront.net/Documentos/631/08655399442/6310865539944208092023112728.pdf")</f>
        <v>https://dpmzos25m8ivg.cloudfront.net/Documentos/631/08655399442/6310865539944208092023112728.pdf</v>
      </c>
      <c r="H4141" s="5" t="s">
        <v>12716</v>
      </c>
    </row>
    <row r="4142" spans="1:8" x14ac:dyDescent="0.25">
      <c r="A4142" s="2" t="s">
        <v>4164</v>
      </c>
      <c r="B4142" s="3" t="s">
        <v>90</v>
      </c>
      <c r="C4142" s="3"/>
      <c r="D4142" s="3"/>
      <c r="E4142" s="5" t="str">
        <f>HYPERLINK("https://dpmzos25m8ivg.cloudfront.net/Documentos/631/08656309412/6310865630941211092023144737.jpeg","https://dpmzos25m8ivg.cloudfront.net/Documentos/631/08656309412/6310865630941211092023144737.jpeg")</f>
        <v>https://dpmzos25m8ivg.cloudfront.net/Documentos/631/08656309412/6310865630941211092023144737.jpeg</v>
      </c>
      <c r="F4142" s="5" t="str">
        <f>HYPERLINK("https://dpmzos25m8ivg.cloudfront.net/Documentos/631/08656309412/6310865630941211092023144749.jpeg","https://dpmzos25m8ivg.cloudfront.net/Documentos/631/08656309412/6310865630941211092023144749.jpeg")</f>
        <v>https://dpmzos25m8ivg.cloudfront.net/Documentos/631/08656309412/6310865630941211092023144749.jpeg</v>
      </c>
      <c r="G4142" s="5" t="str">
        <f>HYPERLINK("https://dpmzos25m8ivg.cloudfront.net/Documentos/631/08656309412/6310865630941211092023144800.jpeg","https://dpmzos25m8ivg.cloudfront.net/Documentos/631/08656309412/6310865630941211092023144800.jpeg")</f>
        <v>https://dpmzos25m8ivg.cloudfront.net/Documentos/631/08656309412/6310865630941211092023144800.jpeg</v>
      </c>
      <c r="H4142" s="5" t="s">
        <v>12717</v>
      </c>
    </row>
    <row r="4143" spans="1:8" x14ac:dyDescent="0.25">
      <c r="A4143" s="2" t="s">
        <v>4165</v>
      </c>
      <c r="B4143" s="3"/>
      <c r="C4143" s="3"/>
      <c r="D4143" s="3"/>
      <c r="E4143" s="5" t="str">
        <f>HYPERLINK("https://dpmzos25m8ivg.cloudfront.net/Documentos/631/08659571428/6310865957142806092023154614.pdf","https://dpmzos25m8ivg.cloudfront.net/Documentos/631/08659571428/6310865957142806092023154614.pdf")</f>
        <v>https://dpmzos25m8ivg.cloudfront.net/Documentos/631/08659571428/6310865957142806092023154614.pdf</v>
      </c>
      <c r="F4143" s="5" t="str">
        <f>HYPERLINK("https://dpmzos25m8ivg.cloudfront.net/Documentos/631/08659571428/6310865957142806092023154629.pdf","https://dpmzos25m8ivg.cloudfront.net/Documentos/631/08659571428/6310865957142806092023154629.pdf")</f>
        <v>https://dpmzos25m8ivg.cloudfront.net/Documentos/631/08659571428/6310865957142806092023154629.pdf</v>
      </c>
      <c r="G4143" s="5" t="str">
        <f>HYPERLINK("https://dpmzos25m8ivg.cloudfront.net/Documentos/631/08659571428/6310865957142806092023154652.pdf","https://dpmzos25m8ivg.cloudfront.net/Documentos/631/08659571428/6310865957142806092023154652.pdf")</f>
        <v>https://dpmzos25m8ivg.cloudfront.net/Documentos/631/08659571428/6310865957142806092023154652.pdf</v>
      </c>
      <c r="H4143" s="5" t="s">
        <v>12718</v>
      </c>
    </row>
    <row r="4144" spans="1:8" x14ac:dyDescent="0.25">
      <c r="A4144" s="2" t="s">
        <v>4166</v>
      </c>
      <c r="B4144" s="3" t="s">
        <v>42</v>
      </c>
      <c r="C4144" s="3"/>
      <c r="D4144" s="3"/>
      <c r="E4144" s="5" t="str">
        <f>HYPERLINK("https://dpmzos25m8ivg.cloudfront.net/Documentos/631/08666333758/6310866633375811092023001614.pdf","https://dpmzos25m8ivg.cloudfront.net/Documentos/631/08666333758/6310866633375811092023001614.pdf")</f>
        <v>https://dpmzos25m8ivg.cloudfront.net/Documentos/631/08666333758/6310866633375811092023001614.pdf</v>
      </c>
      <c r="F4144" s="5" t="str">
        <f>HYPERLINK("https://dpmzos25m8ivg.cloudfront.net/Documentos/631/08666333758/6310866633375811092023001630.pdf","https://dpmzos25m8ivg.cloudfront.net/Documentos/631/08666333758/6310866633375811092023001630.pdf")</f>
        <v>https://dpmzos25m8ivg.cloudfront.net/Documentos/631/08666333758/6310866633375811092023001630.pdf</v>
      </c>
      <c r="G4144" s="5" t="str">
        <f>HYPERLINK("https://dpmzos25m8ivg.cloudfront.net/Documentos/631/08666333758/6310866633375811092023001640.pdf","https://dpmzos25m8ivg.cloudfront.net/Documentos/631/08666333758/6310866633375811092023001640.pdf")</f>
        <v>https://dpmzos25m8ivg.cloudfront.net/Documentos/631/08666333758/6310866633375811092023001640.pdf</v>
      </c>
      <c r="H4144" s="5" t="s">
        <v>12719</v>
      </c>
    </row>
    <row r="4145" spans="1:8" x14ac:dyDescent="0.25">
      <c r="A4145" s="2" t="s">
        <v>4167</v>
      </c>
      <c r="B4145" s="3"/>
      <c r="C4145" s="3"/>
      <c r="D4145" s="3"/>
      <c r="E4145" s="5" t="str">
        <f>HYPERLINK("https://dpmzos25m8ivg.cloudfront.net/Documentos/631/08668103580/6310866810358011092023161503.pdf","https://dpmzos25m8ivg.cloudfront.net/Documentos/631/08668103580/6310866810358011092023161503.pdf")</f>
        <v>https://dpmzos25m8ivg.cloudfront.net/Documentos/631/08668103580/6310866810358011092023161503.pdf</v>
      </c>
      <c r="F4145" s="5" t="str">
        <f>HYPERLINK("https://dpmzos25m8ivg.cloudfront.net/Documentos/631/08668103580/6310866810358011092023161523.pdf","https://dpmzos25m8ivg.cloudfront.net/Documentos/631/08668103580/6310866810358011092023161523.pdf")</f>
        <v>https://dpmzos25m8ivg.cloudfront.net/Documentos/631/08668103580/6310866810358011092023161523.pdf</v>
      </c>
      <c r="G4145" s="5" t="str">
        <f>HYPERLINK("https://dpmzos25m8ivg.cloudfront.net/Documentos/631/08668103580/6310866810358011092023161535.pdf","https://dpmzos25m8ivg.cloudfront.net/Documentos/631/08668103580/6310866810358011092023161535.pdf")</f>
        <v>https://dpmzos25m8ivg.cloudfront.net/Documentos/631/08668103580/6310866810358011092023161535.pdf</v>
      </c>
      <c r="H4145" s="5" t="s">
        <v>12720</v>
      </c>
    </row>
    <row r="4146" spans="1:8" x14ac:dyDescent="0.25">
      <c r="A4146" s="2" t="s">
        <v>4168</v>
      </c>
      <c r="B4146" s="3"/>
      <c r="C4146" s="3"/>
      <c r="D4146" s="3"/>
      <c r="E4146" s="5" t="str">
        <f>HYPERLINK("https://dpmzos25m8ivg.cloudfront.net/Documentos/631/08670270455/6310867027045509092023191523.pdf","https://dpmzos25m8ivg.cloudfront.net/Documentos/631/08670270455/6310867027045509092023191523.pdf")</f>
        <v>https://dpmzos25m8ivg.cloudfront.net/Documentos/631/08670270455/6310867027045509092023191523.pdf</v>
      </c>
      <c r="F4146" s="5" t="str">
        <f>HYPERLINK("https://dpmzos25m8ivg.cloudfront.net/Documentos/631/08670270455/6310867027045509092023191536.pdf","https://dpmzos25m8ivg.cloudfront.net/Documentos/631/08670270455/6310867027045509092023191536.pdf")</f>
        <v>https://dpmzos25m8ivg.cloudfront.net/Documentos/631/08670270455/6310867027045509092023191536.pdf</v>
      </c>
      <c r="G4146" s="5" t="str">
        <f>HYPERLINK("https://dpmzos25m8ivg.cloudfront.net/Documentos/631/08670270455/6310867027045509092023191551.pdf","https://dpmzos25m8ivg.cloudfront.net/Documentos/631/08670270455/6310867027045509092023191551.pdf")</f>
        <v>https://dpmzos25m8ivg.cloudfront.net/Documentos/631/08670270455/6310867027045509092023191551.pdf</v>
      </c>
      <c r="H4146" s="5" t="s">
        <v>12721</v>
      </c>
    </row>
    <row r="4147" spans="1:8" x14ac:dyDescent="0.25">
      <c r="A4147" s="2" t="s">
        <v>4169</v>
      </c>
      <c r="B4147" s="3"/>
      <c r="C4147" s="3"/>
      <c r="D4147" s="3"/>
      <c r="E4147" s="5" t="str">
        <f>HYPERLINK("https://dpmzos25m8ivg.cloudfront.net/Documentos/631/08672919319/6310867291931910092023203119.jpg","https://dpmzos25m8ivg.cloudfront.net/Documentos/631/08672919319/6310867291931910092023203119.jpg")</f>
        <v>https://dpmzos25m8ivg.cloudfront.net/Documentos/631/08672919319/6310867291931910092023203119.jpg</v>
      </c>
      <c r="F4147" s="5" t="str">
        <f>HYPERLINK("https://dpmzos25m8ivg.cloudfront.net/Documentos/631/08672919319/6310867291931910092023203130.jpg","https://dpmzos25m8ivg.cloudfront.net/Documentos/631/08672919319/6310867291931910092023203130.jpg")</f>
        <v>https://dpmzos25m8ivg.cloudfront.net/Documentos/631/08672919319/6310867291931910092023203130.jpg</v>
      </c>
      <c r="G4147" s="5" t="str">
        <f>HYPERLINK("https://dpmzos25m8ivg.cloudfront.net/Documentos/631/08672919319/6310867291931910092023203142.jpg","https://dpmzos25m8ivg.cloudfront.net/Documentos/631/08672919319/6310867291931910092023203142.jpg")</f>
        <v>https://dpmzos25m8ivg.cloudfront.net/Documentos/631/08672919319/6310867291931910092023203142.jpg</v>
      </c>
      <c r="H4147" s="5" t="s">
        <v>12722</v>
      </c>
    </row>
    <row r="4148" spans="1:8" x14ac:dyDescent="0.25">
      <c r="A4148" s="2" t="s">
        <v>4170</v>
      </c>
      <c r="B4148" s="3"/>
      <c r="C4148" s="3"/>
      <c r="D4148" s="3"/>
      <c r="E4148" s="5" t="str">
        <f>HYPERLINK("https://dpmzos25m8ivg.cloudfront.net/Documentos/631/08673081335/6310867308133511092023155004.jpg","https://dpmzos25m8ivg.cloudfront.net/Documentos/631/08673081335/6310867308133511092023155004.jpg")</f>
        <v>https://dpmzos25m8ivg.cloudfront.net/Documentos/631/08673081335/6310867308133511092023155004.jpg</v>
      </c>
      <c r="F4148" s="5" t="str">
        <f>HYPERLINK("https://dpmzos25m8ivg.cloudfront.net/Documentos/631/08673081335/6310867308133511092023155019.jpg","https://dpmzos25m8ivg.cloudfront.net/Documentos/631/08673081335/6310867308133511092023155019.jpg")</f>
        <v>https://dpmzos25m8ivg.cloudfront.net/Documentos/631/08673081335/6310867308133511092023155019.jpg</v>
      </c>
      <c r="G4148" s="5" t="str">
        <f>HYPERLINK("https://dpmzos25m8ivg.cloudfront.net/Documentos/631/08673081335/6310867308133511092023155033.jpg","https://dpmzos25m8ivg.cloudfront.net/Documentos/631/08673081335/6310867308133511092023155033.jpg")</f>
        <v>https://dpmzos25m8ivg.cloudfront.net/Documentos/631/08673081335/6310867308133511092023155033.jpg</v>
      </c>
      <c r="H4148" s="5" t="s">
        <v>12723</v>
      </c>
    </row>
    <row r="4149" spans="1:8" x14ac:dyDescent="0.25">
      <c r="A4149" s="2" t="s">
        <v>4171</v>
      </c>
      <c r="B4149" s="3"/>
      <c r="C4149" s="3"/>
      <c r="D4149" s="3"/>
      <c r="E4149" s="5" t="str">
        <f>HYPERLINK("https://dpmzos25m8ivg.cloudfront.net/Documentos/631/08682545683/6310868254568311092023125212.pdf","https://dpmzos25m8ivg.cloudfront.net/Documentos/631/08682545683/6310868254568311092023125212.pdf")</f>
        <v>https://dpmzos25m8ivg.cloudfront.net/Documentos/631/08682545683/6310868254568311092023125212.pdf</v>
      </c>
      <c r="F4149" s="5" t="str">
        <f>HYPERLINK("https://dpmzos25m8ivg.cloudfront.net/Documentos/631/08682545683/6310868254568311092023125303.pdf","https://dpmzos25m8ivg.cloudfront.net/Documentos/631/08682545683/6310868254568311092023125303.pdf")</f>
        <v>https://dpmzos25m8ivg.cloudfront.net/Documentos/631/08682545683/6310868254568311092023125303.pdf</v>
      </c>
      <c r="G4149" s="5" t="str">
        <f>HYPERLINK("https://dpmzos25m8ivg.cloudfront.net/Documentos/631/08682545683/6310868254568311092023125322.pdf","https://dpmzos25m8ivg.cloudfront.net/Documentos/631/08682545683/6310868254568311092023125322.pdf")</f>
        <v>https://dpmzos25m8ivg.cloudfront.net/Documentos/631/08682545683/6310868254568311092023125322.pdf</v>
      </c>
      <c r="H4149" s="5" t="s">
        <v>12724</v>
      </c>
    </row>
    <row r="4150" spans="1:8" x14ac:dyDescent="0.25">
      <c r="A4150" s="2" t="s">
        <v>4172</v>
      </c>
      <c r="B4150" s="3" t="s">
        <v>90</v>
      </c>
      <c r="C4150" s="3"/>
      <c r="D4150" s="3"/>
      <c r="E4150" s="5" t="str">
        <f>HYPERLINK("https://dpmzos25m8ivg.cloudfront.net/Documentos/631/08685279470/6310868527947008092023182005.jpg","https://dpmzos25m8ivg.cloudfront.net/Documentos/631/08685279470/6310868527947008092023182005.jpg")</f>
        <v>https://dpmzos25m8ivg.cloudfront.net/Documentos/631/08685279470/6310868527947008092023182005.jpg</v>
      </c>
      <c r="F4150" s="5" t="str">
        <f>HYPERLINK("https://dpmzos25m8ivg.cloudfront.net/Documentos/631/08685279470/6310868527947008092023182043.jpg","https://dpmzos25m8ivg.cloudfront.net/Documentos/631/08685279470/6310868527947008092023182043.jpg")</f>
        <v>https://dpmzos25m8ivg.cloudfront.net/Documentos/631/08685279470/6310868527947008092023182043.jpg</v>
      </c>
      <c r="G4150" s="5" t="str">
        <f>HYPERLINK("https://dpmzos25m8ivg.cloudfront.net/Documentos/631/08685279470/6310868527947008092023182113.jpg","https://dpmzos25m8ivg.cloudfront.net/Documentos/631/08685279470/6310868527947008092023182113.jpg")</f>
        <v>https://dpmzos25m8ivg.cloudfront.net/Documentos/631/08685279470/6310868527947008092023182113.jpg</v>
      </c>
      <c r="H4150" s="5" t="s">
        <v>12725</v>
      </c>
    </row>
    <row r="4151" spans="1:8" x14ac:dyDescent="0.25">
      <c r="A4151" s="2" t="s">
        <v>4173</v>
      </c>
      <c r="B4151" s="3"/>
      <c r="C4151" s="3"/>
      <c r="D4151" s="3"/>
      <c r="E4151" s="5" t="str">
        <f>HYPERLINK("https://dpmzos25m8ivg.cloudfront.net/Documentos/631/08691171901/6310869117190111092023093803.pdf","https://dpmzos25m8ivg.cloudfront.net/Documentos/631/08691171901/6310869117190111092023093803.pdf")</f>
        <v>https://dpmzos25m8ivg.cloudfront.net/Documentos/631/08691171901/6310869117190111092023093803.pdf</v>
      </c>
      <c r="F4151" s="5" t="str">
        <f>HYPERLINK("https://dpmzos25m8ivg.cloudfront.net/Documentos/631/08691171901/6310869117190111092023093840.pdf","https://dpmzos25m8ivg.cloudfront.net/Documentos/631/08691171901/6310869117190111092023093840.pdf")</f>
        <v>https://dpmzos25m8ivg.cloudfront.net/Documentos/631/08691171901/6310869117190111092023093840.pdf</v>
      </c>
      <c r="G4151" s="5" t="str">
        <f>HYPERLINK("https://dpmzos25m8ivg.cloudfront.net/Documentos/631/08691171901/6310869117190111092023093852.pdf","https://dpmzos25m8ivg.cloudfront.net/Documentos/631/08691171901/6310869117190111092023093852.pdf")</f>
        <v>https://dpmzos25m8ivg.cloudfront.net/Documentos/631/08691171901/6310869117190111092023093852.pdf</v>
      </c>
      <c r="H4151" s="5" t="s">
        <v>12726</v>
      </c>
    </row>
    <row r="4152" spans="1:8" x14ac:dyDescent="0.25">
      <c r="A4152" s="2" t="s">
        <v>4174</v>
      </c>
      <c r="B4152" s="3" t="s">
        <v>90</v>
      </c>
      <c r="C4152" s="3"/>
      <c r="D4152" s="3"/>
      <c r="E4152" s="5" t="str">
        <f>HYPERLINK("https://dpmzos25m8ivg.cloudfront.net/Documentos/631/08691362596/6310869136259608092023203027.pdf","https://dpmzos25m8ivg.cloudfront.net/Documentos/631/08691362596/6310869136259608092023203027.pdf")</f>
        <v>https://dpmzos25m8ivg.cloudfront.net/Documentos/631/08691362596/6310869136259608092023203027.pdf</v>
      </c>
      <c r="F4152" s="5" t="str">
        <f>HYPERLINK("https://dpmzos25m8ivg.cloudfront.net/Documentos/631/08691362596/6310869136259608092023203107.pdf","https://dpmzos25m8ivg.cloudfront.net/Documentos/631/08691362596/6310869136259608092023203107.pdf")</f>
        <v>https://dpmzos25m8ivg.cloudfront.net/Documentos/631/08691362596/6310869136259608092023203107.pdf</v>
      </c>
      <c r="G4152" s="5" t="str">
        <f>HYPERLINK("https://dpmzos25m8ivg.cloudfront.net/Documentos/631/08691362596/6310869136259608092023203123.pdf","https://dpmzos25m8ivg.cloudfront.net/Documentos/631/08691362596/6310869136259608092023203123.pdf")</f>
        <v>https://dpmzos25m8ivg.cloudfront.net/Documentos/631/08691362596/6310869136259608092023203123.pdf</v>
      </c>
      <c r="H4152" s="5" t="s">
        <v>12727</v>
      </c>
    </row>
    <row r="4153" spans="1:8" x14ac:dyDescent="0.25">
      <c r="A4153" s="2" t="s">
        <v>4175</v>
      </c>
      <c r="B4153" s="3"/>
      <c r="C4153" s="3"/>
      <c r="D4153" s="3"/>
      <c r="E4153" s="5" t="str">
        <f>HYPERLINK("https://dpmzos25m8ivg.cloudfront.net/Documentos/631/08692281883/6310869228188306092023113854.jpg","https://dpmzos25m8ivg.cloudfront.net/Documentos/631/08692281883/6310869228188306092023113854.jpg")</f>
        <v>https://dpmzos25m8ivg.cloudfront.net/Documentos/631/08692281883/6310869228188306092023113854.jpg</v>
      </c>
      <c r="F4153" s="5" t="str">
        <f>HYPERLINK("https://dpmzos25m8ivg.cloudfront.net/Documentos/631/08692281883/6310869228188306092023113906.jpg","https://dpmzos25m8ivg.cloudfront.net/Documentos/631/08692281883/6310869228188306092023113906.jpg")</f>
        <v>https://dpmzos25m8ivg.cloudfront.net/Documentos/631/08692281883/6310869228188306092023113906.jpg</v>
      </c>
      <c r="G4153" s="5" t="str">
        <f>HYPERLINK("https://dpmzos25m8ivg.cloudfront.net/Documentos/631/08692281883/6310869228188306092023113922.jpg","https://dpmzos25m8ivg.cloudfront.net/Documentos/631/08692281883/6310869228188306092023113922.jpg")</f>
        <v>https://dpmzos25m8ivg.cloudfront.net/Documentos/631/08692281883/6310869228188306092023113922.jpg</v>
      </c>
      <c r="H4153" s="5" t="s">
        <v>12728</v>
      </c>
    </row>
    <row r="4154" spans="1:8" x14ac:dyDescent="0.25">
      <c r="A4154" s="2" t="s">
        <v>4176</v>
      </c>
      <c r="B4154" s="3"/>
      <c r="C4154" s="3"/>
      <c r="D4154" s="3"/>
      <c r="E4154" s="5" t="str">
        <f>HYPERLINK("https://dpmzos25m8ivg.cloudfront.net/Documentos/631/08692738506/6310869273850611092023142049.pdf","https://dpmzos25m8ivg.cloudfront.net/Documentos/631/08692738506/6310869273850611092023142049.pdf")</f>
        <v>https://dpmzos25m8ivg.cloudfront.net/Documentos/631/08692738506/6310869273850611092023142049.pdf</v>
      </c>
      <c r="F4154" s="5" t="str">
        <f>HYPERLINK("https://dpmzos25m8ivg.cloudfront.net/Documentos/631/08692738506/6310869273850611092023142058.pdf","https://dpmzos25m8ivg.cloudfront.net/Documentos/631/08692738506/6310869273850611092023142058.pdf")</f>
        <v>https://dpmzos25m8ivg.cloudfront.net/Documentos/631/08692738506/6310869273850611092023142058.pdf</v>
      </c>
      <c r="G4154" s="5" t="str">
        <f>HYPERLINK("https://dpmzos25m8ivg.cloudfront.net/Documentos/631/08692738506/6310869273850611092023142110.pdf","https://dpmzos25m8ivg.cloudfront.net/Documentos/631/08692738506/6310869273850611092023142110.pdf")</f>
        <v>https://dpmzos25m8ivg.cloudfront.net/Documentos/631/08692738506/6310869273850611092023142110.pdf</v>
      </c>
      <c r="H4154" s="5" t="s">
        <v>12729</v>
      </c>
    </row>
    <row r="4155" spans="1:8" x14ac:dyDescent="0.25">
      <c r="A4155" s="2" t="s">
        <v>4177</v>
      </c>
      <c r="B4155" s="3"/>
      <c r="C4155" s="3"/>
      <c r="D4155" s="3"/>
      <c r="E4155" s="5" t="str">
        <f>HYPERLINK("https://dpmzos25m8ivg.cloudfront.net/Documentos/631/08697172438/6310869717243807092023164053.pdf","https://dpmzos25m8ivg.cloudfront.net/Documentos/631/08697172438/6310869717243807092023164053.pdf")</f>
        <v>https://dpmzos25m8ivg.cloudfront.net/Documentos/631/08697172438/6310869717243807092023164053.pdf</v>
      </c>
      <c r="F4155" s="5" t="str">
        <f>HYPERLINK("https://dpmzos25m8ivg.cloudfront.net/Documentos/631/08697172438/6310869717243807092023164216.pdf","https://dpmzos25m8ivg.cloudfront.net/Documentos/631/08697172438/6310869717243807092023164216.pdf")</f>
        <v>https://dpmzos25m8ivg.cloudfront.net/Documentos/631/08697172438/6310869717243807092023164216.pdf</v>
      </c>
      <c r="G4155" s="5" t="str">
        <f>HYPERLINK("https://dpmzos25m8ivg.cloudfront.net/Documentos/631/08697172438/6310869717243807092023164306.pdf","https://dpmzos25m8ivg.cloudfront.net/Documentos/631/08697172438/6310869717243807092023164306.pdf")</f>
        <v>https://dpmzos25m8ivg.cloudfront.net/Documentos/631/08697172438/6310869717243807092023164306.pdf</v>
      </c>
      <c r="H4155" s="5" t="s">
        <v>12730</v>
      </c>
    </row>
    <row r="4156" spans="1:8" x14ac:dyDescent="0.25">
      <c r="A4156" s="2" t="s">
        <v>4178</v>
      </c>
      <c r="B4156" s="3"/>
      <c r="C4156" s="3"/>
      <c r="D4156" s="3"/>
      <c r="E4156" s="5" t="str">
        <f>HYPERLINK("https://dpmzos25m8ivg.cloudfront.net/Documentos/631/08703529460/6310870352946006092023051606.pdf","https://dpmzos25m8ivg.cloudfront.net/Documentos/631/08703529460/6310870352946006092023051606.pdf")</f>
        <v>https://dpmzos25m8ivg.cloudfront.net/Documentos/631/08703529460/6310870352946006092023051606.pdf</v>
      </c>
      <c r="F4156" s="5" t="str">
        <f>HYPERLINK("https://dpmzos25m8ivg.cloudfront.net/Documentos/631/08703529460/6310870352946006092023051617.pdf","https://dpmzos25m8ivg.cloudfront.net/Documentos/631/08703529460/6310870352946006092023051617.pdf")</f>
        <v>https://dpmzos25m8ivg.cloudfront.net/Documentos/631/08703529460/6310870352946006092023051617.pdf</v>
      </c>
      <c r="G4156" s="5" t="str">
        <f>HYPERLINK("https://dpmzos25m8ivg.cloudfront.net/Documentos/631/08703529460/6310870352946006092023051628.pdf","https://dpmzos25m8ivg.cloudfront.net/Documentos/631/08703529460/6310870352946006092023051628.pdf")</f>
        <v>https://dpmzos25m8ivg.cloudfront.net/Documentos/631/08703529460/6310870352946006092023051628.pdf</v>
      </c>
      <c r="H4156" s="5" t="s">
        <v>12731</v>
      </c>
    </row>
    <row r="4157" spans="1:8" x14ac:dyDescent="0.25">
      <c r="A4157" s="2" t="s">
        <v>4179</v>
      </c>
      <c r="B4157" s="3"/>
      <c r="C4157" s="3"/>
      <c r="D4157" s="3"/>
      <c r="E4157" s="5" t="str">
        <f>HYPERLINK("https://dpmzos25m8ivg.cloudfront.net/Documentos/631/08703724328/6310870372432807092023172741.pdf","https://dpmzos25m8ivg.cloudfront.net/Documentos/631/08703724328/6310870372432807092023172741.pdf")</f>
        <v>https://dpmzos25m8ivg.cloudfront.net/Documentos/631/08703724328/6310870372432807092023172741.pdf</v>
      </c>
      <c r="F4157" s="5" t="str">
        <f>HYPERLINK("https://dpmzos25m8ivg.cloudfront.net/Documentos/631/08703724328/6310870372432807092023172752.pdf","https://dpmzos25m8ivg.cloudfront.net/Documentos/631/08703724328/6310870372432807092023172752.pdf")</f>
        <v>https://dpmzos25m8ivg.cloudfront.net/Documentos/631/08703724328/6310870372432807092023172752.pdf</v>
      </c>
      <c r="G4157" s="5" t="str">
        <f>HYPERLINK("https://dpmzos25m8ivg.cloudfront.net/Documentos/631/08703724328/6310870372432807092023172803.pdf","https://dpmzos25m8ivg.cloudfront.net/Documentos/631/08703724328/6310870372432807092023172803.pdf")</f>
        <v>https://dpmzos25m8ivg.cloudfront.net/Documentos/631/08703724328/6310870372432807092023172803.pdf</v>
      </c>
      <c r="H4157" s="5" t="s">
        <v>12732</v>
      </c>
    </row>
    <row r="4158" spans="1:8" x14ac:dyDescent="0.25">
      <c r="A4158" s="2" t="s">
        <v>4180</v>
      </c>
      <c r="B4158" s="3"/>
      <c r="C4158" s="3"/>
      <c r="D4158" s="3"/>
      <c r="E4158" s="5" t="str">
        <f>HYPERLINK("https://dpmzos25m8ivg.cloudfront.net/Documentos/631/08711464364/6310871146436408092023182311.pdf","https://dpmzos25m8ivg.cloudfront.net/Documentos/631/08711464364/6310871146436408092023182311.pdf")</f>
        <v>https://dpmzos25m8ivg.cloudfront.net/Documentos/631/08711464364/6310871146436408092023182311.pdf</v>
      </c>
      <c r="F4158" s="5" t="str">
        <f>HYPERLINK("https://dpmzos25m8ivg.cloudfront.net/Documentos/631/08711464364/6310871146436408092023182447.pdf","https://dpmzos25m8ivg.cloudfront.net/Documentos/631/08711464364/6310871146436408092023182447.pdf")</f>
        <v>https://dpmzos25m8ivg.cloudfront.net/Documentos/631/08711464364/6310871146436408092023182447.pdf</v>
      </c>
      <c r="G4158" s="5" t="str">
        <f>HYPERLINK("https://dpmzos25m8ivg.cloudfront.net/Documentos/631/08711464364/6310871146436408092023182501.pdf","https://dpmzos25m8ivg.cloudfront.net/Documentos/631/08711464364/6310871146436408092023182501.pdf")</f>
        <v>https://dpmzos25m8ivg.cloudfront.net/Documentos/631/08711464364/6310871146436408092023182501.pdf</v>
      </c>
      <c r="H4158" s="5" t="s">
        <v>12733</v>
      </c>
    </row>
    <row r="4159" spans="1:8" x14ac:dyDescent="0.25">
      <c r="A4159" s="2" t="s">
        <v>4181</v>
      </c>
      <c r="B4159" s="3" t="s">
        <v>90</v>
      </c>
      <c r="C4159" s="3"/>
      <c r="D4159" s="3"/>
      <c r="E4159" s="5" t="str">
        <f>HYPERLINK("https://dpmzos25m8ivg.cloudfront.net/Documentos/631/08713428551/6310871342855114092023161617.pdf","https://dpmzos25m8ivg.cloudfront.net/Documentos/631/08713428551/6310871342855114092023161617.pdf")</f>
        <v>https://dpmzos25m8ivg.cloudfront.net/Documentos/631/08713428551/6310871342855114092023161617.pdf</v>
      </c>
      <c r="F4159" s="5" t="str">
        <f>HYPERLINK("https://dpmzos25m8ivg.cloudfront.net/Documentos/631/08713428551/6310871342855114092023162236.pdf","https://dpmzos25m8ivg.cloudfront.net/Documentos/631/08713428551/6310871342855114092023162236.pdf")</f>
        <v>https://dpmzos25m8ivg.cloudfront.net/Documentos/631/08713428551/6310871342855114092023162236.pdf</v>
      </c>
      <c r="G4159" s="5" t="str">
        <f>HYPERLINK("https://dpmzos25m8ivg.cloudfront.net/Documentos/631/08713428551/6310871342855114092023162306.pdf","https://dpmzos25m8ivg.cloudfront.net/Documentos/631/08713428551/6310871342855114092023162306.pdf")</f>
        <v>https://dpmzos25m8ivg.cloudfront.net/Documentos/631/08713428551/6310871342855114092023162306.pdf</v>
      </c>
      <c r="H4159" s="5" t="s">
        <v>12734</v>
      </c>
    </row>
    <row r="4160" spans="1:8" x14ac:dyDescent="0.25">
      <c r="A4160" s="2" t="s">
        <v>4182</v>
      </c>
      <c r="B4160" s="3"/>
      <c r="C4160" s="3"/>
      <c r="D4160" s="3"/>
      <c r="E4160" s="5" t="str">
        <f>HYPERLINK("https://dpmzos25m8ivg.cloudfront.net/Documentos/631/08713486403/6310871348640310092023110343.pdf","https://dpmzos25m8ivg.cloudfront.net/Documentos/631/08713486403/6310871348640310092023110343.pdf")</f>
        <v>https://dpmzos25m8ivg.cloudfront.net/Documentos/631/08713486403/6310871348640310092023110343.pdf</v>
      </c>
      <c r="F4160" s="5" t="str">
        <f>HYPERLINK("https://dpmzos25m8ivg.cloudfront.net/Documentos/631/08713486403/6310871348640310092023110354.pdf","https://dpmzos25m8ivg.cloudfront.net/Documentos/631/08713486403/6310871348640310092023110354.pdf")</f>
        <v>https://dpmzos25m8ivg.cloudfront.net/Documentos/631/08713486403/6310871348640310092023110354.pdf</v>
      </c>
      <c r="G4160" s="5" t="str">
        <f>HYPERLINK("https://dpmzos25m8ivg.cloudfront.net/Documentos/631/08713486403/6310871348640310092023110406.pdf","https://dpmzos25m8ivg.cloudfront.net/Documentos/631/08713486403/6310871348640310092023110406.pdf")</f>
        <v>https://dpmzos25m8ivg.cloudfront.net/Documentos/631/08713486403/6310871348640310092023110406.pdf</v>
      </c>
      <c r="H4160" s="5" t="s">
        <v>12735</v>
      </c>
    </row>
    <row r="4161" spans="1:8" x14ac:dyDescent="0.25">
      <c r="A4161" s="2" t="s">
        <v>4183</v>
      </c>
      <c r="B4161" s="3"/>
      <c r="C4161" s="3"/>
      <c r="D4161" s="3"/>
      <c r="E4161" s="5" t="str">
        <f>HYPERLINK("https://dpmzos25m8ivg.cloudfront.net/Documentos/631/08713595539/6310871359553909092023124050.jpg","https://dpmzos25m8ivg.cloudfront.net/Documentos/631/08713595539/6310871359553909092023124050.jpg")</f>
        <v>https://dpmzos25m8ivg.cloudfront.net/Documentos/631/08713595539/6310871359553909092023124050.jpg</v>
      </c>
      <c r="F4161" s="5" t="str">
        <f>HYPERLINK("https://dpmzos25m8ivg.cloudfront.net/Documentos/631/08713595539/6310871359553909092023130028.jpg","https://dpmzos25m8ivg.cloudfront.net/Documentos/631/08713595539/6310871359553909092023130028.jpg")</f>
        <v>https://dpmzos25m8ivg.cloudfront.net/Documentos/631/08713595539/6310871359553909092023130028.jpg</v>
      </c>
      <c r="G4161" s="5" t="str">
        <f>HYPERLINK("https://dpmzos25m8ivg.cloudfront.net/Documentos/631/08713595539/6310871359553909092023130050.jpg","https://dpmzos25m8ivg.cloudfront.net/Documentos/631/08713595539/6310871359553909092023130050.jpg")</f>
        <v>https://dpmzos25m8ivg.cloudfront.net/Documentos/631/08713595539/6310871359553909092023130050.jpg</v>
      </c>
      <c r="H4161" s="5" t="s">
        <v>12736</v>
      </c>
    </row>
    <row r="4162" spans="1:8" x14ac:dyDescent="0.25">
      <c r="A4162" s="2" t="s">
        <v>4184</v>
      </c>
      <c r="B4162" s="3"/>
      <c r="C4162" s="3"/>
      <c r="D4162" s="3"/>
      <c r="E4162" s="5" t="str">
        <f>HYPERLINK("https://dpmzos25m8ivg.cloudfront.net/Documentos/631/08716938526/6310871693852608092023095403.pdf","https://dpmzos25m8ivg.cloudfront.net/Documentos/631/08716938526/6310871693852608092023095403.pdf")</f>
        <v>https://dpmzos25m8ivg.cloudfront.net/Documentos/631/08716938526/6310871693852608092023095403.pdf</v>
      </c>
      <c r="F4162" s="5" t="str">
        <f>HYPERLINK("https://dpmzos25m8ivg.cloudfront.net/Documentos/631/08716938526/6310871693852608092023095416.pdf","https://dpmzos25m8ivg.cloudfront.net/Documentos/631/08716938526/6310871693852608092023095416.pdf")</f>
        <v>https://dpmzos25m8ivg.cloudfront.net/Documentos/631/08716938526/6310871693852608092023095416.pdf</v>
      </c>
      <c r="G4162" s="5" t="str">
        <f>HYPERLINK("https://dpmzos25m8ivg.cloudfront.net/Documentos/631/08716938526/6310871693852608092023095430.pdf","https://dpmzos25m8ivg.cloudfront.net/Documentos/631/08716938526/6310871693852608092023095430.pdf")</f>
        <v>https://dpmzos25m8ivg.cloudfront.net/Documentos/631/08716938526/6310871693852608092023095430.pdf</v>
      </c>
      <c r="H4162" s="5" t="s">
        <v>12737</v>
      </c>
    </row>
    <row r="4163" spans="1:8" x14ac:dyDescent="0.25">
      <c r="A4163" s="2" t="s">
        <v>4185</v>
      </c>
      <c r="B4163" s="3" t="s">
        <v>90</v>
      </c>
      <c r="C4163" s="3"/>
      <c r="D4163" s="3"/>
      <c r="E4163" s="5" t="str">
        <f>HYPERLINK("https://dpmzos25m8ivg.cloudfront.net/Documentos/631/08717506867/6310871750686705092023114052.pdf","https://dpmzos25m8ivg.cloudfront.net/Documentos/631/08717506867/6310871750686705092023114052.pdf")</f>
        <v>https://dpmzos25m8ivg.cloudfront.net/Documentos/631/08717506867/6310871750686705092023114052.pdf</v>
      </c>
      <c r="F4163" s="5" t="str">
        <f>HYPERLINK("https://dpmzos25m8ivg.cloudfront.net/Documentos/631/08717506867/6310871750686705092023114111.pdf","https://dpmzos25m8ivg.cloudfront.net/Documentos/631/08717506867/6310871750686705092023114111.pdf")</f>
        <v>https://dpmzos25m8ivg.cloudfront.net/Documentos/631/08717506867/6310871750686705092023114111.pdf</v>
      </c>
      <c r="G4163" s="5" t="str">
        <f>HYPERLINK("https://dpmzos25m8ivg.cloudfront.net/Documentos/631/08717506867/6310871750686705092023114128.pdf","https://dpmzos25m8ivg.cloudfront.net/Documentos/631/08717506867/6310871750686705092023114128.pdf")</f>
        <v>https://dpmzos25m8ivg.cloudfront.net/Documentos/631/08717506867/6310871750686705092023114128.pdf</v>
      </c>
      <c r="H4163" s="5" t="s">
        <v>12738</v>
      </c>
    </row>
    <row r="4164" spans="1:8" x14ac:dyDescent="0.25">
      <c r="A4164" s="2" t="s">
        <v>4186</v>
      </c>
      <c r="B4164" s="3" t="s">
        <v>42</v>
      </c>
      <c r="C4164" s="3"/>
      <c r="D4164" s="3"/>
      <c r="E4164" s="5" t="str">
        <f>HYPERLINK("https://dpmzos25m8ivg.cloudfront.net/Documentos/631/08718021719/6310871802171907092023093702.pdf","https://dpmzos25m8ivg.cloudfront.net/Documentos/631/08718021719/6310871802171907092023093702.pdf")</f>
        <v>https://dpmzos25m8ivg.cloudfront.net/Documentos/631/08718021719/6310871802171907092023093702.pdf</v>
      </c>
      <c r="F4164" s="5" t="str">
        <f>HYPERLINK("https://dpmzos25m8ivg.cloudfront.net/Documentos/631/08718021719/6310871802171907092023093715.pdf","https://dpmzos25m8ivg.cloudfront.net/Documentos/631/08718021719/6310871802171907092023093715.pdf")</f>
        <v>https://dpmzos25m8ivg.cloudfront.net/Documentos/631/08718021719/6310871802171907092023093715.pdf</v>
      </c>
      <c r="G4164" s="5" t="str">
        <f>HYPERLINK("https://dpmzos25m8ivg.cloudfront.net/Documentos/631/08718021719/6310871802171907092023093729.pdf","https://dpmzos25m8ivg.cloudfront.net/Documentos/631/08718021719/6310871802171907092023093729.pdf")</f>
        <v>https://dpmzos25m8ivg.cloudfront.net/Documentos/631/08718021719/6310871802171907092023093729.pdf</v>
      </c>
      <c r="H4164" s="5" t="s">
        <v>12739</v>
      </c>
    </row>
    <row r="4165" spans="1:8" x14ac:dyDescent="0.25">
      <c r="A4165" s="2" t="s">
        <v>4187</v>
      </c>
      <c r="B4165" s="3"/>
      <c r="C4165" s="3"/>
      <c r="D4165" s="3"/>
      <c r="E4165" s="5" t="str">
        <f>HYPERLINK("https://dpmzos25m8ivg.cloudfront.net/Documentos/631/08720329300/6310872032930011092023134425.pdf","https://dpmzos25m8ivg.cloudfront.net/Documentos/631/08720329300/6310872032930011092023134425.pdf")</f>
        <v>https://dpmzos25m8ivg.cloudfront.net/Documentos/631/08720329300/6310872032930011092023134425.pdf</v>
      </c>
      <c r="F4165" s="5" t="str">
        <f>HYPERLINK("https://dpmzos25m8ivg.cloudfront.net/Documentos/631/08720329300/6310872032930011092023134442.pdf","https://dpmzos25m8ivg.cloudfront.net/Documentos/631/08720329300/6310872032930011092023134442.pdf")</f>
        <v>https://dpmzos25m8ivg.cloudfront.net/Documentos/631/08720329300/6310872032930011092023134442.pdf</v>
      </c>
      <c r="G4165" s="5" t="str">
        <f>HYPERLINK("https://dpmzos25m8ivg.cloudfront.net/Documentos/631/08720329300/6310872032930011092023134457.pdf","https://dpmzos25m8ivg.cloudfront.net/Documentos/631/08720329300/6310872032930011092023134457.pdf")</f>
        <v>https://dpmzos25m8ivg.cloudfront.net/Documentos/631/08720329300/6310872032930011092023134457.pdf</v>
      </c>
      <c r="H4165" s="5" t="s">
        <v>12740</v>
      </c>
    </row>
    <row r="4166" spans="1:8" x14ac:dyDescent="0.25">
      <c r="A4166" s="2" t="s">
        <v>4188</v>
      </c>
      <c r="B4166" s="3"/>
      <c r="C4166" s="3"/>
      <c r="D4166" s="3"/>
      <c r="E4166" s="5" t="str">
        <f>HYPERLINK("https://dpmzos25m8ivg.cloudfront.net/Documentos/631/08727088537/6310872708853711092023154111.pdf","https://dpmzos25m8ivg.cloudfront.net/Documentos/631/08727088537/6310872708853711092023154111.pdf")</f>
        <v>https://dpmzos25m8ivg.cloudfront.net/Documentos/631/08727088537/6310872708853711092023154111.pdf</v>
      </c>
      <c r="F4166" s="5" t="str">
        <f>HYPERLINK("https://dpmzos25m8ivg.cloudfront.net/Documentos/631/08727088537/6310872708853711092023154125.pdf","https://dpmzos25m8ivg.cloudfront.net/Documentos/631/08727088537/6310872708853711092023154125.pdf")</f>
        <v>https://dpmzos25m8ivg.cloudfront.net/Documentos/631/08727088537/6310872708853711092023154125.pdf</v>
      </c>
      <c r="G4166" s="5" t="str">
        <f>HYPERLINK("https://dpmzos25m8ivg.cloudfront.net/Documentos/631/08727088537/6310872708853711092023154136.pdf","https://dpmzos25m8ivg.cloudfront.net/Documentos/631/08727088537/6310872708853711092023154136.pdf")</f>
        <v>https://dpmzos25m8ivg.cloudfront.net/Documentos/631/08727088537/6310872708853711092023154136.pdf</v>
      </c>
      <c r="H4166" s="5" t="s">
        <v>12741</v>
      </c>
    </row>
    <row r="4167" spans="1:8" x14ac:dyDescent="0.25">
      <c r="A4167" s="2" t="s">
        <v>4189</v>
      </c>
      <c r="B4167" s="3"/>
      <c r="C4167" s="3"/>
      <c r="D4167" s="3"/>
      <c r="E4167" s="5" t="str">
        <f>HYPERLINK("https://dpmzos25m8ivg.cloudfront.net/Documentos/631/08733086540/6310873308654010092023134405.pdf","https://dpmzos25m8ivg.cloudfront.net/Documentos/631/08733086540/6310873308654010092023134405.pdf")</f>
        <v>https://dpmzos25m8ivg.cloudfront.net/Documentos/631/08733086540/6310873308654010092023134405.pdf</v>
      </c>
      <c r="F4167" s="5" t="str">
        <f>HYPERLINK("https://dpmzos25m8ivg.cloudfront.net/Documentos/631/08733086540/6310873308654010092023134459.pdf","https://dpmzos25m8ivg.cloudfront.net/Documentos/631/08733086540/6310873308654010092023134459.pdf")</f>
        <v>https://dpmzos25m8ivg.cloudfront.net/Documentos/631/08733086540/6310873308654010092023134459.pdf</v>
      </c>
      <c r="G4167" s="5" t="str">
        <f>HYPERLINK("https://dpmzos25m8ivg.cloudfront.net/Documentos/631/08733086540/6310873308654010092023134513.pdf","https://dpmzos25m8ivg.cloudfront.net/Documentos/631/08733086540/6310873308654010092023134513.pdf")</f>
        <v>https://dpmzos25m8ivg.cloudfront.net/Documentos/631/08733086540/6310873308654010092023134513.pdf</v>
      </c>
      <c r="H4167" s="5" t="s">
        <v>12742</v>
      </c>
    </row>
    <row r="4168" spans="1:8" x14ac:dyDescent="0.25">
      <c r="A4168" s="2" t="s">
        <v>4190</v>
      </c>
      <c r="B4168" s="3"/>
      <c r="C4168" s="3"/>
      <c r="D4168" s="3"/>
      <c r="E4168" s="5" t="str">
        <f>HYPERLINK("https://dpmzos25m8ivg.cloudfront.net/Documentos/631/08733537909/6310873353790911092023141353.pdf","https://dpmzos25m8ivg.cloudfront.net/Documentos/631/08733537909/6310873353790911092023141353.pdf")</f>
        <v>https://dpmzos25m8ivg.cloudfront.net/Documentos/631/08733537909/6310873353790911092023141353.pdf</v>
      </c>
      <c r="F4168" s="5" t="str">
        <f>HYPERLINK("https://dpmzos25m8ivg.cloudfront.net/Documentos/631/08733537909/6310873353790911092023141405.pdf","https://dpmzos25m8ivg.cloudfront.net/Documentos/631/08733537909/6310873353790911092023141405.pdf")</f>
        <v>https://dpmzos25m8ivg.cloudfront.net/Documentos/631/08733537909/6310873353790911092023141405.pdf</v>
      </c>
      <c r="G4168" s="5" t="str">
        <f>HYPERLINK("https://dpmzos25m8ivg.cloudfront.net/Documentos/631/08733537909/6310873353790911092023141415.pdf","https://dpmzos25m8ivg.cloudfront.net/Documentos/631/08733537909/6310873353790911092023141415.pdf")</f>
        <v>https://dpmzos25m8ivg.cloudfront.net/Documentos/631/08733537909/6310873353790911092023141415.pdf</v>
      </c>
      <c r="H4168" s="5" t="s">
        <v>12743</v>
      </c>
    </row>
    <row r="4169" spans="1:8" x14ac:dyDescent="0.25">
      <c r="A4169" s="2" t="s">
        <v>4191</v>
      </c>
      <c r="B4169" s="3"/>
      <c r="C4169" s="3"/>
      <c r="D4169" s="3"/>
      <c r="E4169" s="5" t="str">
        <f>HYPERLINK("https://dpmzos25m8ivg.cloudfront.net/Documentos/631/08736988863/6310873698886310092023165227.jpg","https://dpmzos25m8ivg.cloudfront.net/Documentos/631/08736988863/6310873698886310092023165227.jpg")</f>
        <v>https://dpmzos25m8ivg.cloudfront.net/Documentos/631/08736988863/6310873698886310092023165227.jpg</v>
      </c>
      <c r="F4169" s="5" t="str">
        <f>HYPERLINK("https://dpmzos25m8ivg.cloudfront.net/Documentos/631/08736988863/6310873698886310092023165256.jpg","https://dpmzos25m8ivg.cloudfront.net/Documentos/631/08736988863/6310873698886310092023165256.jpg")</f>
        <v>https://dpmzos25m8ivg.cloudfront.net/Documentos/631/08736988863/6310873698886310092023165256.jpg</v>
      </c>
      <c r="G4169" s="5" t="str">
        <f>HYPERLINK("https://dpmzos25m8ivg.cloudfront.net/Documentos/631/08736988863/6310873698886310092023165327.jpg","https://dpmzos25m8ivg.cloudfront.net/Documentos/631/08736988863/6310873698886310092023165327.jpg")</f>
        <v>https://dpmzos25m8ivg.cloudfront.net/Documentos/631/08736988863/6310873698886310092023165327.jpg</v>
      </c>
      <c r="H4169" s="5" t="s">
        <v>12744</v>
      </c>
    </row>
    <row r="4170" spans="1:8" x14ac:dyDescent="0.25">
      <c r="A4170" s="2" t="s">
        <v>4192</v>
      </c>
      <c r="B4170" s="3" t="s">
        <v>197</v>
      </c>
      <c r="C4170" s="3"/>
      <c r="D4170" s="3"/>
      <c r="E4170" s="5" t="str">
        <f>HYPERLINK("https://dpmzos25m8ivg.cloudfront.net/Documentos/631/08737764705/6310873776470505092023152750.pdf","https://dpmzos25m8ivg.cloudfront.net/Documentos/631/08737764705/6310873776470505092023152750.pdf")</f>
        <v>https://dpmzos25m8ivg.cloudfront.net/Documentos/631/08737764705/6310873776470505092023152750.pdf</v>
      </c>
      <c r="F4170" s="5" t="str">
        <f>HYPERLINK("https://dpmzos25m8ivg.cloudfront.net/Documentos/631/08737764705/6310873776470505092023152851.pdf","https://dpmzos25m8ivg.cloudfront.net/Documentos/631/08737764705/6310873776470505092023152851.pdf")</f>
        <v>https://dpmzos25m8ivg.cloudfront.net/Documentos/631/08737764705/6310873776470505092023152851.pdf</v>
      </c>
      <c r="G4170" s="5" t="str">
        <f>HYPERLINK("https://dpmzos25m8ivg.cloudfront.net/Documentos/631/08737764705/6310873776470505092023152909.pdf","https://dpmzos25m8ivg.cloudfront.net/Documentos/631/08737764705/6310873776470505092023152909.pdf")</f>
        <v>https://dpmzos25m8ivg.cloudfront.net/Documentos/631/08737764705/6310873776470505092023152909.pdf</v>
      </c>
      <c r="H4170" s="5" t="s">
        <v>12745</v>
      </c>
    </row>
    <row r="4171" spans="1:8" x14ac:dyDescent="0.25">
      <c r="A4171" s="2" t="s">
        <v>4193</v>
      </c>
      <c r="B4171" s="3"/>
      <c r="C4171" s="3"/>
      <c r="D4171" s="3"/>
      <c r="E4171" s="5" t="str">
        <f>HYPERLINK("https://dpmzos25m8ivg.cloudfront.net/Documentos/631/08738478900/6310873847890011092023121034.jpeg","https://dpmzos25m8ivg.cloudfront.net/Documentos/631/08738478900/6310873847890011092023121034.jpeg")</f>
        <v>https://dpmzos25m8ivg.cloudfront.net/Documentos/631/08738478900/6310873847890011092023121034.jpeg</v>
      </c>
      <c r="F4171" s="5" t="str">
        <f>HYPERLINK("https://dpmzos25m8ivg.cloudfront.net/Documentos/631/08738478900/6310873847890011092023121126.jpeg","https://dpmzos25m8ivg.cloudfront.net/Documentos/631/08738478900/6310873847890011092023121126.jpeg")</f>
        <v>https://dpmzos25m8ivg.cloudfront.net/Documentos/631/08738478900/6310873847890011092023121126.jpeg</v>
      </c>
      <c r="G4171" s="5" t="str">
        <f>HYPERLINK("https://dpmzos25m8ivg.cloudfront.net/Documentos/631/08738478900/6310873847890011092023121143.jpeg","https://dpmzos25m8ivg.cloudfront.net/Documentos/631/08738478900/6310873847890011092023121143.jpeg")</f>
        <v>https://dpmzos25m8ivg.cloudfront.net/Documentos/631/08738478900/6310873847890011092023121143.jpeg</v>
      </c>
      <c r="H4171" s="5" t="s">
        <v>12746</v>
      </c>
    </row>
    <row r="4172" spans="1:8" x14ac:dyDescent="0.25">
      <c r="A4172" s="2" t="s">
        <v>4194</v>
      </c>
      <c r="B4172" s="3"/>
      <c r="C4172" s="3"/>
      <c r="D4172" s="3"/>
      <c r="E4172" s="5" t="str">
        <f>HYPERLINK("https://dpmzos25m8ivg.cloudfront.net/Documentos/631/08746074422/6310874607442211092023102324.pdf","https://dpmzos25m8ivg.cloudfront.net/Documentos/631/08746074422/6310874607442211092023102324.pdf")</f>
        <v>https://dpmzos25m8ivg.cloudfront.net/Documentos/631/08746074422/6310874607442211092023102324.pdf</v>
      </c>
      <c r="F4172" s="5" t="str">
        <f>HYPERLINK("https://dpmzos25m8ivg.cloudfront.net/Documentos/631/08746074422/6310874607442211092023102331.pdf","https://dpmzos25m8ivg.cloudfront.net/Documentos/631/08746074422/6310874607442211092023102331.pdf")</f>
        <v>https://dpmzos25m8ivg.cloudfront.net/Documentos/631/08746074422/6310874607442211092023102331.pdf</v>
      </c>
      <c r="G4172" s="5" t="str">
        <f>HYPERLINK("https://dpmzos25m8ivg.cloudfront.net/Documentos/631/08746074422/6310874607442211092023102337.pdf","https://dpmzos25m8ivg.cloudfront.net/Documentos/631/08746074422/6310874607442211092023102337.pdf")</f>
        <v>https://dpmzos25m8ivg.cloudfront.net/Documentos/631/08746074422/6310874607442211092023102337.pdf</v>
      </c>
      <c r="H4172" s="5" t="s">
        <v>12747</v>
      </c>
    </row>
    <row r="4173" spans="1:8" x14ac:dyDescent="0.25">
      <c r="A4173" s="2" t="s">
        <v>4195</v>
      </c>
      <c r="B4173" s="3"/>
      <c r="C4173" s="3"/>
      <c r="D4173" s="3"/>
      <c r="E4173" s="5" t="str">
        <f>HYPERLINK("https://dpmzos25m8ivg.cloudfront.net/Documentos/631/08753897404/6310875389740412092023223942.jpg","https://dpmzos25m8ivg.cloudfront.net/Documentos/631/08753897404/6310875389740412092023223942.jpg")</f>
        <v>https://dpmzos25m8ivg.cloudfront.net/Documentos/631/08753897404/6310875389740412092023223942.jpg</v>
      </c>
      <c r="F4173" s="5" t="str">
        <f>HYPERLINK("https://dpmzos25m8ivg.cloudfront.net/Documentos/631/08753897404/6310875389740412092023224008.jpg","https://dpmzos25m8ivg.cloudfront.net/Documentos/631/08753897404/6310875389740412092023224008.jpg")</f>
        <v>https://dpmzos25m8ivg.cloudfront.net/Documentos/631/08753897404/6310875389740412092023224008.jpg</v>
      </c>
      <c r="G4173" s="5" t="str">
        <f>HYPERLINK("https://dpmzos25m8ivg.cloudfront.net/Documentos/631/08753897404/6310875389740412092023224029.jpg","https://dpmzos25m8ivg.cloudfront.net/Documentos/631/08753897404/6310875389740412092023224029.jpg")</f>
        <v>https://dpmzos25m8ivg.cloudfront.net/Documentos/631/08753897404/6310875389740412092023224029.jpg</v>
      </c>
      <c r="H4173" s="5" t="s">
        <v>12748</v>
      </c>
    </row>
    <row r="4174" spans="1:8" x14ac:dyDescent="0.25">
      <c r="A4174" s="2" t="s">
        <v>4196</v>
      </c>
      <c r="B4174" s="3"/>
      <c r="C4174" s="3"/>
      <c r="D4174" s="3"/>
      <c r="E4174" s="5" t="str">
        <f>HYPERLINK("https://dpmzos25m8ivg.cloudfront.net/Documentos/631/08755356400/6310875535640011092023165401.jpg","https://dpmzos25m8ivg.cloudfront.net/Documentos/631/08755356400/6310875535640011092023165401.jpg")</f>
        <v>https://dpmzos25m8ivg.cloudfront.net/Documentos/631/08755356400/6310875535640011092023165401.jpg</v>
      </c>
      <c r="F4174" s="5" t="str">
        <f>HYPERLINK("https://dpmzos25m8ivg.cloudfront.net/Documentos/631/08755356400/6310875535640011092023165411.jpg","https://dpmzos25m8ivg.cloudfront.net/Documentos/631/08755356400/6310875535640011092023165411.jpg")</f>
        <v>https://dpmzos25m8ivg.cloudfront.net/Documentos/631/08755356400/6310875535640011092023165411.jpg</v>
      </c>
      <c r="G4174" s="5" t="str">
        <f>HYPERLINK("https://dpmzos25m8ivg.cloudfront.net/Documentos/631/08755356400/6310875535640011092023165417.jpg","https://dpmzos25m8ivg.cloudfront.net/Documentos/631/08755356400/6310875535640011092023165417.jpg")</f>
        <v>https://dpmzos25m8ivg.cloudfront.net/Documentos/631/08755356400/6310875535640011092023165417.jpg</v>
      </c>
      <c r="H4174" s="5" t="s">
        <v>12749</v>
      </c>
    </row>
    <row r="4175" spans="1:8" x14ac:dyDescent="0.25">
      <c r="A4175" s="2" t="s">
        <v>4197</v>
      </c>
      <c r="B4175" s="3"/>
      <c r="C4175" s="3"/>
      <c r="D4175" s="3"/>
      <c r="E4175" s="5" t="str">
        <f>HYPERLINK("https://dpmzos25m8ivg.cloudfront.net/Documentos/631/08755915582/6310875591558207092023131625.pdf","https://dpmzos25m8ivg.cloudfront.net/Documentos/631/08755915582/6310875591558207092023131625.pdf")</f>
        <v>https://dpmzos25m8ivg.cloudfront.net/Documentos/631/08755915582/6310875591558207092023131625.pdf</v>
      </c>
      <c r="F4175" s="5" t="str">
        <f>HYPERLINK("https://dpmzos25m8ivg.cloudfront.net/Documentos/631/08755915582/6310875591558207092023131636.pdf","https://dpmzos25m8ivg.cloudfront.net/Documentos/631/08755915582/6310875591558207092023131636.pdf")</f>
        <v>https://dpmzos25m8ivg.cloudfront.net/Documentos/631/08755915582/6310875591558207092023131636.pdf</v>
      </c>
      <c r="G4175" s="5" t="str">
        <f>HYPERLINK("https://dpmzos25m8ivg.cloudfront.net/Documentos/631/08755915582/6310875591558207092023131650.pdf","https://dpmzos25m8ivg.cloudfront.net/Documentos/631/08755915582/6310875591558207092023131650.pdf")</f>
        <v>https://dpmzos25m8ivg.cloudfront.net/Documentos/631/08755915582/6310875591558207092023131650.pdf</v>
      </c>
      <c r="H4175" s="5" t="s">
        <v>12750</v>
      </c>
    </row>
    <row r="4176" spans="1:8" x14ac:dyDescent="0.25">
      <c r="A4176" s="2" t="s">
        <v>4198</v>
      </c>
      <c r="B4176" s="3"/>
      <c r="C4176" s="3"/>
      <c r="D4176" s="3"/>
      <c r="E4176" s="5" t="str">
        <f>HYPERLINK("https://dpmzos25m8ivg.cloudfront.net/Documentos/631/08756925409/6310875692540911092023081529.pdf","https://dpmzos25m8ivg.cloudfront.net/Documentos/631/08756925409/6310875692540911092023081529.pdf")</f>
        <v>https://dpmzos25m8ivg.cloudfront.net/Documentos/631/08756925409/6310875692540911092023081529.pdf</v>
      </c>
      <c r="F4176" s="5" t="str">
        <f>HYPERLINK("https://dpmzos25m8ivg.cloudfront.net/Documentos/631/08756925409/6310875692540911092023105802.jpg","https://dpmzos25m8ivg.cloudfront.net/Documentos/631/08756925409/6310875692540911092023105802.jpg")</f>
        <v>https://dpmzos25m8ivg.cloudfront.net/Documentos/631/08756925409/6310875692540911092023105802.jpg</v>
      </c>
      <c r="G4176" s="5" t="str">
        <f>HYPERLINK("https://dpmzos25m8ivg.cloudfront.net/Documentos/631/08756925409/6310875692540911092023105815.jpg","https://dpmzos25m8ivg.cloudfront.net/Documentos/631/08756925409/6310875692540911092023105815.jpg")</f>
        <v>https://dpmzos25m8ivg.cloudfront.net/Documentos/631/08756925409/6310875692540911092023105815.jpg</v>
      </c>
      <c r="H4176" s="5" t="s">
        <v>12751</v>
      </c>
    </row>
    <row r="4177" spans="1:8" x14ac:dyDescent="0.25">
      <c r="A4177" s="2" t="s">
        <v>4199</v>
      </c>
      <c r="B4177" s="3"/>
      <c r="C4177" s="3"/>
      <c r="D4177" s="3"/>
      <c r="E4177" s="5" t="str">
        <f>HYPERLINK("https://dpmzos25m8ivg.cloudfront.net/Documentos/631/08766135559/6310876613555911092023141752.pdf","https://dpmzos25m8ivg.cloudfront.net/Documentos/631/08766135559/6310876613555911092023141752.pdf")</f>
        <v>https://dpmzos25m8ivg.cloudfront.net/Documentos/631/08766135559/6310876613555911092023141752.pdf</v>
      </c>
      <c r="F4177" s="5" t="str">
        <f>HYPERLINK("https://dpmzos25m8ivg.cloudfront.net/Documentos/631/08766135559/6310876613555911092023141834.pdf","https://dpmzos25m8ivg.cloudfront.net/Documentos/631/08766135559/6310876613555911092023141834.pdf")</f>
        <v>https://dpmzos25m8ivg.cloudfront.net/Documentos/631/08766135559/6310876613555911092023141834.pdf</v>
      </c>
      <c r="G4177" s="5" t="str">
        <f>HYPERLINK("https://dpmzos25m8ivg.cloudfront.net/Documentos/631/08766135559/6310876613555911092023141851.pdf","https://dpmzos25m8ivg.cloudfront.net/Documentos/631/08766135559/6310876613555911092023141851.pdf")</f>
        <v>https://dpmzos25m8ivg.cloudfront.net/Documentos/631/08766135559/6310876613555911092023141851.pdf</v>
      </c>
      <c r="H4177" s="5" t="s">
        <v>12752</v>
      </c>
    </row>
    <row r="4178" spans="1:8" x14ac:dyDescent="0.25">
      <c r="A4178" s="2" t="s">
        <v>4200</v>
      </c>
      <c r="B4178" s="3"/>
      <c r="C4178" s="3"/>
      <c r="D4178" s="3"/>
      <c r="E4178" s="5" t="str">
        <f>HYPERLINK("https://dpmzos25m8ivg.cloudfront.net/Documentos/631/08768278578/6310876827857811092023123137.jpeg","https://dpmzos25m8ivg.cloudfront.net/Documentos/631/08768278578/6310876827857811092023123137.jpeg")</f>
        <v>https://dpmzos25m8ivg.cloudfront.net/Documentos/631/08768278578/6310876827857811092023123137.jpeg</v>
      </c>
      <c r="F4178" s="5" t="str">
        <f>HYPERLINK("https://dpmzos25m8ivg.cloudfront.net/Documentos/631/08768278578/6310876827857811092023123200.jpeg","https://dpmzos25m8ivg.cloudfront.net/Documentos/631/08768278578/6310876827857811092023123200.jpeg")</f>
        <v>https://dpmzos25m8ivg.cloudfront.net/Documentos/631/08768278578/6310876827857811092023123200.jpeg</v>
      </c>
      <c r="G4178" s="5" t="str">
        <f>HYPERLINK("https://dpmzos25m8ivg.cloudfront.net/Documentos/631/08768278578/6310876827857811092023123224.jpeg","https://dpmzos25m8ivg.cloudfront.net/Documentos/631/08768278578/6310876827857811092023123224.jpeg")</f>
        <v>https://dpmzos25m8ivg.cloudfront.net/Documentos/631/08768278578/6310876827857811092023123224.jpeg</v>
      </c>
      <c r="H4178" s="5" t="s">
        <v>12753</v>
      </c>
    </row>
    <row r="4179" spans="1:8" x14ac:dyDescent="0.25">
      <c r="A4179" s="2" t="s">
        <v>4201</v>
      </c>
      <c r="B4179" s="3"/>
      <c r="C4179" s="3"/>
      <c r="D4179" s="3"/>
      <c r="E4179" s="5" t="str">
        <f>HYPERLINK("https://dpmzos25m8ivg.cloudfront.net/Documentos/631/08771139397/6310877113939708092023023456.pdf","https://dpmzos25m8ivg.cloudfront.net/Documentos/631/08771139397/6310877113939708092023023456.pdf")</f>
        <v>https://dpmzos25m8ivg.cloudfront.net/Documentos/631/08771139397/6310877113939708092023023456.pdf</v>
      </c>
      <c r="F4179" s="5" t="str">
        <f>HYPERLINK("https://dpmzos25m8ivg.cloudfront.net/Documentos/631/08771139397/6310877113939708092023023508.pdf","https://dpmzos25m8ivg.cloudfront.net/Documentos/631/08771139397/6310877113939708092023023508.pdf")</f>
        <v>https://dpmzos25m8ivg.cloudfront.net/Documentos/631/08771139397/6310877113939708092023023508.pdf</v>
      </c>
      <c r="G4179" s="5" t="str">
        <f>HYPERLINK("https://dpmzos25m8ivg.cloudfront.net/Documentos/631/08771139397/6310877113939708092023023524.pdf","https://dpmzos25m8ivg.cloudfront.net/Documentos/631/08771139397/6310877113939708092023023524.pdf")</f>
        <v>https://dpmzos25m8ivg.cloudfront.net/Documentos/631/08771139397/6310877113939708092023023524.pdf</v>
      </c>
      <c r="H4179" s="5" t="s">
        <v>12754</v>
      </c>
    </row>
    <row r="4180" spans="1:8" x14ac:dyDescent="0.25">
      <c r="A4180" s="2" t="s">
        <v>4202</v>
      </c>
      <c r="B4180" s="3"/>
      <c r="C4180" s="3"/>
      <c r="D4180" s="3"/>
      <c r="E4180" s="5" t="str">
        <f>HYPERLINK("https://dpmzos25m8ivg.cloudfront.net/Documentos/631/08773701769/6310877370176905092023145156.pdf","https://dpmzos25m8ivg.cloudfront.net/Documentos/631/08773701769/6310877370176905092023145156.pdf")</f>
        <v>https://dpmzos25m8ivg.cloudfront.net/Documentos/631/08773701769/6310877370176905092023145156.pdf</v>
      </c>
      <c r="F4180" s="5" t="str">
        <f>HYPERLINK("https://dpmzos25m8ivg.cloudfront.net/Documentos/631/08773701769/6310877370176905092023145215.pdf","https://dpmzos25m8ivg.cloudfront.net/Documentos/631/08773701769/6310877370176905092023145215.pdf")</f>
        <v>https://dpmzos25m8ivg.cloudfront.net/Documentos/631/08773701769/6310877370176905092023145215.pdf</v>
      </c>
      <c r="G4180" s="5" t="str">
        <f>HYPERLINK("https://dpmzos25m8ivg.cloudfront.net/Documentos/631/08773701769/6310877370176905092023145242.pdf","https://dpmzos25m8ivg.cloudfront.net/Documentos/631/08773701769/6310877370176905092023145242.pdf")</f>
        <v>https://dpmzos25m8ivg.cloudfront.net/Documentos/631/08773701769/6310877370176905092023145242.pdf</v>
      </c>
      <c r="H4180" s="5" t="s">
        <v>12755</v>
      </c>
    </row>
    <row r="4181" spans="1:8" x14ac:dyDescent="0.25">
      <c r="A4181" s="2" t="s">
        <v>4203</v>
      </c>
      <c r="B4181" s="3"/>
      <c r="C4181" s="3"/>
      <c r="D4181" s="3"/>
      <c r="E4181" s="5" t="str">
        <f>HYPERLINK("https://dpmzos25m8ivg.cloudfront.net/Documentos/631/08779463614/6310877946361411092023150547.pdf","https://dpmzos25m8ivg.cloudfront.net/Documentos/631/08779463614/6310877946361411092023150547.pdf")</f>
        <v>https://dpmzos25m8ivg.cloudfront.net/Documentos/631/08779463614/6310877946361411092023150547.pdf</v>
      </c>
      <c r="F4181" s="5" t="str">
        <f>HYPERLINK("https://dpmzos25m8ivg.cloudfront.net/Documentos/631/08779463614/6310877946361411092023152407.pdf","https://dpmzos25m8ivg.cloudfront.net/Documentos/631/08779463614/6310877946361411092023152407.pdf")</f>
        <v>https://dpmzos25m8ivg.cloudfront.net/Documentos/631/08779463614/6310877946361411092023152407.pdf</v>
      </c>
      <c r="G4181" s="5" t="str">
        <f>HYPERLINK("https://dpmzos25m8ivg.cloudfront.net/Documentos/631/08779463614/6310877946361411092023152427.pdf","https://dpmzos25m8ivg.cloudfront.net/Documentos/631/08779463614/6310877946361411092023152427.pdf")</f>
        <v>https://dpmzos25m8ivg.cloudfront.net/Documentos/631/08779463614/6310877946361411092023152427.pdf</v>
      </c>
      <c r="H4181" s="5" t="s">
        <v>12756</v>
      </c>
    </row>
    <row r="4182" spans="1:8" x14ac:dyDescent="0.25">
      <c r="A4182" s="2" t="s">
        <v>4204</v>
      </c>
      <c r="B4182" s="3"/>
      <c r="C4182" s="3"/>
      <c r="D4182" s="3"/>
      <c r="E4182" s="5" t="str">
        <f>HYPERLINK("https://dpmzos25m8ivg.cloudfront.net/Documentos/631/08786544616/6310878654461611092023071406.jpg","https://dpmzos25m8ivg.cloudfront.net/Documentos/631/08786544616/6310878654461611092023071406.jpg")</f>
        <v>https://dpmzos25m8ivg.cloudfront.net/Documentos/631/08786544616/6310878654461611092023071406.jpg</v>
      </c>
      <c r="F4182" s="5" t="str">
        <f>HYPERLINK("https://dpmzos25m8ivg.cloudfront.net/Documentos/631/08786544616/6310878654461611092023071441.jpg","https://dpmzos25m8ivg.cloudfront.net/Documentos/631/08786544616/6310878654461611092023071441.jpg")</f>
        <v>https://dpmzos25m8ivg.cloudfront.net/Documentos/631/08786544616/6310878654461611092023071441.jpg</v>
      </c>
      <c r="G4182" s="5" t="str">
        <f>HYPERLINK("https://dpmzos25m8ivg.cloudfront.net/Documentos/631/08786544616/6310878654461611092023071453.jpg","https://dpmzos25m8ivg.cloudfront.net/Documentos/631/08786544616/6310878654461611092023071453.jpg")</f>
        <v>https://dpmzos25m8ivg.cloudfront.net/Documentos/631/08786544616/6310878654461611092023071453.jpg</v>
      </c>
      <c r="H4182" s="5" t="s">
        <v>12757</v>
      </c>
    </row>
    <row r="4183" spans="1:8" x14ac:dyDescent="0.25">
      <c r="A4183" s="2" t="s">
        <v>4205</v>
      </c>
      <c r="B4183" s="3"/>
      <c r="C4183" s="3"/>
      <c r="D4183" s="3"/>
      <c r="E4183" s="5" t="str">
        <f>HYPERLINK("https://dpmzos25m8ivg.cloudfront.net/Documentos/631/08789923758/6310878992375808092023154757.pdf","https://dpmzos25m8ivg.cloudfront.net/Documentos/631/08789923758/6310878992375808092023154757.pdf")</f>
        <v>https://dpmzos25m8ivg.cloudfront.net/Documentos/631/08789923758/6310878992375808092023154757.pdf</v>
      </c>
      <c r="F4183" s="5" t="str">
        <f>HYPERLINK("https://dpmzos25m8ivg.cloudfront.net/Documentos/631/08789923758/6310878992375808092023154811.pdf","https://dpmzos25m8ivg.cloudfront.net/Documentos/631/08789923758/6310878992375808092023154811.pdf")</f>
        <v>https://dpmzos25m8ivg.cloudfront.net/Documentos/631/08789923758/6310878992375808092023154811.pdf</v>
      </c>
      <c r="G4183" s="5" t="str">
        <f>HYPERLINK("https://dpmzos25m8ivg.cloudfront.net/Documentos/631/08789923758/6310878992375808092023154822.pdf","https://dpmzos25m8ivg.cloudfront.net/Documentos/631/08789923758/6310878992375808092023154822.pdf")</f>
        <v>https://dpmzos25m8ivg.cloudfront.net/Documentos/631/08789923758/6310878992375808092023154822.pdf</v>
      </c>
      <c r="H4183" s="5" t="s">
        <v>12758</v>
      </c>
    </row>
    <row r="4184" spans="1:8" x14ac:dyDescent="0.25">
      <c r="A4184" s="2" t="s">
        <v>4206</v>
      </c>
      <c r="B4184" s="3"/>
      <c r="C4184" s="3"/>
      <c r="D4184" s="3"/>
      <c r="E4184" s="5" t="str">
        <f>HYPERLINK("https://dpmzos25m8ivg.cloudfront.net/Documentos/631/08790286618/6310879028661807092023125337.pdf","https://dpmzos25m8ivg.cloudfront.net/Documentos/631/08790286618/6310879028661807092023125337.pdf")</f>
        <v>https://dpmzos25m8ivg.cloudfront.net/Documentos/631/08790286618/6310879028661807092023125337.pdf</v>
      </c>
      <c r="F4184" s="5" t="str">
        <f>HYPERLINK("https://dpmzos25m8ivg.cloudfront.net/Documentos/631/08790286618/6310879028661807092023125347.pdf","https://dpmzos25m8ivg.cloudfront.net/Documentos/631/08790286618/6310879028661807092023125347.pdf")</f>
        <v>https://dpmzos25m8ivg.cloudfront.net/Documentos/631/08790286618/6310879028661807092023125347.pdf</v>
      </c>
      <c r="G4184" s="5" t="str">
        <f>HYPERLINK("https://dpmzos25m8ivg.cloudfront.net/Documentos/631/08790286618/6310879028661807092023125357.pdf","https://dpmzos25m8ivg.cloudfront.net/Documentos/631/08790286618/6310879028661807092023125357.pdf")</f>
        <v>https://dpmzos25m8ivg.cloudfront.net/Documentos/631/08790286618/6310879028661807092023125357.pdf</v>
      </c>
      <c r="H4184" s="5" t="s">
        <v>12759</v>
      </c>
    </row>
    <row r="4185" spans="1:8" x14ac:dyDescent="0.25">
      <c r="A4185" s="2" t="s">
        <v>4207</v>
      </c>
      <c r="B4185" s="3" t="s">
        <v>42</v>
      </c>
      <c r="C4185" s="3"/>
      <c r="D4185" s="3"/>
      <c r="E4185" s="5" t="str">
        <f>HYPERLINK("https://dpmzos25m8ivg.cloudfront.net/Documentos/631/08791862400/6310879186240005092023213617.pdf","https://dpmzos25m8ivg.cloudfront.net/Documentos/631/08791862400/6310879186240005092023213617.pdf")</f>
        <v>https://dpmzos25m8ivg.cloudfront.net/Documentos/631/08791862400/6310879186240005092023213617.pdf</v>
      </c>
      <c r="F4185" s="5" t="str">
        <f>HYPERLINK("https://dpmzos25m8ivg.cloudfront.net/Documentos/631/08791862400/6310879186240005092023213629.pdf","https://dpmzos25m8ivg.cloudfront.net/Documentos/631/08791862400/6310879186240005092023213629.pdf")</f>
        <v>https://dpmzos25m8ivg.cloudfront.net/Documentos/631/08791862400/6310879186240005092023213629.pdf</v>
      </c>
      <c r="G4185" s="5" t="str">
        <f>HYPERLINK("https://dpmzos25m8ivg.cloudfront.net/Documentos/631/08791862400/6310879186240005092023213640.pdf","https://dpmzos25m8ivg.cloudfront.net/Documentos/631/08791862400/6310879186240005092023213640.pdf")</f>
        <v>https://dpmzos25m8ivg.cloudfront.net/Documentos/631/08791862400/6310879186240005092023213640.pdf</v>
      </c>
      <c r="H4185" s="5" t="s">
        <v>12760</v>
      </c>
    </row>
    <row r="4186" spans="1:8" x14ac:dyDescent="0.25">
      <c r="A4186" s="2" t="s">
        <v>4208</v>
      </c>
      <c r="B4186" s="3"/>
      <c r="C4186" s="3"/>
      <c r="D4186" s="3"/>
      <c r="E4186" s="5" t="str">
        <f>HYPERLINK("https://dpmzos25m8ivg.cloudfront.net/Documentos/631/08792257500/6310879225750011092023123540.pdf","https://dpmzos25m8ivg.cloudfront.net/Documentos/631/08792257500/6310879225750011092023123540.pdf")</f>
        <v>https://dpmzos25m8ivg.cloudfront.net/Documentos/631/08792257500/6310879225750011092023123540.pdf</v>
      </c>
      <c r="F4186" s="5" t="str">
        <f>HYPERLINK("https://dpmzos25m8ivg.cloudfront.net/Documentos/631/08792257500/6310879225750011092023123553.pdf","https://dpmzos25m8ivg.cloudfront.net/Documentos/631/08792257500/6310879225750011092023123553.pdf")</f>
        <v>https://dpmzos25m8ivg.cloudfront.net/Documentos/631/08792257500/6310879225750011092023123553.pdf</v>
      </c>
      <c r="G4186" s="5" t="str">
        <f>HYPERLINK("https://dpmzos25m8ivg.cloudfront.net/Documentos/631/08792257500/6310879225750011092023123610.pdf","https://dpmzos25m8ivg.cloudfront.net/Documentos/631/08792257500/6310879225750011092023123610.pdf")</f>
        <v>https://dpmzos25m8ivg.cloudfront.net/Documentos/631/08792257500/6310879225750011092023123610.pdf</v>
      </c>
      <c r="H4186" s="5" t="s">
        <v>12761</v>
      </c>
    </row>
    <row r="4187" spans="1:8" x14ac:dyDescent="0.25">
      <c r="A4187" s="2" t="s">
        <v>4209</v>
      </c>
      <c r="B4187" s="3"/>
      <c r="C4187" s="3"/>
      <c r="D4187" s="3"/>
      <c r="E4187" s="5" t="str">
        <f>HYPERLINK("https://dpmzos25m8ivg.cloudfront.net/Documentos/631/08795230505/6310879523050509092023121621.pdf","https://dpmzos25m8ivg.cloudfront.net/Documentos/631/08795230505/6310879523050509092023121621.pdf")</f>
        <v>https://dpmzos25m8ivg.cloudfront.net/Documentos/631/08795230505/6310879523050509092023121621.pdf</v>
      </c>
      <c r="F4187" s="5" t="str">
        <f>HYPERLINK("https://dpmzos25m8ivg.cloudfront.net/Documentos/631/08795230505/6310879523050509092023121655.pdf","https://dpmzos25m8ivg.cloudfront.net/Documentos/631/08795230505/6310879523050509092023121655.pdf")</f>
        <v>https://dpmzos25m8ivg.cloudfront.net/Documentos/631/08795230505/6310879523050509092023121655.pdf</v>
      </c>
      <c r="G4187" s="5" t="str">
        <f>HYPERLINK("https://dpmzos25m8ivg.cloudfront.net/Documentos/631/08795230505/6310879523050509092023121722.pdf","https://dpmzos25m8ivg.cloudfront.net/Documentos/631/08795230505/6310879523050509092023121722.pdf")</f>
        <v>https://dpmzos25m8ivg.cloudfront.net/Documentos/631/08795230505/6310879523050509092023121722.pdf</v>
      </c>
      <c r="H4187" s="5" t="s">
        <v>12762</v>
      </c>
    </row>
    <row r="4188" spans="1:8" x14ac:dyDescent="0.25">
      <c r="A4188" s="2" t="s">
        <v>4210</v>
      </c>
      <c r="B4188" s="3"/>
      <c r="C4188" s="3"/>
      <c r="D4188" s="3"/>
      <c r="E4188" s="5" t="str">
        <f>HYPERLINK("https://dpmzos25m8ivg.cloudfront.net/Documentos/631/08796110570/6310879611057006092023113209.pdf","https://dpmzos25m8ivg.cloudfront.net/Documentos/631/08796110570/6310879611057006092023113209.pdf")</f>
        <v>https://dpmzos25m8ivg.cloudfront.net/Documentos/631/08796110570/6310879611057006092023113209.pdf</v>
      </c>
      <c r="F4188" s="5" t="str">
        <f>HYPERLINK("https://dpmzos25m8ivg.cloudfront.net/Documentos/631/08796110570/6310879611057006092023113226.pdf","https://dpmzos25m8ivg.cloudfront.net/Documentos/631/08796110570/6310879611057006092023113226.pdf")</f>
        <v>https://dpmzos25m8ivg.cloudfront.net/Documentos/631/08796110570/6310879611057006092023113226.pdf</v>
      </c>
      <c r="G4188" s="5" t="str">
        <f>HYPERLINK("https://dpmzos25m8ivg.cloudfront.net/Documentos/631/08796110570/6310879611057006092023113242.pdf","https://dpmzos25m8ivg.cloudfront.net/Documentos/631/08796110570/6310879611057006092023113242.pdf")</f>
        <v>https://dpmzos25m8ivg.cloudfront.net/Documentos/631/08796110570/6310879611057006092023113242.pdf</v>
      </c>
      <c r="H4188" s="5" t="s">
        <v>12763</v>
      </c>
    </row>
    <row r="4189" spans="1:8" x14ac:dyDescent="0.25">
      <c r="A4189" s="2" t="s">
        <v>4211</v>
      </c>
      <c r="B4189" s="3"/>
      <c r="C4189" s="3"/>
      <c r="D4189" s="3"/>
      <c r="E4189" s="5" t="str">
        <f>HYPERLINK("https://dpmzos25m8ivg.cloudfront.net/Documentos/631/08801567405/6310880156740506092023103650.pdf","https://dpmzos25m8ivg.cloudfront.net/Documentos/631/08801567405/6310880156740506092023103650.pdf")</f>
        <v>https://dpmzos25m8ivg.cloudfront.net/Documentos/631/08801567405/6310880156740506092023103650.pdf</v>
      </c>
      <c r="F4189" s="5" t="str">
        <f>HYPERLINK("https://dpmzos25m8ivg.cloudfront.net/Documentos/631/08801567405/6310880156740506092023103700.pdf","https://dpmzos25m8ivg.cloudfront.net/Documentos/631/08801567405/6310880156740506092023103700.pdf")</f>
        <v>https://dpmzos25m8ivg.cloudfront.net/Documentos/631/08801567405/6310880156740506092023103700.pdf</v>
      </c>
      <c r="G4189" s="5" t="str">
        <f>HYPERLINK("https://dpmzos25m8ivg.cloudfront.net/Documentos/631/08801567405/6310880156740506092023103721.pdf","https://dpmzos25m8ivg.cloudfront.net/Documentos/631/08801567405/6310880156740506092023103721.pdf")</f>
        <v>https://dpmzos25m8ivg.cloudfront.net/Documentos/631/08801567405/6310880156740506092023103721.pdf</v>
      </c>
      <c r="H4189" s="5" t="s">
        <v>12764</v>
      </c>
    </row>
    <row r="4190" spans="1:8" x14ac:dyDescent="0.25">
      <c r="A4190" s="2" t="s">
        <v>4212</v>
      </c>
      <c r="B4190" s="3"/>
      <c r="C4190" s="3"/>
      <c r="D4190" s="3"/>
      <c r="E4190" s="5" t="str">
        <f>HYPERLINK("https://dpmzos25m8ivg.cloudfront.net/Documentos/631/08802164509/6310880216450912092023201141.pdf","https://dpmzos25m8ivg.cloudfront.net/Documentos/631/08802164509/6310880216450912092023201141.pdf")</f>
        <v>https://dpmzos25m8ivg.cloudfront.net/Documentos/631/08802164509/6310880216450912092023201141.pdf</v>
      </c>
      <c r="F4190" s="5" t="str">
        <f>HYPERLINK("https://dpmzos25m8ivg.cloudfront.net/Documentos/631/08802164509/6310880216450912092023201153.pdf","https://dpmzos25m8ivg.cloudfront.net/Documentos/631/08802164509/6310880216450912092023201153.pdf")</f>
        <v>https://dpmzos25m8ivg.cloudfront.net/Documentos/631/08802164509/6310880216450912092023201153.pdf</v>
      </c>
      <c r="G4190" s="5" t="str">
        <f>HYPERLINK("https://dpmzos25m8ivg.cloudfront.net/Documentos/631/08802164509/6310880216450912092023201208.pdf","https://dpmzos25m8ivg.cloudfront.net/Documentos/631/08802164509/6310880216450912092023201208.pdf")</f>
        <v>https://dpmzos25m8ivg.cloudfront.net/Documentos/631/08802164509/6310880216450912092023201208.pdf</v>
      </c>
      <c r="H4190" s="5" t="s">
        <v>12765</v>
      </c>
    </row>
    <row r="4191" spans="1:8" x14ac:dyDescent="0.25">
      <c r="A4191" s="2" t="s">
        <v>4213</v>
      </c>
      <c r="B4191" s="3"/>
      <c r="C4191" s="3"/>
      <c r="D4191" s="3"/>
      <c r="E4191" s="5" t="str">
        <f>HYPERLINK("https://dpmzos25m8ivg.cloudfront.net/Documentos/631/08802967555/6310880296755510092023203817.pdf","https://dpmzos25m8ivg.cloudfront.net/Documentos/631/08802967555/6310880296755510092023203817.pdf")</f>
        <v>https://dpmzos25m8ivg.cloudfront.net/Documentos/631/08802967555/6310880296755510092023203817.pdf</v>
      </c>
      <c r="F4191" s="5" t="str">
        <f>HYPERLINK("https://dpmzos25m8ivg.cloudfront.net/Documentos/631/08802967555/6310880296755510092023203827.pdf","https://dpmzos25m8ivg.cloudfront.net/Documentos/631/08802967555/6310880296755510092023203827.pdf")</f>
        <v>https://dpmzos25m8ivg.cloudfront.net/Documentos/631/08802967555/6310880296755510092023203827.pdf</v>
      </c>
      <c r="G4191" s="5" t="str">
        <f>HYPERLINK("https://dpmzos25m8ivg.cloudfront.net/Documentos/631/08802967555/6310880296755510092023203842.pdf","https://dpmzos25m8ivg.cloudfront.net/Documentos/631/08802967555/6310880296755510092023203842.pdf")</f>
        <v>https://dpmzos25m8ivg.cloudfront.net/Documentos/631/08802967555/6310880296755510092023203842.pdf</v>
      </c>
      <c r="H4191" s="5" t="s">
        <v>12766</v>
      </c>
    </row>
    <row r="4192" spans="1:8" x14ac:dyDescent="0.25">
      <c r="A4192" s="2" t="s">
        <v>4214</v>
      </c>
      <c r="B4192" s="3"/>
      <c r="C4192" s="3"/>
      <c r="D4192" s="3"/>
      <c r="E4192" s="5" t="str">
        <f>HYPERLINK("https://dpmzos25m8ivg.cloudfront.net/Documentos/631/08805072761/6310880507276111092023162741.pdf","https://dpmzos25m8ivg.cloudfront.net/Documentos/631/08805072761/6310880507276111092023162741.pdf")</f>
        <v>https://dpmzos25m8ivg.cloudfront.net/Documentos/631/08805072761/6310880507276111092023162741.pdf</v>
      </c>
      <c r="F4192" s="5" t="str">
        <f>HYPERLINK("https://dpmzos25m8ivg.cloudfront.net/Documentos/631/08805072761/6310880507276111092023162750.pdf","https://dpmzos25m8ivg.cloudfront.net/Documentos/631/08805072761/6310880507276111092023162750.pdf")</f>
        <v>https://dpmzos25m8ivg.cloudfront.net/Documentos/631/08805072761/6310880507276111092023162750.pdf</v>
      </c>
      <c r="G4192" s="5" t="str">
        <f>HYPERLINK("https://dpmzos25m8ivg.cloudfront.net/Documentos/631/08805072761/6310880507276111092023162759.pdf","https://dpmzos25m8ivg.cloudfront.net/Documentos/631/08805072761/6310880507276111092023162759.pdf")</f>
        <v>https://dpmzos25m8ivg.cloudfront.net/Documentos/631/08805072761/6310880507276111092023162759.pdf</v>
      </c>
      <c r="H4192" s="5" t="s">
        <v>12767</v>
      </c>
    </row>
    <row r="4193" spans="1:8" x14ac:dyDescent="0.25">
      <c r="A4193" s="2" t="s">
        <v>4215</v>
      </c>
      <c r="B4193" s="3"/>
      <c r="C4193" s="3"/>
      <c r="D4193" s="3"/>
      <c r="E4193" s="5" t="str">
        <f>HYPERLINK("https://dpmzos25m8ivg.cloudfront.net/Documentos/631/08806222619/6310880622261911092023095624.jpeg","https://dpmzos25m8ivg.cloudfront.net/Documentos/631/08806222619/6310880622261911092023095624.jpeg")</f>
        <v>https://dpmzos25m8ivg.cloudfront.net/Documentos/631/08806222619/6310880622261911092023095624.jpeg</v>
      </c>
      <c r="F4193" s="5" t="str">
        <f>HYPERLINK("https://dpmzos25m8ivg.cloudfront.net/Documentos/631/08806222619/6310880622261911092023095644.jpeg","https://dpmzos25m8ivg.cloudfront.net/Documentos/631/08806222619/6310880622261911092023095644.jpeg")</f>
        <v>https://dpmzos25m8ivg.cloudfront.net/Documentos/631/08806222619/6310880622261911092023095644.jpeg</v>
      </c>
      <c r="G4193" s="5" t="str">
        <f>HYPERLINK("https://dpmzos25m8ivg.cloudfront.net/Documentos/631/08806222619/6310880622261911092023095724.jpeg","https://dpmzos25m8ivg.cloudfront.net/Documentos/631/08806222619/6310880622261911092023095724.jpeg")</f>
        <v>https://dpmzos25m8ivg.cloudfront.net/Documentos/631/08806222619/6310880622261911092023095724.jpeg</v>
      </c>
      <c r="H4193" s="5" t="s">
        <v>12768</v>
      </c>
    </row>
    <row r="4194" spans="1:8" x14ac:dyDescent="0.25">
      <c r="A4194" s="2" t="s">
        <v>4216</v>
      </c>
      <c r="B4194" s="3"/>
      <c r="C4194" s="3"/>
      <c r="D4194" s="3"/>
      <c r="E4194" s="5" t="str">
        <f>HYPERLINK("https://dpmzos25m8ivg.cloudfront.net/Documentos/631/08808974499/6310880897449914092023160412.jpeg","https://dpmzos25m8ivg.cloudfront.net/Documentos/631/08808974499/6310880897449914092023160412.jpeg")</f>
        <v>https://dpmzos25m8ivg.cloudfront.net/Documentos/631/08808974499/6310880897449914092023160412.jpeg</v>
      </c>
      <c r="F4194" s="5" t="str">
        <f>HYPERLINK("https://dpmzos25m8ivg.cloudfront.net/Documentos/631/08808974499/6310880897449914092023160438.jpeg","https://dpmzos25m8ivg.cloudfront.net/Documentos/631/08808974499/6310880897449914092023160438.jpeg")</f>
        <v>https://dpmzos25m8ivg.cloudfront.net/Documentos/631/08808974499/6310880897449914092023160438.jpeg</v>
      </c>
      <c r="G4194" s="5" t="str">
        <f>HYPERLINK("https://dpmzos25m8ivg.cloudfront.net/Documentos/631/08808974499/6310880897449914092023160503.jpeg","https://dpmzos25m8ivg.cloudfront.net/Documentos/631/08808974499/6310880897449914092023160503.jpeg")</f>
        <v>https://dpmzos25m8ivg.cloudfront.net/Documentos/631/08808974499/6310880897449914092023160503.jpeg</v>
      </c>
      <c r="H4194" s="5" t="s">
        <v>12769</v>
      </c>
    </row>
    <row r="4195" spans="1:8" x14ac:dyDescent="0.25">
      <c r="A4195" s="2" t="s">
        <v>4217</v>
      </c>
      <c r="B4195" s="3"/>
      <c r="C4195" s="3"/>
      <c r="D4195" s="3"/>
      <c r="E4195" s="5" t="str">
        <f>HYPERLINK("https://dpmzos25m8ivg.cloudfront.net/Documentos/631/08812715435/6310881271543508092023095808.pdf","https://dpmzos25m8ivg.cloudfront.net/Documentos/631/08812715435/6310881271543508092023095808.pdf")</f>
        <v>https://dpmzos25m8ivg.cloudfront.net/Documentos/631/08812715435/6310881271543508092023095808.pdf</v>
      </c>
      <c r="F4195" s="5" t="str">
        <f>HYPERLINK("https://dpmzos25m8ivg.cloudfront.net/Documentos/631/08812715435/6310881271543508092023095822.pdf","https://dpmzos25m8ivg.cloudfront.net/Documentos/631/08812715435/6310881271543508092023095822.pdf")</f>
        <v>https://dpmzos25m8ivg.cloudfront.net/Documentos/631/08812715435/6310881271543508092023095822.pdf</v>
      </c>
      <c r="G4195" s="5" t="str">
        <f>HYPERLINK("https://dpmzos25m8ivg.cloudfront.net/Documentos/631/08812715435/6310881271543508092023095837.pdf","https://dpmzos25m8ivg.cloudfront.net/Documentos/631/08812715435/6310881271543508092023095837.pdf")</f>
        <v>https://dpmzos25m8ivg.cloudfront.net/Documentos/631/08812715435/6310881271543508092023095837.pdf</v>
      </c>
      <c r="H4195" s="5" t="s">
        <v>12770</v>
      </c>
    </row>
    <row r="4196" spans="1:8" x14ac:dyDescent="0.25">
      <c r="A4196" s="2" t="s">
        <v>4218</v>
      </c>
      <c r="B4196" s="3"/>
      <c r="C4196" s="3"/>
      <c r="D4196" s="3"/>
      <c r="E4196" s="5" t="str">
        <f>HYPERLINK("https://dpmzos25m8ivg.cloudfront.net/Documentos/631/08817951439/6310881795143910092023103736.pdf","https://dpmzos25m8ivg.cloudfront.net/Documentos/631/08817951439/6310881795143910092023103736.pdf")</f>
        <v>https://dpmzos25m8ivg.cloudfront.net/Documentos/631/08817951439/6310881795143910092023103736.pdf</v>
      </c>
      <c r="F4196" s="5" t="str">
        <f>HYPERLINK("https://dpmzos25m8ivg.cloudfront.net/Documentos/631/08817951439/6310881795143910092023103813.pdf","https://dpmzos25m8ivg.cloudfront.net/Documentos/631/08817951439/6310881795143910092023103813.pdf")</f>
        <v>https://dpmzos25m8ivg.cloudfront.net/Documentos/631/08817951439/6310881795143910092023103813.pdf</v>
      </c>
      <c r="G4196" s="5" t="str">
        <f>HYPERLINK("https://dpmzos25m8ivg.cloudfront.net/Documentos/631/08817951439/6310881795143910092023103821.pdf","https://dpmzos25m8ivg.cloudfront.net/Documentos/631/08817951439/6310881795143910092023103821.pdf")</f>
        <v>https://dpmzos25m8ivg.cloudfront.net/Documentos/631/08817951439/6310881795143910092023103821.pdf</v>
      </c>
      <c r="H4196" s="5" t="s">
        <v>12771</v>
      </c>
    </row>
    <row r="4197" spans="1:8" x14ac:dyDescent="0.25">
      <c r="A4197" s="2" t="s">
        <v>4219</v>
      </c>
      <c r="B4197" s="3"/>
      <c r="C4197" s="3"/>
      <c r="D4197" s="3"/>
      <c r="E4197" s="5" t="str">
        <f>HYPERLINK("https://dpmzos25m8ivg.cloudfront.net/Documentos/631/08827002600/6310882700260009092023111912.pdf","https://dpmzos25m8ivg.cloudfront.net/Documentos/631/08827002600/6310882700260009092023111912.pdf")</f>
        <v>https://dpmzos25m8ivg.cloudfront.net/Documentos/631/08827002600/6310882700260009092023111912.pdf</v>
      </c>
      <c r="F4197" s="5" t="str">
        <f>HYPERLINK("https://dpmzos25m8ivg.cloudfront.net/Documentos/631/08827002600/6310882700260009092023111934.pdf","https://dpmzos25m8ivg.cloudfront.net/Documentos/631/08827002600/6310882700260009092023111934.pdf")</f>
        <v>https://dpmzos25m8ivg.cloudfront.net/Documentos/631/08827002600/6310882700260009092023111934.pdf</v>
      </c>
      <c r="G4197" s="5" t="str">
        <f>HYPERLINK("https://dpmzos25m8ivg.cloudfront.net/Documentos/631/08827002600/6310882700260009092023111954.pdf","https://dpmzos25m8ivg.cloudfront.net/Documentos/631/08827002600/6310882700260009092023111954.pdf")</f>
        <v>https://dpmzos25m8ivg.cloudfront.net/Documentos/631/08827002600/6310882700260009092023111954.pdf</v>
      </c>
      <c r="H4197" s="5" t="s">
        <v>12772</v>
      </c>
    </row>
    <row r="4198" spans="1:8" x14ac:dyDescent="0.25">
      <c r="A4198" s="2" t="s">
        <v>4220</v>
      </c>
      <c r="B4198" s="3"/>
      <c r="C4198" s="3"/>
      <c r="D4198" s="3"/>
      <c r="E4198" s="5" t="str">
        <f>HYPERLINK("https://dpmzos25m8ivg.cloudfront.net/Documentos/631/08839701630/6310883970163012092023171713.pdf","https://dpmzos25m8ivg.cloudfront.net/Documentos/631/08839701630/6310883970163012092023171713.pdf")</f>
        <v>https://dpmzos25m8ivg.cloudfront.net/Documentos/631/08839701630/6310883970163012092023171713.pdf</v>
      </c>
      <c r="F4198" s="5" t="str">
        <f>HYPERLINK("https://dpmzos25m8ivg.cloudfront.net/Documentos/631/08839701630/6310883970163012092023171723.pdf","https://dpmzos25m8ivg.cloudfront.net/Documentos/631/08839701630/6310883970163012092023171723.pdf")</f>
        <v>https://dpmzos25m8ivg.cloudfront.net/Documentos/631/08839701630/6310883970163012092023171723.pdf</v>
      </c>
      <c r="G4198" s="5" t="str">
        <f>HYPERLINK("https://dpmzos25m8ivg.cloudfront.net/Documentos/631/08839701630/6310883970163012092023171731.pdf","https://dpmzos25m8ivg.cloudfront.net/Documentos/631/08839701630/6310883970163012092023171731.pdf")</f>
        <v>https://dpmzos25m8ivg.cloudfront.net/Documentos/631/08839701630/6310883970163012092023171731.pdf</v>
      </c>
      <c r="H4198" s="5" t="s">
        <v>12773</v>
      </c>
    </row>
    <row r="4199" spans="1:8" x14ac:dyDescent="0.25">
      <c r="A4199" s="2" t="s">
        <v>4221</v>
      </c>
      <c r="B4199" s="3"/>
      <c r="C4199" s="3"/>
      <c r="D4199" s="3"/>
      <c r="E4199" s="5" t="str">
        <f>HYPERLINK("https://dpmzos25m8ivg.cloudfront.net/Documentos/631/08843968432/6310884396843207092023185011.pdf","https://dpmzos25m8ivg.cloudfront.net/Documentos/631/08843968432/6310884396843207092023185011.pdf")</f>
        <v>https://dpmzos25m8ivg.cloudfront.net/Documentos/631/08843968432/6310884396843207092023185011.pdf</v>
      </c>
      <c r="F4199" s="5" t="str">
        <f>HYPERLINK("https://dpmzos25m8ivg.cloudfront.net/Documentos/631/08843968432/6310884396843207092023185045.pdf","https://dpmzos25m8ivg.cloudfront.net/Documentos/631/08843968432/6310884396843207092023185045.pdf")</f>
        <v>https://dpmzos25m8ivg.cloudfront.net/Documentos/631/08843968432/6310884396843207092023185045.pdf</v>
      </c>
      <c r="G4199" s="5" t="str">
        <f>HYPERLINK("https://dpmzos25m8ivg.cloudfront.net/Documentos/631/08843968432/6310884396843207092023185118.pdf","https://dpmzos25m8ivg.cloudfront.net/Documentos/631/08843968432/6310884396843207092023185118.pdf")</f>
        <v>https://dpmzos25m8ivg.cloudfront.net/Documentos/631/08843968432/6310884396843207092023185118.pdf</v>
      </c>
      <c r="H4199" s="5" t="s">
        <v>12774</v>
      </c>
    </row>
    <row r="4200" spans="1:8" x14ac:dyDescent="0.25">
      <c r="A4200" s="2" t="s">
        <v>4222</v>
      </c>
      <c r="B4200" s="3"/>
      <c r="C4200" s="3"/>
      <c r="D4200" s="3"/>
      <c r="E4200" s="5" t="str">
        <f>HYPERLINK("https://dpmzos25m8ivg.cloudfront.net/Documentos/631/08845132625/6310884513262510092023231556.pdf","https://dpmzos25m8ivg.cloudfront.net/Documentos/631/08845132625/6310884513262510092023231556.pdf")</f>
        <v>https://dpmzos25m8ivg.cloudfront.net/Documentos/631/08845132625/6310884513262510092023231556.pdf</v>
      </c>
      <c r="F4200" s="5" t="str">
        <f>HYPERLINK("https://dpmzos25m8ivg.cloudfront.net/Documentos/631/08845132625/6310884513262510092023231629.pdf","https://dpmzos25m8ivg.cloudfront.net/Documentos/631/08845132625/6310884513262510092023231629.pdf")</f>
        <v>https://dpmzos25m8ivg.cloudfront.net/Documentos/631/08845132625/6310884513262510092023231629.pdf</v>
      </c>
      <c r="G4200" s="5" t="str">
        <f>HYPERLINK("https://dpmzos25m8ivg.cloudfront.net/Documentos/631/08845132625/6310884513262510092023231638.pdf","https://dpmzos25m8ivg.cloudfront.net/Documentos/631/08845132625/6310884513262510092023231638.pdf")</f>
        <v>https://dpmzos25m8ivg.cloudfront.net/Documentos/631/08845132625/6310884513262510092023231638.pdf</v>
      </c>
      <c r="H4200" s="5" t="s">
        <v>12775</v>
      </c>
    </row>
    <row r="4201" spans="1:8" x14ac:dyDescent="0.25">
      <c r="A4201" s="2" t="s">
        <v>4223</v>
      </c>
      <c r="B4201" s="3"/>
      <c r="C4201" s="3"/>
      <c r="D4201" s="3"/>
      <c r="E4201" s="5" t="str">
        <f>HYPERLINK("https://dpmzos25m8ivg.cloudfront.net/Documentos/631/08847833590/6310884783359013092023221953.pdf","https://dpmzos25m8ivg.cloudfront.net/Documentos/631/08847833590/6310884783359013092023221953.pdf")</f>
        <v>https://dpmzos25m8ivg.cloudfront.net/Documentos/631/08847833590/6310884783359013092023221953.pdf</v>
      </c>
      <c r="F4201" s="5" t="str">
        <f>HYPERLINK("https://dpmzos25m8ivg.cloudfront.net/Documentos/631/08847833590/6310884783359013092023222002.pdf","https://dpmzos25m8ivg.cloudfront.net/Documentos/631/08847833590/6310884783359013092023222002.pdf")</f>
        <v>https://dpmzos25m8ivg.cloudfront.net/Documentos/631/08847833590/6310884783359013092023222002.pdf</v>
      </c>
      <c r="G4201" s="5" t="str">
        <f>HYPERLINK("https://dpmzos25m8ivg.cloudfront.net/Documentos/631/08847833590/6310884783359013092023222012.pdf","https://dpmzos25m8ivg.cloudfront.net/Documentos/631/08847833590/6310884783359013092023222012.pdf")</f>
        <v>https://dpmzos25m8ivg.cloudfront.net/Documentos/631/08847833590/6310884783359013092023222012.pdf</v>
      </c>
      <c r="H4201" s="5" t="s">
        <v>12776</v>
      </c>
    </row>
    <row r="4202" spans="1:8" x14ac:dyDescent="0.25">
      <c r="A4202" s="2" t="s">
        <v>4224</v>
      </c>
      <c r="B4202" s="3"/>
      <c r="C4202" s="3"/>
      <c r="D4202" s="3"/>
      <c r="E4202" s="5" t="str">
        <f>HYPERLINK("https://dpmzos25m8ivg.cloudfront.net/Documentos/631/08849996535/6310884999653510092023235035.pdf","https://dpmzos25m8ivg.cloudfront.net/Documentos/631/08849996535/6310884999653510092023235035.pdf")</f>
        <v>https://dpmzos25m8ivg.cloudfront.net/Documentos/631/08849996535/6310884999653510092023235035.pdf</v>
      </c>
      <c r="F4202" s="5" t="str">
        <f>HYPERLINK("https://dpmzos25m8ivg.cloudfront.net/Documentos/631/08849996535/6310884999653510092023235018.pdf","https://dpmzos25m8ivg.cloudfront.net/Documentos/631/08849996535/6310884999653510092023235018.pdf")</f>
        <v>https://dpmzos25m8ivg.cloudfront.net/Documentos/631/08849996535/6310884999653510092023235018.pdf</v>
      </c>
      <c r="G4202" s="5" t="str">
        <f>HYPERLINK("https://dpmzos25m8ivg.cloudfront.net/Documentos/631/08849996535/6310884999653510092023235003.pdf","https://dpmzos25m8ivg.cloudfront.net/Documentos/631/08849996535/6310884999653510092023235003.pdf")</f>
        <v>https://dpmzos25m8ivg.cloudfront.net/Documentos/631/08849996535/6310884999653510092023235003.pdf</v>
      </c>
      <c r="H4202" s="5" t="s">
        <v>12777</v>
      </c>
    </row>
    <row r="4203" spans="1:8" x14ac:dyDescent="0.25">
      <c r="A4203" s="2" t="s">
        <v>4225</v>
      </c>
      <c r="B4203" s="3"/>
      <c r="C4203" s="3"/>
      <c r="D4203" s="3"/>
      <c r="E4203" s="5" t="str">
        <f>HYPERLINK("https://dpmzos25m8ivg.cloudfront.net/Documentos/631/08858281608/6310885828160811092023152224.pdf","https://dpmzos25m8ivg.cloudfront.net/Documentos/631/08858281608/6310885828160811092023152224.pdf")</f>
        <v>https://dpmzos25m8ivg.cloudfront.net/Documentos/631/08858281608/6310885828160811092023152224.pdf</v>
      </c>
      <c r="F4203" s="5" t="str">
        <f>HYPERLINK("https://dpmzos25m8ivg.cloudfront.net/Documentos/631/08858281608/6310885828160811092023152240.pdf","https://dpmzos25m8ivg.cloudfront.net/Documentos/631/08858281608/6310885828160811092023152240.pdf")</f>
        <v>https://dpmzos25m8ivg.cloudfront.net/Documentos/631/08858281608/6310885828160811092023152240.pdf</v>
      </c>
      <c r="G4203" s="5" t="str">
        <f>HYPERLINK("https://dpmzos25m8ivg.cloudfront.net/Documentos/631/08858281608/6310885828160811092023152253.pdf","https://dpmzos25m8ivg.cloudfront.net/Documentos/631/08858281608/6310885828160811092023152253.pdf")</f>
        <v>https://dpmzos25m8ivg.cloudfront.net/Documentos/631/08858281608/6310885828160811092023152253.pdf</v>
      </c>
      <c r="H4203" s="5" t="s">
        <v>12778</v>
      </c>
    </row>
    <row r="4204" spans="1:8" x14ac:dyDescent="0.25">
      <c r="A4204" s="2" t="s">
        <v>4226</v>
      </c>
      <c r="B4204" s="3"/>
      <c r="C4204" s="3"/>
      <c r="D4204" s="3"/>
      <c r="E4204" s="5" t="str">
        <f>HYPERLINK("https://dpmzos25m8ivg.cloudfront.net/Documentos/631/08861760937/6310886176093705092023113951.jpeg","https://dpmzos25m8ivg.cloudfront.net/Documentos/631/08861760937/6310886176093705092023113951.jpeg")</f>
        <v>https://dpmzos25m8ivg.cloudfront.net/Documentos/631/08861760937/6310886176093705092023113951.jpeg</v>
      </c>
      <c r="F4204" s="5" t="str">
        <f>HYPERLINK("https://dpmzos25m8ivg.cloudfront.net/Documentos/631/08861760937/6310886176093705092023114003.jpeg","https://dpmzos25m8ivg.cloudfront.net/Documentos/631/08861760937/6310886176093705092023114003.jpeg")</f>
        <v>https://dpmzos25m8ivg.cloudfront.net/Documentos/631/08861760937/6310886176093705092023114003.jpeg</v>
      </c>
      <c r="G4204" s="5" t="str">
        <f>HYPERLINK("https://dpmzos25m8ivg.cloudfront.net/Documentos/631/08861760937/6310886176093705092023114015.jpeg","https://dpmzos25m8ivg.cloudfront.net/Documentos/631/08861760937/6310886176093705092023114015.jpeg")</f>
        <v>https://dpmzos25m8ivg.cloudfront.net/Documentos/631/08861760937/6310886176093705092023114015.jpeg</v>
      </c>
      <c r="H4204" s="5" t="s">
        <v>12779</v>
      </c>
    </row>
    <row r="4205" spans="1:8" x14ac:dyDescent="0.25">
      <c r="A4205" s="2" t="s">
        <v>4227</v>
      </c>
      <c r="B4205" s="3"/>
      <c r="C4205" s="3"/>
      <c r="D4205" s="3"/>
      <c r="E4205" s="5" t="str">
        <f>HYPERLINK("https://dpmzos25m8ivg.cloudfront.net/Documentos/631/08863285519/6310886328551907092023182318.pdf","https://dpmzos25m8ivg.cloudfront.net/Documentos/631/08863285519/6310886328551907092023182318.pdf")</f>
        <v>https://dpmzos25m8ivg.cloudfront.net/Documentos/631/08863285519/6310886328551907092023182318.pdf</v>
      </c>
      <c r="F4205" s="5" t="str">
        <f>HYPERLINK("https://dpmzos25m8ivg.cloudfront.net/Documentos/631/08863285519/6310886328551907092023182336.pdf","https://dpmzos25m8ivg.cloudfront.net/Documentos/631/08863285519/6310886328551907092023182336.pdf")</f>
        <v>https://dpmzos25m8ivg.cloudfront.net/Documentos/631/08863285519/6310886328551907092023182336.pdf</v>
      </c>
      <c r="G4205" s="5" t="str">
        <f>HYPERLINK("https://dpmzos25m8ivg.cloudfront.net/Documentos/631/08863285519/6310886328551907092023182359.pdf","https://dpmzos25m8ivg.cloudfront.net/Documentos/631/08863285519/6310886328551907092023182359.pdf")</f>
        <v>https://dpmzos25m8ivg.cloudfront.net/Documentos/631/08863285519/6310886328551907092023182359.pdf</v>
      </c>
      <c r="H4205" s="5" t="s">
        <v>12780</v>
      </c>
    </row>
    <row r="4206" spans="1:8" x14ac:dyDescent="0.25">
      <c r="A4206" s="2" t="s">
        <v>4228</v>
      </c>
      <c r="B4206" s="3"/>
      <c r="C4206" s="3"/>
      <c r="D4206" s="3"/>
      <c r="E4206" s="5" t="str">
        <f>HYPERLINK("https://dpmzos25m8ivg.cloudfront.net/Documentos/631/08875290709/6310887529070905092023112950.pdf","https://dpmzos25m8ivg.cloudfront.net/Documentos/631/08875290709/6310887529070905092023112950.pdf")</f>
        <v>https://dpmzos25m8ivg.cloudfront.net/Documentos/631/08875290709/6310887529070905092023112950.pdf</v>
      </c>
      <c r="F4206" s="5" t="str">
        <f>HYPERLINK("https://dpmzos25m8ivg.cloudfront.net/Documentos/631/08875290709/6310887529070905092023112958.pdf","https://dpmzos25m8ivg.cloudfront.net/Documentos/631/08875290709/6310887529070905092023112958.pdf")</f>
        <v>https://dpmzos25m8ivg.cloudfront.net/Documentos/631/08875290709/6310887529070905092023112958.pdf</v>
      </c>
      <c r="G4206" s="5" t="str">
        <f>HYPERLINK("https://dpmzos25m8ivg.cloudfront.net/Documentos/631/08875290709/6310887529070905092023113011.pdf","https://dpmzos25m8ivg.cloudfront.net/Documentos/631/08875290709/6310887529070905092023113011.pdf")</f>
        <v>https://dpmzos25m8ivg.cloudfront.net/Documentos/631/08875290709/6310887529070905092023113011.pdf</v>
      </c>
      <c r="H4206" s="5" t="s">
        <v>12781</v>
      </c>
    </row>
    <row r="4207" spans="1:8" x14ac:dyDescent="0.25">
      <c r="A4207" s="2" t="s">
        <v>4229</v>
      </c>
      <c r="B4207" s="19" t="s">
        <v>3385</v>
      </c>
      <c r="C4207" s="3"/>
      <c r="D4207" s="3"/>
      <c r="E4207" s="5" t="str">
        <f>HYPERLINK("https://dpmzos25m8ivg.cloudfront.net/Documentos/631/08878649961/6310887864996111092023122659.jpg","https://dpmzos25m8ivg.cloudfront.net/Documentos/631/08878649961/6310887864996111092023122659.jpg")</f>
        <v>https://dpmzos25m8ivg.cloudfront.net/Documentos/631/08878649961/6310887864996111092023122659.jpg</v>
      </c>
      <c r="F4207" s="5" t="str">
        <f>HYPERLINK("https://dpmzos25m8ivg.cloudfront.net/Documentos/631/08878649961/6310887864996111092023122709.jpg","https://dpmzos25m8ivg.cloudfront.net/Documentos/631/08878649961/6310887864996111092023122709.jpg")</f>
        <v>https://dpmzos25m8ivg.cloudfront.net/Documentos/631/08878649961/6310887864996111092023122709.jpg</v>
      </c>
      <c r="G4207" s="5" t="str">
        <f>HYPERLINK("https://dpmzos25m8ivg.cloudfront.net/Documentos/631/08878649961/6310887864996111092023122724.jpg","https://dpmzos25m8ivg.cloudfront.net/Documentos/631/08878649961/6310887864996111092023122724.jpg")</f>
        <v>https://dpmzos25m8ivg.cloudfront.net/Documentos/631/08878649961/6310887864996111092023122724.jpg</v>
      </c>
      <c r="H4207" s="5" t="s">
        <v>12782</v>
      </c>
    </row>
    <row r="4208" spans="1:8" x14ac:dyDescent="0.25">
      <c r="A4208" s="2" t="s">
        <v>4230</v>
      </c>
      <c r="B4208" s="3"/>
      <c r="C4208" s="3"/>
      <c r="D4208" s="3"/>
      <c r="E4208" s="5" t="str">
        <f>HYPERLINK("https://dpmzos25m8ivg.cloudfront.net/Documentos/631/08878718955/6310887871895513092023113946.pdf","https://dpmzos25m8ivg.cloudfront.net/Documentos/631/08878718955/6310887871895513092023113946.pdf")</f>
        <v>https://dpmzos25m8ivg.cloudfront.net/Documentos/631/08878718955/6310887871895513092023113946.pdf</v>
      </c>
      <c r="F4208" s="5" t="str">
        <f>HYPERLINK("https://dpmzos25m8ivg.cloudfront.net/Documentos/631/08878718955/6310887871895513092023113954.pdf","https://dpmzos25m8ivg.cloudfront.net/Documentos/631/08878718955/6310887871895513092023113954.pdf")</f>
        <v>https://dpmzos25m8ivg.cloudfront.net/Documentos/631/08878718955/6310887871895513092023113954.pdf</v>
      </c>
      <c r="G4208" s="5" t="str">
        <f>HYPERLINK("https://dpmzos25m8ivg.cloudfront.net/Documentos/631/08878718955/6310887871895513092023114003.pdf","https://dpmzos25m8ivg.cloudfront.net/Documentos/631/08878718955/6310887871895513092023114003.pdf")</f>
        <v>https://dpmzos25m8ivg.cloudfront.net/Documentos/631/08878718955/6310887871895513092023114003.pdf</v>
      </c>
      <c r="H4208" s="5" t="s">
        <v>12783</v>
      </c>
    </row>
    <row r="4209" spans="1:8" x14ac:dyDescent="0.25">
      <c r="A4209" s="2" t="s">
        <v>4231</v>
      </c>
      <c r="B4209" s="3" t="s">
        <v>42</v>
      </c>
      <c r="C4209" s="3"/>
      <c r="D4209" s="3"/>
      <c r="E4209" s="5" t="str">
        <f>HYPERLINK("https://dpmzos25m8ivg.cloudfront.net/Documentos/631/08880134426/6310888013442608092023152527.pdf","https://dpmzos25m8ivg.cloudfront.net/Documentos/631/08880134426/6310888013442608092023152527.pdf")</f>
        <v>https://dpmzos25m8ivg.cloudfront.net/Documentos/631/08880134426/6310888013442608092023152527.pdf</v>
      </c>
      <c r="F4209" s="5" t="str">
        <f>HYPERLINK("https://dpmzos25m8ivg.cloudfront.net/Documentos/631/08880134426/6310888013442608092023152828.pdf","https://dpmzos25m8ivg.cloudfront.net/Documentos/631/08880134426/6310888013442608092023152828.pdf")</f>
        <v>https://dpmzos25m8ivg.cloudfront.net/Documentos/631/08880134426/6310888013442608092023152828.pdf</v>
      </c>
      <c r="G4209" s="5" t="str">
        <f>HYPERLINK("https://dpmzos25m8ivg.cloudfront.net/Documentos/631/08880134426/6310888013442608092023152847.pdf","https://dpmzos25m8ivg.cloudfront.net/Documentos/631/08880134426/6310888013442608092023152847.pdf")</f>
        <v>https://dpmzos25m8ivg.cloudfront.net/Documentos/631/08880134426/6310888013442608092023152847.pdf</v>
      </c>
      <c r="H4209" s="5" t="s">
        <v>12784</v>
      </c>
    </row>
    <row r="4210" spans="1:8" x14ac:dyDescent="0.25">
      <c r="A4210" s="2" t="s">
        <v>4232</v>
      </c>
      <c r="B4210" s="3"/>
      <c r="C4210" s="3"/>
      <c r="D4210" s="3"/>
      <c r="E4210" s="5" t="str">
        <f>HYPERLINK("https://dpmzos25m8ivg.cloudfront.net/Documentos/631/08880333461/6310888033346106092023104753.pdf","https://dpmzos25m8ivg.cloudfront.net/Documentos/631/08880333461/6310888033346106092023104753.pdf")</f>
        <v>https://dpmzos25m8ivg.cloudfront.net/Documentos/631/08880333461/6310888033346106092023104753.pdf</v>
      </c>
      <c r="F4210" s="5" t="str">
        <f>HYPERLINK("https://dpmzos25m8ivg.cloudfront.net/Documentos/631/08880333461/6310888033346106092023104803.pdf","https://dpmzos25m8ivg.cloudfront.net/Documentos/631/08880333461/6310888033346106092023104803.pdf")</f>
        <v>https://dpmzos25m8ivg.cloudfront.net/Documentos/631/08880333461/6310888033346106092023104803.pdf</v>
      </c>
      <c r="G4210" s="5" t="str">
        <f>HYPERLINK("https://dpmzos25m8ivg.cloudfront.net/Documentos/631/08880333461/6310888033346106092023104813.pdf","https://dpmzos25m8ivg.cloudfront.net/Documentos/631/08880333461/6310888033346106092023104813.pdf")</f>
        <v>https://dpmzos25m8ivg.cloudfront.net/Documentos/631/08880333461/6310888033346106092023104813.pdf</v>
      </c>
      <c r="H4210" s="5" t="s">
        <v>12785</v>
      </c>
    </row>
    <row r="4211" spans="1:8" x14ac:dyDescent="0.25">
      <c r="A4211" s="2" t="s">
        <v>4233</v>
      </c>
      <c r="B4211" s="3"/>
      <c r="C4211" s="3"/>
      <c r="D4211" s="3"/>
      <c r="E4211" s="5" t="str">
        <f>HYPERLINK("https://dpmzos25m8ivg.cloudfront.net/Documentos/631/08890325720/6310889032572009092023235436.pdf","https://dpmzos25m8ivg.cloudfront.net/Documentos/631/08890325720/6310889032572009092023235436.pdf")</f>
        <v>https://dpmzos25m8ivg.cloudfront.net/Documentos/631/08890325720/6310889032572009092023235436.pdf</v>
      </c>
      <c r="F4211" s="5" t="str">
        <f>HYPERLINK("https://dpmzos25m8ivg.cloudfront.net/Documentos/631/08890325720/6310889032572009092023235450.pdf","https://dpmzos25m8ivg.cloudfront.net/Documentos/631/08890325720/6310889032572009092023235450.pdf")</f>
        <v>https://dpmzos25m8ivg.cloudfront.net/Documentos/631/08890325720/6310889032572009092023235450.pdf</v>
      </c>
      <c r="G4211" s="5" t="str">
        <f>HYPERLINK("https://dpmzos25m8ivg.cloudfront.net/Documentos/631/08890325720/6310889032572009092023235503.pdf","https://dpmzos25m8ivg.cloudfront.net/Documentos/631/08890325720/6310889032572009092023235503.pdf")</f>
        <v>https://dpmzos25m8ivg.cloudfront.net/Documentos/631/08890325720/6310889032572009092023235503.pdf</v>
      </c>
      <c r="H4211" s="5" t="s">
        <v>12786</v>
      </c>
    </row>
    <row r="4212" spans="1:8" x14ac:dyDescent="0.25">
      <c r="A4212" s="2" t="s">
        <v>4234</v>
      </c>
      <c r="B4212" s="19" t="s">
        <v>3385</v>
      </c>
      <c r="C4212" s="3"/>
      <c r="D4212" s="3"/>
      <c r="E4212" s="5" t="str">
        <f>HYPERLINK("https://dpmzos25m8ivg.cloudfront.net/Documentos/631/08891509906/6310889150990611092023145217.pdf","https://dpmzos25m8ivg.cloudfront.net/Documentos/631/08891509906/6310889150990611092023145217.pdf")</f>
        <v>https://dpmzos25m8ivg.cloudfront.net/Documentos/631/08891509906/6310889150990611092023145217.pdf</v>
      </c>
      <c r="F4212" s="5" t="str">
        <f>HYPERLINK("https://dpmzos25m8ivg.cloudfront.net/Documentos/631/08891509906/6310889150990611092023145230.pdf","https://dpmzos25m8ivg.cloudfront.net/Documentos/631/08891509906/6310889150990611092023145230.pdf")</f>
        <v>https://dpmzos25m8ivg.cloudfront.net/Documentos/631/08891509906/6310889150990611092023145230.pdf</v>
      </c>
      <c r="G4212" s="5" t="str">
        <f>HYPERLINK("https://dpmzos25m8ivg.cloudfront.net/Documentos/631/08891509906/6310889150990611092023145243.pdf","https://dpmzos25m8ivg.cloudfront.net/Documentos/631/08891509906/6310889150990611092023145243.pdf")</f>
        <v>https://dpmzos25m8ivg.cloudfront.net/Documentos/631/08891509906/6310889150990611092023145243.pdf</v>
      </c>
      <c r="H4212" s="5" t="s">
        <v>12787</v>
      </c>
    </row>
    <row r="4213" spans="1:8" x14ac:dyDescent="0.25">
      <c r="A4213" s="2" t="s">
        <v>4235</v>
      </c>
      <c r="B4213" s="19" t="s">
        <v>3385</v>
      </c>
      <c r="C4213" s="3"/>
      <c r="D4213" s="3"/>
      <c r="E4213" s="5" t="str">
        <f>HYPERLINK("https://dpmzos25m8ivg.cloudfront.net/Documentos/631/08897203558/6310889720355811092023152117.pdf","https://dpmzos25m8ivg.cloudfront.net/Documentos/631/08897203558/6310889720355811092023152117.pdf")</f>
        <v>https://dpmzos25m8ivg.cloudfront.net/Documentos/631/08897203558/6310889720355811092023152117.pdf</v>
      </c>
      <c r="F4213" s="5" t="str">
        <f>HYPERLINK("https://dpmzos25m8ivg.cloudfront.net/Documentos/631/08897203558/6310889720355811092023152151.pdf","https://dpmzos25m8ivg.cloudfront.net/Documentos/631/08897203558/6310889720355811092023152151.pdf")</f>
        <v>https://dpmzos25m8ivg.cloudfront.net/Documentos/631/08897203558/6310889720355811092023152151.pdf</v>
      </c>
      <c r="G4213" s="5" t="str">
        <f>HYPERLINK("https://dpmzos25m8ivg.cloudfront.net/Documentos/631/08897203558/6310889720355811092023152205.pdf","https://dpmzos25m8ivg.cloudfront.net/Documentos/631/08897203558/6310889720355811092023152205.pdf")</f>
        <v>https://dpmzos25m8ivg.cloudfront.net/Documentos/631/08897203558/6310889720355811092023152205.pdf</v>
      </c>
      <c r="H4213" s="5" t="s">
        <v>12788</v>
      </c>
    </row>
    <row r="4214" spans="1:8" x14ac:dyDescent="0.25">
      <c r="A4214" s="2" t="s">
        <v>4236</v>
      </c>
      <c r="B4214" s="3" t="s">
        <v>8</v>
      </c>
      <c r="C4214" s="3"/>
      <c r="D4214" s="3"/>
      <c r="E4214" s="5" t="str">
        <f>HYPERLINK("https://dpmzos25m8ivg.cloudfront.net/Documentos/631/08897868525/6310889786852511092023163555.pdf","https://dpmzos25m8ivg.cloudfront.net/Documentos/631/08897868525/6310889786852511092023163555.pdf")</f>
        <v>https://dpmzos25m8ivg.cloudfront.net/Documentos/631/08897868525/6310889786852511092023163555.pdf</v>
      </c>
      <c r="F4214" s="5" t="str">
        <f>HYPERLINK("https://dpmzos25m8ivg.cloudfront.net/Documentos/631/08897868525/6310889786852511092023163603.pdf","https://dpmzos25m8ivg.cloudfront.net/Documentos/631/08897868525/6310889786852511092023163603.pdf")</f>
        <v>https://dpmzos25m8ivg.cloudfront.net/Documentos/631/08897868525/6310889786852511092023163603.pdf</v>
      </c>
      <c r="G4214" s="5" t="str">
        <f>HYPERLINK("https://dpmzos25m8ivg.cloudfront.net/Documentos/631/08897868525/6310889786852511092023163611.pdf","https://dpmzos25m8ivg.cloudfront.net/Documentos/631/08897868525/6310889786852511092023163611.pdf")</f>
        <v>https://dpmzos25m8ivg.cloudfront.net/Documentos/631/08897868525/6310889786852511092023163611.pdf</v>
      </c>
      <c r="H4214" s="5" t="s">
        <v>12789</v>
      </c>
    </row>
    <row r="4215" spans="1:8" x14ac:dyDescent="0.25">
      <c r="A4215" s="2" t="s">
        <v>4237</v>
      </c>
      <c r="B4215" s="3"/>
      <c r="C4215" s="3"/>
      <c r="D4215" s="3"/>
      <c r="E4215" s="5" t="str">
        <f>HYPERLINK("https://dpmzos25m8ivg.cloudfront.net/Documentos/631/08897983464/6310889798346411092023122909.pdf","https://dpmzos25m8ivg.cloudfront.net/Documentos/631/08897983464/6310889798346411092023122909.pdf")</f>
        <v>https://dpmzos25m8ivg.cloudfront.net/Documentos/631/08897983464/6310889798346411092023122909.pdf</v>
      </c>
      <c r="F4215" s="5" t="str">
        <f>HYPERLINK("https://dpmzos25m8ivg.cloudfront.net/Documentos/631/08897983464/6310889798346411092023122936.pdf","https://dpmzos25m8ivg.cloudfront.net/Documentos/631/08897983464/6310889798346411092023122936.pdf")</f>
        <v>https://dpmzos25m8ivg.cloudfront.net/Documentos/631/08897983464/6310889798346411092023122936.pdf</v>
      </c>
      <c r="G4215" s="5" t="str">
        <f>HYPERLINK("https://dpmzos25m8ivg.cloudfront.net/Documentos/631/08897983464/6310889798346411092023123010.pdf","https://dpmzos25m8ivg.cloudfront.net/Documentos/631/08897983464/6310889798346411092023123010.pdf")</f>
        <v>https://dpmzos25m8ivg.cloudfront.net/Documentos/631/08897983464/6310889798346411092023123010.pdf</v>
      </c>
      <c r="H4215" s="5" t="s">
        <v>12790</v>
      </c>
    </row>
    <row r="4216" spans="1:8" x14ac:dyDescent="0.25">
      <c r="A4216" s="2" t="s">
        <v>4238</v>
      </c>
      <c r="B4216" s="3"/>
      <c r="C4216" s="3"/>
      <c r="D4216" s="3"/>
      <c r="E4216" s="5" t="str">
        <f>HYPERLINK("https://dpmzos25m8ivg.cloudfront.net/Documentos/631/08903663578/6310890366357811092023153821.pdf","https://dpmzos25m8ivg.cloudfront.net/Documentos/631/08903663578/6310890366357811092023153821.pdf")</f>
        <v>https://dpmzos25m8ivg.cloudfront.net/Documentos/631/08903663578/6310890366357811092023153821.pdf</v>
      </c>
      <c r="F4216" s="5" t="str">
        <f>HYPERLINK("https://dpmzos25m8ivg.cloudfront.net/Documentos/631/08903663578/6310890366357811092023153835.pdf","https://dpmzos25m8ivg.cloudfront.net/Documentos/631/08903663578/6310890366357811092023153835.pdf")</f>
        <v>https://dpmzos25m8ivg.cloudfront.net/Documentos/631/08903663578/6310890366357811092023153835.pdf</v>
      </c>
      <c r="G4216" s="5" t="str">
        <f>HYPERLINK("https://dpmzos25m8ivg.cloudfront.net/Documentos/631/08903663578/6310890366357811092023153850.pdf","https://dpmzos25m8ivg.cloudfront.net/Documentos/631/08903663578/6310890366357811092023153850.pdf")</f>
        <v>https://dpmzos25m8ivg.cloudfront.net/Documentos/631/08903663578/6310890366357811092023153850.pdf</v>
      </c>
      <c r="H4216" s="5" t="s">
        <v>12791</v>
      </c>
    </row>
    <row r="4217" spans="1:8" x14ac:dyDescent="0.25">
      <c r="A4217" s="2" t="s">
        <v>4239</v>
      </c>
      <c r="B4217" s="3"/>
      <c r="C4217" s="3"/>
      <c r="D4217" s="3"/>
      <c r="E4217" s="5" t="str">
        <f>HYPERLINK("https://dpmzos25m8ivg.cloudfront.net/Documentos/631/08906038712/6310890603871211092023134841.jpeg","https://dpmzos25m8ivg.cloudfront.net/Documentos/631/08906038712/6310890603871211092023134841.jpeg")</f>
        <v>https://dpmzos25m8ivg.cloudfront.net/Documentos/631/08906038712/6310890603871211092023134841.jpeg</v>
      </c>
      <c r="F4217" s="5" t="str">
        <f>HYPERLINK("https://dpmzos25m8ivg.cloudfront.net/Documentos/631/08906038712/6310890603871211092023134850.jpeg","https://dpmzos25m8ivg.cloudfront.net/Documentos/631/08906038712/6310890603871211092023134850.jpeg")</f>
        <v>https://dpmzos25m8ivg.cloudfront.net/Documentos/631/08906038712/6310890603871211092023134850.jpeg</v>
      </c>
      <c r="G4217" s="5" t="str">
        <f>HYPERLINK("https://dpmzos25m8ivg.cloudfront.net/Documentos/631/08906038712/6310890603871211092023134859.jpeg","https://dpmzos25m8ivg.cloudfront.net/Documentos/631/08906038712/6310890603871211092023134859.jpeg")</f>
        <v>https://dpmzos25m8ivg.cloudfront.net/Documentos/631/08906038712/6310890603871211092023134859.jpeg</v>
      </c>
      <c r="H4217" s="5" t="s">
        <v>12792</v>
      </c>
    </row>
    <row r="4218" spans="1:8" x14ac:dyDescent="0.25">
      <c r="A4218" s="2" t="s">
        <v>4240</v>
      </c>
      <c r="B4218" s="3"/>
      <c r="C4218" s="3"/>
      <c r="D4218" s="3"/>
      <c r="E4218" s="5" t="str">
        <f>HYPERLINK("https://dpmzos25m8ivg.cloudfront.net/Documentos/631/08907342598/6310890734259806092023163957.pdf","https://dpmzos25m8ivg.cloudfront.net/Documentos/631/08907342598/6310890734259806092023163957.pdf")</f>
        <v>https://dpmzos25m8ivg.cloudfront.net/Documentos/631/08907342598/6310890734259806092023163957.pdf</v>
      </c>
      <c r="F4218" s="5" t="str">
        <f>HYPERLINK("https://dpmzos25m8ivg.cloudfront.net/Documentos/631/08907342598/6310890734259806092023164016.pdf","https://dpmzos25m8ivg.cloudfront.net/Documentos/631/08907342598/6310890734259806092023164016.pdf")</f>
        <v>https://dpmzos25m8ivg.cloudfront.net/Documentos/631/08907342598/6310890734259806092023164016.pdf</v>
      </c>
      <c r="G4218" s="5" t="str">
        <f>HYPERLINK("https://dpmzos25m8ivg.cloudfront.net/Documentos/631/08907342598/6310890734259806092023164031.pdf","https://dpmzos25m8ivg.cloudfront.net/Documentos/631/08907342598/6310890734259806092023164031.pdf")</f>
        <v>https://dpmzos25m8ivg.cloudfront.net/Documentos/631/08907342598/6310890734259806092023164031.pdf</v>
      </c>
      <c r="H4218" s="5" t="s">
        <v>12793</v>
      </c>
    </row>
    <row r="4219" spans="1:8" x14ac:dyDescent="0.25">
      <c r="A4219" s="2" t="s">
        <v>4241</v>
      </c>
      <c r="B4219" s="3"/>
      <c r="C4219" s="3"/>
      <c r="D4219" s="3"/>
      <c r="E4219" s="5" t="str">
        <f>HYPERLINK("https://dpmzos25m8ivg.cloudfront.net/Documentos/631/08908947523/6310890894752306092023223112.pdf","https://dpmzos25m8ivg.cloudfront.net/Documentos/631/08908947523/6310890894752306092023223112.pdf")</f>
        <v>https://dpmzos25m8ivg.cloudfront.net/Documentos/631/08908947523/6310890894752306092023223112.pdf</v>
      </c>
      <c r="F4219" s="5" t="str">
        <f>HYPERLINK("https://dpmzos25m8ivg.cloudfront.net/Documentos/631/08908947523/6310890894752306092023223059.pdf","https://dpmzos25m8ivg.cloudfront.net/Documentos/631/08908947523/6310890894752306092023223059.pdf")</f>
        <v>https://dpmzos25m8ivg.cloudfront.net/Documentos/631/08908947523/6310890894752306092023223059.pdf</v>
      </c>
      <c r="G4219" s="5" t="str">
        <f>HYPERLINK("https://dpmzos25m8ivg.cloudfront.net/Documentos/631/08908947523/6310890894752306092023223022.pdf","https://dpmzos25m8ivg.cloudfront.net/Documentos/631/08908947523/6310890894752306092023223022.pdf")</f>
        <v>https://dpmzos25m8ivg.cloudfront.net/Documentos/631/08908947523/6310890894752306092023223022.pdf</v>
      </c>
      <c r="H4219" s="5" t="s">
        <v>12794</v>
      </c>
    </row>
    <row r="4220" spans="1:8" x14ac:dyDescent="0.25">
      <c r="A4220" s="2" t="s">
        <v>4242</v>
      </c>
      <c r="B4220" s="19" t="s">
        <v>3385</v>
      </c>
      <c r="C4220" s="3"/>
      <c r="D4220" s="3"/>
      <c r="E4220" s="5" t="str">
        <f>HYPERLINK("https://dpmzos25m8ivg.cloudfront.net/Documentos/631/08910638540/6310891063854011092023091832.jpeg","https://dpmzos25m8ivg.cloudfront.net/Documentos/631/08910638540/6310891063854011092023091832.jpeg")</f>
        <v>https://dpmzos25m8ivg.cloudfront.net/Documentos/631/08910638540/6310891063854011092023091832.jpeg</v>
      </c>
      <c r="F4220" s="5" t="str">
        <f>HYPERLINK("https://dpmzos25m8ivg.cloudfront.net/Documentos/631/08910638540/6310891063854011092023091846.jpeg","https://dpmzos25m8ivg.cloudfront.net/Documentos/631/08910638540/6310891063854011092023091846.jpeg")</f>
        <v>https://dpmzos25m8ivg.cloudfront.net/Documentos/631/08910638540/6310891063854011092023091846.jpeg</v>
      </c>
      <c r="G4220" s="5" t="str">
        <f>HYPERLINK("https://dpmzos25m8ivg.cloudfront.net/Documentos/631/08910638540/6310891063854011092023091900.jpeg","https://dpmzos25m8ivg.cloudfront.net/Documentos/631/08910638540/6310891063854011092023091900.jpeg")</f>
        <v>https://dpmzos25m8ivg.cloudfront.net/Documentos/631/08910638540/6310891063854011092023091900.jpeg</v>
      </c>
      <c r="H4220" s="5" t="s">
        <v>12795</v>
      </c>
    </row>
    <row r="4221" spans="1:8" x14ac:dyDescent="0.25">
      <c r="A4221" s="2" t="s">
        <v>4243</v>
      </c>
      <c r="B4221" s="3"/>
      <c r="C4221" s="3"/>
      <c r="D4221" s="3"/>
      <c r="E4221" s="5" t="str">
        <f>HYPERLINK("https://dpmzos25m8ivg.cloudfront.net/Documentos/631/08910843551/6310891084355108092023180003.pdf","https://dpmzos25m8ivg.cloudfront.net/Documentos/631/08910843551/6310891084355108092023180003.pdf")</f>
        <v>https://dpmzos25m8ivg.cloudfront.net/Documentos/631/08910843551/6310891084355108092023180003.pdf</v>
      </c>
      <c r="F4221" s="5" t="str">
        <f>HYPERLINK("https://dpmzos25m8ivg.cloudfront.net/Documentos/631/08910843551/6310891084355108092023180011.pdf","https://dpmzos25m8ivg.cloudfront.net/Documentos/631/08910843551/6310891084355108092023180011.pdf")</f>
        <v>https://dpmzos25m8ivg.cloudfront.net/Documentos/631/08910843551/6310891084355108092023180011.pdf</v>
      </c>
      <c r="G4221" s="5" t="str">
        <f>HYPERLINK("https://dpmzos25m8ivg.cloudfront.net/Documentos/631/08910843551/6310891084355108092023180029.pdf","https://dpmzos25m8ivg.cloudfront.net/Documentos/631/08910843551/6310891084355108092023180029.pdf")</f>
        <v>https://dpmzos25m8ivg.cloudfront.net/Documentos/631/08910843551/6310891084355108092023180029.pdf</v>
      </c>
      <c r="H4221" s="5" t="s">
        <v>12796</v>
      </c>
    </row>
    <row r="4222" spans="1:8" x14ac:dyDescent="0.25">
      <c r="A4222" s="2" t="s">
        <v>4244</v>
      </c>
      <c r="B4222" s="3" t="s">
        <v>42</v>
      </c>
      <c r="C4222" s="3"/>
      <c r="D4222" s="3"/>
      <c r="E4222" s="5" t="str">
        <f>HYPERLINK("https://dpmzos25m8ivg.cloudfront.net/Documentos/631/08911739944/6310891173994411092023151927.pdf","https://dpmzos25m8ivg.cloudfront.net/Documentos/631/08911739944/6310891173994411092023151927.pdf")</f>
        <v>https://dpmzos25m8ivg.cloudfront.net/Documentos/631/08911739944/6310891173994411092023151927.pdf</v>
      </c>
      <c r="F4222" s="5" t="str">
        <f>HYPERLINK("https://dpmzos25m8ivg.cloudfront.net/Documentos/631/08911739944/6310891173994411092023152053.pdf","https://dpmzos25m8ivg.cloudfront.net/Documentos/631/08911739944/6310891173994411092023152053.pdf")</f>
        <v>https://dpmzos25m8ivg.cloudfront.net/Documentos/631/08911739944/6310891173994411092023152053.pdf</v>
      </c>
      <c r="G4222" s="5" t="str">
        <f>HYPERLINK("https://dpmzos25m8ivg.cloudfront.net/Documentos/631/08911739944/6310891173994411092023153233.pdf","https://dpmzos25m8ivg.cloudfront.net/Documentos/631/08911739944/6310891173994411092023153233.pdf")</f>
        <v>https://dpmzos25m8ivg.cloudfront.net/Documentos/631/08911739944/6310891173994411092023153233.pdf</v>
      </c>
      <c r="H4222" s="5" t="s">
        <v>12797</v>
      </c>
    </row>
    <row r="4223" spans="1:8" x14ac:dyDescent="0.25">
      <c r="A4223" s="2" t="s">
        <v>4245</v>
      </c>
      <c r="B4223" s="3"/>
      <c r="C4223" s="3"/>
      <c r="D4223" s="3"/>
      <c r="E4223" s="5" t="str">
        <f>HYPERLINK("https://dpmzos25m8ivg.cloudfront.net/Documentos/631/08914035409/6310891403540914092023100034.pdf","https://dpmzos25m8ivg.cloudfront.net/Documentos/631/08914035409/6310891403540914092023100034.pdf")</f>
        <v>https://dpmzos25m8ivg.cloudfront.net/Documentos/631/08914035409/6310891403540914092023100034.pdf</v>
      </c>
      <c r="F4223" s="5" t="str">
        <f>HYPERLINK("https://dpmzos25m8ivg.cloudfront.net/Documentos/631/08914035409/6310891403540914092023100048.pdf","https://dpmzos25m8ivg.cloudfront.net/Documentos/631/08914035409/6310891403540914092023100048.pdf")</f>
        <v>https://dpmzos25m8ivg.cloudfront.net/Documentos/631/08914035409/6310891403540914092023100048.pdf</v>
      </c>
      <c r="G4223" s="5" t="str">
        <f>HYPERLINK("https://dpmzos25m8ivg.cloudfront.net/Documentos/631/08914035409/6310891403540914092023100110.pdf","https://dpmzos25m8ivg.cloudfront.net/Documentos/631/08914035409/6310891403540914092023100110.pdf")</f>
        <v>https://dpmzos25m8ivg.cloudfront.net/Documentos/631/08914035409/6310891403540914092023100110.pdf</v>
      </c>
      <c r="H4223" s="5" t="s">
        <v>12798</v>
      </c>
    </row>
    <row r="4224" spans="1:8" x14ac:dyDescent="0.25">
      <c r="A4224" s="2" t="s">
        <v>4246</v>
      </c>
      <c r="B4224" s="3"/>
      <c r="C4224" s="3"/>
      <c r="D4224" s="3"/>
      <c r="E4224" s="5" t="str">
        <f>HYPERLINK("https://dpmzos25m8ivg.cloudfront.net/Documentos/631/08917223435/6310891722343514092023123554.pdf","https://dpmzos25m8ivg.cloudfront.net/Documentos/631/08917223435/6310891722343514092023123554.pdf")</f>
        <v>https://dpmzos25m8ivg.cloudfront.net/Documentos/631/08917223435/6310891722343514092023123554.pdf</v>
      </c>
      <c r="F4224" s="5" t="str">
        <f>HYPERLINK("https://dpmzos25m8ivg.cloudfront.net/Documentos/631/08917223435/6310891722343514092023123607.pdf","https://dpmzos25m8ivg.cloudfront.net/Documentos/631/08917223435/6310891722343514092023123607.pdf")</f>
        <v>https://dpmzos25m8ivg.cloudfront.net/Documentos/631/08917223435/6310891722343514092023123607.pdf</v>
      </c>
      <c r="G4224" s="5" t="str">
        <f>HYPERLINK("https://dpmzos25m8ivg.cloudfront.net/Documentos/631/08917223435/6310891722343514092023123617.pdf","https://dpmzos25m8ivg.cloudfront.net/Documentos/631/08917223435/6310891722343514092023123617.pdf")</f>
        <v>https://dpmzos25m8ivg.cloudfront.net/Documentos/631/08917223435/6310891722343514092023123617.pdf</v>
      </c>
      <c r="H4224" s="5" t="s">
        <v>12799</v>
      </c>
    </row>
    <row r="4225" spans="1:8" x14ac:dyDescent="0.25">
      <c r="A4225" s="2" t="s">
        <v>4247</v>
      </c>
      <c r="B4225" s="3"/>
      <c r="C4225" s="3"/>
      <c r="D4225" s="3"/>
      <c r="E4225" s="5" t="str">
        <f>HYPERLINK("https://dpmzos25m8ivg.cloudfront.net/Documentos/631/08920051496/6310892005149611092023151709.pdf","https://dpmzos25m8ivg.cloudfront.net/Documentos/631/08920051496/6310892005149611092023151709.pdf")</f>
        <v>https://dpmzos25m8ivg.cloudfront.net/Documentos/631/08920051496/6310892005149611092023151709.pdf</v>
      </c>
      <c r="F4225" s="5" t="str">
        <f>HYPERLINK("https://dpmzos25m8ivg.cloudfront.net/Documentos/631/08920051496/6310892005149611092023151720.pdf","https://dpmzos25m8ivg.cloudfront.net/Documentos/631/08920051496/6310892005149611092023151720.pdf")</f>
        <v>https://dpmzos25m8ivg.cloudfront.net/Documentos/631/08920051496/6310892005149611092023151720.pdf</v>
      </c>
      <c r="G4225" s="5" t="str">
        <f>HYPERLINK("https://dpmzos25m8ivg.cloudfront.net/Documentos/631/08920051496/6310892005149611092023151729.pdf","https://dpmzos25m8ivg.cloudfront.net/Documentos/631/08920051496/6310892005149611092023151729.pdf")</f>
        <v>https://dpmzos25m8ivg.cloudfront.net/Documentos/631/08920051496/6310892005149611092023151729.pdf</v>
      </c>
      <c r="H4225" s="5" t="s">
        <v>12800</v>
      </c>
    </row>
    <row r="4226" spans="1:8" x14ac:dyDescent="0.25">
      <c r="A4226" s="2" t="s">
        <v>4248</v>
      </c>
      <c r="B4226" s="3"/>
      <c r="C4226" s="3"/>
      <c r="D4226" s="3"/>
      <c r="E4226" s="5" t="str">
        <f>HYPERLINK("https://dpmzos25m8ivg.cloudfront.net/Documentos/631/08920364354/6310892036435411092023111131.pdf","https://dpmzos25m8ivg.cloudfront.net/Documentos/631/08920364354/6310892036435411092023111131.pdf")</f>
        <v>https://dpmzos25m8ivg.cloudfront.net/Documentos/631/08920364354/6310892036435411092023111131.pdf</v>
      </c>
      <c r="F4226" s="5" t="str">
        <f>HYPERLINK("https://dpmzos25m8ivg.cloudfront.net/Documentos/631/08920364354/6310892036435411092023111141.pdf","https://dpmzos25m8ivg.cloudfront.net/Documentos/631/08920364354/6310892036435411092023111141.pdf")</f>
        <v>https://dpmzos25m8ivg.cloudfront.net/Documentos/631/08920364354/6310892036435411092023111141.pdf</v>
      </c>
      <c r="G4226" s="5" t="str">
        <f>HYPERLINK("https://dpmzos25m8ivg.cloudfront.net/Documentos/631/08920364354/6310892036435411092023111151.pdf","https://dpmzos25m8ivg.cloudfront.net/Documentos/631/08920364354/6310892036435411092023111151.pdf")</f>
        <v>https://dpmzos25m8ivg.cloudfront.net/Documentos/631/08920364354/6310892036435411092023111151.pdf</v>
      </c>
      <c r="H4226" s="5" t="s">
        <v>12801</v>
      </c>
    </row>
    <row r="4227" spans="1:8" x14ac:dyDescent="0.25">
      <c r="A4227" s="2" t="s">
        <v>4249</v>
      </c>
      <c r="B4227" s="3"/>
      <c r="C4227" s="3"/>
      <c r="D4227" s="3"/>
      <c r="E4227" s="5" t="str">
        <f>HYPERLINK("https://dpmzos25m8ivg.cloudfront.net/Documentos/631/08922619783/6310892261978305092023112116.pdf","https://dpmzos25m8ivg.cloudfront.net/Documentos/631/08922619783/6310892261978305092023112116.pdf")</f>
        <v>https://dpmzos25m8ivg.cloudfront.net/Documentos/631/08922619783/6310892261978305092023112116.pdf</v>
      </c>
      <c r="F4227" s="5" t="str">
        <f>HYPERLINK("https://dpmzos25m8ivg.cloudfront.net/Documentos/631/08922619783/6310892261978305092023112128.pdf","https://dpmzos25m8ivg.cloudfront.net/Documentos/631/08922619783/6310892261978305092023112128.pdf")</f>
        <v>https://dpmzos25m8ivg.cloudfront.net/Documentos/631/08922619783/6310892261978305092023112128.pdf</v>
      </c>
      <c r="G4227" s="5" t="str">
        <f>HYPERLINK("https://dpmzos25m8ivg.cloudfront.net/Documentos/631/08922619783/6310892261978305092023112139.pdf","https://dpmzos25m8ivg.cloudfront.net/Documentos/631/08922619783/6310892261978305092023112139.pdf")</f>
        <v>https://dpmzos25m8ivg.cloudfront.net/Documentos/631/08922619783/6310892261978305092023112139.pdf</v>
      </c>
      <c r="H4227" s="5" t="s">
        <v>12802</v>
      </c>
    </row>
    <row r="4228" spans="1:8" x14ac:dyDescent="0.25">
      <c r="A4228" s="2" t="s">
        <v>4250</v>
      </c>
      <c r="B4228" s="19"/>
      <c r="C4228" s="3"/>
      <c r="D4228" s="3"/>
      <c r="E4228" s="5" t="str">
        <f>HYPERLINK("https://dpmzos25m8ivg.cloudfront.net/Documentos/631/08928094348/6310892809434814092023150738.pdf","https://dpmzos25m8ivg.cloudfront.net/Documentos/631/08928094348/6310892809434814092023150738.pdf")</f>
        <v>https://dpmzos25m8ivg.cloudfront.net/Documentos/631/08928094348/6310892809434814092023150738.pdf</v>
      </c>
      <c r="F4228" s="5" t="str">
        <f>HYPERLINK("https://dpmzos25m8ivg.cloudfront.net/Documentos/631/08928094348/6310892809434814092023150750.pdf","https://dpmzos25m8ivg.cloudfront.net/Documentos/631/08928094348/6310892809434814092023150750.pdf")</f>
        <v>https://dpmzos25m8ivg.cloudfront.net/Documentos/631/08928094348/6310892809434814092023150750.pdf</v>
      </c>
      <c r="G4228" s="5" t="str">
        <f>HYPERLINK("https://dpmzos25m8ivg.cloudfront.net/Documentos/631/08928094348/6310892809434814092023150800.pdf","https://dpmzos25m8ivg.cloudfront.net/Documentos/631/08928094348/6310892809434814092023150800.pdf")</f>
        <v>https://dpmzos25m8ivg.cloudfront.net/Documentos/631/08928094348/6310892809434814092023150800.pdf</v>
      </c>
      <c r="H4228" s="5" t="s">
        <v>12803</v>
      </c>
    </row>
    <row r="4229" spans="1:8" x14ac:dyDescent="0.25">
      <c r="A4229" s="2" t="s">
        <v>4251</v>
      </c>
      <c r="B4229" s="3"/>
      <c r="C4229" s="3"/>
      <c r="D4229" s="3"/>
      <c r="E4229" s="5" t="str">
        <f>HYPERLINK("https://dpmzos25m8ivg.cloudfront.net/Documentos/631/08938535932/6310893853593213092023115412.pdf","https://dpmzos25m8ivg.cloudfront.net/Documentos/631/08938535932/6310893853593213092023115412.pdf")</f>
        <v>https://dpmzos25m8ivg.cloudfront.net/Documentos/631/08938535932/6310893853593213092023115412.pdf</v>
      </c>
      <c r="F4229" s="5" t="str">
        <f>HYPERLINK("https://dpmzos25m8ivg.cloudfront.net/Documentos/631/08938535932/6310893853593213092023115433.pdf","https://dpmzos25m8ivg.cloudfront.net/Documentos/631/08938535932/6310893853593213092023115433.pdf")</f>
        <v>https://dpmzos25m8ivg.cloudfront.net/Documentos/631/08938535932/6310893853593213092023115433.pdf</v>
      </c>
      <c r="G4229" s="5" t="str">
        <f>HYPERLINK("https://dpmzos25m8ivg.cloudfront.net/Documentos/631/08938535932/6310893853593213092023115541.pdf","https://dpmzos25m8ivg.cloudfront.net/Documentos/631/08938535932/6310893853593213092023115541.pdf")</f>
        <v>https://dpmzos25m8ivg.cloudfront.net/Documentos/631/08938535932/6310893853593213092023115541.pdf</v>
      </c>
      <c r="H4229" s="5" t="s">
        <v>12804</v>
      </c>
    </row>
    <row r="4230" spans="1:8" x14ac:dyDescent="0.25">
      <c r="A4230" s="2" t="s">
        <v>4252</v>
      </c>
      <c r="B4230" s="3"/>
      <c r="C4230" s="3"/>
      <c r="D4230" s="3"/>
      <c r="E4230" s="5" t="str">
        <f>HYPERLINK("https://dpmzos25m8ivg.cloudfront.net/Documentos/631/08944166935/6310894416693511092023124448.jpeg","https://dpmzos25m8ivg.cloudfront.net/Documentos/631/08944166935/6310894416693511092023124448.jpeg")</f>
        <v>https://dpmzos25m8ivg.cloudfront.net/Documentos/631/08944166935/6310894416693511092023124448.jpeg</v>
      </c>
      <c r="F4230" s="5" t="str">
        <f>HYPERLINK("https://dpmzos25m8ivg.cloudfront.net/Documentos/631/08944166935/6310894416693511092023124512.jpeg","https://dpmzos25m8ivg.cloudfront.net/Documentos/631/08944166935/6310894416693511092023124512.jpeg")</f>
        <v>https://dpmzos25m8ivg.cloudfront.net/Documentos/631/08944166935/6310894416693511092023124512.jpeg</v>
      </c>
      <c r="G4230" s="5" t="str">
        <f>HYPERLINK("https://dpmzos25m8ivg.cloudfront.net/Documentos/631/08944166935/6310894416693511092023124539.jpeg","https://dpmzos25m8ivg.cloudfront.net/Documentos/631/08944166935/6310894416693511092023124539.jpeg")</f>
        <v>https://dpmzos25m8ivg.cloudfront.net/Documentos/631/08944166935/6310894416693511092023124539.jpeg</v>
      </c>
      <c r="H4230" s="5" t="s">
        <v>12805</v>
      </c>
    </row>
    <row r="4231" spans="1:8" x14ac:dyDescent="0.25">
      <c r="A4231" s="2" t="s">
        <v>4253</v>
      </c>
      <c r="B4231" s="19" t="s">
        <v>3385</v>
      </c>
      <c r="C4231" s="3"/>
      <c r="D4231" s="3"/>
      <c r="E4231" s="5" t="str">
        <f>HYPERLINK("https://dpmzos25m8ivg.cloudfront.net/Documentos/631/08945358978/6310894535897811092023153722.pdf","https://dpmzos25m8ivg.cloudfront.net/Documentos/631/08945358978/6310894535897811092023153722.pdf")</f>
        <v>https://dpmzos25m8ivg.cloudfront.net/Documentos/631/08945358978/6310894535897811092023153722.pdf</v>
      </c>
      <c r="F4231" s="5" t="str">
        <f>HYPERLINK("https://dpmzos25m8ivg.cloudfront.net/Documentos/631/08945358978/6310894535897811092023153731.pdf","https://dpmzos25m8ivg.cloudfront.net/Documentos/631/08945358978/6310894535897811092023153731.pdf")</f>
        <v>https://dpmzos25m8ivg.cloudfront.net/Documentos/631/08945358978/6310894535897811092023153731.pdf</v>
      </c>
      <c r="G4231" s="5" t="str">
        <f>HYPERLINK("https://dpmzos25m8ivg.cloudfront.net/Documentos/631/08945358978/6310894535897811092023153742.pdf","https://dpmzos25m8ivg.cloudfront.net/Documentos/631/08945358978/6310894535897811092023153742.pdf")</f>
        <v>https://dpmzos25m8ivg.cloudfront.net/Documentos/631/08945358978/6310894535897811092023153742.pdf</v>
      </c>
      <c r="H4231" s="5" t="s">
        <v>12806</v>
      </c>
    </row>
    <row r="4232" spans="1:8" x14ac:dyDescent="0.25">
      <c r="A4232" s="2" t="s">
        <v>4254</v>
      </c>
      <c r="B4232" s="3" t="s">
        <v>8</v>
      </c>
      <c r="C4232" s="3"/>
      <c r="D4232" s="3"/>
      <c r="E4232" s="5" t="str">
        <f>HYPERLINK("https://dpmzos25m8ivg.cloudfront.net/Documentos/631/08947712485/6310894771248511092023140704.pdf","https://dpmzos25m8ivg.cloudfront.net/Documentos/631/08947712485/6310894771248511092023140704.pdf")</f>
        <v>https://dpmzos25m8ivg.cloudfront.net/Documentos/631/08947712485/6310894771248511092023140704.pdf</v>
      </c>
      <c r="F4232" s="5" t="str">
        <f>HYPERLINK("https://dpmzos25m8ivg.cloudfront.net/Documentos/631/08947712485/6310894771248511092023140713.pdf","https://dpmzos25m8ivg.cloudfront.net/Documentos/631/08947712485/6310894771248511092023140713.pdf")</f>
        <v>https://dpmzos25m8ivg.cloudfront.net/Documentos/631/08947712485/6310894771248511092023140713.pdf</v>
      </c>
      <c r="G4232" s="5" t="str">
        <f>HYPERLINK("https://dpmzos25m8ivg.cloudfront.net/Documentos/631/08947712485/6310894771248511092023140731.pdf","https://dpmzos25m8ivg.cloudfront.net/Documentos/631/08947712485/6310894771248511092023140731.pdf")</f>
        <v>https://dpmzos25m8ivg.cloudfront.net/Documentos/631/08947712485/6310894771248511092023140731.pdf</v>
      </c>
      <c r="H4232" s="5" t="s">
        <v>12807</v>
      </c>
    </row>
    <row r="4233" spans="1:8" x14ac:dyDescent="0.25">
      <c r="A4233" s="2" t="s">
        <v>4255</v>
      </c>
      <c r="B4233" s="3"/>
      <c r="C4233" s="3"/>
      <c r="D4233" s="3"/>
      <c r="E4233" s="5" t="str">
        <f>HYPERLINK("https://dpmzos25m8ivg.cloudfront.net/Documentos/631/08951666662/6310895166666211092023155943.jpg","https://dpmzos25m8ivg.cloudfront.net/Documentos/631/08951666662/6310895166666211092023155943.jpg")</f>
        <v>https://dpmzos25m8ivg.cloudfront.net/Documentos/631/08951666662/6310895166666211092023155943.jpg</v>
      </c>
      <c r="F4233" s="5" t="str">
        <f>HYPERLINK("https://dpmzos25m8ivg.cloudfront.net/Documentos/631/08951666662/6310895166666211092023160011.jpg","https://dpmzos25m8ivg.cloudfront.net/Documentos/631/08951666662/6310895166666211092023160011.jpg")</f>
        <v>https://dpmzos25m8ivg.cloudfront.net/Documentos/631/08951666662/6310895166666211092023160011.jpg</v>
      </c>
      <c r="G4233" s="5" t="str">
        <f>HYPERLINK("https://dpmzos25m8ivg.cloudfront.net/Documentos/631/08951666662/6310895166666211092023160033.jpg","https://dpmzos25m8ivg.cloudfront.net/Documentos/631/08951666662/6310895166666211092023160033.jpg")</f>
        <v>https://dpmzos25m8ivg.cloudfront.net/Documentos/631/08951666662/6310895166666211092023160033.jpg</v>
      </c>
      <c r="H4233" s="5" t="s">
        <v>12808</v>
      </c>
    </row>
    <row r="4234" spans="1:8" x14ac:dyDescent="0.25">
      <c r="A4234" s="2" t="s">
        <v>4256</v>
      </c>
      <c r="B4234" s="3" t="s">
        <v>42</v>
      </c>
      <c r="C4234" s="3"/>
      <c r="D4234" s="3"/>
      <c r="E4234" s="5" t="str">
        <f>HYPERLINK("https://dpmzos25m8ivg.cloudfront.net/Documentos/631/08957322540/6310895732254012092023172409.pdf","https://dpmzos25m8ivg.cloudfront.net/Documentos/631/08957322540/6310895732254012092023172409.pdf")</f>
        <v>https://dpmzos25m8ivg.cloudfront.net/Documentos/631/08957322540/6310895732254012092023172409.pdf</v>
      </c>
      <c r="F4234" s="5" t="str">
        <f>HYPERLINK("https://dpmzos25m8ivg.cloudfront.net/Documentos/631/08957322540/6310895732254012092023172423.pdf","https://dpmzos25m8ivg.cloudfront.net/Documentos/631/08957322540/6310895732254012092023172423.pdf")</f>
        <v>https://dpmzos25m8ivg.cloudfront.net/Documentos/631/08957322540/6310895732254012092023172423.pdf</v>
      </c>
      <c r="G4234" s="5" t="str">
        <f>HYPERLINK("https://dpmzos25m8ivg.cloudfront.net/Documentos/631/08957322540/6310895732254012092023172434.pdf","https://dpmzos25m8ivg.cloudfront.net/Documentos/631/08957322540/6310895732254012092023172434.pdf")</f>
        <v>https://dpmzos25m8ivg.cloudfront.net/Documentos/631/08957322540/6310895732254012092023172434.pdf</v>
      </c>
      <c r="H4234" s="5" t="s">
        <v>12809</v>
      </c>
    </row>
    <row r="4235" spans="1:8" x14ac:dyDescent="0.25">
      <c r="A4235" s="2" t="s">
        <v>4257</v>
      </c>
      <c r="B4235" s="3"/>
      <c r="C4235" s="3"/>
      <c r="D4235" s="3"/>
      <c r="E4235" s="5" t="str">
        <f>HYPERLINK("https://dpmzos25m8ivg.cloudfront.net/Documentos/631/08959335606/6310895933560611092023085802.jpeg","https://dpmzos25m8ivg.cloudfront.net/Documentos/631/08959335606/6310895933560611092023085802.jpeg")</f>
        <v>https://dpmzos25m8ivg.cloudfront.net/Documentos/631/08959335606/6310895933560611092023085802.jpeg</v>
      </c>
      <c r="F4235" s="5" t="str">
        <f>HYPERLINK("https://dpmzos25m8ivg.cloudfront.net/Documentos/631/08959335606/6310895933560611092023085812.jpeg","https://dpmzos25m8ivg.cloudfront.net/Documentos/631/08959335606/6310895933560611092023085812.jpeg")</f>
        <v>https://dpmzos25m8ivg.cloudfront.net/Documentos/631/08959335606/6310895933560611092023085812.jpeg</v>
      </c>
      <c r="G4235" s="5" t="str">
        <f>HYPERLINK("https://dpmzos25m8ivg.cloudfront.net/Documentos/631/08959335606/6310895933560611092023085826.jpeg","https://dpmzos25m8ivg.cloudfront.net/Documentos/631/08959335606/6310895933560611092023085826.jpeg")</f>
        <v>https://dpmzos25m8ivg.cloudfront.net/Documentos/631/08959335606/6310895933560611092023085826.jpeg</v>
      </c>
      <c r="H4235" s="5" t="s">
        <v>12810</v>
      </c>
    </row>
    <row r="4236" spans="1:8" x14ac:dyDescent="0.25">
      <c r="A4236" s="2" t="s">
        <v>4258</v>
      </c>
      <c r="B4236" s="3" t="s">
        <v>42</v>
      </c>
      <c r="C4236" s="3"/>
      <c r="D4236" s="3"/>
      <c r="E4236" s="5" t="str">
        <f>HYPERLINK("https://dpmzos25m8ivg.cloudfront.net/Documentos/631/08961746626/6310896174662609092023144105.pdf","https://dpmzos25m8ivg.cloudfront.net/Documentos/631/08961746626/6310896174662609092023144105.pdf")</f>
        <v>https://dpmzos25m8ivg.cloudfront.net/Documentos/631/08961746626/6310896174662609092023144105.pdf</v>
      </c>
      <c r="F4236" s="5" t="str">
        <f>HYPERLINK("https://dpmzos25m8ivg.cloudfront.net/Documentos/631/08961746626/6310896174662609092023144120.pdf","https://dpmzos25m8ivg.cloudfront.net/Documentos/631/08961746626/6310896174662609092023144120.pdf")</f>
        <v>https://dpmzos25m8ivg.cloudfront.net/Documentos/631/08961746626/6310896174662609092023144120.pdf</v>
      </c>
      <c r="G4236" s="5" t="str">
        <f>HYPERLINK("https://dpmzos25m8ivg.cloudfront.net/Documentos/631/08961746626/6310896174662609092023144134.pdf","https://dpmzos25m8ivg.cloudfront.net/Documentos/631/08961746626/6310896174662609092023144134.pdf")</f>
        <v>https://dpmzos25m8ivg.cloudfront.net/Documentos/631/08961746626/6310896174662609092023144134.pdf</v>
      </c>
      <c r="H4236" s="5" t="s">
        <v>12811</v>
      </c>
    </row>
    <row r="4237" spans="1:8" x14ac:dyDescent="0.25">
      <c r="A4237" s="2" t="s">
        <v>4259</v>
      </c>
      <c r="B4237" s="3"/>
      <c r="C4237" s="3"/>
      <c r="D4237" s="3"/>
      <c r="E4237" s="5" t="str">
        <f>HYPERLINK("https://dpmzos25m8ivg.cloudfront.net/Documentos/631/08962572583/6310896257258308092023210233.pdf","https://dpmzos25m8ivg.cloudfront.net/Documentos/631/08962572583/6310896257258308092023210233.pdf")</f>
        <v>https://dpmzos25m8ivg.cloudfront.net/Documentos/631/08962572583/6310896257258308092023210233.pdf</v>
      </c>
      <c r="F4237" s="5" t="str">
        <f>HYPERLINK("https://dpmzos25m8ivg.cloudfront.net/Documentos/631/08962572583/6310896257258308092023210242.pdf","https://dpmzos25m8ivg.cloudfront.net/Documentos/631/08962572583/6310896257258308092023210242.pdf")</f>
        <v>https://dpmzos25m8ivg.cloudfront.net/Documentos/631/08962572583/6310896257258308092023210242.pdf</v>
      </c>
      <c r="G4237" s="5" t="str">
        <f>HYPERLINK("https://dpmzos25m8ivg.cloudfront.net/Documentos/631/08962572583/6310896257258308092023210251.pdf","https://dpmzos25m8ivg.cloudfront.net/Documentos/631/08962572583/6310896257258308092023210251.pdf")</f>
        <v>https://dpmzos25m8ivg.cloudfront.net/Documentos/631/08962572583/6310896257258308092023210251.pdf</v>
      </c>
      <c r="H4237" s="5" t="s">
        <v>12812</v>
      </c>
    </row>
    <row r="4238" spans="1:8" x14ac:dyDescent="0.25">
      <c r="A4238" s="2" t="s">
        <v>4260</v>
      </c>
      <c r="B4238" s="3"/>
      <c r="C4238" s="3"/>
      <c r="D4238" s="3"/>
      <c r="E4238" s="5" t="str">
        <f>HYPERLINK("https://dpmzos25m8ivg.cloudfront.net/Documentos/631/08967363850/6310896736385013092023180800.pdf","https://dpmzos25m8ivg.cloudfront.net/Documentos/631/08967363850/6310896736385013092023180800.pdf")</f>
        <v>https://dpmzos25m8ivg.cloudfront.net/Documentos/631/08967363850/6310896736385013092023180800.pdf</v>
      </c>
      <c r="F4238" s="5" t="str">
        <f>HYPERLINK("https://dpmzos25m8ivg.cloudfront.net/Documentos/631/08967363850/6310896736385013092023181244.pdf","https://dpmzos25m8ivg.cloudfront.net/Documentos/631/08967363850/6310896736385013092023181244.pdf")</f>
        <v>https://dpmzos25m8ivg.cloudfront.net/Documentos/631/08967363850/6310896736385013092023181244.pdf</v>
      </c>
      <c r="G4238" s="5" t="str">
        <f>HYPERLINK("https://dpmzos25m8ivg.cloudfront.net/Documentos/631/08967363850/6310896736385013092023181710.pdf","https://dpmzos25m8ivg.cloudfront.net/Documentos/631/08967363850/6310896736385013092023181710.pdf")</f>
        <v>https://dpmzos25m8ivg.cloudfront.net/Documentos/631/08967363850/6310896736385013092023181710.pdf</v>
      </c>
      <c r="H4238" s="5" t="s">
        <v>12813</v>
      </c>
    </row>
    <row r="4239" spans="1:8" x14ac:dyDescent="0.25">
      <c r="A4239" s="2" t="s">
        <v>4261</v>
      </c>
      <c r="B4239" s="3"/>
      <c r="C4239" s="3"/>
      <c r="D4239" s="3"/>
      <c r="E4239" s="5" t="str">
        <f>HYPERLINK("https://dpmzos25m8ivg.cloudfront.net/Documentos/631/08970843493/6310897084349310092023152302.pdf","https://dpmzos25m8ivg.cloudfront.net/Documentos/631/08970843493/6310897084349310092023152302.pdf")</f>
        <v>https://dpmzos25m8ivg.cloudfront.net/Documentos/631/08970843493/6310897084349310092023152302.pdf</v>
      </c>
      <c r="F4239" s="5" t="str">
        <f>HYPERLINK("https://dpmzos25m8ivg.cloudfront.net/Documentos/631/08970843493/6310897084349310092023152318.pdf","https://dpmzos25m8ivg.cloudfront.net/Documentos/631/08970843493/6310897084349310092023152318.pdf")</f>
        <v>https://dpmzos25m8ivg.cloudfront.net/Documentos/631/08970843493/6310897084349310092023152318.pdf</v>
      </c>
      <c r="G4239" s="5" t="str">
        <f>HYPERLINK("https://dpmzos25m8ivg.cloudfront.net/Documentos/631/08970843493/6310897084349310092023152329.pdf","https://dpmzos25m8ivg.cloudfront.net/Documentos/631/08970843493/6310897084349310092023152329.pdf")</f>
        <v>https://dpmzos25m8ivg.cloudfront.net/Documentos/631/08970843493/6310897084349310092023152329.pdf</v>
      </c>
      <c r="H4239" s="5" t="s">
        <v>12814</v>
      </c>
    </row>
    <row r="4240" spans="1:8" x14ac:dyDescent="0.25">
      <c r="A4240" s="2" t="s">
        <v>4262</v>
      </c>
      <c r="B4240" s="3"/>
      <c r="C4240" s="3"/>
      <c r="D4240" s="3"/>
      <c r="E4240" s="5" t="str">
        <f>HYPERLINK("https://dpmzos25m8ivg.cloudfront.net/Documentos/631/08978595456/6310897859545606092023221746.pdf","https://dpmzos25m8ivg.cloudfront.net/Documentos/631/08978595456/6310897859545606092023221746.pdf")</f>
        <v>https://dpmzos25m8ivg.cloudfront.net/Documentos/631/08978595456/6310897859545606092023221746.pdf</v>
      </c>
      <c r="F4240" s="5" t="str">
        <f>HYPERLINK("https://dpmzos25m8ivg.cloudfront.net/Documentos/631/08978595456/6310897859545606092023221801.pdf","https://dpmzos25m8ivg.cloudfront.net/Documentos/631/08978595456/6310897859545606092023221801.pdf")</f>
        <v>https://dpmzos25m8ivg.cloudfront.net/Documentos/631/08978595456/6310897859545606092023221801.pdf</v>
      </c>
      <c r="G4240" s="5" t="str">
        <f>HYPERLINK("https://dpmzos25m8ivg.cloudfront.net/Documentos/631/08978595456/6310897859545606092023221817.pdf","https://dpmzos25m8ivg.cloudfront.net/Documentos/631/08978595456/6310897859545606092023221817.pdf")</f>
        <v>https://dpmzos25m8ivg.cloudfront.net/Documentos/631/08978595456/6310897859545606092023221817.pdf</v>
      </c>
      <c r="H4240" s="5" t="s">
        <v>12815</v>
      </c>
    </row>
    <row r="4241" spans="1:8" x14ac:dyDescent="0.25">
      <c r="A4241" s="2" t="s">
        <v>4263</v>
      </c>
      <c r="B4241" s="3"/>
      <c r="C4241" s="3"/>
      <c r="D4241" s="3"/>
      <c r="E4241" s="5" t="str">
        <f>HYPERLINK("https://dpmzos25m8ivg.cloudfront.net/Documentos/631/08980699719/6310898069971910092023102452.pdf","https://dpmzos25m8ivg.cloudfront.net/Documentos/631/08980699719/6310898069971910092023102452.pdf")</f>
        <v>https://dpmzos25m8ivg.cloudfront.net/Documentos/631/08980699719/6310898069971910092023102452.pdf</v>
      </c>
      <c r="F4241" s="5" t="str">
        <f>HYPERLINK("https://dpmzos25m8ivg.cloudfront.net/Documentos/631/08980699719/6310898069971910092023102504.pdf","https://dpmzos25m8ivg.cloudfront.net/Documentos/631/08980699719/6310898069971910092023102504.pdf")</f>
        <v>https://dpmzos25m8ivg.cloudfront.net/Documentos/631/08980699719/6310898069971910092023102504.pdf</v>
      </c>
      <c r="G4241" s="5" t="str">
        <f>HYPERLINK("https://dpmzos25m8ivg.cloudfront.net/Documentos/631/08980699719/6310898069971910092023102516.pdf","https://dpmzos25m8ivg.cloudfront.net/Documentos/631/08980699719/6310898069971910092023102516.pdf")</f>
        <v>https://dpmzos25m8ivg.cloudfront.net/Documentos/631/08980699719/6310898069971910092023102516.pdf</v>
      </c>
      <c r="H4241" s="5" t="s">
        <v>12816</v>
      </c>
    </row>
    <row r="4242" spans="1:8" x14ac:dyDescent="0.25">
      <c r="A4242" s="2" t="s">
        <v>4264</v>
      </c>
      <c r="B4242" s="3"/>
      <c r="C4242" s="3"/>
      <c r="D4242" s="3"/>
      <c r="E4242" s="5" t="str">
        <f>HYPERLINK("https://dpmzos25m8ivg.cloudfront.net/Documentos/631/08994792430/6310899479243005092023114304.jpg","https://dpmzos25m8ivg.cloudfront.net/Documentos/631/08994792430/6310899479243005092023114304.jpg")</f>
        <v>https://dpmzos25m8ivg.cloudfront.net/Documentos/631/08994792430/6310899479243005092023114304.jpg</v>
      </c>
      <c r="F4242" s="5" t="str">
        <f>HYPERLINK("https://dpmzos25m8ivg.cloudfront.net/Documentos/631/08994792430/6310899479243005092023114310.jpg","https://dpmzos25m8ivg.cloudfront.net/Documentos/631/08994792430/6310899479243005092023114310.jpg")</f>
        <v>https://dpmzos25m8ivg.cloudfront.net/Documentos/631/08994792430/6310899479243005092023114310.jpg</v>
      </c>
      <c r="G4242" s="5" t="str">
        <f>HYPERLINK("https://dpmzos25m8ivg.cloudfront.net/Documentos/631/08994792430/6310899479243005092023114317.jpg","https://dpmzos25m8ivg.cloudfront.net/Documentos/631/08994792430/6310899479243005092023114317.jpg")</f>
        <v>https://dpmzos25m8ivg.cloudfront.net/Documentos/631/08994792430/6310899479243005092023114317.jpg</v>
      </c>
      <c r="H4242" s="5" t="s">
        <v>12817</v>
      </c>
    </row>
    <row r="4243" spans="1:8" x14ac:dyDescent="0.25">
      <c r="A4243" s="2" t="s">
        <v>4265</v>
      </c>
      <c r="B4243" s="3"/>
      <c r="C4243" s="3"/>
      <c r="D4243" s="3"/>
      <c r="E4243" s="5" t="str">
        <f>HYPERLINK("https://dpmzos25m8ivg.cloudfront.net/Documentos/631/09001401430/6310900140143011092023144502.pdf","https://dpmzos25m8ivg.cloudfront.net/Documentos/631/09001401430/6310900140143011092023144502.pdf")</f>
        <v>https://dpmzos25m8ivg.cloudfront.net/Documentos/631/09001401430/6310900140143011092023144502.pdf</v>
      </c>
      <c r="F4243" s="5" t="str">
        <f>HYPERLINK("https://dpmzos25m8ivg.cloudfront.net/Documentos/631/09001401430/6310900140143011092023144542.pdf","https://dpmzos25m8ivg.cloudfront.net/Documentos/631/09001401430/6310900140143011092023144542.pdf")</f>
        <v>https://dpmzos25m8ivg.cloudfront.net/Documentos/631/09001401430/6310900140143011092023144542.pdf</v>
      </c>
      <c r="G4243" s="5" t="str">
        <f>HYPERLINK("https://dpmzos25m8ivg.cloudfront.net/Documentos/631/09001401430/6310900140143011092023144552.pdf","https://dpmzos25m8ivg.cloudfront.net/Documentos/631/09001401430/6310900140143011092023144552.pdf")</f>
        <v>https://dpmzos25m8ivg.cloudfront.net/Documentos/631/09001401430/6310900140143011092023144552.pdf</v>
      </c>
      <c r="H4243" s="5" t="s">
        <v>12818</v>
      </c>
    </row>
    <row r="4244" spans="1:8" x14ac:dyDescent="0.25">
      <c r="A4244" s="2" t="s">
        <v>4266</v>
      </c>
      <c r="B4244" s="3"/>
      <c r="C4244" s="3"/>
      <c r="D4244" s="3"/>
      <c r="E4244" s="5" t="str">
        <f>HYPERLINK("https://dpmzos25m8ivg.cloudfront.net/Documentos/631/09018295604/6310901829560410092023231304.pdf","https://dpmzos25m8ivg.cloudfront.net/Documentos/631/09018295604/6310901829560410092023231304.pdf")</f>
        <v>https://dpmzos25m8ivg.cloudfront.net/Documentos/631/09018295604/6310901829560410092023231304.pdf</v>
      </c>
      <c r="F4244" s="5" t="str">
        <f>HYPERLINK("https://dpmzos25m8ivg.cloudfront.net/Documentos/631/09018295604/6310901829560410092023231338.pdf","https://dpmzos25m8ivg.cloudfront.net/Documentos/631/09018295604/6310901829560410092023231338.pdf")</f>
        <v>https://dpmzos25m8ivg.cloudfront.net/Documentos/631/09018295604/6310901829560410092023231338.pdf</v>
      </c>
      <c r="G4244" s="5" t="str">
        <f>HYPERLINK("https://dpmzos25m8ivg.cloudfront.net/Documentos/631/09018295604/6310901829560410092023231355.pdf","https://dpmzos25m8ivg.cloudfront.net/Documentos/631/09018295604/6310901829560410092023231355.pdf")</f>
        <v>https://dpmzos25m8ivg.cloudfront.net/Documentos/631/09018295604/6310901829560410092023231355.pdf</v>
      </c>
      <c r="H4244" s="5" t="s">
        <v>12819</v>
      </c>
    </row>
    <row r="4245" spans="1:8" x14ac:dyDescent="0.25">
      <c r="A4245" s="2" t="s">
        <v>4267</v>
      </c>
      <c r="B4245" s="3" t="s">
        <v>42</v>
      </c>
      <c r="C4245" s="3"/>
      <c r="D4245" s="3"/>
      <c r="E4245" s="5" t="str">
        <f>HYPERLINK("https://dpmzos25m8ivg.cloudfront.net/Documentos/631/09034302903/6310903430290311092023162445.jpg","https://dpmzos25m8ivg.cloudfront.net/Documentos/631/09034302903/6310903430290311092023162445.jpg")</f>
        <v>https://dpmzos25m8ivg.cloudfront.net/Documentos/631/09034302903/6310903430290311092023162445.jpg</v>
      </c>
      <c r="F4245" s="5" t="str">
        <f>HYPERLINK("https://dpmzos25m8ivg.cloudfront.net/Documentos/631/09034302903/6310903430290311092023162456.jpg","https://dpmzos25m8ivg.cloudfront.net/Documentos/631/09034302903/6310903430290311092023162456.jpg")</f>
        <v>https://dpmzos25m8ivg.cloudfront.net/Documentos/631/09034302903/6310903430290311092023162456.jpg</v>
      </c>
      <c r="G4245" s="5" t="str">
        <f>HYPERLINK("https://dpmzos25m8ivg.cloudfront.net/Documentos/631/09034302903/6310903430290311092023162508.jpg","https://dpmzos25m8ivg.cloudfront.net/Documentos/631/09034302903/6310903430290311092023162508.jpg")</f>
        <v>https://dpmzos25m8ivg.cloudfront.net/Documentos/631/09034302903/6310903430290311092023162508.jpg</v>
      </c>
      <c r="H4245" s="5" t="s">
        <v>12820</v>
      </c>
    </row>
    <row r="4246" spans="1:8" x14ac:dyDescent="0.25">
      <c r="A4246" s="2" t="s">
        <v>4268</v>
      </c>
      <c r="B4246" s="3" t="s">
        <v>42</v>
      </c>
      <c r="C4246" s="3"/>
      <c r="D4246" s="3"/>
      <c r="E4246" s="5" t="str">
        <f>HYPERLINK("https://dpmzos25m8ivg.cloudfront.net/Documentos/631/09034842690/6310903484269011092023135603.pdf","https://dpmzos25m8ivg.cloudfront.net/Documentos/631/09034842690/6310903484269011092023135603.pdf")</f>
        <v>https://dpmzos25m8ivg.cloudfront.net/Documentos/631/09034842690/6310903484269011092023135603.pdf</v>
      </c>
      <c r="F4246" s="5" t="str">
        <f>HYPERLINK("https://dpmzos25m8ivg.cloudfront.net/Documentos/631/09034842690/6310903484269011092023135619.pdf","https://dpmzos25m8ivg.cloudfront.net/Documentos/631/09034842690/6310903484269011092023135619.pdf")</f>
        <v>https://dpmzos25m8ivg.cloudfront.net/Documentos/631/09034842690/6310903484269011092023135619.pdf</v>
      </c>
      <c r="G4246" s="5" t="str">
        <f>HYPERLINK("https://dpmzos25m8ivg.cloudfront.net/Documentos/631/09034842690/6310903484269011092023135632.pdf","https://dpmzos25m8ivg.cloudfront.net/Documentos/631/09034842690/6310903484269011092023135632.pdf")</f>
        <v>https://dpmzos25m8ivg.cloudfront.net/Documentos/631/09034842690/6310903484269011092023135632.pdf</v>
      </c>
      <c r="H4246" s="5" t="s">
        <v>12821</v>
      </c>
    </row>
    <row r="4247" spans="1:8" x14ac:dyDescent="0.25">
      <c r="A4247" s="2" t="s">
        <v>4269</v>
      </c>
      <c r="B4247" s="3" t="s">
        <v>90</v>
      </c>
      <c r="C4247" s="3"/>
      <c r="D4247" s="3"/>
      <c r="E4247" s="5" t="str">
        <f>HYPERLINK("https://dpmzos25m8ivg.cloudfront.net/Documentos/631/09035323793/6310903532379307092023191733.pdf","https://dpmzos25m8ivg.cloudfront.net/Documentos/631/09035323793/6310903532379307092023191733.pdf")</f>
        <v>https://dpmzos25m8ivg.cloudfront.net/Documentos/631/09035323793/6310903532379307092023191733.pdf</v>
      </c>
      <c r="F4247" s="5" t="str">
        <f>HYPERLINK("https://dpmzos25m8ivg.cloudfront.net/Documentos/631/09035323793/6310903532379307092023191809.pdf","https://dpmzos25m8ivg.cloudfront.net/Documentos/631/09035323793/6310903532379307092023191809.pdf")</f>
        <v>https://dpmzos25m8ivg.cloudfront.net/Documentos/631/09035323793/6310903532379307092023191809.pdf</v>
      </c>
      <c r="G4247" s="5" t="str">
        <f>HYPERLINK("https://dpmzos25m8ivg.cloudfront.net/Documentos/631/09035323793/6310903532379307092023191830.pdf","https://dpmzos25m8ivg.cloudfront.net/Documentos/631/09035323793/6310903532379307092023191830.pdf")</f>
        <v>https://dpmzos25m8ivg.cloudfront.net/Documentos/631/09035323793/6310903532379307092023191830.pdf</v>
      </c>
      <c r="H4247" s="5" t="s">
        <v>12822</v>
      </c>
    </row>
    <row r="4248" spans="1:8" x14ac:dyDescent="0.25">
      <c r="A4248" s="2" t="s">
        <v>4270</v>
      </c>
      <c r="B4248" s="3"/>
      <c r="C4248" s="3"/>
      <c r="D4248" s="3"/>
      <c r="E4248" s="5" t="str">
        <f>HYPERLINK("https://dpmzos25m8ivg.cloudfront.net/Documentos/631/09035554418/6310903555441809092023185244.pdf","https://dpmzos25m8ivg.cloudfront.net/Documentos/631/09035554418/6310903555441809092023185244.pdf")</f>
        <v>https://dpmzos25m8ivg.cloudfront.net/Documentos/631/09035554418/6310903555441809092023185244.pdf</v>
      </c>
      <c r="F4248" s="5" t="str">
        <f>HYPERLINK("https://dpmzos25m8ivg.cloudfront.net/Documentos/631/09035554418/6310903555441809092023185257.pdf","https://dpmzos25m8ivg.cloudfront.net/Documentos/631/09035554418/6310903555441809092023185257.pdf")</f>
        <v>https://dpmzos25m8ivg.cloudfront.net/Documentos/631/09035554418/6310903555441809092023185257.pdf</v>
      </c>
      <c r="G4248" s="5" t="str">
        <f>HYPERLINK("https://dpmzos25m8ivg.cloudfront.net/Documentos/631/09035554418/6310903555441809092023185316.pdf","https://dpmzos25m8ivg.cloudfront.net/Documentos/631/09035554418/6310903555441809092023185316.pdf")</f>
        <v>https://dpmzos25m8ivg.cloudfront.net/Documentos/631/09035554418/6310903555441809092023185316.pdf</v>
      </c>
      <c r="H4248" s="5" t="s">
        <v>12823</v>
      </c>
    </row>
    <row r="4249" spans="1:8" x14ac:dyDescent="0.25">
      <c r="A4249" s="2" t="s">
        <v>4271</v>
      </c>
      <c r="B4249" s="3"/>
      <c r="C4249" s="3"/>
      <c r="D4249" s="3"/>
      <c r="E4249" s="5" t="str">
        <f>HYPERLINK("https://dpmzos25m8ivg.cloudfront.net/Documentos/631/09048826837/6310904882683709092023131307.pdf","https://dpmzos25m8ivg.cloudfront.net/Documentos/631/09048826837/6310904882683709092023131307.pdf")</f>
        <v>https://dpmzos25m8ivg.cloudfront.net/Documentos/631/09048826837/6310904882683709092023131307.pdf</v>
      </c>
      <c r="F4249" s="5" t="str">
        <f>HYPERLINK("https://dpmzos25m8ivg.cloudfront.net/Documentos/631/09048826837/6310904882683709092023131355.pdf","https://dpmzos25m8ivg.cloudfront.net/Documentos/631/09048826837/6310904882683709092023131355.pdf")</f>
        <v>https://dpmzos25m8ivg.cloudfront.net/Documentos/631/09048826837/6310904882683709092023131355.pdf</v>
      </c>
      <c r="G4249" s="5" t="str">
        <f>HYPERLINK("https://dpmzos25m8ivg.cloudfront.net/Documentos/631/09048826837/6310904882683709092023131413.pdf","https://dpmzos25m8ivg.cloudfront.net/Documentos/631/09048826837/6310904882683709092023131413.pdf")</f>
        <v>https://dpmzos25m8ivg.cloudfront.net/Documentos/631/09048826837/6310904882683709092023131413.pdf</v>
      </c>
      <c r="H4249" s="5" t="s">
        <v>12824</v>
      </c>
    </row>
    <row r="4250" spans="1:8" x14ac:dyDescent="0.25">
      <c r="A4250" s="2" t="s">
        <v>4272</v>
      </c>
      <c r="B4250" s="3"/>
      <c r="C4250" s="3"/>
      <c r="D4250" s="3"/>
      <c r="E4250" s="5" t="str">
        <f>HYPERLINK("https://dpmzos25m8ivg.cloudfront.net/Documentos/631/09058691683/6310905869168305092023110605.pdf","https://dpmzos25m8ivg.cloudfront.net/Documentos/631/09058691683/6310905869168305092023110605.pdf")</f>
        <v>https://dpmzos25m8ivg.cloudfront.net/Documentos/631/09058691683/6310905869168305092023110605.pdf</v>
      </c>
      <c r="F4250" s="5" t="str">
        <f>HYPERLINK("https://dpmzos25m8ivg.cloudfront.net/Documentos/631/09058691683/6310905869168305092023110633.pdf","https://dpmzos25m8ivg.cloudfront.net/Documentos/631/09058691683/6310905869168305092023110633.pdf")</f>
        <v>https://dpmzos25m8ivg.cloudfront.net/Documentos/631/09058691683/6310905869168305092023110633.pdf</v>
      </c>
      <c r="G4250" s="5" t="str">
        <f>HYPERLINK("https://dpmzos25m8ivg.cloudfront.net/Documentos/631/09058691683/6310905869168305092023110646.pdf","https://dpmzos25m8ivg.cloudfront.net/Documentos/631/09058691683/6310905869168305092023110646.pdf")</f>
        <v>https://dpmzos25m8ivg.cloudfront.net/Documentos/631/09058691683/6310905869168305092023110646.pdf</v>
      </c>
      <c r="H4250" s="5" t="s">
        <v>12825</v>
      </c>
    </row>
    <row r="4251" spans="1:8" x14ac:dyDescent="0.25">
      <c r="A4251" s="2" t="s">
        <v>4273</v>
      </c>
      <c r="B4251" s="3" t="s">
        <v>42</v>
      </c>
      <c r="C4251" s="3"/>
      <c r="D4251" s="3"/>
      <c r="E4251" s="5" t="str">
        <f>HYPERLINK("https://dpmzos25m8ivg.cloudfront.net/Documentos/631/09068544403/6310906854440314092023094704.jpg","https://dpmzos25m8ivg.cloudfront.net/Documentos/631/09068544403/6310906854440314092023094704.jpg")</f>
        <v>https://dpmzos25m8ivg.cloudfront.net/Documentos/631/09068544403/6310906854440314092023094704.jpg</v>
      </c>
      <c r="F4251" s="5" t="str">
        <f>HYPERLINK("https://dpmzos25m8ivg.cloudfront.net/Documentos/631/09068544403/6310906854440314092023094647.jpg","https://dpmzos25m8ivg.cloudfront.net/Documentos/631/09068544403/6310906854440314092023094647.jpg")</f>
        <v>https://dpmzos25m8ivg.cloudfront.net/Documentos/631/09068544403/6310906854440314092023094647.jpg</v>
      </c>
      <c r="G4251" s="5" t="str">
        <f>HYPERLINK("https://dpmzos25m8ivg.cloudfront.net/Documentos/631/09068544403/6310906854440314092023094637.jpg","https://dpmzos25m8ivg.cloudfront.net/Documentos/631/09068544403/6310906854440314092023094637.jpg")</f>
        <v>https://dpmzos25m8ivg.cloudfront.net/Documentos/631/09068544403/6310906854440314092023094637.jpg</v>
      </c>
      <c r="H4251" s="5" t="s">
        <v>12826</v>
      </c>
    </row>
    <row r="4252" spans="1:8" x14ac:dyDescent="0.25">
      <c r="A4252" s="2" t="s">
        <v>4274</v>
      </c>
      <c r="B4252" s="3" t="s">
        <v>42</v>
      </c>
      <c r="C4252" s="3"/>
      <c r="D4252" s="3"/>
      <c r="E4252" s="5" t="str">
        <f>HYPERLINK("https://dpmzos25m8ivg.cloudfront.net/Documentos/631/09071351882/6310907135188210092023144103.pdf","https://dpmzos25m8ivg.cloudfront.net/Documentos/631/09071351882/6310907135188210092023144103.pdf")</f>
        <v>https://dpmzos25m8ivg.cloudfront.net/Documentos/631/09071351882/6310907135188210092023144103.pdf</v>
      </c>
      <c r="F4252" s="5" t="str">
        <f>HYPERLINK("https://dpmzos25m8ivg.cloudfront.net/Documentos/631/09071351882/6310907135188210092023152022.pdf","https://dpmzos25m8ivg.cloudfront.net/Documentos/631/09071351882/6310907135188210092023152022.pdf")</f>
        <v>https://dpmzos25m8ivg.cloudfront.net/Documentos/631/09071351882/6310907135188210092023152022.pdf</v>
      </c>
      <c r="G4252" s="5" t="str">
        <f>HYPERLINK("https://dpmzos25m8ivg.cloudfront.net/Documentos/631/09071351882/6310907135188210092023152033.pdf","https://dpmzos25m8ivg.cloudfront.net/Documentos/631/09071351882/6310907135188210092023152033.pdf")</f>
        <v>https://dpmzos25m8ivg.cloudfront.net/Documentos/631/09071351882/6310907135188210092023152033.pdf</v>
      </c>
      <c r="H4252" s="5" t="s">
        <v>12827</v>
      </c>
    </row>
    <row r="4253" spans="1:8" x14ac:dyDescent="0.25">
      <c r="A4253" s="2" t="s">
        <v>4275</v>
      </c>
      <c r="B4253" s="3"/>
      <c r="C4253" s="3"/>
      <c r="D4253" s="3"/>
      <c r="E4253" s="5" t="str">
        <f>HYPERLINK("https://dpmzos25m8ivg.cloudfront.net/Documentos/631/09075843739/6310907584373907092023083550.jpg","https://dpmzos25m8ivg.cloudfront.net/Documentos/631/09075843739/6310907584373907092023083550.jpg")</f>
        <v>https://dpmzos25m8ivg.cloudfront.net/Documentos/631/09075843739/6310907584373907092023083550.jpg</v>
      </c>
      <c r="F4253" s="5" t="str">
        <f>HYPERLINK("https://dpmzos25m8ivg.cloudfront.net/Documentos/631/09075843739/6310907584373907092023083616.jpg","https://dpmzos25m8ivg.cloudfront.net/Documentos/631/09075843739/6310907584373907092023083616.jpg")</f>
        <v>https://dpmzos25m8ivg.cloudfront.net/Documentos/631/09075843739/6310907584373907092023083616.jpg</v>
      </c>
      <c r="G4253" s="5" t="str">
        <f>HYPERLINK("https://dpmzos25m8ivg.cloudfront.net/Documentos/631/09075843739/6310907584373907092023083631.jpg","https://dpmzos25m8ivg.cloudfront.net/Documentos/631/09075843739/6310907584373907092023083631.jpg")</f>
        <v>https://dpmzos25m8ivg.cloudfront.net/Documentos/631/09075843739/6310907584373907092023083631.jpg</v>
      </c>
      <c r="H4253" s="5" t="s">
        <v>12828</v>
      </c>
    </row>
    <row r="4254" spans="1:8" x14ac:dyDescent="0.25">
      <c r="A4254" s="2" t="s">
        <v>4276</v>
      </c>
      <c r="B4254" s="19" t="s">
        <v>3385</v>
      </c>
      <c r="C4254" s="3"/>
      <c r="D4254" s="3"/>
      <c r="E4254" s="5" t="str">
        <f>HYPERLINK("https://dpmzos25m8ivg.cloudfront.net/Documentos/631/09081426923/6310908142692311092023131522.pdf","https://dpmzos25m8ivg.cloudfront.net/Documentos/631/09081426923/6310908142692311092023131522.pdf")</f>
        <v>https://dpmzos25m8ivg.cloudfront.net/Documentos/631/09081426923/6310908142692311092023131522.pdf</v>
      </c>
      <c r="F4254" s="5" t="str">
        <f>HYPERLINK("https://dpmzos25m8ivg.cloudfront.net/Documentos/631/09081426923/6310908142692311092023131546.pdf","https://dpmzos25m8ivg.cloudfront.net/Documentos/631/09081426923/6310908142692311092023131546.pdf")</f>
        <v>https://dpmzos25m8ivg.cloudfront.net/Documentos/631/09081426923/6310908142692311092023131546.pdf</v>
      </c>
      <c r="G4254" s="5" t="str">
        <f>HYPERLINK("https://dpmzos25m8ivg.cloudfront.net/Documentos/631/09081426923/6310908142692311092023131553.pdf","https://dpmzos25m8ivg.cloudfront.net/Documentos/631/09081426923/6310908142692311092023131553.pdf")</f>
        <v>https://dpmzos25m8ivg.cloudfront.net/Documentos/631/09081426923/6310908142692311092023131553.pdf</v>
      </c>
      <c r="H4254" s="5" t="s">
        <v>12829</v>
      </c>
    </row>
    <row r="4255" spans="1:8" x14ac:dyDescent="0.25">
      <c r="A4255" s="2" t="s">
        <v>4277</v>
      </c>
      <c r="B4255" s="3"/>
      <c r="C4255" s="3"/>
      <c r="D4255" s="3"/>
      <c r="E4255" s="5" t="str">
        <f>HYPERLINK("https://dpmzos25m8ivg.cloudfront.net/Documentos/631/09090475966/6310909047596613092023151105.pdf","https://dpmzos25m8ivg.cloudfront.net/Documentos/631/09090475966/6310909047596613092023151105.pdf")</f>
        <v>https://dpmzos25m8ivg.cloudfront.net/Documentos/631/09090475966/6310909047596613092023151105.pdf</v>
      </c>
      <c r="F4255" s="5" t="str">
        <f>HYPERLINK("https://dpmzos25m8ivg.cloudfront.net/Documentos/631/09090475966/6310909047596613092023151115.pdf","https://dpmzos25m8ivg.cloudfront.net/Documentos/631/09090475966/6310909047596613092023151115.pdf")</f>
        <v>https://dpmzos25m8ivg.cloudfront.net/Documentos/631/09090475966/6310909047596613092023151115.pdf</v>
      </c>
      <c r="G4255" s="5" t="str">
        <f>HYPERLINK("https://dpmzos25m8ivg.cloudfront.net/Documentos/631/09090475966/6310909047596613092023151123.pdf","https://dpmzos25m8ivg.cloudfront.net/Documentos/631/09090475966/6310909047596613092023151123.pdf")</f>
        <v>https://dpmzos25m8ivg.cloudfront.net/Documentos/631/09090475966/6310909047596613092023151123.pdf</v>
      </c>
      <c r="H4255" s="5" t="s">
        <v>12830</v>
      </c>
    </row>
    <row r="4256" spans="1:8" x14ac:dyDescent="0.25">
      <c r="A4256" s="2" t="s">
        <v>4278</v>
      </c>
      <c r="B4256" s="3" t="s">
        <v>8</v>
      </c>
      <c r="C4256" s="3"/>
      <c r="D4256" s="3"/>
      <c r="E4256" s="5" t="str">
        <f>HYPERLINK("https://dpmzos25m8ivg.cloudfront.net/Documentos/631/09092716740/6310909271674014092023124341.jpg","https://dpmzos25m8ivg.cloudfront.net/Documentos/631/09092716740/6310909271674014092023124341.jpg")</f>
        <v>https://dpmzos25m8ivg.cloudfront.net/Documentos/631/09092716740/6310909271674014092023124341.jpg</v>
      </c>
      <c r="F4256" s="5" t="str">
        <f>HYPERLINK("https://dpmzos25m8ivg.cloudfront.net/Documentos/631/09092716740/6310909271674014092023124416.jpg","https://dpmzos25m8ivg.cloudfront.net/Documentos/631/09092716740/6310909271674014092023124416.jpg")</f>
        <v>https://dpmzos25m8ivg.cloudfront.net/Documentos/631/09092716740/6310909271674014092023124416.jpg</v>
      </c>
      <c r="G4256" s="5" t="str">
        <f>HYPERLINK("https://dpmzos25m8ivg.cloudfront.net/Documentos/631/09092716740/6310909271674014092023124439.jpg","https://dpmzos25m8ivg.cloudfront.net/Documentos/631/09092716740/6310909271674014092023124439.jpg")</f>
        <v>https://dpmzos25m8ivg.cloudfront.net/Documentos/631/09092716740/6310909271674014092023124439.jpg</v>
      </c>
      <c r="H4256" s="5" t="s">
        <v>12831</v>
      </c>
    </row>
    <row r="4257" spans="1:8" x14ac:dyDescent="0.25">
      <c r="A4257" s="2" t="s">
        <v>4279</v>
      </c>
      <c r="B4257" s="3" t="s">
        <v>8</v>
      </c>
      <c r="C4257" s="3"/>
      <c r="D4257" s="3"/>
      <c r="E4257" s="5" t="str">
        <f>HYPERLINK("https://dpmzos25m8ivg.cloudfront.net/Documentos/631/09093377647/6310909337764709092023203231.pdf","https://dpmzos25m8ivg.cloudfront.net/Documentos/631/09093377647/6310909337764709092023203231.pdf")</f>
        <v>https://dpmzos25m8ivg.cloudfront.net/Documentos/631/09093377647/6310909337764709092023203231.pdf</v>
      </c>
      <c r="F4257" s="5" t="str">
        <f>HYPERLINK("https://dpmzos25m8ivg.cloudfront.net/Documentos/631/09093377647/6310909337764709092023203324.pdf","https://dpmzos25m8ivg.cloudfront.net/Documentos/631/09093377647/6310909337764709092023203324.pdf")</f>
        <v>https://dpmzos25m8ivg.cloudfront.net/Documentos/631/09093377647/6310909337764709092023203324.pdf</v>
      </c>
      <c r="G4257" s="5" t="str">
        <f>HYPERLINK("https://dpmzos25m8ivg.cloudfront.net/Documentos/631/09093377647/6310909337764709092023203346.pdf","https://dpmzos25m8ivg.cloudfront.net/Documentos/631/09093377647/6310909337764709092023203346.pdf")</f>
        <v>https://dpmzos25m8ivg.cloudfront.net/Documentos/631/09093377647/6310909337764709092023203346.pdf</v>
      </c>
      <c r="H4257" s="5" t="s">
        <v>12832</v>
      </c>
    </row>
    <row r="4258" spans="1:8" x14ac:dyDescent="0.25">
      <c r="A4258" s="2" t="s">
        <v>4280</v>
      </c>
      <c r="B4258" s="3"/>
      <c r="C4258" s="3"/>
      <c r="D4258" s="3"/>
      <c r="E4258" s="5" t="str">
        <f>HYPERLINK("https://dpmzos25m8ivg.cloudfront.net/Documentos/631/09099766947/6310909976694706092023004617.jpg","https://dpmzos25m8ivg.cloudfront.net/Documentos/631/09099766947/6310909976694706092023004617.jpg")</f>
        <v>https://dpmzos25m8ivg.cloudfront.net/Documentos/631/09099766947/6310909976694706092023004617.jpg</v>
      </c>
      <c r="F4258" s="5" t="str">
        <f>HYPERLINK("https://dpmzos25m8ivg.cloudfront.net/Documentos/631/09099766947/6310909976694706092023004512.jpg","https://dpmzos25m8ivg.cloudfront.net/Documentos/631/09099766947/6310909976694706092023004512.jpg")</f>
        <v>https://dpmzos25m8ivg.cloudfront.net/Documentos/631/09099766947/6310909976694706092023004512.jpg</v>
      </c>
      <c r="G4258" s="5" t="str">
        <f>HYPERLINK("https://dpmzos25m8ivg.cloudfront.net/Documentos/631/09099766947/6310909976694706092023004441.jpg","https://dpmzos25m8ivg.cloudfront.net/Documentos/631/09099766947/6310909976694706092023004441.jpg")</f>
        <v>https://dpmzos25m8ivg.cloudfront.net/Documentos/631/09099766947/6310909976694706092023004441.jpg</v>
      </c>
      <c r="H4258" s="5" t="s">
        <v>12833</v>
      </c>
    </row>
    <row r="4259" spans="1:8" x14ac:dyDescent="0.25">
      <c r="A4259" s="2" t="s">
        <v>4281</v>
      </c>
      <c r="B4259" s="3"/>
      <c r="C4259" s="3"/>
      <c r="D4259" s="3"/>
      <c r="E4259" s="5" t="str">
        <f>HYPERLINK("https://dpmzos25m8ivg.cloudfront.net/Documentos/631/09104486471/6310910448647111092023153921.pdf","https://dpmzos25m8ivg.cloudfront.net/Documentos/631/09104486471/6310910448647111092023153921.pdf")</f>
        <v>https://dpmzos25m8ivg.cloudfront.net/Documentos/631/09104486471/6310910448647111092023153921.pdf</v>
      </c>
      <c r="F4259" s="5" t="str">
        <f>HYPERLINK("https://dpmzos25m8ivg.cloudfront.net/Documentos/631/09104486471/6310910448647111092023153939.pdf","https://dpmzos25m8ivg.cloudfront.net/Documentos/631/09104486471/6310910448647111092023153939.pdf")</f>
        <v>https://dpmzos25m8ivg.cloudfront.net/Documentos/631/09104486471/6310910448647111092023153939.pdf</v>
      </c>
      <c r="G4259" s="5" t="str">
        <f>HYPERLINK("https://dpmzos25m8ivg.cloudfront.net/Documentos/631/09104486471/6310910448647111092023153955.pdf","https://dpmzos25m8ivg.cloudfront.net/Documentos/631/09104486471/6310910448647111092023153955.pdf")</f>
        <v>https://dpmzos25m8ivg.cloudfront.net/Documentos/631/09104486471/6310910448647111092023153955.pdf</v>
      </c>
      <c r="H4259" s="5" t="s">
        <v>12834</v>
      </c>
    </row>
    <row r="4260" spans="1:8" x14ac:dyDescent="0.25">
      <c r="A4260" s="2" t="s">
        <v>4282</v>
      </c>
      <c r="B4260" s="3"/>
      <c r="C4260" s="3"/>
      <c r="D4260" s="3"/>
      <c r="E4260" s="5" t="str">
        <f>HYPERLINK("https://dpmzos25m8ivg.cloudfront.net/Documentos/631/09104972813/6310910497281309092023141542.jpeg","https://dpmzos25m8ivg.cloudfront.net/Documentos/631/09104972813/6310910497281309092023141542.jpeg")</f>
        <v>https://dpmzos25m8ivg.cloudfront.net/Documentos/631/09104972813/6310910497281309092023141542.jpeg</v>
      </c>
      <c r="F4260" s="5" t="str">
        <f>HYPERLINK("https://dpmzos25m8ivg.cloudfront.net/Documentos/631/09104972813/6310910497281309092023141614.jpeg","https://dpmzos25m8ivg.cloudfront.net/Documentos/631/09104972813/6310910497281309092023141614.jpeg")</f>
        <v>https://dpmzos25m8ivg.cloudfront.net/Documentos/631/09104972813/6310910497281309092023141614.jpeg</v>
      </c>
      <c r="G4260" s="5" t="str">
        <f>HYPERLINK("https://dpmzos25m8ivg.cloudfront.net/Documentos/631/09104972813/6310910497281309092023141627.jpeg","https://dpmzos25m8ivg.cloudfront.net/Documentos/631/09104972813/6310910497281309092023141627.jpeg")</f>
        <v>https://dpmzos25m8ivg.cloudfront.net/Documentos/631/09104972813/6310910497281309092023141627.jpeg</v>
      </c>
      <c r="H4260" s="5" t="s">
        <v>12835</v>
      </c>
    </row>
    <row r="4261" spans="1:8" x14ac:dyDescent="0.25">
      <c r="A4261" s="2" t="s">
        <v>4283</v>
      </c>
      <c r="B4261" s="3" t="s">
        <v>8</v>
      </c>
      <c r="C4261" s="3"/>
      <c r="D4261" s="3"/>
      <c r="E4261" s="5" t="str">
        <f>HYPERLINK("https://dpmzos25m8ivg.cloudfront.net/Documentos/631/09109078703/6310910907870308092023063919.pdf","https://dpmzos25m8ivg.cloudfront.net/Documentos/631/09109078703/6310910907870308092023063919.pdf")</f>
        <v>https://dpmzos25m8ivg.cloudfront.net/Documentos/631/09109078703/6310910907870308092023063919.pdf</v>
      </c>
      <c r="F4261" s="5" t="str">
        <f>HYPERLINK("https://dpmzos25m8ivg.cloudfront.net/Documentos/631/09109078703/6310910907870308092023063946.pdf","https://dpmzos25m8ivg.cloudfront.net/Documentos/631/09109078703/6310910907870308092023063946.pdf")</f>
        <v>https://dpmzos25m8ivg.cloudfront.net/Documentos/631/09109078703/6310910907870308092023063946.pdf</v>
      </c>
      <c r="G4261" s="5" t="str">
        <f>HYPERLINK("https://dpmzos25m8ivg.cloudfront.net/Documentos/631/09109078703/6310910907870308092023064011.pdf","https://dpmzos25m8ivg.cloudfront.net/Documentos/631/09109078703/6310910907870308092023064011.pdf")</f>
        <v>https://dpmzos25m8ivg.cloudfront.net/Documentos/631/09109078703/6310910907870308092023064011.pdf</v>
      </c>
      <c r="H4261" s="5" t="s">
        <v>12836</v>
      </c>
    </row>
    <row r="4262" spans="1:8" x14ac:dyDescent="0.25">
      <c r="A4262" s="2" t="s">
        <v>4284</v>
      </c>
      <c r="B4262" s="3"/>
      <c r="C4262" s="3"/>
      <c r="D4262" s="3"/>
      <c r="E4262" s="5" t="str">
        <f>HYPERLINK("https://dpmzos25m8ivg.cloudfront.net/Documentos/631/09117678439/6310911767843905092023180604.pdf","https://dpmzos25m8ivg.cloudfront.net/Documentos/631/09117678439/6310911767843905092023180604.pdf")</f>
        <v>https://dpmzos25m8ivg.cloudfront.net/Documentos/631/09117678439/6310911767843905092023180604.pdf</v>
      </c>
      <c r="F4262" s="5" t="str">
        <f>HYPERLINK("https://dpmzos25m8ivg.cloudfront.net/Documentos/631/09117678439/6310911767843905092023180619.pdf","https://dpmzos25m8ivg.cloudfront.net/Documentos/631/09117678439/6310911767843905092023180619.pdf")</f>
        <v>https://dpmzos25m8ivg.cloudfront.net/Documentos/631/09117678439/6310911767843905092023180619.pdf</v>
      </c>
      <c r="G4262" s="5" t="str">
        <f>HYPERLINK("https://dpmzos25m8ivg.cloudfront.net/Documentos/631/09117678439/6310911767843905092023180638.pdf","https://dpmzos25m8ivg.cloudfront.net/Documentos/631/09117678439/6310911767843905092023180638.pdf")</f>
        <v>https://dpmzos25m8ivg.cloudfront.net/Documentos/631/09117678439/6310911767843905092023180638.pdf</v>
      </c>
      <c r="H4262" s="5" t="s">
        <v>12837</v>
      </c>
    </row>
    <row r="4263" spans="1:8" x14ac:dyDescent="0.25">
      <c r="A4263" s="2" t="s">
        <v>4285</v>
      </c>
      <c r="B4263" s="3"/>
      <c r="C4263" s="3"/>
      <c r="D4263" s="3"/>
      <c r="E4263" s="5" t="str">
        <f>HYPERLINK("https://dpmzos25m8ivg.cloudfront.net/Documentos/631/09117855748/6310911785574811092023105138.pdf","https://dpmzos25m8ivg.cloudfront.net/Documentos/631/09117855748/6310911785574811092023105138.pdf")</f>
        <v>https://dpmzos25m8ivg.cloudfront.net/Documentos/631/09117855748/6310911785574811092023105138.pdf</v>
      </c>
      <c r="F4263" s="5" t="str">
        <f>HYPERLINK("https://dpmzos25m8ivg.cloudfront.net/Documentos/631/09117855748/6310911785574811092023105156.pdf","https://dpmzos25m8ivg.cloudfront.net/Documentos/631/09117855748/6310911785574811092023105156.pdf")</f>
        <v>https://dpmzos25m8ivg.cloudfront.net/Documentos/631/09117855748/6310911785574811092023105156.pdf</v>
      </c>
      <c r="G4263" s="5" t="str">
        <f>HYPERLINK("https://dpmzos25m8ivg.cloudfront.net/Documentos/631/09117855748/6310911785574811092023105212.pdf","https://dpmzos25m8ivg.cloudfront.net/Documentos/631/09117855748/6310911785574811092023105212.pdf")</f>
        <v>https://dpmzos25m8ivg.cloudfront.net/Documentos/631/09117855748/6310911785574811092023105212.pdf</v>
      </c>
      <c r="H4263" s="5" t="s">
        <v>12838</v>
      </c>
    </row>
    <row r="4264" spans="1:8" x14ac:dyDescent="0.25">
      <c r="A4264" s="2" t="s">
        <v>4286</v>
      </c>
      <c r="B4264" s="3"/>
      <c r="C4264" s="3"/>
      <c r="D4264" s="3"/>
      <c r="E4264" s="5" t="str">
        <f>HYPERLINK("https://dpmzos25m8ivg.cloudfront.net/Documentos/631/09125186930/6310912518693013092023165957.pdf","https://dpmzos25m8ivg.cloudfront.net/Documentos/631/09125186930/6310912518693013092023165957.pdf")</f>
        <v>https://dpmzos25m8ivg.cloudfront.net/Documentos/631/09125186930/6310912518693013092023165957.pdf</v>
      </c>
      <c r="F4264" s="5" t="str">
        <f>HYPERLINK("https://dpmzos25m8ivg.cloudfront.net/Documentos/631/09125186930/6310912518693013092023170015.pdf","https://dpmzos25m8ivg.cloudfront.net/Documentos/631/09125186930/6310912518693013092023170015.pdf")</f>
        <v>https://dpmzos25m8ivg.cloudfront.net/Documentos/631/09125186930/6310912518693013092023170015.pdf</v>
      </c>
      <c r="G4264" s="5" t="str">
        <f>HYPERLINK("https://dpmzos25m8ivg.cloudfront.net/Documentos/631/09125186930/6310912518693013092023170028.pdf","https://dpmzos25m8ivg.cloudfront.net/Documentos/631/09125186930/6310912518693013092023170028.pdf")</f>
        <v>https://dpmzos25m8ivg.cloudfront.net/Documentos/631/09125186930/6310912518693013092023170028.pdf</v>
      </c>
      <c r="H4264" s="5" t="s">
        <v>12839</v>
      </c>
    </row>
    <row r="4265" spans="1:8" x14ac:dyDescent="0.25">
      <c r="A4265" s="2" t="s">
        <v>4287</v>
      </c>
      <c r="B4265" s="3"/>
      <c r="C4265" s="3"/>
      <c r="D4265" s="3"/>
      <c r="E4265" s="5" t="str">
        <f>HYPERLINK("https://dpmzos25m8ivg.cloudfront.net/Documentos/631/09125459686/6310912545968611092023122552.jpeg","https://dpmzos25m8ivg.cloudfront.net/Documentos/631/09125459686/6310912545968611092023122552.jpeg")</f>
        <v>https://dpmzos25m8ivg.cloudfront.net/Documentos/631/09125459686/6310912545968611092023122552.jpeg</v>
      </c>
      <c r="F4265" s="5" t="str">
        <f>HYPERLINK("https://dpmzos25m8ivg.cloudfront.net/Documentos/631/09125459686/6310912545968611092023122600.jpeg","https://dpmzos25m8ivg.cloudfront.net/Documentos/631/09125459686/6310912545968611092023122600.jpeg")</f>
        <v>https://dpmzos25m8ivg.cloudfront.net/Documentos/631/09125459686/6310912545968611092023122600.jpeg</v>
      </c>
      <c r="G4265" s="5" t="str">
        <f>HYPERLINK("https://dpmzos25m8ivg.cloudfront.net/Documentos/631/09125459686/6310912545968611092023122609.jpeg","https://dpmzos25m8ivg.cloudfront.net/Documentos/631/09125459686/6310912545968611092023122609.jpeg")</f>
        <v>https://dpmzos25m8ivg.cloudfront.net/Documentos/631/09125459686/6310912545968611092023122609.jpeg</v>
      </c>
      <c r="H4265" s="5" t="s">
        <v>12840</v>
      </c>
    </row>
    <row r="4266" spans="1:8" x14ac:dyDescent="0.25">
      <c r="A4266" s="2" t="s">
        <v>4288</v>
      </c>
      <c r="B4266" s="3"/>
      <c r="C4266" s="3"/>
      <c r="D4266" s="3"/>
      <c r="E4266" s="5" t="str">
        <f>HYPERLINK("https://dpmzos25m8ivg.cloudfront.net/Documentos/631/09127468402/6310912746840211092023113910.jpeg","https://dpmzos25m8ivg.cloudfront.net/Documentos/631/09127468402/6310912746840211092023113910.jpeg")</f>
        <v>https://dpmzos25m8ivg.cloudfront.net/Documentos/631/09127468402/6310912746840211092023113910.jpeg</v>
      </c>
      <c r="F4266" s="5" t="str">
        <f>HYPERLINK("https://dpmzos25m8ivg.cloudfront.net/Documentos/631/09127468402/6310912746840211092023113925.jpeg","https://dpmzos25m8ivg.cloudfront.net/Documentos/631/09127468402/6310912746840211092023113925.jpeg")</f>
        <v>https://dpmzos25m8ivg.cloudfront.net/Documentos/631/09127468402/6310912746840211092023113925.jpeg</v>
      </c>
      <c r="G4266" s="5" t="str">
        <f>HYPERLINK("https://dpmzos25m8ivg.cloudfront.net/Documentos/631/09127468402/6310912746840211092023113941.jpeg","https://dpmzos25m8ivg.cloudfront.net/Documentos/631/09127468402/6310912746840211092023113941.jpeg")</f>
        <v>https://dpmzos25m8ivg.cloudfront.net/Documentos/631/09127468402/6310912746840211092023113941.jpeg</v>
      </c>
      <c r="H4266" s="5" t="s">
        <v>12841</v>
      </c>
    </row>
    <row r="4267" spans="1:8" x14ac:dyDescent="0.25">
      <c r="A4267" s="2" t="s">
        <v>4289</v>
      </c>
      <c r="B4267" s="3"/>
      <c r="C4267" s="3"/>
      <c r="D4267" s="3"/>
      <c r="E4267" s="5" t="str">
        <f>HYPERLINK("https://dpmzos25m8ivg.cloudfront.net/Documentos/631/09130980780/6310913098078009092023121225.pdf","https://dpmzos25m8ivg.cloudfront.net/Documentos/631/09130980780/6310913098078009092023121225.pdf")</f>
        <v>https://dpmzos25m8ivg.cloudfront.net/Documentos/631/09130980780/6310913098078009092023121225.pdf</v>
      </c>
      <c r="F4267" s="5" t="str">
        <f>HYPERLINK("https://dpmzos25m8ivg.cloudfront.net/Documentos/631/09130980780/6310913098078009092023121240.pdf","https://dpmzos25m8ivg.cloudfront.net/Documentos/631/09130980780/6310913098078009092023121240.pdf")</f>
        <v>https://dpmzos25m8ivg.cloudfront.net/Documentos/631/09130980780/6310913098078009092023121240.pdf</v>
      </c>
      <c r="G4267" s="5" t="str">
        <f>HYPERLINK("https://dpmzos25m8ivg.cloudfront.net/Documentos/631/09130980780/6310913098078009092023121255.pdf","https://dpmzos25m8ivg.cloudfront.net/Documentos/631/09130980780/6310913098078009092023121255.pdf")</f>
        <v>https://dpmzos25m8ivg.cloudfront.net/Documentos/631/09130980780/6310913098078009092023121255.pdf</v>
      </c>
      <c r="H4267" s="5" t="s">
        <v>12842</v>
      </c>
    </row>
    <row r="4268" spans="1:8" x14ac:dyDescent="0.25">
      <c r="A4268" s="2" t="s">
        <v>4290</v>
      </c>
      <c r="B4268" s="3"/>
      <c r="C4268" s="3"/>
      <c r="D4268" s="3"/>
      <c r="E4268" s="5" t="str">
        <f>HYPERLINK("https://dpmzos25m8ivg.cloudfront.net/Documentos/631/09135049553/6310913504955308092023154743.jpg","https://dpmzos25m8ivg.cloudfront.net/Documentos/631/09135049553/6310913504955308092023154743.jpg")</f>
        <v>https://dpmzos25m8ivg.cloudfront.net/Documentos/631/09135049553/6310913504955308092023154743.jpg</v>
      </c>
      <c r="F4268" s="5" t="str">
        <f>HYPERLINK("https://dpmzos25m8ivg.cloudfront.net/Documentos/631/09135049553/6310913504955308092023155115.jpg","https://dpmzos25m8ivg.cloudfront.net/Documentos/631/09135049553/6310913504955308092023155115.jpg")</f>
        <v>https://dpmzos25m8ivg.cloudfront.net/Documentos/631/09135049553/6310913504955308092023155115.jpg</v>
      </c>
      <c r="G4268" s="5" t="str">
        <f>HYPERLINK("https://dpmzos25m8ivg.cloudfront.net/Documentos/631/09135049553/6310913504955308092023155211.jpg","https://dpmzos25m8ivg.cloudfront.net/Documentos/631/09135049553/6310913504955308092023155211.jpg")</f>
        <v>https://dpmzos25m8ivg.cloudfront.net/Documentos/631/09135049553/6310913504955308092023155211.jpg</v>
      </c>
      <c r="H4268" s="5" t="s">
        <v>12843</v>
      </c>
    </row>
    <row r="4269" spans="1:8" x14ac:dyDescent="0.25">
      <c r="A4269" s="2" t="s">
        <v>4291</v>
      </c>
      <c r="B4269" s="3"/>
      <c r="C4269" s="3"/>
      <c r="D4269" s="3"/>
      <c r="E4269" s="5" t="str">
        <f>HYPERLINK("https://dpmzos25m8ivg.cloudfront.net/Documentos/631/09149754718/6310914975471806092023144255.pdf","https://dpmzos25m8ivg.cloudfront.net/Documentos/631/09149754718/6310914975471806092023144255.pdf")</f>
        <v>https://dpmzos25m8ivg.cloudfront.net/Documentos/631/09149754718/6310914975471806092023144255.pdf</v>
      </c>
      <c r="F4269" s="5" t="str">
        <f>HYPERLINK("https://dpmzos25m8ivg.cloudfront.net/Documentos/631/09149754718/6310914975471806092023144305.pdf","https://dpmzos25m8ivg.cloudfront.net/Documentos/631/09149754718/6310914975471806092023144305.pdf")</f>
        <v>https://dpmzos25m8ivg.cloudfront.net/Documentos/631/09149754718/6310914975471806092023144305.pdf</v>
      </c>
      <c r="G4269" s="5" t="str">
        <f>HYPERLINK("https://dpmzos25m8ivg.cloudfront.net/Documentos/631/09149754718/6310914975471806092023144313.pdf","https://dpmzos25m8ivg.cloudfront.net/Documentos/631/09149754718/6310914975471806092023144313.pdf")</f>
        <v>https://dpmzos25m8ivg.cloudfront.net/Documentos/631/09149754718/6310914975471806092023144313.pdf</v>
      </c>
      <c r="H4269" s="5" t="s">
        <v>12844</v>
      </c>
    </row>
    <row r="4270" spans="1:8" x14ac:dyDescent="0.25">
      <c r="A4270" s="2" t="s">
        <v>4292</v>
      </c>
      <c r="B4270" s="3"/>
      <c r="C4270" s="3"/>
      <c r="D4270" s="3"/>
      <c r="E4270" s="5" t="str">
        <f>HYPERLINK("https://dpmzos25m8ivg.cloudfront.net/Documentos/631/09151488892/6310915148889205092023085020.pdf","https://dpmzos25m8ivg.cloudfront.net/Documentos/631/09151488892/6310915148889205092023085020.pdf")</f>
        <v>https://dpmzos25m8ivg.cloudfront.net/Documentos/631/09151488892/6310915148889205092023085020.pdf</v>
      </c>
      <c r="F4270" s="5" t="str">
        <f>HYPERLINK("https://dpmzos25m8ivg.cloudfront.net/Documentos/631/09151488892/6310915148889205092023085036.pdf","https://dpmzos25m8ivg.cloudfront.net/Documentos/631/09151488892/6310915148889205092023085036.pdf")</f>
        <v>https://dpmzos25m8ivg.cloudfront.net/Documentos/631/09151488892/6310915148889205092023085036.pdf</v>
      </c>
      <c r="G4270" s="5" t="str">
        <f>HYPERLINK("https://dpmzos25m8ivg.cloudfront.net/Documentos/631/09151488892/6310915148889205092023085054.pdf","https://dpmzos25m8ivg.cloudfront.net/Documentos/631/09151488892/6310915148889205092023085054.pdf")</f>
        <v>https://dpmzos25m8ivg.cloudfront.net/Documentos/631/09151488892/6310915148889205092023085054.pdf</v>
      </c>
      <c r="H4270" s="5" t="s">
        <v>12845</v>
      </c>
    </row>
    <row r="4271" spans="1:8" x14ac:dyDescent="0.25">
      <c r="A4271" s="2" t="s">
        <v>4293</v>
      </c>
      <c r="B4271" s="19" t="s">
        <v>3385</v>
      </c>
      <c r="C4271" s="3"/>
      <c r="D4271" s="3"/>
      <c r="E4271" s="5" t="str">
        <f>HYPERLINK("https://dpmzos25m8ivg.cloudfront.net/Documentos/631/09164169685/6310916416968511092023152725.jpg","https://dpmzos25m8ivg.cloudfront.net/Documentos/631/09164169685/6310916416968511092023152725.jpg")</f>
        <v>https://dpmzos25m8ivg.cloudfront.net/Documentos/631/09164169685/6310916416968511092023152725.jpg</v>
      </c>
      <c r="F4271" s="5" t="str">
        <f>HYPERLINK("https://dpmzos25m8ivg.cloudfront.net/Documentos/631/09164169685/6310916416968511092023152808.jpg","https://dpmzos25m8ivg.cloudfront.net/Documentos/631/09164169685/6310916416968511092023152808.jpg")</f>
        <v>https://dpmzos25m8ivg.cloudfront.net/Documentos/631/09164169685/6310916416968511092023152808.jpg</v>
      </c>
      <c r="G4271" s="5" t="str">
        <f>HYPERLINK("https://dpmzos25m8ivg.cloudfront.net/Documentos/631/09164169685/6310916416968511092023152836.jpg","https://dpmzos25m8ivg.cloudfront.net/Documentos/631/09164169685/6310916416968511092023152836.jpg")</f>
        <v>https://dpmzos25m8ivg.cloudfront.net/Documentos/631/09164169685/6310916416968511092023152836.jpg</v>
      </c>
      <c r="H4271" s="5" t="s">
        <v>12846</v>
      </c>
    </row>
    <row r="4272" spans="1:8" x14ac:dyDescent="0.25">
      <c r="A4272" s="2" t="s">
        <v>4294</v>
      </c>
      <c r="B4272" s="19" t="s">
        <v>3385</v>
      </c>
      <c r="C4272" s="3"/>
      <c r="D4272" s="3"/>
      <c r="E4272" s="5" t="str">
        <f>HYPERLINK("https://dpmzos25m8ivg.cloudfront.net/Documentos/631/09168317794/6310916831779408092023180149.pdf","https://dpmzos25m8ivg.cloudfront.net/Documentos/631/09168317794/6310916831779408092023180149.pdf")</f>
        <v>https://dpmzos25m8ivg.cloudfront.net/Documentos/631/09168317794/6310916831779408092023180149.pdf</v>
      </c>
      <c r="F4272" s="5" t="str">
        <f>HYPERLINK("https://dpmzos25m8ivg.cloudfront.net/Documentos/631/09168317794/6310916831779408092023180201.pdf","https://dpmzos25m8ivg.cloudfront.net/Documentos/631/09168317794/6310916831779408092023180201.pdf")</f>
        <v>https://dpmzos25m8ivg.cloudfront.net/Documentos/631/09168317794/6310916831779408092023180201.pdf</v>
      </c>
      <c r="G4272" s="5" t="str">
        <f>HYPERLINK("https://dpmzos25m8ivg.cloudfront.net/Documentos/631/09168317794/6310916831779408092023180220.pdf","https://dpmzos25m8ivg.cloudfront.net/Documentos/631/09168317794/6310916831779408092023180220.pdf")</f>
        <v>https://dpmzos25m8ivg.cloudfront.net/Documentos/631/09168317794/6310916831779408092023180220.pdf</v>
      </c>
      <c r="H4272" s="5" t="s">
        <v>12847</v>
      </c>
    </row>
    <row r="4273" spans="1:8" x14ac:dyDescent="0.25">
      <c r="A4273" s="2" t="s">
        <v>4295</v>
      </c>
      <c r="B4273" s="3"/>
      <c r="C4273" s="3"/>
      <c r="D4273" s="3"/>
      <c r="E4273" s="5" t="str">
        <f>HYPERLINK("https://dpmzos25m8ivg.cloudfront.net/Documentos/631/09168970951/6310916897095108092023183506.pdf","https://dpmzos25m8ivg.cloudfront.net/Documentos/631/09168970951/6310916897095108092023183506.pdf")</f>
        <v>https://dpmzos25m8ivg.cloudfront.net/Documentos/631/09168970951/6310916897095108092023183506.pdf</v>
      </c>
      <c r="F4273" s="5" t="str">
        <f>HYPERLINK("https://dpmzos25m8ivg.cloudfront.net/Documentos/631/09168970951/6310916897095108092023183516.pdf","https://dpmzos25m8ivg.cloudfront.net/Documentos/631/09168970951/6310916897095108092023183516.pdf")</f>
        <v>https://dpmzos25m8ivg.cloudfront.net/Documentos/631/09168970951/6310916897095108092023183516.pdf</v>
      </c>
      <c r="G4273" s="5" t="str">
        <f>HYPERLINK("https://dpmzos25m8ivg.cloudfront.net/Documentos/631/09168970951/6310916897095108092023183528.pdf","https://dpmzos25m8ivg.cloudfront.net/Documentos/631/09168970951/6310916897095108092023183528.pdf")</f>
        <v>https://dpmzos25m8ivg.cloudfront.net/Documentos/631/09168970951/6310916897095108092023183528.pdf</v>
      </c>
      <c r="H4273" s="5" t="s">
        <v>12848</v>
      </c>
    </row>
    <row r="4274" spans="1:8" x14ac:dyDescent="0.25">
      <c r="A4274" s="2" t="s">
        <v>4296</v>
      </c>
      <c r="B4274" s="3"/>
      <c r="C4274" s="3"/>
      <c r="D4274" s="3"/>
      <c r="E4274" s="5" t="str">
        <f>HYPERLINK("https://dpmzos25m8ivg.cloudfront.net/Documentos/631/09185910902/6310918591090206092023153159.pdf","https://dpmzos25m8ivg.cloudfront.net/Documentos/631/09185910902/6310918591090206092023153159.pdf")</f>
        <v>https://dpmzos25m8ivg.cloudfront.net/Documentos/631/09185910902/6310918591090206092023153159.pdf</v>
      </c>
      <c r="F4274" s="5" t="str">
        <f>HYPERLINK("https://dpmzos25m8ivg.cloudfront.net/Documentos/631/09185910902/6310918591090206092023153208.pdf","https://dpmzos25m8ivg.cloudfront.net/Documentos/631/09185910902/6310918591090206092023153208.pdf")</f>
        <v>https://dpmzos25m8ivg.cloudfront.net/Documentos/631/09185910902/6310918591090206092023153208.pdf</v>
      </c>
      <c r="G4274" s="5" t="str">
        <f>HYPERLINK("https://dpmzos25m8ivg.cloudfront.net/Documentos/631/09185910902/6310918591090206092023153216.pdf","https://dpmzos25m8ivg.cloudfront.net/Documentos/631/09185910902/6310918591090206092023153216.pdf")</f>
        <v>https://dpmzos25m8ivg.cloudfront.net/Documentos/631/09185910902/6310918591090206092023153216.pdf</v>
      </c>
      <c r="H4274" s="5" t="s">
        <v>12849</v>
      </c>
    </row>
    <row r="4275" spans="1:8" x14ac:dyDescent="0.25">
      <c r="A4275" s="2" t="s">
        <v>4297</v>
      </c>
      <c r="B4275" s="3"/>
      <c r="C4275" s="3"/>
      <c r="D4275" s="3"/>
      <c r="E4275" s="5" t="str">
        <f>HYPERLINK("https://dpmzos25m8ivg.cloudfront.net/Documentos/631/09189962443/6310918996244309092023112905.pdf","https://dpmzos25m8ivg.cloudfront.net/Documentos/631/09189962443/6310918996244309092023112905.pdf")</f>
        <v>https://dpmzos25m8ivg.cloudfront.net/Documentos/631/09189962443/6310918996244309092023112905.pdf</v>
      </c>
      <c r="F4275" s="5" t="str">
        <f>HYPERLINK("https://dpmzos25m8ivg.cloudfront.net/Documentos/631/09189962443/6310918996244309092023112929.pdf","https://dpmzos25m8ivg.cloudfront.net/Documentos/631/09189962443/6310918996244309092023112929.pdf")</f>
        <v>https://dpmzos25m8ivg.cloudfront.net/Documentos/631/09189962443/6310918996244309092023112929.pdf</v>
      </c>
      <c r="G4275" s="5" t="str">
        <f>HYPERLINK("https://dpmzos25m8ivg.cloudfront.net/Documentos/631/09189962443/6310918996244309092023112946.pdf","https://dpmzos25m8ivg.cloudfront.net/Documentos/631/09189962443/6310918996244309092023112946.pdf")</f>
        <v>https://dpmzos25m8ivg.cloudfront.net/Documentos/631/09189962443/6310918996244309092023112946.pdf</v>
      </c>
      <c r="H4275" s="5" t="s">
        <v>12850</v>
      </c>
    </row>
    <row r="4276" spans="1:8" x14ac:dyDescent="0.25">
      <c r="A4276" s="2" t="s">
        <v>4298</v>
      </c>
      <c r="B4276" s="19" t="s">
        <v>3385</v>
      </c>
      <c r="C4276" s="3"/>
      <c r="D4276" s="3"/>
      <c r="E4276" s="5" t="str">
        <f>HYPERLINK("https://dpmzos25m8ivg.cloudfront.net/Documentos/631/09199123460/6310919912346011092023153639.pdf","https://dpmzos25m8ivg.cloudfront.net/Documentos/631/09199123460/6310919912346011092023153639.pdf")</f>
        <v>https://dpmzos25m8ivg.cloudfront.net/Documentos/631/09199123460/6310919912346011092023153639.pdf</v>
      </c>
      <c r="F4276" s="5" t="str">
        <f>HYPERLINK("https://dpmzos25m8ivg.cloudfront.net/Documentos/631/09199123460/6310919912346011092023153654.pdf","https://dpmzos25m8ivg.cloudfront.net/Documentos/631/09199123460/6310919912346011092023153654.pdf")</f>
        <v>https://dpmzos25m8ivg.cloudfront.net/Documentos/631/09199123460/6310919912346011092023153654.pdf</v>
      </c>
      <c r="G4276" s="5" t="str">
        <f>HYPERLINK("https://dpmzos25m8ivg.cloudfront.net/Documentos/631/09199123460/6310919912346011092023153707.pdf","https://dpmzos25m8ivg.cloudfront.net/Documentos/631/09199123460/6310919912346011092023153707.pdf")</f>
        <v>https://dpmzos25m8ivg.cloudfront.net/Documentos/631/09199123460/6310919912346011092023153707.pdf</v>
      </c>
      <c r="H4276" s="5" t="s">
        <v>12851</v>
      </c>
    </row>
    <row r="4277" spans="1:8" x14ac:dyDescent="0.25">
      <c r="A4277" s="2" t="s">
        <v>4299</v>
      </c>
      <c r="B4277" s="3" t="s">
        <v>8</v>
      </c>
      <c r="C4277" s="3"/>
      <c r="D4277" s="3"/>
      <c r="E4277" s="5" t="str">
        <f>HYPERLINK("https://dpmzos25m8ivg.cloudfront.net/Documentos/631/09199214695/6310919921469505092023110306.pdf","https://dpmzos25m8ivg.cloudfront.net/Documentos/631/09199214695/6310919921469505092023110306.pdf")</f>
        <v>https://dpmzos25m8ivg.cloudfront.net/Documentos/631/09199214695/6310919921469505092023110306.pdf</v>
      </c>
      <c r="F4277" s="5" t="str">
        <f>HYPERLINK("https://dpmzos25m8ivg.cloudfront.net/Documentos/631/09199214695/6310919921469505092023110314.pdf","https://dpmzos25m8ivg.cloudfront.net/Documentos/631/09199214695/6310919921469505092023110314.pdf")</f>
        <v>https://dpmzos25m8ivg.cloudfront.net/Documentos/631/09199214695/6310919921469505092023110314.pdf</v>
      </c>
      <c r="G4277" s="5" t="str">
        <f>HYPERLINK("https://dpmzos25m8ivg.cloudfront.net/Documentos/631/09199214695/6310919921469505092023110322.pdf","https://dpmzos25m8ivg.cloudfront.net/Documentos/631/09199214695/6310919921469505092023110322.pdf")</f>
        <v>https://dpmzos25m8ivg.cloudfront.net/Documentos/631/09199214695/6310919921469505092023110322.pdf</v>
      </c>
      <c r="H4277" s="5" t="s">
        <v>12852</v>
      </c>
    </row>
    <row r="4278" spans="1:8" x14ac:dyDescent="0.25">
      <c r="A4278" s="2" t="s">
        <v>4300</v>
      </c>
      <c r="B4278" s="3"/>
      <c r="C4278" s="3"/>
      <c r="D4278" s="3"/>
      <c r="E4278" s="5" t="str">
        <f>HYPERLINK("https://dpmzos25m8ivg.cloudfront.net/Documentos/631/09204444908/6310920444490809092023202739.pdf","https://dpmzos25m8ivg.cloudfront.net/Documentos/631/09204444908/6310920444490809092023202739.pdf")</f>
        <v>https://dpmzos25m8ivg.cloudfront.net/Documentos/631/09204444908/6310920444490809092023202739.pdf</v>
      </c>
      <c r="F4278" s="5" t="str">
        <f>HYPERLINK("https://dpmzos25m8ivg.cloudfront.net/Documentos/631/09204444908/6310920444490809092023202801.pdf","https://dpmzos25m8ivg.cloudfront.net/Documentos/631/09204444908/6310920444490809092023202801.pdf")</f>
        <v>https://dpmzos25m8ivg.cloudfront.net/Documentos/631/09204444908/6310920444490809092023202801.pdf</v>
      </c>
      <c r="G4278" s="5" t="str">
        <f>HYPERLINK("https://dpmzos25m8ivg.cloudfront.net/Documentos/631/09204444908/6310920444490809092023202816.pdf","https://dpmzos25m8ivg.cloudfront.net/Documentos/631/09204444908/6310920444490809092023202816.pdf")</f>
        <v>https://dpmzos25m8ivg.cloudfront.net/Documentos/631/09204444908/6310920444490809092023202816.pdf</v>
      </c>
      <c r="H4278" s="5" t="s">
        <v>12853</v>
      </c>
    </row>
    <row r="4279" spans="1:8" x14ac:dyDescent="0.25">
      <c r="A4279" s="2" t="s">
        <v>4301</v>
      </c>
      <c r="B4279" s="3"/>
      <c r="C4279" s="3"/>
      <c r="D4279" s="3"/>
      <c r="E4279" s="5" t="str">
        <f>HYPERLINK("https://dpmzos25m8ivg.cloudfront.net/Documentos/631/09205007498/6310920500749813092023104510.pdf","https://dpmzos25m8ivg.cloudfront.net/Documentos/631/09205007498/6310920500749813092023104510.pdf")</f>
        <v>https://dpmzos25m8ivg.cloudfront.net/Documentos/631/09205007498/6310920500749813092023104510.pdf</v>
      </c>
      <c r="F4279" s="5" t="str">
        <f>HYPERLINK("https://dpmzos25m8ivg.cloudfront.net/Documentos/631/09205007498/6310920500749813092023104603.pdf","https://dpmzos25m8ivg.cloudfront.net/Documentos/631/09205007498/6310920500749813092023104603.pdf")</f>
        <v>https://dpmzos25m8ivg.cloudfront.net/Documentos/631/09205007498/6310920500749813092023104603.pdf</v>
      </c>
      <c r="G4279" s="5" t="str">
        <f>HYPERLINK("https://dpmzos25m8ivg.cloudfront.net/Documentos/631/09205007498/6310920500749813092023104834.pdf","https://dpmzos25m8ivg.cloudfront.net/Documentos/631/09205007498/6310920500749813092023104834.pdf")</f>
        <v>https://dpmzos25m8ivg.cloudfront.net/Documentos/631/09205007498/6310920500749813092023104834.pdf</v>
      </c>
      <c r="H4279" s="5" t="s">
        <v>12854</v>
      </c>
    </row>
    <row r="4280" spans="1:8" x14ac:dyDescent="0.25">
      <c r="A4280" s="2" t="s">
        <v>4302</v>
      </c>
      <c r="B4280" s="3" t="s">
        <v>42</v>
      </c>
      <c r="C4280" s="3"/>
      <c r="D4280" s="3"/>
      <c r="E4280" s="5" t="str">
        <f>HYPERLINK("https://dpmzos25m8ivg.cloudfront.net/Documentos/631/09208838692/6310920883869214092023122304.jpg","https://dpmzos25m8ivg.cloudfront.net/Documentos/631/09208838692/6310920883869214092023122304.jpg")</f>
        <v>https://dpmzos25m8ivg.cloudfront.net/Documentos/631/09208838692/6310920883869214092023122304.jpg</v>
      </c>
      <c r="F4280" s="5" t="str">
        <f>HYPERLINK("https://dpmzos25m8ivg.cloudfront.net/Documentos/631/09208838692/6310920883869214092023122318.jpg","https://dpmzos25m8ivg.cloudfront.net/Documentos/631/09208838692/6310920883869214092023122318.jpg")</f>
        <v>https://dpmzos25m8ivg.cloudfront.net/Documentos/631/09208838692/6310920883869214092023122318.jpg</v>
      </c>
      <c r="G4280" s="5" t="str">
        <f>HYPERLINK("https://dpmzos25m8ivg.cloudfront.net/Documentos/631/09208838692/6310920883869214092023122331.jpg","https://dpmzos25m8ivg.cloudfront.net/Documentos/631/09208838692/6310920883869214092023122331.jpg")</f>
        <v>https://dpmzos25m8ivg.cloudfront.net/Documentos/631/09208838692/6310920883869214092023122331.jpg</v>
      </c>
      <c r="H4280" s="5" t="s">
        <v>12855</v>
      </c>
    </row>
    <row r="4281" spans="1:8" x14ac:dyDescent="0.25">
      <c r="A4281" s="2" t="s">
        <v>4303</v>
      </c>
      <c r="B4281" s="3"/>
      <c r="C4281" s="3"/>
      <c r="D4281" s="3"/>
      <c r="E4281" s="5" t="str">
        <f>HYPERLINK("https://dpmzos25m8ivg.cloudfront.net/Documentos/631/09222951662/6310922295166210092023135708.jpg","https://dpmzos25m8ivg.cloudfront.net/Documentos/631/09222951662/6310922295166210092023135708.jpg")</f>
        <v>https://dpmzos25m8ivg.cloudfront.net/Documentos/631/09222951662/6310922295166210092023135708.jpg</v>
      </c>
      <c r="F4281" s="5" t="str">
        <f>HYPERLINK("https://dpmzos25m8ivg.cloudfront.net/Documentos/631/09222951662/6310922295166210092023135744.jpg","https://dpmzos25m8ivg.cloudfront.net/Documentos/631/09222951662/6310922295166210092023135744.jpg")</f>
        <v>https://dpmzos25m8ivg.cloudfront.net/Documentos/631/09222951662/6310922295166210092023135744.jpg</v>
      </c>
      <c r="G4281" s="5" t="str">
        <f>HYPERLINK("https://dpmzos25m8ivg.cloudfront.net/Documentos/631/09222951662/6310922295166210092023135841.jpeg","https://dpmzos25m8ivg.cloudfront.net/Documentos/631/09222951662/6310922295166210092023135841.jpeg")</f>
        <v>https://dpmzos25m8ivg.cloudfront.net/Documentos/631/09222951662/6310922295166210092023135841.jpeg</v>
      </c>
      <c r="H4281" s="5" t="s">
        <v>12856</v>
      </c>
    </row>
    <row r="4282" spans="1:8" x14ac:dyDescent="0.25">
      <c r="A4282" s="2" t="s">
        <v>4304</v>
      </c>
      <c r="B4282" s="3"/>
      <c r="C4282" s="3"/>
      <c r="D4282" s="3"/>
      <c r="E4282" s="5" t="str">
        <f>HYPERLINK("https://dpmzos25m8ivg.cloudfront.net/Documentos/631/09230000469/6310923000046908092023133802.jpg","https://dpmzos25m8ivg.cloudfront.net/Documentos/631/09230000469/6310923000046908092023133802.jpg")</f>
        <v>https://dpmzos25m8ivg.cloudfront.net/Documentos/631/09230000469/6310923000046908092023133802.jpg</v>
      </c>
      <c r="F4282" s="5" t="str">
        <f>HYPERLINK("https://dpmzos25m8ivg.cloudfront.net/Documentos/631/09230000469/6310923000046908092023133833.pdf","https://dpmzos25m8ivg.cloudfront.net/Documentos/631/09230000469/6310923000046908092023133833.pdf")</f>
        <v>https://dpmzos25m8ivg.cloudfront.net/Documentos/631/09230000469/6310923000046908092023133833.pdf</v>
      </c>
      <c r="G4282" s="5" t="str">
        <f>HYPERLINK("https://dpmzos25m8ivg.cloudfront.net/Documentos/631/09230000469/6310923000046908092023133904.pdf","https://dpmzos25m8ivg.cloudfront.net/Documentos/631/09230000469/6310923000046908092023133904.pdf")</f>
        <v>https://dpmzos25m8ivg.cloudfront.net/Documentos/631/09230000469/6310923000046908092023133904.pdf</v>
      </c>
      <c r="H4282" s="5" t="s">
        <v>12857</v>
      </c>
    </row>
    <row r="4283" spans="1:8" x14ac:dyDescent="0.25">
      <c r="A4283" s="2" t="s">
        <v>4305</v>
      </c>
      <c r="B4283" s="3"/>
      <c r="C4283" s="3"/>
      <c r="D4283" s="3"/>
      <c r="E4283" s="5" t="str">
        <f>HYPERLINK("https://dpmzos25m8ivg.cloudfront.net/Documentos/631/09236529658/6310923652965809092023112651.pdf","https://dpmzos25m8ivg.cloudfront.net/Documentos/631/09236529658/6310923652965809092023112651.pdf")</f>
        <v>https://dpmzos25m8ivg.cloudfront.net/Documentos/631/09236529658/6310923652965809092023112651.pdf</v>
      </c>
      <c r="F4283" s="5" t="str">
        <f>HYPERLINK("https://dpmzos25m8ivg.cloudfront.net/Documentos/631/09236529658/6310923652965809092023112817.pdf","https://dpmzos25m8ivg.cloudfront.net/Documentos/631/09236529658/6310923652965809092023112817.pdf")</f>
        <v>https://dpmzos25m8ivg.cloudfront.net/Documentos/631/09236529658/6310923652965809092023112817.pdf</v>
      </c>
      <c r="G4283" s="5" t="str">
        <f>HYPERLINK("https://dpmzos25m8ivg.cloudfront.net/Documentos/631/09236529658/6310923652965809092023112921.pdf","https://dpmzos25m8ivg.cloudfront.net/Documentos/631/09236529658/6310923652965809092023112921.pdf")</f>
        <v>https://dpmzos25m8ivg.cloudfront.net/Documentos/631/09236529658/6310923652965809092023112921.pdf</v>
      </c>
      <c r="H4283" s="5" t="s">
        <v>12858</v>
      </c>
    </row>
    <row r="4284" spans="1:8" x14ac:dyDescent="0.25">
      <c r="A4284" s="2" t="s">
        <v>4306</v>
      </c>
      <c r="B4284" s="3"/>
      <c r="C4284" s="3"/>
      <c r="D4284" s="3"/>
      <c r="E4284" s="5" t="str">
        <f>HYPERLINK("https://dpmzos25m8ivg.cloudfront.net/Documentos/631/09237025718/6310923702571812092023214311.jpeg","https://dpmzos25m8ivg.cloudfront.net/Documentos/631/09237025718/6310923702571812092023214311.jpeg")</f>
        <v>https://dpmzos25m8ivg.cloudfront.net/Documentos/631/09237025718/6310923702571812092023214311.jpeg</v>
      </c>
      <c r="F4284" s="5" t="str">
        <f>HYPERLINK("https://dpmzos25m8ivg.cloudfront.net/Documentos/631/09237025718/6310923702571812092023214337.jpeg","https://dpmzos25m8ivg.cloudfront.net/Documentos/631/09237025718/6310923702571812092023214337.jpeg")</f>
        <v>https://dpmzos25m8ivg.cloudfront.net/Documentos/631/09237025718/6310923702571812092023214337.jpeg</v>
      </c>
      <c r="G4284" s="5" t="str">
        <f>HYPERLINK("https://dpmzos25m8ivg.cloudfront.net/Documentos/631/09237025718/6310923702571812092023214410.jpeg","https://dpmzos25m8ivg.cloudfront.net/Documentos/631/09237025718/6310923702571812092023214410.jpeg")</f>
        <v>https://dpmzos25m8ivg.cloudfront.net/Documentos/631/09237025718/6310923702571812092023214410.jpeg</v>
      </c>
      <c r="H4284" s="5" t="s">
        <v>12859</v>
      </c>
    </row>
    <row r="4285" spans="1:8" x14ac:dyDescent="0.25">
      <c r="A4285" s="2" t="s">
        <v>4307</v>
      </c>
      <c r="B4285" s="19" t="s">
        <v>3385</v>
      </c>
      <c r="C4285" s="3"/>
      <c r="D4285" s="3"/>
      <c r="E4285" s="9" t="str">
        <f>HYPERLINK("https://dpmzos25m8ivg.cloudfront.net/Documentos/631/09244273969/6310924427396908092023160727.jpeg","https://dpmzos25m8ivg.cloudfront.net/Documentos/631/09244273969/6310924427396908092023160727.jpeg")</f>
        <v>https://dpmzos25m8ivg.cloudfront.net/Documentos/631/09244273969/6310924427396908092023160727.jpeg</v>
      </c>
      <c r="F4285" s="5" t="str">
        <f>HYPERLINK("https://dpmzos25m8ivg.cloudfront.net/Documentos/631/09244273969/6310924427396908092023160735.jpeg","https://dpmzos25m8ivg.cloudfront.net/Documentos/631/09244273969/6310924427396908092023160735.jpeg")</f>
        <v>https://dpmzos25m8ivg.cloudfront.net/Documentos/631/09244273969/6310924427396908092023160735.jpeg</v>
      </c>
      <c r="G4285" s="5" t="str">
        <f>HYPERLINK("https://dpmzos25m8ivg.cloudfront.net/Documentos/631/09244273969/6310924427396908092023160744.jpeg","https://dpmzos25m8ivg.cloudfront.net/Documentos/631/09244273969/6310924427396908092023160744.jpeg")</f>
        <v>https://dpmzos25m8ivg.cloudfront.net/Documentos/631/09244273969/6310924427396908092023160744.jpeg</v>
      </c>
      <c r="H4285" s="5" t="s">
        <v>12860</v>
      </c>
    </row>
    <row r="4286" spans="1:8" x14ac:dyDescent="0.25">
      <c r="A4286" s="2" t="s">
        <v>4308</v>
      </c>
      <c r="B4286" s="3"/>
      <c r="C4286" s="3"/>
      <c r="D4286" s="3"/>
      <c r="E4286" s="5" t="str">
        <f>HYPERLINK("https://dpmzos25m8ivg.cloudfront.net/Documentos/631/09245417417/6310924541741710092023220115.pdf","https://dpmzos25m8ivg.cloudfront.net/Documentos/631/09245417417/6310924541741710092023220115.pdf")</f>
        <v>https://dpmzos25m8ivg.cloudfront.net/Documentos/631/09245417417/6310924541741710092023220115.pdf</v>
      </c>
      <c r="F4286" s="5" t="str">
        <f>HYPERLINK("https://dpmzos25m8ivg.cloudfront.net/Documentos/631/09245417417/6310924541741710092023220131.pdf","https://dpmzos25m8ivg.cloudfront.net/Documentos/631/09245417417/6310924541741710092023220131.pdf")</f>
        <v>https://dpmzos25m8ivg.cloudfront.net/Documentos/631/09245417417/6310924541741710092023220131.pdf</v>
      </c>
      <c r="G4286" s="5" t="str">
        <f>HYPERLINK("https://dpmzos25m8ivg.cloudfront.net/Documentos/631/09245417417/6310924541741710092023220144.pdf","https://dpmzos25m8ivg.cloudfront.net/Documentos/631/09245417417/6310924541741710092023220144.pdf")</f>
        <v>https://dpmzos25m8ivg.cloudfront.net/Documentos/631/09245417417/6310924541741710092023220144.pdf</v>
      </c>
      <c r="H4286" s="5" t="s">
        <v>12861</v>
      </c>
    </row>
    <row r="4287" spans="1:8" x14ac:dyDescent="0.25">
      <c r="A4287" s="2" t="s">
        <v>4309</v>
      </c>
      <c r="B4287" s="3" t="s">
        <v>90</v>
      </c>
      <c r="C4287" s="3"/>
      <c r="D4287" s="3"/>
      <c r="E4287" s="5" t="str">
        <f>HYPERLINK("https://dpmzos25m8ivg.cloudfront.net/Documentos/631/09250668937/6310925066893711092023120018.pdf","https://dpmzos25m8ivg.cloudfront.net/Documentos/631/09250668937/6310925066893711092023120018.pdf")</f>
        <v>https://dpmzos25m8ivg.cloudfront.net/Documentos/631/09250668937/6310925066893711092023120018.pdf</v>
      </c>
      <c r="F4287" s="5" t="str">
        <f>HYPERLINK("https://dpmzos25m8ivg.cloudfront.net/Documentos/631/09250668937/6310925066893711092023120031.pdf","https://dpmzos25m8ivg.cloudfront.net/Documentos/631/09250668937/6310925066893711092023120031.pdf")</f>
        <v>https://dpmzos25m8ivg.cloudfront.net/Documentos/631/09250668937/6310925066893711092023120031.pdf</v>
      </c>
      <c r="G4287" s="5" t="str">
        <f>HYPERLINK("https://dpmzos25m8ivg.cloudfront.net/Documentos/631/09250668937/6310925066893711092023120041.pdf","https://dpmzos25m8ivg.cloudfront.net/Documentos/631/09250668937/6310925066893711092023120041.pdf")</f>
        <v>https://dpmzos25m8ivg.cloudfront.net/Documentos/631/09250668937/6310925066893711092023120041.pdf</v>
      </c>
      <c r="H4287" s="5" t="s">
        <v>12862</v>
      </c>
    </row>
    <row r="4288" spans="1:8" x14ac:dyDescent="0.25">
      <c r="A4288" s="2" t="s">
        <v>4310</v>
      </c>
      <c r="B4288" s="3"/>
      <c r="C4288" s="3"/>
      <c r="D4288" s="3"/>
      <c r="E4288" s="5" t="str">
        <f>HYPERLINK("https://dpmzos25m8ivg.cloudfront.net/Documentos/631/09251205450/6310925120545007092023161314.jpg","https://dpmzos25m8ivg.cloudfront.net/Documentos/631/09251205450/6310925120545007092023161314.jpg")</f>
        <v>https://dpmzos25m8ivg.cloudfront.net/Documentos/631/09251205450/6310925120545007092023161314.jpg</v>
      </c>
      <c r="F4288" s="5" t="str">
        <f>HYPERLINK("https://dpmzos25m8ivg.cloudfront.net/Documentos/631/09251205450/6310925120545007092023161337.jpg","https://dpmzos25m8ivg.cloudfront.net/Documentos/631/09251205450/6310925120545007092023161337.jpg")</f>
        <v>https://dpmzos25m8ivg.cloudfront.net/Documentos/631/09251205450/6310925120545007092023161337.jpg</v>
      </c>
      <c r="G4288" s="5" t="str">
        <f>HYPERLINK("https://dpmzos25m8ivg.cloudfront.net/Documentos/631/09251205450/6310925120545007092023161358.jpg","https://dpmzos25m8ivg.cloudfront.net/Documentos/631/09251205450/6310925120545007092023161358.jpg")</f>
        <v>https://dpmzos25m8ivg.cloudfront.net/Documentos/631/09251205450/6310925120545007092023161358.jpg</v>
      </c>
      <c r="H4288" s="5" t="s">
        <v>12863</v>
      </c>
    </row>
    <row r="4289" spans="1:8" x14ac:dyDescent="0.25">
      <c r="A4289" s="2" t="s">
        <v>4311</v>
      </c>
      <c r="B4289" s="3"/>
      <c r="C4289" s="3"/>
      <c r="D4289" s="3"/>
      <c r="E4289" s="5" t="str">
        <f>HYPERLINK("https://dpmzos25m8ivg.cloudfront.net/Documentos/631/09252925759/6310925292575910092023112740.pdf","https://dpmzos25m8ivg.cloudfront.net/Documentos/631/09252925759/6310925292575910092023112740.pdf")</f>
        <v>https://dpmzos25m8ivg.cloudfront.net/Documentos/631/09252925759/6310925292575910092023112740.pdf</v>
      </c>
      <c r="F4289" s="5" t="str">
        <f>HYPERLINK("https://dpmzos25m8ivg.cloudfront.net/Documentos/631/09252925759/6310925292575910092023112657.pdf","https://dpmzos25m8ivg.cloudfront.net/Documentos/631/09252925759/6310925292575910092023112657.pdf")</f>
        <v>https://dpmzos25m8ivg.cloudfront.net/Documentos/631/09252925759/6310925292575910092023112657.pdf</v>
      </c>
      <c r="G4289" s="5" t="str">
        <f>HYPERLINK("https://dpmzos25m8ivg.cloudfront.net/Documentos/631/09252925759/6310925292575910092023112629.pdf","https://dpmzos25m8ivg.cloudfront.net/Documentos/631/09252925759/6310925292575910092023112629.pdf")</f>
        <v>https://dpmzos25m8ivg.cloudfront.net/Documentos/631/09252925759/6310925292575910092023112629.pdf</v>
      </c>
      <c r="H4289" s="5" t="s">
        <v>12864</v>
      </c>
    </row>
    <row r="4290" spans="1:8" x14ac:dyDescent="0.25">
      <c r="A4290" s="2" t="s">
        <v>4312</v>
      </c>
      <c r="B4290" s="3"/>
      <c r="C4290" s="3"/>
      <c r="D4290" s="3"/>
      <c r="E4290" s="5" t="str">
        <f>HYPERLINK("https://dpmzos25m8ivg.cloudfront.net/Documentos/631/09254673404/6310925467340408092023193835.pdf","https://dpmzos25m8ivg.cloudfront.net/Documentos/631/09254673404/6310925467340408092023193835.pdf")</f>
        <v>https://dpmzos25m8ivg.cloudfront.net/Documentos/631/09254673404/6310925467340408092023193835.pdf</v>
      </c>
      <c r="F4290" s="5" t="str">
        <f>HYPERLINK("https://dpmzos25m8ivg.cloudfront.net/Documentos/631/09254673404/6310925467340408092023193851.pdf","https://dpmzos25m8ivg.cloudfront.net/Documentos/631/09254673404/6310925467340408092023193851.pdf")</f>
        <v>https://dpmzos25m8ivg.cloudfront.net/Documentos/631/09254673404/6310925467340408092023193851.pdf</v>
      </c>
      <c r="G4290" s="5" t="str">
        <f>HYPERLINK("https://dpmzos25m8ivg.cloudfront.net/Documentos/631/09254673404/6310925467340408092023193912.pdf","https://dpmzos25m8ivg.cloudfront.net/Documentos/631/09254673404/6310925467340408092023193912.pdf")</f>
        <v>https://dpmzos25m8ivg.cloudfront.net/Documentos/631/09254673404/6310925467340408092023193912.pdf</v>
      </c>
      <c r="H4290" s="5" t="s">
        <v>12865</v>
      </c>
    </row>
    <row r="4291" spans="1:8" x14ac:dyDescent="0.25">
      <c r="A4291" s="2" t="s">
        <v>4313</v>
      </c>
      <c r="B4291" s="3"/>
      <c r="C4291" s="3"/>
      <c r="D4291" s="3"/>
      <c r="E4291" s="5" t="str">
        <f>HYPERLINK("https://dpmzos25m8ivg.cloudfront.net/Documentos/631/09261237690/6310926123769005092023105410.pdf","https://dpmzos25m8ivg.cloudfront.net/Documentos/631/09261237690/6310926123769005092023105410.pdf")</f>
        <v>https://dpmzos25m8ivg.cloudfront.net/Documentos/631/09261237690/6310926123769005092023105410.pdf</v>
      </c>
      <c r="F4291" s="5" t="str">
        <f>HYPERLINK("https://dpmzos25m8ivg.cloudfront.net/Documentos/631/09261237690/6310926123769005092023105419.pdf","https://dpmzos25m8ivg.cloudfront.net/Documentos/631/09261237690/6310926123769005092023105419.pdf")</f>
        <v>https://dpmzos25m8ivg.cloudfront.net/Documentos/631/09261237690/6310926123769005092023105419.pdf</v>
      </c>
      <c r="G4291" s="5" t="str">
        <f>HYPERLINK("https://dpmzos25m8ivg.cloudfront.net/Documentos/631/09261237690/6310926123769005092023105427.pdf","https://dpmzos25m8ivg.cloudfront.net/Documentos/631/09261237690/6310926123769005092023105427.pdf")</f>
        <v>https://dpmzos25m8ivg.cloudfront.net/Documentos/631/09261237690/6310926123769005092023105427.pdf</v>
      </c>
      <c r="H4291" s="5" t="s">
        <v>12866</v>
      </c>
    </row>
    <row r="4292" spans="1:8" x14ac:dyDescent="0.25">
      <c r="A4292" s="2" t="s">
        <v>4314</v>
      </c>
      <c r="B4292" s="3"/>
      <c r="C4292" s="3"/>
      <c r="D4292" s="3"/>
      <c r="E4292" s="5" t="str">
        <f>HYPERLINK("https://dpmzos25m8ivg.cloudfront.net/Documentos/631/09261341756/6310926134175610092023233539.pdf","https://dpmzos25m8ivg.cloudfront.net/Documentos/631/09261341756/6310926134175610092023233539.pdf")</f>
        <v>https://dpmzos25m8ivg.cloudfront.net/Documentos/631/09261341756/6310926134175610092023233539.pdf</v>
      </c>
      <c r="F4292" s="5" t="str">
        <f>HYPERLINK("https://dpmzos25m8ivg.cloudfront.net/Documentos/631/09261341756/6310926134175610092023233606.pdf","https://dpmzos25m8ivg.cloudfront.net/Documentos/631/09261341756/6310926134175610092023233606.pdf")</f>
        <v>https://dpmzos25m8ivg.cloudfront.net/Documentos/631/09261341756/6310926134175610092023233606.pdf</v>
      </c>
      <c r="G4292" s="5" t="str">
        <f>HYPERLINK("https://dpmzos25m8ivg.cloudfront.net/Documentos/631/09261341756/6310926134175610092023233631.pdf","https://dpmzos25m8ivg.cloudfront.net/Documentos/631/09261341756/6310926134175610092023233631.pdf")</f>
        <v>https://dpmzos25m8ivg.cloudfront.net/Documentos/631/09261341756/6310926134175610092023233631.pdf</v>
      </c>
      <c r="H4292" s="5" t="s">
        <v>12867</v>
      </c>
    </row>
    <row r="4293" spans="1:8" x14ac:dyDescent="0.25">
      <c r="A4293" s="2" t="s">
        <v>4315</v>
      </c>
      <c r="B4293" s="3"/>
      <c r="C4293" s="3"/>
      <c r="D4293" s="3"/>
      <c r="E4293" s="5" t="str">
        <f>HYPERLINK("https://dpmzos25m8ivg.cloudfront.net/Documentos/631/09267428926/6310926742892607092023173324.jpeg","https://dpmzos25m8ivg.cloudfront.net/Documentos/631/09267428926/6310926742892607092023173324.jpeg")</f>
        <v>https://dpmzos25m8ivg.cloudfront.net/Documentos/631/09267428926/6310926742892607092023173324.jpeg</v>
      </c>
      <c r="F4293" s="5" t="str">
        <f>HYPERLINK("https://dpmzos25m8ivg.cloudfront.net/Documentos/631/09267428926/6310926742892607092023173345.jpeg","https://dpmzos25m8ivg.cloudfront.net/Documentos/631/09267428926/6310926742892607092023173345.jpeg")</f>
        <v>https://dpmzos25m8ivg.cloudfront.net/Documentos/631/09267428926/6310926742892607092023173345.jpeg</v>
      </c>
      <c r="G4293" s="5" t="str">
        <f>HYPERLINK("https://dpmzos25m8ivg.cloudfront.net/Documentos/631/09267428926/6310926742892607092023173405.jpeg","https://dpmzos25m8ivg.cloudfront.net/Documentos/631/09267428926/6310926742892607092023173405.jpeg")</f>
        <v>https://dpmzos25m8ivg.cloudfront.net/Documentos/631/09267428926/6310926742892607092023173405.jpeg</v>
      </c>
      <c r="H4293" s="5" t="s">
        <v>12868</v>
      </c>
    </row>
    <row r="4294" spans="1:8" x14ac:dyDescent="0.25">
      <c r="A4294" s="2" t="s">
        <v>4316</v>
      </c>
      <c r="B4294" s="3"/>
      <c r="C4294" s="3"/>
      <c r="D4294" s="3"/>
      <c r="E4294" s="5" t="str">
        <f>HYPERLINK("https://dpmzos25m8ivg.cloudfront.net/Documentos/631/09267669613/6310926766961310092023204039.pdf","https://dpmzos25m8ivg.cloudfront.net/Documentos/631/09267669613/6310926766961310092023204039.pdf")</f>
        <v>https://dpmzos25m8ivg.cloudfront.net/Documentos/631/09267669613/6310926766961310092023204039.pdf</v>
      </c>
      <c r="F4294" s="5" t="str">
        <f>HYPERLINK("https://dpmzos25m8ivg.cloudfront.net/Documentos/631/09267669613/6310926766961310092023204045.pdf","https://dpmzos25m8ivg.cloudfront.net/Documentos/631/09267669613/6310926766961310092023204045.pdf")</f>
        <v>https://dpmzos25m8ivg.cloudfront.net/Documentos/631/09267669613/6310926766961310092023204045.pdf</v>
      </c>
      <c r="G4294" s="5" t="str">
        <f>HYPERLINK("https://dpmzos25m8ivg.cloudfront.net/Documentos/631/09267669613/6310926766961310092023204052.pdf","https://dpmzos25m8ivg.cloudfront.net/Documentos/631/09267669613/6310926766961310092023204052.pdf")</f>
        <v>https://dpmzos25m8ivg.cloudfront.net/Documentos/631/09267669613/6310926766961310092023204052.pdf</v>
      </c>
      <c r="H4294" s="5" t="s">
        <v>12869</v>
      </c>
    </row>
    <row r="4295" spans="1:8" x14ac:dyDescent="0.25">
      <c r="A4295" s="2" t="s">
        <v>4317</v>
      </c>
      <c r="B4295" s="3"/>
      <c r="C4295" s="3"/>
      <c r="D4295" s="3"/>
      <c r="E4295" s="5" t="str">
        <f>HYPERLINK("https://dpmzos25m8ivg.cloudfront.net/Documentos/631/09278378623/6310927837862311092023115448.pdf","https://dpmzos25m8ivg.cloudfront.net/Documentos/631/09278378623/6310927837862311092023115448.pdf")</f>
        <v>https://dpmzos25m8ivg.cloudfront.net/Documentos/631/09278378623/6310927837862311092023115448.pdf</v>
      </c>
      <c r="F4295" s="5" t="str">
        <f>HYPERLINK("https://dpmzos25m8ivg.cloudfront.net/Documentos/631/09278378623/6310927837862311092023115602.pdf","https://dpmzos25m8ivg.cloudfront.net/Documentos/631/09278378623/6310927837862311092023115602.pdf")</f>
        <v>https://dpmzos25m8ivg.cloudfront.net/Documentos/631/09278378623/6310927837862311092023115602.pdf</v>
      </c>
      <c r="G4295" s="5" t="str">
        <f>HYPERLINK("https://dpmzos25m8ivg.cloudfront.net/Documentos/631/09278378623/6310927837862311092023115626.pdf","https://dpmzos25m8ivg.cloudfront.net/Documentos/631/09278378623/6310927837862311092023115626.pdf")</f>
        <v>https://dpmzos25m8ivg.cloudfront.net/Documentos/631/09278378623/6310927837862311092023115626.pdf</v>
      </c>
      <c r="H4295" s="5" t="s">
        <v>12870</v>
      </c>
    </row>
    <row r="4296" spans="1:8" x14ac:dyDescent="0.25">
      <c r="A4296" s="2" t="s">
        <v>4318</v>
      </c>
      <c r="B4296" s="3"/>
      <c r="C4296" s="3"/>
      <c r="D4296" s="3"/>
      <c r="E4296" s="5" t="str">
        <f>HYPERLINK("https://dpmzos25m8ivg.cloudfront.net/Documentos/631/09281302403/6310928130240311092023153038.pdf","https://dpmzos25m8ivg.cloudfront.net/Documentos/631/09281302403/6310928130240311092023153038.pdf")</f>
        <v>https://dpmzos25m8ivg.cloudfront.net/Documentos/631/09281302403/6310928130240311092023153038.pdf</v>
      </c>
      <c r="F4296" s="5" t="str">
        <f>HYPERLINK("https://dpmzos25m8ivg.cloudfront.net/Documentos/631/09281302403/6310928130240311092023153050.pdf","https://dpmzos25m8ivg.cloudfront.net/Documentos/631/09281302403/6310928130240311092023153050.pdf")</f>
        <v>https://dpmzos25m8ivg.cloudfront.net/Documentos/631/09281302403/6310928130240311092023153050.pdf</v>
      </c>
      <c r="G4296" s="5" t="str">
        <f>HYPERLINK("https://dpmzos25m8ivg.cloudfront.net/Documentos/631/09281302403/6310928130240311092023153100.pdf","https://dpmzos25m8ivg.cloudfront.net/Documentos/631/09281302403/6310928130240311092023153100.pdf")</f>
        <v>https://dpmzos25m8ivg.cloudfront.net/Documentos/631/09281302403/6310928130240311092023153100.pdf</v>
      </c>
      <c r="H4296" s="5" t="s">
        <v>12871</v>
      </c>
    </row>
    <row r="4297" spans="1:8" x14ac:dyDescent="0.25">
      <c r="A4297" s="2" t="s">
        <v>4319</v>
      </c>
      <c r="B4297" s="3" t="s">
        <v>90</v>
      </c>
      <c r="C4297" s="3"/>
      <c r="D4297" s="3"/>
      <c r="E4297" s="5" t="str">
        <f>HYPERLINK("https://dpmzos25m8ivg.cloudfront.net/Documentos/631/09285638473/6310928563847310092023123854.pdf","https://dpmzos25m8ivg.cloudfront.net/Documentos/631/09285638473/6310928563847310092023123854.pdf")</f>
        <v>https://dpmzos25m8ivg.cloudfront.net/Documentos/631/09285638473/6310928563847310092023123854.pdf</v>
      </c>
      <c r="F4297" s="5" t="str">
        <f>HYPERLINK("https://dpmzos25m8ivg.cloudfront.net/Documentos/631/09285638473/6310928563847310092023124019.pdf","https://dpmzos25m8ivg.cloudfront.net/Documentos/631/09285638473/6310928563847310092023124019.pdf")</f>
        <v>https://dpmzos25m8ivg.cloudfront.net/Documentos/631/09285638473/6310928563847310092023124019.pdf</v>
      </c>
      <c r="G4297" s="5" t="str">
        <f>HYPERLINK("https://dpmzos25m8ivg.cloudfront.net/Documentos/631/09285638473/6310928563847310092023124227.pdf","https://dpmzos25m8ivg.cloudfront.net/Documentos/631/09285638473/6310928563847310092023124227.pdf")</f>
        <v>https://dpmzos25m8ivg.cloudfront.net/Documentos/631/09285638473/6310928563847310092023124227.pdf</v>
      </c>
      <c r="H4297" s="5" t="s">
        <v>12872</v>
      </c>
    </row>
    <row r="4298" spans="1:8" x14ac:dyDescent="0.25">
      <c r="A4298" s="2" t="s">
        <v>4320</v>
      </c>
      <c r="B4298" s="3" t="s">
        <v>42</v>
      </c>
      <c r="C4298" s="3"/>
      <c r="D4298" s="3"/>
      <c r="E4298" s="5" t="str">
        <f>HYPERLINK("https://dpmzos25m8ivg.cloudfront.net/Documentos/631/09291368962/6310929136896211092023163603.pdf","https://dpmzos25m8ivg.cloudfront.net/Documentos/631/09291368962/6310929136896211092023163603.pdf")</f>
        <v>https://dpmzos25m8ivg.cloudfront.net/Documentos/631/09291368962/6310929136896211092023163603.pdf</v>
      </c>
      <c r="F4298" s="5" t="str">
        <f>HYPERLINK("https://dpmzos25m8ivg.cloudfront.net/Documentos/631/09291368962/6310929136896211092023163615.pdf","https://dpmzos25m8ivg.cloudfront.net/Documentos/631/09291368962/6310929136896211092023163615.pdf")</f>
        <v>https://dpmzos25m8ivg.cloudfront.net/Documentos/631/09291368962/6310929136896211092023163615.pdf</v>
      </c>
      <c r="G4298" s="5" t="str">
        <f>HYPERLINK("https://dpmzos25m8ivg.cloudfront.net/Documentos/631/09291368962/6310929136896211092023163627.pdf","https://dpmzos25m8ivg.cloudfront.net/Documentos/631/09291368962/6310929136896211092023163627.pdf")</f>
        <v>https://dpmzos25m8ivg.cloudfront.net/Documentos/631/09291368962/6310929136896211092023163627.pdf</v>
      </c>
      <c r="H4298" s="5" t="s">
        <v>12873</v>
      </c>
    </row>
    <row r="4299" spans="1:8" x14ac:dyDescent="0.25">
      <c r="A4299" s="2" t="s">
        <v>4321</v>
      </c>
      <c r="B4299" s="3"/>
      <c r="C4299" s="3"/>
      <c r="D4299" s="3"/>
      <c r="E4299" s="5" t="str">
        <f>HYPERLINK("https://dpmzos25m8ivg.cloudfront.net/Documentos/631/09297123740/6310929712374009092023095844.pdf","https://dpmzos25m8ivg.cloudfront.net/Documentos/631/09297123740/6310929712374009092023095844.pdf")</f>
        <v>https://dpmzos25m8ivg.cloudfront.net/Documentos/631/09297123740/6310929712374009092023095844.pdf</v>
      </c>
      <c r="F4299" s="5" t="str">
        <f>HYPERLINK("https://dpmzos25m8ivg.cloudfront.net/Documentos/631/09297123740/6310929712374009092023095909.pdf","https://dpmzos25m8ivg.cloudfront.net/Documentos/631/09297123740/6310929712374009092023095909.pdf")</f>
        <v>https://dpmzos25m8ivg.cloudfront.net/Documentos/631/09297123740/6310929712374009092023095909.pdf</v>
      </c>
      <c r="G4299" s="5" t="str">
        <f>HYPERLINK("https://dpmzos25m8ivg.cloudfront.net/Documentos/631/09297123740/6310929712374009092023095939.pdf","https://dpmzos25m8ivg.cloudfront.net/Documentos/631/09297123740/6310929712374009092023095939.pdf")</f>
        <v>https://dpmzos25m8ivg.cloudfront.net/Documentos/631/09297123740/6310929712374009092023095939.pdf</v>
      </c>
      <c r="H4299" s="5" t="s">
        <v>12874</v>
      </c>
    </row>
    <row r="4300" spans="1:8" x14ac:dyDescent="0.25">
      <c r="A4300" s="2" t="s">
        <v>4322</v>
      </c>
      <c r="B4300" s="3"/>
      <c r="C4300" s="3"/>
      <c r="D4300" s="3"/>
      <c r="E4300" s="5" t="str">
        <f>HYPERLINK("https://dpmzos25m8ivg.cloudfront.net/Documentos/631/09309513608/6310930951360807092023225816.pdf","https://dpmzos25m8ivg.cloudfront.net/Documentos/631/09309513608/6310930951360807092023225816.pdf")</f>
        <v>https://dpmzos25m8ivg.cloudfront.net/Documentos/631/09309513608/6310930951360807092023225816.pdf</v>
      </c>
      <c r="F4300" s="5" t="str">
        <f>HYPERLINK("https://dpmzos25m8ivg.cloudfront.net/Documentos/631/09309513608/6310930951360807092023225840.pdf","https://dpmzos25m8ivg.cloudfront.net/Documentos/631/09309513608/6310930951360807092023225840.pdf")</f>
        <v>https://dpmzos25m8ivg.cloudfront.net/Documentos/631/09309513608/6310930951360807092023225840.pdf</v>
      </c>
      <c r="G4300" s="5" t="str">
        <f>HYPERLINK("https://dpmzos25m8ivg.cloudfront.net/Documentos/631/09309513608/6310930951360807092023225858.pdf","https://dpmzos25m8ivg.cloudfront.net/Documentos/631/09309513608/6310930951360807092023225858.pdf")</f>
        <v>https://dpmzos25m8ivg.cloudfront.net/Documentos/631/09309513608/6310930951360807092023225858.pdf</v>
      </c>
      <c r="H4300" s="5" t="s">
        <v>12875</v>
      </c>
    </row>
    <row r="4301" spans="1:8" x14ac:dyDescent="0.25">
      <c r="A4301" s="2" t="s">
        <v>4323</v>
      </c>
      <c r="B4301" s="3"/>
      <c r="C4301" s="3"/>
      <c r="D4301" s="3"/>
      <c r="E4301" s="5" t="str">
        <f>HYPERLINK("https://dpmzos25m8ivg.cloudfront.net/Documentos/631/09312538454/6310931253845405092023144754.pdf","https://dpmzos25m8ivg.cloudfront.net/Documentos/631/09312538454/6310931253845405092023144754.pdf")</f>
        <v>https://dpmzos25m8ivg.cloudfront.net/Documentos/631/09312538454/6310931253845405092023144754.pdf</v>
      </c>
      <c r="F4301" s="5" t="str">
        <f>HYPERLINK("https://dpmzos25m8ivg.cloudfront.net/Documentos/631/09312538454/6310931253845405092023144816.pdf","https://dpmzos25m8ivg.cloudfront.net/Documentos/631/09312538454/6310931253845405092023144816.pdf")</f>
        <v>https://dpmzos25m8ivg.cloudfront.net/Documentos/631/09312538454/6310931253845405092023144816.pdf</v>
      </c>
      <c r="G4301" s="5" t="str">
        <f>HYPERLINK("https://dpmzos25m8ivg.cloudfront.net/Documentos/631/09312538454/6310931253845405092023144833.pdf","https://dpmzos25m8ivg.cloudfront.net/Documentos/631/09312538454/6310931253845405092023144833.pdf")</f>
        <v>https://dpmzos25m8ivg.cloudfront.net/Documentos/631/09312538454/6310931253845405092023144833.pdf</v>
      </c>
      <c r="H4301" s="5" t="s">
        <v>12876</v>
      </c>
    </row>
    <row r="4302" spans="1:8" x14ac:dyDescent="0.25">
      <c r="A4302" s="2" t="s">
        <v>4324</v>
      </c>
      <c r="B4302" s="3"/>
      <c r="C4302" s="3"/>
      <c r="D4302" s="3"/>
      <c r="E4302" s="5" t="str">
        <f>HYPERLINK("https://dpmzos25m8ivg.cloudfront.net/Documentos/631/09324705644/6310932470564411092023152412.jpg","https://dpmzos25m8ivg.cloudfront.net/Documentos/631/09324705644/6310932470564411092023152412.jpg")</f>
        <v>https://dpmzos25m8ivg.cloudfront.net/Documentos/631/09324705644/6310932470564411092023152412.jpg</v>
      </c>
      <c r="F4302" s="5" t="str">
        <f>HYPERLINK("https://dpmzos25m8ivg.cloudfront.net/Documentos/631/09324705644/6310932470564411092023152432.jpg","https://dpmzos25m8ivg.cloudfront.net/Documentos/631/09324705644/6310932470564411092023152432.jpg")</f>
        <v>https://dpmzos25m8ivg.cloudfront.net/Documentos/631/09324705644/6310932470564411092023152432.jpg</v>
      </c>
      <c r="G4302" s="5" t="str">
        <f>HYPERLINK("https://dpmzos25m8ivg.cloudfront.net/Documentos/631/09324705644/6310932470564411092023152454.jpg","https://dpmzos25m8ivg.cloudfront.net/Documentos/631/09324705644/6310932470564411092023152454.jpg")</f>
        <v>https://dpmzos25m8ivg.cloudfront.net/Documentos/631/09324705644/6310932470564411092023152454.jpg</v>
      </c>
      <c r="H4302" s="5" t="s">
        <v>12877</v>
      </c>
    </row>
    <row r="4303" spans="1:8" x14ac:dyDescent="0.25">
      <c r="A4303" s="2" t="s">
        <v>4325</v>
      </c>
      <c r="B4303" s="3" t="s">
        <v>42</v>
      </c>
      <c r="C4303" s="3"/>
      <c r="D4303" s="3"/>
      <c r="E4303" s="5" t="str">
        <f>HYPERLINK("https://dpmzos25m8ivg.cloudfront.net/Documentos/631/09327671686/6310932767168606092023180612.pdf","https://dpmzos25m8ivg.cloudfront.net/Documentos/631/09327671686/6310932767168606092023180612.pdf")</f>
        <v>https://dpmzos25m8ivg.cloudfront.net/Documentos/631/09327671686/6310932767168606092023180612.pdf</v>
      </c>
      <c r="F4303" s="5" t="str">
        <f>HYPERLINK("https://dpmzos25m8ivg.cloudfront.net/Documentos/631/09327671686/6310932767168606092023180628.pdf","https://dpmzos25m8ivg.cloudfront.net/Documentos/631/09327671686/6310932767168606092023180628.pdf")</f>
        <v>https://dpmzos25m8ivg.cloudfront.net/Documentos/631/09327671686/6310932767168606092023180628.pdf</v>
      </c>
      <c r="G4303" s="5" t="str">
        <f>HYPERLINK("https://dpmzos25m8ivg.cloudfront.net/Documentos/631/09327671686/6310932767168606092023180637.pdf","https://dpmzos25m8ivg.cloudfront.net/Documentos/631/09327671686/6310932767168606092023180637.pdf")</f>
        <v>https://dpmzos25m8ivg.cloudfront.net/Documentos/631/09327671686/6310932767168606092023180637.pdf</v>
      </c>
      <c r="H4303" s="5" t="s">
        <v>12878</v>
      </c>
    </row>
    <row r="4304" spans="1:8" x14ac:dyDescent="0.25">
      <c r="A4304" s="2" t="s">
        <v>4326</v>
      </c>
      <c r="B4304" s="3"/>
      <c r="C4304" s="3"/>
      <c r="D4304" s="3"/>
      <c r="E4304" s="5" t="str">
        <f>HYPERLINK("https://dpmzos25m8ivg.cloudfront.net/Documentos/631/09328667780/6310932866778011092023140117.pdf","https://dpmzos25m8ivg.cloudfront.net/Documentos/631/09328667780/6310932866778011092023140117.pdf")</f>
        <v>https://dpmzos25m8ivg.cloudfront.net/Documentos/631/09328667780/6310932866778011092023140117.pdf</v>
      </c>
      <c r="F4304" s="5" t="str">
        <f>HYPERLINK("https://dpmzos25m8ivg.cloudfront.net/Documentos/631/09328667780/6310932866778011092023140130.pdf","https://dpmzos25m8ivg.cloudfront.net/Documentos/631/09328667780/6310932866778011092023140130.pdf")</f>
        <v>https://dpmzos25m8ivg.cloudfront.net/Documentos/631/09328667780/6310932866778011092023140130.pdf</v>
      </c>
      <c r="G4304" s="5" t="str">
        <f>HYPERLINK("https://dpmzos25m8ivg.cloudfront.net/Documentos/631/09328667780/6310932866778011092023140147.pdf","https://dpmzos25m8ivg.cloudfront.net/Documentos/631/09328667780/6310932866778011092023140147.pdf")</f>
        <v>https://dpmzos25m8ivg.cloudfront.net/Documentos/631/09328667780/6310932866778011092023140147.pdf</v>
      </c>
      <c r="H4304" s="5" t="s">
        <v>12879</v>
      </c>
    </row>
    <row r="4305" spans="1:8" x14ac:dyDescent="0.25">
      <c r="A4305" s="2" t="s">
        <v>4327</v>
      </c>
      <c r="B4305" s="3"/>
      <c r="C4305" s="3"/>
      <c r="D4305" s="3"/>
      <c r="E4305" s="5" t="str">
        <f>HYPERLINK("https://dpmzos25m8ivg.cloudfront.net/Documentos/631/09332038457/6310933203845705092023154205.pdf","https://dpmzos25m8ivg.cloudfront.net/Documentos/631/09332038457/6310933203845705092023154205.pdf")</f>
        <v>https://dpmzos25m8ivg.cloudfront.net/Documentos/631/09332038457/6310933203845705092023154205.pdf</v>
      </c>
      <c r="F4305" s="5" t="str">
        <f>HYPERLINK("https://dpmzos25m8ivg.cloudfront.net/Documentos/631/09332038457/6310933203845705092023154219.pdf","https://dpmzos25m8ivg.cloudfront.net/Documentos/631/09332038457/6310933203845705092023154219.pdf")</f>
        <v>https://dpmzos25m8ivg.cloudfront.net/Documentos/631/09332038457/6310933203845705092023154219.pdf</v>
      </c>
      <c r="G4305" s="5" t="str">
        <f>HYPERLINK("https://dpmzos25m8ivg.cloudfront.net/Documentos/631/09332038457/6310933203845705092023154231.pdf","https://dpmzos25m8ivg.cloudfront.net/Documentos/631/09332038457/6310933203845705092023154231.pdf")</f>
        <v>https://dpmzos25m8ivg.cloudfront.net/Documentos/631/09332038457/6310933203845705092023154231.pdf</v>
      </c>
      <c r="H4305" s="5" t="s">
        <v>12880</v>
      </c>
    </row>
    <row r="4306" spans="1:8" x14ac:dyDescent="0.25">
      <c r="A4306" s="2" t="s">
        <v>4328</v>
      </c>
      <c r="B4306" s="3"/>
      <c r="C4306" s="3"/>
      <c r="D4306" s="3"/>
      <c r="E4306" s="5" t="str">
        <f>HYPERLINK("https://dpmzos25m8ivg.cloudfront.net/Documentos/631/09335644650/6310933564465011092023103453.pdf","https://dpmzos25m8ivg.cloudfront.net/Documentos/631/09335644650/6310933564465011092023103453.pdf")</f>
        <v>https://dpmzos25m8ivg.cloudfront.net/Documentos/631/09335644650/6310933564465011092023103453.pdf</v>
      </c>
      <c r="F4306" s="5" t="str">
        <f>HYPERLINK("https://dpmzos25m8ivg.cloudfront.net/Documentos/631/09335644650/6310933564465011092023103514.pdf","https://dpmzos25m8ivg.cloudfront.net/Documentos/631/09335644650/6310933564465011092023103514.pdf")</f>
        <v>https://dpmzos25m8ivg.cloudfront.net/Documentos/631/09335644650/6310933564465011092023103514.pdf</v>
      </c>
      <c r="G4306" s="5" t="str">
        <f>HYPERLINK("https://dpmzos25m8ivg.cloudfront.net/Documentos/631/09335644650/6310933564465011092023103531.pdf","https://dpmzos25m8ivg.cloudfront.net/Documentos/631/09335644650/6310933564465011092023103531.pdf")</f>
        <v>https://dpmzos25m8ivg.cloudfront.net/Documentos/631/09335644650/6310933564465011092023103531.pdf</v>
      </c>
      <c r="H4306" s="5" t="s">
        <v>12881</v>
      </c>
    </row>
    <row r="4307" spans="1:8" x14ac:dyDescent="0.25">
      <c r="A4307" s="2" t="s">
        <v>4329</v>
      </c>
      <c r="B4307" s="3"/>
      <c r="C4307" s="3"/>
      <c r="D4307" s="3"/>
      <c r="E4307" s="5" t="str">
        <f>HYPERLINK("https://dpmzos25m8ivg.cloudfront.net/Documentos/631/09337038994/6310933703899411092023115429.pdf","https://dpmzos25m8ivg.cloudfront.net/Documentos/631/09337038994/6310933703899411092023115429.pdf")</f>
        <v>https://dpmzos25m8ivg.cloudfront.net/Documentos/631/09337038994/6310933703899411092023115429.pdf</v>
      </c>
      <c r="F4307" s="5" t="str">
        <f>HYPERLINK("https://dpmzos25m8ivg.cloudfront.net/Documentos/631/09337038994/6310933703899411092023115439.pdf","https://dpmzos25m8ivg.cloudfront.net/Documentos/631/09337038994/6310933703899411092023115439.pdf")</f>
        <v>https://dpmzos25m8ivg.cloudfront.net/Documentos/631/09337038994/6310933703899411092023115439.pdf</v>
      </c>
      <c r="G4307" s="5" t="str">
        <f>HYPERLINK("https://dpmzos25m8ivg.cloudfront.net/Documentos/631/09337038994/6310933703899411092023115448.pdf","https://dpmzos25m8ivg.cloudfront.net/Documentos/631/09337038994/6310933703899411092023115448.pdf")</f>
        <v>https://dpmzos25m8ivg.cloudfront.net/Documentos/631/09337038994/6310933703899411092023115448.pdf</v>
      </c>
      <c r="H4307" s="5" t="s">
        <v>12882</v>
      </c>
    </row>
    <row r="4308" spans="1:8" x14ac:dyDescent="0.25">
      <c r="A4308" s="2" t="s">
        <v>4330</v>
      </c>
      <c r="B4308" s="3"/>
      <c r="C4308" s="3"/>
      <c r="D4308" s="3"/>
      <c r="E4308" s="5" t="str">
        <f>HYPERLINK("https://dpmzos25m8ivg.cloudfront.net/Documentos/631/09337097656/6310933709765611092023102436.pdf","https://dpmzos25m8ivg.cloudfront.net/Documentos/631/09337097656/6310933709765611092023102436.pdf")</f>
        <v>https://dpmzos25m8ivg.cloudfront.net/Documentos/631/09337097656/6310933709765611092023102436.pdf</v>
      </c>
      <c r="F4308" s="5" t="str">
        <f>HYPERLINK("https://dpmzos25m8ivg.cloudfront.net/Documentos/631/09337097656/6310933709765611092023102453.pdf","https://dpmzos25m8ivg.cloudfront.net/Documentos/631/09337097656/6310933709765611092023102453.pdf")</f>
        <v>https://dpmzos25m8ivg.cloudfront.net/Documentos/631/09337097656/6310933709765611092023102453.pdf</v>
      </c>
      <c r="G4308" s="5" t="str">
        <f>HYPERLINK("https://dpmzos25m8ivg.cloudfront.net/Documentos/631/09337097656/6310933709765611092023102512.pdf","https://dpmzos25m8ivg.cloudfront.net/Documentos/631/09337097656/6310933709765611092023102512.pdf")</f>
        <v>https://dpmzos25m8ivg.cloudfront.net/Documentos/631/09337097656/6310933709765611092023102512.pdf</v>
      </c>
      <c r="H4308" s="5" t="s">
        <v>12883</v>
      </c>
    </row>
    <row r="4309" spans="1:8" x14ac:dyDescent="0.25">
      <c r="A4309" s="2" t="s">
        <v>4331</v>
      </c>
      <c r="B4309" s="3"/>
      <c r="C4309" s="3"/>
      <c r="D4309" s="3"/>
      <c r="E4309" s="5" t="str">
        <f>HYPERLINK("https://dpmzos25m8ivg.cloudfront.net/Documentos/631/09341952778/6310934195277814092023162234.pdf","https://dpmzos25m8ivg.cloudfront.net/Documentos/631/09341952778/6310934195277814092023162234.pdf")</f>
        <v>https://dpmzos25m8ivg.cloudfront.net/Documentos/631/09341952778/6310934195277814092023162234.pdf</v>
      </c>
      <c r="F4309" s="5" t="str">
        <f>HYPERLINK("https://dpmzos25m8ivg.cloudfront.net/Documentos/631/09341952778/6310934195277814092023162257.pdf","https://dpmzos25m8ivg.cloudfront.net/Documentos/631/09341952778/6310934195277814092023162257.pdf")</f>
        <v>https://dpmzos25m8ivg.cloudfront.net/Documentos/631/09341952778/6310934195277814092023162257.pdf</v>
      </c>
      <c r="G4309" s="5" t="str">
        <f>HYPERLINK("https://dpmzos25m8ivg.cloudfront.net/Documentos/631/09341952778/6310934195277814092023162310.pdf","https://dpmzos25m8ivg.cloudfront.net/Documentos/631/09341952778/6310934195277814092023162310.pdf")</f>
        <v>https://dpmzos25m8ivg.cloudfront.net/Documentos/631/09341952778/6310934195277814092023162310.pdf</v>
      </c>
      <c r="H4309" s="5" t="s">
        <v>12884</v>
      </c>
    </row>
    <row r="4310" spans="1:8" x14ac:dyDescent="0.25">
      <c r="A4310" s="2" t="s">
        <v>4332</v>
      </c>
      <c r="B4310" s="3"/>
      <c r="C4310" s="3"/>
      <c r="D4310" s="3"/>
      <c r="E4310" s="5" t="str">
        <f>HYPERLINK("https://dpmzos25m8ivg.cloudfront.net/Documentos/631/09343748728/6310934374872808092023212737.pdf","https://dpmzos25m8ivg.cloudfront.net/Documentos/631/09343748728/6310934374872808092023212737.pdf")</f>
        <v>https://dpmzos25m8ivg.cloudfront.net/Documentos/631/09343748728/6310934374872808092023212737.pdf</v>
      </c>
      <c r="F4310" s="5" t="str">
        <f>HYPERLINK("https://dpmzos25m8ivg.cloudfront.net/Documentos/631/09343748728/6310934374872808092023212955.pdf","https://dpmzos25m8ivg.cloudfront.net/Documentos/631/09343748728/6310934374872808092023212955.pdf")</f>
        <v>https://dpmzos25m8ivg.cloudfront.net/Documentos/631/09343748728/6310934374872808092023212955.pdf</v>
      </c>
      <c r="G4310" s="5" t="str">
        <f>HYPERLINK("https://dpmzos25m8ivg.cloudfront.net/Documentos/631/09343748728/6310934374872808092023213010.pdf","https://dpmzos25m8ivg.cloudfront.net/Documentos/631/09343748728/6310934374872808092023213010.pdf")</f>
        <v>https://dpmzos25m8ivg.cloudfront.net/Documentos/631/09343748728/6310934374872808092023213010.pdf</v>
      </c>
      <c r="H4310" s="5" t="s">
        <v>12885</v>
      </c>
    </row>
    <row r="4311" spans="1:8" x14ac:dyDescent="0.25">
      <c r="A4311" s="2" t="s">
        <v>4333</v>
      </c>
      <c r="B4311" s="3"/>
      <c r="C4311" s="3"/>
      <c r="D4311" s="3"/>
      <c r="E4311" s="5" t="str">
        <f>HYPERLINK("https://dpmzos25m8ivg.cloudfront.net/Documentos/631/09344362408/6310934436240809092023175840.pdf","https://dpmzos25m8ivg.cloudfront.net/Documentos/631/09344362408/6310934436240809092023175840.pdf")</f>
        <v>https://dpmzos25m8ivg.cloudfront.net/Documentos/631/09344362408/6310934436240809092023175840.pdf</v>
      </c>
      <c r="F4311" s="5" t="str">
        <f>HYPERLINK("https://dpmzos25m8ivg.cloudfront.net/Documentos/631/09344362408/6310934436240809092023175855.pdf","https://dpmzos25m8ivg.cloudfront.net/Documentos/631/09344362408/6310934436240809092023175855.pdf")</f>
        <v>https://dpmzos25m8ivg.cloudfront.net/Documentos/631/09344362408/6310934436240809092023175855.pdf</v>
      </c>
      <c r="G4311" s="5" t="str">
        <f>HYPERLINK("https://dpmzos25m8ivg.cloudfront.net/Documentos/631/09344362408/6310934436240809092023175908.pdf","https://dpmzos25m8ivg.cloudfront.net/Documentos/631/09344362408/6310934436240809092023175908.pdf")</f>
        <v>https://dpmzos25m8ivg.cloudfront.net/Documentos/631/09344362408/6310934436240809092023175908.pdf</v>
      </c>
      <c r="H4311" s="5" t="s">
        <v>12886</v>
      </c>
    </row>
    <row r="4312" spans="1:8" x14ac:dyDescent="0.25">
      <c r="A4312" s="2" t="s">
        <v>4334</v>
      </c>
      <c r="B4312" s="3"/>
      <c r="C4312" s="3"/>
      <c r="D4312" s="3"/>
      <c r="E4312" s="5" t="str">
        <f>HYPERLINK("https://dpmzos25m8ivg.cloudfront.net/Documentos/631/09354154409/6310935415440911092023132815.pdf","https://dpmzos25m8ivg.cloudfront.net/Documentos/631/09354154409/6310935415440911092023132815.pdf")</f>
        <v>https://dpmzos25m8ivg.cloudfront.net/Documentos/631/09354154409/6310935415440911092023132815.pdf</v>
      </c>
      <c r="F4312" s="5" t="str">
        <f>HYPERLINK("https://dpmzos25m8ivg.cloudfront.net/Documentos/631/09354154409/6310935415440911092023132845.pdf","https://dpmzos25m8ivg.cloudfront.net/Documentos/631/09354154409/6310935415440911092023132845.pdf")</f>
        <v>https://dpmzos25m8ivg.cloudfront.net/Documentos/631/09354154409/6310935415440911092023132845.pdf</v>
      </c>
      <c r="G4312" s="5" t="str">
        <f>HYPERLINK("https://dpmzos25m8ivg.cloudfront.net/Documentos/631/09354154409/6310935415440911092023132917.pdf","https://dpmzos25m8ivg.cloudfront.net/Documentos/631/09354154409/6310935415440911092023132917.pdf")</f>
        <v>https://dpmzos25m8ivg.cloudfront.net/Documentos/631/09354154409/6310935415440911092023132917.pdf</v>
      </c>
      <c r="H4312" s="5" t="s">
        <v>12887</v>
      </c>
    </row>
    <row r="4313" spans="1:8" x14ac:dyDescent="0.25">
      <c r="A4313" s="2" t="s">
        <v>4335</v>
      </c>
      <c r="B4313" s="3"/>
      <c r="C4313" s="3"/>
      <c r="D4313" s="3"/>
      <c r="E4313" s="5" t="str">
        <f>HYPERLINK("https://dpmzos25m8ivg.cloudfront.net/Documentos/631/09362779552/6310936277955210092023185626.jpeg","https://dpmzos25m8ivg.cloudfront.net/Documentos/631/09362779552/6310936277955210092023185626.jpeg")</f>
        <v>https://dpmzos25m8ivg.cloudfront.net/Documentos/631/09362779552/6310936277955210092023185626.jpeg</v>
      </c>
      <c r="F4313" s="5" t="str">
        <f>HYPERLINK("https://dpmzos25m8ivg.cloudfront.net/Documentos/631/09362779552/6310936277955210092023185638.jpeg","https://dpmzos25m8ivg.cloudfront.net/Documentos/631/09362779552/6310936277955210092023185638.jpeg")</f>
        <v>https://dpmzos25m8ivg.cloudfront.net/Documentos/631/09362779552/6310936277955210092023185638.jpeg</v>
      </c>
      <c r="G4313" s="5" t="str">
        <f>HYPERLINK("https://dpmzos25m8ivg.cloudfront.net/Documentos/631/09362779552/6310936277955210092023185649.jpeg","https://dpmzos25m8ivg.cloudfront.net/Documentos/631/09362779552/6310936277955210092023185649.jpeg")</f>
        <v>https://dpmzos25m8ivg.cloudfront.net/Documentos/631/09362779552/6310936277955210092023185649.jpeg</v>
      </c>
      <c r="H4313" s="5" t="s">
        <v>12888</v>
      </c>
    </row>
    <row r="4314" spans="1:8" x14ac:dyDescent="0.25">
      <c r="A4314" s="2" t="s">
        <v>4336</v>
      </c>
      <c r="B4314" s="3" t="s">
        <v>8</v>
      </c>
      <c r="C4314" s="3"/>
      <c r="D4314" s="3"/>
      <c r="E4314" s="5" t="str">
        <f>HYPERLINK("https://dpmzos25m8ivg.cloudfront.net/Documentos/631/09366618600/6310936661860005092023211131.pdf","https://dpmzos25m8ivg.cloudfront.net/Documentos/631/09366618600/6310936661860005092023211131.pdf")</f>
        <v>https://dpmzos25m8ivg.cloudfront.net/Documentos/631/09366618600/6310936661860005092023211131.pdf</v>
      </c>
      <c r="F4314" s="5" t="str">
        <f>HYPERLINK("https://dpmzos25m8ivg.cloudfront.net/Documentos/631/09366618600/6310936661860005092023211147.pdf","https://dpmzos25m8ivg.cloudfront.net/Documentos/631/09366618600/6310936661860005092023211147.pdf")</f>
        <v>https://dpmzos25m8ivg.cloudfront.net/Documentos/631/09366618600/6310936661860005092023211147.pdf</v>
      </c>
      <c r="G4314" s="5" t="str">
        <f>HYPERLINK("https://dpmzos25m8ivg.cloudfront.net/Documentos/631/09366618600/6310936661860005092023211205.pdf","https://dpmzos25m8ivg.cloudfront.net/Documentos/631/09366618600/6310936661860005092023211205.pdf")</f>
        <v>https://dpmzos25m8ivg.cloudfront.net/Documentos/631/09366618600/6310936661860005092023211205.pdf</v>
      </c>
      <c r="H4314" s="5" t="s">
        <v>12889</v>
      </c>
    </row>
    <row r="4315" spans="1:8" x14ac:dyDescent="0.25">
      <c r="A4315" s="2" t="s">
        <v>4337</v>
      </c>
      <c r="B4315" s="3" t="s">
        <v>90</v>
      </c>
      <c r="C4315" s="3"/>
      <c r="D4315" s="3"/>
      <c r="E4315" s="5" t="str">
        <f>HYPERLINK("https://dpmzos25m8ivg.cloudfront.net/Documentos/631/09368557462/6310936855746211092023101101.jpg","https://dpmzos25m8ivg.cloudfront.net/Documentos/631/09368557462/6310936855746211092023101101.jpg")</f>
        <v>https://dpmzos25m8ivg.cloudfront.net/Documentos/631/09368557462/6310936855746211092023101101.jpg</v>
      </c>
      <c r="F4315" s="5" t="str">
        <f>HYPERLINK("https://dpmzos25m8ivg.cloudfront.net/Documentos/631/09368557462/6310936855746211092023101109.jpg","https://dpmzos25m8ivg.cloudfront.net/Documentos/631/09368557462/6310936855746211092023101109.jpg")</f>
        <v>https://dpmzos25m8ivg.cloudfront.net/Documentos/631/09368557462/6310936855746211092023101109.jpg</v>
      </c>
      <c r="G4315" s="5" t="str">
        <f>HYPERLINK("https://dpmzos25m8ivg.cloudfront.net/Documentos/631/09368557462/6310936855746211092023101115.jpg","https://dpmzos25m8ivg.cloudfront.net/Documentos/631/09368557462/6310936855746211092023101115.jpg")</f>
        <v>https://dpmzos25m8ivg.cloudfront.net/Documentos/631/09368557462/6310936855746211092023101115.jpg</v>
      </c>
      <c r="H4315" s="5" t="s">
        <v>12890</v>
      </c>
    </row>
    <row r="4316" spans="1:8" x14ac:dyDescent="0.25">
      <c r="A4316" s="2" t="s">
        <v>4338</v>
      </c>
      <c r="B4316" s="19" t="s">
        <v>3385</v>
      </c>
      <c r="C4316" s="3"/>
      <c r="D4316" s="3"/>
      <c r="E4316" s="5" t="str">
        <f>HYPERLINK("https://dpmzos25m8ivg.cloudfront.net/Documentos/631/09369734716/6310936973471611092023114515.pdf","https://dpmzos25m8ivg.cloudfront.net/Documentos/631/09369734716/6310936973471611092023114515.pdf")</f>
        <v>https://dpmzos25m8ivg.cloudfront.net/Documentos/631/09369734716/6310936973471611092023114515.pdf</v>
      </c>
      <c r="F4316" s="5" t="str">
        <f>HYPERLINK("https://dpmzos25m8ivg.cloudfront.net/Documentos/631/09369734716/6310936973471611092023114531.pdf","https://dpmzos25m8ivg.cloudfront.net/Documentos/631/09369734716/6310936973471611092023114531.pdf")</f>
        <v>https://dpmzos25m8ivg.cloudfront.net/Documentos/631/09369734716/6310936973471611092023114531.pdf</v>
      </c>
      <c r="G4316" s="5" t="str">
        <f>HYPERLINK("https://dpmzos25m8ivg.cloudfront.net/Documentos/631/09369734716/6310936973471611092023114551.pdf","https://dpmzos25m8ivg.cloudfront.net/Documentos/631/09369734716/6310936973471611092023114551.pdf")</f>
        <v>https://dpmzos25m8ivg.cloudfront.net/Documentos/631/09369734716/6310936973471611092023114551.pdf</v>
      </c>
      <c r="H4316" s="5" t="s">
        <v>12891</v>
      </c>
    </row>
    <row r="4317" spans="1:8" x14ac:dyDescent="0.25">
      <c r="A4317" s="2" t="s">
        <v>4339</v>
      </c>
      <c r="B4317" s="3"/>
      <c r="C4317" s="3"/>
      <c r="D4317" s="3"/>
      <c r="E4317" s="5" t="str">
        <f>HYPERLINK("https://dpmzos25m8ivg.cloudfront.net/Documentos/631/09370636650/6310937063665009092023201218.jpg","https://dpmzos25m8ivg.cloudfront.net/Documentos/631/09370636650/6310937063665009092023201218.jpg")</f>
        <v>https://dpmzos25m8ivg.cloudfront.net/Documentos/631/09370636650/6310937063665009092023201218.jpg</v>
      </c>
      <c r="F4317" s="5" t="str">
        <f>HYPERLINK("https://dpmzos25m8ivg.cloudfront.net/Documentos/631/09370636650/6310937063665009092023201226.jpg","https://dpmzos25m8ivg.cloudfront.net/Documentos/631/09370636650/6310937063665009092023201226.jpg")</f>
        <v>https://dpmzos25m8ivg.cloudfront.net/Documentos/631/09370636650/6310937063665009092023201226.jpg</v>
      </c>
      <c r="G4317" s="5" t="str">
        <f>HYPERLINK("https://dpmzos25m8ivg.cloudfront.net/Documentos/631/09370636650/6310937063665009092023201234.jpg","https://dpmzos25m8ivg.cloudfront.net/Documentos/631/09370636650/6310937063665009092023201234.jpg")</f>
        <v>https://dpmzos25m8ivg.cloudfront.net/Documentos/631/09370636650/6310937063665009092023201234.jpg</v>
      </c>
      <c r="H4317" s="5" t="s">
        <v>12892</v>
      </c>
    </row>
    <row r="4318" spans="1:8" x14ac:dyDescent="0.25">
      <c r="A4318" s="2" t="s">
        <v>4340</v>
      </c>
      <c r="B4318" s="3"/>
      <c r="C4318" s="3"/>
      <c r="D4318" s="3"/>
      <c r="E4318" s="5" t="str">
        <f>HYPERLINK("https://dpmzos25m8ivg.cloudfront.net/Documentos/631/09372692476/6310937269247611092023125150.jpg","https://dpmzos25m8ivg.cloudfront.net/Documentos/631/09372692476/6310937269247611092023125150.jpg")</f>
        <v>https://dpmzos25m8ivg.cloudfront.net/Documentos/631/09372692476/6310937269247611092023125150.jpg</v>
      </c>
      <c r="F4318" s="5" t="str">
        <f>HYPERLINK("https://dpmzos25m8ivg.cloudfront.net/Documentos/631/09372692476/6310937269247611092023125205.jpg","https://dpmzos25m8ivg.cloudfront.net/Documentos/631/09372692476/6310937269247611092023125205.jpg")</f>
        <v>https://dpmzos25m8ivg.cloudfront.net/Documentos/631/09372692476/6310937269247611092023125205.jpg</v>
      </c>
      <c r="G4318" s="5" t="str">
        <f>HYPERLINK("https://dpmzos25m8ivg.cloudfront.net/Documentos/631/09372692476/6310937269247611092023125213.jpg","https://dpmzos25m8ivg.cloudfront.net/Documentos/631/09372692476/6310937269247611092023125213.jpg")</f>
        <v>https://dpmzos25m8ivg.cloudfront.net/Documentos/631/09372692476/6310937269247611092023125213.jpg</v>
      </c>
      <c r="H4318" s="5" t="s">
        <v>12893</v>
      </c>
    </row>
    <row r="4319" spans="1:8" x14ac:dyDescent="0.25">
      <c r="A4319" s="2" t="s">
        <v>4341</v>
      </c>
      <c r="B4319" s="3"/>
      <c r="C4319" s="3"/>
      <c r="D4319" s="3"/>
      <c r="E4319" s="5" t="str">
        <f>HYPERLINK("https://dpmzos25m8ivg.cloudfront.net/Documentos/631/09373511645/6310937351164505092023211840.pdf","https://dpmzos25m8ivg.cloudfront.net/Documentos/631/09373511645/6310937351164505092023211840.pdf")</f>
        <v>https://dpmzos25m8ivg.cloudfront.net/Documentos/631/09373511645/6310937351164505092023211840.pdf</v>
      </c>
      <c r="F4319" s="5" t="str">
        <f>HYPERLINK("https://dpmzos25m8ivg.cloudfront.net/Documentos/631/09373511645/6310937351164505092023211904.pdf","https://dpmzos25m8ivg.cloudfront.net/Documentos/631/09373511645/6310937351164505092023211904.pdf")</f>
        <v>https://dpmzos25m8ivg.cloudfront.net/Documentos/631/09373511645/6310937351164505092023211904.pdf</v>
      </c>
      <c r="G4319" s="5" t="str">
        <f>HYPERLINK("https://dpmzos25m8ivg.cloudfront.net/Documentos/631/09373511645/6310937351164505092023211934.pdf","https://dpmzos25m8ivg.cloudfront.net/Documentos/631/09373511645/6310937351164505092023211934.pdf")</f>
        <v>https://dpmzos25m8ivg.cloudfront.net/Documentos/631/09373511645/6310937351164505092023211934.pdf</v>
      </c>
      <c r="H4319" s="5" t="s">
        <v>12894</v>
      </c>
    </row>
    <row r="4320" spans="1:8" x14ac:dyDescent="0.25">
      <c r="A4320" s="2" t="s">
        <v>4342</v>
      </c>
      <c r="B4320" s="3" t="s">
        <v>90</v>
      </c>
      <c r="C4320" s="3"/>
      <c r="D4320" s="3"/>
      <c r="E4320" s="5" t="str">
        <f>HYPERLINK("https://dpmzos25m8ivg.cloudfront.net/Documentos/631/09378915680/6310937891568005092023123950.jpg","https://dpmzos25m8ivg.cloudfront.net/Documentos/631/09378915680/6310937891568005092023123950.jpg")</f>
        <v>https://dpmzos25m8ivg.cloudfront.net/Documentos/631/09378915680/6310937891568005092023123950.jpg</v>
      </c>
      <c r="F4320" s="5" t="str">
        <f>HYPERLINK("https://dpmzos25m8ivg.cloudfront.net/Documentos/631/09378915680/6310937891568005092023124013.jpg","https://dpmzos25m8ivg.cloudfront.net/Documentos/631/09378915680/6310937891568005092023124013.jpg")</f>
        <v>https://dpmzos25m8ivg.cloudfront.net/Documentos/631/09378915680/6310937891568005092023124013.jpg</v>
      </c>
      <c r="G4320" s="5" t="str">
        <f>HYPERLINK("https://dpmzos25m8ivg.cloudfront.net/Documentos/631/09378915680/6310937891568005092023124037.jpg","https://dpmzos25m8ivg.cloudfront.net/Documentos/631/09378915680/6310937891568005092023124037.jpg")</f>
        <v>https://dpmzos25m8ivg.cloudfront.net/Documentos/631/09378915680/6310937891568005092023124037.jpg</v>
      </c>
      <c r="H4320" s="5" t="s">
        <v>12895</v>
      </c>
    </row>
    <row r="4321" spans="1:8" x14ac:dyDescent="0.25">
      <c r="A4321" s="2" t="s">
        <v>4343</v>
      </c>
      <c r="B4321" s="3"/>
      <c r="C4321" s="3"/>
      <c r="D4321" s="3"/>
      <c r="E4321" s="5" t="str">
        <f>HYPERLINK("https://dpmzos25m8ivg.cloudfront.net/Documentos/631/09391868452/6310939186845205092023195021.jpg","https://dpmzos25m8ivg.cloudfront.net/Documentos/631/09391868452/6310939186845205092023195021.jpg")</f>
        <v>https://dpmzos25m8ivg.cloudfront.net/Documentos/631/09391868452/6310939186845205092023195021.jpg</v>
      </c>
      <c r="F4321" s="5" t="str">
        <f>HYPERLINK("https://dpmzos25m8ivg.cloudfront.net/Documentos/631/09391868452/6310939186845205092023195038.jpg","https://dpmzos25m8ivg.cloudfront.net/Documentos/631/09391868452/6310939186845205092023195038.jpg")</f>
        <v>https://dpmzos25m8ivg.cloudfront.net/Documentos/631/09391868452/6310939186845205092023195038.jpg</v>
      </c>
      <c r="G4321" s="5" t="str">
        <f>HYPERLINK("https://dpmzos25m8ivg.cloudfront.net/Documentos/631/09391868452/6310939186845205092023195055.jpg","https://dpmzos25m8ivg.cloudfront.net/Documentos/631/09391868452/6310939186845205092023195055.jpg")</f>
        <v>https://dpmzos25m8ivg.cloudfront.net/Documentos/631/09391868452/6310939186845205092023195055.jpg</v>
      </c>
      <c r="H4321" s="5" t="s">
        <v>12896</v>
      </c>
    </row>
    <row r="4322" spans="1:8" x14ac:dyDescent="0.25">
      <c r="A4322" s="2" t="s">
        <v>4344</v>
      </c>
      <c r="B4322" s="3"/>
      <c r="C4322" s="3"/>
      <c r="D4322" s="3"/>
      <c r="E4322" s="5" t="str">
        <f>HYPERLINK("https://dpmzos25m8ivg.cloudfront.net/Documentos/631/09391986650/6310939198665005092023104331.pdf","https://dpmzos25m8ivg.cloudfront.net/Documentos/631/09391986650/6310939198665005092023104331.pdf")</f>
        <v>https://dpmzos25m8ivg.cloudfront.net/Documentos/631/09391986650/6310939198665005092023104331.pdf</v>
      </c>
      <c r="F4322" s="5" t="str">
        <f>HYPERLINK("https://dpmzos25m8ivg.cloudfront.net/Documentos/631/09391986650/6310939198665005092023104352.pdf","https://dpmzos25m8ivg.cloudfront.net/Documentos/631/09391986650/6310939198665005092023104352.pdf")</f>
        <v>https://dpmzos25m8ivg.cloudfront.net/Documentos/631/09391986650/6310939198665005092023104352.pdf</v>
      </c>
      <c r="G4322" s="5" t="str">
        <f>HYPERLINK("https://dpmzos25m8ivg.cloudfront.net/Documentos/631/09391986650/6310939198665005092023104413.pdf","https://dpmzos25m8ivg.cloudfront.net/Documentos/631/09391986650/6310939198665005092023104413.pdf")</f>
        <v>https://dpmzos25m8ivg.cloudfront.net/Documentos/631/09391986650/6310939198665005092023104413.pdf</v>
      </c>
      <c r="H4322" s="5" t="s">
        <v>12897</v>
      </c>
    </row>
    <row r="4323" spans="1:8" x14ac:dyDescent="0.25">
      <c r="A4323" s="2" t="s">
        <v>4345</v>
      </c>
      <c r="B4323" s="3"/>
      <c r="C4323" s="3"/>
      <c r="D4323" s="3"/>
      <c r="E4323" s="5" t="str">
        <f>HYPERLINK("https://dpmzos25m8ivg.cloudfront.net/Documentos/631/09395352973/6310939535297305092023110510.pdf","https://dpmzos25m8ivg.cloudfront.net/Documentos/631/09395352973/6310939535297305092023110510.pdf")</f>
        <v>https://dpmzos25m8ivg.cloudfront.net/Documentos/631/09395352973/6310939535297305092023110510.pdf</v>
      </c>
      <c r="F4323" s="5" t="str">
        <f>HYPERLINK("https://dpmzos25m8ivg.cloudfront.net/Documentos/631/09395352973/6310939535297305092023110520.pdf","https://dpmzos25m8ivg.cloudfront.net/Documentos/631/09395352973/6310939535297305092023110520.pdf")</f>
        <v>https://dpmzos25m8ivg.cloudfront.net/Documentos/631/09395352973/6310939535297305092023110520.pdf</v>
      </c>
      <c r="G4323" s="5" t="str">
        <f>HYPERLINK("https://dpmzos25m8ivg.cloudfront.net/Documentos/631/09395352973/6310939535297305092023110529.pdf","https://dpmzos25m8ivg.cloudfront.net/Documentos/631/09395352973/6310939535297305092023110529.pdf")</f>
        <v>https://dpmzos25m8ivg.cloudfront.net/Documentos/631/09395352973/6310939535297305092023110529.pdf</v>
      </c>
      <c r="H4323" s="5" t="s">
        <v>12898</v>
      </c>
    </row>
    <row r="4324" spans="1:8" x14ac:dyDescent="0.25">
      <c r="A4324" s="2" t="s">
        <v>4346</v>
      </c>
      <c r="B4324" s="3"/>
      <c r="C4324" s="3"/>
      <c r="D4324" s="3"/>
      <c r="E4324" s="5" t="str">
        <f>HYPERLINK("https://dpmzos25m8ivg.cloudfront.net/Documentos/631/09396170488/6310939617048810092023092650.pdf","https://dpmzos25m8ivg.cloudfront.net/Documentos/631/09396170488/6310939617048810092023092650.pdf")</f>
        <v>https://dpmzos25m8ivg.cloudfront.net/Documentos/631/09396170488/6310939617048810092023092650.pdf</v>
      </c>
      <c r="F4324" s="5" t="str">
        <f>HYPERLINK("https://dpmzos25m8ivg.cloudfront.net/Documentos/631/09396170488/6310939617048810092023092708.pdf","https://dpmzos25m8ivg.cloudfront.net/Documentos/631/09396170488/6310939617048810092023092708.pdf")</f>
        <v>https://dpmzos25m8ivg.cloudfront.net/Documentos/631/09396170488/6310939617048810092023092708.pdf</v>
      </c>
      <c r="G4324" s="5" t="str">
        <f>HYPERLINK("https://dpmzos25m8ivg.cloudfront.net/Documentos/631/09396170488/6310939617048810092023092717.pdf","https://dpmzos25m8ivg.cloudfront.net/Documentos/631/09396170488/6310939617048810092023092717.pdf")</f>
        <v>https://dpmzos25m8ivg.cloudfront.net/Documentos/631/09396170488/6310939617048810092023092717.pdf</v>
      </c>
      <c r="H4324" s="5" t="s">
        <v>12899</v>
      </c>
    </row>
    <row r="4325" spans="1:8" x14ac:dyDescent="0.25">
      <c r="A4325" s="2" t="s">
        <v>4347</v>
      </c>
      <c r="B4325" s="3" t="s">
        <v>90</v>
      </c>
      <c r="C4325" s="3"/>
      <c r="D4325" s="3"/>
      <c r="E4325" s="5" t="str">
        <f>HYPERLINK("https://dpmzos25m8ivg.cloudfront.net/Documentos/631/09397101960/6310939710196005092023231206.jpg","https://dpmzos25m8ivg.cloudfront.net/Documentos/631/09397101960/6310939710196005092023231206.jpg")</f>
        <v>https://dpmzos25m8ivg.cloudfront.net/Documentos/631/09397101960/6310939710196005092023231206.jpg</v>
      </c>
      <c r="F4325" s="5" t="str">
        <f>HYPERLINK("https://dpmzos25m8ivg.cloudfront.net/Documentos/631/09397101960/6310939710196005092023231217.jpg","https://dpmzos25m8ivg.cloudfront.net/Documentos/631/09397101960/6310939710196005092023231217.jpg")</f>
        <v>https://dpmzos25m8ivg.cloudfront.net/Documentos/631/09397101960/6310939710196005092023231217.jpg</v>
      </c>
      <c r="G4325" s="5" t="str">
        <f>HYPERLINK("https://dpmzos25m8ivg.cloudfront.net/Documentos/631/09397101960/6310939710196005092023231248.jpg","https://dpmzos25m8ivg.cloudfront.net/Documentos/631/09397101960/6310939710196005092023231248.jpg")</f>
        <v>https://dpmzos25m8ivg.cloudfront.net/Documentos/631/09397101960/6310939710196005092023231248.jpg</v>
      </c>
      <c r="H4325" s="5" t="s">
        <v>12900</v>
      </c>
    </row>
    <row r="4326" spans="1:8" x14ac:dyDescent="0.25">
      <c r="A4326" s="2" t="s">
        <v>4348</v>
      </c>
      <c r="B4326" s="3"/>
      <c r="C4326" s="3"/>
      <c r="D4326" s="3"/>
      <c r="E4326" s="5" t="str">
        <f>HYPERLINK("https://dpmzos25m8ivg.cloudfront.net/Documentos/631/09397560484/6310939756048406092023163657.pdf","https://dpmzos25m8ivg.cloudfront.net/Documentos/631/09397560484/6310939756048406092023163657.pdf")</f>
        <v>https://dpmzos25m8ivg.cloudfront.net/Documentos/631/09397560484/6310939756048406092023163657.pdf</v>
      </c>
      <c r="F4326" s="5" t="str">
        <f>HYPERLINK("https://dpmzos25m8ivg.cloudfront.net/Documentos/631/09397560484/6310939756048406092023163706.pdf","https://dpmzos25m8ivg.cloudfront.net/Documentos/631/09397560484/6310939756048406092023163706.pdf")</f>
        <v>https://dpmzos25m8ivg.cloudfront.net/Documentos/631/09397560484/6310939756048406092023163706.pdf</v>
      </c>
      <c r="G4326" s="5" t="str">
        <f>HYPERLINK("https://dpmzos25m8ivg.cloudfront.net/Documentos/631/09397560484/6310939756048406092023163717.pdf","https://dpmzos25m8ivg.cloudfront.net/Documentos/631/09397560484/6310939756048406092023163717.pdf")</f>
        <v>https://dpmzos25m8ivg.cloudfront.net/Documentos/631/09397560484/6310939756048406092023163717.pdf</v>
      </c>
      <c r="H4326" s="5" t="s">
        <v>12901</v>
      </c>
    </row>
    <row r="4327" spans="1:8" x14ac:dyDescent="0.25">
      <c r="A4327" s="2" t="s">
        <v>4349</v>
      </c>
      <c r="B4327" s="3"/>
      <c r="C4327" s="3"/>
      <c r="D4327" s="3"/>
      <c r="E4327" s="5" t="str">
        <f>HYPERLINK("https://dpmzos25m8ivg.cloudfront.net/Documentos/631/09409333490/6310940933349011092023142241.jpeg","https://dpmzos25m8ivg.cloudfront.net/Documentos/631/09409333490/6310940933349011092023142241.jpeg")</f>
        <v>https://dpmzos25m8ivg.cloudfront.net/Documentos/631/09409333490/6310940933349011092023142241.jpeg</v>
      </c>
      <c r="F4327" s="5" t="str">
        <f>HYPERLINK("https://dpmzos25m8ivg.cloudfront.net/Documentos/631/09409333490/6310940933349011092023142253.jpeg","https://dpmzos25m8ivg.cloudfront.net/Documentos/631/09409333490/6310940933349011092023142253.jpeg")</f>
        <v>https://dpmzos25m8ivg.cloudfront.net/Documentos/631/09409333490/6310940933349011092023142253.jpeg</v>
      </c>
      <c r="G4327" s="5" t="str">
        <f>HYPERLINK("https://dpmzos25m8ivg.cloudfront.net/Documentos/631/09409333490/6310940933349011092023142304.jpeg","https://dpmzos25m8ivg.cloudfront.net/Documentos/631/09409333490/6310940933349011092023142304.jpeg")</f>
        <v>https://dpmzos25m8ivg.cloudfront.net/Documentos/631/09409333490/6310940933349011092023142304.jpeg</v>
      </c>
      <c r="H4327" s="5" t="s">
        <v>12902</v>
      </c>
    </row>
    <row r="4328" spans="1:8" x14ac:dyDescent="0.25">
      <c r="A4328" s="2" t="s">
        <v>4350</v>
      </c>
      <c r="B4328" s="3"/>
      <c r="C4328" s="3"/>
      <c r="D4328" s="3"/>
      <c r="E4328" s="5" t="str">
        <f>HYPERLINK("https://dpmzos25m8ivg.cloudfront.net/Documentos/631/09410947405/6310941094740509092023143557.pdf","https://dpmzos25m8ivg.cloudfront.net/Documentos/631/09410947405/6310941094740509092023143557.pdf")</f>
        <v>https://dpmzos25m8ivg.cloudfront.net/Documentos/631/09410947405/6310941094740509092023143557.pdf</v>
      </c>
      <c r="F4328" s="5" t="str">
        <f>HYPERLINK("https://dpmzos25m8ivg.cloudfront.net/Documentos/631/09410947405/6310941094740509092023143617.pdf","https://dpmzos25m8ivg.cloudfront.net/Documentos/631/09410947405/6310941094740509092023143617.pdf")</f>
        <v>https://dpmzos25m8ivg.cloudfront.net/Documentos/631/09410947405/6310941094740509092023143617.pdf</v>
      </c>
      <c r="G4328" s="5" t="str">
        <f>HYPERLINK("https://dpmzos25m8ivg.cloudfront.net/Documentos/631/09410947405/6310941094740509092023143638.pdf","https://dpmzos25m8ivg.cloudfront.net/Documentos/631/09410947405/6310941094740509092023143638.pdf")</f>
        <v>https://dpmzos25m8ivg.cloudfront.net/Documentos/631/09410947405/6310941094740509092023143638.pdf</v>
      </c>
      <c r="H4328" s="5" t="s">
        <v>12903</v>
      </c>
    </row>
    <row r="4329" spans="1:8" x14ac:dyDescent="0.25">
      <c r="A4329" s="2" t="s">
        <v>4351</v>
      </c>
      <c r="B4329" s="3"/>
      <c r="C4329" s="3"/>
      <c r="D4329" s="3"/>
      <c r="E4329" s="5" t="str">
        <f>HYPERLINK("https://dpmzos25m8ivg.cloudfront.net/Documentos/631/09414272933/6310941427293311092023160854.pdf","https://dpmzos25m8ivg.cloudfront.net/Documentos/631/09414272933/6310941427293311092023160854.pdf")</f>
        <v>https://dpmzos25m8ivg.cloudfront.net/Documentos/631/09414272933/6310941427293311092023160854.pdf</v>
      </c>
      <c r="F4329" s="5" t="str">
        <f>HYPERLINK("https://dpmzos25m8ivg.cloudfront.net/Documentos/631/09414272933/6310941427293311092023161143.pdf","https://dpmzos25m8ivg.cloudfront.net/Documentos/631/09414272933/6310941427293311092023161143.pdf")</f>
        <v>https://dpmzos25m8ivg.cloudfront.net/Documentos/631/09414272933/6310941427293311092023161143.pdf</v>
      </c>
      <c r="G4329" s="5" t="str">
        <f>HYPERLINK("https://dpmzos25m8ivg.cloudfront.net/Documentos/631/09414272933/6310941427293311092023161412.pdf","https://dpmzos25m8ivg.cloudfront.net/Documentos/631/09414272933/6310941427293311092023161412.pdf")</f>
        <v>https://dpmzos25m8ivg.cloudfront.net/Documentos/631/09414272933/6310941427293311092023161412.pdf</v>
      </c>
      <c r="H4329" s="5" t="s">
        <v>12904</v>
      </c>
    </row>
    <row r="4330" spans="1:8" x14ac:dyDescent="0.25">
      <c r="A4330" s="2" t="s">
        <v>4352</v>
      </c>
      <c r="B4330" s="3"/>
      <c r="C4330" s="3"/>
      <c r="D4330" s="3"/>
      <c r="E4330" s="5" t="str">
        <f>HYPERLINK("https://dpmzos25m8ivg.cloudfront.net/Documentos/631/09415795492/6310941579549211092023124518.pdf","https://dpmzos25m8ivg.cloudfront.net/Documentos/631/09415795492/6310941579549211092023124518.pdf")</f>
        <v>https://dpmzos25m8ivg.cloudfront.net/Documentos/631/09415795492/6310941579549211092023124518.pdf</v>
      </c>
      <c r="F4330" s="5" t="str">
        <f>HYPERLINK("https://dpmzos25m8ivg.cloudfront.net/Documentos/631/09415795492/6310941579549211092023124527.pdf","https://dpmzos25m8ivg.cloudfront.net/Documentos/631/09415795492/6310941579549211092023124527.pdf")</f>
        <v>https://dpmzos25m8ivg.cloudfront.net/Documentos/631/09415795492/6310941579549211092023124527.pdf</v>
      </c>
      <c r="G4330" s="5" t="str">
        <f>HYPERLINK("https://dpmzos25m8ivg.cloudfront.net/Documentos/631/09415795492/6310941579549211092023124538.pdf","https://dpmzos25m8ivg.cloudfront.net/Documentos/631/09415795492/6310941579549211092023124538.pdf")</f>
        <v>https://dpmzos25m8ivg.cloudfront.net/Documentos/631/09415795492/6310941579549211092023124538.pdf</v>
      </c>
      <c r="H4330" s="5" t="s">
        <v>12905</v>
      </c>
    </row>
    <row r="4331" spans="1:8" x14ac:dyDescent="0.25">
      <c r="A4331" s="2" t="s">
        <v>4353</v>
      </c>
      <c r="B4331" s="3"/>
      <c r="C4331" s="3"/>
      <c r="D4331" s="3"/>
      <c r="E4331" s="5" t="str">
        <f>HYPERLINK("https://dpmzos25m8ivg.cloudfront.net/Documentos/631/09428264423/6310942826442305092023183149.pdf","https://dpmzos25m8ivg.cloudfront.net/Documentos/631/09428264423/6310942826442305092023183149.pdf")</f>
        <v>https://dpmzos25m8ivg.cloudfront.net/Documentos/631/09428264423/6310942826442305092023183149.pdf</v>
      </c>
      <c r="F4331" s="5" t="str">
        <f>HYPERLINK("https://dpmzos25m8ivg.cloudfront.net/Documentos/631/09428264423/6310942826442305092023183326.pdf","https://dpmzos25m8ivg.cloudfront.net/Documentos/631/09428264423/6310942826442305092023183326.pdf")</f>
        <v>https://dpmzos25m8ivg.cloudfront.net/Documentos/631/09428264423/6310942826442305092023183326.pdf</v>
      </c>
      <c r="G4331" s="5" t="str">
        <f>HYPERLINK("https://dpmzos25m8ivg.cloudfront.net/Documentos/631/09428264423/6310942826442305092023183353.pdf","https://dpmzos25m8ivg.cloudfront.net/Documentos/631/09428264423/6310942826442305092023183353.pdf")</f>
        <v>https://dpmzos25m8ivg.cloudfront.net/Documentos/631/09428264423/6310942826442305092023183353.pdf</v>
      </c>
      <c r="H4331" s="5" t="s">
        <v>12906</v>
      </c>
    </row>
    <row r="4332" spans="1:8" x14ac:dyDescent="0.25">
      <c r="A4332" s="2" t="s">
        <v>4354</v>
      </c>
      <c r="B4332" s="3"/>
      <c r="C4332" s="3"/>
      <c r="D4332" s="3"/>
      <c r="E4332" s="5" t="str">
        <f>HYPERLINK("https://dpmzos25m8ivg.cloudfront.net/Documentos/631/09429863428/6310942986342809092023151748.pdf","https://dpmzos25m8ivg.cloudfront.net/Documentos/631/09429863428/6310942986342809092023151748.pdf")</f>
        <v>https://dpmzos25m8ivg.cloudfront.net/Documentos/631/09429863428/6310942986342809092023151748.pdf</v>
      </c>
      <c r="F4332" s="5" t="str">
        <f>HYPERLINK("https://dpmzos25m8ivg.cloudfront.net/Documentos/631/09429863428/6310942986342809092023151800.pdf","https://dpmzos25m8ivg.cloudfront.net/Documentos/631/09429863428/6310942986342809092023151800.pdf")</f>
        <v>https://dpmzos25m8ivg.cloudfront.net/Documentos/631/09429863428/6310942986342809092023151800.pdf</v>
      </c>
      <c r="G4332" s="5" t="str">
        <f>HYPERLINK("https://dpmzos25m8ivg.cloudfront.net/Documentos/631/09429863428/6310942986342809092023151809.pdf","https://dpmzos25m8ivg.cloudfront.net/Documentos/631/09429863428/6310942986342809092023151809.pdf")</f>
        <v>https://dpmzos25m8ivg.cloudfront.net/Documentos/631/09429863428/6310942986342809092023151809.pdf</v>
      </c>
      <c r="H4332" s="5" t="s">
        <v>12907</v>
      </c>
    </row>
    <row r="4333" spans="1:8" x14ac:dyDescent="0.25">
      <c r="A4333" s="2" t="s">
        <v>4355</v>
      </c>
      <c r="B4333" s="3" t="s">
        <v>90</v>
      </c>
      <c r="C4333" s="3"/>
      <c r="D4333" s="3"/>
      <c r="E4333" s="5" t="str">
        <f>HYPERLINK("https://dpmzos25m8ivg.cloudfront.net/Documentos/631/09429927841/6310942992784108092023120538.pdf","https://dpmzos25m8ivg.cloudfront.net/Documentos/631/09429927841/6310942992784108092023120538.pdf")</f>
        <v>https://dpmzos25m8ivg.cloudfront.net/Documentos/631/09429927841/6310942992784108092023120538.pdf</v>
      </c>
      <c r="F4333" s="5" t="str">
        <f>HYPERLINK("https://dpmzos25m8ivg.cloudfront.net/Documentos/631/09429927841/6310942992784108092023120622.pdf","https://dpmzos25m8ivg.cloudfront.net/Documentos/631/09429927841/6310942992784108092023120622.pdf")</f>
        <v>https://dpmzos25m8ivg.cloudfront.net/Documentos/631/09429927841/6310942992784108092023120622.pdf</v>
      </c>
      <c r="G4333" s="5" t="str">
        <f>HYPERLINK("https://dpmzos25m8ivg.cloudfront.net/Documentos/631/09429927841/6310942992784108092023120644.pdf","https://dpmzos25m8ivg.cloudfront.net/Documentos/631/09429927841/6310942992784108092023120644.pdf")</f>
        <v>https://dpmzos25m8ivg.cloudfront.net/Documentos/631/09429927841/6310942992784108092023120644.pdf</v>
      </c>
      <c r="H4333" s="5" t="s">
        <v>12908</v>
      </c>
    </row>
    <row r="4334" spans="1:8" x14ac:dyDescent="0.25">
      <c r="A4334" s="2" t="s">
        <v>4356</v>
      </c>
      <c r="B4334" s="3"/>
      <c r="C4334" s="3"/>
      <c r="D4334" s="3"/>
      <c r="E4334" s="5" t="str">
        <f>HYPERLINK("https://dpmzos25m8ivg.cloudfront.net/Documentos/631/09436028407/6310943602840711092023090705.pdf","https://dpmzos25m8ivg.cloudfront.net/Documentos/631/09436028407/6310943602840711092023090705.pdf")</f>
        <v>https://dpmzos25m8ivg.cloudfront.net/Documentos/631/09436028407/6310943602840711092023090705.pdf</v>
      </c>
      <c r="F4334" s="5" t="str">
        <f>HYPERLINK("https://dpmzos25m8ivg.cloudfront.net/Documentos/631/09436028407/6310943602840711092023090736.pdf","https://dpmzos25m8ivg.cloudfront.net/Documentos/631/09436028407/6310943602840711092023090736.pdf")</f>
        <v>https://dpmzos25m8ivg.cloudfront.net/Documentos/631/09436028407/6310943602840711092023090736.pdf</v>
      </c>
      <c r="G4334" s="5" t="str">
        <f>HYPERLINK("https://dpmzos25m8ivg.cloudfront.net/Documentos/631/09436028407/6310943602840711092023090806.pdf","https://dpmzos25m8ivg.cloudfront.net/Documentos/631/09436028407/6310943602840711092023090806.pdf")</f>
        <v>https://dpmzos25m8ivg.cloudfront.net/Documentos/631/09436028407/6310943602840711092023090806.pdf</v>
      </c>
      <c r="H4334" s="5" t="s">
        <v>12909</v>
      </c>
    </row>
    <row r="4335" spans="1:8" x14ac:dyDescent="0.25">
      <c r="A4335" s="2" t="s">
        <v>4357</v>
      </c>
      <c r="B4335" s="3"/>
      <c r="C4335" s="3"/>
      <c r="D4335" s="3"/>
      <c r="E4335" s="5" t="str">
        <f>HYPERLINK("https://dpmzos25m8ivg.cloudfront.net/Documentos/631/09436853467/6310943685346711092023124611.pdf","https://dpmzos25m8ivg.cloudfront.net/Documentos/631/09436853467/6310943685346711092023124611.pdf")</f>
        <v>https://dpmzos25m8ivg.cloudfront.net/Documentos/631/09436853467/6310943685346711092023124611.pdf</v>
      </c>
      <c r="F4335" s="5" t="str">
        <f>HYPERLINK("https://dpmzos25m8ivg.cloudfront.net/Documentos/631/09436853467/6310943685346711092023124629.pdf","https://dpmzos25m8ivg.cloudfront.net/Documentos/631/09436853467/6310943685346711092023124629.pdf")</f>
        <v>https://dpmzos25m8ivg.cloudfront.net/Documentos/631/09436853467/6310943685346711092023124629.pdf</v>
      </c>
      <c r="G4335" s="5" t="str">
        <f>HYPERLINK("https://dpmzos25m8ivg.cloudfront.net/Documentos/631/09436853467/6310943685346711092023124645.pdf","https://dpmzos25m8ivg.cloudfront.net/Documentos/631/09436853467/6310943685346711092023124645.pdf")</f>
        <v>https://dpmzos25m8ivg.cloudfront.net/Documentos/631/09436853467/6310943685346711092023124645.pdf</v>
      </c>
      <c r="H4335" s="5" t="s">
        <v>12910</v>
      </c>
    </row>
    <row r="4336" spans="1:8" x14ac:dyDescent="0.25">
      <c r="A4336" s="2" t="s">
        <v>4358</v>
      </c>
      <c r="B4336" s="3"/>
      <c r="C4336" s="3"/>
      <c r="D4336" s="3"/>
      <c r="E4336" s="5" t="str">
        <f>HYPERLINK("https://dpmzos25m8ivg.cloudfront.net/Documentos/631/09446368456/6310944636845605092023112033.jpeg","https://dpmzos25m8ivg.cloudfront.net/Documentos/631/09446368456/6310944636845605092023112033.jpeg")</f>
        <v>https://dpmzos25m8ivg.cloudfront.net/Documentos/631/09446368456/6310944636845605092023112033.jpeg</v>
      </c>
      <c r="F4336" s="5" t="str">
        <f>HYPERLINK("https://dpmzos25m8ivg.cloudfront.net/Documentos/631/09446368456/6310944636845605092023112048.jpeg","https://dpmzos25m8ivg.cloudfront.net/Documentos/631/09446368456/6310944636845605092023112048.jpeg")</f>
        <v>https://dpmzos25m8ivg.cloudfront.net/Documentos/631/09446368456/6310944636845605092023112048.jpeg</v>
      </c>
      <c r="G4336" s="5" t="str">
        <f>HYPERLINK("https://dpmzos25m8ivg.cloudfront.net/Documentos/631/09446368456/6310944636845605092023112102.jpeg","https://dpmzos25m8ivg.cloudfront.net/Documentos/631/09446368456/6310944636845605092023112102.jpeg")</f>
        <v>https://dpmzos25m8ivg.cloudfront.net/Documentos/631/09446368456/6310944636845605092023112102.jpeg</v>
      </c>
      <c r="H4336" s="5" t="s">
        <v>12911</v>
      </c>
    </row>
    <row r="4337" spans="1:8" x14ac:dyDescent="0.25">
      <c r="A4337" s="2" t="s">
        <v>4359</v>
      </c>
      <c r="B4337" s="3" t="s">
        <v>90</v>
      </c>
      <c r="C4337" s="3"/>
      <c r="D4337" s="3"/>
      <c r="E4337" s="5" t="str">
        <f>HYPERLINK("https://dpmzos25m8ivg.cloudfront.net/Documentos/631/09446868505/6310944686850511092023161708.pdf","https://dpmzos25m8ivg.cloudfront.net/Documentos/631/09446868505/6310944686850511092023161708.pdf")</f>
        <v>https://dpmzos25m8ivg.cloudfront.net/Documentos/631/09446868505/6310944686850511092023161708.pdf</v>
      </c>
      <c r="F4337" s="5" t="str">
        <f>HYPERLINK("https://dpmzos25m8ivg.cloudfront.net/Documentos/631/09446868505/6310944686850511092023161719.pdf","https://dpmzos25m8ivg.cloudfront.net/Documentos/631/09446868505/6310944686850511092023161719.pdf")</f>
        <v>https://dpmzos25m8ivg.cloudfront.net/Documentos/631/09446868505/6310944686850511092023161719.pdf</v>
      </c>
      <c r="G4337" s="5" t="str">
        <f>HYPERLINK("https://dpmzos25m8ivg.cloudfront.net/Documentos/631/09446868505/6310944686850511092023161731.pdf","https://dpmzos25m8ivg.cloudfront.net/Documentos/631/09446868505/6310944686850511092023161731.pdf")</f>
        <v>https://dpmzos25m8ivg.cloudfront.net/Documentos/631/09446868505/6310944686850511092023161731.pdf</v>
      </c>
      <c r="H4337" s="5" t="s">
        <v>12912</v>
      </c>
    </row>
    <row r="4338" spans="1:8" x14ac:dyDescent="0.25">
      <c r="A4338" s="2" t="s">
        <v>4360</v>
      </c>
      <c r="B4338" s="3"/>
      <c r="C4338" s="3"/>
      <c r="D4338" s="3"/>
      <c r="E4338" s="5" t="str">
        <f>HYPERLINK("https://dpmzos25m8ivg.cloudfront.net/Documentos/631/09448202474/6310944820247411092023165239.jpg","https://dpmzos25m8ivg.cloudfront.net/Documentos/631/09448202474/6310944820247411092023165239.jpg")</f>
        <v>https://dpmzos25m8ivg.cloudfront.net/Documentos/631/09448202474/6310944820247411092023165239.jpg</v>
      </c>
      <c r="F4338" s="5" t="str">
        <f>HYPERLINK("https://dpmzos25m8ivg.cloudfront.net/Documentos/631/09448202474/6310944820247411092023165427.jpeg","https://dpmzos25m8ivg.cloudfront.net/Documentos/631/09448202474/6310944820247411092023165427.jpeg")</f>
        <v>https://dpmzos25m8ivg.cloudfront.net/Documentos/631/09448202474/6310944820247411092023165427.jpeg</v>
      </c>
      <c r="G4338" s="5" t="str">
        <f>HYPERLINK("https://dpmzos25m8ivg.cloudfront.net/Documentos/631/09448202474/6310944820247411092023165409.jpeg","https://dpmzos25m8ivg.cloudfront.net/Documentos/631/09448202474/6310944820247411092023165409.jpeg")</f>
        <v>https://dpmzos25m8ivg.cloudfront.net/Documentos/631/09448202474/6310944820247411092023165409.jpeg</v>
      </c>
      <c r="H4338" s="5" t="s">
        <v>12913</v>
      </c>
    </row>
    <row r="4339" spans="1:8" x14ac:dyDescent="0.25">
      <c r="A4339" s="2" t="s">
        <v>4361</v>
      </c>
      <c r="B4339" s="19" t="s">
        <v>3385</v>
      </c>
      <c r="C4339" s="3"/>
      <c r="D4339" s="3"/>
      <c r="E4339" s="5" t="str">
        <f>HYPERLINK("https://dpmzos25m8ivg.cloudfront.net/Documentos/631/09450142602/6310945014260205092023150301.pdf","https://dpmzos25m8ivg.cloudfront.net/Documentos/631/09450142602/6310945014260205092023150301.pdf")</f>
        <v>https://dpmzos25m8ivg.cloudfront.net/Documentos/631/09450142602/6310945014260205092023150301.pdf</v>
      </c>
      <c r="F4339" s="5" t="str">
        <f>HYPERLINK("https://dpmzos25m8ivg.cloudfront.net/Documentos/631/09450142602/6310945014260205092023150311.pdf","https://dpmzos25m8ivg.cloudfront.net/Documentos/631/09450142602/6310945014260205092023150311.pdf")</f>
        <v>https://dpmzos25m8ivg.cloudfront.net/Documentos/631/09450142602/6310945014260205092023150311.pdf</v>
      </c>
      <c r="G4339" s="5" t="str">
        <f>HYPERLINK("https://dpmzos25m8ivg.cloudfront.net/Documentos/631/09450142602/6310945014260205092023150646.pdf","https://dpmzos25m8ivg.cloudfront.net/Documentos/631/09450142602/6310945014260205092023150646.pdf")</f>
        <v>https://dpmzos25m8ivg.cloudfront.net/Documentos/631/09450142602/6310945014260205092023150646.pdf</v>
      </c>
      <c r="H4339" s="5" t="s">
        <v>12914</v>
      </c>
    </row>
    <row r="4340" spans="1:8" x14ac:dyDescent="0.25">
      <c r="A4340" s="2" t="s">
        <v>4362</v>
      </c>
      <c r="B4340" s="3" t="s">
        <v>90</v>
      </c>
      <c r="C4340" s="3"/>
      <c r="D4340" s="3"/>
      <c r="E4340" s="5" t="str">
        <f>HYPERLINK("https://dpmzos25m8ivg.cloudfront.net/Documentos/631/09463265767/6310946326576708092023113151.pdf","https://dpmzos25m8ivg.cloudfront.net/Documentos/631/09463265767/6310946326576708092023113151.pdf")</f>
        <v>https://dpmzos25m8ivg.cloudfront.net/Documentos/631/09463265767/6310946326576708092023113151.pdf</v>
      </c>
      <c r="F4340" s="5" t="str">
        <f>HYPERLINK("https://dpmzos25m8ivg.cloudfront.net/Documentos/631/09463265767/6310946326576708092023113249.pdf","https://dpmzos25m8ivg.cloudfront.net/Documentos/631/09463265767/6310946326576708092023113249.pdf")</f>
        <v>https://dpmzos25m8ivg.cloudfront.net/Documentos/631/09463265767/6310946326576708092023113249.pdf</v>
      </c>
      <c r="G4340" s="5" t="str">
        <f>HYPERLINK("https://dpmzos25m8ivg.cloudfront.net/Documentos/631/09463265767/6310946326576708092023113336.pdf","https://dpmzos25m8ivg.cloudfront.net/Documentos/631/09463265767/6310946326576708092023113336.pdf")</f>
        <v>https://dpmzos25m8ivg.cloudfront.net/Documentos/631/09463265767/6310946326576708092023113336.pdf</v>
      </c>
      <c r="H4340" s="5" t="s">
        <v>12915</v>
      </c>
    </row>
    <row r="4341" spans="1:8" x14ac:dyDescent="0.25">
      <c r="A4341" s="2" t="s">
        <v>4363</v>
      </c>
      <c r="B4341" s="3"/>
      <c r="C4341" s="3"/>
      <c r="D4341" s="3"/>
      <c r="E4341" s="5" t="str">
        <f>HYPERLINK("https://dpmzos25m8ivg.cloudfront.net/Documentos/631/09463500278/6310946350027808092023062533.pdf","https://dpmzos25m8ivg.cloudfront.net/Documentos/631/09463500278/6310946350027808092023062533.pdf")</f>
        <v>https://dpmzos25m8ivg.cloudfront.net/Documentos/631/09463500278/6310946350027808092023062533.pdf</v>
      </c>
      <c r="F4341" s="5" t="str">
        <f>HYPERLINK("https://dpmzos25m8ivg.cloudfront.net/Documentos/631/09463500278/6310946350027808092023062659.pdf","https://dpmzos25m8ivg.cloudfront.net/Documentos/631/09463500278/6310946350027808092023062659.pdf")</f>
        <v>https://dpmzos25m8ivg.cloudfront.net/Documentos/631/09463500278/6310946350027808092023062659.pdf</v>
      </c>
      <c r="G4341" s="5" t="str">
        <f>HYPERLINK("https://dpmzos25m8ivg.cloudfront.net/Documentos/631/09463500278/6310946350027808092023062715.pdf","https://dpmzos25m8ivg.cloudfront.net/Documentos/631/09463500278/6310946350027808092023062715.pdf")</f>
        <v>https://dpmzos25m8ivg.cloudfront.net/Documentos/631/09463500278/6310946350027808092023062715.pdf</v>
      </c>
      <c r="H4341" s="5" t="s">
        <v>12916</v>
      </c>
    </row>
    <row r="4342" spans="1:8" x14ac:dyDescent="0.25">
      <c r="A4342" s="2" t="s">
        <v>4364</v>
      </c>
      <c r="B4342" s="3"/>
      <c r="C4342" s="3"/>
      <c r="D4342" s="3"/>
      <c r="E4342" s="5" t="str">
        <f>HYPERLINK("https://dpmzos25m8ivg.cloudfront.net/Documentos/631/09469312830/6310946931283005092023131328.jpg","https://dpmzos25m8ivg.cloudfront.net/Documentos/631/09469312830/6310946931283005092023131328.jpg")</f>
        <v>https://dpmzos25m8ivg.cloudfront.net/Documentos/631/09469312830/6310946931283005092023131328.jpg</v>
      </c>
      <c r="F4342" s="5" t="str">
        <f>HYPERLINK("https://dpmzos25m8ivg.cloudfront.net/Documentos/631/09469312830/6310946931283005092023131449.jpg","https://dpmzos25m8ivg.cloudfront.net/Documentos/631/09469312830/6310946931283005092023131449.jpg")</f>
        <v>https://dpmzos25m8ivg.cloudfront.net/Documentos/631/09469312830/6310946931283005092023131449.jpg</v>
      </c>
      <c r="G4342" s="5" t="str">
        <f>HYPERLINK("https://dpmzos25m8ivg.cloudfront.net/Documentos/631/09469312830/6310946931283005092023131521.jpg","https://dpmzos25m8ivg.cloudfront.net/Documentos/631/09469312830/6310946931283005092023131521.jpg")</f>
        <v>https://dpmzos25m8ivg.cloudfront.net/Documentos/631/09469312830/6310946931283005092023131521.jpg</v>
      </c>
      <c r="H4342" s="5" t="s">
        <v>12917</v>
      </c>
    </row>
    <row r="4343" spans="1:8" x14ac:dyDescent="0.25">
      <c r="A4343" s="2" t="s">
        <v>4365</v>
      </c>
      <c r="B4343" s="3"/>
      <c r="C4343" s="3"/>
      <c r="D4343" s="3"/>
      <c r="E4343" s="5" t="str">
        <f>HYPERLINK("https://dpmzos25m8ivg.cloudfront.net/Documentos/631/09479855496/6310947985549611092023141339.pdf","https://dpmzos25m8ivg.cloudfront.net/Documentos/631/09479855496/6310947985549611092023141339.pdf")</f>
        <v>https://dpmzos25m8ivg.cloudfront.net/Documentos/631/09479855496/6310947985549611092023141339.pdf</v>
      </c>
      <c r="F4343" s="5" t="str">
        <f>HYPERLINK("https://dpmzos25m8ivg.cloudfront.net/Documentos/631/09479855496/6310947985549611092023141356.pdf","https://dpmzos25m8ivg.cloudfront.net/Documentos/631/09479855496/6310947985549611092023141356.pdf")</f>
        <v>https://dpmzos25m8ivg.cloudfront.net/Documentos/631/09479855496/6310947985549611092023141356.pdf</v>
      </c>
      <c r="G4343" s="5" t="str">
        <f>HYPERLINK("https://dpmzos25m8ivg.cloudfront.net/Documentos/631/09479855496/6310947985549611092023141418.pdf","https://dpmzos25m8ivg.cloudfront.net/Documentos/631/09479855496/6310947985549611092023141418.pdf")</f>
        <v>https://dpmzos25m8ivg.cloudfront.net/Documentos/631/09479855496/6310947985549611092023141418.pdf</v>
      </c>
      <c r="H4343" s="5" t="s">
        <v>12918</v>
      </c>
    </row>
    <row r="4344" spans="1:8" x14ac:dyDescent="0.25">
      <c r="A4344" s="2" t="s">
        <v>4366</v>
      </c>
      <c r="B4344" s="3"/>
      <c r="C4344" s="3"/>
      <c r="D4344" s="3"/>
      <c r="E4344" s="5" t="str">
        <f>HYPERLINK("https://dpmzos25m8ivg.cloudfront.net/Documentos/631/09482222717/6310948222271711092023123247.pdf","https://dpmzos25m8ivg.cloudfront.net/Documentos/631/09482222717/6310948222271711092023123247.pdf")</f>
        <v>https://dpmzos25m8ivg.cloudfront.net/Documentos/631/09482222717/6310948222271711092023123247.pdf</v>
      </c>
      <c r="F4344" s="5" t="str">
        <f>HYPERLINK("https://dpmzos25m8ivg.cloudfront.net/Documentos/631/09482222717/6310948222271711092023123330.pdf","https://dpmzos25m8ivg.cloudfront.net/Documentos/631/09482222717/6310948222271711092023123330.pdf")</f>
        <v>https://dpmzos25m8ivg.cloudfront.net/Documentos/631/09482222717/6310948222271711092023123330.pdf</v>
      </c>
      <c r="G4344" s="5" t="str">
        <f>HYPERLINK("https://dpmzos25m8ivg.cloudfront.net/Documentos/631/09482222717/6310948222271711092023123428.pdf","https://dpmzos25m8ivg.cloudfront.net/Documentos/631/09482222717/6310948222271711092023123428.pdf")</f>
        <v>https://dpmzos25m8ivg.cloudfront.net/Documentos/631/09482222717/6310948222271711092023123428.pdf</v>
      </c>
      <c r="H4344" s="5" t="s">
        <v>12919</v>
      </c>
    </row>
    <row r="4345" spans="1:8" x14ac:dyDescent="0.25">
      <c r="A4345" s="2" t="s">
        <v>4367</v>
      </c>
      <c r="B4345" s="3"/>
      <c r="C4345" s="3"/>
      <c r="D4345" s="3"/>
      <c r="E4345" s="5" t="str">
        <f>HYPERLINK("https://dpmzos25m8ivg.cloudfront.net/Documentos/631/09483569605/6310948356960511092023152600.pdf","https://dpmzos25m8ivg.cloudfront.net/Documentos/631/09483569605/6310948356960511092023152600.pdf")</f>
        <v>https://dpmzos25m8ivg.cloudfront.net/Documentos/631/09483569605/6310948356960511092023152600.pdf</v>
      </c>
      <c r="F4345" s="5" t="str">
        <f>HYPERLINK("https://dpmzos25m8ivg.cloudfront.net/Documentos/631/09483569605/6310948356960511092023153402.pdf","https://dpmzos25m8ivg.cloudfront.net/Documentos/631/09483569605/6310948356960511092023153402.pdf")</f>
        <v>https://dpmzos25m8ivg.cloudfront.net/Documentos/631/09483569605/6310948356960511092023153402.pdf</v>
      </c>
      <c r="G4345" s="5" t="str">
        <f>HYPERLINK("https://dpmzos25m8ivg.cloudfront.net/Documentos/631/09483569605/6310948356960511092023154936.pdf","https://dpmzos25m8ivg.cloudfront.net/Documentos/631/09483569605/6310948356960511092023154936.pdf")</f>
        <v>https://dpmzos25m8ivg.cloudfront.net/Documentos/631/09483569605/6310948356960511092023154936.pdf</v>
      </c>
      <c r="H4345" s="5" t="s">
        <v>12920</v>
      </c>
    </row>
    <row r="4346" spans="1:8" x14ac:dyDescent="0.25">
      <c r="A4346" s="2" t="s">
        <v>4368</v>
      </c>
      <c r="B4346" s="3"/>
      <c r="C4346" s="3"/>
      <c r="D4346" s="3"/>
      <c r="E4346" s="5" t="str">
        <f>HYPERLINK("https://dpmzos25m8ivg.cloudfront.net/Documentos/631/09484820441/6310948482044111092023133053.pdf","https://dpmzos25m8ivg.cloudfront.net/Documentos/631/09484820441/6310948482044111092023133053.pdf")</f>
        <v>https://dpmzos25m8ivg.cloudfront.net/Documentos/631/09484820441/6310948482044111092023133053.pdf</v>
      </c>
      <c r="F4346" s="5" t="str">
        <f>HYPERLINK("https://dpmzos25m8ivg.cloudfront.net/Documentos/631/09484820441/6310948482044111092023133102.pdf","https://dpmzos25m8ivg.cloudfront.net/Documentos/631/09484820441/6310948482044111092023133102.pdf")</f>
        <v>https://dpmzos25m8ivg.cloudfront.net/Documentos/631/09484820441/6310948482044111092023133102.pdf</v>
      </c>
      <c r="G4346" s="5" t="str">
        <f>HYPERLINK("https://dpmzos25m8ivg.cloudfront.net/Documentos/631/09484820441/6310948482044111092023133113.pdf","https://dpmzos25m8ivg.cloudfront.net/Documentos/631/09484820441/6310948482044111092023133113.pdf")</f>
        <v>https://dpmzos25m8ivg.cloudfront.net/Documentos/631/09484820441/6310948482044111092023133113.pdf</v>
      </c>
      <c r="H4346" s="5" t="s">
        <v>12921</v>
      </c>
    </row>
    <row r="4347" spans="1:8" x14ac:dyDescent="0.25">
      <c r="A4347" s="2" t="s">
        <v>4369</v>
      </c>
      <c r="B4347" s="19" t="s">
        <v>3385</v>
      </c>
      <c r="C4347" s="3"/>
      <c r="D4347" s="3"/>
      <c r="E4347" s="5" t="str">
        <f>HYPERLINK("https://dpmzos25m8ivg.cloudfront.net/Documentos/631/09493527646/6310949352764611092023161108.jpeg","https://dpmzos25m8ivg.cloudfront.net/Documentos/631/09493527646/6310949352764611092023161108.jpeg")</f>
        <v>https://dpmzos25m8ivg.cloudfront.net/Documentos/631/09493527646/6310949352764611092023161108.jpeg</v>
      </c>
      <c r="F4347" s="5" t="str">
        <f>HYPERLINK("https://dpmzos25m8ivg.cloudfront.net/Documentos/631/09493527646/6310949352764611092023161123.jpeg","https://dpmzos25m8ivg.cloudfront.net/Documentos/631/09493527646/6310949352764611092023161123.jpeg")</f>
        <v>https://dpmzos25m8ivg.cloudfront.net/Documentos/631/09493527646/6310949352764611092023161123.jpeg</v>
      </c>
      <c r="G4347" s="5" t="str">
        <f>HYPERLINK("https://dpmzos25m8ivg.cloudfront.net/Documentos/631/09493527646/6310949352764611092023161141.jpeg","https://dpmzos25m8ivg.cloudfront.net/Documentos/631/09493527646/6310949352764611092023161141.jpeg")</f>
        <v>https://dpmzos25m8ivg.cloudfront.net/Documentos/631/09493527646/6310949352764611092023161141.jpeg</v>
      </c>
      <c r="H4347" s="5" t="s">
        <v>12922</v>
      </c>
    </row>
    <row r="4348" spans="1:8" x14ac:dyDescent="0.25">
      <c r="A4348" s="2" t="s">
        <v>4370</v>
      </c>
      <c r="B4348" s="3"/>
      <c r="C4348" s="3"/>
      <c r="D4348" s="3"/>
      <c r="E4348" s="5" t="str">
        <f>HYPERLINK("https://dpmzos25m8ivg.cloudfront.net/Documentos/631/09494074459/6310949407445911092023150829.pdf","https://dpmzos25m8ivg.cloudfront.net/Documentos/631/09494074459/6310949407445911092023150829.pdf")</f>
        <v>https://dpmzos25m8ivg.cloudfront.net/Documentos/631/09494074459/6310949407445911092023150829.pdf</v>
      </c>
      <c r="F4348" s="5" t="str">
        <f>HYPERLINK("https://dpmzos25m8ivg.cloudfront.net/Documentos/631/09494074459/6310949407445911092023150843.pdf","https://dpmzos25m8ivg.cloudfront.net/Documentos/631/09494074459/6310949407445911092023150843.pdf")</f>
        <v>https://dpmzos25m8ivg.cloudfront.net/Documentos/631/09494074459/6310949407445911092023150843.pdf</v>
      </c>
      <c r="G4348" s="5" t="str">
        <f>HYPERLINK("https://dpmzos25m8ivg.cloudfront.net/Documentos/631/09494074459/6310949407445911092023150903.pdf","https://dpmzos25m8ivg.cloudfront.net/Documentos/631/09494074459/6310949407445911092023150903.pdf")</f>
        <v>https://dpmzos25m8ivg.cloudfront.net/Documentos/631/09494074459/6310949407445911092023150903.pdf</v>
      </c>
      <c r="H4348" s="5" t="s">
        <v>12923</v>
      </c>
    </row>
    <row r="4349" spans="1:8" x14ac:dyDescent="0.25">
      <c r="A4349" s="2" t="s">
        <v>4371</v>
      </c>
      <c r="B4349" s="3"/>
      <c r="C4349" s="3"/>
      <c r="D4349" s="3"/>
      <c r="E4349" s="5" t="str">
        <f>HYPERLINK("https://dpmzos25m8ivg.cloudfront.net/Documentos/631/09495175500/6310949517550010092023223223.pdf","https://dpmzos25m8ivg.cloudfront.net/Documentos/631/09495175500/6310949517550010092023223223.pdf")</f>
        <v>https://dpmzos25m8ivg.cloudfront.net/Documentos/631/09495175500/6310949517550010092023223223.pdf</v>
      </c>
      <c r="F4349" s="5" t="str">
        <f>HYPERLINK("https://dpmzos25m8ivg.cloudfront.net/Documentos/631/09495175500/6310949517550010092023223231.pdf","https://dpmzos25m8ivg.cloudfront.net/Documentos/631/09495175500/6310949517550010092023223231.pdf")</f>
        <v>https://dpmzos25m8ivg.cloudfront.net/Documentos/631/09495175500/6310949517550010092023223231.pdf</v>
      </c>
      <c r="G4349" s="5" t="str">
        <f>HYPERLINK("https://dpmzos25m8ivg.cloudfront.net/Documentos/631/09495175500/6310949517550010092023223239.pdf","https://dpmzos25m8ivg.cloudfront.net/Documentos/631/09495175500/6310949517550010092023223239.pdf")</f>
        <v>https://dpmzos25m8ivg.cloudfront.net/Documentos/631/09495175500/6310949517550010092023223239.pdf</v>
      </c>
      <c r="H4349" s="5" t="s">
        <v>12924</v>
      </c>
    </row>
    <row r="4350" spans="1:8" x14ac:dyDescent="0.25">
      <c r="A4350" s="2" t="s">
        <v>4372</v>
      </c>
      <c r="B4350" s="3"/>
      <c r="C4350" s="3"/>
      <c r="D4350" s="3"/>
      <c r="E4350" s="5" t="str">
        <f>HYPERLINK("https://dpmzos25m8ivg.cloudfront.net/Documentos/631/09497405430/6310949740543006092023222746.pdf","https://dpmzos25m8ivg.cloudfront.net/Documentos/631/09497405430/6310949740543006092023222746.pdf")</f>
        <v>https://dpmzos25m8ivg.cloudfront.net/Documentos/631/09497405430/6310949740543006092023222746.pdf</v>
      </c>
      <c r="F4350" s="5" t="str">
        <f>HYPERLINK("https://dpmzos25m8ivg.cloudfront.net/Documentos/631/09497405430/6310949740543006092023222801.pdf","https://dpmzos25m8ivg.cloudfront.net/Documentos/631/09497405430/6310949740543006092023222801.pdf")</f>
        <v>https://dpmzos25m8ivg.cloudfront.net/Documentos/631/09497405430/6310949740543006092023222801.pdf</v>
      </c>
      <c r="G4350" s="5" t="str">
        <f>HYPERLINK("https://dpmzos25m8ivg.cloudfront.net/Documentos/631/09497405430/6310949740543006092023222821.pdf","https://dpmzos25m8ivg.cloudfront.net/Documentos/631/09497405430/6310949740543006092023222821.pdf")</f>
        <v>https://dpmzos25m8ivg.cloudfront.net/Documentos/631/09497405430/6310949740543006092023222821.pdf</v>
      </c>
      <c r="H4350" s="5" t="s">
        <v>12925</v>
      </c>
    </row>
    <row r="4351" spans="1:8" x14ac:dyDescent="0.25">
      <c r="A4351" s="2" t="s">
        <v>4373</v>
      </c>
      <c r="B4351" s="3" t="s">
        <v>90</v>
      </c>
      <c r="C4351" s="3"/>
      <c r="D4351" s="3"/>
      <c r="E4351" s="5" t="str">
        <f>HYPERLINK("https://dpmzos25m8ivg.cloudfront.net/Documentos/631/09497410433/6310949741043311092023152200.jpeg","https://dpmzos25m8ivg.cloudfront.net/Documentos/631/09497410433/6310949741043311092023152200.jpeg")</f>
        <v>https://dpmzos25m8ivg.cloudfront.net/Documentos/631/09497410433/6310949741043311092023152200.jpeg</v>
      </c>
      <c r="F4351" s="5" t="str">
        <f>HYPERLINK("https://dpmzos25m8ivg.cloudfront.net/Documentos/631/09497410433/6310949741043311092023152209.jpeg","https://dpmzos25m8ivg.cloudfront.net/Documentos/631/09497410433/6310949741043311092023152209.jpeg")</f>
        <v>https://dpmzos25m8ivg.cloudfront.net/Documentos/631/09497410433/6310949741043311092023152209.jpeg</v>
      </c>
      <c r="G4351" s="5" t="str">
        <f>HYPERLINK("https://dpmzos25m8ivg.cloudfront.net/Documentos/631/09497410433/6310949741043311092023152218.jpeg","https://dpmzos25m8ivg.cloudfront.net/Documentos/631/09497410433/6310949741043311092023152218.jpeg")</f>
        <v>https://dpmzos25m8ivg.cloudfront.net/Documentos/631/09497410433/6310949741043311092023152218.jpeg</v>
      </c>
      <c r="H4351" s="5" t="s">
        <v>12926</v>
      </c>
    </row>
    <row r="4352" spans="1:8" x14ac:dyDescent="0.25">
      <c r="A4352" s="2" t="s">
        <v>4374</v>
      </c>
      <c r="B4352" s="3" t="s">
        <v>42</v>
      </c>
      <c r="C4352" s="3"/>
      <c r="D4352" s="3"/>
      <c r="E4352" s="5" t="str">
        <f>HYPERLINK("https://dpmzos25m8ivg.cloudfront.net/Documentos/631/09500896133/6310950089613305092023140345.pdf","https://dpmzos25m8ivg.cloudfront.net/Documentos/631/09500896133/6310950089613305092023140345.pdf")</f>
        <v>https://dpmzos25m8ivg.cloudfront.net/Documentos/631/09500896133/6310950089613305092023140345.pdf</v>
      </c>
      <c r="F4352" s="5" t="str">
        <f>HYPERLINK("https://dpmzos25m8ivg.cloudfront.net/Documentos/631/09500896133/6310950089613305092023140352.pdf","https://dpmzos25m8ivg.cloudfront.net/Documentos/631/09500896133/6310950089613305092023140352.pdf")</f>
        <v>https://dpmzos25m8ivg.cloudfront.net/Documentos/631/09500896133/6310950089613305092023140352.pdf</v>
      </c>
      <c r="G4352" s="5" t="str">
        <f>HYPERLINK("https://dpmzos25m8ivg.cloudfront.net/Documentos/631/09500896133/6310950089613305092023140402.pdf","https://dpmzos25m8ivg.cloudfront.net/Documentos/631/09500896133/6310950089613305092023140402.pdf")</f>
        <v>https://dpmzos25m8ivg.cloudfront.net/Documentos/631/09500896133/6310950089613305092023140402.pdf</v>
      </c>
      <c r="H4352" s="5" t="s">
        <v>12927</v>
      </c>
    </row>
    <row r="4353" spans="1:8" x14ac:dyDescent="0.25">
      <c r="A4353" s="2" t="s">
        <v>4375</v>
      </c>
      <c r="B4353" s="3" t="s">
        <v>8</v>
      </c>
      <c r="C4353" s="3"/>
      <c r="D4353" s="3"/>
      <c r="E4353" s="5" t="str">
        <f>HYPERLINK("https://dpmzos25m8ivg.cloudfront.net/Documentos/631/09504314600/6310950431460010092023220101.pdf","https://dpmzos25m8ivg.cloudfront.net/Documentos/631/09504314600/6310950431460010092023220101.pdf")</f>
        <v>https://dpmzos25m8ivg.cloudfront.net/Documentos/631/09504314600/6310950431460010092023220101.pdf</v>
      </c>
      <c r="F4353" s="5" t="str">
        <f>HYPERLINK("https://dpmzos25m8ivg.cloudfront.net/Documentos/631/09504314600/6310950431460010092023220114.pdf","https://dpmzos25m8ivg.cloudfront.net/Documentos/631/09504314600/6310950431460010092023220114.pdf")</f>
        <v>https://dpmzos25m8ivg.cloudfront.net/Documentos/631/09504314600/6310950431460010092023220114.pdf</v>
      </c>
      <c r="G4353" s="5" t="str">
        <f>HYPERLINK("https://dpmzos25m8ivg.cloudfront.net/Documentos/631/09504314600/6310950431460010092023220128.pdf","https://dpmzos25m8ivg.cloudfront.net/Documentos/631/09504314600/6310950431460010092023220128.pdf")</f>
        <v>https://dpmzos25m8ivg.cloudfront.net/Documentos/631/09504314600/6310950431460010092023220128.pdf</v>
      </c>
      <c r="H4353" s="5" t="s">
        <v>12928</v>
      </c>
    </row>
    <row r="4354" spans="1:8" x14ac:dyDescent="0.25">
      <c r="A4354" s="2" t="s">
        <v>4376</v>
      </c>
      <c r="B4354" s="3" t="s">
        <v>90</v>
      </c>
      <c r="C4354" s="3"/>
      <c r="D4354" s="3"/>
      <c r="E4354" s="5" t="str">
        <f>HYPERLINK("https://dpmzos25m8ivg.cloudfront.net/Documentos/631/09505366442/6310950536644214092023092731.pdf","https://dpmzos25m8ivg.cloudfront.net/Documentos/631/09505366442/6310950536644214092023092731.pdf")</f>
        <v>https://dpmzos25m8ivg.cloudfront.net/Documentos/631/09505366442/6310950536644214092023092731.pdf</v>
      </c>
      <c r="F4354" s="5" t="str">
        <f>HYPERLINK("https://dpmzos25m8ivg.cloudfront.net/Documentos/631/09505366442/6310950536644214092023092744.pdf","https://dpmzos25m8ivg.cloudfront.net/Documentos/631/09505366442/6310950536644214092023092744.pdf")</f>
        <v>https://dpmzos25m8ivg.cloudfront.net/Documentos/631/09505366442/6310950536644214092023092744.pdf</v>
      </c>
      <c r="G4354" s="5" t="str">
        <f>HYPERLINK("https://dpmzos25m8ivg.cloudfront.net/Documentos/631/09505366442/6310950536644214092023092754.pdf","https://dpmzos25m8ivg.cloudfront.net/Documentos/631/09505366442/6310950536644214092023092754.pdf")</f>
        <v>https://dpmzos25m8ivg.cloudfront.net/Documentos/631/09505366442/6310950536644214092023092754.pdf</v>
      </c>
      <c r="H4354" s="5" t="s">
        <v>12929</v>
      </c>
    </row>
    <row r="4355" spans="1:8" x14ac:dyDescent="0.25">
      <c r="A4355" s="2" t="s">
        <v>4377</v>
      </c>
      <c r="B4355" s="3" t="s">
        <v>42</v>
      </c>
      <c r="C4355" s="3"/>
      <c r="D4355" s="3"/>
      <c r="E4355" s="5" t="str">
        <f>HYPERLINK("https://dpmzos25m8ivg.cloudfront.net/Documentos/631/09507799460/6310950779946005092023111011.pdf","https://dpmzos25m8ivg.cloudfront.net/Documentos/631/09507799460/6310950779946005092023111011.pdf")</f>
        <v>https://dpmzos25m8ivg.cloudfront.net/Documentos/631/09507799460/6310950779946005092023111011.pdf</v>
      </c>
      <c r="F4355" s="5" t="str">
        <f>HYPERLINK("https://dpmzos25m8ivg.cloudfront.net/Documentos/631/09507799460/6310950779946005092023111022.pdf","https://dpmzos25m8ivg.cloudfront.net/Documentos/631/09507799460/6310950779946005092023111022.pdf")</f>
        <v>https://dpmzos25m8ivg.cloudfront.net/Documentos/631/09507799460/6310950779946005092023111022.pdf</v>
      </c>
      <c r="G4355" s="5" t="str">
        <f>HYPERLINK("https://dpmzos25m8ivg.cloudfront.net/Documentos/631/09507799460/6310950779946005092023111037.pdf","https://dpmzos25m8ivg.cloudfront.net/Documentos/631/09507799460/6310950779946005092023111037.pdf")</f>
        <v>https://dpmzos25m8ivg.cloudfront.net/Documentos/631/09507799460/6310950779946005092023111037.pdf</v>
      </c>
      <c r="H4355" s="5" t="s">
        <v>12930</v>
      </c>
    </row>
    <row r="4356" spans="1:8" x14ac:dyDescent="0.25">
      <c r="A4356" s="2" t="s">
        <v>4378</v>
      </c>
      <c r="B4356" s="3"/>
      <c r="C4356" s="3"/>
      <c r="D4356" s="3"/>
      <c r="E4356" s="5" t="str">
        <f>HYPERLINK("https://dpmzos25m8ivg.cloudfront.net/Documentos/631/09515838673/6310951583867306092023082400.jpeg","https://dpmzos25m8ivg.cloudfront.net/Documentos/631/09515838673/6310951583867306092023082400.jpeg")</f>
        <v>https://dpmzos25m8ivg.cloudfront.net/Documentos/631/09515838673/6310951583867306092023082400.jpeg</v>
      </c>
      <c r="F4356" s="5" t="str">
        <f>HYPERLINK("https://dpmzos25m8ivg.cloudfront.net/Documentos/631/09515838673/6310951583867306092023082416.jpeg","https://dpmzos25m8ivg.cloudfront.net/Documentos/631/09515838673/6310951583867306092023082416.jpeg")</f>
        <v>https://dpmzos25m8ivg.cloudfront.net/Documentos/631/09515838673/6310951583867306092023082416.jpeg</v>
      </c>
      <c r="G4356" s="5" t="str">
        <f>HYPERLINK("https://dpmzos25m8ivg.cloudfront.net/Documentos/631/09515838673/6310951583867306092023082427.jpeg","https://dpmzos25m8ivg.cloudfront.net/Documentos/631/09515838673/6310951583867306092023082427.jpeg")</f>
        <v>https://dpmzos25m8ivg.cloudfront.net/Documentos/631/09515838673/6310951583867306092023082427.jpeg</v>
      </c>
      <c r="H4356" s="5" t="s">
        <v>12931</v>
      </c>
    </row>
    <row r="4357" spans="1:8" x14ac:dyDescent="0.25">
      <c r="A4357" s="2" t="s">
        <v>4379</v>
      </c>
      <c r="B4357" s="3"/>
      <c r="C4357" s="3"/>
      <c r="D4357" s="3"/>
      <c r="E4357" s="5" t="str">
        <f>HYPERLINK("https://dpmzos25m8ivg.cloudfront.net/Documentos/631/09530168543/6310953016854310092023174702.pdf","https://dpmzos25m8ivg.cloudfront.net/Documentos/631/09530168543/6310953016854310092023174702.pdf")</f>
        <v>https://dpmzos25m8ivg.cloudfront.net/Documentos/631/09530168543/6310953016854310092023174702.pdf</v>
      </c>
      <c r="F4357" s="5" t="str">
        <f>HYPERLINK("https://dpmzos25m8ivg.cloudfront.net/Documentos/631/09530168543/6310953016854310092023174715.pdf","https://dpmzos25m8ivg.cloudfront.net/Documentos/631/09530168543/6310953016854310092023174715.pdf")</f>
        <v>https://dpmzos25m8ivg.cloudfront.net/Documentos/631/09530168543/6310953016854310092023174715.pdf</v>
      </c>
      <c r="G4357" s="5" t="str">
        <f>HYPERLINK("https://dpmzos25m8ivg.cloudfront.net/Documentos/631/09530168543/6310953016854310092023174731.pdf","https://dpmzos25m8ivg.cloudfront.net/Documentos/631/09530168543/6310953016854310092023174731.pdf")</f>
        <v>https://dpmzos25m8ivg.cloudfront.net/Documentos/631/09530168543/6310953016854310092023174731.pdf</v>
      </c>
      <c r="H4357" s="5" t="s">
        <v>12932</v>
      </c>
    </row>
    <row r="4358" spans="1:8" x14ac:dyDescent="0.25">
      <c r="A4358" s="2" t="s">
        <v>4380</v>
      </c>
      <c r="B4358" s="3"/>
      <c r="C4358" s="3"/>
      <c r="D4358" s="3"/>
      <c r="E4358" s="5" t="str">
        <f>HYPERLINK("https://dpmzos25m8ivg.cloudfront.net/Documentos/631/09539015723/6310953901572310092023231541.pdf","https://dpmzos25m8ivg.cloudfront.net/Documentos/631/09539015723/6310953901572310092023231541.pdf")</f>
        <v>https://dpmzos25m8ivg.cloudfront.net/Documentos/631/09539015723/6310953901572310092023231541.pdf</v>
      </c>
      <c r="F4358" s="5" t="str">
        <f>HYPERLINK("https://dpmzos25m8ivg.cloudfront.net/Documentos/631/09539015723/6310953901572310092023231639.pdf","https://dpmzos25m8ivg.cloudfront.net/Documentos/631/09539015723/6310953901572310092023231639.pdf")</f>
        <v>https://dpmzos25m8ivg.cloudfront.net/Documentos/631/09539015723/6310953901572310092023231639.pdf</v>
      </c>
      <c r="G4358" s="5" t="str">
        <f>HYPERLINK("https://dpmzos25m8ivg.cloudfront.net/Documentos/631/09539015723/6310953901572310092023231658.pdf","https://dpmzos25m8ivg.cloudfront.net/Documentos/631/09539015723/6310953901572310092023231658.pdf")</f>
        <v>https://dpmzos25m8ivg.cloudfront.net/Documentos/631/09539015723/6310953901572310092023231658.pdf</v>
      </c>
      <c r="H4358" s="5" t="s">
        <v>12933</v>
      </c>
    </row>
    <row r="4359" spans="1:8" x14ac:dyDescent="0.25">
      <c r="A4359" s="2" t="s">
        <v>4381</v>
      </c>
      <c r="B4359" s="3"/>
      <c r="C4359" s="3"/>
      <c r="D4359" s="3"/>
      <c r="E4359" s="5" t="str">
        <f>HYPERLINK("https://dpmzos25m8ivg.cloudfront.net/Documentos/631/09540869536/6310954086953605092023180802.pdf","https://dpmzos25m8ivg.cloudfront.net/Documentos/631/09540869536/6310954086953605092023180802.pdf")</f>
        <v>https://dpmzos25m8ivg.cloudfront.net/Documentos/631/09540869536/6310954086953605092023180802.pdf</v>
      </c>
      <c r="F4359" s="5" t="str">
        <f>HYPERLINK("https://dpmzos25m8ivg.cloudfront.net/Documentos/631/09540869536/6310954086953605092023180823.pdf","https://dpmzos25m8ivg.cloudfront.net/Documentos/631/09540869536/6310954086953605092023180823.pdf")</f>
        <v>https://dpmzos25m8ivg.cloudfront.net/Documentos/631/09540869536/6310954086953605092023180823.pdf</v>
      </c>
      <c r="G4359" s="5" t="str">
        <f>HYPERLINK("https://dpmzos25m8ivg.cloudfront.net/Documentos/631/09540869536/6310954086953605092023180838.pdf","https://dpmzos25m8ivg.cloudfront.net/Documentos/631/09540869536/6310954086953605092023180838.pdf")</f>
        <v>https://dpmzos25m8ivg.cloudfront.net/Documentos/631/09540869536/6310954086953605092023180838.pdf</v>
      </c>
      <c r="H4359" s="5" t="s">
        <v>12934</v>
      </c>
    </row>
    <row r="4360" spans="1:8" x14ac:dyDescent="0.25">
      <c r="A4360" s="2" t="s">
        <v>4382</v>
      </c>
      <c r="B4360" s="3"/>
      <c r="C4360" s="3"/>
      <c r="D4360" s="3"/>
      <c r="E4360" s="5" t="str">
        <f>HYPERLINK("https://dpmzos25m8ivg.cloudfront.net/Documentos/631/09546292486/6310954629248610092023231029.pdf","https://dpmzos25m8ivg.cloudfront.net/Documentos/631/09546292486/6310954629248610092023231029.pdf")</f>
        <v>https://dpmzos25m8ivg.cloudfront.net/Documentos/631/09546292486/6310954629248610092023231029.pdf</v>
      </c>
      <c r="F4360" s="5" t="str">
        <f>HYPERLINK("https://dpmzos25m8ivg.cloudfront.net/Documentos/631/09546292486/6310954629248610092023231150.pdf","https://dpmzos25m8ivg.cloudfront.net/Documentos/631/09546292486/6310954629248610092023231150.pdf")</f>
        <v>https://dpmzos25m8ivg.cloudfront.net/Documentos/631/09546292486/6310954629248610092023231150.pdf</v>
      </c>
      <c r="G4360" s="5" t="str">
        <f>HYPERLINK("https://dpmzos25m8ivg.cloudfront.net/Documentos/631/09546292486/6310954629248610092023231208.pdf","https://dpmzos25m8ivg.cloudfront.net/Documentos/631/09546292486/6310954629248610092023231208.pdf")</f>
        <v>https://dpmzos25m8ivg.cloudfront.net/Documentos/631/09546292486/6310954629248610092023231208.pdf</v>
      </c>
      <c r="H4360" s="5" t="s">
        <v>12935</v>
      </c>
    </row>
    <row r="4361" spans="1:8" x14ac:dyDescent="0.25">
      <c r="A4361" s="2" t="s">
        <v>4383</v>
      </c>
      <c r="B4361" s="3"/>
      <c r="C4361" s="3"/>
      <c r="D4361" s="3"/>
      <c r="E4361" s="5" t="str">
        <f>HYPERLINK("https://dpmzos25m8ivg.cloudfront.net/Documentos/631/09546661783/6310954666178308092023113349.jpg","https://dpmzos25m8ivg.cloudfront.net/Documentos/631/09546661783/6310954666178308092023113349.jpg")</f>
        <v>https://dpmzos25m8ivg.cloudfront.net/Documentos/631/09546661783/6310954666178308092023113349.jpg</v>
      </c>
      <c r="F4361" s="5" t="str">
        <f>HYPERLINK("https://dpmzos25m8ivg.cloudfront.net/Documentos/631/09546661783/6310954666178308092023113425.jpg","https://dpmzos25m8ivg.cloudfront.net/Documentos/631/09546661783/6310954666178308092023113425.jpg")</f>
        <v>https://dpmzos25m8ivg.cloudfront.net/Documentos/631/09546661783/6310954666178308092023113425.jpg</v>
      </c>
      <c r="G4361" s="5" t="str">
        <f>HYPERLINK("https://dpmzos25m8ivg.cloudfront.net/Documentos/631/09546661783/6310954666178308092023113454.jpg","https://dpmzos25m8ivg.cloudfront.net/Documentos/631/09546661783/6310954666178308092023113454.jpg")</f>
        <v>https://dpmzos25m8ivg.cloudfront.net/Documentos/631/09546661783/6310954666178308092023113454.jpg</v>
      </c>
      <c r="H4361" s="5" t="s">
        <v>12936</v>
      </c>
    </row>
    <row r="4362" spans="1:8" x14ac:dyDescent="0.25">
      <c r="A4362" s="2" t="s">
        <v>4384</v>
      </c>
      <c r="B4362" s="3"/>
      <c r="C4362" s="3"/>
      <c r="D4362" s="3"/>
      <c r="E4362" s="5" t="str">
        <f>HYPERLINK("https://dpmzos25m8ivg.cloudfront.net/Documentos/631/09547636537/6310954763653707092023162202.pdf","https://dpmzos25m8ivg.cloudfront.net/Documentos/631/09547636537/6310954763653707092023162202.pdf")</f>
        <v>https://dpmzos25m8ivg.cloudfront.net/Documentos/631/09547636537/6310954763653707092023162202.pdf</v>
      </c>
      <c r="F4362" s="5" t="str">
        <f>HYPERLINK("https://dpmzos25m8ivg.cloudfront.net/Documentos/631/09547636537/6310954763653707092023162213.pdf","https://dpmzos25m8ivg.cloudfront.net/Documentos/631/09547636537/6310954763653707092023162213.pdf")</f>
        <v>https://dpmzos25m8ivg.cloudfront.net/Documentos/631/09547636537/6310954763653707092023162213.pdf</v>
      </c>
      <c r="G4362" s="5" t="str">
        <f>HYPERLINK("https://dpmzos25m8ivg.cloudfront.net/Documentos/631/09547636537/6310954763653707092023162227.pdf","https://dpmzos25m8ivg.cloudfront.net/Documentos/631/09547636537/6310954763653707092023162227.pdf")</f>
        <v>https://dpmzos25m8ivg.cloudfront.net/Documentos/631/09547636537/6310954763653707092023162227.pdf</v>
      </c>
      <c r="H4362" s="5" t="s">
        <v>12937</v>
      </c>
    </row>
    <row r="4363" spans="1:8" x14ac:dyDescent="0.25">
      <c r="A4363" s="2" t="s">
        <v>4385</v>
      </c>
      <c r="B4363" s="3" t="s">
        <v>8</v>
      </c>
      <c r="C4363" s="3"/>
      <c r="D4363" s="3"/>
      <c r="E4363" s="5" t="str">
        <f>HYPERLINK("https://dpmzos25m8ivg.cloudfront.net/Documentos/631/09555122717/6310955512271714092023135520.pdf","https://dpmzos25m8ivg.cloudfront.net/Documentos/631/09555122717/6310955512271714092023135520.pdf")</f>
        <v>https://dpmzos25m8ivg.cloudfront.net/Documentos/631/09555122717/6310955512271714092023135520.pdf</v>
      </c>
      <c r="F4363" s="5" t="str">
        <f>HYPERLINK("https://dpmzos25m8ivg.cloudfront.net/Documentos/631/09555122717/6310955512271714092023135528.pdf","https://dpmzos25m8ivg.cloudfront.net/Documentos/631/09555122717/6310955512271714092023135528.pdf")</f>
        <v>https://dpmzos25m8ivg.cloudfront.net/Documentos/631/09555122717/6310955512271714092023135528.pdf</v>
      </c>
      <c r="G4363" s="5" t="str">
        <f>HYPERLINK("https://dpmzos25m8ivg.cloudfront.net/Documentos/631/09555122717/6310955512271714092023135653.pdf","https://dpmzos25m8ivg.cloudfront.net/Documentos/631/09555122717/6310955512271714092023135653.pdf")</f>
        <v>https://dpmzos25m8ivg.cloudfront.net/Documentos/631/09555122717/6310955512271714092023135653.pdf</v>
      </c>
      <c r="H4363" s="5" t="s">
        <v>12938</v>
      </c>
    </row>
    <row r="4364" spans="1:8" x14ac:dyDescent="0.25">
      <c r="A4364" s="2" t="s">
        <v>4386</v>
      </c>
      <c r="B4364" s="3"/>
      <c r="C4364" s="3"/>
      <c r="D4364" s="3"/>
      <c r="E4364" s="5" t="str">
        <f>HYPERLINK("https://dpmzos25m8ivg.cloudfront.net/Documentos/631/09556359427/6310955635942711092023104523.pdf","https://dpmzos25m8ivg.cloudfront.net/Documentos/631/09556359427/6310955635942711092023104523.pdf")</f>
        <v>https://dpmzos25m8ivg.cloudfront.net/Documentos/631/09556359427/6310955635942711092023104523.pdf</v>
      </c>
      <c r="F4364" s="5" t="str">
        <f>HYPERLINK("https://dpmzos25m8ivg.cloudfront.net/Documentos/631/09556359427/6310955635942711092023104541.pdf","https://dpmzos25m8ivg.cloudfront.net/Documentos/631/09556359427/6310955635942711092023104541.pdf")</f>
        <v>https://dpmzos25m8ivg.cloudfront.net/Documentos/631/09556359427/6310955635942711092023104541.pdf</v>
      </c>
      <c r="G4364" s="5" t="str">
        <f>HYPERLINK("https://dpmzos25m8ivg.cloudfront.net/Documentos/631/09556359427/6310955635942711092023104550.pdf","https://dpmzos25m8ivg.cloudfront.net/Documentos/631/09556359427/6310955635942711092023104550.pdf")</f>
        <v>https://dpmzos25m8ivg.cloudfront.net/Documentos/631/09556359427/6310955635942711092023104550.pdf</v>
      </c>
      <c r="H4364" s="5" t="s">
        <v>12939</v>
      </c>
    </row>
    <row r="4365" spans="1:8" x14ac:dyDescent="0.25">
      <c r="A4365" s="2" t="s">
        <v>4387</v>
      </c>
      <c r="B4365" s="3"/>
      <c r="C4365" s="3"/>
      <c r="D4365" s="3"/>
      <c r="E4365" s="5" t="str">
        <f>HYPERLINK("https://dpmzos25m8ivg.cloudfront.net/Documentos/631/09559471465/6310955947146510092023204654.jpg","https://dpmzos25m8ivg.cloudfront.net/Documentos/631/09559471465/6310955947146510092023204654.jpg")</f>
        <v>https://dpmzos25m8ivg.cloudfront.net/Documentos/631/09559471465/6310955947146510092023204654.jpg</v>
      </c>
      <c r="F4365" s="5" t="str">
        <f>HYPERLINK("https://dpmzos25m8ivg.cloudfront.net/Documentos/631/09559471465/6310955947146510092023204718.jpg","https://dpmzos25m8ivg.cloudfront.net/Documentos/631/09559471465/6310955947146510092023204718.jpg")</f>
        <v>https://dpmzos25m8ivg.cloudfront.net/Documentos/631/09559471465/6310955947146510092023204718.jpg</v>
      </c>
      <c r="G4365" s="5" t="str">
        <f>HYPERLINK("https://dpmzos25m8ivg.cloudfront.net/Documentos/631/09559471465/6310955947146510092023204744.jpg","https://dpmzos25m8ivg.cloudfront.net/Documentos/631/09559471465/6310955947146510092023204744.jpg")</f>
        <v>https://dpmzos25m8ivg.cloudfront.net/Documentos/631/09559471465/6310955947146510092023204744.jpg</v>
      </c>
      <c r="H4365" s="5" t="s">
        <v>12940</v>
      </c>
    </row>
    <row r="4366" spans="1:8" x14ac:dyDescent="0.25">
      <c r="A4366" s="2" t="s">
        <v>4388</v>
      </c>
      <c r="B4366" s="3" t="s">
        <v>42</v>
      </c>
      <c r="C4366" s="3"/>
      <c r="D4366" s="3"/>
      <c r="E4366" s="5" t="str">
        <f>HYPERLINK("https://dpmzos25m8ivg.cloudfront.net/Documentos/631/09559500902/6310955950090207092023220715.jpg","https://dpmzos25m8ivg.cloudfront.net/Documentos/631/09559500902/6310955950090207092023220715.jpg")</f>
        <v>https://dpmzos25m8ivg.cloudfront.net/Documentos/631/09559500902/6310955950090207092023220715.jpg</v>
      </c>
      <c r="F4366" s="5" t="str">
        <f>HYPERLINK("https://dpmzos25m8ivg.cloudfront.net/Documentos/631/09559500902/6310955950090207092023221259.jpg","https://dpmzos25m8ivg.cloudfront.net/Documentos/631/09559500902/6310955950090207092023221259.jpg")</f>
        <v>https://dpmzos25m8ivg.cloudfront.net/Documentos/631/09559500902/6310955950090207092023221259.jpg</v>
      </c>
      <c r="G4366" s="5" t="str">
        <f>HYPERLINK("https://dpmzos25m8ivg.cloudfront.net/Documentos/631/09559500902/6310955950090207092023221350.jpg","https://dpmzos25m8ivg.cloudfront.net/Documentos/631/09559500902/6310955950090207092023221350.jpg")</f>
        <v>https://dpmzos25m8ivg.cloudfront.net/Documentos/631/09559500902/6310955950090207092023221350.jpg</v>
      </c>
      <c r="H4366" s="5" t="s">
        <v>12941</v>
      </c>
    </row>
    <row r="4367" spans="1:8" x14ac:dyDescent="0.25">
      <c r="A4367" s="2" t="s">
        <v>4389</v>
      </c>
      <c r="B4367" s="3" t="s">
        <v>90</v>
      </c>
      <c r="C4367" s="3"/>
      <c r="D4367" s="3"/>
      <c r="E4367" s="5" t="str">
        <f>HYPERLINK("https://dpmzos25m8ivg.cloudfront.net/Documentos/631/09560932640/6310956093264006092023191649.jpeg","https://dpmzos25m8ivg.cloudfront.net/Documentos/631/09560932640/6310956093264006092023191649.jpeg")</f>
        <v>https://dpmzos25m8ivg.cloudfront.net/Documentos/631/09560932640/6310956093264006092023191649.jpeg</v>
      </c>
      <c r="F4367" s="5" t="str">
        <f>HYPERLINK("https://dpmzos25m8ivg.cloudfront.net/Documentos/631/09560932640/6310956093264006092023191656.jpeg","https://dpmzos25m8ivg.cloudfront.net/Documentos/631/09560932640/6310956093264006092023191656.jpeg")</f>
        <v>https://dpmzos25m8ivg.cloudfront.net/Documentos/631/09560932640/6310956093264006092023191656.jpeg</v>
      </c>
      <c r="G4367" s="5" t="str">
        <f>HYPERLINK("https://dpmzos25m8ivg.cloudfront.net/Documentos/631/09560932640/6310956093264006092023191626.jpeg","https://dpmzos25m8ivg.cloudfront.net/Documentos/631/09560932640/6310956093264006092023191626.jpeg")</f>
        <v>https://dpmzos25m8ivg.cloudfront.net/Documentos/631/09560932640/6310956093264006092023191626.jpeg</v>
      </c>
      <c r="H4367" s="5" t="s">
        <v>12942</v>
      </c>
    </row>
    <row r="4368" spans="1:8" x14ac:dyDescent="0.25">
      <c r="A4368" s="2" t="s">
        <v>4390</v>
      </c>
      <c r="B4368" s="3" t="s">
        <v>90</v>
      </c>
      <c r="C4368" s="3"/>
      <c r="D4368" s="3"/>
      <c r="E4368" s="5" t="str">
        <f>HYPERLINK("https://dpmzos25m8ivg.cloudfront.net/Documentos/631/09560995480/6310956099548011092023160748.pdf","https://dpmzos25m8ivg.cloudfront.net/Documentos/631/09560995480/6310956099548011092023160748.pdf")</f>
        <v>https://dpmzos25m8ivg.cloudfront.net/Documentos/631/09560995480/6310956099548011092023160748.pdf</v>
      </c>
      <c r="F4368" s="5" t="str">
        <f>HYPERLINK("https://dpmzos25m8ivg.cloudfront.net/Documentos/631/09560995480/6310956099548011092023160812.pdf","https://dpmzos25m8ivg.cloudfront.net/Documentos/631/09560995480/6310956099548011092023160812.pdf")</f>
        <v>https://dpmzos25m8ivg.cloudfront.net/Documentos/631/09560995480/6310956099548011092023160812.pdf</v>
      </c>
      <c r="G4368" s="5" t="str">
        <f>HYPERLINK("https://dpmzos25m8ivg.cloudfront.net/Documentos/631/09560995480/6310956099548011092023160826.pdf","https://dpmzos25m8ivg.cloudfront.net/Documentos/631/09560995480/6310956099548011092023160826.pdf")</f>
        <v>https://dpmzos25m8ivg.cloudfront.net/Documentos/631/09560995480/6310956099548011092023160826.pdf</v>
      </c>
      <c r="H4368" s="5" t="s">
        <v>12943</v>
      </c>
    </row>
    <row r="4369" spans="1:8" x14ac:dyDescent="0.25">
      <c r="A4369" s="2" t="s">
        <v>4391</v>
      </c>
      <c r="B4369" s="19" t="s">
        <v>3385</v>
      </c>
      <c r="C4369" s="3"/>
      <c r="D4369" s="3"/>
      <c r="E4369" s="5" t="str">
        <f>HYPERLINK("https://dpmzos25m8ivg.cloudfront.net/Documentos/631/09561298708/6310956129870811092023151445.pdf","https://dpmzos25m8ivg.cloudfront.net/Documentos/631/09561298708/6310956129870811092023151445.pdf")</f>
        <v>https://dpmzos25m8ivg.cloudfront.net/Documentos/631/09561298708/6310956129870811092023151445.pdf</v>
      </c>
      <c r="F4369" s="5" t="str">
        <f>HYPERLINK("https://dpmzos25m8ivg.cloudfront.net/Documentos/631/09561298708/6310956129870811092023151434.pdf","https://dpmzos25m8ivg.cloudfront.net/Documentos/631/09561298708/6310956129870811092023151434.pdf")</f>
        <v>https://dpmzos25m8ivg.cloudfront.net/Documentos/631/09561298708/6310956129870811092023151434.pdf</v>
      </c>
      <c r="G4369" s="5" t="str">
        <f>HYPERLINK("https://dpmzos25m8ivg.cloudfront.net/Documentos/631/09561298708/6310956129870811092023151421.pdf","https://dpmzos25m8ivg.cloudfront.net/Documentos/631/09561298708/6310956129870811092023151421.pdf")</f>
        <v>https://dpmzos25m8ivg.cloudfront.net/Documentos/631/09561298708/6310956129870811092023151421.pdf</v>
      </c>
      <c r="H4369" s="5" t="s">
        <v>12944</v>
      </c>
    </row>
    <row r="4370" spans="1:8" x14ac:dyDescent="0.25">
      <c r="A4370" s="2" t="s">
        <v>4392</v>
      </c>
      <c r="B4370" s="3"/>
      <c r="C4370" s="3"/>
      <c r="D4370" s="3"/>
      <c r="E4370" s="5" t="str">
        <f>HYPERLINK("https://dpmzos25m8ivg.cloudfront.net/Documentos/631/09562373630/6310956237363008092023063005.jpg","https://dpmzos25m8ivg.cloudfront.net/Documentos/631/09562373630/6310956237363008092023063005.jpg")</f>
        <v>https://dpmzos25m8ivg.cloudfront.net/Documentos/631/09562373630/6310956237363008092023063005.jpg</v>
      </c>
      <c r="F4370" s="5" t="str">
        <f>HYPERLINK("https://dpmzos25m8ivg.cloudfront.net/Documentos/631/09562373630/6310956237363008092023063027.jpg","https://dpmzos25m8ivg.cloudfront.net/Documentos/631/09562373630/6310956237363008092023063027.jpg")</f>
        <v>https://dpmzos25m8ivg.cloudfront.net/Documentos/631/09562373630/6310956237363008092023063027.jpg</v>
      </c>
      <c r="G4370" s="5" t="str">
        <f>HYPERLINK("https://dpmzos25m8ivg.cloudfront.net/Documentos/631/09562373630/6310956237363008092023063050.jpg","https://dpmzos25m8ivg.cloudfront.net/Documentos/631/09562373630/6310956237363008092023063050.jpg")</f>
        <v>https://dpmzos25m8ivg.cloudfront.net/Documentos/631/09562373630/6310956237363008092023063050.jpg</v>
      </c>
      <c r="H4370" s="5" t="s">
        <v>12945</v>
      </c>
    </row>
    <row r="4371" spans="1:8" x14ac:dyDescent="0.25">
      <c r="A4371" s="2" t="s">
        <v>4393</v>
      </c>
      <c r="B4371" s="3"/>
      <c r="C4371" s="3"/>
      <c r="D4371" s="3"/>
      <c r="E4371" s="5" t="str">
        <f>HYPERLINK("https://dpmzos25m8ivg.cloudfront.net/Documentos/631/09563690494/6310956369049406092023225713.pdf","https://dpmzos25m8ivg.cloudfront.net/Documentos/631/09563690494/6310956369049406092023225713.pdf")</f>
        <v>https://dpmzos25m8ivg.cloudfront.net/Documentos/631/09563690494/6310956369049406092023225713.pdf</v>
      </c>
      <c r="F4371" s="5" t="str">
        <f>HYPERLINK("https://dpmzos25m8ivg.cloudfront.net/Documentos/631/09563690494/6310956369049406092023225727.pdf","https://dpmzos25m8ivg.cloudfront.net/Documentos/631/09563690494/6310956369049406092023225727.pdf")</f>
        <v>https://dpmzos25m8ivg.cloudfront.net/Documentos/631/09563690494/6310956369049406092023225727.pdf</v>
      </c>
      <c r="G4371" s="5" t="str">
        <f>HYPERLINK("https://dpmzos25m8ivg.cloudfront.net/Documentos/631/09563690494/6310956369049406092023225741.pdf","https://dpmzos25m8ivg.cloudfront.net/Documentos/631/09563690494/6310956369049406092023225741.pdf")</f>
        <v>https://dpmzos25m8ivg.cloudfront.net/Documentos/631/09563690494/6310956369049406092023225741.pdf</v>
      </c>
      <c r="H4371" s="5" t="s">
        <v>12946</v>
      </c>
    </row>
    <row r="4372" spans="1:8" x14ac:dyDescent="0.25">
      <c r="A4372" s="2" t="s">
        <v>4394</v>
      </c>
      <c r="B4372" s="3"/>
      <c r="C4372" s="3"/>
      <c r="D4372" s="3"/>
      <c r="E4372" s="5" t="str">
        <f>HYPERLINK("https://dpmzos25m8ivg.cloudfront.net/Documentos/631/09564625610/6310956462561006092023145309.pdf","https://dpmzos25m8ivg.cloudfront.net/Documentos/631/09564625610/6310956462561006092023145309.pdf")</f>
        <v>https://dpmzos25m8ivg.cloudfront.net/Documentos/631/09564625610/6310956462561006092023145309.pdf</v>
      </c>
      <c r="F4372" s="5" t="str">
        <f>HYPERLINK("https://dpmzos25m8ivg.cloudfront.net/Documentos/631/09564625610/6310956462561006092023151028.pdf","https://dpmzos25m8ivg.cloudfront.net/Documentos/631/09564625610/6310956462561006092023151028.pdf")</f>
        <v>https://dpmzos25m8ivg.cloudfront.net/Documentos/631/09564625610/6310956462561006092023151028.pdf</v>
      </c>
      <c r="G4372" s="5" t="str">
        <f>HYPERLINK("https://dpmzos25m8ivg.cloudfront.net/Documentos/631/09564625610/6310956462561006092023151359.pdf","https://dpmzos25m8ivg.cloudfront.net/Documentos/631/09564625610/6310956462561006092023151359.pdf")</f>
        <v>https://dpmzos25m8ivg.cloudfront.net/Documentos/631/09564625610/6310956462561006092023151359.pdf</v>
      </c>
      <c r="H4372" s="5" t="s">
        <v>12947</v>
      </c>
    </row>
    <row r="4373" spans="1:8" x14ac:dyDescent="0.25">
      <c r="A4373" s="2" t="s">
        <v>4395</v>
      </c>
      <c r="B4373" s="3"/>
      <c r="C4373" s="3"/>
      <c r="D4373" s="3"/>
      <c r="E4373" s="5" t="str">
        <f>HYPERLINK("https://dpmzos25m8ivg.cloudfront.net/Documentos/631/09564955912/6310956495591208092023100147.pdf","https://dpmzos25m8ivg.cloudfront.net/Documentos/631/09564955912/6310956495591208092023100147.pdf")</f>
        <v>https://dpmzos25m8ivg.cloudfront.net/Documentos/631/09564955912/6310956495591208092023100147.pdf</v>
      </c>
      <c r="F4373" s="5" t="str">
        <f>HYPERLINK("https://dpmzos25m8ivg.cloudfront.net/Documentos/631/09564955912/6310956495591208092023100210.pdf","https://dpmzos25m8ivg.cloudfront.net/Documentos/631/09564955912/6310956495591208092023100210.pdf")</f>
        <v>https://dpmzos25m8ivg.cloudfront.net/Documentos/631/09564955912/6310956495591208092023100210.pdf</v>
      </c>
      <c r="G4373" s="5" t="str">
        <f>HYPERLINK("https://dpmzos25m8ivg.cloudfront.net/Documentos/631/09564955912/6310956495591208092023100236.pdf","https://dpmzos25m8ivg.cloudfront.net/Documentos/631/09564955912/6310956495591208092023100236.pdf")</f>
        <v>https://dpmzos25m8ivg.cloudfront.net/Documentos/631/09564955912/6310956495591208092023100236.pdf</v>
      </c>
      <c r="H4373" s="5" t="s">
        <v>12948</v>
      </c>
    </row>
    <row r="4374" spans="1:8" x14ac:dyDescent="0.25">
      <c r="A4374" s="2" t="s">
        <v>4396</v>
      </c>
      <c r="B4374" s="3" t="s">
        <v>8</v>
      </c>
      <c r="C4374" s="3"/>
      <c r="D4374" s="3"/>
      <c r="E4374" s="5" t="str">
        <f>HYPERLINK("https://dpmzos25m8ivg.cloudfront.net/Documentos/631/09567606439/6310956760643912092023230339.pdf","https://dpmzos25m8ivg.cloudfront.net/Documentos/631/09567606439/6310956760643912092023230339.pdf")</f>
        <v>https://dpmzos25m8ivg.cloudfront.net/Documentos/631/09567606439/6310956760643912092023230339.pdf</v>
      </c>
      <c r="F4374" s="5" t="str">
        <f>HYPERLINK("https://dpmzos25m8ivg.cloudfront.net/Documentos/631/09567606439/6310956760643912092023230353.pdf","https://dpmzos25m8ivg.cloudfront.net/Documentos/631/09567606439/6310956760643912092023230353.pdf")</f>
        <v>https://dpmzos25m8ivg.cloudfront.net/Documentos/631/09567606439/6310956760643912092023230353.pdf</v>
      </c>
      <c r="G4374" s="5" t="str">
        <f>HYPERLINK("https://dpmzos25m8ivg.cloudfront.net/Documentos/631/09567606439/6310956760643912092023230402.pdf","https://dpmzos25m8ivg.cloudfront.net/Documentos/631/09567606439/6310956760643912092023230402.pdf")</f>
        <v>https://dpmzos25m8ivg.cloudfront.net/Documentos/631/09567606439/6310956760643912092023230402.pdf</v>
      </c>
      <c r="H4374" s="5" t="s">
        <v>12949</v>
      </c>
    </row>
    <row r="4375" spans="1:8" x14ac:dyDescent="0.25">
      <c r="A4375" s="2" t="s">
        <v>4397</v>
      </c>
      <c r="B4375" s="3"/>
      <c r="C4375" s="3"/>
      <c r="D4375" s="3"/>
      <c r="E4375" s="5" t="str">
        <f>HYPERLINK("https://dpmzos25m8ivg.cloudfront.net/Documentos/631/09574315460/6310957431546005092023165026.pdf","https://dpmzos25m8ivg.cloudfront.net/Documentos/631/09574315460/6310957431546005092023165026.pdf")</f>
        <v>https://dpmzos25m8ivg.cloudfront.net/Documentos/631/09574315460/6310957431546005092023165026.pdf</v>
      </c>
      <c r="F4375" s="5" t="str">
        <f>HYPERLINK("https://dpmzos25m8ivg.cloudfront.net/Documentos/631/09574315460/6310957431546005092023165040.pdf","https://dpmzos25m8ivg.cloudfront.net/Documentos/631/09574315460/6310957431546005092023165040.pdf")</f>
        <v>https://dpmzos25m8ivg.cloudfront.net/Documentos/631/09574315460/6310957431546005092023165040.pdf</v>
      </c>
      <c r="G4375" s="5" t="str">
        <f>HYPERLINK("https://dpmzos25m8ivg.cloudfront.net/Documentos/631/09574315460/6310957431546005092023165512.jpg","https://dpmzos25m8ivg.cloudfront.net/Documentos/631/09574315460/6310957431546005092023165512.jpg")</f>
        <v>https://dpmzos25m8ivg.cloudfront.net/Documentos/631/09574315460/6310957431546005092023165512.jpg</v>
      </c>
      <c r="H4375" s="5" t="s">
        <v>12950</v>
      </c>
    </row>
    <row r="4376" spans="1:8" x14ac:dyDescent="0.25">
      <c r="A4376" s="2" t="s">
        <v>4398</v>
      </c>
      <c r="B4376" s="3"/>
      <c r="C4376" s="3"/>
      <c r="D4376" s="3"/>
      <c r="E4376" s="5" t="str">
        <f>HYPERLINK("https://dpmzos25m8ivg.cloudfront.net/Documentos/631/09575902459/6310957590245908092023154115.jpg","https://dpmzos25m8ivg.cloudfront.net/Documentos/631/09575902459/6310957590245908092023154115.jpg")</f>
        <v>https://dpmzos25m8ivg.cloudfront.net/Documentos/631/09575902459/6310957590245908092023154115.jpg</v>
      </c>
      <c r="F4376" s="5" t="str">
        <f>HYPERLINK("https://dpmzos25m8ivg.cloudfront.net/Documentos/631/09575902459/6310957590245908092023154121.jpg","https://dpmzos25m8ivg.cloudfront.net/Documentos/631/09575902459/6310957590245908092023154121.jpg")</f>
        <v>https://dpmzos25m8ivg.cloudfront.net/Documentos/631/09575902459/6310957590245908092023154121.jpg</v>
      </c>
      <c r="G4376" s="5" t="str">
        <f>HYPERLINK("https://dpmzos25m8ivg.cloudfront.net/Documentos/631/09575902459/6310957590245908092023154131.jpg","https://dpmzos25m8ivg.cloudfront.net/Documentos/631/09575902459/6310957590245908092023154131.jpg")</f>
        <v>https://dpmzos25m8ivg.cloudfront.net/Documentos/631/09575902459/6310957590245908092023154131.jpg</v>
      </c>
      <c r="H4376" s="5" t="s">
        <v>12951</v>
      </c>
    </row>
    <row r="4377" spans="1:8" x14ac:dyDescent="0.25">
      <c r="A4377" s="2" t="s">
        <v>4399</v>
      </c>
      <c r="B4377" s="3"/>
      <c r="C4377" s="3"/>
      <c r="D4377" s="3"/>
      <c r="E4377" s="5" t="str">
        <f>HYPERLINK("https://dpmzos25m8ivg.cloudfront.net/Documentos/631/09577200680/6310957720068005092023121852.pdf","https://dpmzos25m8ivg.cloudfront.net/Documentos/631/09577200680/6310957720068005092023121852.pdf")</f>
        <v>https://dpmzos25m8ivg.cloudfront.net/Documentos/631/09577200680/6310957720068005092023121852.pdf</v>
      </c>
      <c r="F4377" s="5" t="str">
        <f>HYPERLINK("https://dpmzos25m8ivg.cloudfront.net/Documentos/631/09577200680/6310957720068005092023121907.pdf","https://dpmzos25m8ivg.cloudfront.net/Documentos/631/09577200680/6310957720068005092023121907.pdf")</f>
        <v>https://dpmzos25m8ivg.cloudfront.net/Documentos/631/09577200680/6310957720068005092023121907.pdf</v>
      </c>
      <c r="G4377" s="5" t="str">
        <f>HYPERLINK("https://dpmzos25m8ivg.cloudfront.net/Documentos/631/09577200680/6310957720068005092023121922.pdf","https://dpmzos25m8ivg.cloudfront.net/Documentos/631/09577200680/6310957720068005092023121922.pdf")</f>
        <v>https://dpmzos25m8ivg.cloudfront.net/Documentos/631/09577200680/6310957720068005092023121922.pdf</v>
      </c>
      <c r="H4377" s="5" t="s">
        <v>12952</v>
      </c>
    </row>
    <row r="4378" spans="1:8" x14ac:dyDescent="0.25">
      <c r="A4378" s="2" t="s">
        <v>4400</v>
      </c>
      <c r="B4378" s="19" t="s">
        <v>3385</v>
      </c>
      <c r="C4378" s="3"/>
      <c r="D4378" s="3"/>
      <c r="E4378" s="5" t="str">
        <f>HYPERLINK("https://dpmzos25m8ivg.cloudfront.net/Documentos/631/09580380406/6310958038040611092023161132.pdf","https://dpmzos25m8ivg.cloudfront.net/Documentos/631/09580380406/6310958038040611092023161132.pdf")</f>
        <v>https://dpmzos25m8ivg.cloudfront.net/Documentos/631/09580380406/6310958038040611092023161132.pdf</v>
      </c>
      <c r="F4378" s="5" t="str">
        <f>HYPERLINK("https://dpmzos25m8ivg.cloudfront.net/Documentos/631/09580380406/6310958038040611092023161144.pdf","https://dpmzos25m8ivg.cloudfront.net/Documentos/631/09580380406/6310958038040611092023161144.pdf")</f>
        <v>https://dpmzos25m8ivg.cloudfront.net/Documentos/631/09580380406/6310958038040611092023161144.pdf</v>
      </c>
      <c r="G4378" s="5" t="str">
        <f>HYPERLINK("https://dpmzos25m8ivg.cloudfront.net/Documentos/631/09580380406/6310958038040611092023161157.pdf","https://dpmzos25m8ivg.cloudfront.net/Documentos/631/09580380406/6310958038040611092023161157.pdf")</f>
        <v>https://dpmzos25m8ivg.cloudfront.net/Documentos/631/09580380406/6310958038040611092023161157.pdf</v>
      </c>
      <c r="H4378" s="5" t="s">
        <v>12953</v>
      </c>
    </row>
    <row r="4379" spans="1:8" x14ac:dyDescent="0.25">
      <c r="A4379" s="2" t="s">
        <v>4401</v>
      </c>
      <c r="B4379" s="3"/>
      <c r="C4379" s="3"/>
      <c r="D4379" s="3"/>
      <c r="E4379" s="5" t="str">
        <f>HYPERLINK("https://dpmzos25m8ivg.cloudfront.net/Documentos/631/09591388624/6310959138862405092023204812.jpg","https://dpmzos25m8ivg.cloudfront.net/Documentos/631/09591388624/6310959138862405092023204812.jpg")</f>
        <v>https://dpmzos25m8ivg.cloudfront.net/Documentos/631/09591388624/6310959138862405092023204812.jpg</v>
      </c>
      <c r="F4379" s="5" t="str">
        <f>HYPERLINK("https://dpmzos25m8ivg.cloudfront.net/Documentos/631/09591388624/6310959138862405092023204900.jpg","https://dpmzos25m8ivg.cloudfront.net/Documentos/631/09591388624/6310959138862405092023204900.jpg")</f>
        <v>https://dpmzos25m8ivg.cloudfront.net/Documentos/631/09591388624/6310959138862405092023204900.jpg</v>
      </c>
      <c r="G4379" s="5" t="str">
        <f>HYPERLINK("https://dpmzos25m8ivg.cloudfront.net/Documentos/631/09591388624/6310959138862405092023204955.jpg","https://dpmzos25m8ivg.cloudfront.net/Documentos/631/09591388624/6310959138862405092023204955.jpg")</f>
        <v>https://dpmzos25m8ivg.cloudfront.net/Documentos/631/09591388624/6310959138862405092023204955.jpg</v>
      </c>
      <c r="H4379" s="5" t="s">
        <v>12954</v>
      </c>
    </row>
    <row r="4380" spans="1:8" x14ac:dyDescent="0.25">
      <c r="A4380" s="2" t="s">
        <v>4402</v>
      </c>
      <c r="B4380" s="3" t="s">
        <v>8</v>
      </c>
      <c r="C4380" s="3"/>
      <c r="D4380" s="3"/>
      <c r="E4380" s="5" t="str">
        <f>HYPERLINK("https://dpmzos25m8ivg.cloudfront.net/Documentos/631/09591602480/6310959160248011092023101819.pdf","https://dpmzos25m8ivg.cloudfront.net/Documentos/631/09591602480/6310959160248011092023101819.pdf")</f>
        <v>https://dpmzos25m8ivg.cloudfront.net/Documentos/631/09591602480/6310959160248011092023101819.pdf</v>
      </c>
      <c r="F4380" s="5" t="str">
        <f>HYPERLINK("https://dpmzos25m8ivg.cloudfront.net/Documentos/631/09591602480/6310959160248011092023101900.pdf","https://dpmzos25m8ivg.cloudfront.net/Documentos/631/09591602480/6310959160248011092023101900.pdf")</f>
        <v>https://dpmzos25m8ivg.cloudfront.net/Documentos/631/09591602480/6310959160248011092023101900.pdf</v>
      </c>
      <c r="G4380" s="5" t="str">
        <f>HYPERLINK("https://dpmzos25m8ivg.cloudfront.net/Documentos/631/09591602480/6310959160248011092023101940.pdf","https://dpmzos25m8ivg.cloudfront.net/Documentos/631/09591602480/6310959160248011092023101940.pdf")</f>
        <v>https://dpmzos25m8ivg.cloudfront.net/Documentos/631/09591602480/6310959160248011092023101940.pdf</v>
      </c>
      <c r="H4380" s="5" t="s">
        <v>12955</v>
      </c>
    </row>
    <row r="4381" spans="1:8" x14ac:dyDescent="0.25">
      <c r="A4381" s="2" t="s">
        <v>4403</v>
      </c>
      <c r="B4381" s="3" t="s">
        <v>42</v>
      </c>
      <c r="C4381" s="3"/>
      <c r="D4381" s="3"/>
      <c r="E4381" s="5" t="str">
        <f>HYPERLINK("https://dpmzos25m8ivg.cloudfront.net/Documentos/631/09596806599/6310959680659911092023164253.jpeg","https://dpmzos25m8ivg.cloudfront.net/Documentos/631/09596806599/6310959680659911092023164253.jpeg")</f>
        <v>https://dpmzos25m8ivg.cloudfront.net/Documentos/631/09596806599/6310959680659911092023164253.jpeg</v>
      </c>
      <c r="F4381" s="5" t="str">
        <f>HYPERLINK("https://dpmzos25m8ivg.cloudfront.net/Documentos/631/09596806599/6310959680659911092023164524.jpeg","https://dpmzos25m8ivg.cloudfront.net/Documentos/631/09596806599/6310959680659911092023164524.jpeg")</f>
        <v>https://dpmzos25m8ivg.cloudfront.net/Documentos/631/09596806599/6310959680659911092023164524.jpeg</v>
      </c>
      <c r="G4381" s="5" t="str">
        <f>HYPERLINK("https://dpmzos25m8ivg.cloudfront.net/Documentos/631/09596806599/6310959680659911092023164712.jpeg","https://dpmzos25m8ivg.cloudfront.net/Documentos/631/09596806599/6310959680659911092023164712.jpeg")</f>
        <v>https://dpmzos25m8ivg.cloudfront.net/Documentos/631/09596806599/6310959680659911092023164712.jpeg</v>
      </c>
      <c r="H4381" s="5" t="s">
        <v>12956</v>
      </c>
    </row>
    <row r="4382" spans="1:8" x14ac:dyDescent="0.25">
      <c r="A4382" s="2" t="s">
        <v>4404</v>
      </c>
      <c r="B4382" s="19" t="s">
        <v>3385</v>
      </c>
      <c r="C4382" s="3"/>
      <c r="D4382" s="3"/>
      <c r="E4382" s="5" t="str">
        <f>HYPERLINK("https://dpmzos25m8ivg.cloudfront.net/Documentos/631/09597724723/6310959772472311092023161850.pdf","https://dpmzos25m8ivg.cloudfront.net/Documentos/631/09597724723/6310959772472311092023161850.pdf")</f>
        <v>https://dpmzos25m8ivg.cloudfront.net/Documentos/631/09597724723/6310959772472311092023161850.pdf</v>
      </c>
      <c r="F4382" s="5" t="str">
        <f>HYPERLINK("https://dpmzos25m8ivg.cloudfront.net/Documentos/631/09597724723/6310959772472311092023161930.pdf","https://dpmzos25m8ivg.cloudfront.net/Documentos/631/09597724723/6310959772472311092023161930.pdf")</f>
        <v>https://dpmzos25m8ivg.cloudfront.net/Documentos/631/09597724723/6310959772472311092023161930.pdf</v>
      </c>
      <c r="G4382" s="5" t="str">
        <f>HYPERLINK("https://dpmzos25m8ivg.cloudfront.net/Documentos/631/09597724723/6310959772472311092023161953.pdf","https://dpmzos25m8ivg.cloudfront.net/Documentos/631/09597724723/6310959772472311092023161953.pdf")</f>
        <v>https://dpmzos25m8ivg.cloudfront.net/Documentos/631/09597724723/6310959772472311092023161953.pdf</v>
      </c>
      <c r="H4382" s="5" t="s">
        <v>12957</v>
      </c>
    </row>
    <row r="4383" spans="1:8" x14ac:dyDescent="0.25">
      <c r="A4383" s="2" t="s">
        <v>4405</v>
      </c>
      <c r="B4383" s="3"/>
      <c r="C4383" s="3"/>
      <c r="D4383" s="3"/>
      <c r="E4383" s="5" t="str">
        <f>HYPERLINK("https://dpmzos25m8ivg.cloudfront.net/Documentos/631/09599691601/6310959969160111092023143133.pdf","https://dpmzos25m8ivg.cloudfront.net/Documentos/631/09599691601/6310959969160111092023143133.pdf")</f>
        <v>https://dpmzos25m8ivg.cloudfront.net/Documentos/631/09599691601/6310959969160111092023143133.pdf</v>
      </c>
      <c r="F4383" s="5" t="str">
        <f>HYPERLINK("https://dpmzos25m8ivg.cloudfront.net/Documentos/631/09599691601/6310959969160111092023143151.pdf","https://dpmzos25m8ivg.cloudfront.net/Documentos/631/09599691601/6310959969160111092023143151.pdf")</f>
        <v>https://dpmzos25m8ivg.cloudfront.net/Documentos/631/09599691601/6310959969160111092023143151.pdf</v>
      </c>
      <c r="G4383" s="5" t="str">
        <f>HYPERLINK("https://dpmzos25m8ivg.cloudfront.net/Documentos/631/09599691601/6310959969160111092023143201.pdf","https://dpmzos25m8ivg.cloudfront.net/Documentos/631/09599691601/6310959969160111092023143201.pdf")</f>
        <v>https://dpmzos25m8ivg.cloudfront.net/Documentos/631/09599691601/6310959969160111092023143201.pdf</v>
      </c>
      <c r="H4383" s="5" t="s">
        <v>12958</v>
      </c>
    </row>
    <row r="4384" spans="1:8" x14ac:dyDescent="0.25">
      <c r="A4384" s="2" t="s">
        <v>4406</v>
      </c>
      <c r="B4384" s="3" t="s">
        <v>90</v>
      </c>
      <c r="C4384" s="3"/>
      <c r="D4384" s="3"/>
      <c r="E4384" s="5" t="str">
        <f>HYPERLINK("https://dpmzos25m8ivg.cloudfront.net/Documentos/631/09608590639/6310960859063909092023171656.pdf","https://dpmzos25m8ivg.cloudfront.net/Documentos/631/09608590639/6310960859063909092023171656.pdf")</f>
        <v>https://dpmzos25m8ivg.cloudfront.net/Documentos/631/09608590639/6310960859063909092023171656.pdf</v>
      </c>
      <c r="F4384" s="5" t="str">
        <f>HYPERLINK("https://dpmzos25m8ivg.cloudfront.net/Documentos/631/09608590639/6310960859063909092023171714.pdf","https://dpmzos25m8ivg.cloudfront.net/Documentos/631/09608590639/6310960859063909092023171714.pdf")</f>
        <v>https://dpmzos25m8ivg.cloudfront.net/Documentos/631/09608590639/6310960859063909092023171714.pdf</v>
      </c>
      <c r="G4384" s="5" t="str">
        <f>HYPERLINK("https://dpmzos25m8ivg.cloudfront.net/Documentos/631/09608590639/6310960859063909092023171731.pdf","https://dpmzos25m8ivg.cloudfront.net/Documentos/631/09608590639/6310960859063909092023171731.pdf")</f>
        <v>https://dpmzos25m8ivg.cloudfront.net/Documentos/631/09608590639/6310960859063909092023171731.pdf</v>
      </c>
      <c r="H4384" s="5" t="s">
        <v>12959</v>
      </c>
    </row>
    <row r="4385" spans="1:8" x14ac:dyDescent="0.25">
      <c r="A4385" s="2" t="s">
        <v>4407</v>
      </c>
      <c r="B4385" s="3"/>
      <c r="C4385" s="3"/>
      <c r="D4385" s="3"/>
      <c r="E4385" s="5" t="str">
        <f>HYPERLINK("https://dpmzos25m8ivg.cloudfront.net/Documentos/631/09609575455/6310960957545511092023160216.jpeg","https://dpmzos25m8ivg.cloudfront.net/Documentos/631/09609575455/6310960957545511092023160216.jpeg")</f>
        <v>https://dpmzos25m8ivg.cloudfront.net/Documentos/631/09609575455/6310960957545511092023160216.jpeg</v>
      </c>
      <c r="F4385" s="5" t="str">
        <f>HYPERLINK("https://dpmzos25m8ivg.cloudfront.net/Documentos/631/09609575455/6310960957545511092023160228.jpeg","https://dpmzos25m8ivg.cloudfront.net/Documentos/631/09609575455/6310960957545511092023160228.jpeg")</f>
        <v>https://dpmzos25m8ivg.cloudfront.net/Documentos/631/09609575455/6310960957545511092023160228.jpeg</v>
      </c>
      <c r="G4385" s="5" t="str">
        <f>HYPERLINK("https://dpmzos25m8ivg.cloudfront.net/Documentos/631/09609575455/6310960957545511092023160321.jpeg","https://dpmzos25m8ivg.cloudfront.net/Documentos/631/09609575455/6310960957545511092023160321.jpeg")</f>
        <v>https://dpmzos25m8ivg.cloudfront.net/Documentos/631/09609575455/6310960957545511092023160321.jpeg</v>
      </c>
      <c r="H4385" s="5" t="s">
        <v>12960</v>
      </c>
    </row>
    <row r="4386" spans="1:8" x14ac:dyDescent="0.25">
      <c r="A4386" s="2" t="s">
        <v>4408</v>
      </c>
      <c r="B4386" s="3" t="s">
        <v>90</v>
      </c>
      <c r="C4386" s="3"/>
      <c r="D4386" s="3"/>
      <c r="E4386" s="5" t="str">
        <f>HYPERLINK("https://dpmzos25m8ivg.cloudfront.net/Documentos/631/09617341670/6310961734167013092023163637.jpg","https://dpmzos25m8ivg.cloudfront.net/Documentos/631/09617341670/6310961734167013092023163637.jpg")</f>
        <v>https://dpmzos25m8ivg.cloudfront.net/Documentos/631/09617341670/6310961734167013092023163637.jpg</v>
      </c>
      <c r="F4386" s="5" t="str">
        <f>HYPERLINK("https://dpmzos25m8ivg.cloudfront.net/Documentos/631/09617341670/6310961734167013092023163647.jpg","https://dpmzos25m8ivg.cloudfront.net/Documentos/631/09617341670/6310961734167013092023163647.jpg")</f>
        <v>https://dpmzos25m8ivg.cloudfront.net/Documentos/631/09617341670/6310961734167013092023163647.jpg</v>
      </c>
      <c r="G4386" s="5" t="str">
        <f>HYPERLINK("https://dpmzos25m8ivg.cloudfront.net/Documentos/631/09617341670/6310961734167013092023163701.jpg","https://dpmzos25m8ivg.cloudfront.net/Documentos/631/09617341670/6310961734167013092023163701.jpg")</f>
        <v>https://dpmzos25m8ivg.cloudfront.net/Documentos/631/09617341670/6310961734167013092023163701.jpg</v>
      </c>
      <c r="H4386" s="5" t="s">
        <v>12961</v>
      </c>
    </row>
    <row r="4387" spans="1:8" x14ac:dyDescent="0.25">
      <c r="A4387" s="2" t="s">
        <v>4409</v>
      </c>
      <c r="B4387" s="3"/>
      <c r="C4387" s="3"/>
      <c r="D4387" s="3"/>
      <c r="E4387" s="5" t="str">
        <f>HYPERLINK("https://dpmzos25m8ivg.cloudfront.net/Documentos/631/09633710456/6310963371045606092023063313.pdf","https://dpmzos25m8ivg.cloudfront.net/Documentos/631/09633710456/6310963371045606092023063313.pdf")</f>
        <v>https://dpmzos25m8ivg.cloudfront.net/Documentos/631/09633710456/6310963371045606092023063313.pdf</v>
      </c>
      <c r="F4387" s="5" t="str">
        <f>HYPERLINK("https://dpmzos25m8ivg.cloudfront.net/Documentos/631/09633710456/6310963371045606092023063337.pdf","https://dpmzos25m8ivg.cloudfront.net/Documentos/631/09633710456/6310963371045606092023063337.pdf")</f>
        <v>https://dpmzos25m8ivg.cloudfront.net/Documentos/631/09633710456/6310963371045606092023063337.pdf</v>
      </c>
      <c r="G4387" s="5" t="str">
        <f>HYPERLINK("https://dpmzos25m8ivg.cloudfront.net/Documentos/631/09633710456/6310963371045606092023063358.pdf","https://dpmzos25m8ivg.cloudfront.net/Documentos/631/09633710456/6310963371045606092023063358.pdf")</f>
        <v>https://dpmzos25m8ivg.cloudfront.net/Documentos/631/09633710456/6310963371045606092023063358.pdf</v>
      </c>
      <c r="H4387" s="5" t="s">
        <v>12962</v>
      </c>
    </row>
    <row r="4388" spans="1:8" x14ac:dyDescent="0.25">
      <c r="A4388" s="2" t="s">
        <v>4410</v>
      </c>
      <c r="B4388" s="3"/>
      <c r="C4388" s="3"/>
      <c r="D4388" s="3"/>
      <c r="E4388" s="5" t="str">
        <f>HYPERLINK("https://dpmzos25m8ivg.cloudfront.net/Documentos/631/09641326724/6310964132672414092023134507.jpg","https://dpmzos25m8ivg.cloudfront.net/Documentos/631/09641326724/6310964132672414092023134507.jpg")</f>
        <v>https://dpmzos25m8ivg.cloudfront.net/Documentos/631/09641326724/6310964132672414092023134507.jpg</v>
      </c>
      <c r="F4388" s="5" t="str">
        <f>HYPERLINK("https://dpmzos25m8ivg.cloudfront.net/Documentos/631/09641326724/6310964132672414092023134519.jpg","https://dpmzos25m8ivg.cloudfront.net/Documentos/631/09641326724/6310964132672414092023134519.jpg")</f>
        <v>https://dpmzos25m8ivg.cloudfront.net/Documentos/631/09641326724/6310964132672414092023134519.jpg</v>
      </c>
      <c r="G4388" s="5" t="str">
        <f>HYPERLINK("https://dpmzos25m8ivg.cloudfront.net/Documentos/631/09641326724/6310964132672414092023134531.jpg","https://dpmzos25m8ivg.cloudfront.net/Documentos/631/09641326724/6310964132672414092023134531.jpg")</f>
        <v>https://dpmzos25m8ivg.cloudfront.net/Documentos/631/09641326724/6310964132672414092023134531.jpg</v>
      </c>
      <c r="H4388" s="5" t="s">
        <v>12963</v>
      </c>
    </row>
    <row r="4389" spans="1:8" x14ac:dyDescent="0.25">
      <c r="A4389" s="2" t="s">
        <v>4411</v>
      </c>
      <c r="B4389" s="3"/>
      <c r="C4389" s="3"/>
      <c r="D4389" s="3"/>
      <c r="E4389" s="5" t="str">
        <f>HYPERLINK("https://dpmzos25m8ivg.cloudfront.net/Documentos/631/09643957462/6310964395746206092023175329.pdf","https://dpmzos25m8ivg.cloudfront.net/Documentos/631/09643957462/6310964395746206092023175329.pdf")</f>
        <v>https://dpmzos25m8ivg.cloudfront.net/Documentos/631/09643957462/6310964395746206092023175329.pdf</v>
      </c>
      <c r="F4389" s="5" t="str">
        <f>HYPERLINK("https://dpmzos25m8ivg.cloudfront.net/Documentos/631/09643957462/6310964395746206092023175342.pdf","https://dpmzos25m8ivg.cloudfront.net/Documentos/631/09643957462/6310964395746206092023175342.pdf")</f>
        <v>https://dpmzos25m8ivg.cloudfront.net/Documentos/631/09643957462/6310964395746206092023175342.pdf</v>
      </c>
      <c r="G4389" s="5" t="str">
        <f>HYPERLINK("https://dpmzos25m8ivg.cloudfront.net/Documentos/631/09643957462/6310964395746206092023175359.pdf","https://dpmzos25m8ivg.cloudfront.net/Documentos/631/09643957462/6310964395746206092023175359.pdf")</f>
        <v>https://dpmzos25m8ivg.cloudfront.net/Documentos/631/09643957462/6310964395746206092023175359.pdf</v>
      </c>
      <c r="H4389" s="5" t="s">
        <v>12964</v>
      </c>
    </row>
    <row r="4390" spans="1:8" x14ac:dyDescent="0.25">
      <c r="A4390" s="2" t="s">
        <v>4412</v>
      </c>
      <c r="B4390" s="3"/>
      <c r="C4390" s="3"/>
      <c r="D4390" s="3"/>
      <c r="E4390" s="5" t="str">
        <f>HYPERLINK("https://dpmzos25m8ivg.cloudfront.net/Documentos/631/09647799438/6310964779943810092023171845.pdf","https://dpmzos25m8ivg.cloudfront.net/Documentos/631/09647799438/6310964779943810092023171845.pdf")</f>
        <v>https://dpmzos25m8ivg.cloudfront.net/Documentos/631/09647799438/6310964779943810092023171845.pdf</v>
      </c>
      <c r="F4390" s="5" t="str">
        <f>HYPERLINK("https://dpmzos25m8ivg.cloudfront.net/Documentos/631/09647799438/6310964779943810092023171925.pdf","https://dpmzos25m8ivg.cloudfront.net/Documentos/631/09647799438/6310964779943810092023171925.pdf")</f>
        <v>https://dpmzos25m8ivg.cloudfront.net/Documentos/631/09647799438/6310964779943810092023171925.pdf</v>
      </c>
      <c r="G4390" s="5" t="str">
        <f>HYPERLINK("https://dpmzos25m8ivg.cloudfront.net/Documentos/631/09647799438/6310964779943810092023172129.pdf","https://dpmzos25m8ivg.cloudfront.net/Documentos/631/09647799438/6310964779943810092023172129.pdf")</f>
        <v>https://dpmzos25m8ivg.cloudfront.net/Documentos/631/09647799438/6310964779943810092023172129.pdf</v>
      </c>
      <c r="H4390" s="5" t="s">
        <v>12965</v>
      </c>
    </row>
    <row r="4391" spans="1:8" x14ac:dyDescent="0.25">
      <c r="A4391" s="2" t="s">
        <v>4413</v>
      </c>
      <c r="B4391" s="3"/>
      <c r="C4391" s="3"/>
      <c r="D4391" s="3"/>
      <c r="E4391" s="5" t="str">
        <f>HYPERLINK("https://dpmzos25m8ivg.cloudfront.net/Documentos/631/09649067914/6310964906791414092023154351.pdf","https://dpmzos25m8ivg.cloudfront.net/Documentos/631/09649067914/6310964906791414092023154351.pdf")</f>
        <v>https://dpmzos25m8ivg.cloudfront.net/Documentos/631/09649067914/6310964906791414092023154351.pdf</v>
      </c>
      <c r="F4391" s="5" t="str">
        <f>HYPERLINK("https://dpmzos25m8ivg.cloudfront.net/Documentos/631/09649067914/6310964906791414092023154453.pdf","https://dpmzos25m8ivg.cloudfront.net/Documentos/631/09649067914/6310964906791414092023154453.pdf")</f>
        <v>https://dpmzos25m8ivg.cloudfront.net/Documentos/631/09649067914/6310964906791414092023154453.pdf</v>
      </c>
      <c r="G4391" s="5" t="str">
        <f>HYPERLINK("https://dpmzos25m8ivg.cloudfront.net/Documentos/631/09649067914/6310964906791414092023154553.pdf","https://dpmzos25m8ivg.cloudfront.net/Documentos/631/09649067914/6310964906791414092023154553.pdf")</f>
        <v>https://dpmzos25m8ivg.cloudfront.net/Documentos/631/09649067914/6310964906791414092023154553.pdf</v>
      </c>
      <c r="H4391" s="5" t="s">
        <v>12966</v>
      </c>
    </row>
    <row r="4392" spans="1:8" x14ac:dyDescent="0.25">
      <c r="A4392" s="2" t="s">
        <v>4414</v>
      </c>
      <c r="B4392" s="3" t="s">
        <v>90</v>
      </c>
      <c r="C4392" s="3"/>
      <c r="D4392" s="3"/>
      <c r="E4392" s="5" t="str">
        <f>HYPERLINK("https://dpmzos25m8ivg.cloudfront.net/Documentos/631/09651808918/6310965180891811092023154207.jpeg","https://dpmzos25m8ivg.cloudfront.net/Documentos/631/09651808918/6310965180891811092023154207.jpeg")</f>
        <v>https://dpmzos25m8ivg.cloudfront.net/Documentos/631/09651808918/6310965180891811092023154207.jpeg</v>
      </c>
      <c r="F4392" s="5" t="str">
        <f>HYPERLINK("https://dpmzos25m8ivg.cloudfront.net/Documentos/631/09651808918/6310965180891811092023154343.jpeg","https://dpmzos25m8ivg.cloudfront.net/Documentos/631/09651808918/6310965180891811092023154343.jpeg")</f>
        <v>https://dpmzos25m8ivg.cloudfront.net/Documentos/631/09651808918/6310965180891811092023154343.jpeg</v>
      </c>
      <c r="G4392" s="5" t="str">
        <f>HYPERLINK("https://dpmzos25m8ivg.cloudfront.net/Documentos/631/09651808918/6310965180891811092023154356.jpeg","https://dpmzos25m8ivg.cloudfront.net/Documentos/631/09651808918/6310965180891811092023154356.jpeg")</f>
        <v>https://dpmzos25m8ivg.cloudfront.net/Documentos/631/09651808918/6310965180891811092023154356.jpeg</v>
      </c>
      <c r="H4392" s="5" t="s">
        <v>12967</v>
      </c>
    </row>
    <row r="4393" spans="1:8" x14ac:dyDescent="0.25">
      <c r="A4393" s="2" t="s">
        <v>4415</v>
      </c>
      <c r="B4393" s="3"/>
      <c r="C4393" s="3"/>
      <c r="D4393" s="3"/>
      <c r="E4393" s="5" t="str">
        <f>HYPERLINK("https://dpmzos25m8ivg.cloudfront.net/Documentos/631/09652192678/6310965219267811092023115004.pdf","https://dpmzos25m8ivg.cloudfront.net/Documentos/631/09652192678/6310965219267811092023115004.pdf")</f>
        <v>https://dpmzos25m8ivg.cloudfront.net/Documentos/631/09652192678/6310965219267811092023115004.pdf</v>
      </c>
      <c r="F4393" s="5" t="str">
        <f>HYPERLINK("https://dpmzos25m8ivg.cloudfront.net/Documentos/631/09652192678/6310965219267811092023115022.pdf","https://dpmzos25m8ivg.cloudfront.net/Documentos/631/09652192678/6310965219267811092023115022.pdf")</f>
        <v>https://dpmzos25m8ivg.cloudfront.net/Documentos/631/09652192678/6310965219267811092023115022.pdf</v>
      </c>
      <c r="G4393" s="5" t="str">
        <f>HYPERLINK("https://dpmzos25m8ivg.cloudfront.net/Documentos/631/09652192678/6310965219267811092023115039.pdf","https://dpmzos25m8ivg.cloudfront.net/Documentos/631/09652192678/6310965219267811092023115039.pdf")</f>
        <v>https://dpmzos25m8ivg.cloudfront.net/Documentos/631/09652192678/6310965219267811092023115039.pdf</v>
      </c>
      <c r="H4393" s="5" t="s">
        <v>12968</v>
      </c>
    </row>
    <row r="4394" spans="1:8" x14ac:dyDescent="0.25">
      <c r="A4394" s="2" t="s">
        <v>4416</v>
      </c>
      <c r="B4394" s="3"/>
      <c r="C4394" s="3"/>
      <c r="D4394" s="3"/>
      <c r="E4394" s="5" t="str">
        <f>HYPERLINK("https://dpmzos25m8ivg.cloudfront.net/Documentos/631/09659063458/6310965906345811092023164844.pdf","https://dpmzos25m8ivg.cloudfront.net/Documentos/631/09659063458/6310965906345811092023164844.pdf")</f>
        <v>https://dpmzos25m8ivg.cloudfront.net/Documentos/631/09659063458/6310965906345811092023164844.pdf</v>
      </c>
      <c r="F4394" s="5" t="str">
        <f>HYPERLINK("https://dpmzos25m8ivg.cloudfront.net/Documentos/631/09659063458/6310965906345811092023164903.pdf","https://dpmzos25m8ivg.cloudfront.net/Documentos/631/09659063458/6310965906345811092023164903.pdf")</f>
        <v>https://dpmzos25m8ivg.cloudfront.net/Documentos/631/09659063458/6310965906345811092023164903.pdf</v>
      </c>
      <c r="G4394" s="5" t="str">
        <f>HYPERLINK("https://dpmzos25m8ivg.cloudfront.net/Documentos/631/09659063458/6310965906345811092023164925.pdf","https://dpmzos25m8ivg.cloudfront.net/Documentos/631/09659063458/6310965906345811092023164925.pdf")</f>
        <v>https://dpmzos25m8ivg.cloudfront.net/Documentos/631/09659063458/6310965906345811092023164925.pdf</v>
      </c>
      <c r="H4394" s="5" t="s">
        <v>12969</v>
      </c>
    </row>
    <row r="4395" spans="1:8" x14ac:dyDescent="0.25">
      <c r="A4395" s="2" t="s">
        <v>4417</v>
      </c>
      <c r="B4395" s="3"/>
      <c r="C4395" s="3"/>
      <c r="D4395" s="3"/>
      <c r="E4395" s="5" t="str">
        <f>HYPERLINK("https://dpmzos25m8ivg.cloudfront.net/Documentos/631/09665142895/6310966514289512092023203400.pdf","https://dpmzos25m8ivg.cloudfront.net/Documentos/631/09665142895/6310966514289512092023203400.pdf")</f>
        <v>https://dpmzos25m8ivg.cloudfront.net/Documentos/631/09665142895/6310966514289512092023203400.pdf</v>
      </c>
      <c r="F4395" s="5" t="str">
        <f>HYPERLINK("https://dpmzos25m8ivg.cloudfront.net/Documentos/631/09665142895/6310966514289512092023203445.pdf","https://dpmzos25m8ivg.cloudfront.net/Documentos/631/09665142895/6310966514289512092023203445.pdf")</f>
        <v>https://dpmzos25m8ivg.cloudfront.net/Documentos/631/09665142895/6310966514289512092023203445.pdf</v>
      </c>
      <c r="G4395" s="5" t="str">
        <f>HYPERLINK("https://dpmzos25m8ivg.cloudfront.net/Documentos/631/09665142895/6310966514289512092023203506.pdf","https://dpmzos25m8ivg.cloudfront.net/Documentos/631/09665142895/6310966514289512092023203506.pdf")</f>
        <v>https://dpmzos25m8ivg.cloudfront.net/Documentos/631/09665142895/6310966514289512092023203506.pdf</v>
      </c>
      <c r="H4395" s="5" t="s">
        <v>12970</v>
      </c>
    </row>
    <row r="4396" spans="1:8" x14ac:dyDescent="0.25">
      <c r="A4396" s="2" t="s">
        <v>4418</v>
      </c>
      <c r="B4396" s="3" t="s">
        <v>90</v>
      </c>
      <c r="C4396" s="3"/>
      <c r="D4396" s="3"/>
      <c r="E4396" s="5" t="str">
        <f>HYPERLINK("https://dpmzos25m8ivg.cloudfront.net/Documentos/631/09673593922/6310967359392211092023124942.pdf","https://dpmzos25m8ivg.cloudfront.net/Documentos/631/09673593922/6310967359392211092023124942.pdf")</f>
        <v>https://dpmzos25m8ivg.cloudfront.net/Documentos/631/09673593922/6310967359392211092023124942.pdf</v>
      </c>
      <c r="F4396" s="5" t="str">
        <f>HYPERLINK("https://dpmzos25m8ivg.cloudfront.net/Documentos/631/09673593922/6310967359392211092023124953.pdf","https://dpmzos25m8ivg.cloudfront.net/Documentos/631/09673593922/6310967359392211092023124953.pdf")</f>
        <v>https://dpmzos25m8ivg.cloudfront.net/Documentos/631/09673593922/6310967359392211092023124953.pdf</v>
      </c>
      <c r="G4396" s="5" t="str">
        <f>HYPERLINK("https://dpmzos25m8ivg.cloudfront.net/Documentos/631/09673593922/6310967359392211092023125001.pdf","https://dpmzos25m8ivg.cloudfront.net/Documentos/631/09673593922/6310967359392211092023125001.pdf")</f>
        <v>https://dpmzos25m8ivg.cloudfront.net/Documentos/631/09673593922/6310967359392211092023125001.pdf</v>
      </c>
      <c r="H4396" s="5" t="s">
        <v>12971</v>
      </c>
    </row>
    <row r="4397" spans="1:8" x14ac:dyDescent="0.25">
      <c r="A4397" s="2" t="s">
        <v>4419</v>
      </c>
      <c r="B4397" s="3"/>
      <c r="C4397" s="3"/>
      <c r="D4397" s="3"/>
      <c r="E4397" s="5" t="str">
        <f>HYPERLINK("https://dpmzos25m8ivg.cloudfront.net/Documentos/631/09676914436/6310967691443607092023123955.pdf","https://dpmzos25m8ivg.cloudfront.net/Documentos/631/09676914436/6310967691443607092023123955.pdf")</f>
        <v>https://dpmzos25m8ivg.cloudfront.net/Documentos/631/09676914436/6310967691443607092023123955.pdf</v>
      </c>
      <c r="F4397" s="5" t="str">
        <f>HYPERLINK("https://dpmzos25m8ivg.cloudfront.net/Documentos/631/09676914436/6310967691443607092023124014.pdf","https://dpmzos25m8ivg.cloudfront.net/Documentos/631/09676914436/6310967691443607092023124014.pdf")</f>
        <v>https://dpmzos25m8ivg.cloudfront.net/Documentos/631/09676914436/6310967691443607092023124014.pdf</v>
      </c>
      <c r="G4397" s="5" t="str">
        <f>HYPERLINK("https://dpmzos25m8ivg.cloudfront.net/Documentos/631/09676914436/6310967691443607092023124031.pdf","https://dpmzos25m8ivg.cloudfront.net/Documentos/631/09676914436/6310967691443607092023124031.pdf")</f>
        <v>https://dpmzos25m8ivg.cloudfront.net/Documentos/631/09676914436/6310967691443607092023124031.pdf</v>
      </c>
      <c r="H4397" s="5" t="s">
        <v>12972</v>
      </c>
    </row>
    <row r="4398" spans="1:8" x14ac:dyDescent="0.25">
      <c r="A4398" s="2" t="s">
        <v>4420</v>
      </c>
      <c r="B4398" s="3"/>
      <c r="C4398" s="3"/>
      <c r="D4398" s="3"/>
      <c r="E4398" s="5" t="str">
        <f>HYPERLINK("https://dpmzos25m8ivg.cloudfront.net/Documentos/631/09693899652/6310969389965211092023164655.pdf","https://dpmzos25m8ivg.cloudfront.net/Documentos/631/09693899652/6310969389965211092023164655.pdf")</f>
        <v>https://dpmzos25m8ivg.cloudfront.net/Documentos/631/09693899652/6310969389965211092023164655.pdf</v>
      </c>
      <c r="F4398" s="5" t="str">
        <f>HYPERLINK("https://dpmzos25m8ivg.cloudfront.net/Documentos/631/09693899652/6310969389965211092023164707.pdf","https://dpmzos25m8ivg.cloudfront.net/Documentos/631/09693899652/6310969389965211092023164707.pdf")</f>
        <v>https://dpmzos25m8ivg.cloudfront.net/Documentos/631/09693899652/6310969389965211092023164707.pdf</v>
      </c>
      <c r="G4398" s="5" t="str">
        <f>HYPERLINK("https://dpmzos25m8ivg.cloudfront.net/Documentos/631/09693899652/6310969389965211092023164718.pdf","https://dpmzos25m8ivg.cloudfront.net/Documentos/631/09693899652/6310969389965211092023164718.pdf")</f>
        <v>https://dpmzos25m8ivg.cloudfront.net/Documentos/631/09693899652/6310969389965211092023164718.pdf</v>
      </c>
      <c r="H4398" s="5" t="s">
        <v>12973</v>
      </c>
    </row>
    <row r="4399" spans="1:8" x14ac:dyDescent="0.25">
      <c r="A4399" s="2" t="s">
        <v>4421</v>
      </c>
      <c r="B4399" s="3"/>
      <c r="C4399" s="3"/>
      <c r="D4399" s="3"/>
      <c r="E4399" s="5" t="str">
        <f>HYPERLINK("https://dpmzos25m8ivg.cloudfront.net/Documentos/631/09695383670/6310969538367011092023161532.pdf","https://dpmzos25m8ivg.cloudfront.net/Documentos/631/09695383670/6310969538367011092023161532.pdf")</f>
        <v>https://dpmzos25m8ivg.cloudfront.net/Documentos/631/09695383670/6310969538367011092023161532.pdf</v>
      </c>
      <c r="F4399" s="5" t="str">
        <f>HYPERLINK("https://dpmzos25m8ivg.cloudfront.net/Documentos/631/09695383670/6310969538367011092023161543.pdf","https://dpmzos25m8ivg.cloudfront.net/Documentos/631/09695383670/6310969538367011092023161543.pdf")</f>
        <v>https://dpmzos25m8ivg.cloudfront.net/Documentos/631/09695383670/6310969538367011092023161543.pdf</v>
      </c>
      <c r="G4399" s="5" t="str">
        <f>HYPERLINK("https://dpmzos25m8ivg.cloudfront.net/Documentos/631/09695383670/6310969538367011092023161600.pdf","https://dpmzos25m8ivg.cloudfront.net/Documentos/631/09695383670/6310969538367011092023161600.pdf")</f>
        <v>https://dpmzos25m8ivg.cloudfront.net/Documentos/631/09695383670/6310969538367011092023161600.pdf</v>
      </c>
      <c r="H4399" s="5" t="s">
        <v>12974</v>
      </c>
    </row>
    <row r="4400" spans="1:8" x14ac:dyDescent="0.25">
      <c r="A4400" s="2" t="s">
        <v>4422</v>
      </c>
      <c r="B4400" s="3"/>
      <c r="C4400" s="3"/>
      <c r="D4400" s="3"/>
      <c r="E4400" s="5" t="str">
        <f>HYPERLINK("https://dpmzos25m8ivg.cloudfront.net/Documentos/631/09707283602/6310970728360209092023123231.pdf","https://dpmzos25m8ivg.cloudfront.net/Documentos/631/09707283602/6310970728360209092023123231.pdf")</f>
        <v>https://dpmzos25m8ivg.cloudfront.net/Documentos/631/09707283602/6310970728360209092023123231.pdf</v>
      </c>
      <c r="F4400" s="5" t="str">
        <f>HYPERLINK("https://dpmzos25m8ivg.cloudfront.net/Documentos/631/09707283602/6310970728360209092023123317.pdf","https://dpmzos25m8ivg.cloudfront.net/Documentos/631/09707283602/6310970728360209092023123317.pdf")</f>
        <v>https://dpmzos25m8ivg.cloudfront.net/Documentos/631/09707283602/6310970728360209092023123317.pdf</v>
      </c>
      <c r="G4400" s="5" t="str">
        <f>HYPERLINK("https://dpmzos25m8ivg.cloudfront.net/Documentos/631/09707283602/6310970728360209092023123328.pdf","https://dpmzos25m8ivg.cloudfront.net/Documentos/631/09707283602/6310970728360209092023123328.pdf")</f>
        <v>https://dpmzos25m8ivg.cloudfront.net/Documentos/631/09707283602/6310970728360209092023123328.pdf</v>
      </c>
      <c r="H4400" s="5" t="s">
        <v>12975</v>
      </c>
    </row>
    <row r="4401" spans="1:8" x14ac:dyDescent="0.25">
      <c r="A4401" s="2" t="s">
        <v>4423</v>
      </c>
      <c r="B4401" s="3"/>
      <c r="C4401" s="3"/>
      <c r="D4401" s="3"/>
      <c r="E4401" s="5" t="str">
        <f>HYPERLINK("https://dpmzos25m8ivg.cloudfront.net/Documentos/631/09716292694/6310971629269411092023143011.pdf","https://dpmzos25m8ivg.cloudfront.net/Documentos/631/09716292694/6310971629269411092023143011.pdf")</f>
        <v>https://dpmzos25m8ivg.cloudfront.net/Documentos/631/09716292694/6310971629269411092023143011.pdf</v>
      </c>
      <c r="F4401" s="5" t="str">
        <f>HYPERLINK("https://dpmzos25m8ivg.cloudfront.net/Documentos/631/09716292694/6310971629269411092023143025.pdf","https://dpmzos25m8ivg.cloudfront.net/Documentos/631/09716292694/6310971629269411092023143025.pdf")</f>
        <v>https://dpmzos25m8ivg.cloudfront.net/Documentos/631/09716292694/6310971629269411092023143025.pdf</v>
      </c>
      <c r="G4401" s="5" t="str">
        <f>HYPERLINK("https://dpmzos25m8ivg.cloudfront.net/Documentos/631/09716292694/6310971629269411092023143036.pdf","https://dpmzos25m8ivg.cloudfront.net/Documentos/631/09716292694/6310971629269411092023143036.pdf")</f>
        <v>https://dpmzos25m8ivg.cloudfront.net/Documentos/631/09716292694/6310971629269411092023143036.pdf</v>
      </c>
      <c r="H4401" s="5" t="s">
        <v>12976</v>
      </c>
    </row>
    <row r="4402" spans="1:8" x14ac:dyDescent="0.25">
      <c r="A4402" s="2" t="s">
        <v>4424</v>
      </c>
      <c r="B4402" s="3"/>
      <c r="C4402" s="3"/>
      <c r="D4402" s="3"/>
      <c r="E4402" s="5" t="str">
        <f>HYPERLINK("https://dpmzos25m8ivg.cloudfront.net/Documentos/631/09721682497/6310972168249705092023142837.pdf","https://dpmzos25m8ivg.cloudfront.net/Documentos/631/09721682497/6310972168249705092023142837.pdf")</f>
        <v>https://dpmzos25m8ivg.cloudfront.net/Documentos/631/09721682497/6310972168249705092023142837.pdf</v>
      </c>
      <c r="F4402" s="5" t="str">
        <f>HYPERLINK("https://dpmzos25m8ivg.cloudfront.net/Documentos/631/09721682497/6310972168249705092023142853.pdf","https://dpmzos25m8ivg.cloudfront.net/Documentos/631/09721682497/6310972168249705092023142853.pdf")</f>
        <v>https://dpmzos25m8ivg.cloudfront.net/Documentos/631/09721682497/6310972168249705092023142853.pdf</v>
      </c>
      <c r="G4402" s="5" t="str">
        <f>HYPERLINK("https://dpmzos25m8ivg.cloudfront.net/Documentos/631/09721682497/6310972168249705092023142904.pdf","https://dpmzos25m8ivg.cloudfront.net/Documentos/631/09721682497/6310972168249705092023142904.pdf")</f>
        <v>https://dpmzos25m8ivg.cloudfront.net/Documentos/631/09721682497/6310972168249705092023142904.pdf</v>
      </c>
      <c r="H4402" s="5" t="s">
        <v>12977</v>
      </c>
    </row>
    <row r="4403" spans="1:8" x14ac:dyDescent="0.25">
      <c r="A4403" s="14" t="s">
        <v>4425</v>
      </c>
      <c r="B4403" s="3" t="s">
        <v>90</v>
      </c>
      <c r="C4403" s="3"/>
      <c r="D4403" s="3"/>
      <c r="E4403" s="5" t="str">
        <f>HYPERLINK("https://dpmzos25m8ivg.cloudfront.net/Documentos/631/09722404970/6310972240497011092023001335.pdf","https://dpmzos25m8ivg.cloudfront.net/Documentos/631/09722404970/6310972240497011092023001335.pdf")</f>
        <v>https://dpmzos25m8ivg.cloudfront.net/Documentos/631/09722404970/6310972240497011092023001335.pdf</v>
      </c>
      <c r="F4403" s="5" t="str">
        <f>HYPERLINK("https://dpmzos25m8ivg.cloudfront.net/Documentos/631/09722404970/6310972240497011092023001347.pdf","https://dpmzos25m8ivg.cloudfront.net/Documentos/631/09722404970/6310972240497011092023001347.pdf")</f>
        <v>https://dpmzos25m8ivg.cloudfront.net/Documentos/631/09722404970/6310972240497011092023001347.pdf</v>
      </c>
      <c r="G4403" s="5" t="str">
        <f>HYPERLINK("https://dpmzos25m8ivg.cloudfront.net/Documentos/631/09722404970/6310972240497011092023001405.pdf","https://dpmzos25m8ivg.cloudfront.net/Documentos/631/09722404970/6310972240497011092023001405.pdf")</f>
        <v>https://dpmzos25m8ivg.cloudfront.net/Documentos/631/09722404970/6310972240497011092023001405.pdf</v>
      </c>
      <c r="H4403" s="5" t="s">
        <v>12978</v>
      </c>
    </row>
    <row r="4404" spans="1:8" x14ac:dyDescent="0.25">
      <c r="A4404" s="2" t="s">
        <v>4426</v>
      </c>
      <c r="B4404" s="3"/>
      <c r="C4404" s="3"/>
      <c r="D4404" s="3"/>
      <c r="E4404" s="5" t="str">
        <f>HYPERLINK("https://dpmzos25m8ivg.cloudfront.net/Documentos/631/09737249437/6310973724943706092023091341.jpg","https://dpmzos25m8ivg.cloudfront.net/Documentos/631/09737249437/6310973724943706092023091341.jpg")</f>
        <v>https://dpmzos25m8ivg.cloudfront.net/Documentos/631/09737249437/6310973724943706092023091341.jpg</v>
      </c>
      <c r="F4404" s="5" t="str">
        <f>HYPERLINK("https://dpmzos25m8ivg.cloudfront.net/Documentos/631/09737249437/6310973724943706092023091414.jpg","https://dpmzos25m8ivg.cloudfront.net/Documentos/631/09737249437/6310973724943706092023091414.jpg")</f>
        <v>https://dpmzos25m8ivg.cloudfront.net/Documentos/631/09737249437/6310973724943706092023091414.jpg</v>
      </c>
      <c r="G4404" s="5" t="str">
        <f>HYPERLINK("https://dpmzos25m8ivg.cloudfront.net/Documentos/631/09737249437/6310973724943706092023091505.jpg","https://dpmzos25m8ivg.cloudfront.net/Documentos/631/09737249437/6310973724943706092023091505.jpg")</f>
        <v>https://dpmzos25m8ivg.cloudfront.net/Documentos/631/09737249437/6310973724943706092023091505.jpg</v>
      </c>
      <c r="H4404" s="5" t="s">
        <v>12979</v>
      </c>
    </row>
    <row r="4405" spans="1:8" x14ac:dyDescent="0.25">
      <c r="A4405" s="2" t="s">
        <v>4427</v>
      </c>
      <c r="B4405" s="3" t="s">
        <v>90</v>
      </c>
      <c r="C4405" s="3"/>
      <c r="D4405" s="3"/>
      <c r="E4405" s="5" t="str">
        <f>HYPERLINK("https://dpmzos25m8ivg.cloudfront.net/Documentos/631/09742221600/6310974222160011092023155256.jpg","https://dpmzos25m8ivg.cloudfront.net/Documentos/631/09742221600/6310974222160011092023155256.jpg")</f>
        <v>https://dpmzos25m8ivg.cloudfront.net/Documentos/631/09742221600/6310974222160011092023155256.jpg</v>
      </c>
      <c r="F4405" s="5" t="str">
        <f>HYPERLINK("https://dpmzos25m8ivg.cloudfront.net/Documentos/631/09742221600/6310974222160011092023155337.jpg","https://dpmzos25m8ivg.cloudfront.net/Documentos/631/09742221600/6310974222160011092023155337.jpg")</f>
        <v>https://dpmzos25m8ivg.cloudfront.net/Documentos/631/09742221600/6310974222160011092023155337.jpg</v>
      </c>
      <c r="G4405" s="5" t="str">
        <f>HYPERLINK("https://dpmzos25m8ivg.cloudfront.net/Documentos/631/09742221600/6310974222160011092023155402.jpg","https://dpmzos25m8ivg.cloudfront.net/Documentos/631/09742221600/6310974222160011092023155402.jpg")</f>
        <v>https://dpmzos25m8ivg.cloudfront.net/Documentos/631/09742221600/6310974222160011092023155402.jpg</v>
      </c>
      <c r="H4405" s="5" t="s">
        <v>12980</v>
      </c>
    </row>
    <row r="4406" spans="1:8" x14ac:dyDescent="0.25">
      <c r="A4406" s="2" t="s">
        <v>4428</v>
      </c>
      <c r="B4406" s="3"/>
      <c r="C4406" s="3"/>
      <c r="D4406" s="3"/>
      <c r="E4406" s="5" t="str">
        <f>HYPERLINK("https://dpmzos25m8ivg.cloudfront.net/Documentos/631/09743033483/6310974303348311092023103310.jpeg","https://dpmzos25m8ivg.cloudfront.net/Documentos/631/09743033483/6310974303348311092023103310.jpeg")</f>
        <v>https://dpmzos25m8ivg.cloudfront.net/Documentos/631/09743033483/6310974303348311092023103310.jpeg</v>
      </c>
      <c r="F4406" s="5" t="str">
        <f>HYPERLINK("https://dpmzos25m8ivg.cloudfront.net/Documentos/631/09743033483/6310974303348311092023103321.jpeg","https://dpmzos25m8ivg.cloudfront.net/Documentos/631/09743033483/6310974303348311092023103321.jpeg")</f>
        <v>https://dpmzos25m8ivg.cloudfront.net/Documentos/631/09743033483/6310974303348311092023103321.jpeg</v>
      </c>
      <c r="G4406" s="5" t="str">
        <f>HYPERLINK("https://dpmzos25m8ivg.cloudfront.net/Documentos/631/09743033483/6310974303348311092023103332.jpeg","https://dpmzos25m8ivg.cloudfront.net/Documentos/631/09743033483/6310974303348311092023103332.jpeg")</f>
        <v>https://dpmzos25m8ivg.cloudfront.net/Documentos/631/09743033483/6310974303348311092023103332.jpeg</v>
      </c>
      <c r="H4406" s="5" t="s">
        <v>12981</v>
      </c>
    </row>
    <row r="4407" spans="1:8" x14ac:dyDescent="0.25">
      <c r="A4407" s="2" t="s">
        <v>4429</v>
      </c>
      <c r="B4407" s="3"/>
      <c r="C4407" s="3"/>
      <c r="D4407" s="3"/>
      <c r="E4407" s="5" t="str">
        <f>HYPERLINK("https://dpmzos25m8ivg.cloudfront.net/Documentos/631/09746343440/6310974634344006092023222340.pdf","https://dpmzos25m8ivg.cloudfront.net/Documentos/631/09746343440/6310974634344006092023222340.pdf")</f>
        <v>https://dpmzos25m8ivg.cloudfront.net/Documentos/631/09746343440/6310974634344006092023222340.pdf</v>
      </c>
      <c r="F4407" s="5" t="str">
        <f>HYPERLINK("https://dpmzos25m8ivg.cloudfront.net/Documentos/631/09746343440/6310974634344006092023222406.pdf","https://dpmzos25m8ivg.cloudfront.net/Documentos/631/09746343440/6310974634344006092023222406.pdf")</f>
        <v>https://dpmzos25m8ivg.cloudfront.net/Documentos/631/09746343440/6310974634344006092023222406.pdf</v>
      </c>
      <c r="G4407" s="5" t="str">
        <f>HYPERLINK("https://dpmzos25m8ivg.cloudfront.net/Documentos/631/09746343440/6310974634344006092023222424.pdf","https://dpmzos25m8ivg.cloudfront.net/Documentos/631/09746343440/6310974634344006092023222424.pdf")</f>
        <v>https://dpmzos25m8ivg.cloudfront.net/Documentos/631/09746343440/6310974634344006092023222424.pdf</v>
      </c>
      <c r="H4407" s="5" t="s">
        <v>12982</v>
      </c>
    </row>
    <row r="4408" spans="1:8" x14ac:dyDescent="0.25">
      <c r="A4408" s="2" t="s">
        <v>4430</v>
      </c>
      <c r="B4408" s="3"/>
      <c r="C4408" s="3"/>
      <c r="D4408" s="3"/>
      <c r="E4408" s="5" t="str">
        <f>HYPERLINK("https://dpmzos25m8ivg.cloudfront.net/Documentos/631/09751028930/6310975102893005092023125539.pdf","https://dpmzos25m8ivg.cloudfront.net/Documentos/631/09751028930/6310975102893005092023125539.pdf")</f>
        <v>https://dpmzos25m8ivg.cloudfront.net/Documentos/631/09751028930/6310975102893005092023125539.pdf</v>
      </c>
      <c r="F4408" s="5" t="str">
        <f>HYPERLINK("https://dpmzos25m8ivg.cloudfront.net/Documentos/631/09751028930/6310975102893005092023125548.pdf","https://dpmzos25m8ivg.cloudfront.net/Documentos/631/09751028930/6310975102893005092023125548.pdf")</f>
        <v>https://dpmzos25m8ivg.cloudfront.net/Documentos/631/09751028930/6310975102893005092023125548.pdf</v>
      </c>
      <c r="G4408" s="5" t="str">
        <f>HYPERLINK("https://dpmzos25m8ivg.cloudfront.net/Documentos/631/09751028930/6310975102893005092023125557.pdf","https://dpmzos25m8ivg.cloudfront.net/Documentos/631/09751028930/6310975102893005092023125557.pdf")</f>
        <v>https://dpmzos25m8ivg.cloudfront.net/Documentos/631/09751028930/6310975102893005092023125557.pdf</v>
      </c>
      <c r="H4408" s="5" t="s">
        <v>12983</v>
      </c>
    </row>
    <row r="4409" spans="1:8" x14ac:dyDescent="0.25">
      <c r="A4409" s="2" t="s">
        <v>4431</v>
      </c>
      <c r="B4409" s="3"/>
      <c r="C4409" s="3"/>
      <c r="D4409" s="3"/>
      <c r="E4409" s="5" t="str">
        <f>HYPERLINK("https://dpmzos25m8ivg.cloudfront.net/Documentos/631/09754551685/6310975455168511092023150742.pdf","https://dpmzos25m8ivg.cloudfront.net/Documentos/631/09754551685/6310975455168511092023150742.pdf")</f>
        <v>https://dpmzos25m8ivg.cloudfront.net/Documentos/631/09754551685/6310975455168511092023150742.pdf</v>
      </c>
      <c r="F4409" s="5" t="str">
        <f>HYPERLINK("https://dpmzos25m8ivg.cloudfront.net/Documentos/631/09754551685/6310975455168511092023150838.jpeg","https://dpmzos25m8ivg.cloudfront.net/Documentos/631/09754551685/6310975455168511092023150838.jpeg")</f>
        <v>https://dpmzos25m8ivg.cloudfront.net/Documentos/631/09754551685/6310975455168511092023150838.jpeg</v>
      </c>
      <c r="G4409" s="5" t="str">
        <f>HYPERLINK("https://dpmzos25m8ivg.cloudfront.net/Documentos/631/09754551685/6310975455168513092023150550.jpeg","https://dpmzos25m8ivg.cloudfront.net/Documentos/631/09754551685/6310975455168513092023150550.jpeg")</f>
        <v>https://dpmzos25m8ivg.cloudfront.net/Documentos/631/09754551685/6310975455168513092023150550.jpeg</v>
      </c>
      <c r="H4409" s="5" t="s">
        <v>12984</v>
      </c>
    </row>
    <row r="4410" spans="1:8" x14ac:dyDescent="0.25">
      <c r="A4410" s="2" t="s">
        <v>4432</v>
      </c>
      <c r="B4410" s="3"/>
      <c r="C4410" s="3"/>
      <c r="D4410" s="3"/>
      <c r="E4410" s="5" t="str">
        <f>HYPERLINK("https://dpmzos25m8ivg.cloudfront.net/Documentos/631/09758131702/6310975813170206092023072958.jpeg","https://dpmzos25m8ivg.cloudfront.net/Documentos/631/09758131702/6310975813170206092023072958.jpeg")</f>
        <v>https://dpmzos25m8ivg.cloudfront.net/Documentos/631/09758131702/6310975813170206092023072958.jpeg</v>
      </c>
      <c r="F4410" s="5" t="str">
        <f>HYPERLINK("https://dpmzos25m8ivg.cloudfront.net/Documentos/631/09758131702/6310975813170206092023073023.jpeg","https://dpmzos25m8ivg.cloudfront.net/Documentos/631/09758131702/6310975813170206092023073023.jpeg")</f>
        <v>https://dpmzos25m8ivg.cloudfront.net/Documentos/631/09758131702/6310975813170206092023073023.jpeg</v>
      </c>
      <c r="G4410" s="5" t="str">
        <f>HYPERLINK("https://dpmzos25m8ivg.cloudfront.net/Documentos/631/09758131702/6310975813170206092023073040.jpeg","https://dpmzos25m8ivg.cloudfront.net/Documentos/631/09758131702/6310975813170206092023073040.jpeg")</f>
        <v>https://dpmzos25m8ivg.cloudfront.net/Documentos/631/09758131702/6310975813170206092023073040.jpeg</v>
      </c>
      <c r="H4410" s="5" t="s">
        <v>12985</v>
      </c>
    </row>
    <row r="4411" spans="1:8" x14ac:dyDescent="0.25">
      <c r="A4411" s="2" t="s">
        <v>4433</v>
      </c>
      <c r="B4411" s="3"/>
      <c r="C4411" s="3"/>
      <c r="D4411" s="3"/>
      <c r="E4411" s="5" t="str">
        <f>HYPERLINK("https://dpmzos25m8ivg.cloudfront.net/Documentos/631/09762103475/6310976210347508092023192757.pdf","https://dpmzos25m8ivg.cloudfront.net/Documentos/631/09762103475/6310976210347508092023192757.pdf")</f>
        <v>https://dpmzos25m8ivg.cloudfront.net/Documentos/631/09762103475/6310976210347508092023192757.pdf</v>
      </c>
      <c r="F4411" s="5" t="str">
        <f>HYPERLINK("https://dpmzos25m8ivg.cloudfront.net/Documentos/631/09762103475/6310976210347508092023192808.pdf","https://dpmzos25m8ivg.cloudfront.net/Documentos/631/09762103475/6310976210347508092023192808.pdf")</f>
        <v>https://dpmzos25m8ivg.cloudfront.net/Documentos/631/09762103475/6310976210347508092023192808.pdf</v>
      </c>
      <c r="G4411" s="5" t="str">
        <f>HYPERLINK("https://dpmzos25m8ivg.cloudfront.net/Documentos/631/09762103475/6310976210347508092023192818.pdf","https://dpmzos25m8ivg.cloudfront.net/Documentos/631/09762103475/6310976210347508092023192818.pdf")</f>
        <v>https://dpmzos25m8ivg.cloudfront.net/Documentos/631/09762103475/6310976210347508092023192818.pdf</v>
      </c>
      <c r="H4411" s="5" t="s">
        <v>12986</v>
      </c>
    </row>
    <row r="4412" spans="1:8" x14ac:dyDescent="0.25">
      <c r="A4412" s="2" t="s">
        <v>4434</v>
      </c>
      <c r="B4412" s="3"/>
      <c r="C4412" s="3"/>
      <c r="D4412" s="3"/>
      <c r="E4412" s="5" t="str">
        <f>HYPERLINK("https://dpmzos25m8ivg.cloudfront.net/Documentos/631/09771347683/6310977134768311092023124729.pdf","https://dpmzos25m8ivg.cloudfront.net/Documentos/631/09771347683/6310977134768311092023124729.pdf")</f>
        <v>https://dpmzos25m8ivg.cloudfront.net/Documentos/631/09771347683/6310977134768311092023124729.pdf</v>
      </c>
      <c r="F4412" s="5" t="str">
        <f>HYPERLINK("https://dpmzos25m8ivg.cloudfront.net/Documentos/631/09771347683/6310977134768311092023124738.pdf","https://dpmzos25m8ivg.cloudfront.net/Documentos/631/09771347683/6310977134768311092023124738.pdf")</f>
        <v>https://dpmzos25m8ivg.cloudfront.net/Documentos/631/09771347683/6310977134768311092023124738.pdf</v>
      </c>
      <c r="G4412" s="5" t="str">
        <f>HYPERLINK("https://dpmzos25m8ivg.cloudfront.net/Documentos/631/09771347683/6310977134768311092023124749.pdf","https://dpmzos25m8ivg.cloudfront.net/Documentos/631/09771347683/6310977134768311092023124749.pdf")</f>
        <v>https://dpmzos25m8ivg.cloudfront.net/Documentos/631/09771347683/6310977134768311092023124749.pdf</v>
      </c>
      <c r="H4412" s="5" t="s">
        <v>12987</v>
      </c>
    </row>
    <row r="4413" spans="1:8" x14ac:dyDescent="0.25">
      <c r="A4413" s="2" t="s">
        <v>4435</v>
      </c>
      <c r="B4413" s="3" t="s">
        <v>8</v>
      </c>
      <c r="C4413" s="3"/>
      <c r="D4413" s="3"/>
      <c r="E4413" s="5" t="str">
        <f>HYPERLINK("https://dpmzos25m8ivg.cloudfront.net/Documentos/631/09774030842/6310977403084206092023131349.pdf","https://dpmzos25m8ivg.cloudfront.net/Documentos/631/09774030842/6310977403084206092023131349.pdf")</f>
        <v>https://dpmzos25m8ivg.cloudfront.net/Documentos/631/09774030842/6310977403084206092023131349.pdf</v>
      </c>
      <c r="F4413" s="5" t="str">
        <f>HYPERLINK("https://dpmzos25m8ivg.cloudfront.net/Documentos/631/09774030842/6310977403084206092023131428.pdf","https://dpmzos25m8ivg.cloudfront.net/Documentos/631/09774030842/6310977403084206092023131428.pdf")</f>
        <v>https://dpmzos25m8ivg.cloudfront.net/Documentos/631/09774030842/6310977403084206092023131428.pdf</v>
      </c>
      <c r="G4413" s="5" t="str">
        <f>HYPERLINK("https://dpmzos25m8ivg.cloudfront.net/Documentos/631/09774030842/6310977403084206092023131452.pdf","https://dpmzos25m8ivg.cloudfront.net/Documentos/631/09774030842/6310977403084206092023131452.pdf")</f>
        <v>https://dpmzos25m8ivg.cloudfront.net/Documentos/631/09774030842/6310977403084206092023131452.pdf</v>
      </c>
      <c r="H4413" s="5" t="s">
        <v>12988</v>
      </c>
    </row>
    <row r="4414" spans="1:8" x14ac:dyDescent="0.25">
      <c r="A4414" s="2" t="s">
        <v>4436</v>
      </c>
      <c r="B4414" s="3"/>
      <c r="C4414" s="3"/>
      <c r="D4414" s="3"/>
      <c r="E4414" s="5" t="str">
        <f>HYPERLINK("https://dpmzos25m8ivg.cloudfront.net/Documentos/631/09776410405/6310977641040505092023110953.jpeg","https://dpmzos25m8ivg.cloudfront.net/Documentos/631/09776410405/6310977641040505092023110953.jpeg")</f>
        <v>https://dpmzos25m8ivg.cloudfront.net/Documentos/631/09776410405/6310977641040505092023110953.jpeg</v>
      </c>
      <c r="F4414" s="5" t="str">
        <f>HYPERLINK("https://dpmzos25m8ivg.cloudfront.net/Documentos/631/09776410405/6310977641040505092023111208.jpeg","https://dpmzos25m8ivg.cloudfront.net/Documentos/631/09776410405/6310977641040505092023111208.jpeg")</f>
        <v>https://dpmzos25m8ivg.cloudfront.net/Documentos/631/09776410405/6310977641040505092023111208.jpeg</v>
      </c>
      <c r="G4414" s="5" t="str">
        <f>HYPERLINK("https://dpmzos25m8ivg.cloudfront.net/Documentos/631/09776410405/6310977641040505092023111437.jpeg","https://dpmzos25m8ivg.cloudfront.net/Documentos/631/09776410405/6310977641040505092023111437.jpeg")</f>
        <v>https://dpmzos25m8ivg.cloudfront.net/Documentos/631/09776410405/6310977641040505092023111437.jpeg</v>
      </c>
      <c r="H4414" s="5" t="s">
        <v>12989</v>
      </c>
    </row>
    <row r="4415" spans="1:8" x14ac:dyDescent="0.25">
      <c r="A4415" s="2" t="s">
        <v>4437</v>
      </c>
      <c r="B4415" s="3"/>
      <c r="C4415" s="3"/>
      <c r="D4415" s="3"/>
      <c r="E4415" s="5" t="str">
        <f>HYPERLINK("https://dpmzos25m8ivg.cloudfront.net/Documentos/631/09781151986/6310978115198611092023155252.pdf","https://dpmzos25m8ivg.cloudfront.net/Documentos/631/09781151986/6310978115198611092023155252.pdf")</f>
        <v>https://dpmzos25m8ivg.cloudfront.net/Documentos/631/09781151986/6310978115198611092023155252.pdf</v>
      </c>
      <c r="F4415" s="5" t="str">
        <f>HYPERLINK("https://dpmzos25m8ivg.cloudfront.net/Documentos/631/09781151986/6310978115198611092023155305.pdf","https://dpmzos25m8ivg.cloudfront.net/Documentos/631/09781151986/6310978115198611092023155305.pdf")</f>
        <v>https://dpmzos25m8ivg.cloudfront.net/Documentos/631/09781151986/6310978115198611092023155305.pdf</v>
      </c>
      <c r="G4415" s="5" t="str">
        <f>HYPERLINK("https://dpmzos25m8ivg.cloudfront.net/Documentos/631/09781151986/6310978115198611092023155313.pdf","https://dpmzos25m8ivg.cloudfront.net/Documentos/631/09781151986/6310978115198611092023155313.pdf")</f>
        <v>https://dpmzos25m8ivg.cloudfront.net/Documentos/631/09781151986/6310978115198611092023155313.pdf</v>
      </c>
      <c r="H4415" s="5" t="s">
        <v>12990</v>
      </c>
    </row>
    <row r="4416" spans="1:8" x14ac:dyDescent="0.25">
      <c r="A4416" s="2" t="s">
        <v>4438</v>
      </c>
      <c r="B4416" s="3"/>
      <c r="C4416" s="3"/>
      <c r="D4416" s="3"/>
      <c r="E4416" s="5" t="str">
        <f>HYPERLINK("https://dpmzos25m8ivg.cloudfront.net/Documentos/631/09789144490/6310978914449011092023165724.pdf","https://dpmzos25m8ivg.cloudfront.net/Documentos/631/09789144490/6310978914449011092023165724.pdf")</f>
        <v>https://dpmzos25m8ivg.cloudfront.net/Documentos/631/09789144490/6310978914449011092023165724.pdf</v>
      </c>
      <c r="F4416" s="5" t="str">
        <f>HYPERLINK("https://dpmzos25m8ivg.cloudfront.net/Documentos/631/09789144490/6310978914449011092023165751.pdf","https://dpmzos25m8ivg.cloudfront.net/Documentos/631/09789144490/6310978914449011092023165751.pdf")</f>
        <v>https://dpmzos25m8ivg.cloudfront.net/Documentos/631/09789144490/6310978914449011092023165751.pdf</v>
      </c>
      <c r="G4416" s="5" t="str">
        <f>HYPERLINK("https://dpmzos25m8ivg.cloudfront.net/Documentos/631/09789144490/6310978914449011092023165835.pdf","https://dpmzos25m8ivg.cloudfront.net/Documentos/631/09789144490/6310978914449011092023165835.pdf")</f>
        <v>https://dpmzos25m8ivg.cloudfront.net/Documentos/631/09789144490/6310978914449011092023165835.pdf</v>
      </c>
      <c r="H4416" s="5" t="s">
        <v>12991</v>
      </c>
    </row>
    <row r="4417" spans="1:8" x14ac:dyDescent="0.25">
      <c r="A4417" s="2" t="s">
        <v>4439</v>
      </c>
      <c r="B4417" s="3"/>
      <c r="C4417" s="3"/>
      <c r="D4417" s="3"/>
      <c r="E4417" s="5" t="str">
        <f>HYPERLINK("https://dpmzos25m8ivg.cloudfront.net/Documentos/631/09791500606/6310979150060612092023182923.pdf","https://dpmzos25m8ivg.cloudfront.net/Documentos/631/09791500606/6310979150060612092023182923.pdf")</f>
        <v>https://dpmzos25m8ivg.cloudfront.net/Documentos/631/09791500606/6310979150060612092023182923.pdf</v>
      </c>
      <c r="F4417" s="5" t="str">
        <f>HYPERLINK("https://dpmzos25m8ivg.cloudfront.net/Documentos/631/09791500606/6310979150060612092023182934.pdf","https://dpmzos25m8ivg.cloudfront.net/Documentos/631/09791500606/6310979150060612092023182934.pdf")</f>
        <v>https://dpmzos25m8ivg.cloudfront.net/Documentos/631/09791500606/6310979150060612092023182934.pdf</v>
      </c>
      <c r="G4417" s="5" t="str">
        <f>HYPERLINK("https://dpmzos25m8ivg.cloudfront.net/Documentos/631/09791500606/6310979150060612092023182951.pdf","https://dpmzos25m8ivg.cloudfront.net/Documentos/631/09791500606/6310979150060612092023182951.pdf")</f>
        <v>https://dpmzos25m8ivg.cloudfront.net/Documentos/631/09791500606/6310979150060612092023182951.pdf</v>
      </c>
      <c r="H4417" s="5" t="s">
        <v>12992</v>
      </c>
    </row>
    <row r="4418" spans="1:8" x14ac:dyDescent="0.25">
      <c r="A4418" s="2" t="s">
        <v>4440</v>
      </c>
      <c r="B4418" s="3"/>
      <c r="C4418" s="3"/>
      <c r="D4418" s="3"/>
      <c r="E4418" s="5" t="str">
        <f>HYPERLINK("https://dpmzos25m8ivg.cloudfront.net/Documentos/631/09794845701/6310979484570111092023105840.pdf","https://dpmzos25m8ivg.cloudfront.net/Documentos/631/09794845701/6310979484570111092023105840.pdf")</f>
        <v>https://dpmzos25m8ivg.cloudfront.net/Documentos/631/09794845701/6310979484570111092023105840.pdf</v>
      </c>
      <c r="F4418" s="5" t="str">
        <f>HYPERLINK("https://dpmzos25m8ivg.cloudfront.net/Documentos/631/09794845701/6310979484570111092023105909.pdf","https://dpmzos25m8ivg.cloudfront.net/Documentos/631/09794845701/6310979484570111092023105909.pdf")</f>
        <v>https://dpmzos25m8ivg.cloudfront.net/Documentos/631/09794845701/6310979484570111092023105909.pdf</v>
      </c>
      <c r="G4418" s="5" t="str">
        <f>HYPERLINK("https://dpmzos25m8ivg.cloudfront.net/Documentos/631/09794845701/6310979484570111092023105942.pdf","https://dpmzos25m8ivg.cloudfront.net/Documentos/631/09794845701/6310979484570111092023105942.pdf")</f>
        <v>https://dpmzos25m8ivg.cloudfront.net/Documentos/631/09794845701/6310979484570111092023105942.pdf</v>
      </c>
      <c r="H4418" s="5" t="s">
        <v>12993</v>
      </c>
    </row>
    <row r="4419" spans="1:8" x14ac:dyDescent="0.25">
      <c r="A4419" s="2" t="s">
        <v>4441</v>
      </c>
      <c r="B4419" s="3"/>
      <c r="C4419" s="3"/>
      <c r="D4419" s="3"/>
      <c r="E4419" s="5" t="str">
        <f>HYPERLINK("https://dpmzos25m8ivg.cloudfront.net/Documentos/631/09798948408/6310979894840811092023152834.pdf","https://dpmzos25m8ivg.cloudfront.net/Documentos/631/09798948408/6310979894840811092023152834.pdf")</f>
        <v>https://dpmzos25m8ivg.cloudfront.net/Documentos/631/09798948408/6310979894840811092023152834.pdf</v>
      </c>
      <c r="F4419" s="5" t="str">
        <f>HYPERLINK("https://dpmzos25m8ivg.cloudfront.net/Documentos/631/09798948408/6310979894840811092023152910.pdf","https://dpmzos25m8ivg.cloudfront.net/Documentos/631/09798948408/6310979894840811092023152910.pdf")</f>
        <v>https://dpmzos25m8ivg.cloudfront.net/Documentos/631/09798948408/6310979894840811092023152910.pdf</v>
      </c>
      <c r="G4419" s="5" t="str">
        <f>HYPERLINK("https://dpmzos25m8ivg.cloudfront.net/Documentos/631/09798948408/6310979894840811092023152923.pdf","https://dpmzos25m8ivg.cloudfront.net/Documentos/631/09798948408/6310979894840811092023152923.pdf")</f>
        <v>https://dpmzos25m8ivg.cloudfront.net/Documentos/631/09798948408/6310979894840811092023152923.pdf</v>
      </c>
      <c r="H4419" s="5" t="s">
        <v>12994</v>
      </c>
    </row>
    <row r="4420" spans="1:8" x14ac:dyDescent="0.25">
      <c r="A4420" s="2" t="s">
        <v>4442</v>
      </c>
      <c r="B4420" s="3"/>
      <c r="C4420" s="3"/>
      <c r="D4420" s="3"/>
      <c r="E4420" s="5" t="str">
        <f>HYPERLINK("https://dpmzos25m8ivg.cloudfront.net/Documentos/631/09800973478/6310980097347809092023103142.pdf","https://dpmzos25m8ivg.cloudfront.net/Documentos/631/09800973478/6310980097347809092023103142.pdf")</f>
        <v>https://dpmzos25m8ivg.cloudfront.net/Documentos/631/09800973478/6310980097347809092023103142.pdf</v>
      </c>
      <c r="F4420" s="5" t="str">
        <f>HYPERLINK("https://dpmzos25m8ivg.cloudfront.net/Documentos/631/09800973478/6310980097347809092023103150.pdf","https://dpmzos25m8ivg.cloudfront.net/Documentos/631/09800973478/6310980097347809092023103150.pdf")</f>
        <v>https://dpmzos25m8ivg.cloudfront.net/Documentos/631/09800973478/6310980097347809092023103150.pdf</v>
      </c>
      <c r="G4420" s="5" t="str">
        <f>HYPERLINK("https://dpmzos25m8ivg.cloudfront.net/Documentos/631/09800973478/6310980097347809092023103157.pdf","https://dpmzos25m8ivg.cloudfront.net/Documentos/631/09800973478/6310980097347809092023103157.pdf")</f>
        <v>https://dpmzos25m8ivg.cloudfront.net/Documentos/631/09800973478/6310980097347809092023103157.pdf</v>
      </c>
      <c r="H4420" s="5" t="s">
        <v>12995</v>
      </c>
    </row>
    <row r="4421" spans="1:8" x14ac:dyDescent="0.25">
      <c r="A4421" s="2" t="s">
        <v>4443</v>
      </c>
      <c r="B4421" s="3"/>
      <c r="C4421" s="3"/>
      <c r="D4421" s="3"/>
      <c r="E4421" s="5" t="str">
        <f>HYPERLINK("https://dpmzos25m8ivg.cloudfront.net/Documentos/631/09812722823/6310981272282305092023164117.pdf","https://dpmzos25m8ivg.cloudfront.net/Documentos/631/09812722823/6310981272282305092023164117.pdf")</f>
        <v>https://dpmzos25m8ivg.cloudfront.net/Documentos/631/09812722823/6310981272282305092023164117.pdf</v>
      </c>
      <c r="F4421" s="5" t="str">
        <f>HYPERLINK("https://dpmzos25m8ivg.cloudfront.net/Documentos/631/09812722823/6310981272282305092023181555.pdf","https://dpmzos25m8ivg.cloudfront.net/Documentos/631/09812722823/6310981272282305092023181555.pdf")</f>
        <v>https://dpmzos25m8ivg.cloudfront.net/Documentos/631/09812722823/6310981272282305092023181555.pdf</v>
      </c>
      <c r="G4421" s="5" t="str">
        <f>HYPERLINK("https://dpmzos25m8ivg.cloudfront.net/Documentos/631/09812722823/6310981272282305092023181627.pdf","https://dpmzos25m8ivg.cloudfront.net/Documentos/631/09812722823/6310981272282305092023181627.pdf")</f>
        <v>https://dpmzos25m8ivg.cloudfront.net/Documentos/631/09812722823/6310981272282305092023181627.pdf</v>
      </c>
      <c r="H4421" s="5" t="s">
        <v>12996</v>
      </c>
    </row>
    <row r="4422" spans="1:8" x14ac:dyDescent="0.25">
      <c r="A4422" s="2" t="s">
        <v>4444</v>
      </c>
      <c r="B4422" s="3"/>
      <c r="C4422" s="3"/>
      <c r="D4422" s="3"/>
      <c r="E4422" s="5" t="str">
        <f>HYPERLINK("https://dpmzos25m8ivg.cloudfront.net/Documentos/631/09813546611/6310981354661105092023184635.pdf","https://dpmzos25m8ivg.cloudfront.net/Documentos/631/09813546611/6310981354661105092023184635.pdf")</f>
        <v>https://dpmzos25m8ivg.cloudfront.net/Documentos/631/09813546611/6310981354661105092023184635.pdf</v>
      </c>
      <c r="F4422" s="5" t="str">
        <f>HYPERLINK("https://dpmzos25m8ivg.cloudfront.net/Documentos/631/09813546611/6310981354661105092023184705.pdf","https://dpmzos25m8ivg.cloudfront.net/Documentos/631/09813546611/6310981354661105092023184705.pdf")</f>
        <v>https://dpmzos25m8ivg.cloudfront.net/Documentos/631/09813546611/6310981354661105092023184705.pdf</v>
      </c>
      <c r="G4422" s="5" t="str">
        <f>HYPERLINK("https://dpmzos25m8ivg.cloudfront.net/Documentos/631/09813546611/6310981354661111092023154714.pdf","https://dpmzos25m8ivg.cloudfront.net/Documentos/631/09813546611/6310981354661111092023154714.pdf")</f>
        <v>https://dpmzos25m8ivg.cloudfront.net/Documentos/631/09813546611/6310981354661111092023154714.pdf</v>
      </c>
      <c r="H4422" s="5" t="s">
        <v>12997</v>
      </c>
    </row>
    <row r="4423" spans="1:8" x14ac:dyDescent="0.25">
      <c r="A4423" s="2" t="s">
        <v>4445</v>
      </c>
      <c r="B4423" s="3" t="s">
        <v>42</v>
      </c>
      <c r="C4423" s="3"/>
      <c r="D4423" s="3"/>
      <c r="E4423" s="5" t="str">
        <f>HYPERLINK("https://dpmzos25m8ivg.cloudfront.net/Documentos/631/09825005483/6310982500548305092023173053.pdf","https://dpmzos25m8ivg.cloudfront.net/Documentos/631/09825005483/6310982500548305092023173053.pdf")</f>
        <v>https://dpmzos25m8ivg.cloudfront.net/Documentos/631/09825005483/6310982500548305092023173053.pdf</v>
      </c>
      <c r="F4423" s="5" t="str">
        <f>HYPERLINK("https://dpmzos25m8ivg.cloudfront.net/Documentos/631/09825005483/6310982500548305092023173158.pdf","https://dpmzos25m8ivg.cloudfront.net/Documentos/631/09825005483/6310982500548305092023173158.pdf")</f>
        <v>https://dpmzos25m8ivg.cloudfront.net/Documentos/631/09825005483/6310982500548305092023173158.pdf</v>
      </c>
      <c r="G4423" s="5" t="str">
        <f>HYPERLINK("https://dpmzos25m8ivg.cloudfront.net/Documentos/631/09825005483/6310982500548305092023173252.pdf","https://dpmzos25m8ivg.cloudfront.net/Documentos/631/09825005483/6310982500548305092023173252.pdf")</f>
        <v>https://dpmzos25m8ivg.cloudfront.net/Documentos/631/09825005483/6310982500548305092023173252.pdf</v>
      </c>
      <c r="H4423" s="5" t="s">
        <v>12998</v>
      </c>
    </row>
    <row r="4424" spans="1:8" x14ac:dyDescent="0.25">
      <c r="A4424" s="2" t="s">
        <v>4446</v>
      </c>
      <c r="B4424" s="3"/>
      <c r="C4424" s="3"/>
      <c r="D4424" s="3"/>
      <c r="E4424" s="5" t="str">
        <f>HYPERLINK("https://dpmzos25m8ivg.cloudfront.net/Documentos/631/09827626906/6310982762690605092023115430.pdf","https://dpmzos25m8ivg.cloudfront.net/Documentos/631/09827626906/6310982762690605092023115430.pdf")</f>
        <v>https://dpmzos25m8ivg.cloudfront.net/Documentos/631/09827626906/6310982762690605092023115430.pdf</v>
      </c>
      <c r="F4424" s="5" t="str">
        <f>HYPERLINK("https://dpmzos25m8ivg.cloudfront.net/Documentos/631/09827626906/6310982762690607092023171354.pdf","https://dpmzos25m8ivg.cloudfront.net/Documentos/631/09827626906/6310982762690607092023171354.pdf")</f>
        <v>https://dpmzos25m8ivg.cloudfront.net/Documentos/631/09827626906/6310982762690607092023171354.pdf</v>
      </c>
      <c r="G4424" s="5" t="str">
        <f>HYPERLINK("https://dpmzos25m8ivg.cloudfront.net/Documentos/631/09827626906/6310982762690607092023171428.pdf","https://dpmzos25m8ivg.cloudfront.net/Documentos/631/09827626906/6310982762690607092023171428.pdf")</f>
        <v>https://dpmzos25m8ivg.cloudfront.net/Documentos/631/09827626906/6310982762690607092023171428.pdf</v>
      </c>
      <c r="H4424" s="5" t="s">
        <v>12999</v>
      </c>
    </row>
    <row r="4425" spans="1:8" x14ac:dyDescent="0.25">
      <c r="A4425" s="2" t="s">
        <v>4447</v>
      </c>
      <c r="B4425" s="3" t="s">
        <v>90</v>
      </c>
      <c r="C4425" s="3"/>
      <c r="D4425" s="3"/>
      <c r="E4425" s="5" t="str">
        <f>HYPERLINK("https://dpmzos25m8ivg.cloudfront.net/Documentos/631/09829973611/6310982997361105092023141027.jpg","https://dpmzos25m8ivg.cloudfront.net/Documentos/631/09829973611/6310982997361105092023141027.jpg")</f>
        <v>https://dpmzos25m8ivg.cloudfront.net/Documentos/631/09829973611/6310982997361105092023141027.jpg</v>
      </c>
      <c r="F4425" s="5" t="str">
        <f>HYPERLINK("https://dpmzos25m8ivg.cloudfront.net/Documentos/631/09829973611/6310982997361105092023141042.jpg","https://dpmzos25m8ivg.cloudfront.net/Documentos/631/09829973611/6310982997361105092023141042.jpg")</f>
        <v>https://dpmzos25m8ivg.cloudfront.net/Documentos/631/09829973611/6310982997361105092023141042.jpg</v>
      </c>
      <c r="G4425" s="5" t="str">
        <f>HYPERLINK("https://dpmzos25m8ivg.cloudfront.net/Documentos/631/09829973611/6310982997361105092023141057.jpg","https://dpmzos25m8ivg.cloudfront.net/Documentos/631/09829973611/6310982997361105092023141057.jpg")</f>
        <v>https://dpmzos25m8ivg.cloudfront.net/Documentos/631/09829973611/6310982997361105092023141057.jpg</v>
      </c>
      <c r="H4425" s="5" t="s">
        <v>13000</v>
      </c>
    </row>
    <row r="4426" spans="1:8" x14ac:dyDescent="0.25">
      <c r="A4426" s="2" t="s">
        <v>4448</v>
      </c>
      <c r="B4426" s="3"/>
      <c r="C4426" s="3"/>
      <c r="D4426" s="3"/>
      <c r="E4426" s="5" t="str">
        <f>HYPERLINK("https://dpmzos25m8ivg.cloudfront.net/Documentos/631/09830016773/6310983001677305092023164642.pdf","https://dpmzos25m8ivg.cloudfront.net/Documentos/631/09830016773/6310983001677305092023164642.pdf")</f>
        <v>https://dpmzos25m8ivg.cloudfront.net/Documentos/631/09830016773/6310983001677305092023164642.pdf</v>
      </c>
      <c r="F4426" s="5" t="str">
        <f>HYPERLINK("https://dpmzos25m8ivg.cloudfront.net/Documentos/631/09830016773/6310983001677305092023164710.pdf","https://dpmzos25m8ivg.cloudfront.net/Documentos/631/09830016773/6310983001677305092023164710.pdf")</f>
        <v>https://dpmzos25m8ivg.cloudfront.net/Documentos/631/09830016773/6310983001677305092023164710.pdf</v>
      </c>
      <c r="G4426" s="5" t="str">
        <f>HYPERLINK("https://dpmzos25m8ivg.cloudfront.net/Documentos/631/09830016773/6310983001677305092023191803.pdf","https://dpmzos25m8ivg.cloudfront.net/Documentos/631/09830016773/6310983001677305092023191803.pdf")</f>
        <v>https://dpmzos25m8ivg.cloudfront.net/Documentos/631/09830016773/6310983001677305092023191803.pdf</v>
      </c>
      <c r="H4426" s="5" t="s">
        <v>13001</v>
      </c>
    </row>
    <row r="4427" spans="1:8" x14ac:dyDescent="0.25">
      <c r="A4427" s="2" t="s">
        <v>4449</v>
      </c>
      <c r="B4427" s="19" t="s">
        <v>3385</v>
      </c>
      <c r="C4427" s="3"/>
      <c r="D4427" s="3"/>
      <c r="E4427" s="5" t="str">
        <f>HYPERLINK("https://dpmzos25m8ivg.cloudfront.net/Documentos/631/09830452913/6310983045291311092023104806.pdf","https://dpmzos25m8ivg.cloudfront.net/Documentos/631/09830452913/6310983045291311092023104806.pdf")</f>
        <v>https://dpmzos25m8ivg.cloudfront.net/Documentos/631/09830452913/6310983045291311092023104806.pdf</v>
      </c>
      <c r="F4427" s="5" t="str">
        <f>HYPERLINK("https://dpmzos25m8ivg.cloudfront.net/Documentos/631/09830452913/6310983045291311092023105003.pdf","https://dpmzos25m8ivg.cloudfront.net/Documentos/631/09830452913/6310983045291311092023105003.pdf")</f>
        <v>https://dpmzos25m8ivg.cloudfront.net/Documentos/631/09830452913/6310983045291311092023105003.pdf</v>
      </c>
      <c r="G4427" s="5" t="str">
        <f>HYPERLINK("https://dpmzos25m8ivg.cloudfront.net/Documentos/631/09830452913/6310983045291311092023105026.pdf","https://dpmzos25m8ivg.cloudfront.net/Documentos/631/09830452913/6310983045291311092023105026.pdf")</f>
        <v>https://dpmzos25m8ivg.cloudfront.net/Documentos/631/09830452913/6310983045291311092023105026.pdf</v>
      </c>
      <c r="H4427" s="5" t="s">
        <v>13002</v>
      </c>
    </row>
    <row r="4428" spans="1:8" x14ac:dyDescent="0.25">
      <c r="A4428" s="2" t="s">
        <v>4450</v>
      </c>
      <c r="B4428" s="3"/>
      <c r="C4428" s="3"/>
      <c r="D4428" s="3"/>
      <c r="E4428" s="5" t="str">
        <f>HYPERLINK("https://dpmzos25m8ivg.cloudfront.net/Documentos/631/09835901414/6310983590141411092023142552.pdf","https://dpmzos25m8ivg.cloudfront.net/Documentos/631/09835901414/6310983590141411092023142552.pdf")</f>
        <v>https://dpmzos25m8ivg.cloudfront.net/Documentos/631/09835901414/6310983590141411092023142552.pdf</v>
      </c>
      <c r="F4428" s="5" t="str">
        <f>HYPERLINK("https://dpmzos25m8ivg.cloudfront.net/Documentos/631/09835901414/6310983590141411092023142602.pdf","https://dpmzos25m8ivg.cloudfront.net/Documentos/631/09835901414/6310983590141411092023142602.pdf")</f>
        <v>https://dpmzos25m8ivg.cloudfront.net/Documentos/631/09835901414/6310983590141411092023142602.pdf</v>
      </c>
      <c r="G4428" s="5" t="str">
        <f>HYPERLINK("https://dpmzos25m8ivg.cloudfront.net/Documentos/631/09835901414/6310983590141411092023142607.pdf","https://dpmzos25m8ivg.cloudfront.net/Documentos/631/09835901414/6310983590141411092023142607.pdf")</f>
        <v>https://dpmzos25m8ivg.cloudfront.net/Documentos/631/09835901414/6310983590141411092023142607.pdf</v>
      </c>
      <c r="H4428" s="5" t="s">
        <v>13003</v>
      </c>
    </row>
    <row r="4429" spans="1:8" x14ac:dyDescent="0.25">
      <c r="A4429" s="2" t="s">
        <v>4451</v>
      </c>
      <c r="B4429" s="3"/>
      <c r="C4429" s="3"/>
      <c r="D4429" s="3"/>
      <c r="E4429" s="5" t="str">
        <f>HYPERLINK("https://dpmzos25m8ivg.cloudfront.net/Documentos/631/09835914400/6310983591440011092023164047.pdf","https://dpmzos25m8ivg.cloudfront.net/Documentos/631/09835914400/6310983591440011092023164047.pdf")</f>
        <v>https://dpmzos25m8ivg.cloudfront.net/Documentos/631/09835914400/6310983591440011092023164047.pdf</v>
      </c>
      <c r="F4429" s="5" t="str">
        <f>HYPERLINK("https://dpmzos25m8ivg.cloudfront.net/Documentos/631/09835914400/6310983591440011092023164100.pdf","https://dpmzos25m8ivg.cloudfront.net/Documentos/631/09835914400/6310983591440011092023164100.pdf")</f>
        <v>https://dpmzos25m8ivg.cloudfront.net/Documentos/631/09835914400/6310983591440011092023164100.pdf</v>
      </c>
      <c r="G4429" s="5" t="str">
        <f>HYPERLINK("https://dpmzos25m8ivg.cloudfront.net/Documentos/631/09835914400/6310983591440011092023164119.pdf","https://dpmzos25m8ivg.cloudfront.net/Documentos/631/09835914400/6310983591440011092023164119.pdf")</f>
        <v>https://dpmzos25m8ivg.cloudfront.net/Documentos/631/09835914400/6310983591440011092023164119.pdf</v>
      </c>
      <c r="H4429" s="5" t="s">
        <v>13004</v>
      </c>
    </row>
    <row r="4430" spans="1:8" x14ac:dyDescent="0.25">
      <c r="A4430" s="2" t="s">
        <v>4452</v>
      </c>
      <c r="B4430" s="3"/>
      <c r="C4430" s="3"/>
      <c r="D4430" s="3"/>
      <c r="E4430" s="5" t="str">
        <f>HYPERLINK("https://dpmzos25m8ivg.cloudfront.net/Documentos/631/09838214612/6310983821461211092023144426.jpg","https://dpmzos25m8ivg.cloudfront.net/Documentos/631/09838214612/6310983821461211092023144426.jpg")</f>
        <v>https://dpmzos25m8ivg.cloudfront.net/Documentos/631/09838214612/6310983821461211092023144426.jpg</v>
      </c>
      <c r="F4430" s="5" t="str">
        <f>HYPERLINK("https://dpmzos25m8ivg.cloudfront.net/Documentos/631/09838214612/6310983821461211092023144435.jpg","https://dpmzos25m8ivg.cloudfront.net/Documentos/631/09838214612/6310983821461211092023144435.jpg")</f>
        <v>https://dpmzos25m8ivg.cloudfront.net/Documentos/631/09838214612/6310983821461211092023144435.jpg</v>
      </c>
      <c r="G4430" s="5" t="str">
        <f>HYPERLINK("https://dpmzos25m8ivg.cloudfront.net/Documentos/631/09838214612/6310983821461211092023144447.jpg","https://dpmzos25m8ivg.cloudfront.net/Documentos/631/09838214612/6310983821461211092023144447.jpg")</f>
        <v>https://dpmzos25m8ivg.cloudfront.net/Documentos/631/09838214612/6310983821461211092023144447.jpg</v>
      </c>
      <c r="H4430" s="5" t="s">
        <v>13005</v>
      </c>
    </row>
    <row r="4431" spans="1:8" x14ac:dyDescent="0.25">
      <c r="A4431" s="2" t="s">
        <v>4453</v>
      </c>
      <c r="B4431" s="3"/>
      <c r="C4431" s="3"/>
      <c r="D4431" s="3"/>
      <c r="E4431" s="5" t="str">
        <f>HYPERLINK("https://dpmzos25m8ivg.cloudfront.net/Documentos/631/09838321451/6310983832145107092023220314.pdf","https://dpmzos25m8ivg.cloudfront.net/Documentos/631/09838321451/6310983832145107092023220314.pdf")</f>
        <v>https://dpmzos25m8ivg.cloudfront.net/Documentos/631/09838321451/6310983832145107092023220314.pdf</v>
      </c>
      <c r="F4431" s="5" t="str">
        <f>HYPERLINK("https://dpmzos25m8ivg.cloudfront.net/Documentos/631/09838321451/6310983832145107092023220329.pdf","https://dpmzos25m8ivg.cloudfront.net/Documentos/631/09838321451/6310983832145107092023220329.pdf")</f>
        <v>https://dpmzos25m8ivg.cloudfront.net/Documentos/631/09838321451/6310983832145107092023220329.pdf</v>
      </c>
      <c r="G4431" s="5" t="str">
        <f>HYPERLINK("https://dpmzos25m8ivg.cloudfront.net/Documentos/631/09838321451/6310983832145107092023220340.pdf","https://dpmzos25m8ivg.cloudfront.net/Documentos/631/09838321451/6310983832145107092023220340.pdf")</f>
        <v>https://dpmzos25m8ivg.cloudfront.net/Documentos/631/09838321451/6310983832145107092023220340.pdf</v>
      </c>
      <c r="H4431" s="5" t="s">
        <v>13006</v>
      </c>
    </row>
    <row r="4432" spans="1:8" x14ac:dyDescent="0.25">
      <c r="A4432" s="2" t="s">
        <v>4454</v>
      </c>
      <c r="B4432" s="3"/>
      <c r="C4432" s="3"/>
      <c r="D4432" s="3"/>
      <c r="E4432" s="5" t="str">
        <f>HYPERLINK("https://dpmzos25m8ivg.cloudfront.net/Documentos/631/09839389467/6310983938946710092023121430.pdf","https://dpmzos25m8ivg.cloudfront.net/Documentos/631/09839389467/6310983938946710092023121430.pdf")</f>
        <v>https://dpmzos25m8ivg.cloudfront.net/Documentos/631/09839389467/6310983938946710092023121430.pdf</v>
      </c>
      <c r="F4432" s="5" t="str">
        <f>HYPERLINK("https://dpmzos25m8ivg.cloudfront.net/Documentos/631/09839389467/6310983938946710092023121442.pdf","https://dpmzos25m8ivg.cloudfront.net/Documentos/631/09839389467/6310983938946710092023121442.pdf")</f>
        <v>https://dpmzos25m8ivg.cloudfront.net/Documentos/631/09839389467/6310983938946710092023121442.pdf</v>
      </c>
      <c r="G4432" s="5" t="str">
        <f>HYPERLINK("https://dpmzos25m8ivg.cloudfront.net/Documentos/631/09839389467/6310983938946710092023121455.pdf","https://dpmzos25m8ivg.cloudfront.net/Documentos/631/09839389467/6310983938946710092023121455.pdf")</f>
        <v>https://dpmzos25m8ivg.cloudfront.net/Documentos/631/09839389467/6310983938946710092023121455.pdf</v>
      </c>
      <c r="H4432" s="5" t="s">
        <v>13007</v>
      </c>
    </row>
    <row r="4433" spans="1:8" x14ac:dyDescent="0.25">
      <c r="A4433" s="2" t="s">
        <v>4455</v>
      </c>
      <c r="B4433" s="3"/>
      <c r="C4433" s="3"/>
      <c r="D4433" s="3"/>
      <c r="E4433" s="5" t="str">
        <f>HYPERLINK("https://dpmzos25m8ivg.cloudfront.net/Documentos/631/09844044499/6310984404449912092023233409.pdf","https://dpmzos25m8ivg.cloudfront.net/Documentos/631/09844044499/6310984404449912092023233409.pdf")</f>
        <v>https://dpmzos25m8ivg.cloudfront.net/Documentos/631/09844044499/6310984404449912092023233409.pdf</v>
      </c>
      <c r="F4433" s="5" t="str">
        <f>HYPERLINK("https://dpmzos25m8ivg.cloudfront.net/Documentos/631/09844044499/6310984404449912092023233423.pdf","https://dpmzos25m8ivg.cloudfront.net/Documentos/631/09844044499/6310984404449912092023233423.pdf")</f>
        <v>https://dpmzos25m8ivg.cloudfront.net/Documentos/631/09844044499/6310984404449912092023233423.pdf</v>
      </c>
      <c r="G4433" s="5" t="str">
        <f>HYPERLINK("https://dpmzos25m8ivg.cloudfront.net/Documentos/631/09844044499/6310984404449912092023233447.pdf","https://dpmzos25m8ivg.cloudfront.net/Documentos/631/09844044499/6310984404449912092023233447.pdf")</f>
        <v>https://dpmzos25m8ivg.cloudfront.net/Documentos/631/09844044499/6310984404449912092023233447.pdf</v>
      </c>
      <c r="H4433" s="5" t="s">
        <v>13008</v>
      </c>
    </row>
    <row r="4434" spans="1:8" x14ac:dyDescent="0.25">
      <c r="A4434" s="2" t="s">
        <v>4456</v>
      </c>
      <c r="B4434" s="3"/>
      <c r="C4434" s="3"/>
      <c r="D4434" s="3"/>
      <c r="E4434" s="5" t="str">
        <f>HYPERLINK("https://dpmzos25m8ivg.cloudfront.net/Documentos/631/09848507671/6310984850767111092023102731.pdf","https://dpmzos25m8ivg.cloudfront.net/Documentos/631/09848507671/6310984850767111092023102731.pdf")</f>
        <v>https://dpmzos25m8ivg.cloudfront.net/Documentos/631/09848507671/6310984850767111092023102731.pdf</v>
      </c>
      <c r="F4434" s="5" t="str">
        <f>HYPERLINK("https://dpmzos25m8ivg.cloudfront.net/Documentos/631/09848507671/6310984850767111092023102741.pdf","https://dpmzos25m8ivg.cloudfront.net/Documentos/631/09848507671/6310984850767111092023102741.pdf")</f>
        <v>https://dpmzos25m8ivg.cloudfront.net/Documentos/631/09848507671/6310984850767111092023102741.pdf</v>
      </c>
      <c r="G4434" s="5" t="str">
        <f>HYPERLINK("https://dpmzos25m8ivg.cloudfront.net/Documentos/631/09848507671/6310984850767111092023102753.pdf","https://dpmzos25m8ivg.cloudfront.net/Documentos/631/09848507671/6310984850767111092023102753.pdf")</f>
        <v>https://dpmzos25m8ivg.cloudfront.net/Documentos/631/09848507671/6310984850767111092023102753.pdf</v>
      </c>
      <c r="H4434" s="5" t="s">
        <v>13009</v>
      </c>
    </row>
    <row r="4435" spans="1:8" x14ac:dyDescent="0.25">
      <c r="A4435" s="2" t="s">
        <v>4457</v>
      </c>
      <c r="B4435" s="3"/>
      <c r="C4435" s="3"/>
      <c r="D4435" s="3"/>
      <c r="E4435" s="5" t="str">
        <f>HYPERLINK("https://dpmzos25m8ivg.cloudfront.net/Documentos/631/09852290711/6310985229071109092023075229.jpg","https://dpmzos25m8ivg.cloudfront.net/Documentos/631/09852290711/6310985229071109092023075229.jpg")</f>
        <v>https://dpmzos25m8ivg.cloudfront.net/Documentos/631/09852290711/6310985229071109092023075229.jpg</v>
      </c>
      <c r="F4435" s="5" t="str">
        <f>HYPERLINK("https://dpmzos25m8ivg.cloudfront.net/Documentos/631/09852290711/6310985229071109092023075511.jpg","https://dpmzos25m8ivg.cloudfront.net/Documentos/631/09852290711/6310985229071109092023075511.jpg")</f>
        <v>https://dpmzos25m8ivg.cloudfront.net/Documentos/631/09852290711/6310985229071109092023075511.jpg</v>
      </c>
      <c r="G4435" s="5" t="str">
        <f>HYPERLINK("https://dpmzos25m8ivg.cloudfront.net/Documentos/631/09852290711/6310985229071109092023080100.jpg","https://dpmzos25m8ivg.cloudfront.net/Documentos/631/09852290711/6310985229071109092023080100.jpg")</f>
        <v>https://dpmzos25m8ivg.cloudfront.net/Documentos/631/09852290711/6310985229071109092023080100.jpg</v>
      </c>
      <c r="H4435" s="5" t="s">
        <v>13010</v>
      </c>
    </row>
    <row r="4436" spans="1:8" x14ac:dyDescent="0.25">
      <c r="A4436" s="2" t="s">
        <v>4458</v>
      </c>
      <c r="B4436" s="3"/>
      <c r="C4436" s="3"/>
      <c r="D4436" s="3"/>
      <c r="E4436" s="5" t="str">
        <f>HYPERLINK("https://dpmzos25m8ivg.cloudfront.net/Documentos/631/09862027460/6310986202746008092023105650.pdf","https://dpmzos25m8ivg.cloudfront.net/Documentos/631/09862027460/6310986202746008092023105650.pdf")</f>
        <v>https://dpmzos25m8ivg.cloudfront.net/Documentos/631/09862027460/6310986202746008092023105650.pdf</v>
      </c>
      <c r="F4436" s="5" t="str">
        <f>HYPERLINK("https://dpmzos25m8ivg.cloudfront.net/Documentos/631/09862027460/6310986202746008092023105709.pdf","https://dpmzos25m8ivg.cloudfront.net/Documentos/631/09862027460/6310986202746008092023105709.pdf")</f>
        <v>https://dpmzos25m8ivg.cloudfront.net/Documentos/631/09862027460/6310986202746008092023105709.pdf</v>
      </c>
      <c r="G4436" s="5" t="str">
        <f>HYPERLINK("https://dpmzos25m8ivg.cloudfront.net/Documentos/631/09862027460/6310986202746008092023105742.pdf","https://dpmzos25m8ivg.cloudfront.net/Documentos/631/09862027460/6310986202746008092023105742.pdf")</f>
        <v>https://dpmzos25m8ivg.cloudfront.net/Documentos/631/09862027460/6310986202746008092023105742.pdf</v>
      </c>
      <c r="H4436" s="5" t="s">
        <v>13011</v>
      </c>
    </row>
    <row r="4437" spans="1:8" x14ac:dyDescent="0.25">
      <c r="A4437" s="2" t="s">
        <v>4459</v>
      </c>
      <c r="B4437" s="3"/>
      <c r="C4437" s="3"/>
      <c r="D4437" s="3"/>
      <c r="E4437" s="5" t="str">
        <f>HYPERLINK("https://dpmzos25m8ivg.cloudfront.net/Documentos/631/09866605744/6310986660574405092023152517.pdf","https://dpmzos25m8ivg.cloudfront.net/Documentos/631/09866605744/6310986660574405092023152517.pdf")</f>
        <v>https://dpmzos25m8ivg.cloudfront.net/Documentos/631/09866605744/6310986660574405092023152517.pdf</v>
      </c>
      <c r="F4437" s="5" t="str">
        <f>HYPERLINK("https://dpmzos25m8ivg.cloudfront.net/Documentos/631/09866605744/6310986660574405092023152532.pdf","https://dpmzos25m8ivg.cloudfront.net/Documentos/631/09866605744/6310986660574405092023152532.pdf")</f>
        <v>https://dpmzos25m8ivg.cloudfront.net/Documentos/631/09866605744/6310986660574405092023152532.pdf</v>
      </c>
      <c r="G4437" s="5" t="str">
        <f>HYPERLINK("https://dpmzos25m8ivg.cloudfront.net/Documentos/631/09866605744/6310986660574405092023152546.pdf","https://dpmzos25m8ivg.cloudfront.net/Documentos/631/09866605744/6310986660574405092023152546.pdf")</f>
        <v>https://dpmzos25m8ivg.cloudfront.net/Documentos/631/09866605744/6310986660574405092023152546.pdf</v>
      </c>
      <c r="H4437" s="5" t="s">
        <v>13012</v>
      </c>
    </row>
    <row r="4438" spans="1:8" x14ac:dyDescent="0.25">
      <c r="A4438" s="2" t="s">
        <v>4460</v>
      </c>
      <c r="B4438" s="3"/>
      <c r="C4438" s="3"/>
      <c r="D4438" s="3"/>
      <c r="E4438" s="5" t="str">
        <f>HYPERLINK("https://dpmzos25m8ivg.cloudfront.net/Documentos/631/09872364907/6310987236490711092023154651.pdf","https://dpmzos25m8ivg.cloudfront.net/Documentos/631/09872364907/6310987236490711092023154651.pdf")</f>
        <v>https://dpmzos25m8ivg.cloudfront.net/Documentos/631/09872364907/6310987236490711092023154651.pdf</v>
      </c>
      <c r="F4438" s="5" t="str">
        <f>HYPERLINK("https://dpmzos25m8ivg.cloudfront.net/Documentos/631/09872364907/6310987236490711092023154658.pdf","https://dpmzos25m8ivg.cloudfront.net/Documentos/631/09872364907/6310987236490711092023154658.pdf")</f>
        <v>https://dpmzos25m8ivg.cloudfront.net/Documentos/631/09872364907/6310987236490711092023154658.pdf</v>
      </c>
      <c r="G4438" s="5" t="str">
        <f>HYPERLINK("https://dpmzos25m8ivg.cloudfront.net/Documentos/631/09872364907/6310987236490711092023154707.pdf","https://dpmzos25m8ivg.cloudfront.net/Documentos/631/09872364907/6310987236490711092023154707.pdf")</f>
        <v>https://dpmzos25m8ivg.cloudfront.net/Documentos/631/09872364907/6310987236490711092023154707.pdf</v>
      </c>
      <c r="H4438" s="5" t="s">
        <v>13013</v>
      </c>
    </row>
    <row r="4439" spans="1:8" x14ac:dyDescent="0.25">
      <c r="A4439" s="2" t="s">
        <v>4461</v>
      </c>
      <c r="B4439" s="3"/>
      <c r="C4439" s="3"/>
      <c r="D4439" s="3"/>
      <c r="E4439" s="5" t="str">
        <f>HYPERLINK("https://dpmzos25m8ivg.cloudfront.net/Documentos/631/09874599456/6310987459945611092023152655.pdf","https://dpmzos25m8ivg.cloudfront.net/Documentos/631/09874599456/6310987459945611092023152655.pdf")</f>
        <v>https://dpmzos25m8ivg.cloudfront.net/Documentos/631/09874599456/6310987459945611092023152655.pdf</v>
      </c>
      <c r="F4439" s="5" t="str">
        <f>HYPERLINK("https://dpmzos25m8ivg.cloudfront.net/Documentos/631/09874599456/6310987459945611092023152706.pdf","https://dpmzos25m8ivg.cloudfront.net/Documentos/631/09874599456/6310987459945611092023152706.pdf")</f>
        <v>https://dpmzos25m8ivg.cloudfront.net/Documentos/631/09874599456/6310987459945611092023152706.pdf</v>
      </c>
      <c r="G4439" s="5" t="str">
        <f>HYPERLINK("https://dpmzos25m8ivg.cloudfront.net/Documentos/631/09874599456/6310987459945611092023152716.pdf","https://dpmzos25m8ivg.cloudfront.net/Documentos/631/09874599456/6310987459945611092023152716.pdf")</f>
        <v>https://dpmzos25m8ivg.cloudfront.net/Documentos/631/09874599456/6310987459945611092023152716.pdf</v>
      </c>
      <c r="H4439" s="5" t="s">
        <v>13014</v>
      </c>
    </row>
    <row r="4440" spans="1:8" x14ac:dyDescent="0.25">
      <c r="A4440" s="2" t="s">
        <v>4462</v>
      </c>
      <c r="B4440" s="3"/>
      <c r="C4440" s="3"/>
      <c r="D4440" s="3"/>
      <c r="E4440" s="5" t="str">
        <f>HYPERLINK("https://dpmzos25m8ivg.cloudfront.net/Documentos/631/09876722409/6310987672240911092023145533.jpg","https://dpmzos25m8ivg.cloudfront.net/Documentos/631/09876722409/6310987672240911092023145533.jpg")</f>
        <v>https://dpmzos25m8ivg.cloudfront.net/Documentos/631/09876722409/6310987672240911092023145533.jpg</v>
      </c>
      <c r="F4440" s="5" t="str">
        <f>HYPERLINK("https://dpmzos25m8ivg.cloudfront.net/Documentos/631/09876722409/6310987672240911092023145627.jpg","https://dpmzos25m8ivg.cloudfront.net/Documentos/631/09876722409/6310987672240911092023145627.jpg")</f>
        <v>https://dpmzos25m8ivg.cloudfront.net/Documentos/631/09876722409/6310987672240911092023145627.jpg</v>
      </c>
      <c r="G4440" s="5" t="str">
        <f>HYPERLINK("https://dpmzos25m8ivg.cloudfront.net/Documentos/631/09876722409/6310987672240911092023145638.jpg","https://dpmzos25m8ivg.cloudfront.net/Documentos/631/09876722409/6310987672240911092023145638.jpg")</f>
        <v>https://dpmzos25m8ivg.cloudfront.net/Documentos/631/09876722409/6310987672240911092023145638.jpg</v>
      </c>
      <c r="H4440" s="5" t="s">
        <v>13015</v>
      </c>
    </row>
    <row r="4441" spans="1:8" x14ac:dyDescent="0.25">
      <c r="A4441" s="2" t="s">
        <v>4463</v>
      </c>
      <c r="B4441" s="3"/>
      <c r="C4441" s="3"/>
      <c r="D4441" s="3"/>
      <c r="E4441" s="5" t="str">
        <f>HYPERLINK("https://dpmzos25m8ivg.cloudfront.net/Documentos/631/09877005700/6310987700570006092023093916.pdf","https://dpmzos25m8ivg.cloudfront.net/Documentos/631/09877005700/6310987700570006092023093916.pdf")</f>
        <v>https://dpmzos25m8ivg.cloudfront.net/Documentos/631/09877005700/6310987700570006092023093916.pdf</v>
      </c>
      <c r="F4441" s="5" t="str">
        <f>HYPERLINK("https://dpmzos25m8ivg.cloudfront.net/Documentos/631/09877005700/6310987700570006092023093928.pdf","https://dpmzos25m8ivg.cloudfront.net/Documentos/631/09877005700/6310987700570006092023093928.pdf")</f>
        <v>https://dpmzos25m8ivg.cloudfront.net/Documentos/631/09877005700/6310987700570006092023093928.pdf</v>
      </c>
      <c r="G4441" s="5" t="str">
        <f>HYPERLINK("https://dpmzos25m8ivg.cloudfront.net/Documentos/631/09877005700/6310987700570006092023093942.pdf","https://dpmzos25m8ivg.cloudfront.net/Documentos/631/09877005700/6310987700570006092023093942.pdf")</f>
        <v>https://dpmzos25m8ivg.cloudfront.net/Documentos/631/09877005700/6310987700570006092023093942.pdf</v>
      </c>
      <c r="H4441" s="5" t="s">
        <v>13016</v>
      </c>
    </row>
    <row r="4442" spans="1:8" x14ac:dyDescent="0.25">
      <c r="A4442" s="2" t="s">
        <v>4464</v>
      </c>
      <c r="B4442" s="3"/>
      <c r="C4442" s="3"/>
      <c r="D4442" s="3"/>
      <c r="E4442" s="5" t="str">
        <f>HYPERLINK("https://dpmzos25m8ivg.cloudfront.net/Documentos/631/09879140656/6310987914065611092023123007.pdf","https://dpmzos25m8ivg.cloudfront.net/Documentos/631/09879140656/6310987914065611092023123007.pdf")</f>
        <v>https://dpmzos25m8ivg.cloudfront.net/Documentos/631/09879140656/6310987914065611092023123007.pdf</v>
      </c>
      <c r="F4442" s="5" t="str">
        <f>HYPERLINK("https://dpmzos25m8ivg.cloudfront.net/Documentos/631/09879140656/6310987914065611092023123016.pdf","https://dpmzos25m8ivg.cloudfront.net/Documentos/631/09879140656/6310987914065611092023123016.pdf")</f>
        <v>https://dpmzos25m8ivg.cloudfront.net/Documentos/631/09879140656/6310987914065611092023123016.pdf</v>
      </c>
      <c r="G4442" s="5" t="str">
        <f>HYPERLINK("https://dpmzos25m8ivg.cloudfront.net/Documentos/631/09879140656/6310987914065611092023123025.pdf","https://dpmzos25m8ivg.cloudfront.net/Documentos/631/09879140656/6310987914065611092023123025.pdf")</f>
        <v>https://dpmzos25m8ivg.cloudfront.net/Documentos/631/09879140656/6310987914065611092023123025.pdf</v>
      </c>
      <c r="H4442" s="5" t="s">
        <v>13017</v>
      </c>
    </row>
    <row r="4443" spans="1:8" x14ac:dyDescent="0.25">
      <c r="A4443" s="2" t="s">
        <v>4465</v>
      </c>
      <c r="B4443" s="3"/>
      <c r="C4443" s="3"/>
      <c r="D4443" s="3"/>
      <c r="E4443" s="5" t="str">
        <f>HYPERLINK("https://dpmzos25m8ivg.cloudfront.net/Documentos/631/09879760794/6310987976079411092023135141.jpg","https://dpmzos25m8ivg.cloudfront.net/Documentos/631/09879760794/6310987976079411092023135141.jpg")</f>
        <v>https://dpmzos25m8ivg.cloudfront.net/Documentos/631/09879760794/6310987976079411092023135141.jpg</v>
      </c>
      <c r="F4443" s="5" t="str">
        <f>HYPERLINK("https://dpmzos25m8ivg.cloudfront.net/Documentos/631/09879760794/6310987976079411092023135240.jpg","https://dpmzos25m8ivg.cloudfront.net/Documentos/631/09879760794/6310987976079411092023135240.jpg")</f>
        <v>https://dpmzos25m8ivg.cloudfront.net/Documentos/631/09879760794/6310987976079411092023135240.jpg</v>
      </c>
      <c r="G4443" s="5" t="str">
        <f>HYPERLINK("https://dpmzos25m8ivg.cloudfront.net/Documentos/631/09879760794/6310987976079411092023135307.jpg","https://dpmzos25m8ivg.cloudfront.net/Documentos/631/09879760794/6310987976079411092023135307.jpg")</f>
        <v>https://dpmzos25m8ivg.cloudfront.net/Documentos/631/09879760794/6310987976079411092023135307.jpg</v>
      </c>
      <c r="H4443" s="5" t="s">
        <v>13018</v>
      </c>
    </row>
    <row r="4444" spans="1:8" x14ac:dyDescent="0.25">
      <c r="A4444" s="2" t="s">
        <v>4466</v>
      </c>
      <c r="B4444" s="3"/>
      <c r="C4444" s="3"/>
      <c r="D4444" s="3"/>
      <c r="E4444" s="5" t="str">
        <f>HYPERLINK("https://dpmzos25m8ivg.cloudfront.net/Documentos/631/09880309936/6310988030993608092023054917.jpg","https://dpmzos25m8ivg.cloudfront.net/Documentos/631/09880309936/6310988030993608092023054917.jpg")</f>
        <v>https://dpmzos25m8ivg.cloudfront.net/Documentos/631/09880309936/6310988030993608092023054917.jpg</v>
      </c>
      <c r="F4444" s="5" t="str">
        <f>HYPERLINK("https://dpmzos25m8ivg.cloudfront.net/Documentos/631/09880309936/6310988030993608092023054948.jpg","https://dpmzos25m8ivg.cloudfront.net/Documentos/631/09880309936/6310988030993608092023054948.jpg")</f>
        <v>https://dpmzos25m8ivg.cloudfront.net/Documentos/631/09880309936/6310988030993608092023054948.jpg</v>
      </c>
      <c r="G4444" s="5" t="str">
        <f>HYPERLINK("https://dpmzos25m8ivg.cloudfront.net/Documentos/631/09880309936/6310988030993608092023055021.jpg","https://dpmzos25m8ivg.cloudfront.net/Documentos/631/09880309936/6310988030993608092023055021.jpg")</f>
        <v>https://dpmzos25m8ivg.cloudfront.net/Documentos/631/09880309936/6310988030993608092023055021.jpg</v>
      </c>
      <c r="H4444" s="5" t="s">
        <v>13019</v>
      </c>
    </row>
    <row r="4445" spans="1:8" x14ac:dyDescent="0.25">
      <c r="A4445" s="2" t="s">
        <v>4467</v>
      </c>
      <c r="B4445" s="3"/>
      <c r="C4445" s="3"/>
      <c r="D4445" s="3"/>
      <c r="E4445" s="5" t="str">
        <f>HYPERLINK("https://dpmzos25m8ivg.cloudfront.net/Documentos/631/09894316735/6310989431673510092023231221.jpg","https://dpmzos25m8ivg.cloudfront.net/Documentos/631/09894316735/6310989431673510092023231221.jpg")</f>
        <v>https://dpmzos25m8ivg.cloudfront.net/Documentos/631/09894316735/6310989431673510092023231221.jpg</v>
      </c>
      <c r="F4445" s="5" t="str">
        <f>HYPERLINK("https://dpmzos25m8ivg.cloudfront.net/Documentos/631/09894316735/6310989431673510092023231241.jpg","https://dpmzos25m8ivg.cloudfront.net/Documentos/631/09894316735/6310989431673510092023231241.jpg")</f>
        <v>https://dpmzos25m8ivg.cloudfront.net/Documentos/631/09894316735/6310989431673510092023231241.jpg</v>
      </c>
      <c r="G4445" s="5" t="str">
        <f>HYPERLINK("https://dpmzos25m8ivg.cloudfront.net/Documentos/631/09894316735/6310989431673510092023231301.jpg","https://dpmzos25m8ivg.cloudfront.net/Documentos/631/09894316735/6310989431673510092023231301.jpg")</f>
        <v>https://dpmzos25m8ivg.cloudfront.net/Documentos/631/09894316735/6310989431673510092023231301.jpg</v>
      </c>
      <c r="H4445" s="5" t="s">
        <v>13020</v>
      </c>
    </row>
    <row r="4446" spans="1:8" x14ac:dyDescent="0.25">
      <c r="A4446" s="2" t="s">
        <v>4468</v>
      </c>
      <c r="B4446" s="3"/>
      <c r="C4446" s="3"/>
      <c r="D4446" s="3"/>
      <c r="E4446" s="5" t="str">
        <f>HYPERLINK("https://dpmzos25m8ivg.cloudfront.net/Documentos/631/09896348685/6310989634868508092023094105.pdf","https://dpmzos25m8ivg.cloudfront.net/Documentos/631/09896348685/6310989634868508092023094105.pdf")</f>
        <v>https://dpmzos25m8ivg.cloudfront.net/Documentos/631/09896348685/6310989634868508092023094105.pdf</v>
      </c>
      <c r="F4446" s="5" t="str">
        <f>HYPERLINK("https://dpmzos25m8ivg.cloudfront.net/Documentos/631/09896348685/6310989634868508092023094120.pdf","https://dpmzos25m8ivg.cloudfront.net/Documentos/631/09896348685/6310989634868508092023094120.pdf")</f>
        <v>https://dpmzos25m8ivg.cloudfront.net/Documentos/631/09896348685/6310989634868508092023094120.pdf</v>
      </c>
      <c r="G4446" s="5" t="str">
        <f>HYPERLINK("https://dpmzos25m8ivg.cloudfront.net/Documentos/631/09896348685/6310989634868508092023094133.pdf","https://dpmzos25m8ivg.cloudfront.net/Documentos/631/09896348685/6310989634868508092023094133.pdf")</f>
        <v>https://dpmzos25m8ivg.cloudfront.net/Documentos/631/09896348685/6310989634868508092023094133.pdf</v>
      </c>
      <c r="H4446" s="5" t="s">
        <v>13021</v>
      </c>
    </row>
    <row r="4447" spans="1:8" x14ac:dyDescent="0.25">
      <c r="A4447" s="2" t="s">
        <v>4469</v>
      </c>
      <c r="B4447" s="3"/>
      <c r="C4447" s="3"/>
      <c r="D4447" s="3"/>
      <c r="E4447" s="5" t="str">
        <f>HYPERLINK("https://dpmzos25m8ivg.cloudfront.net/Documentos/631/09898100460/6310989810046011092023151859.pdf","https://dpmzos25m8ivg.cloudfront.net/Documentos/631/09898100460/6310989810046011092023151859.pdf")</f>
        <v>https://dpmzos25m8ivg.cloudfront.net/Documentos/631/09898100460/6310989810046011092023151859.pdf</v>
      </c>
      <c r="F4447" s="5" t="str">
        <f>HYPERLINK("https://dpmzos25m8ivg.cloudfront.net/Documentos/631/09898100460/6310989810046011092023151923.pdf","https://dpmzos25m8ivg.cloudfront.net/Documentos/631/09898100460/6310989810046011092023151923.pdf")</f>
        <v>https://dpmzos25m8ivg.cloudfront.net/Documentos/631/09898100460/6310989810046011092023151923.pdf</v>
      </c>
      <c r="G4447" s="5" t="str">
        <f>HYPERLINK("https://dpmzos25m8ivg.cloudfront.net/Documentos/631/09898100460/6310989810046011092023151936.pdf","https://dpmzos25m8ivg.cloudfront.net/Documentos/631/09898100460/6310989810046011092023151936.pdf")</f>
        <v>https://dpmzos25m8ivg.cloudfront.net/Documentos/631/09898100460/6310989810046011092023151936.pdf</v>
      </c>
      <c r="H4447" s="5" t="s">
        <v>13022</v>
      </c>
    </row>
    <row r="4448" spans="1:8" x14ac:dyDescent="0.25">
      <c r="A4448" s="2" t="s">
        <v>4470</v>
      </c>
      <c r="B4448" s="3"/>
      <c r="C4448" s="3"/>
      <c r="D4448" s="3"/>
      <c r="E4448" s="5" t="str">
        <f>HYPERLINK("https://dpmzos25m8ivg.cloudfront.net/Documentos/631/09898509600/6310989850960006092023115212.pdf","https://dpmzos25m8ivg.cloudfront.net/Documentos/631/09898509600/6310989850960006092023115212.pdf")</f>
        <v>https://dpmzos25m8ivg.cloudfront.net/Documentos/631/09898509600/6310989850960006092023115212.pdf</v>
      </c>
      <c r="F4448" s="5" t="str">
        <f>HYPERLINK("https://dpmzos25m8ivg.cloudfront.net/Documentos/631/09898509600/6310989850960006092023115222.pdf","https://dpmzos25m8ivg.cloudfront.net/Documentos/631/09898509600/6310989850960006092023115222.pdf")</f>
        <v>https://dpmzos25m8ivg.cloudfront.net/Documentos/631/09898509600/6310989850960006092023115222.pdf</v>
      </c>
      <c r="G4448" s="5" t="str">
        <f>HYPERLINK("https://dpmzos25m8ivg.cloudfront.net/Documentos/631/09898509600/6310989850960006092023115229.pdf","https://dpmzos25m8ivg.cloudfront.net/Documentos/631/09898509600/6310989850960006092023115229.pdf")</f>
        <v>https://dpmzos25m8ivg.cloudfront.net/Documentos/631/09898509600/6310989850960006092023115229.pdf</v>
      </c>
      <c r="H4448" s="5" t="s">
        <v>13023</v>
      </c>
    </row>
    <row r="4449" spans="1:8" x14ac:dyDescent="0.25">
      <c r="A4449" s="2" t="s">
        <v>4471</v>
      </c>
      <c r="B4449" s="3"/>
      <c r="C4449" s="3"/>
      <c r="D4449" s="3"/>
      <c r="E4449" s="5" t="str">
        <f>HYPERLINK("https://dpmzos25m8ivg.cloudfront.net/Documentos/631/09900008421/6310990000842107092023131556.pdf","https://dpmzos25m8ivg.cloudfront.net/Documentos/631/09900008421/6310990000842107092023131556.pdf")</f>
        <v>https://dpmzos25m8ivg.cloudfront.net/Documentos/631/09900008421/6310990000842107092023131556.pdf</v>
      </c>
      <c r="F4449" s="5" t="str">
        <f>HYPERLINK("https://dpmzos25m8ivg.cloudfront.net/Documentos/631/09900008421/6310990000842107092023131641.pdf","https://dpmzos25m8ivg.cloudfront.net/Documentos/631/09900008421/6310990000842107092023131641.pdf")</f>
        <v>https://dpmzos25m8ivg.cloudfront.net/Documentos/631/09900008421/6310990000842107092023131641.pdf</v>
      </c>
      <c r="G4449" s="5" t="str">
        <f>HYPERLINK("https://dpmzos25m8ivg.cloudfront.net/Documentos/631/09900008421/6310990000842107092023131657.pdf","https://dpmzos25m8ivg.cloudfront.net/Documentos/631/09900008421/6310990000842107092023131657.pdf")</f>
        <v>https://dpmzos25m8ivg.cloudfront.net/Documentos/631/09900008421/6310990000842107092023131657.pdf</v>
      </c>
      <c r="H4449" s="5" t="s">
        <v>13024</v>
      </c>
    </row>
    <row r="4450" spans="1:8" x14ac:dyDescent="0.25">
      <c r="A4450" s="2" t="s">
        <v>4472</v>
      </c>
      <c r="B4450" s="19" t="s">
        <v>3385</v>
      </c>
      <c r="C4450" s="3"/>
      <c r="D4450" s="3"/>
      <c r="E4450" s="5" t="str">
        <f>HYPERLINK("https://dpmzos25m8ivg.cloudfront.net/Documentos/631/09909173557/6310990917355711092023132137.pdf","https://dpmzos25m8ivg.cloudfront.net/Documentos/631/09909173557/6310990917355711092023132137.pdf")</f>
        <v>https://dpmzos25m8ivg.cloudfront.net/Documentos/631/09909173557/6310990917355711092023132137.pdf</v>
      </c>
      <c r="F4450" s="5" t="str">
        <f>HYPERLINK("https://dpmzos25m8ivg.cloudfront.net/Documentos/631/09909173557/6310990917355711092023132202.pdf","https://dpmzos25m8ivg.cloudfront.net/Documentos/631/09909173557/6310990917355711092023132202.pdf")</f>
        <v>https://dpmzos25m8ivg.cloudfront.net/Documentos/631/09909173557/6310990917355711092023132202.pdf</v>
      </c>
      <c r="G4450" s="5" t="str">
        <f>HYPERLINK("https://dpmzos25m8ivg.cloudfront.net/Documentos/631/09909173557/6310990917355711092023132214.pdf","https://dpmzos25m8ivg.cloudfront.net/Documentos/631/09909173557/6310990917355711092023132214.pdf")</f>
        <v>https://dpmzos25m8ivg.cloudfront.net/Documentos/631/09909173557/6310990917355711092023132214.pdf</v>
      </c>
      <c r="H4450" s="5" t="s">
        <v>13025</v>
      </c>
    </row>
    <row r="4451" spans="1:8" x14ac:dyDescent="0.25">
      <c r="A4451" s="2" t="s">
        <v>4473</v>
      </c>
      <c r="B4451" s="3"/>
      <c r="C4451" s="3"/>
      <c r="D4451" s="3"/>
      <c r="E4451" s="5" t="str">
        <f>HYPERLINK("https://dpmzos25m8ivg.cloudfront.net/Documentos/631/09911355470/6310991135547010092023172042.pdf","https://dpmzos25m8ivg.cloudfront.net/Documentos/631/09911355470/6310991135547010092023172042.pdf")</f>
        <v>https://dpmzos25m8ivg.cloudfront.net/Documentos/631/09911355470/6310991135547010092023172042.pdf</v>
      </c>
      <c r="F4451" s="5" t="str">
        <f>HYPERLINK("https://dpmzos25m8ivg.cloudfront.net/Documentos/631/09911355470/6310991135547010092023172055.pdf","https://dpmzos25m8ivg.cloudfront.net/Documentos/631/09911355470/6310991135547010092023172055.pdf")</f>
        <v>https://dpmzos25m8ivg.cloudfront.net/Documentos/631/09911355470/6310991135547010092023172055.pdf</v>
      </c>
      <c r="G4451" s="5" t="str">
        <f>HYPERLINK("https://dpmzos25m8ivg.cloudfront.net/Documentos/631/09911355470/6310991135547010092023172119.pdf","https://dpmzos25m8ivg.cloudfront.net/Documentos/631/09911355470/6310991135547010092023172119.pdf")</f>
        <v>https://dpmzos25m8ivg.cloudfront.net/Documentos/631/09911355470/6310991135547010092023172119.pdf</v>
      </c>
      <c r="H4451" s="5" t="s">
        <v>13026</v>
      </c>
    </row>
    <row r="4452" spans="1:8" x14ac:dyDescent="0.25">
      <c r="A4452" s="2" t="s">
        <v>4474</v>
      </c>
      <c r="B4452" s="3"/>
      <c r="C4452" s="3"/>
      <c r="D4452" s="3"/>
      <c r="E4452" s="5" t="str">
        <f>HYPERLINK("https://dpmzos25m8ivg.cloudfront.net/Documentos/631/09915319495/6310991531949505092023112019.pdf","https://dpmzos25m8ivg.cloudfront.net/Documentos/631/09915319495/6310991531949505092023112019.pdf")</f>
        <v>https://dpmzos25m8ivg.cloudfront.net/Documentos/631/09915319495/6310991531949505092023112019.pdf</v>
      </c>
      <c r="F4452" s="5" t="str">
        <f>HYPERLINK("https://dpmzos25m8ivg.cloudfront.net/Documentos/631/09915319495/6310991531949505092023112109.pdf","https://dpmzos25m8ivg.cloudfront.net/Documentos/631/09915319495/6310991531949505092023112109.pdf")</f>
        <v>https://dpmzos25m8ivg.cloudfront.net/Documentos/631/09915319495/6310991531949505092023112109.pdf</v>
      </c>
      <c r="G4452" s="5" t="str">
        <f>HYPERLINK("https://dpmzos25m8ivg.cloudfront.net/Documentos/631/09915319495/6310991531949505092023112137.pdf","https://dpmzos25m8ivg.cloudfront.net/Documentos/631/09915319495/6310991531949505092023112137.pdf")</f>
        <v>https://dpmzos25m8ivg.cloudfront.net/Documentos/631/09915319495/6310991531949505092023112137.pdf</v>
      </c>
      <c r="H4452" s="5" t="s">
        <v>13027</v>
      </c>
    </row>
    <row r="4453" spans="1:8" x14ac:dyDescent="0.25">
      <c r="A4453" s="2" t="s">
        <v>4475</v>
      </c>
      <c r="B4453" s="3"/>
      <c r="C4453" s="3"/>
      <c r="D4453" s="3"/>
      <c r="E4453" s="5" t="str">
        <f>HYPERLINK("https://dpmzos25m8ivg.cloudfront.net/Documentos/631/09916158401/6310991615840105092023095544.pdf","https://dpmzos25m8ivg.cloudfront.net/Documentos/631/09916158401/6310991615840105092023095544.pdf")</f>
        <v>https://dpmzos25m8ivg.cloudfront.net/Documentos/631/09916158401/6310991615840105092023095544.pdf</v>
      </c>
      <c r="F4453" s="5" t="str">
        <f>HYPERLINK("https://dpmzos25m8ivg.cloudfront.net/Documentos/631/09916158401/6310991615840105092023095559.pdf","https://dpmzos25m8ivg.cloudfront.net/Documentos/631/09916158401/6310991615840105092023095559.pdf")</f>
        <v>https://dpmzos25m8ivg.cloudfront.net/Documentos/631/09916158401/6310991615840105092023095559.pdf</v>
      </c>
      <c r="G4453" s="5" t="str">
        <f>HYPERLINK("https://dpmzos25m8ivg.cloudfront.net/Documentos/631/09916158401/6310991615840105092023095613.pdf","https://dpmzos25m8ivg.cloudfront.net/Documentos/631/09916158401/6310991615840105092023095613.pdf")</f>
        <v>https://dpmzos25m8ivg.cloudfront.net/Documentos/631/09916158401/6310991615840105092023095613.pdf</v>
      </c>
      <c r="H4453" s="5" t="s">
        <v>13028</v>
      </c>
    </row>
    <row r="4454" spans="1:8" x14ac:dyDescent="0.25">
      <c r="A4454" s="2" t="s">
        <v>4476</v>
      </c>
      <c r="B4454" s="3"/>
      <c r="C4454" s="3"/>
      <c r="D4454" s="3"/>
      <c r="E4454" s="5" t="str">
        <f>HYPERLINK("https://dpmzos25m8ivg.cloudfront.net/Documentos/631/09929846700/6310992984670009092023224502.jpg","https://dpmzos25m8ivg.cloudfront.net/Documentos/631/09929846700/6310992984670009092023224502.jpg")</f>
        <v>https://dpmzos25m8ivg.cloudfront.net/Documentos/631/09929846700/6310992984670009092023224502.jpg</v>
      </c>
      <c r="F4454" s="5" t="str">
        <f>HYPERLINK("https://dpmzos25m8ivg.cloudfront.net/Documentos/631/09929846700/6310992984670009092023224516.jpg","https://dpmzos25m8ivg.cloudfront.net/Documentos/631/09929846700/6310992984670009092023224516.jpg")</f>
        <v>https://dpmzos25m8ivg.cloudfront.net/Documentos/631/09929846700/6310992984670009092023224516.jpg</v>
      </c>
      <c r="G4454" s="5" t="str">
        <f>HYPERLINK("https://dpmzos25m8ivg.cloudfront.net/Documentos/631/09929846700/6310992984670009092023224537.jpg","https://dpmzos25m8ivg.cloudfront.net/Documentos/631/09929846700/6310992984670009092023224537.jpg")</f>
        <v>https://dpmzos25m8ivg.cloudfront.net/Documentos/631/09929846700/6310992984670009092023224537.jpg</v>
      </c>
      <c r="H4454" s="5" t="s">
        <v>13029</v>
      </c>
    </row>
    <row r="4455" spans="1:8" x14ac:dyDescent="0.25">
      <c r="A4455" s="2" t="s">
        <v>4477</v>
      </c>
      <c r="B4455" s="3"/>
      <c r="C4455" s="3"/>
      <c r="D4455" s="3"/>
      <c r="E4455" s="5" t="str">
        <f>HYPERLINK("https://dpmzos25m8ivg.cloudfront.net/Documentos/631/09931028408/6310993102840811092023165543.jpg","https://dpmzos25m8ivg.cloudfront.net/Documentos/631/09931028408/6310993102840811092023165543.jpg")</f>
        <v>https://dpmzos25m8ivg.cloudfront.net/Documentos/631/09931028408/6310993102840811092023165543.jpg</v>
      </c>
      <c r="F4455" s="5" t="str">
        <f>HYPERLINK("https://dpmzos25m8ivg.cloudfront.net/Documentos/631/09931028408/6310993102840811092023165601.jpg","https://dpmzos25m8ivg.cloudfront.net/Documentos/631/09931028408/6310993102840811092023165601.jpg")</f>
        <v>https://dpmzos25m8ivg.cloudfront.net/Documentos/631/09931028408/6310993102840811092023165601.jpg</v>
      </c>
      <c r="G4455" s="5" t="str">
        <f>HYPERLINK("https://dpmzos25m8ivg.cloudfront.net/Documentos/631/09931028408/6310993102840811092023165625.jpg","https://dpmzos25m8ivg.cloudfront.net/Documentos/631/09931028408/6310993102840811092023165625.jpg")</f>
        <v>https://dpmzos25m8ivg.cloudfront.net/Documentos/631/09931028408/6310993102840811092023165625.jpg</v>
      </c>
      <c r="H4455" s="5" t="s">
        <v>13030</v>
      </c>
    </row>
    <row r="4456" spans="1:8" x14ac:dyDescent="0.25">
      <c r="A4456" s="2" t="s">
        <v>4478</v>
      </c>
      <c r="B4456" s="3"/>
      <c r="C4456" s="3"/>
      <c r="D4456" s="3"/>
      <c r="E4456" s="5" t="str">
        <f>HYPERLINK("https://dpmzos25m8ivg.cloudfront.net/Documentos/631/09936839676/6310993683967611092023135203.pdf","https://dpmzos25m8ivg.cloudfront.net/Documentos/631/09936839676/6310993683967611092023135203.pdf")</f>
        <v>https://dpmzos25m8ivg.cloudfront.net/Documentos/631/09936839676/6310993683967611092023135203.pdf</v>
      </c>
      <c r="F4456" s="5" t="str">
        <f>HYPERLINK("https://dpmzos25m8ivg.cloudfront.net/Documentos/631/09936839676/6310993683967611092023135213.pdf","https://dpmzos25m8ivg.cloudfront.net/Documentos/631/09936839676/6310993683967611092023135213.pdf")</f>
        <v>https://dpmzos25m8ivg.cloudfront.net/Documentos/631/09936839676/6310993683967611092023135213.pdf</v>
      </c>
      <c r="G4456" s="5" t="str">
        <f>HYPERLINK("https://dpmzos25m8ivg.cloudfront.net/Documentos/631/09936839676/6310993683967611092023135233.pdf","https://dpmzos25m8ivg.cloudfront.net/Documentos/631/09936839676/6310993683967611092023135233.pdf")</f>
        <v>https://dpmzos25m8ivg.cloudfront.net/Documentos/631/09936839676/6310993683967611092023135233.pdf</v>
      </c>
      <c r="H4456" s="5" t="s">
        <v>13031</v>
      </c>
    </row>
    <row r="4457" spans="1:8" x14ac:dyDescent="0.25">
      <c r="A4457" s="2" t="s">
        <v>4479</v>
      </c>
      <c r="B4457" s="3"/>
      <c r="C4457" s="3"/>
      <c r="D4457" s="3"/>
      <c r="E4457" s="5" t="str">
        <f>HYPERLINK("https://dpmzos25m8ivg.cloudfront.net/Documentos/631/09940953682/6310994095368206092023115137.pdf","https://dpmzos25m8ivg.cloudfront.net/Documentos/631/09940953682/6310994095368206092023115137.pdf")</f>
        <v>https://dpmzos25m8ivg.cloudfront.net/Documentos/631/09940953682/6310994095368206092023115137.pdf</v>
      </c>
      <c r="F4457" s="5" t="str">
        <f>HYPERLINK("https://dpmzos25m8ivg.cloudfront.net/Documentos/631/09940953682/6310994095368206092023115148.pdf","https://dpmzos25m8ivg.cloudfront.net/Documentos/631/09940953682/6310994095368206092023115148.pdf")</f>
        <v>https://dpmzos25m8ivg.cloudfront.net/Documentos/631/09940953682/6310994095368206092023115148.pdf</v>
      </c>
      <c r="G4457" s="5" t="str">
        <f>HYPERLINK("https://dpmzos25m8ivg.cloudfront.net/Documentos/631/09940953682/6310994095368206092023115200.pdf","https://dpmzos25m8ivg.cloudfront.net/Documentos/631/09940953682/6310994095368206092023115200.pdf")</f>
        <v>https://dpmzos25m8ivg.cloudfront.net/Documentos/631/09940953682/6310994095368206092023115200.pdf</v>
      </c>
      <c r="H4457" s="5" t="s">
        <v>13032</v>
      </c>
    </row>
    <row r="4458" spans="1:8" x14ac:dyDescent="0.25">
      <c r="A4458" s="2" t="s">
        <v>4480</v>
      </c>
      <c r="B4458" s="3" t="s">
        <v>42</v>
      </c>
      <c r="C4458" s="3"/>
      <c r="D4458" s="3"/>
      <c r="E4458" s="5" t="str">
        <f>HYPERLINK("https://dpmzos25m8ivg.cloudfront.net/Documentos/631/09947890414/6310994789041411092023140752.pdf","https://dpmzos25m8ivg.cloudfront.net/Documentos/631/09947890414/6310994789041411092023140752.pdf")</f>
        <v>https://dpmzos25m8ivg.cloudfront.net/Documentos/631/09947890414/6310994789041411092023140752.pdf</v>
      </c>
      <c r="F4458" s="5" t="str">
        <f>HYPERLINK("https://dpmzos25m8ivg.cloudfront.net/Documentos/631/09947890414/6310994789041411092023140803.pdf","https://dpmzos25m8ivg.cloudfront.net/Documentos/631/09947890414/6310994789041411092023140803.pdf")</f>
        <v>https://dpmzos25m8ivg.cloudfront.net/Documentos/631/09947890414/6310994789041411092023140803.pdf</v>
      </c>
      <c r="G4458" s="5" t="str">
        <f>HYPERLINK("https://dpmzos25m8ivg.cloudfront.net/Documentos/631/09947890414/6310994789041411092023140812.pdf","https://dpmzos25m8ivg.cloudfront.net/Documentos/631/09947890414/6310994789041411092023140812.pdf")</f>
        <v>https://dpmzos25m8ivg.cloudfront.net/Documentos/631/09947890414/6310994789041411092023140812.pdf</v>
      </c>
      <c r="H4458" s="5" t="s">
        <v>13033</v>
      </c>
    </row>
    <row r="4459" spans="1:8" x14ac:dyDescent="0.25">
      <c r="A4459" s="2" t="s">
        <v>4481</v>
      </c>
      <c r="B4459" s="3"/>
      <c r="C4459" s="3"/>
      <c r="D4459" s="3"/>
      <c r="E4459" s="5" t="str">
        <f>HYPERLINK("https://dpmzos25m8ivg.cloudfront.net/Documentos/631/09949736404/6310994973640411092023140035.pdf","https://dpmzos25m8ivg.cloudfront.net/Documentos/631/09949736404/6310994973640411092023140035.pdf")</f>
        <v>https://dpmzos25m8ivg.cloudfront.net/Documentos/631/09949736404/6310994973640411092023140035.pdf</v>
      </c>
      <c r="F4459" s="5" t="str">
        <f>HYPERLINK("https://dpmzos25m8ivg.cloudfront.net/Documentos/631/09949736404/6310994973640411092023141943.pdf","https://dpmzos25m8ivg.cloudfront.net/Documentos/631/09949736404/6310994973640411092023141943.pdf")</f>
        <v>https://dpmzos25m8ivg.cloudfront.net/Documentos/631/09949736404/6310994973640411092023141943.pdf</v>
      </c>
      <c r="G4459" s="5" t="str">
        <f>HYPERLINK("https://dpmzos25m8ivg.cloudfront.net/Documentos/631/09949736404/6310994973640411092023142007.pdf","https://dpmzos25m8ivg.cloudfront.net/Documentos/631/09949736404/6310994973640411092023142007.pdf")</f>
        <v>https://dpmzos25m8ivg.cloudfront.net/Documentos/631/09949736404/6310994973640411092023142007.pdf</v>
      </c>
      <c r="H4459" s="5" t="s">
        <v>13034</v>
      </c>
    </row>
    <row r="4460" spans="1:8" x14ac:dyDescent="0.25">
      <c r="A4460" s="2" t="s">
        <v>4482</v>
      </c>
      <c r="B4460" s="3"/>
      <c r="C4460" s="3"/>
      <c r="D4460" s="3"/>
      <c r="E4460" s="5" t="str">
        <f>HYPERLINK("https://dpmzos25m8ivg.cloudfront.net/Documentos/631/09950465494/6310995046549411092023154452.pdf","https://dpmzos25m8ivg.cloudfront.net/Documentos/631/09950465494/6310995046549411092023154452.pdf")</f>
        <v>https://dpmzos25m8ivg.cloudfront.net/Documentos/631/09950465494/6310995046549411092023154452.pdf</v>
      </c>
      <c r="F4460" s="5" t="str">
        <f>HYPERLINK("https://dpmzos25m8ivg.cloudfront.net/Documentos/631/09950465494/6310995046549411092023155037.pdf","https://dpmzos25m8ivg.cloudfront.net/Documentos/631/09950465494/6310995046549411092023155037.pdf")</f>
        <v>https://dpmzos25m8ivg.cloudfront.net/Documentos/631/09950465494/6310995046549411092023155037.pdf</v>
      </c>
      <c r="G4460" s="5" t="str">
        <f>HYPERLINK("https://dpmzos25m8ivg.cloudfront.net/Documentos/631/09950465494/6310995046549411092023155132.pdf","https://dpmzos25m8ivg.cloudfront.net/Documentos/631/09950465494/6310995046549411092023155132.pdf")</f>
        <v>https://dpmzos25m8ivg.cloudfront.net/Documentos/631/09950465494/6310995046549411092023155132.pdf</v>
      </c>
      <c r="H4460" s="5" t="s">
        <v>13035</v>
      </c>
    </row>
    <row r="4461" spans="1:8" x14ac:dyDescent="0.25">
      <c r="A4461" s="2" t="s">
        <v>4483</v>
      </c>
      <c r="B4461" s="3"/>
      <c r="C4461" s="3"/>
      <c r="D4461" s="3"/>
      <c r="E4461" s="5" t="str">
        <f>HYPERLINK("https://dpmzos25m8ivg.cloudfront.net/Documentos/631/09963973701/6310996397370111092023163156.pdf","https://dpmzos25m8ivg.cloudfront.net/Documentos/631/09963973701/6310996397370111092023163156.pdf")</f>
        <v>https://dpmzos25m8ivg.cloudfront.net/Documentos/631/09963973701/6310996397370111092023163156.pdf</v>
      </c>
      <c r="F4461" s="5" t="str">
        <f>HYPERLINK("https://dpmzos25m8ivg.cloudfront.net/Documentos/631/09963973701/6310996397370111092023163211.pdf","https://dpmzos25m8ivg.cloudfront.net/Documentos/631/09963973701/6310996397370111092023163211.pdf")</f>
        <v>https://dpmzos25m8ivg.cloudfront.net/Documentos/631/09963973701/6310996397370111092023163211.pdf</v>
      </c>
      <c r="G4461" s="5" t="str">
        <f>HYPERLINK("https://dpmzos25m8ivg.cloudfront.net/Documentos/631/09963973701/6310996397370111092023163226.pdf","https://dpmzos25m8ivg.cloudfront.net/Documentos/631/09963973701/6310996397370111092023163226.pdf")</f>
        <v>https://dpmzos25m8ivg.cloudfront.net/Documentos/631/09963973701/6310996397370111092023163226.pdf</v>
      </c>
      <c r="H4461" s="5" t="s">
        <v>13036</v>
      </c>
    </row>
    <row r="4462" spans="1:8" x14ac:dyDescent="0.25">
      <c r="A4462" s="2" t="s">
        <v>4484</v>
      </c>
      <c r="B4462" s="3"/>
      <c r="C4462" s="3"/>
      <c r="D4462" s="3"/>
      <c r="E4462" s="5" t="str">
        <f>HYPERLINK("https://dpmzos25m8ivg.cloudfront.net/Documentos/631/09967072989/6310996707298905092023202752.pdf","https://dpmzos25m8ivg.cloudfront.net/Documentos/631/09967072989/6310996707298905092023202752.pdf")</f>
        <v>https://dpmzos25m8ivg.cloudfront.net/Documentos/631/09967072989/6310996707298905092023202752.pdf</v>
      </c>
      <c r="F4462" s="5" t="str">
        <f>HYPERLINK("https://dpmzos25m8ivg.cloudfront.net/Documentos/631/09967072989/6310996707298908092023104439.pdf","https://dpmzos25m8ivg.cloudfront.net/Documentos/631/09967072989/6310996707298908092023104439.pdf")</f>
        <v>https://dpmzos25m8ivg.cloudfront.net/Documentos/631/09967072989/6310996707298908092023104439.pdf</v>
      </c>
      <c r="G4462" s="5" t="str">
        <f>HYPERLINK("https://dpmzos25m8ivg.cloudfront.net/Documentos/631/09967072989/6310996707298908092023104447.pdf","https://dpmzos25m8ivg.cloudfront.net/Documentos/631/09967072989/6310996707298908092023104447.pdf")</f>
        <v>https://dpmzos25m8ivg.cloudfront.net/Documentos/631/09967072989/6310996707298908092023104447.pdf</v>
      </c>
      <c r="H4462" s="5" t="s">
        <v>13037</v>
      </c>
    </row>
    <row r="4463" spans="1:8" x14ac:dyDescent="0.25">
      <c r="A4463" s="2" t="s">
        <v>4485</v>
      </c>
      <c r="B4463" s="3"/>
      <c r="C4463" s="3"/>
      <c r="D4463" s="3"/>
      <c r="E4463" s="5" t="str">
        <f>HYPERLINK("https://dpmzos25m8ivg.cloudfront.net/Documentos/631/09969271660/6310996927166010092023220342.pdf","https://dpmzos25m8ivg.cloudfront.net/Documentos/631/09969271660/6310996927166010092023220342.pdf")</f>
        <v>https://dpmzos25m8ivg.cloudfront.net/Documentos/631/09969271660/6310996927166010092023220342.pdf</v>
      </c>
      <c r="F4463" s="5" t="str">
        <f>HYPERLINK("https://dpmzos25m8ivg.cloudfront.net/Documentos/631/09969271660/6310996927166010092023220401.pdf","https://dpmzos25m8ivg.cloudfront.net/Documentos/631/09969271660/6310996927166010092023220401.pdf")</f>
        <v>https://dpmzos25m8ivg.cloudfront.net/Documentos/631/09969271660/6310996927166010092023220401.pdf</v>
      </c>
      <c r="G4463" s="5" t="str">
        <f>HYPERLINK("https://dpmzos25m8ivg.cloudfront.net/Documentos/631/09969271660/6310996927166010092023220415.pdf","https://dpmzos25m8ivg.cloudfront.net/Documentos/631/09969271660/6310996927166010092023220415.pdf")</f>
        <v>https://dpmzos25m8ivg.cloudfront.net/Documentos/631/09969271660/6310996927166010092023220415.pdf</v>
      </c>
      <c r="H4463" s="5" t="s">
        <v>13038</v>
      </c>
    </row>
    <row r="4464" spans="1:8" x14ac:dyDescent="0.25">
      <c r="A4464" s="2" t="s">
        <v>4486</v>
      </c>
      <c r="B4464" s="3"/>
      <c r="C4464" s="3"/>
      <c r="D4464" s="3"/>
      <c r="E4464" s="5" t="str">
        <f>HYPERLINK("https://dpmzos25m8ivg.cloudfront.net/Documentos/631/09969300784/6310996930078410092023223447.jpg","https://dpmzos25m8ivg.cloudfront.net/Documentos/631/09969300784/6310996930078410092023223447.jpg")</f>
        <v>https://dpmzos25m8ivg.cloudfront.net/Documentos/631/09969300784/6310996930078410092023223447.jpg</v>
      </c>
      <c r="F4464" s="5" t="str">
        <f>HYPERLINK("https://dpmzos25m8ivg.cloudfront.net/Documentos/631/09969300784/6310996930078410092023223502.jpg","https://dpmzos25m8ivg.cloudfront.net/Documentos/631/09969300784/6310996930078410092023223502.jpg")</f>
        <v>https://dpmzos25m8ivg.cloudfront.net/Documentos/631/09969300784/6310996930078410092023223502.jpg</v>
      </c>
      <c r="G4464" s="5" t="str">
        <f>HYPERLINK("https://dpmzos25m8ivg.cloudfront.net/Documentos/631/09969300784/6310996930078410092023223535.jpg","https://dpmzos25m8ivg.cloudfront.net/Documentos/631/09969300784/6310996930078410092023223535.jpg")</f>
        <v>https://dpmzos25m8ivg.cloudfront.net/Documentos/631/09969300784/6310996930078410092023223535.jpg</v>
      </c>
      <c r="H4464" s="5" t="s">
        <v>13039</v>
      </c>
    </row>
    <row r="4465" spans="1:8" x14ac:dyDescent="0.25">
      <c r="A4465" s="2" t="s">
        <v>4487</v>
      </c>
      <c r="B4465" s="3"/>
      <c r="C4465" s="3"/>
      <c r="D4465" s="3"/>
      <c r="E4465" s="5" t="str">
        <f>HYPERLINK("https://dpmzos25m8ivg.cloudfront.net/Documentos/631/09970721640/6310997072164013092023113646.pdf","https://dpmzos25m8ivg.cloudfront.net/Documentos/631/09970721640/6310997072164013092023113646.pdf")</f>
        <v>https://dpmzos25m8ivg.cloudfront.net/Documentos/631/09970721640/6310997072164013092023113646.pdf</v>
      </c>
      <c r="F4465" s="5" t="str">
        <f>HYPERLINK("https://dpmzos25m8ivg.cloudfront.net/Documentos/631/09970721640/6310997072164013092023113658.pdf","https://dpmzos25m8ivg.cloudfront.net/Documentos/631/09970721640/6310997072164013092023113658.pdf")</f>
        <v>https://dpmzos25m8ivg.cloudfront.net/Documentos/631/09970721640/6310997072164013092023113658.pdf</v>
      </c>
      <c r="G4465" s="5" t="str">
        <f>HYPERLINK("https://dpmzos25m8ivg.cloudfront.net/Documentos/631/09970721640/6310997072164013092023113710.pdf","https://dpmzos25m8ivg.cloudfront.net/Documentos/631/09970721640/6310997072164013092023113710.pdf")</f>
        <v>https://dpmzos25m8ivg.cloudfront.net/Documentos/631/09970721640/6310997072164013092023113710.pdf</v>
      </c>
      <c r="H4465" s="5" t="s">
        <v>13040</v>
      </c>
    </row>
    <row r="4466" spans="1:8" x14ac:dyDescent="0.25">
      <c r="A4466" s="2" t="s">
        <v>4488</v>
      </c>
      <c r="B4466" s="3"/>
      <c r="C4466" s="3"/>
      <c r="D4466" s="3"/>
      <c r="E4466" s="5" t="str">
        <f>HYPERLINK("https://dpmzos25m8ivg.cloudfront.net/Documentos/631/09971384833/6310997138483305092023181410.pdf","https://dpmzos25m8ivg.cloudfront.net/Documentos/631/09971384833/6310997138483305092023181410.pdf")</f>
        <v>https://dpmzos25m8ivg.cloudfront.net/Documentos/631/09971384833/6310997138483305092023181410.pdf</v>
      </c>
      <c r="F4466" s="5" t="str">
        <f>HYPERLINK("https://dpmzos25m8ivg.cloudfront.net/Documentos/631/09971384833/6310997138483305092023181623.pdf","https://dpmzos25m8ivg.cloudfront.net/Documentos/631/09971384833/6310997138483305092023181623.pdf")</f>
        <v>https://dpmzos25m8ivg.cloudfront.net/Documentos/631/09971384833/6310997138483305092023181623.pdf</v>
      </c>
      <c r="G4466" s="5" t="str">
        <f>HYPERLINK("https://dpmzos25m8ivg.cloudfront.net/Documentos/631/09971384833/6310997138483305092023181647.pdf","https://dpmzos25m8ivg.cloudfront.net/Documentos/631/09971384833/6310997138483305092023181647.pdf")</f>
        <v>https://dpmzos25m8ivg.cloudfront.net/Documentos/631/09971384833/6310997138483305092023181647.pdf</v>
      </c>
      <c r="H4466" s="5" t="s">
        <v>13041</v>
      </c>
    </row>
    <row r="4467" spans="1:8" x14ac:dyDescent="0.25">
      <c r="A4467" s="2" t="s">
        <v>4489</v>
      </c>
      <c r="B4467" s="3"/>
      <c r="C4467" s="3"/>
      <c r="D4467" s="3"/>
      <c r="E4467" s="5" t="str">
        <f>HYPERLINK("https://dpmzos25m8ivg.cloudfront.net/Documentos/631/09971808625/6310997180862511092023121454.pdf","https://dpmzos25m8ivg.cloudfront.net/Documentos/631/09971808625/6310997180862511092023121454.pdf")</f>
        <v>https://dpmzos25m8ivg.cloudfront.net/Documentos/631/09971808625/6310997180862511092023121454.pdf</v>
      </c>
      <c r="F4467" s="5" t="str">
        <f>HYPERLINK("https://dpmzos25m8ivg.cloudfront.net/Documentos/631/09971808625/6310997180862511092023121515.pdf","https://dpmzos25m8ivg.cloudfront.net/Documentos/631/09971808625/6310997180862511092023121515.pdf")</f>
        <v>https://dpmzos25m8ivg.cloudfront.net/Documentos/631/09971808625/6310997180862511092023121515.pdf</v>
      </c>
      <c r="G4467" s="5" t="str">
        <f>HYPERLINK("https://dpmzos25m8ivg.cloudfront.net/Documentos/631/09971808625/6310997180862511092023121656.pdf","https://dpmzos25m8ivg.cloudfront.net/Documentos/631/09971808625/6310997180862511092023121656.pdf")</f>
        <v>https://dpmzos25m8ivg.cloudfront.net/Documentos/631/09971808625/6310997180862511092023121656.pdf</v>
      </c>
      <c r="H4467" s="5" t="s">
        <v>13042</v>
      </c>
    </row>
    <row r="4468" spans="1:8" x14ac:dyDescent="0.25">
      <c r="A4468" s="2" t="s">
        <v>4490</v>
      </c>
      <c r="B4468" s="3"/>
      <c r="C4468" s="3"/>
      <c r="D4468" s="3"/>
      <c r="E4468" s="5" t="str">
        <f>HYPERLINK("https://dpmzos25m8ivg.cloudfront.net/Documentos/631/09985659970/6310998565997011092023135710.jpeg","https://dpmzos25m8ivg.cloudfront.net/Documentos/631/09985659970/6310998565997011092023135710.jpeg")</f>
        <v>https://dpmzos25m8ivg.cloudfront.net/Documentos/631/09985659970/6310998565997011092023135710.jpeg</v>
      </c>
      <c r="F4468" s="5" t="str">
        <f>HYPERLINK("https://dpmzos25m8ivg.cloudfront.net/Documentos/631/09985659970/6310998565997011092023135720.jpeg","https://dpmzos25m8ivg.cloudfront.net/Documentos/631/09985659970/6310998565997011092023135720.jpeg")</f>
        <v>https://dpmzos25m8ivg.cloudfront.net/Documentos/631/09985659970/6310998565997011092023135720.jpeg</v>
      </c>
      <c r="G4468" s="5" t="str">
        <f>HYPERLINK("https://dpmzos25m8ivg.cloudfront.net/Documentos/631/09985659970/6310998565997011092023135731.jpeg","https://dpmzos25m8ivg.cloudfront.net/Documentos/631/09985659970/6310998565997011092023135731.jpeg")</f>
        <v>https://dpmzos25m8ivg.cloudfront.net/Documentos/631/09985659970/6310998565997011092023135731.jpeg</v>
      </c>
      <c r="H4468" s="5" t="s">
        <v>13043</v>
      </c>
    </row>
    <row r="4469" spans="1:8" x14ac:dyDescent="0.25">
      <c r="A4469" s="2" t="s">
        <v>4491</v>
      </c>
      <c r="B4469" s="3"/>
      <c r="C4469" s="3"/>
      <c r="D4469" s="3"/>
      <c r="E4469" s="5" t="str">
        <f>HYPERLINK("https://dpmzos25m8ivg.cloudfront.net/Documentos/631/09986824460/6310998682446010092023175510.pdf","https://dpmzos25m8ivg.cloudfront.net/Documentos/631/09986824460/6310998682446010092023175510.pdf")</f>
        <v>https://dpmzos25m8ivg.cloudfront.net/Documentos/631/09986824460/6310998682446010092023175510.pdf</v>
      </c>
      <c r="F4469" s="5" t="str">
        <f>HYPERLINK("https://dpmzos25m8ivg.cloudfront.net/Documentos/631/09986824460/6310998682446010092023175529.pdf","https://dpmzos25m8ivg.cloudfront.net/Documentos/631/09986824460/6310998682446010092023175529.pdf")</f>
        <v>https://dpmzos25m8ivg.cloudfront.net/Documentos/631/09986824460/6310998682446010092023175529.pdf</v>
      </c>
      <c r="G4469" s="5" t="str">
        <f>HYPERLINK("https://dpmzos25m8ivg.cloudfront.net/Documentos/631/09986824460/6310998682446010092023175555.pdf","https://dpmzos25m8ivg.cloudfront.net/Documentos/631/09986824460/6310998682446010092023175555.pdf")</f>
        <v>https://dpmzos25m8ivg.cloudfront.net/Documentos/631/09986824460/6310998682446010092023175555.pdf</v>
      </c>
      <c r="H4469" s="5" t="s">
        <v>13044</v>
      </c>
    </row>
    <row r="4470" spans="1:8" x14ac:dyDescent="0.25">
      <c r="A4470" s="2" t="s">
        <v>4492</v>
      </c>
      <c r="B4470" s="3" t="s">
        <v>8</v>
      </c>
      <c r="C4470" s="3"/>
      <c r="D4470" s="3"/>
      <c r="E4470" s="5" t="str">
        <f>HYPERLINK("https://dpmzos25m8ivg.cloudfront.net/Documentos/631/09988905459/6310998890545907092023152924.pdf","https://dpmzos25m8ivg.cloudfront.net/Documentos/631/09988905459/6310998890545907092023152924.pdf")</f>
        <v>https://dpmzos25m8ivg.cloudfront.net/Documentos/631/09988905459/6310998890545907092023152924.pdf</v>
      </c>
      <c r="F4470" s="5" t="str">
        <f>HYPERLINK("https://dpmzos25m8ivg.cloudfront.net/Documentos/631/09988905459/6310998890545907092023152934.pdf","https://dpmzos25m8ivg.cloudfront.net/Documentos/631/09988905459/6310998890545907092023152934.pdf")</f>
        <v>https://dpmzos25m8ivg.cloudfront.net/Documentos/631/09988905459/6310998890545907092023152934.pdf</v>
      </c>
      <c r="G4470" s="5" t="str">
        <f>HYPERLINK("https://dpmzos25m8ivg.cloudfront.net/Documentos/631/09988905459/6310998890545907092023152946.pdf","https://dpmzos25m8ivg.cloudfront.net/Documentos/631/09988905459/6310998890545907092023152946.pdf")</f>
        <v>https://dpmzos25m8ivg.cloudfront.net/Documentos/631/09988905459/6310998890545907092023152946.pdf</v>
      </c>
      <c r="H4470" s="5" t="s">
        <v>13045</v>
      </c>
    </row>
    <row r="4471" spans="1:8" x14ac:dyDescent="0.25">
      <c r="A4471" s="2" t="s">
        <v>4493</v>
      </c>
      <c r="B4471" s="3"/>
      <c r="C4471" s="3"/>
      <c r="D4471" s="3"/>
      <c r="E4471" s="5" t="str">
        <f>HYPERLINK("https://dpmzos25m8ivg.cloudfront.net/Documentos/631/09991052488/6310999105248808092023212637.pdf","https://dpmzos25m8ivg.cloudfront.net/Documentos/631/09991052488/6310999105248808092023212637.pdf")</f>
        <v>https://dpmzos25m8ivg.cloudfront.net/Documentos/631/09991052488/6310999105248808092023212637.pdf</v>
      </c>
      <c r="F4471" s="5" t="str">
        <f>HYPERLINK("https://dpmzos25m8ivg.cloudfront.net/Documentos/631/09991052488/6310999105248808092023212649.pdf","https://dpmzos25m8ivg.cloudfront.net/Documentos/631/09991052488/6310999105248808092023212649.pdf")</f>
        <v>https://dpmzos25m8ivg.cloudfront.net/Documentos/631/09991052488/6310999105248808092023212649.pdf</v>
      </c>
      <c r="G4471" s="5" t="str">
        <f>HYPERLINK("https://dpmzos25m8ivg.cloudfront.net/Documentos/631/09991052488/6310999105248808092023212721.pdf","https://dpmzos25m8ivg.cloudfront.net/Documentos/631/09991052488/6310999105248808092023212721.pdf")</f>
        <v>https://dpmzos25m8ivg.cloudfront.net/Documentos/631/09991052488/6310999105248808092023212721.pdf</v>
      </c>
      <c r="H4471" s="5" t="s">
        <v>13046</v>
      </c>
    </row>
    <row r="4472" spans="1:8" x14ac:dyDescent="0.25">
      <c r="A4472" s="2" t="s">
        <v>4494</v>
      </c>
      <c r="B4472" s="3"/>
      <c r="C4472" s="3"/>
      <c r="D4472" s="3"/>
      <c r="E4472" s="5" t="str">
        <f>HYPERLINK("https://dpmzos25m8ivg.cloudfront.net/Documentos/631/09997404742/6310999740474210092023152827.pdf","https://dpmzos25m8ivg.cloudfront.net/Documentos/631/09997404742/6310999740474210092023152827.pdf")</f>
        <v>https://dpmzos25m8ivg.cloudfront.net/Documentos/631/09997404742/6310999740474210092023152827.pdf</v>
      </c>
      <c r="F4472" s="5" t="str">
        <f>HYPERLINK("https://dpmzos25m8ivg.cloudfront.net/Documentos/631/09997404742/6310999740474210092023152841.pdf","https://dpmzos25m8ivg.cloudfront.net/Documentos/631/09997404742/6310999740474210092023152841.pdf")</f>
        <v>https://dpmzos25m8ivg.cloudfront.net/Documentos/631/09997404742/6310999740474210092023152841.pdf</v>
      </c>
      <c r="G4472" s="5" t="str">
        <f>HYPERLINK("https://dpmzos25m8ivg.cloudfront.net/Documentos/631/09997404742/6310999740474210092023152859.pdf","https://dpmzos25m8ivg.cloudfront.net/Documentos/631/09997404742/6310999740474210092023152859.pdf")</f>
        <v>https://dpmzos25m8ivg.cloudfront.net/Documentos/631/09997404742/6310999740474210092023152859.pdf</v>
      </c>
      <c r="H4472" s="5" t="s">
        <v>13047</v>
      </c>
    </row>
    <row r="4473" spans="1:8" x14ac:dyDescent="0.25">
      <c r="A4473" s="2" t="s">
        <v>4495</v>
      </c>
      <c r="B4473" s="3"/>
      <c r="C4473" s="3"/>
      <c r="D4473" s="3"/>
      <c r="E4473" s="5" t="str">
        <f>HYPERLINK("https://dpmzos25m8ivg.cloudfront.net/Documentos/631/10000431699/6311000043169906092023204519.pdf","https://dpmzos25m8ivg.cloudfront.net/Documentos/631/10000431699/6311000043169906092023204519.pdf")</f>
        <v>https://dpmzos25m8ivg.cloudfront.net/Documentos/631/10000431699/6311000043169906092023204519.pdf</v>
      </c>
      <c r="F4473" s="5" t="str">
        <f>HYPERLINK("https://dpmzos25m8ivg.cloudfront.net/Documentos/631/10000431699/6311000043169906092023204545.pdf","https://dpmzos25m8ivg.cloudfront.net/Documentos/631/10000431699/6311000043169906092023204545.pdf")</f>
        <v>https://dpmzos25m8ivg.cloudfront.net/Documentos/631/10000431699/6311000043169906092023204545.pdf</v>
      </c>
      <c r="G4473" s="5" t="str">
        <f>HYPERLINK("https://dpmzos25m8ivg.cloudfront.net/Documentos/631/10000431699/6311000043169906092023204610.pdf","https://dpmzos25m8ivg.cloudfront.net/Documentos/631/10000431699/6311000043169906092023204610.pdf")</f>
        <v>https://dpmzos25m8ivg.cloudfront.net/Documentos/631/10000431699/6311000043169906092023204610.pdf</v>
      </c>
      <c r="H4473" s="5" t="s">
        <v>13048</v>
      </c>
    </row>
    <row r="4474" spans="1:8" x14ac:dyDescent="0.25">
      <c r="A4474" s="2" t="s">
        <v>4496</v>
      </c>
      <c r="B4474" s="3"/>
      <c r="C4474" s="3"/>
      <c r="D4474" s="3"/>
      <c r="E4474" s="5" t="str">
        <f>HYPERLINK("https://dpmzos25m8ivg.cloudfront.net/Documentos/631/10001862456/6311000186245605092023212117.jpg","https://dpmzos25m8ivg.cloudfront.net/Documentos/631/10001862456/6311000186245605092023212117.jpg")</f>
        <v>https://dpmzos25m8ivg.cloudfront.net/Documentos/631/10001862456/6311000186245605092023212117.jpg</v>
      </c>
      <c r="F4474" s="5" t="str">
        <f>HYPERLINK("https://dpmzos25m8ivg.cloudfront.net/Documentos/631/10001862456/6311000186245605092023212134.jpg","https://dpmzos25m8ivg.cloudfront.net/Documentos/631/10001862456/6311000186245605092023212134.jpg")</f>
        <v>https://dpmzos25m8ivg.cloudfront.net/Documentos/631/10001862456/6311000186245605092023212134.jpg</v>
      </c>
      <c r="G4474" s="5" t="str">
        <f>HYPERLINK("https://dpmzos25m8ivg.cloudfront.net/Documentos/631/10001862456/6311000186245605092023212149.jpg","https://dpmzos25m8ivg.cloudfront.net/Documentos/631/10001862456/6311000186245605092023212149.jpg")</f>
        <v>https://dpmzos25m8ivg.cloudfront.net/Documentos/631/10001862456/6311000186245605092023212149.jpg</v>
      </c>
      <c r="H4474" s="5" t="s">
        <v>13049</v>
      </c>
    </row>
    <row r="4475" spans="1:8" x14ac:dyDescent="0.25">
      <c r="A4475" s="2" t="s">
        <v>4497</v>
      </c>
      <c r="B4475" s="3"/>
      <c r="C4475" s="3"/>
      <c r="D4475" s="3"/>
      <c r="E4475" s="5" t="str">
        <f>HYPERLINK("https://dpmzos25m8ivg.cloudfront.net/Documentos/631/10015998452/6311001599845209092023214319.jpg","https://dpmzos25m8ivg.cloudfront.net/Documentos/631/10015998452/6311001599845209092023214319.jpg")</f>
        <v>https://dpmzos25m8ivg.cloudfront.net/Documentos/631/10015998452/6311001599845209092023214319.jpg</v>
      </c>
      <c r="F4475" s="5" t="str">
        <f>HYPERLINK("https://dpmzos25m8ivg.cloudfront.net/Documentos/631/10015998452/6311001599845209092023214328.jpg","https://dpmzos25m8ivg.cloudfront.net/Documentos/631/10015998452/6311001599845209092023214328.jpg")</f>
        <v>https://dpmzos25m8ivg.cloudfront.net/Documentos/631/10015998452/6311001599845209092023214328.jpg</v>
      </c>
      <c r="G4475" s="5" t="str">
        <f>HYPERLINK("https://dpmzos25m8ivg.cloudfront.net/Documentos/631/10015998452/6311001599845209092023214340.jpg","https://dpmzos25m8ivg.cloudfront.net/Documentos/631/10015998452/6311001599845209092023214340.jpg")</f>
        <v>https://dpmzos25m8ivg.cloudfront.net/Documentos/631/10015998452/6311001599845209092023214340.jpg</v>
      </c>
      <c r="H4475" s="5" t="s">
        <v>13050</v>
      </c>
    </row>
    <row r="4476" spans="1:8" x14ac:dyDescent="0.25">
      <c r="A4476" s="2" t="s">
        <v>4498</v>
      </c>
      <c r="B4476" s="3"/>
      <c r="C4476" s="3"/>
      <c r="D4476" s="3"/>
      <c r="E4476" s="5" t="str">
        <f>HYPERLINK("https://dpmzos25m8ivg.cloudfront.net/Documentos/631/10021643466/6311002164346605092023172232.jpg","https://dpmzos25m8ivg.cloudfront.net/Documentos/631/10021643466/6311002164346605092023172232.jpg")</f>
        <v>https://dpmzos25m8ivg.cloudfront.net/Documentos/631/10021643466/6311002164346605092023172232.jpg</v>
      </c>
      <c r="F4476" s="5" t="str">
        <f>HYPERLINK("https://dpmzos25m8ivg.cloudfront.net/Documentos/631/10021643466/6311002164346605092023172303.jpg","https://dpmzos25m8ivg.cloudfront.net/Documentos/631/10021643466/6311002164346605092023172303.jpg")</f>
        <v>https://dpmzos25m8ivg.cloudfront.net/Documentos/631/10021643466/6311002164346605092023172303.jpg</v>
      </c>
      <c r="G4476" s="5" t="str">
        <f>HYPERLINK("https://dpmzos25m8ivg.cloudfront.net/Documentos/631/10021643466/6311002164346605092023172422.jpg","https://dpmzos25m8ivg.cloudfront.net/Documentos/631/10021643466/6311002164346605092023172422.jpg")</f>
        <v>https://dpmzos25m8ivg.cloudfront.net/Documentos/631/10021643466/6311002164346605092023172422.jpg</v>
      </c>
      <c r="H4476" s="5" t="s">
        <v>13051</v>
      </c>
    </row>
    <row r="4477" spans="1:8" x14ac:dyDescent="0.25">
      <c r="A4477" s="2" t="s">
        <v>4499</v>
      </c>
      <c r="B4477" s="3" t="s">
        <v>42</v>
      </c>
      <c r="C4477" s="3"/>
      <c r="D4477" s="3"/>
      <c r="E4477" s="5" t="str">
        <f>HYPERLINK("https://dpmzos25m8ivg.cloudfront.net/Documentos/631/10023848421/6311002384842108092023190809.jpg","https://dpmzos25m8ivg.cloudfront.net/Documentos/631/10023848421/6311002384842108092023190809.jpg")</f>
        <v>https://dpmzos25m8ivg.cloudfront.net/Documentos/631/10023848421/6311002384842108092023190809.jpg</v>
      </c>
      <c r="F4477" s="5" t="str">
        <f>HYPERLINK("https://dpmzos25m8ivg.cloudfront.net/Documentos/631/10023848421/6311002384842108092023191021.jpg","https://dpmzos25m8ivg.cloudfront.net/Documentos/631/10023848421/6311002384842108092023191021.jpg")</f>
        <v>https://dpmzos25m8ivg.cloudfront.net/Documentos/631/10023848421/6311002384842108092023191021.jpg</v>
      </c>
      <c r="G4477" s="5" t="str">
        <f>HYPERLINK("https://dpmzos25m8ivg.cloudfront.net/Documentos/631/10023848421/6311002384842108092023191125.jpg","https://dpmzos25m8ivg.cloudfront.net/Documentos/631/10023848421/6311002384842108092023191125.jpg")</f>
        <v>https://dpmzos25m8ivg.cloudfront.net/Documentos/631/10023848421/6311002384842108092023191125.jpg</v>
      </c>
      <c r="H4477" s="5" t="s">
        <v>13052</v>
      </c>
    </row>
    <row r="4478" spans="1:8" x14ac:dyDescent="0.25">
      <c r="A4478" s="2" t="s">
        <v>4500</v>
      </c>
      <c r="B4478" s="3"/>
      <c r="C4478" s="3"/>
      <c r="D4478" s="3"/>
      <c r="E4478" s="5" t="str">
        <f>HYPERLINK("https://dpmzos25m8ivg.cloudfront.net/Documentos/631/10024465623/6311002446562305092023172527.jpg","https://dpmzos25m8ivg.cloudfront.net/Documentos/631/10024465623/6311002446562305092023172527.jpg")</f>
        <v>https://dpmzos25m8ivg.cloudfront.net/Documentos/631/10024465623/6311002446562305092023172527.jpg</v>
      </c>
      <c r="F4478" s="5" t="str">
        <f>HYPERLINK("https://dpmzos25m8ivg.cloudfront.net/Documentos/631/10024465623/6311002446562305092023172613.jpg","https://dpmzos25m8ivg.cloudfront.net/Documentos/631/10024465623/6311002446562305092023172613.jpg")</f>
        <v>https://dpmzos25m8ivg.cloudfront.net/Documentos/631/10024465623/6311002446562305092023172613.jpg</v>
      </c>
      <c r="G4478" s="5" t="str">
        <f>HYPERLINK("https://dpmzos25m8ivg.cloudfront.net/Documentos/631/10024465623/6311002446562305092023172620.jpg","https://dpmzos25m8ivg.cloudfront.net/Documentos/631/10024465623/6311002446562305092023172620.jpg")</f>
        <v>https://dpmzos25m8ivg.cloudfront.net/Documentos/631/10024465623/6311002446562305092023172620.jpg</v>
      </c>
      <c r="H4478" s="5" t="s">
        <v>13053</v>
      </c>
    </row>
    <row r="4479" spans="1:8" x14ac:dyDescent="0.25">
      <c r="A4479" s="2" t="s">
        <v>4501</v>
      </c>
      <c r="B4479" s="3"/>
      <c r="C4479" s="3"/>
      <c r="D4479" s="3"/>
      <c r="E4479" s="5" t="str">
        <f>HYPERLINK("https://dpmzos25m8ivg.cloudfront.net/Documentos/631/10030860474/6311003086047411092023162208.jpeg","https://dpmzos25m8ivg.cloudfront.net/Documentos/631/10030860474/6311003086047411092023162208.jpeg")</f>
        <v>https://dpmzos25m8ivg.cloudfront.net/Documentos/631/10030860474/6311003086047411092023162208.jpeg</v>
      </c>
      <c r="F4479" s="5" t="str">
        <f>HYPERLINK("https://dpmzos25m8ivg.cloudfront.net/Documentos/631/10030860474/6311003086047411092023162216.jpeg","https://dpmzos25m8ivg.cloudfront.net/Documentos/631/10030860474/6311003086047411092023162216.jpeg")</f>
        <v>https://dpmzos25m8ivg.cloudfront.net/Documentos/631/10030860474/6311003086047411092023162216.jpeg</v>
      </c>
      <c r="G4479" s="5" t="str">
        <f>HYPERLINK("https://dpmzos25m8ivg.cloudfront.net/Documentos/631/10030860474/6311003086047411092023162223.jpeg","https://dpmzos25m8ivg.cloudfront.net/Documentos/631/10030860474/6311003086047411092023162223.jpeg")</f>
        <v>https://dpmzos25m8ivg.cloudfront.net/Documentos/631/10030860474/6311003086047411092023162223.jpeg</v>
      </c>
      <c r="H4479" s="5" t="s">
        <v>13054</v>
      </c>
    </row>
    <row r="4480" spans="1:8" x14ac:dyDescent="0.25">
      <c r="A4480" s="2" t="s">
        <v>4502</v>
      </c>
      <c r="B4480" s="3" t="s">
        <v>90</v>
      </c>
      <c r="C4480" s="3"/>
      <c r="D4480" s="3"/>
      <c r="E4480" s="5" t="str">
        <f>HYPERLINK("https://dpmzos25m8ivg.cloudfront.net/Documentos/631/10030968674/6311003096867411092023163609.jpeg","https://dpmzos25m8ivg.cloudfront.net/Documentos/631/10030968674/6311003096867411092023163609.jpeg")</f>
        <v>https://dpmzos25m8ivg.cloudfront.net/Documentos/631/10030968674/6311003096867411092023163609.jpeg</v>
      </c>
      <c r="F4480" s="5" t="str">
        <f>HYPERLINK("https://dpmzos25m8ivg.cloudfront.net/Documentos/631/10030968674/6311003096867411092023163739.jpeg","https://dpmzos25m8ivg.cloudfront.net/Documentos/631/10030968674/6311003096867411092023163739.jpeg")</f>
        <v>https://dpmzos25m8ivg.cloudfront.net/Documentos/631/10030968674/6311003096867411092023163739.jpeg</v>
      </c>
      <c r="G4480" s="5" t="str">
        <f>HYPERLINK("https://dpmzos25m8ivg.cloudfront.net/Documentos/631/10030968674/6311003096867411092023163829.jpeg","https://dpmzos25m8ivg.cloudfront.net/Documentos/631/10030968674/6311003096867411092023163829.jpeg")</f>
        <v>https://dpmzos25m8ivg.cloudfront.net/Documentos/631/10030968674/6311003096867411092023163829.jpeg</v>
      </c>
      <c r="H4480" s="5" t="s">
        <v>13055</v>
      </c>
    </row>
    <row r="4481" spans="1:8" x14ac:dyDescent="0.25">
      <c r="A4481" s="2" t="s">
        <v>4503</v>
      </c>
      <c r="B4481" s="3"/>
      <c r="C4481" s="3"/>
      <c r="D4481" s="3"/>
      <c r="E4481" s="5" t="str">
        <f>HYPERLINK("https://dpmzos25m8ivg.cloudfront.net/Documentos/631/10031728650/6311003172865011092023154520.pdf","https://dpmzos25m8ivg.cloudfront.net/Documentos/631/10031728650/6311003172865011092023154520.pdf")</f>
        <v>https://dpmzos25m8ivg.cloudfront.net/Documentos/631/10031728650/6311003172865011092023154520.pdf</v>
      </c>
      <c r="F4481" s="5" t="str">
        <f>HYPERLINK("https://dpmzos25m8ivg.cloudfront.net/Documentos/631/10031728650/6311003172865011092023154549.pdf","https://dpmzos25m8ivg.cloudfront.net/Documentos/631/10031728650/6311003172865011092023154549.pdf")</f>
        <v>https://dpmzos25m8ivg.cloudfront.net/Documentos/631/10031728650/6311003172865011092023154549.pdf</v>
      </c>
      <c r="G4481" s="5" t="str">
        <f>HYPERLINK("https://dpmzos25m8ivg.cloudfront.net/Documentos/631/10031728650/6311003172865011092023154608.pdf","https://dpmzos25m8ivg.cloudfront.net/Documentos/631/10031728650/6311003172865011092023154608.pdf")</f>
        <v>https://dpmzos25m8ivg.cloudfront.net/Documentos/631/10031728650/6311003172865011092023154608.pdf</v>
      </c>
      <c r="H4481" s="5" t="s">
        <v>13056</v>
      </c>
    </row>
    <row r="4482" spans="1:8" x14ac:dyDescent="0.25">
      <c r="A4482" s="2" t="s">
        <v>4504</v>
      </c>
      <c r="B4482" s="3"/>
      <c r="C4482" s="3"/>
      <c r="D4482" s="3"/>
      <c r="E4482" s="5" t="str">
        <f>HYPERLINK("https://dpmzos25m8ivg.cloudfront.net/Documentos/631/10036675709/6311003667570908092023132637.pdf","https://dpmzos25m8ivg.cloudfront.net/Documentos/631/10036675709/6311003667570908092023132637.pdf")</f>
        <v>https://dpmzos25m8ivg.cloudfront.net/Documentos/631/10036675709/6311003667570908092023132637.pdf</v>
      </c>
      <c r="F4482" s="5" t="str">
        <f>HYPERLINK("https://dpmzos25m8ivg.cloudfront.net/Documentos/631/10036675709/6311003667570908092023132649.pdf","https://dpmzos25m8ivg.cloudfront.net/Documentos/631/10036675709/6311003667570908092023132649.pdf")</f>
        <v>https://dpmzos25m8ivg.cloudfront.net/Documentos/631/10036675709/6311003667570908092023132649.pdf</v>
      </c>
      <c r="G4482" s="5" t="str">
        <f>HYPERLINK("https://dpmzos25m8ivg.cloudfront.net/Documentos/631/10036675709/6311003667570908092023132658.pdf","https://dpmzos25m8ivg.cloudfront.net/Documentos/631/10036675709/6311003667570908092023132658.pdf")</f>
        <v>https://dpmzos25m8ivg.cloudfront.net/Documentos/631/10036675709/6311003667570908092023132658.pdf</v>
      </c>
      <c r="H4482" s="5" t="s">
        <v>13057</v>
      </c>
    </row>
    <row r="4483" spans="1:8" x14ac:dyDescent="0.25">
      <c r="A4483" s="2" t="s">
        <v>4505</v>
      </c>
      <c r="B4483" s="3"/>
      <c r="C4483" s="3"/>
      <c r="D4483" s="3"/>
      <c r="E4483" s="5" t="str">
        <f>HYPERLINK("https://dpmzos25m8ivg.cloudfront.net/Documentos/631/10043809685/6311004380968505092023132934.pdf","https://dpmzos25m8ivg.cloudfront.net/Documentos/631/10043809685/6311004380968505092023132934.pdf")</f>
        <v>https://dpmzos25m8ivg.cloudfront.net/Documentos/631/10043809685/6311004380968505092023132934.pdf</v>
      </c>
      <c r="F4483" s="5" t="str">
        <f>HYPERLINK("https://dpmzos25m8ivg.cloudfront.net/Documentos/631/10043809685/6311004380968505092023133005.pdf","https://dpmzos25m8ivg.cloudfront.net/Documentos/631/10043809685/6311004380968505092023133005.pdf")</f>
        <v>https://dpmzos25m8ivg.cloudfront.net/Documentos/631/10043809685/6311004380968505092023133005.pdf</v>
      </c>
      <c r="G4483" s="5" t="str">
        <f>HYPERLINK("https://dpmzos25m8ivg.cloudfront.net/Documentos/631/10043809685/6311004380968505092023133154.pdf","https://dpmzos25m8ivg.cloudfront.net/Documentos/631/10043809685/6311004380968505092023133154.pdf")</f>
        <v>https://dpmzos25m8ivg.cloudfront.net/Documentos/631/10043809685/6311004380968505092023133154.pdf</v>
      </c>
      <c r="H4483" s="5" t="s">
        <v>13058</v>
      </c>
    </row>
    <row r="4484" spans="1:8" x14ac:dyDescent="0.25">
      <c r="A4484" s="2" t="s">
        <v>4506</v>
      </c>
      <c r="B4484" s="3"/>
      <c r="C4484" s="3"/>
      <c r="D4484" s="3"/>
      <c r="E4484" s="5" t="str">
        <f>HYPERLINK("https://dpmzos25m8ivg.cloudfront.net/Documentos/631/10044466404/6311004446640413092023183109.pdf","https://dpmzos25m8ivg.cloudfront.net/Documentos/631/10044466404/6311004446640413092023183109.pdf")</f>
        <v>https://dpmzos25m8ivg.cloudfront.net/Documentos/631/10044466404/6311004446640413092023183109.pdf</v>
      </c>
      <c r="F4484" s="5" t="str">
        <f>HYPERLINK("https://dpmzos25m8ivg.cloudfront.net/Documentos/631/10044466404/6311004446640413092023183132.pdf","https://dpmzos25m8ivg.cloudfront.net/Documentos/631/10044466404/6311004446640413092023183132.pdf")</f>
        <v>https://dpmzos25m8ivg.cloudfront.net/Documentos/631/10044466404/6311004446640413092023183132.pdf</v>
      </c>
      <c r="G4484" s="5" t="str">
        <f>HYPERLINK("https://dpmzos25m8ivg.cloudfront.net/Documentos/631/10044466404/6311004446640413092023183202.pdf","https://dpmzos25m8ivg.cloudfront.net/Documentos/631/10044466404/6311004446640413092023183202.pdf")</f>
        <v>https://dpmzos25m8ivg.cloudfront.net/Documentos/631/10044466404/6311004446640413092023183202.pdf</v>
      </c>
      <c r="H4484" s="5" t="s">
        <v>13059</v>
      </c>
    </row>
    <row r="4485" spans="1:8" x14ac:dyDescent="0.25">
      <c r="A4485" s="2" t="s">
        <v>4507</v>
      </c>
      <c r="B4485" s="3"/>
      <c r="C4485" s="3"/>
      <c r="D4485" s="3"/>
      <c r="E4485" s="5" t="str">
        <f>HYPERLINK("https://dpmzos25m8ivg.cloudfront.net/Documentos/631/10051802457/6311005180245708092023191650.pdf","https://dpmzos25m8ivg.cloudfront.net/Documentos/631/10051802457/6311005180245708092023191650.pdf")</f>
        <v>https://dpmzos25m8ivg.cloudfront.net/Documentos/631/10051802457/6311005180245708092023191650.pdf</v>
      </c>
      <c r="F4485" s="5" t="str">
        <f>HYPERLINK("https://dpmzos25m8ivg.cloudfront.net/Documentos/631/10051802457/6311005180245708092023191736.pdf","https://dpmzos25m8ivg.cloudfront.net/Documentos/631/10051802457/6311005180245708092023191736.pdf")</f>
        <v>https://dpmzos25m8ivg.cloudfront.net/Documentos/631/10051802457/6311005180245708092023191736.pdf</v>
      </c>
      <c r="G4485" s="5" t="str">
        <f>HYPERLINK("https://dpmzos25m8ivg.cloudfront.net/Documentos/631/10051802457/6311005180245708092023191811.pdf","https://dpmzos25m8ivg.cloudfront.net/Documentos/631/10051802457/6311005180245708092023191811.pdf")</f>
        <v>https://dpmzos25m8ivg.cloudfront.net/Documentos/631/10051802457/6311005180245708092023191811.pdf</v>
      </c>
      <c r="H4485" s="5" t="s">
        <v>13060</v>
      </c>
    </row>
    <row r="4486" spans="1:8" x14ac:dyDescent="0.25">
      <c r="A4486" s="2" t="s">
        <v>4508</v>
      </c>
      <c r="B4486" s="19" t="s">
        <v>3385</v>
      </c>
      <c r="C4486" s="3"/>
      <c r="D4486" s="3"/>
      <c r="E4486" s="5" t="str">
        <f>HYPERLINK("https://dpmzos25m8ivg.cloudfront.net/Documentos/631/10053637496/6311005363749611092023140902.pdf","https://dpmzos25m8ivg.cloudfront.net/Documentos/631/10053637496/6311005363749611092023140902.pdf")</f>
        <v>https://dpmzos25m8ivg.cloudfront.net/Documentos/631/10053637496/6311005363749611092023140902.pdf</v>
      </c>
      <c r="F4486" s="5" t="str">
        <f>HYPERLINK("https://dpmzos25m8ivg.cloudfront.net/Documentos/631/10053637496/6311005363749611092023140910.pdf","https://dpmzos25m8ivg.cloudfront.net/Documentos/631/10053637496/6311005363749611092023140910.pdf")</f>
        <v>https://dpmzos25m8ivg.cloudfront.net/Documentos/631/10053637496/6311005363749611092023140910.pdf</v>
      </c>
      <c r="G4486" s="5" t="str">
        <f>HYPERLINK("https://dpmzos25m8ivg.cloudfront.net/Documentos/631/10053637496/6311005363749611092023140917.pdf","https://dpmzos25m8ivg.cloudfront.net/Documentos/631/10053637496/6311005363749611092023140917.pdf")</f>
        <v>https://dpmzos25m8ivg.cloudfront.net/Documentos/631/10053637496/6311005363749611092023140917.pdf</v>
      </c>
      <c r="H4486" s="5" t="s">
        <v>13061</v>
      </c>
    </row>
    <row r="4487" spans="1:8" x14ac:dyDescent="0.25">
      <c r="A4487" s="2" t="s">
        <v>4509</v>
      </c>
      <c r="B4487" s="3"/>
      <c r="C4487" s="3"/>
      <c r="D4487" s="3"/>
      <c r="E4487" s="5" t="str">
        <f>HYPERLINK("https://dpmzos25m8ivg.cloudfront.net/Documentos/631/10056744420/6311005674442008092023165435.pdf","https://dpmzos25m8ivg.cloudfront.net/Documentos/631/10056744420/6311005674442008092023165435.pdf")</f>
        <v>https://dpmzos25m8ivg.cloudfront.net/Documentos/631/10056744420/6311005674442008092023165435.pdf</v>
      </c>
      <c r="F4487" s="5" t="str">
        <f>HYPERLINK("https://dpmzos25m8ivg.cloudfront.net/Documentos/631/10056744420/6311005674442008092023165447.pdf","https://dpmzos25m8ivg.cloudfront.net/Documentos/631/10056744420/6311005674442008092023165447.pdf")</f>
        <v>https://dpmzos25m8ivg.cloudfront.net/Documentos/631/10056744420/6311005674442008092023165447.pdf</v>
      </c>
      <c r="G4487" s="5" t="str">
        <f>HYPERLINK("https://dpmzos25m8ivg.cloudfront.net/Documentos/631/10056744420/6311005674442008092023165504.pdf","https://dpmzos25m8ivg.cloudfront.net/Documentos/631/10056744420/6311005674442008092023165504.pdf")</f>
        <v>https://dpmzos25m8ivg.cloudfront.net/Documentos/631/10056744420/6311005674442008092023165504.pdf</v>
      </c>
      <c r="H4487" s="5" t="s">
        <v>13062</v>
      </c>
    </row>
    <row r="4488" spans="1:8" x14ac:dyDescent="0.25">
      <c r="A4488" s="2" t="s">
        <v>4510</v>
      </c>
      <c r="B4488" s="3"/>
      <c r="C4488" s="3"/>
      <c r="D4488" s="3"/>
      <c r="E4488" s="5" t="str">
        <f>HYPERLINK("https://dpmzos25m8ivg.cloudfront.net/Documentos/631/10059459425/6311005945942510092023233547.pdf","https://dpmzos25m8ivg.cloudfront.net/Documentos/631/10059459425/6311005945942510092023233547.pdf")</f>
        <v>https://dpmzos25m8ivg.cloudfront.net/Documentos/631/10059459425/6311005945942510092023233547.pdf</v>
      </c>
      <c r="F4488" s="5" t="str">
        <f>HYPERLINK("https://dpmzos25m8ivg.cloudfront.net/Documentos/631/10059459425/6311005945942510092023233605.pdf","https://dpmzos25m8ivg.cloudfront.net/Documentos/631/10059459425/6311005945942510092023233605.pdf")</f>
        <v>https://dpmzos25m8ivg.cloudfront.net/Documentos/631/10059459425/6311005945942510092023233605.pdf</v>
      </c>
      <c r="G4488" s="5" t="str">
        <f>HYPERLINK("https://dpmzos25m8ivg.cloudfront.net/Documentos/631/10059459425/6311005945942510092023233619.pdf","https://dpmzos25m8ivg.cloudfront.net/Documentos/631/10059459425/6311005945942510092023233619.pdf")</f>
        <v>https://dpmzos25m8ivg.cloudfront.net/Documentos/631/10059459425/6311005945942510092023233619.pdf</v>
      </c>
      <c r="H4488" s="5" t="s">
        <v>13063</v>
      </c>
    </row>
    <row r="4489" spans="1:8" x14ac:dyDescent="0.25">
      <c r="A4489" s="2" t="s">
        <v>4511</v>
      </c>
      <c r="B4489" s="19" t="s">
        <v>3385</v>
      </c>
      <c r="C4489" s="3"/>
      <c r="D4489" s="3"/>
      <c r="E4489" s="5" t="str">
        <f>HYPERLINK("https://dpmzos25m8ivg.cloudfront.net/Documentos/631/10067761763/6311006776176311092023164257.pdf","https://dpmzos25m8ivg.cloudfront.net/Documentos/631/10067761763/6311006776176311092023164257.pdf")</f>
        <v>https://dpmzos25m8ivg.cloudfront.net/Documentos/631/10067761763/6311006776176311092023164257.pdf</v>
      </c>
      <c r="F4489" s="5" t="str">
        <f>HYPERLINK("https://dpmzos25m8ivg.cloudfront.net/Documentos/631/10067761763/6311006776176311092023164340.pdf","https://dpmzos25m8ivg.cloudfront.net/Documentos/631/10067761763/6311006776176311092023164340.pdf")</f>
        <v>https://dpmzos25m8ivg.cloudfront.net/Documentos/631/10067761763/6311006776176311092023164340.pdf</v>
      </c>
      <c r="G4489" s="5" t="str">
        <f>HYPERLINK("https://dpmzos25m8ivg.cloudfront.net/Documentos/631/10067761763/6311006776176311092023164356.pdf","https://dpmzos25m8ivg.cloudfront.net/Documentos/631/10067761763/6311006776176311092023164356.pdf")</f>
        <v>https://dpmzos25m8ivg.cloudfront.net/Documentos/631/10067761763/6311006776176311092023164356.pdf</v>
      </c>
      <c r="H4489" s="5" t="s">
        <v>13064</v>
      </c>
    </row>
    <row r="4490" spans="1:8" x14ac:dyDescent="0.25">
      <c r="A4490" s="2" t="s">
        <v>4512</v>
      </c>
      <c r="B4490" s="3"/>
      <c r="C4490" s="3"/>
      <c r="D4490" s="3"/>
      <c r="E4490" s="5" t="str">
        <f>HYPERLINK("https://dpmzos25m8ivg.cloudfront.net/Documentos/631/10071351663/6311007135166311092023104610.pdf","https://dpmzos25m8ivg.cloudfront.net/Documentos/631/10071351663/6311007135166311092023104610.pdf")</f>
        <v>https://dpmzos25m8ivg.cloudfront.net/Documentos/631/10071351663/6311007135166311092023104610.pdf</v>
      </c>
      <c r="F4490" s="5" t="str">
        <f>HYPERLINK("https://dpmzos25m8ivg.cloudfront.net/Documentos/631/10071351663/6311007135166311092023104626.pdf","https://dpmzos25m8ivg.cloudfront.net/Documentos/631/10071351663/6311007135166311092023104626.pdf")</f>
        <v>https://dpmzos25m8ivg.cloudfront.net/Documentos/631/10071351663/6311007135166311092023104626.pdf</v>
      </c>
      <c r="G4490" s="5" t="str">
        <f>HYPERLINK("https://dpmzos25m8ivg.cloudfront.net/Documentos/631/10071351663/6311007135166311092023104635.pdf","https://dpmzos25m8ivg.cloudfront.net/Documentos/631/10071351663/6311007135166311092023104635.pdf")</f>
        <v>https://dpmzos25m8ivg.cloudfront.net/Documentos/631/10071351663/6311007135166311092023104635.pdf</v>
      </c>
      <c r="H4490" s="5" t="s">
        <v>13065</v>
      </c>
    </row>
    <row r="4491" spans="1:8" x14ac:dyDescent="0.25">
      <c r="A4491" s="2" t="s">
        <v>4513</v>
      </c>
      <c r="B4491" s="3"/>
      <c r="C4491" s="3"/>
      <c r="D4491" s="3"/>
      <c r="E4491" s="5" t="str">
        <f>HYPERLINK("https://dpmzos25m8ivg.cloudfront.net/Documentos/631/10071551409/6311007155140911092023161834.pdf","https://dpmzos25m8ivg.cloudfront.net/Documentos/631/10071551409/6311007155140911092023161834.pdf")</f>
        <v>https://dpmzos25m8ivg.cloudfront.net/Documentos/631/10071551409/6311007155140911092023161834.pdf</v>
      </c>
      <c r="F4491" s="5" t="str">
        <f>HYPERLINK("https://dpmzos25m8ivg.cloudfront.net/Documentos/631/10071551409/6311007155140911092023161904.pdf","https://dpmzos25m8ivg.cloudfront.net/Documentos/631/10071551409/6311007155140911092023161904.pdf")</f>
        <v>https://dpmzos25m8ivg.cloudfront.net/Documentos/631/10071551409/6311007155140911092023161904.pdf</v>
      </c>
      <c r="G4491" s="5" t="str">
        <f>HYPERLINK("https://dpmzos25m8ivg.cloudfront.net/Documentos/631/10071551409/6311007155140911092023161945.pdf","https://dpmzos25m8ivg.cloudfront.net/Documentos/631/10071551409/6311007155140911092023161945.pdf")</f>
        <v>https://dpmzos25m8ivg.cloudfront.net/Documentos/631/10071551409/6311007155140911092023161945.pdf</v>
      </c>
      <c r="H4491" s="5" t="s">
        <v>13066</v>
      </c>
    </row>
    <row r="4492" spans="1:8" x14ac:dyDescent="0.25">
      <c r="A4492" s="2" t="s">
        <v>4514</v>
      </c>
      <c r="B4492" s="19" t="s">
        <v>3385</v>
      </c>
      <c r="C4492" s="3"/>
      <c r="D4492" s="3"/>
      <c r="E4492" s="5" t="str">
        <f>HYPERLINK("https://dpmzos25m8ivg.cloudfront.net/Documentos/631/10072859741/6311007285974111092023012852.pdf","https://dpmzos25m8ivg.cloudfront.net/Documentos/631/10072859741/6311007285974111092023012852.pdf")</f>
        <v>https://dpmzos25m8ivg.cloudfront.net/Documentos/631/10072859741/6311007285974111092023012852.pdf</v>
      </c>
      <c r="F4492" s="5" t="str">
        <f>HYPERLINK("https://dpmzos25m8ivg.cloudfront.net/Documentos/631/10072859741/6311007285974111092023012911.pdf","https://dpmzos25m8ivg.cloudfront.net/Documentos/631/10072859741/6311007285974111092023012911.pdf")</f>
        <v>https://dpmzos25m8ivg.cloudfront.net/Documentos/631/10072859741/6311007285974111092023012911.pdf</v>
      </c>
      <c r="G4492" s="5" t="str">
        <f>HYPERLINK("https://dpmzos25m8ivg.cloudfront.net/Documentos/631/10072859741/6311007285974111092023012925.pdf","https://dpmzos25m8ivg.cloudfront.net/Documentos/631/10072859741/6311007285974111092023012925.pdf")</f>
        <v>https://dpmzos25m8ivg.cloudfront.net/Documentos/631/10072859741/6311007285974111092023012925.pdf</v>
      </c>
      <c r="H4492" s="5" t="s">
        <v>13067</v>
      </c>
    </row>
    <row r="4493" spans="1:8" x14ac:dyDescent="0.25">
      <c r="A4493" s="2" t="s">
        <v>4515</v>
      </c>
      <c r="B4493" s="3"/>
      <c r="C4493" s="3"/>
      <c r="D4493" s="3"/>
      <c r="E4493" s="5" t="str">
        <f>HYPERLINK("https://dpmzos25m8ivg.cloudfront.net/Documentos/631/10075287617/6311007528761707092023235003.jpeg","https://dpmzos25m8ivg.cloudfront.net/Documentos/631/10075287617/6311007528761707092023235003.jpeg")</f>
        <v>https://dpmzos25m8ivg.cloudfront.net/Documentos/631/10075287617/6311007528761707092023235003.jpeg</v>
      </c>
      <c r="F4493" s="5" t="str">
        <f>HYPERLINK("https://dpmzos25m8ivg.cloudfront.net/Documentos/631/10075287617/6311007528761707092023235031.jpeg","https://dpmzos25m8ivg.cloudfront.net/Documentos/631/10075287617/6311007528761707092023235031.jpeg")</f>
        <v>https://dpmzos25m8ivg.cloudfront.net/Documentos/631/10075287617/6311007528761707092023235031.jpeg</v>
      </c>
      <c r="G4493" s="5" t="str">
        <f>HYPERLINK("https://dpmzos25m8ivg.cloudfront.net/Documentos/631/10075287617/6311007528761707092023235105.jpeg","https://dpmzos25m8ivg.cloudfront.net/Documentos/631/10075287617/6311007528761707092023235105.jpeg")</f>
        <v>https://dpmzos25m8ivg.cloudfront.net/Documentos/631/10075287617/6311007528761707092023235105.jpeg</v>
      </c>
      <c r="H4493" s="5" t="s">
        <v>13068</v>
      </c>
    </row>
    <row r="4494" spans="1:8" x14ac:dyDescent="0.25">
      <c r="A4494" s="2" t="s">
        <v>4516</v>
      </c>
      <c r="B4494" s="3"/>
      <c r="C4494" s="3"/>
      <c r="D4494" s="3"/>
      <c r="E4494" s="5" t="str">
        <f>HYPERLINK("https://dpmzos25m8ivg.cloudfront.net/Documentos/631/10092876994/6311009287699411092023161208.pdf","https://dpmzos25m8ivg.cloudfront.net/Documentos/631/10092876994/6311009287699411092023161208.pdf")</f>
        <v>https://dpmzos25m8ivg.cloudfront.net/Documentos/631/10092876994/6311009287699411092023161208.pdf</v>
      </c>
      <c r="F4494" s="5" t="str">
        <f>HYPERLINK("https://dpmzos25m8ivg.cloudfront.net/Documentos/631/10092876994/6311009287699411092023161216.pdf","https://dpmzos25m8ivg.cloudfront.net/Documentos/631/10092876994/6311009287699411092023161216.pdf")</f>
        <v>https://dpmzos25m8ivg.cloudfront.net/Documentos/631/10092876994/6311009287699411092023161216.pdf</v>
      </c>
      <c r="G4494" s="5" t="str">
        <f>HYPERLINK("https://dpmzos25m8ivg.cloudfront.net/Documentos/631/10092876994/6311009287699411092023161224.pdf","https://dpmzos25m8ivg.cloudfront.net/Documentos/631/10092876994/6311009287699411092023161224.pdf")</f>
        <v>https://dpmzos25m8ivg.cloudfront.net/Documentos/631/10092876994/6311009287699411092023161224.pdf</v>
      </c>
      <c r="H4494" s="5" t="s">
        <v>13069</v>
      </c>
    </row>
    <row r="4495" spans="1:8" x14ac:dyDescent="0.25">
      <c r="A4495" s="2" t="s">
        <v>4517</v>
      </c>
      <c r="B4495" s="19" t="s">
        <v>3385</v>
      </c>
      <c r="C4495" s="3"/>
      <c r="D4495" s="3"/>
      <c r="E4495" s="5" t="str">
        <f>HYPERLINK("https://dpmzos25m8ivg.cloudfront.net/Documentos/631/10099007738/6311009900773810092023122134.jpg","https://dpmzos25m8ivg.cloudfront.net/Documentos/631/10099007738/6311009900773810092023122134.jpg")</f>
        <v>https://dpmzos25m8ivg.cloudfront.net/Documentos/631/10099007738/6311009900773810092023122134.jpg</v>
      </c>
      <c r="F4495" s="5" t="str">
        <f>HYPERLINK("https://dpmzos25m8ivg.cloudfront.net/Documentos/631/10099007738/6311009900773810092023122154.jpg","https://dpmzos25m8ivg.cloudfront.net/Documentos/631/10099007738/6311009900773810092023122154.jpg")</f>
        <v>https://dpmzos25m8ivg.cloudfront.net/Documentos/631/10099007738/6311009900773810092023122154.jpg</v>
      </c>
      <c r="G4495" s="5" t="str">
        <f>HYPERLINK("https://dpmzos25m8ivg.cloudfront.net/Documentos/631/10099007738/6311009900773810092023122225.jpg","https://dpmzos25m8ivg.cloudfront.net/Documentos/631/10099007738/6311009900773810092023122225.jpg")</f>
        <v>https://dpmzos25m8ivg.cloudfront.net/Documentos/631/10099007738/6311009900773810092023122225.jpg</v>
      </c>
      <c r="H4495" s="5" t="s">
        <v>13070</v>
      </c>
    </row>
    <row r="4496" spans="1:8" x14ac:dyDescent="0.25">
      <c r="A4496" s="2" t="s">
        <v>4518</v>
      </c>
      <c r="B4496" s="3"/>
      <c r="C4496" s="3"/>
      <c r="D4496" s="3"/>
      <c r="E4496" s="5" t="str">
        <f>HYPERLINK("https://dpmzos25m8ivg.cloudfront.net/Documentos/631/10102503613/6311010250361311092023103150.pdf","https://dpmzos25m8ivg.cloudfront.net/Documentos/631/10102503613/6311010250361311092023103150.pdf")</f>
        <v>https://dpmzos25m8ivg.cloudfront.net/Documentos/631/10102503613/6311010250361311092023103150.pdf</v>
      </c>
      <c r="F4496" s="5" t="str">
        <f>HYPERLINK("https://dpmzos25m8ivg.cloudfront.net/Documentos/631/10102503613/6311010250361311092023103210.pdf","https://dpmzos25m8ivg.cloudfront.net/Documentos/631/10102503613/6311010250361311092023103210.pdf")</f>
        <v>https://dpmzos25m8ivg.cloudfront.net/Documentos/631/10102503613/6311010250361311092023103210.pdf</v>
      </c>
      <c r="G4496" s="5" t="str">
        <f>HYPERLINK("https://dpmzos25m8ivg.cloudfront.net/Documentos/631/10102503613/6311010250361311092023103220.pdf","https://dpmzos25m8ivg.cloudfront.net/Documentos/631/10102503613/6311010250361311092023103220.pdf")</f>
        <v>https://dpmzos25m8ivg.cloudfront.net/Documentos/631/10102503613/6311010250361311092023103220.pdf</v>
      </c>
      <c r="H4496" s="5" t="s">
        <v>13071</v>
      </c>
    </row>
    <row r="4497" spans="1:8" x14ac:dyDescent="0.25">
      <c r="A4497" s="2" t="s">
        <v>4519</v>
      </c>
      <c r="B4497" s="3"/>
      <c r="C4497" s="3"/>
      <c r="D4497" s="3"/>
      <c r="E4497" s="5" t="str">
        <f>HYPERLINK("https://dpmzos25m8ivg.cloudfront.net/Documentos/631/10104905670/6311010490567010092023192927.pdf","https://dpmzos25m8ivg.cloudfront.net/Documentos/631/10104905670/6311010490567010092023192927.pdf")</f>
        <v>https://dpmzos25m8ivg.cloudfront.net/Documentos/631/10104905670/6311010490567010092023192927.pdf</v>
      </c>
      <c r="F4497" s="5" t="str">
        <f>HYPERLINK("https://dpmzos25m8ivg.cloudfront.net/Documentos/631/10104905670/6311010490567010092023192805.pdf","https://dpmzos25m8ivg.cloudfront.net/Documentos/631/10104905670/6311010490567010092023192805.pdf")</f>
        <v>https://dpmzos25m8ivg.cloudfront.net/Documentos/631/10104905670/6311010490567010092023192805.pdf</v>
      </c>
      <c r="G4497" s="5" t="str">
        <f>HYPERLINK("https://dpmzos25m8ivg.cloudfront.net/Documentos/631/10104905670/6311010490567010092023194057.pdf","https://dpmzos25m8ivg.cloudfront.net/Documentos/631/10104905670/6311010490567010092023194057.pdf")</f>
        <v>https://dpmzos25m8ivg.cloudfront.net/Documentos/631/10104905670/6311010490567010092023194057.pdf</v>
      </c>
      <c r="H4497" s="5" t="s">
        <v>13072</v>
      </c>
    </row>
    <row r="4498" spans="1:8" x14ac:dyDescent="0.25">
      <c r="A4498" s="2" t="s">
        <v>4520</v>
      </c>
      <c r="B4498" s="3"/>
      <c r="C4498" s="3"/>
      <c r="D4498" s="3"/>
      <c r="E4498" s="5" t="str">
        <f>HYPERLINK("https://dpmzos25m8ivg.cloudfront.net/Documentos/631/10111653681/6311011165368111092023095537.jpg","https://dpmzos25m8ivg.cloudfront.net/Documentos/631/10111653681/6311011165368111092023095537.jpg")</f>
        <v>https://dpmzos25m8ivg.cloudfront.net/Documentos/631/10111653681/6311011165368111092023095537.jpg</v>
      </c>
      <c r="F4498" s="5" t="str">
        <f>HYPERLINK("https://dpmzos25m8ivg.cloudfront.net/Documentos/631/10111653681/6311011165368111092023095546.jpg","https://dpmzos25m8ivg.cloudfront.net/Documentos/631/10111653681/6311011165368111092023095546.jpg")</f>
        <v>https://dpmzos25m8ivg.cloudfront.net/Documentos/631/10111653681/6311011165368111092023095546.jpg</v>
      </c>
      <c r="G4498" s="5" t="str">
        <f>HYPERLINK("https://dpmzos25m8ivg.cloudfront.net/Documentos/631/10111653681/6311011165368111092023095554.jpg","https://dpmzos25m8ivg.cloudfront.net/Documentos/631/10111653681/6311011165368111092023095554.jpg")</f>
        <v>https://dpmzos25m8ivg.cloudfront.net/Documentos/631/10111653681/6311011165368111092023095554.jpg</v>
      </c>
      <c r="H4498" s="5" t="s">
        <v>13073</v>
      </c>
    </row>
    <row r="4499" spans="1:8" x14ac:dyDescent="0.25">
      <c r="A4499" s="2" t="s">
        <v>4521</v>
      </c>
      <c r="B4499" s="3"/>
      <c r="C4499" s="3"/>
      <c r="D4499" s="3"/>
      <c r="E4499" s="5" t="str">
        <f>HYPERLINK("https://dpmzos25m8ivg.cloudfront.net/Documentos/631/10113636741/6311011363674106092023133042.pdf","https://dpmzos25m8ivg.cloudfront.net/Documentos/631/10113636741/6311011363674106092023133042.pdf")</f>
        <v>https://dpmzos25m8ivg.cloudfront.net/Documentos/631/10113636741/6311011363674106092023133042.pdf</v>
      </c>
      <c r="F4499" s="5" t="str">
        <f>HYPERLINK("https://dpmzos25m8ivg.cloudfront.net/Documentos/631/10113636741/6311011363674106092023134119.pdf","https://dpmzos25m8ivg.cloudfront.net/Documentos/631/10113636741/6311011363674106092023134119.pdf")</f>
        <v>https://dpmzos25m8ivg.cloudfront.net/Documentos/631/10113636741/6311011363674106092023134119.pdf</v>
      </c>
      <c r="G4499" s="5" t="str">
        <f>HYPERLINK("https://dpmzos25m8ivg.cloudfront.net/Documentos/631/10113636741/6311011363674106092023134532.pdf","https://dpmzos25m8ivg.cloudfront.net/Documentos/631/10113636741/6311011363674106092023134532.pdf")</f>
        <v>https://dpmzos25m8ivg.cloudfront.net/Documentos/631/10113636741/6311011363674106092023134532.pdf</v>
      </c>
      <c r="H4499" s="5" t="s">
        <v>13074</v>
      </c>
    </row>
    <row r="4500" spans="1:8" x14ac:dyDescent="0.25">
      <c r="A4500" s="2" t="s">
        <v>4522</v>
      </c>
      <c r="B4500" s="3"/>
      <c r="C4500" s="3"/>
      <c r="D4500" s="3"/>
      <c r="E4500" s="5" t="str">
        <f>HYPERLINK("https://dpmzos25m8ivg.cloudfront.net/Documentos/631/10114280673/6311011428067311092023015748.pdf","https://dpmzos25m8ivg.cloudfront.net/Documentos/631/10114280673/6311011428067311092023015748.pdf")</f>
        <v>https://dpmzos25m8ivg.cloudfront.net/Documentos/631/10114280673/6311011428067311092023015748.pdf</v>
      </c>
      <c r="F4500" s="5" t="str">
        <f>HYPERLINK("https://dpmzos25m8ivg.cloudfront.net/Documentos/631/10114280673/6311011428067311092023015759.pdf","https://dpmzos25m8ivg.cloudfront.net/Documentos/631/10114280673/6311011428067311092023015759.pdf")</f>
        <v>https://dpmzos25m8ivg.cloudfront.net/Documentos/631/10114280673/6311011428067311092023015759.pdf</v>
      </c>
      <c r="G4500" s="5" t="str">
        <f>HYPERLINK("https://dpmzos25m8ivg.cloudfront.net/Documentos/631/10114280673/6311011428067311092023015813.pdf","https://dpmzos25m8ivg.cloudfront.net/Documentos/631/10114280673/6311011428067311092023015813.pdf")</f>
        <v>https://dpmzos25m8ivg.cloudfront.net/Documentos/631/10114280673/6311011428067311092023015813.pdf</v>
      </c>
      <c r="H4500" s="5" t="s">
        <v>13075</v>
      </c>
    </row>
    <row r="4501" spans="1:8" x14ac:dyDescent="0.25">
      <c r="A4501" s="2" t="s">
        <v>4523</v>
      </c>
      <c r="B4501" s="19" t="s">
        <v>3385</v>
      </c>
      <c r="C4501" s="3"/>
      <c r="D4501" s="3"/>
      <c r="E4501" s="5" t="str">
        <f>HYPERLINK("https://dpmzos25m8ivg.cloudfront.net/Documentos/631/10118727494/6311011872749411092023141416.pdf","https://dpmzos25m8ivg.cloudfront.net/Documentos/631/10118727494/6311011872749411092023141416.pdf")</f>
        <v>https://dpmzos25m8ivg.cloudfront.net/Documentos/631/10118727494/6311011872749411092023141416.pdf</v>
      </c>
      <c r="F4501" s="5" t="str">
        <f>HYPERLINK("https://dpmzos25m8ivg.cloudfront.net/Documentos/631/10118727494/6311011872749411092023141426.pdf","https://dpmzos25m8ivg.cloudfront.net/Documentos/631/10118727494/6311011872749411092023141426.pdf")</f>
        <v>https://dpmzos25m8ivg.cloudfront.net/Documentos/631/10118727494/6311011872749411092023141426.pdf</v>
      </c>
      <c r="G4501" s="5" t="str">
        <f>HYPERLINK("https://dpmzos25m8ivg.cloudfront.net/Documentos/631/10118727494/6311011872749411092023141436.pdf","https://dpmzos25m8ivg.cloudfront.net/Documentos/631/10118727494/6311011872749411092023141436.pdf")</f>
        <v>https://dpmzos25m8ivg.cloudfront.net/Documentos/631/10118727494/6311011872749411092023141436.pdf</v>
      </c>
      <c r="H4501" s="5" t="s">
        <v>13076</v>
      </c>
    </row>
    <row r="4502" spans="1:8" x14ac:dyDescent="0.25">
      <c r="A4502" s="2" t="s">
        <v>4524</v>
      </c>
      <c r="B4502" s="3"/>
      <c r="C4502" s="3"/>
      <c r="D4502" s="3"/>
      <c r="E4502" s="5" t="str">
        <f>HYPERLINK("https://dpmzos25m8ivg.cloudfront.net/Documentos/631/10121449769/6311012144976906092023211328.pdf","https://dpmzos25m8ivg.cloudfront.net/Documentos/631/10121449769/6311012144976906092023211328.pdf")</f>
        <v>https://dpmzos25m8ivg.cloudfront.net/Documentos/631/10121449769/6311012144976906092023211328.pdf</v>
      </c>
      <c r="F4502" s="5" t="str">
        <f>HYPERLINK("https://dpmzos25m8ivg.cloudfront.net/Documentos/631/10121449769/6311012144976906092023211348.pdf","https://dpmzos25m8ivg.cloudfront.net/Documentos/631/10121449769/6311012144976906092023211348.pdf")</f>
        <v>https://dpmzos25m8ivg.cloudfront.net/Documentos/631/10121449769/6311012144976906092023211348.pdf</v>
      </c>
      <c r="G4502" s="5" t="str">
        <f>HYPERLINK("https://dpmzos25m8ivg.cloudfront.net/Documentos/631/10121449769/6311012144976906092023211407.pdf","https://dpmzos25m8ivg.cloudfront.net/Documentos/631/10121449769/6311012144976906092023211407.pdf")</f>
        <v>https://dpmzos25m8ivg.cloudfront.net/Documentos/631/10121449769/6311012144976906092023211407.pdf</v>
      </c>
      <c r="H4502" s="5" t="s">
        <v>13077</v>
      </c>
    </row>
    <row r="4503" spans="1:8" x14ac:dyDescent="0.25">
      <c r="A4503" s="2" t="s">
        <v>4525</v>
      </c>
      <c r="B4503" s="3"/>
      <c r="C4503" s="3"/>
      <c r="D4503" s="3"/>
      <c r="E4503" s="5" t="str">
        <f>HYPERLINK("https://dpmzos25m8ivg.cloudfront.net/Documentos/631/10121778908/6311012177890811092023151756.pdf","https://dpmzos25m8ivg.cloudfront.net/Documentos/631/10121778908/6311012177890811092023151756.pdf")</f>
        <v>https://dpmzos25m8ivg.cloudfront.net/Documentos/631/10121778908/6311012177890811092023151756.pdf</v>
      </c>
      <c r="F4503" s="5" t="str">
        <f>HYPERLINK("https://dpmzos25m8ivg.cloudfront.net/Documentos/631/10121778908/6311012177890811092023151805.pdf","https://dpmzos25m8ivg.cloudfront.net/Documentos/631/10121778908/6311012177890811092023151805.pdf")</f>
        <v>https://dpmzos25m8ivg.cloudfront.net/Documentos/631/10121778908/6311012177890811092023151805.pdf</v>
      </c>
      <c r="G4503" s="5" t="str">
        <f>HYPERLINK("https://dpmzos25m8ivg.cloudfront.net/Documentos/631/10121778908/6311012177890811092023151815.pdf","https://dpmzos25m8ivg.cloudfront.net/Documentos/631/10121778908/6311012177890811092023151815.pdf")</f>
        <v>https://dpmzos25m8ivg.cloudfront.net/Documentos/631/10121778908/6311012177890811092023151815.pdf</v>
      </c>
      <c r="H4503" s="5" t="s">
        <v>13078</v>
      </c>
    </row>
    <row r="4504" spans="1:8" x14ac:dyDescent="0.25">
      <c r="A4504" s="2" t="s">
        <v>4526</v>
      </c>
      <c r="B4504" s="19" t="s">
        <v>3385</v>
      </c>
      <c r="C4504" s="3"/>
      <c r="D4504" s="3"/>
      <c r="E4504" s="5" t="str">
        <f>HYPERLINK("https://dpmzos25m8ivg.cloudfront.net/Documentos/631/10127242473/6311012724247308092023162700.pdf","https://dpmzos25m8ivg.cloudfront.net/Documentos/631/10127242473/6311012724247308092023162700.pdf")</f>
        <v>https://dpmzos25m8ivg.cloudfront.net/Documentos/631/10127242473/6311012724247308092023162700.pdf</v>
      </c>
      <c r="F4504" s="5" t="str">
        <f>HYPERLINK("https://dpmzos25m8ivg.cloudfront.net/Documentos/631/10127242473/6311012724247308092023162815.pdf","https://dpmzos25m8ivg.cloudfront.net/Documentos/631/10127242473/6311012724247308092023162815.pdf")</f>
        <v>https://dpmzos25m8ivg.cloudfront.net/Documentos/631/10127242473/6311012724247308092023162815.pdf</v>
      </c>
      <c r="G4504" s="5" t="str">
        <f>HYPERLINK("https://dpmzos25m8ivg.cloudfront.net/Documentos/631/10127242473/6311012724247308092023162900.pdf","https://dpmzos25m8ivg.cloudfront.net/Documentos/631/10127242473/6311012724247308092023162900.pdf")</f>
        <v>https://dpmzos25m8ivg.cloudfront.net/Documentos/631/10127242473/6311012724247308092023162900.pdf</v>
      </c>
      <c r="H4504" s="5" t="s">
        <v>13079</v>
      </c>
    </row>
    <row r="4505" spans="1:8" x14ac:dyDescent="0.25">
      <c r="A4505" s="2" t="s">
        <v>4527</v>
      </c>
      <c r="B4505" s="3"/>
      <c r="C4505" s="3"/>
      <c r="D4505" s="3"/>
      <c r="E4505" s="5" t="str">
        <f>HYPERLINK("https://dpmzos25m8ivg.cloudfront.net/Documentos/631/10127467475/6311012746747511092023165634.pdf","https://dpmzos25m8ivg.cloudfront.net/Documentos/631/10127467475/6311012746747511092023165634.pdf")</f>
        <v>https://dpmzos25m8ivg.cloudfront.net/Documentos/631/10127467475/6311012746747511092023165634.pdf</v>
      </c>
      <c r="F4505" s="5" t="str">
        <f>HYPERLINK("https://dpmzos25m8ivg.cloudfront.net/Documentos/631/10127467475/6311012746747511092023165643.pdf","https://dpmzos25m8ivg.cloudfront.net/Documentos/631/10127467475/6311012746747511092023165643.pdf")</f>
        <v>https://dpmzos25m8ivg.cloudfront.net/Documentos/631/10127467475/6311012746747511092023165643.pdf</v>
      </c>
      <c r="G4505" s="5" t="str">
        <f>HYPERLINK("https://dpmzos25m8ivg.cloudfront.net/Documentos/631/10127467475/6311012746747511092023165706.pdf","https://dpmzos25m8ivg.cloudfront.net/Documentos/631/10127467475/6311012746747511092023165706.pdf")</f>
        <v>https://dpmzos25m8ivg.cloudfront.net/Documentos/631/10127467475/6311012746747511092023165706.pdf</v>
      </c>
      <c r="H4505" s="5" t="s">
        <v>13080</v>
      </c>
    </row>
    <row r="4506" spans="1:8" x14ac:dyDescent="0.25">
      <c r="A4506" s="2" t="s">
        <v>4528</v>
      </c>
      <c r="B4506" s="3"/>
      <c r="C4506" s="3"/>
      <c r="D4506" s="3"/>
      <c r="E4506" s="5" t="str">
        <f>HYPERLINK("https://dpmzos25m8ivg.cloudfront.net/Documentos/631/10135912750/6311013591275006092023143503.jpeg","https://dpmzos25m8ivg.cloudfront.net/Documentos/631/10135912750/6311013591275006092023143503.jpeg")</f>
        <v>https://dpmzos25m8ivg.cloudfront.net/Documentos/631/10135912750/6311013591275006092023143503.jpeg</v>
      </c>
      <c r="F4506" s="5" t="str">
        <f>HYPERLINK("https://dpmzos25m8ivg.cloudfront.net/Documentos/631/10135912750/6311013591275006092023143524.jpeg","https://dpmzos25m8ivg.cloudfront.net/Documentos/631/10135912750/6311013591275006092023143524.jpeg")</f>
        <v>https://dpmzos25m8ivg.cloudfront.net/Documentos/631/10135912750/6311013591275006092023143524.jpeg</v>
      </c>
      <c r="G4506" s="5" t="str">
        <f>HYPERLINK("https://dpmzos25m8ivg.cloudfront.net/Documentos/631/10135912750/6311013591275006092023143546.jpeg","https://dpmzos25m8ivg.cloudfront.net/Documentos/631/10135912750/6311013591275006092023143546.jpeg")</f>
        <v>https://dpmzos25m8ivg.cloudfront.net/Documentos/631/10135912750/6311013591275006092023143546.jpeg</v>
      </c>
      <c r="H4506" s="5" t="s">
        <v>13081</v>
      </c>
    </row>
    <row r="4507" spans="1:8" x14ac:dyDescent="0.25">
      <c r="A4507" s="2" t="s">
        <v>4529</v>
      </c>
      <c r="B4507" s="3" t="s">
        <v>8</v>
      </c>
      <c r="C4507" s="3"/>
      <c r="D4507" s="3"/>
      <c r="E4507" s="5" t="str">
        <f>HYPERLINK("https://dpmzos25m8ivg.cloudfront.net/Documentos/631/10136264948/6311013626494808092023194004.pdf","https://dpmzos25m8ivg.cloudfront.net/Documentos/631/10136264948/6311013626494808092023194004.pdf")</f>
        <v>https://dpmzos25m8ivg.cloudfront.net/Documentos/631/10136264948/6311013626494808092023194004.pdf</v>
      </c>
      <c r="F4507" s="5" t="str">
        <f>HYPERLINK("https://dpmzos25m8ivg.cloudfront.net/Documentos/631/10136264948/6311013626494811092023054554.pdf","https://dpmzos25m8ivg.cloudfront.net/Documentos/631/10136264948/6311013626494811092023054554.pdf")</f>
        <v>https://dpmzos25m8ivg.cloudfront.net/Documentos/631/10136264948/6311013626494811092023054554.pdf</v>
      </c>
      <c r="G4507" s="5" t="str">
        <f>HYPERLINK("https://dpmzos25m8ivg.cloudfront.net/Documentos/631/10136264948/6311013626494811092023054611.pdf","https://dpmzos25m8ivg.cloudfront.net/Documentos/631/10136264948/6311013626494811092023054611.pdf")</f>
        <v>https://dpmzos25m8ivg.cloudfront.net/Documentos/631/10136264948/6311013626494811092023054611.pdf</v>
      </c>
      <c r="H4507" s="5" t="s">
        <v>13082</v>
      </c>
    </row>
    <row r="4508" spans="1:8" x14ac:dyDescent="0.25">
      <c r="A4508" s="2" t="s">
        <v>4530</v>
      </c>
      <c r="B4508" s="3" t="s">
        <v>90</v>
      </c>
      <c r="C4508" s="3"/>
      <c r="D4508" s="3"/>
      <c r="E4508" s="5" t="str">
        <f>HYPERLINK("https://dpmzos25m8ivg.cloudfront.net/Documentos/631/10137956878/6311013795687805092023114823.jpg","https://dpmzos25m8ivg.cloudfront.net/Documentos/631/10137956878/6311013795687805092023114823.jpg")</f>
        <v>https://dpmzos25m8ivg.cloudfront.net/Documentos/631/10137956878/6311013795687805092023114823.jpg</v>
      </c>
      <c r="F4508" s="5" t="str">
        <f>HYPERLINK("https://dpmzos25m8ivg.cloudfront.net/Documentos/631/10137956878/6311013795687805092023114847.jpg","https://dpmzos25m8ivg.cloudfront.net/Documentos/631/10137956878/6311013795687805092023114847.jpg")</f>
        <v>https://dpmzos25m8ivg.cloudfront.net/Documentos/631/10137956878/6311013795687805092023114847.jpg</v>
      </c>
      <c r="G4508" s="5" t="str">
        <f>HYPERLINK("https://dpmzos25m8ivg.cloudfront.net/Documentos/631/10137956878/6311013795687805092023114908.jpg","https://dpmzos25m8ivg.cloudfront.net/Documentos/631/10137956878/6311013795687805092023114908.jpg")</f>
        <v>https://dpmzos25m8ivg.cloudfront.net/Documentos/631/10137956878/6311013795687805092023114908.jpg</v>
      </c>
      <c r="H4508" s="5" t="s">
        <v>13083</v>
      </c>
    </row>
    <row r="4509" spans="1:8" x14ac:dyDescent="0.25">
      <c r="A4509" s="2" t="s">
        <v>4531</v>
      </c>
      <c r="B4509" s="3"/>
      <c r="C4509" s="3"/>
      <c r="D4509" s="3"/>
      <c r="E4509" s="5" t="str">
        <f>HYPERLINK("https://dpmzos25m8ivg.cloudfront.net/Documentos/631/10138253498/6311013825349813092023155711.pdf","https://dpmzos25m8ivg.cloudfront.net/Documentos/631/10138253498/6311013825349813092023155711.pdf")</f>
        <v>https://dpmzos25m8ivg.cloudfront.net/Documentos/631/10138253498/6311013825349813092023155711.pdf</v>
      </c>
      <c r="F4509" s="5" t="str">
        <f>HYPERLINK("https://dpmzos25m8ivg.cloudfront.net/Documentos/631/10138253498/6311013825349813092023155720.pdf","https://dpmzos25m8ivg.cloudfront.net/Documentos/631/10138253498/6311013825349813092023155720.pdf")</f>
        <v>https://dpmzos25m8ivg.cloudfront.net/Documentos/631/10138253498/6311013825349813092023155720.pdf</v>
      </c>
      <c r="G4509" s="5" t="str">
        <f>HYPERLINK("https://dpmzos25m8ivg.cloudfront.net/Documentos/631/10138253498/6311013825349813092023155729.pdf","https://dpmzos25m8ivg.cloudfront.net/Documentos/631/10138253498/6311013825349813092023155729.pdf")</f>
        <v>https://dpmzos25m8ivg.cloudfront.net/Documentos/631/10138253498/6311013825349813092023155729.pdf</v>
      </c>
      <c r="H4509" s="5" t="s">
        <v>13084</v>
      </c>
    </row>
    <row r="4510" spans="1:8" x14ac:dyDescent="0.25">
      <c r="A4510" s="2" t="s">
        <v>4532</v>
      </c>
      <c r="B4510" s="3"/>
      <c r="C4510" s="3"/>
      <c r="D4510" s="3"/>
      <c r="E4510" s="5" t="str">
        <f>HYPERLINK("https://dpmzos25m8ivg.cloudfront.net/Documentos/631/10139278699/6311013927869906092023154138.jpg","https://dpmzos25m8ivg.cloudfront.net/Documentos/631/10139278699/6311013927869906092023154138.jpg")</f>
        <v>https://dpmzos25m8ivg.cloudfront.net/Documentos/631/10139278699/6311013927869906092023154138.jpg</v>
      </c>
      <c r="F4510" s="5" t="str">
        <f>HYPERLINK("https://dpmzos25m8ivg.cloudfront.net/Documentos/631/10139278699/6311013927869906092023154152.jpg","https://dpmzos25m8ivg.cloudfront.net/Documentos/631/10139278699/6311013927869906092023154152.jpg")</f>
        <v>https://dpmzos25m8ivg.cloudfront.net/Documentos/631/10139278699/6311013927869906092023154152.jpg</v>
      </c>
      <c r="G4510" s="5" t="str">
        <f>HYPERLINK("https://dpmzos25m8ivg.cloudfront.net/Documentos/631/10139278699/6311013927869906092023154206.jpg","https://dpmzos25m8ivg.cloudfront.net/Documentos/631/10139278699/6311013927869906092023154206.jpg")</f>
        <v>https://dpmzos25m8ivg.cloudfront.net/Documentos/631/10139278699/6311013927869906092023154206.jpg</v>
      </c>
      <c r="H4510" s="5" t="s">
        <v>13085</v>
      </c>
    </row>
    <row r="4511" spans="1:8" x14ac:dyDescent="0.25">
      <c r="A4511" s="2" t="s">
        <v>4533</v>
      </c>
      <c r="B4511" s="3"/>
      <c r="C4511" s="3"/>
      <c r="D4511" s="3"/>
      <c r="E4511" s="5" t="str">
        <f>HYPERLINK("https://dpmzos25m8ivg.cloudfront.net/Documentos/631/10142085480/6311014208548008092023173121.pdf","https://dpmzos25m8ivg.cloudfront.net/Documentos/631/10142085480/6311014208548008092023173121.pdf")</f>
        <v>https://dpmzos25m8ivg.cloudfront.net/Documentos/631/10142085480/6311014208548008092023173121.pdf</v>
      </c>
      <c r="F4511" s="5" t="str">
        <f>HYPERLINK("https://dpmzos25m8ivg.cloudfront.net/Documentos/631/10142085480/6311014208548008092023173305.pdf","https://dpmzos25m8ivg.cloudfront.net/Documentos/631/10142085480/6311014208548008092023173305.pdf")</f>
        <v>https://dpmzos25m8ivg.cloudfront.net/Documentos/631/10142085480/6311014208548008092023173305.pdf</v>
      </c>
      <c r="G4511" s="5" t="str">
        <f>HYPERLINK("https://dpmzos25m8ivg.cloudfront.net/Documentos/631/10142085480/6311014208548008092023173421.pdf","https://dpmzos25m8ivg.cloudfront.net/Documentos/631/10142085480/6311014208548008092023173421.pdf")</f>
        <v>https://dpmzos25m8ivg.cloudfront.net/Documentos/631/10142085480/6311014208548008092023173421.pdf</v>
      </c>
      <c r="H4511" s="5" t="s">
        <v>13086</v>
      </c>
    </row>
    <row r="4512" spans="1:8" x14ac:dyDescent="0.25">
      <c r="A4512" s="2" t="s">
        <v>4534</v>
      </c>
      <c r="B4512" s="3" t="s">
        <v>42</v>
      </c>
      <c r="C4512" s="3"/>
      <c r="D4512" s="3"/>
      <c r="E4512" s="5" t="str">
        <f>HYPERLINK("https://dpmzos25m8ivg.cloudfront.net/Documentos/631/10142158704/6311014215870405092023231435.pdf","https://dpmzos25m8ivg.cloudfront.net/Documentos/631/10142158704/6311014215870405092023231435.pdf")</f>
        <v>https://dpmzos25m8ivg.cloudfront.net/Documentos/631/10142158704/6311014215870405092023231435.pdf</v>
      </c>
      <c r="F4512" s="5" t="str">
        <f>HYPERLINK("https://dpmzos25m8ivg.cloudfront.net/Documentos/631/10142158704/6311014215870405092023231449.pdf","https://dpmzos25m8ivg.cloudfront.net/Documentos/631/10142158704/6311014215870405092023231449.pdf")</f>
        <v>https://dpmzos25m8ivg.cloudfront.net/Documentos/631/10142158704/6311014215870405092023231449.pdf</v>
      </c>
      <c r="G4512" s="5" t="str">
        <f>HYPERLINK("https://dpmzos25m8ivg.cloudfront.net/Documentos/631/10142158704/6311014215870405092023231509.pdf","https://dpmzos25m8ivg.cloudfront.net/Documentos/631/10142158704/6311014215870405092023231509.pdf")</f>
        <v>https://dpmzos25m8ivg.cloudfront.net/Documentos/631/10142158704/6311014215870405092023231509.pdf</v>
      </c>
      <c r="H4512" s="5" t="s">
        <v>13087</v>
      </c>
    </row>
    <row r="4513" spans="1:8" x14ac:dyDescent="0.25">
      <c r="A4513" s="2" t="s">
        <v>4535</v>
      </c>
      <c r="B4513" s="3"/>
      <c r="C4513" s="3"/>
      <c r="D4513" s="3"/>
      <c r="E4513" s="5" t="str">
        <f>HYPERLINK("https://dpmzos25m8ivg.cloudfront.net/Documentos/631/10143527460/6311014352746005092023164106.pdf","https://dpmzos25m8ivg.cloudfront.net/Documentos/631/10143527460/6311014352746005092023164106.pdf")</f>
        <v>https://dpmzos25m8ivg.cloudfront.net/Documentos/631/10143527460/6311014352746005092023164106.pdf</v>
      </c>
      <c r="F4513" s="5" t="str">
        <f>HYPERLINK("https://dpmzos25m8ivg.cloudfront.net/Documentos/631/10143527460/6311014352746005092023164130.pdf","https://dpmzos25m8ivg.cloudfront.net/Documentos/631/10143527460/6311014352746005092023164130.pdf")</f>
        <v>https://dpmzos25m8ivg.cloudfront.net/Documentos/631/10143527460/6311014352746005092023164130.pdf</v>
      </c>
      <c r="G4513" s="5" t="str">
        <f>HYPERLINK("https://dpmzos25m8ivg.cloudfront.net/Documentos/631/10143527460/6311014352746005092023164159.pdf","https://dpmzos25m8ivg.cloudfront.net/Documentos/631/10143527460/6311014352746005092023164159.pdf")</f>
        <v>https://dpmzos25m8ivg.cloudfront.net/Documentos/631/10143527460/6311014352746005092023164159.pdf</v>
      </c>
      <c r="H4513" s="5" t="s">
        <v>13088</v>
      </c>
    </row>
    <row r="4514" spans="1:8" x14ac:dyDescent="0.25">
      <c r="A4514" s="2" t="s">
        <v>4536</v>
      </c>
      <c r="B4514" s="3"/>
      <c r="C4514" s="3"/>
      <c r="D4514" s="3"/>
      <c r="E4514" s="5" t="str">
        <f>HYPERLINK("https://dpmzos25m8ivg.cloudfront.net/Documentos/631/10144459736/6311014445973608092023135658.jpg","https://dpmzos25m8ivg.cloudfront.net/Documentos/631/10144459736/6311014445973608092023135658.jpg")</f>
        <v>https://dpmzos25m8ivg.cloudfront.net/Documentos/631/10144459736/6311014445973608092023135658.jpg</v>
      </c>
      <c r="F4514" s="5" t="str">
        <f>HYPERLINK("https://dpmzos25m8ivg.cloudfront.net/Documentos/631/10144459736/6311014445973608092023135720.jpg","https://dpmzos25m8ivg.cloudfront.net/Documentos/631/10144459736/6311014445973608092023135720.jpg")</f>
        <v>https://dpmzos25m8ivg.cloudfront.net/Documentos/631/10144459736/6311014445973608092023135720.jpg</v>
      </c>
      <c r="G4514" s="5" t="str">
        <f>HYPERLINK("https://dpmzos25m8ivg.cloudfront.net/Documentos/631/10144459736/6311014445973608092023135757.jpg","https://dpmzos25m8ivg.cloudfront.net/Documentos/631/10144459736/6311014445973608092023135757.jpg")</f>
        <v>https://dpmzos25m8ivg.cloudfront.net/Documentos/631/10144459736/6311014445973608092023135757.jpg</v>
      </c>
      <c r="H4514" s="5" t="s">
        <v>13089</v>
      </c>
    </row>
    <row r="4515" spans="1:8" x14ac:dyDescent="0.25">
      <c r="A4515" s="2" t="s">
        <v>4537</v>
      </c>
      <c r="B4515" s="3"/>
      <c r="C4515" s="3"/>
      <c r="D4515" s="3"/>
      <c r="E4515" s="5" t="str">
        <f>HYPERLINK("https://dpmzos25m8ivg.cloudfront.net/Documentos/631/10157467481/6311015746748110092023191247.pdf","https://dpmzos25m8ivg.cloudfront.net/Documentos/631/10157467481/6311015746748110092023191247.pdf")</f>
        <v>https://dpmzos25m8ivg.cloudfront.net/Documentos/631/10157467481/6311015746748110092023191247.pdf</v>
      </c>
      <c r="F4515" s="5" t="str">
        <f>HYPERLINK("https://dpmzos25m8ivg.cloudfront.net/Documentos/631/10157467481/6311015746748110092023230503.jpg","https://dpmzos25m8ivg.cloudfront.net/Documentos/631/10157467481/6311015746748110092023230503.jpg")</f>
        <v>https://dpmzos25m8ivg.cloudfront.net/Documentos/631/10157467481/6311015746748110092023230503.jpg</v>
      </c>
      <c r="G4515" s="5" t="str">
        <f>HYPERLINK("https://dpmzos25m8ivg.cloudfront.net/Documentos/631/10157467481/6311015746748110092023191344.pdf","https://dpmzos25m8ivg.cloudfront.net/Documentos/631/10157467481/6311015746748110092023191344.pdf")</f>
        <v>https://dpmzos25m8ivg.cloudfront.net/Documentos/631/10157467481/6311015746748110092023191344.pdf</v>
      </c>
      <c r="H4515" s="5" t="s">
        <v>13090</v>
      </c>
    </row>
    <row r="4516" spans="1:8" x14ac:dyDescent="0.25">
      <c r="A4516" s="2" t="s">
        <v>4538</v>
      </c>
      <c r="B4516" s="3"/>
      <c r="C4516" s="3"/>
      <c r="D4516" s="3"/>
      <c r="E4516" s="5" t="str">
        <f>HYPERLINK("https://dpmzos25m8ivg.cloudfront.net/Documentos/631/10159900450/6311015990045005092023171554.pdf","https://dpmzos25m8ivg.cloudfront.net/Documentos/631/10159900450/6311015990045005092023171554.pdf")</f>
        <v>https://dpmzos25m8ivg.cloudfront.net/Documentos/631/10159900450/6311015990045005092023171554.pdf</v>
      </c>
      <c r="F4516" s="5" t="str">
        <f>HYPERLINK("https://dpmzos25m8ivg.cloudfront.net/Documentos/631/10159900450/6311015990045005092023173213.pdf","https://dpmzos25m8ivg.cloudfront.net/Documentos/631/10159900450/6311015990045005092023173213.pdf")</f>
        <v>https://dpmzos25m8ivg.cloudfront.net/Documentos/631/10159900450/6311015990045005092023173213.pdf</v>
      </c>
      <c r="G4516" s="5" t="str">
        <f>HYPERLINK("https://dpmzos25m8ivg.cloudfront.net/Documentos/631/10159900450/6311015990045005092023173226.pdf","https://dpmzos25m8ivg.cloudfront.net/Documentos/631/10159900450/6311015990045005092023173226.pdf")</f>
        <v>https://dpmzos25m8ivg.cloudfront.net/Documentos/631/10159900450/6311015990045005092023173226.pdf</v>
      </c>
      <c r="H4516" s="5" t="s">
        <v>13091</v>
      </c>
    </row>
    <row r="4517" spans="1:8" x14ac:dyDescent="0.25">
      <c r="A4517" s="2" t="s">
        <v>4539</v>
      </c>
      <c r="B4517" s="3"/>
      <c r="C4517" s="3"/>
      <c r="D4517" s="3"/>
      <c r="E4517" s="5" t="str">
        <f>HYPERLINK("https://dpmzos25m8ivg.cloudfront.net/Documentos/631/10159972604/6311015997260411092023080151.pdf","https://dpmzos25m8ivg.cloudfront.net/Documentos/631/10159972604/6311015997260411092023080151.pdf")</f>
        <v>https://dpmzos25m8ivg.cloudfront.net/Documentos/631/10159972604/6311015997260411092023080151.pdf</v>
      </c>
      <c r="F4517" s="5" t="str">
        <f>HYPERLINK("https://dpmzos25m8ivg.cloudfront.net/Documentos/631/10159972604/6311015997260411092023080204.pdf","https://dpmzos25m8ivg.cloudfront.net/Documentos/631/10159972604/6311015997260411092023080204.pdf")</f>
        <v>https://dpmzos25m8ivg.cloudfront.net/Documentos/631/10159972604/6311015997260411092023080204.pdf</v>
      </c>
      <c r="G4517" s="5" t="str">
        <f>HYPERLINK("https://dpmzos25m8ivg.cloudfront.net/Documentos/631/10159972604/6311015997260411092023080216.pdf","https://dpmzos25m8ivg.cloudfront.net/Documentos/631/10159972604/6311015997260411092023080216.pdf")</f>
        <v>https://dpmzos25m8ivg.cloudfront.net/Documentos/631/10159972604/6311015997260411092023080216.pdf</v>
      </c>
      <c r="H4517" s="5" t="s">
        <v>13092</v>
      </c>
    </row>
    <row r="4518" spans="1:8" x14ac:dyDescent="0.25">
      <c r="A4518" s="2" t="s">
        <v>4540</v>
      </c>
      <c r="B4518" s="3" t="s">
        <v>8</v>
      </c>
      <c r="C4518" s="3"/>
      <c r="D4518" s="3"/>
      <c r="E4518" s="5" t="str">
        <f>HYPERLINK("https://dpmzos25m8ivg.cloudfront.net/Documentos/631/10161194966/6311016119496613092023125513.jpg","https://dpmzos25m8ivg.cloudfront.net/Documentos/631/10161194966/6311016119496613092023125513.jpg")</f>
        <v>https://dpmzos25m8ivg.cloudfront.net/Documentos/631/10161194966/6311016119496613092023125513.jpg</v>
      </c>
      <c r="F4518" s="5" t="str">
        <f>HYPERLINK("https://dpmzos25m8ivg.cloudfront.net/Documentos/631/10161194966/6311016119496613092023125520.jpg","https://dpmzos25m8ivg.cloudfront.net/Documentos/631/10161194966/6311016119496613092023125520.jpg")</f>
        <v>https://dpmzos25m8ivg.cloudfront.net/Documentos/631/10161194966/6311016119496613092023125520.jpg</v>
      </c>
      <c r="G4518" s="5" t="str">
        <f>HYPERLINK("https://dpmzos25m8ivg.cloudfront.net/Documentos/631/10161194966/6311016119496613092023125527.jpg","https://dpmzos25m8ivg.cloudfront.net/Documentos/631/10161194966/6311016119496613092023125527.jpg")</f>
        <v>https://dpmzos25m8ivg.cloudfront.net/Documentos/631/10161194966/6311016119496613092023125527.jpg</v>
      </c>
      <c r="H4518" s="5" t="s">
        <v>13093</v>
      </c>
    </row>
    <row r="4519" spans="1:8" x14ac:dyDescent="0.25">
      <c r="A4519" s="2" t="s">
        <v>4541</v>
      </c>
      <c r="B4519" s="3" t="s">
        <v>42</v>
      </c>
      <c r="C4519" s="3"/>
      <c r="D4519" s="3"/>
      <c r="E4519" s="5" t="str">
        <f>HYPERLINK("https://dpmzos25m8ivg.cloudfront.net/Documentos/631/10164328955/6311016432895511092023155047.pdf","https://dpmzos25m8ivg.cloudfront.net/Documentos/631/10164328955/6311016432895511092023155047.pdf")</f>
        <v>https://dpmzos25m8ivg.cloudfront.net/Documentos/631/10164328955/6311016432895511092023155047.pdf</v>
      </c>
      <c r="F4519" s="5" t="str">
        <f>HYPERLINK("https://dpmzos25m8ivg.cloudfront.net/Documentos/631/10164328955/6311016432895511092023155101.pdf","https://dpmzos25m8ivg.cloudfront.net/Documentos/631/10164328955/6311016432895511092023155101.pdf")</f>
        <v>https://dpmzos25m8ivg.cloudfront.net/Documentos/631/10164328955/6311016432895511092023155101.pdf</v>
      </c>
      <c r="G4519" s="5" t="str">
        <f>HYPERLINK("https://dpmzos25m8ivg.cloudfront.net/Documentos/631/10164328955/6311016432895511092023155115.pdf","https://dpmzos25m8ivg.cloudfront.net/Documentos/631/10164328955/6311016432895511092023155115.pdf")</f>
        <v>https://dpmzos25m8ivg.cloudfront.net/Documentos/631/10164328955/6311016432895511092023155115.pdf</v>
      </c>
      <c r="H4519" s="5" t="s">
        <v>13094</v>
      </c>
    </row>
    <row r="4520" spans="1:8" x14ac:dyDescent="0.25">
      <c r="A4520" s="2" t="s">
        <v>4542</v>
      </c>
      <c r="B4520" s="3"/>
      <c r="C4520" s="3"/>
      <c r="D4520" s="3"/>
      <c r="E4520" s="5" t="str">
        <f>HYPERLINK("https://dpmzos25m8ivg.cloudfront.net/Documentos/631/10171808495/6311017180849511092023144911.pdf","https://dpmzos25m8ivg.cloudfront.net/Documentos/631/10171808495/6311017180849511092023144911.pdf")</f>
        <v>https://dpmzos25m8ivg.cloudfront.net/Documentos/631/10171808495/6311017180849511092023144911.pdf</v>
      </c>
      <c r="F4520" s="5" t="str">
        <f>HYPERLINK("https://dpmzos25m8ivg.cloudfront.net/Documentos/631/10171808495/6311017180849511092023144927.pdf","https://dpmzos25m8ivg.cloudfront.net/Documentos/631/10171808495/6311017180849511092023144927.pdf")</f>
        <v>https://dpmzos25m8ivg.cloudfront.net/Documentos/631/10171808495/6311017180849511092023144927.pdf</v>
      </c>
      <c r="G4520" s="5" t="str">
        <f>HYPERLINK("https://dpmzos25m8ivg.cloudfront.net/Documentos/631/10171808495/6311017180849511092023144939.pdf","https://dpmzos25m8ivg.cloudfront.net/Documentos/631/10171808495/6311017180849511092023144939.pdf")</f>
        <v>https://dpmzos25m8ivg.cloudfront.net/Documentos/631/10171808495/6311017180849511092023144939.pdf</v>
      </c>
      <c r="H4520" s="5" t="s">
        <v>13095</v>
      </c>
    </row>
    <row r="4521" spans="1:8" x14ac:dyDescent="0.25">
      <c r="A4521" s="2" t="s">
        <v>4543</v>
      </c>
      <c r="B4521" s="19" t="s">
        <v>3385</v>
      </c>
      <c r="C4521" s="3"/>
      <c r="D4521" s="3"/>
      <c r="E4521" s="5" t="str">
        <f>HYPERLINK("https://dpmzos25m8ivg.cloudfront.net/Documentos/631/10174058403/6311017405840313092023224114.jpeg","https://dpmzos25m8ivg.cloudfront.net/Documentos/631/10174058403/6311017405840313092023224114.jpeg")</f>
        <v>https://dpmzos25m8ivg.cloudfront.net/Documentos/631/10174058403/6311017405840313092023224114.jpeg</v>
      </c>
      <c r="F4521" s="5" t="str">
        <f>HYPERLINK("https://dpmzos25m8ivg.cloudfront.net/Documentos/631/10174058403/6311017405840313092023224200.jpeg","https://dpmzos25m8ivg.cloudfront.net/Documentos/631/10174058403/6311017405840313092023224200.jpeg")</f>
        <v>https://dpmzos25m8ivg.cloudfront.net/Documentos/631/10174058403/6311017405840313092023224200.jpeg</v>
      </c>
      <c r="G4521" s="5" t="str">
        <f>HYPERLINK("https://dpmzos25m8ivg.cloudfront.net/Documentos/631/10174058403/6311017405840313092023224249.jpeg","https://dpmzos25m8ivg.cloudfront.net/Documentos/631/10174058403/6311017405840313092023224249.jpeg")</f>
        <v>https://dpmzos25m8ivg.cloudfront.net/Documentos/631/10174058403/6311017405840313092023224249.jpeg</v>
      </c>
      <c r="H4521" s="5" t="s">
        <v>13096</v>
      </c>
    </row>
    <row r="4522" spans="1:8" x14ac:dyDescent="0.25">
      <c r="A4522" s="2" t="s">
        <v>4544</v>
      </c>
      <c r="B4522" s="3" t="s">
        <v>42</v>
      </c>
      <c r="C4522" s="3"/>
      <c r="D4522" s="3"/>
      <c r="E4522" s="5" t="str">
        <f>HYPERLINK("https://dpmzos25m8ivg.cloudfront.net/Documentos/631/10175519447/6311017551944704092023190902.pdf","https://dpmzos25m8ivg.cloudfront.net/Documentos/631/10175519447/6311017551944704092023190902.pdf")</f>
        <v>https://dpmzos25m8ivg.cloudfront.net/Documentos/631/10175519447/6311017551944704092023190902.pdf</v>
      </c>
      <c r="F4522" s="5" t="str">
        <f>HYPERLINK("https://dpmzos25m8ivg.cloudfront.net/Documentos/631/10175519447/6311017551944704092023191055.pdf","https://dpmzos25m8ivg.cloudfront.net/Documentos/631/10175519447/6311017551944704092023191055.pdf")</f>
        <v>https://dpmzos25m8ivg.cloudfront.net/Documentos/631/10175519447/6311017551944704092023191055.pdf</v>
      </c>
      <c r="G4522" s="5" t="str">
        <f>HYPERLINK("https://dpmzos25m8ivg.cloudfront.net/Documentos/631/10175519447/6311017551944704092023191427.pdf","https://dpmzos25m8ivg.cloudfront.net/Documentos/631/10175519447/6311017551944704092023191427.pdf")</f>
        <v>https://dpmzos25m8ivg.cloudfront.net/Documentos/631/10175519447/6311017551944704092023191427.pdf</v>
      </c>
      <c r="H4522" s="5" t="s">
        <v>13097</v>
      </c>
    </row>
    <row r="4523" spans="1:8" x14ac:dyDescent="0.25">
      <c r="A4523" s="2" t="s">
        <v>4545</v>
      </c>
      <c r="B4523" s="3"/>
      <c r="C4523" s="3"/>
      <c r="D4523" s="3"/>
      <c r="E4523" s="5" t="str">
        <f>HYPERLINK("https://dpmzos25m8ivg.cloudfront.net/Documentos/631/10179065483/6311017906548310092023190905.jpg","https://dpmzos25m8ivg.cloudfront.net/Documentos/631/10179065483/6311017906548310092023190905.jpg")</f>
        <v>https://dpmzos25m8ivg.cloudfront.net/Documentos/631/10179065483/6311017906548310092023190905.jpg</v>
      </c>
      <c r="F4523" s="5" t="str">
        <f>HYPERLINK("https://dpmzos25m8ivg.cloudfront.net/Documentos/631/10179065483/6311017906548310092023190921.jpg","https://dpmzos25m8ivg.cloudfront.net/Documentos/631/10179065483/6311017906548310092023190921.jpg")</f>
        <v>https://dpmzos25m8ivg.cloudfront.net/Documentos/631/10179065483/6311017906548310092023190921.jpg</v>
      </c>
      <c r="G4523" s="5" t="str">
        <f>HYPERLINK("https://dpmzos25m8ivg.cloudfront.net/Documentos/631/10179065483/6311017906548310092023190947.jpg","https://dpmzos25m8ivg.cloudfront.net/Documentos/631/10179065483/6311017906548310092023190947.jpg")</f>
        <v>https://dpmzos25m8ivg.cloudfront.net/Documentos/631/10179065483/6311017906548310092023190947.jpg</v>
      </c>
      <c r="H4523" s="5" t="s">
        <v>13098</v>
      </c>
    </row>
    <row r="4524" spans="1:8" x14ac:dyDescent="0.25">
      <c r="A4524" s="2" t="s">
        <v>4546</v>
      </c>
      <c r="B4524" s="3"/>
      <c r="C4524" s="3"/>
      <c r="D4524" s="3"/>
      <c r="E4524" s="5" t="str">
        <f>HYPERLINK("https://dpmzos25m8ivg.cloudfront.net/Documentos/631/10182405435/6311018240543506092023220046.jpg","https://dpmzos25m8ivg.cloudfront.net/Documentos/631/10182405435/6311018240543506092023220046.jpg")</f>
        <v>https://dpmzos25m8ivg.cloudfront.net/Documentos/631/10182405435/6311018240543506092023220046.jpg</v>
      </c>
      <c r="F4524" s="5" t="str">
        <f>HYPERLINK("https://dpmzos25m8ivg.cloudfront.net/Documentos/631/10182405435/6311018240543506092023220057.jpg","https://dpmzos25m8ivg.cloudfront.net/Documentos/631/10182405435/6311018240543506092023220057.jpg")</f>
        <v>https://dpmzos25m8ivg.cloudfront.net/Documentos/631/10182405435/6311018240543506092023220057.jpg</v>
      </c>
      <c r="G4524" s="5" t="str">
        <f>HYPERLINK("https://dpmzos25m8ivg.cloudfront.net/Documentos/631/10182405435/6311018240543506092023220109.jpg","https://dpmzos25m8ivg.cloudfront.net/Documentos/631/10182405435/6311018240543506092023220109.jpg")</f>
        <v>https://dpmzos25m8ivg.cloudfront.net/Documentos/631/10182405435/6311018240543506092023220109.jpg</v>
      </c>
      <c r="H4524" s="5" t="s">
        <v>13099</v>
      </c>
    </row>
    <row r="4525" spans="1:8" x14ac:dyDescent="0.25">
      <c r="A4525" s="2" t="s">
        <v>4547</v>
      </c>
      <c r="B4525" s="19" t="s">
        <v>3385</v>
      </c>
      <c r="C4525" s="3"/>
      <c r="D4525" s="3"/>
      <c r="E4525" s="5" t="str">
        <f>HYPERLINK("https://dpmzos25m8ivg.cloudfront.net/Documentos/631/10184134480/6311018413448010092023123334.pdf","https://dpmzos25m8ivg.cloudfront.net/Documentos/631/10184134480/6311018413448010092023123334.pdf")</f>
        <v>https://dpmzos25m8ivg.cloudfront.net/Documentos/631/10184134480/6311018413448010092023123334.pdf</v>
      </c>
      <c r="F4525" s="5" t="str">
        <f>HYPERLINK("https://dpmzos25m8ivg.cloudfront.net/Documentos/631/10184134480/6311018413448010092023123347.pdf","https://dpmzos25m8ivg.cloudfront.net/Documentos/631/10184134480/6311018413448010092023123347.pdf")</f>
        <v>https://dpmzos25m8ivg.cloudfront.net/Documentos/631/10184134480/6311018413448010092023123347.pdf</v>
      </c>
      <c r="G4525" s="5" t="str">
        <f>HYPERLINK("https://dpmzos25m8ivg.cloudfront.net/Documentos/631/10184134480/6311018413448010092023123358.pdf","https://dpmzos25m8ivg.cloudfront.net/Documentos/631/10184134480/6311018413448010092023123358.pdf")</f>
        <v>https://dpmzos25m8ivg.cloudfront.net/Documentos/631/10184134480/6311018413448010092023123358.pdf</v>
      </c>
      <c r="H4525" s="5" t="s">
        <v>13100</v>
      </c>
    </row>
    <row r="4526" spans="1:8" x14ac:dyDescent="0.25">
      <c r="A4526" s="2" t="s">
        <v>4548</v>
      </c>
      <c r="B4526" s="3"/>
      <c r="C4526" s="3"/>
      <c r="D4526" s="3"/>
      <c r="E4526" s="5" t="str">
        <f>HYPERLINK("https://dpmzos25m8ivg.cloudfront.net/Documentos/631/10185926959/6311018592695910092023220847.pdf","https://dpmzos25m8ivg.cloudfront.net/Documentos/631/10185926959/6311018592695910092023220847.pdf")</f>
        <v>https://dpmzos25m8ivg.cloudfront.net/Documentos/631/10185926959/6311018592695910092023220847.pdf</v>
      </c>
      <c r="F4526" s="5" t="str">
        <f>HYPERLINK("https://dpmzos25m8ivg.cloudfront.net/Documentos/631/10185926959/6311018592695910092023220905.pdf","https://dpmzos25m8ivg.cloudfront.net/Documentos/631/10185926959/6311018592695910092023220905.pdf")</f>
        <v>https://dpmzos25m8ivg.cloudfront.net/Documentos/631/10185926959/6311018592695910092023220905.pdf</v>
      </c>
      <c r="G4526" s="5" t="str">
        <f>HYPERLINK("https://dpmzos25m8ivg.cloudfront.net/Documentos/631/10185926959/6311018592695910092023220922.pdf","https://dpmzos25m8ivg.cloudfront.net/Documentos/631/10185926959/6311018592695910092023220922.pdf")</f>
        <v>https://dpmzos25m8ivg.cloudfront.net/Documentos/631/10185926959/6311018592695910092023220922.pdf</v>
      </c>
      <c r="H4526" s="5" t="s">
        <v>13101</v>
      </c>
    </row>
    <row r="4527" spans="1:8" x14ac:dyDescent="0.25">
      <c r="A4527" s="2" t="s">
        <v>4549</v>
      </c>
      <c r="B4527" s="3"/>
      <c r="C4527" s="3"/>
      <c r="D4527" s="3"/>
      <c r="E4527" s="5" t="str">
        <f>HYPERLINK("https://dpmzos25m8ivg.cloudfront.net/Documentos/631/10186156448/6311018615644814092023134354.jpg","https://dpmzos25m8ivg.cloudfront.net/Documentos/631/10186156448/6311018615644814092023134354.jpg")</f>
        <v>https://dpmzos25m8ivg.cloudfront.net/Documentos/631/10186156448/6311018615644814092023134354.jpg</v>
      </c>
      <c r="F4527" s="5" t="str">
        <f>HYPERLINK("https://dpmzos25m8ivg.cloudfront.net/Documentos/631/10186156448/6311018615644814092023134456.jpeg","https://dpmzos25m8ivg.cloudfront.net/Documentos/631/10186156448/6311018615644814092023134456.jpeg")</f>
        <v>https://dpmzos25m8ivg.cloudfront.net/Documentos/631/10186156448/6311018615644814092023134456.jpeg</v>
      </c>
      <c r="G4527" s="5" t="str">
        <f>HYPERLINK("https://dpmzos25m8ivg.cloudfront.net/Documentos/631/10186156448/6311018615644814092023134524.jpeg","https://dpmzos25m8ivg.cloudfront.net/Documentos/631/10186156448/6311018615644814092023134524.jpeg")</f>
        <v>https://dpmzos25m8ivg.cloudfront.net/Documentos/631/10186156448/6311018615644814092023134524.jpeg</v>
      </c>
      <c r="H4527" s="5" t="s">
        <v>13102</v>
      </c>
    </row>
    <row r="4528" spans="1:8" x14ac:dyDescent="0.25">
      <c r="A4528" s="2" t="s">
        <v>4550</v>
      </c>
      <c r="B4528" s="3"/>
      <c r="C4528" s="3"/>
      <c r="D4528" s="3"/>
      <c r="E4528" s="5" t="str">
        <f>HYPERLINK("https://dpmzos25m8ivg.cloudfront.net/Documentos/631/10191347477/6311019134747708092023153548.pdf","https://dpmzos25m8ivg.cloudfront.net/Documentos/631/10191347477/6311019134747708092023153548.pdf")</f>
        <v>https://dpmzos25m8ivg.cloudfront.net/Documentos/631/10191347477/6311019134747708092023153548.pdf</v>
      </c>
      <c r="F4528" s="5" t="str">
        <f>HYPERLINK("https://dpmzos25m8ivg.cloudfront.net/Documentos/631/10191347477/6311019134747708092023153613.pdf","https://dpmzos25m8ivg.cloudfront.net/Documentos/631/10191347477/6311019134747708092023153613.pdf")</f>
        <v>https://dpmzos25m8ivg.cloudfront.net/Documentos/631/10191347477/6311019134747708092023153613.pdf</v>
      </c>
      <c r="G4528" s="5" t="str">
        <f>HYPERLINK("https://dpmzos25m8ivg.cloudfront.net/Documentos/631/10191347477/6311019134747708092023153630.pdf","https://dpmzos25m8ivg.cloudfront.net/Documentos/631/10191347477/6311019134747708092023153630.pdf")</f>
        <v>https://dpmzos25m8ivg.cloudfront.net/Documentos/631/10191347477/6311019134747708092023153630.pdf</v>
      </c>
      <c r="H4528" s="5" t="s">
        <v>13103</v>
      </c>
    </row>
    <row r="4529" spans="1:8" x14ac:dyDescent="0.25">
      <c r="A4529" s="2" t="s">
        <v>4551</v>
      </c>
      <c r="B4529" s="3"/>
      <c r="C4529" s="3"/>
      <c r="D4529" s="3"/>
      <c r="E4529" s="5" t="str">
        <f>HYPERLINK("https://dpmzos25m8ivg.cloudfront.net/Documentos/631/10192961438/6311019296143811092023164932.jpg","https://dpmzos25m8ivg.cloudfront.net/Documentos/631/10192961438/6311019296143811092023164932.jpg")</f>
        <v>https://dpmzos25m8ivg.cloudfront.net/Documentos/631/10192961438/6311019296143811092023164932.jpg</v>
      </c>
      <c r="F4529" s="5" t="str">
        <f>HYPERLINK("https://dpmzos25m8ivg.cloudfront.net/Documentos/631/10192961438/6311019296143811092023165218.jpg","https://dpmzos25m8ivg.cloudfront.net/Documentos/631/10192961438/6311019296143811092023165218.jpg")</f>
        <v>https://dpmzos25m8ivg.cloudfront.net/Documentos/631/10192961438/6311019296143811092023165218.jpg</v>
      </c>
      <c r="G4529" s="5" t="str">
        <f>HYPERLINK("https://dpmzos25m8ivg.cloudfront.net/Documentos/631/10192961438/6311019296143811092023165233.jpg","https://dpmzos25m8ivg.cloudfront.net/Documentos/631/10192961438/6311019296143811092023165233.jpg")</f>
        <v>https://dpmzos25m8ivg.cloudfront.net/Documentos/631/10192961438/6311019296143811092023165233.jpg</v>
      </c>
      <c r="H4529" s="5" t="s">
        <v>13104</v>
      </c>
    </row>
    <row r="4530" spans="1:8" x14ac:dyDescent="0.25">
      <c r="A4530" s="2" t="s">
        <v>4552</v>
      </c>
      <c r="B4530" s="3"/>
      <c r="C4530" s="3"/>
      <c r="D4530" s="3"/>
      <c r="E4530" s="5" t="str">
        <f>HYPERLINK("https://dpmzos25m8ivg.cloudfront.net/Documentos/631/10194040941/6311019404094110092023190120.pdf","https://dpmzos25m8ivg.cloudfront.net/Documentos/631/10194040941/6311019404094110092023190120.pdf")</f>
        <v>https://dpmzos25m8ivg.cloudfront.net/Documentos/631/10194040941/6311019404094110092023190120.pdf</v>
      </c>
      <c r="F4530" s="5" t="str">
        <f>HYPERLINK("https://dpmzos25m8ivg.cloudfront.net/Documentos/631/10194040941/6311019404094110092023190136.pdf","https://dpmzos25m8ivg.cloudfront.net/Documentos/631/10194040941/6311019404094110092023190136.pdf")</f>
        <v>https://dpmzos25m8ivg.cloudfront.net/Documentos/631/10194040941/6311019404094110092023190136.pdf</v>
      </c>
      <c r="G4530" s="5" t="str">
        <f>HYPERLINK("https://dpmzos25m8ivg.cloudfront.net/Documentos/631/10194040941/6311019404094110092023190148.pdf","https://dpmzos25m8ivg.cloudfront.net/Documentos/631/10194040941/6311019404094110092023190148.pdf")</f>
        <v>https://dpmzos25m8ivg.cloudfront.net/Documentos/631/10194040941/6311019404094110092023190148.pdf</v>
      </c>
      <c r="H4530" s="5" t="s">
        <v>13105</v>
      </c>
    </row>
    <row r="4531" spans="1:8" x14ac:dyDescent="0.25">
      <c r="A4531" s="2" t="s">
        <v>4553</v>
      </c>
      <c r="B4531" s="3" t="s">
        <v>8</v>
      </c>
      <c r="C4531" s="3"/>
      <c r="D4531" s="3"/>
      <c r="E4531" s="5" t="str">
        <f>HYPERLINK("https://dpmzos25m8ivg.cloudfront.net/Documentos/631/10197069967/6311019706996705092023133423.pdf","https://dpmzos25m8ivg.cloudfront.net/Documentos/631/10197069967/6311019706996705092023133423.pdf")</f>
        <v>https://dpmzos25m8ivg.cloudfront.net/Documentos/631/10197069967/6311019706996705092023133423.pdf</v>
      </c>
      <c r="F4531" s="5" t="str">
        <f>HYPERLINK("https://dpmzos25m8ivg.cloudfront.net/Documentos/631/10197069967/6311019706996705092023133431.pdf","https://dpmzos25m8ivg.cloudfront.net/Documentos/631/10197069967/6311019706996705092023133431.pdf")</f>
        <v>https://dpmzos25m8ivg.cloudfront.net/Documentos/631/10197069967/6311019706996705092023133431.pdf</v>
      </c>
      <c r="G4531" s="5" t="str">
        <f>HYPERLINK("https://dpmzos25m8ivg.cloudfront.net/Documentos/631/10197069967/6311019706996705092023133438.pdf","https://dpmzos25m8ivg.cloudfront.net/Documentos/631/10197069967/6311019706996705092023133438.pdf")</f>
        <v>https://dpmzos25m8ivg.cloudfront.net/Documentos/631/10197069967/6311019706996705092023133438.pdf</v>
      </c>
      <c r="H4531" s="5" t="s">
        <v>13106</v>
      </c>
    </row>
    <row r="4532" spans="1:8" x14ac:dyDescent="0.25">
      <c r="A4532" s="2" t="s">
        <v>4554</v>
      </c>
      <c r="B4532" s="3"/>
      <c r="C4532" s="3"/>
      <c r="D4532" s="3"/>
      <c r="E4532" s="5" t="str">
        <f>HYPERLINK("https://dpmzos25m8ivg.cloudfront.net/Documentos/631/10203873432/6311020387343211092023152352.pdf","https://dpmzos25m8ivg.cloudfront.net/Documentos/631/10203873432/6311020387343211092023152352.pdf")</f>
        <v>https://dpmzos25m8ivg.cloudfront.net/Documentos/631/10203873432/6311020387343211092023152352.pdf</v>
      </c>
      <c r="F4532" s="5" t="str">
        <f>HYPERLINK("https://dpmzos25m8ivg.cloudfront.net/Documentos/631/10203873432/6311020387343211092023152402.pdf","https://dpmzos25m8ivg.cloudfront.net/Documentos/631/10203873432/6311020387343211092023152402.pdf")</f>
        <v>https://dpmzos25m8ivg.cloudfront.net/Documentos/631/10203873432/6311020387343211092023152402.pdf</v>
      </c>
      <c r="G4532" s="5" t="str">
        <f>HYPERLINK("https://dpmzos25m8ivg.cloudfront.net/Documentos/631/10203873432/6311020387343211092023152412.pdf","https://dpmzos25m8ivg.cloudfront.net/Documentos/631/10203873432/6311020387343211092023152412.pdf")</f>
        <v>https://dpmzos25m8ivg.cloudfront.net/Documentos/631/10203873432/6311020387343211092023152412.pdf</v>
      </c>
      <c r="H4532" s="5" t="s">
        <v>13107</v>
      </c>
    </row>
    <row r="4533" spans="1:8" x14ac:dyDescent="0.25">
      <c r="A4533" s="2" t="s">
        <v>4555</v>
      </c>
      <c r="B4533" s="3"/>
      <c r="C4533" s="3"/>
      <c r="D4533" s="3"/>
      <c r="E4533" s="5" t="str">
        <f>HYPERLINK("https://dpmzos25m8ivg.cloudfront.net/Documentos/631/10205131603/6311020513160311092023164510.pdf","https://dpmzos25m8ivg.cloudfront.net/Documentos/631/10205131603/6311020513160311092023164510.pdf")</f>
        <v>https://dpmzos25m8ivg.cloudfront.net/Documentos/631/10205131603/6311020513160311092023164510.pdf</v>
      </c>
      <c r="F4533" s="5" t="str">
        <f>HYPERLINK("https://dpmzos25m8ivg.cloudfront.net/Documentos/631/10205131603/6311020513160311092023164522.pdf","https://dpmzos25m8ivg.cloudfront.net/Documentos/631/10205131603/6311020513160311092023164522.pdf")</f>
        <v>https://dpmzos25m8ivg.cloudfront.net/Documentos/631/10205131603/6311020513160311092023164522.pdf</v>
      </c>
      <c r="G4533" s="5" t="str">
        <f>HYPERLINK("https://dpmzos25m8ivg.cloudfront.net/Documentos/631/10205131603/6311020513160311092023164549.pdf","https://dpmzos25m8ivg.cloudfront.net/Documentos/631/10205131603/6311020513160311092023164549.pdf")</f>
        <v>https://dpmzos25m8ivg.cloudfront.net/Documentos/631/10205131603/6311020513160311092023164549.pdf</v>
      </c>
      <c r="H4533" s="5" t="s">
        <v>13108</v>
      </c>
    </row>
    <row r="4534" spans="1:8" x14ac:dyDescent="0.25">
      <c r="A4534" s="2" t="s">
        <v>4556</v>
      </c>
      <c r="B4534" s="3"/>
      <c r="C4534" s="3"/>
      <c r="D4534" s="3"/>
      <c r="E4534" s="5" t="str">
        <f>HYPERLINK("https://dpmzos25m8ivg.cloudfront.net/Documentos/631/10207296944/6311020729694411092023140105.pdf","https://dpmzos25m8ivg.cloudfront.net/Documentos/631/10207296944/6311020729694411092023140105.pdf")</f>
        <v>https://dpmzos25m8ivg.cloudfront.net/Documentos/631/10207296944/6311020729694411092023140105.pdf</v>
      </c>
      <c r="F4534" s="5" t="str">
        <f>HYPERLINK("https://dpmzos25m8ivg.cloudfront.net/Documentos/631/10207296944/6311020729694411092023140115.pdf","https://dpmzos25m8ivg.cloudfront.net/Documentos/631/10207296944/6311020729694411092023140115.pdf")</f>
        <v>https://dpmzos25m8ivg.cloudfront.net/Documentos/631/10207296944/6311020729694411092023140115.pdf</v>
      </c>
      <c r="G4534" s="5" t="str">
        <f>HYPERLINK("https://dpmzos25m8ivg.cloudfront.net/Documentos/631/10207296944/6311020729694411092023140123.pdf","https://dpmzos25m8ivg.cloudfront.net/Documentos/631/10207296944/6311020729694411092023140123.pdf")</f>
        <v>https://dpmzos25m8ivg.cloudfront.net/Documentos/631/10207296944/6311020729694411092023140123.pdf</v>
      </c>
      <c r="H4534" s="5" t="s">
        <v>13109</v>
      </c>
    </row>
    <row r="4535" spans="1:8" x14ac:dyDescent="0.25">
      <c r="A4535" s="2" t="s">
        <v>4557</v>
      </c>
      <c r="B4535" s="3"/>
      <c r="C4535" s="3"/>
      <c r="D4535" s="3"/>
      <c r="E4535" s="5" t="str">
        <f>HYPERLINK("https://dpmzos25m8ivg.cloudfront.net/Documentos/631/10208378707/6311020837870711092023112104.pdf","https://dpmzos25m8ivg.cloudfront.net/Documentos/631/10208378707/6311020837870711092023112104.pdf")</f>
        <v>https://dpmzos25m8ivg.cloudfront.net/Documentos/631/10208378707/6311020837870711092023112104.pdf</v>
      </c>
      <c r="F4535" s="5" t="str">
        <f>HYPERLINK("https://dpmzos25m8ivg.cloudfront.net/Documentos/631/10208378707/6311020837870711092023112137.pdf","https://dpmzos25m8ivg.cloudfront.net/Documentos/631/10208378707/6311020837870711092023112137.pdf")</f>
        <v>https://dpmzos25m8ivg.cloudfront.net/Documentos/631/10208378707/6311020837870711092023112137.pdf</v>
      </c>
      <c r="G4535" s="5" t="str">
        <f>HYPERLINK("https://dpmzos25m8ivg.cloudfront.net/Documentos/631/10208378707/6311020837870711092023112222.pdf","https://dpmzos25m8ivg.cloudfront.net/Documentos/631/10208378707/6311020837870711092023112222.pdf")</f>
        <v>https://dpmzos25m8ivg.cloudfront.net/Documentos/631/10208378707/6311020837870711092023112222.pdf</v>
      </c>
      <c r="H4535" s="5" t="s">
        <v>13110</v>
      </c>
    </row>
    <row r="4536" spans="1:8" x14ac:dyDescent="0.25">
      <c r="A4536" s="2" t="s">
        <v>4558</v>
      </c>
      <c r="B4536" s="3"/>
      <c r="C4536" s="3"/>
      <c r="D4536" s="3"/>
      <c r="E4536" s="5" t="str">
        <f>HYPERLINK("https://dpmzos25m8ivg.cloudfront.net/Documentos/631/10216481759/6311021648175911092023164333.pdf","https://dpmzos25m8ivg.cloudfront.net/Documentos/631/10216481759/6311021648175911092023164333.pdf")</f>
        <v>https://dpmzos25m8ivg.cloudfront.net/Documentos/631/10216481759/6311021648175911092023164333.pdf</v>
      </c>
      <c r="F4536" s="5" t="str">
        <f>HYPERLINK("https://dpmzos25m8ivg.cloudfront.net/Documentos/631/10216481759/6311021648175911092023164353.pdf","https://dpmzos25m8ivg.cloudfront.net/Documentos/631/10216481759/6311021648175911092023164353.pdf")</f>
        <v>https://dpmzos25m8ivg.cloudfront.net/Documentos/631/10216481759/6311021648175911092023164353.pdf</v>
      </c>
      <c r="G4536" s="5" t="str">
        <f>HYPERLINK("https://dpmzos25m8ivg.cloudfront.net/Documentos/631/10216481759/6311021648175911092023164426.pdf","https://dpmzos25m8ivg.cloudfront.net/Documentos/631/10216481759/6311021648175911092023164426.pdf")</f>
        <v>https://dpmzos25m8ivg.cloudfront.net/Documentos/631/10216481759/6311021648175911092023164426.pdf</v>
      </c>
      <c r="H4536" s="5" t="s">
        <v>13111</v>
      </c>
    </row>
    <row r="4537" spans="1:8" x14ac:dyDescent="0.25">
      <c r="A4537" s="2" t="s">
        <v>4559</v>
      </c>
      <c r="B4537" s="3" t="s">
        <v>42</v>
      </c>
      <c r="C4537" s="3"/>
      <c r="D4537" s="3"/>
      <c r="E4537" s="5" t="str">
        <f>HYPERLINK("https://dpmzos25m8ivg.cloudfront.net/Documentos/631/10217744486/6311021774448611092023152436.jpg","https://dpmzos25m8ivg.cloudfront.net/Documentos/631/10217744486/6311021774448611092023152436.jpg")</f>
        <v>https://dpmzos25m8ivg.cloudfront.net/Documentos/631/10217744486/6311021774448611092023152436.jpg</v>
      </c>
      <c r="F4537" s="5" t="str">
        <f>HYPERLINK("https://dpmzos25m8ivg.cloudfront.net/Documentos/631/10217744486/6311021774448611092023152521.jpg","https://dpmzos25m8ivg.cloudfront.net/Documentos/631/10217744486/6311021774448611092023152521.jpg")</f>
        <v>https://dpmzos25m8ivg.cloudfront.net/Documentos/631/10217744486/6311021774448611092023152521.jpg</v>
      </c>
      <c r="G4537" s="5" t="str">
        <f>HYPERLINK("https://dpmzos25m8ivg.cloudfront.net/Documentos/631/10217744486/6311021774448611092023152557.jpg","https://dpmzos25m8ivg.cloudfront.net/Documentos/631/10217744486/6311021774448611092023152557.jpg")</f>
        <v>https://dpmzos25m8ivg.cloudfront.net/Documentos/631/10217744486/6311021774448611092023152557.jpg</v>
      </c>
      <c r="H4537" s="5" t="s">
        <v>13112</v>
      </c>
    </row>
    <row r="4538" spans="1:8" x14ac:dyDescent="0.25">
      <c r="A4538" s="2" t="s">
        <v>4560</v>
      </c>
      <c r="B4538" s="3"/>
      <c r="C4538" s="3"/>
      <c r="D4538" s="3"/>
      <c r="E4538" s="5" t="str">
        <f>HYPERLINK("https://dpmzos25m8ivg.cloudfront.net/Documentos/631/10219247412/6311021924741213092023122500.pdf","https://dpmzos25m8ivg.cloudfront.net/Documentos/631/10219247412/6311021924741213092023122500.pdf")</f>
        <v>https://dpmzos25m8ivg.cloudfront.net/Documentos/631/10219247412/6311021924741213092023122500.pdf</v>
      </c>
      <c r="F4538" s="5" t="str">
        <f>HYPERLINK("https://dpmzos25m8ivg.cloudfront.net/Documentos/631/10219247412/6311021924741213092023122506.pdf","https://dpmzos25m8ivg.cloudfront.net/Documentos/631/10219247412/6311021924741213092023122506.pdf")</f>
        <v>https://dpmzos25m8ivg.cloudfront.net/Documentos/631/10219247412/6311021924741213092023122506.pdf</v>
      </c>
      <c r="G4538" s="5" t="str">
        <f>HYPERLINK("https://dpmzos25m8ivg.cloudfront.net/Documentos/631/10219247412/6311021924741213092023122514.pdf","https://dpmzos25m8ivg.cloudfront.net/Documentos/631/10219247412/6311021924741213092023122514.pdf")</f>
        <v>https://dpmzos25m8ivg.cloudfront.net/Documentos/631/10219247412/6311021924741213092023122514.pdf</v>
      </c>
      <c r="H4538" s="5" t="s">
        <v>13113</v>
      </c>
    </row>
    <row r="4539" spans="1:8" x14ac:dyDescent="0.25">
      <c r="A4539" s="2" t="s">
        <v>4561</v>
      </c>
      <c r="B4539" s="3"/>
      <c r="C4539" s="3"/>
      <c r="D4539" s="3"/>
      <c r="E4539" s="5" t="str">
        <f>HYPERLINK("https://dpmzos25m8ivg.cloudfront.net/Documentos/631/10220284482/6311022028448211092023153357.jpg","https://dpmzos25m8ivg.cloudfront.net/Documentos/631/10220284482/6311022028448211092023153357.jpg")</f>
        <v>https://dpmzos25m8ivg.cloudfront.net/Documentos/631/10220284482/6311022028448211092023153357.jpg</v>
      </c>
      <c r="F4539" s="5" t="str">
        <f>HYPERLINK("https://dpmzos25m8ivg.cloudfront.net/Documentos/631/10220284482/6311022028448211092023153423.jpg","https://dpmzos25m8ivg.cloudfront.net/Documentos/631/10220284482/6311022028448211092023153423.jpg")</f>
        <v>https://dpmzos25m8ivg.cloudfront.net/Documentos/631/10220284482/6311022028448211092023153423.jpg</v>
      </c>
      <c r="G4539" s="5" t="str">
        <f>HYPERLINK("https://dpmzos25m8ivg.cloudfront.net/Documentos/631/10220284482/6311022028448211092023153457.jpg","https://dpmzos25m8ivg.cloudfront.net/Documentos/631/10220284482/6311022028448211092023153457.jpg")</f>
        <v>https://dpmzos25m8ivg.cloudfront.net/Documentos/631/10220284482/6311022028448211092023153457.jpg</v>
      </c>
      <c r="H4539" s="5" t="s">
        <v>13114</v>
      </c>
    </row>
    <row r="4540" spans="1:8" x14ac:dyDescent="0.25">
      <c r="A4540" s="2" t="s">
        <v>4562</v>
      </c>
      <c r="B4540" s="3"/>
      <c r="C4540" s="3"/>
      <c r="D4540" s="3"/>
      <c r="E4540" s="5" t="str">
        <f>HYPERLINK("https://dpmzos25m8ivg.cloudfront.net/Documentos/631/10228531470/6311022853147011092023123143.jpg","https://dpmzos25m8ivg.cloudfront.net/Documentos/631/10228531470/6311022853147011092023123143.jpg")</f>
        <v>https://dpmzos25m8ivg.cloudfront.net/Documentos/631/10228531470/6311022853147011092023123143.jpg</v>
      </c>
      <c r="F4540" s="5" t="str">
        <f>HYPERLINK("https://dpmzos25m8ivg.cloudfront.net/Documentos/631/10228531470/6311022853147011092023123204.jpg","https://dpmzos25m8ivg.cloudfront.net/Documentos/631/10228531470/6311022853147011092023123204.jpg")</f>
        <v>https://dpmzos25m8ivg.cloudfront.net/Documentos/631/10228531470/6311022853147011092023123204.jpg</v>
      </c>
      <c r="G4540" s="5" t="str">
        <f>HYPERLINK("https://dpmzos25m8ivg.cloudfront.net/Documentos/631/10228531470/6311022853147011092023123227.jpg","https://dpmzos25m8ivg.cloudfront.net/Documentos/631/10228531470/6311022853147011092023123227.jpg")</f>
        <v>https://dpmzos25m8ivg.cloudfront.net/Documentos/631/10228531470/6311022853147011092023123227.jpg</v>
      </c>
      <c r="H4540" s="5" t="s">
        <v>13115</v>
      </c>
    </row>
    <row r="4541" spans="1:8" x14ac:dyDescent="0.25">
      <c r="A4541" s="2" t="s">
        <v>4563</v>
      </c>
      <c r="B4541" s="3" t="s">
        <v>42</v>
      </c>
      <c r="C4541" s="3"/>
      <c r="D4541" s="3"/>
      <c r="E4541" s="5" t="str">
        <f>HYPERLINK("https://dpmzos25m8ivg.cloudfront.net/Documentos/631/10234708964/6311023470896411092023124657.pdf","https://dpmzos25m8ivg.cloudfront.net/Documentos/631/10234708964/6311023470896411092023124657.pdf")</f>
        <v>https://dpmzos25m8ivg.cloudfront.net/Documentos/631/10234708964/6311023470896411092023124657.pdf</v>
      </c>
      <c r="F4541" s="5" t="str">
        <f>HYPERLINK("https://dpmzos25m8ivg.cloudfront.net/Documentos/631/10234708964/6311023470896411092023124729.pdf","https://dpmzos25m8ivg.cloudfront.net/Documentos/631/10234708964/6311023470896411092023124729.pdf")</f>
        <v>https://dpmzos25m8ivg.cloudfront.net/Documentos/631/10234708964/6311023470896411092023124729.pdf</v>
      </c>
      <c r="G4541" s="5" t="str">
        <f>HYPERLINK("https://dpmzos25m8ivg.cloudfront.net/Documentos/631/10234708964/6311023470896411092023124751.pdf","https://dpmzos25m8ivg.cloudfront.net/Documentos/631/10234708964/6311023470896411092023124751.pdf")</f>
        <v>https://dpmzos25m8ivg.cloudfront.net/Documentos/631/10234708964/6311023470896411092023124751.pdf</v>
      </c>
      <c r="H4541" s="5" t="s">
        <v>13116</v>
      </c>
    </row>
    <row r="4542" spans="1:8" x14ac:dyDescent="0.25">
      <c r="A4542" s="2" t="s">
        <v>4564</v>
      </c>
      <c r="B4542" s="3"/>
      <c r="C4542" s="3"/>
      <c r="D4542" s="3"/>
      <c r="E4542" s="5" t="str">
        <f>HYPERLINK("https://dpmzos25m8ivg.cloudfront.net/Documentos/631/10240545605/6311024054560511092023000305.pdf","https://dpmzos25m8ivg.cloudfront.net/Documentos/631/10240545605/6311024054560511092023000305.pdf")</f>
        <v>https://dpmzos25m8ivg.cloudfront.net/Documentos/631/10240545605/6311024054560511092023000305.pdf</v>
      </c>
      <c r="F4542" s="5" t="str">
        <f>HYPERLINK("https://dpmzos25m8ivg.cloudfront.net/Documentos/631/10240545605/6311024054560511092023000323.pdf","https://dpmzos25m8ivg.cloudfront.net/Documentos/631/10240545605/6311024054560511092023000323.pdf")</f>
        <v>https://dpmzos25m8ivg.cloudfront.net/Documentos/631/10240545605/6311024054560511092023000323.pdf</v>
      </c>
      <c r="G4542" s="5" t="str">
        <f>HYPERLINK("https://dpmzos25m8ivg.cloudfront.net/Documentos/631/10240545605/6311024054560511092023102342.pdf","https://dpmzos25m8ivg.cloudfront.net/Documentos/631/10240545605/6311024054560511092023102342.pdf")</f>
        <v>https://dpmzos25m8ivg.cloudfront.net/Documentos/631/10240545605/6311024054560511092023102342.pdf</v>
      </c>
      <c r="H4542" s="5" t="s">
        <v>13117</v>
      </c>
    </row>
    <row r="4543" spans="1:8" x14ac:dyDescent="0.25">
      <c r="A4543" s="2" t="s">
        <v>4565</v>
      </c>
      <c r="B4543" s="3" t="s">
        <v>8</v>
      </c>
      <c r="C4543" s="3"/>
      <c r="D4543" s="3"/>
      <c r="E4543" s="5" t="str">
        <f>HYPERLINK("https://dpmzos25m8ivg.cloudfront.net/Documentos/631/10244075786/6311024407578610092023115031.jpg","https://dpmzos25m8ivg.cloudfront.net/Documentos/631/10244075786/6311024407578610092023115031.jpg")</f>
        <v>https://dpmzos25m8ivg.cloudfront.net/Documentos/631/10244075786/6311024407578610092023115031.jpg</v>
      </c>
      <c r="F4543" s="5" t="str">
        <f>HYPERLINK("https://dpmzos25m8ivg.cloudfront.net/Documentos/631/10244075786/6311024407578610092023115148.jpg","https://dpmzos25m8ivg.cloudfront.net/Documentos/631/10244075786/6311024407578610092023115148.jpg")</f>
        <v>https://dpmzos25m8ivg.cloudfront.net/Documentos/631/10244075786/6311024407578610092023115148.jpg</v>
      </c>
      <c r="G4543" s="5" t="str">
        <f>HYPERLINK("https://dpmzos25m8ivg.cloudfront.net/Documentos/631/10244075786/6311024407578610092023115204.jpg","https://dpmzos25m8ivg.cloudfront.net/Documentos/631/10244075786/6311024407578610092023115204.jpg")</f>
        <v>https://dpmzos25m8ivg.cloudfront.net/Documentos/631/10244075786/6311024407578610092023115204.jpg</v>
      </c>
      <c r="H4543" s="5" t="s">
        <v>13118</v>
      </c>
    </row>
    <row r="4544" spans="1:8" x14ac:dyDescent="0.25">
      <c r="A4544" s="2" t="s">
        <v>4566</v>
      </c>
      <c r="B4544" s="3" t="s">
        <v>8</v>
      </c>
      <c r="C4544" s="3"/>
      <c r="D4544" s="3"/>
      <c r="E4544" s="5" t="str">
        <f>HYPERLINK("https://dpmzos25m8ivg.cloudfront.net/Documentos/631/10244773475/6311024477347505092023165351.pdf","https://dpmzos25m8ivg.cloudfront.net/Documentos/631/10244773475/6311024477347505092023165351.pdf")</f>
        <v>https://dpmzos25m8ivg.cloudfront.net/Documentos/631/10244773475/6311024477347505092023165351.pdf</v>
      </c>
      <c r="F4544" s="5" t="str">
        <f>HYPERLINK("https://dpmzos25m8ivg.cloudfront.net/Documentos/631/10244773475/6311024477347505092023165417.pdf","https://dpmzos25m8ivg.cloudfront.net/Documentos/631/10244773475/6311024477347505092023165417.pdf")</f>
        <v>https://dpmzos25m8ivg.cloudfront.net/Documentos/631/10244773475/6311024477347505092023165417.pdf</v>
      </c>
      <c r="G4544" s="5" t="str">
        <f>HYPERLINK("https://dpmzos25m8ivg.cloudfront.net/Documentos/631/10244773475/6311024477347505092023165424.pdf","https://dpmzos25m8ivg.cloudfront.net/Documentos/631/10244773475/6311024477347505092023165424.pdf")</f>
        <v>https://dpmzos25m8ivg.cloudfront.net/Documentos/631/10244773475/6311024477347505092023165424.pdf</v>
      </c>
      <c r="H4544" s="5" t="s">
        <v>13119</v>
      </c>
    </row>
    <row r="4545" spans="1:8" x14ac:dyDescent="0.25">
      <c r="A4545" s="2" t="s">
        <v>4567</v>
      </c>
      <c r="B4545" s="3"/>
      <c r="C4545" s="3"/>
      <c r="D4545" s="3"/>
      <c r="E4545" s="5" t="str">
        <f>HYPERLINK("https://dpmzos25m8ivg.cloudfront.net/Documentos/631/10244774447/6311024477444705092023213701.pdf","https://dpmzos25m8ivg.cloudfront.net/Documentos/631/10244774447/6311024477444705092023213701.pdf")</f>
        <v>https://dpmzos25m8ivg.cloudfront.net/Documentos/631/10244774447/6311024477444705092023213701.pdf</v>
      </c>
      <c r="F4545" s="5" t="str">
        <f>HYPERLINK("https://dpmzos25m8ivg.cloudfront.net/Documentos/631/10244774447/6311024477444705092023213711.pdf","https://dpmzos25m8ivg.cloudfront.net/Documentos/631/10244774447/6311024477444705092023213711.pdf")</f>
        <v>https://dpmzos25m8ivg.cloudfront.net/Documentos/631/10244774447/6311024477444705092023213711.pdf</v>
      </c>
      <c r="G4545" s="5" t="str">
        <f>HYPERLINK("https://dpmzos25m8ivg.cloudfront.net/Documentos/631/10244774447/6311024477444705092023213720.pdf","https://dpmzos25m8ivg.cloudfront.net/Documentos/631/10244774447/6311024477444705092023213720.pdf")</f>
        <v>https://dpmzos25m8ivg.cloudfront.net/Documentos/631/10244774447/6311024477444705092023213720.pdf</v>
      </c>
      <c r="H4545" s="5" t="s">
        <v>13120</v>
      </c>
    </row>
    <row r="4546" spans="1:8" x14ac:dyDescent="0.25">
      <c r="A4546" s="2" t="s">
        <v>4568</v>
      </c>
      <c r="B4546" s="19" t="s">
        <v>3385</v>
      </c>
      <c r="C4546" s="3"/>
      <c r="D4546" s="3"/>
      <c r="E4546" s="5" t="str">
        <f>HYPERLINK("https://dpmzos25m8ivg.cloudfront.net/Documentos/631/10259877646/6311025987764611092023170550.pdf","https://dpmzos25m8ivg.cloudfront.net/Documentos/631/10259877646/6311025987764611092023170550.pdf")</f>
        <v>https://dpmzos25m8ivg.cloudfront.net/Documentos/631/10259877646/6311025987764611092023170550.pdf</v>
      </c>
      <c r="F4546" s="5" t="str">
        <f>HYPERLINK("https://dpmzos25m8ivg.cloudfront.net/Documentos/631/10259877646/6311025987764611092023170607.pdf","https://dpmzos25m8ivg.cloudfront.net/Documentos/631/10259877646/6311025987764611092023170607.pdf")</f>
        <v>https://dpmzos25m8ivg.cloudfront.net/Documentos/631/10259877646/6311025987764611092023170607.pdf</v>
      </c>
      <c r="G4546" s="5" t="str">
        <f>HYPERLINK("https://dpmzos25m8ivg.cloudfront.net/Documentos/631/10259877646/6311025987764611092023170619.pdf","https://dpmzos25m8ivg.cloudfront.net/Documentos/631/10259877646/6311025987764611092023170619.pdf")</f>
        <v>https://dpmzos25m8ivg.cloudfront.net/Documentos/631/10259877646/6311025987764611092023170619.pdf</v>
      </c>
      <c r="H4546" s="5" t="s">
        <v>13121</v>
      </c>
    </row>
    <row r="4547" spans="1:8" x14ac:dyDescent="0.25">
      <c r="A4547" s="2" t="s">
        <v>4569</v>
      </c>
      <c r="B4547" s="3"/>
      <c r="C4547" s="3"/>
      <c r="D4547" s="3"/>
      <c r="E4547" s="5" t="str">
        <f>HYPERLINK("https://dpmzos25m8ivg.cloudfront.net/Documentos/631/10264280415/6311026428041508092023093939.pdf","https://dpmzos25m8ivg.cloudfront.net/Documentos/631/10264280415/6311026428041508092023093939.pdf")</f>
        <v>https://dpmzos25m8ivg.cloudfront.net/Documentos/631/10264280415/6311026428041508092023093939.pdf</v>
      </c>
      <c r="F4547" s="5" t="str">
        <f>HYPERLINK("https://dpmzos25m8ivg.cloudfront.net/Documentos/631/10264280415/6311026428041508092023093943.pdf","https://dpmzos25m8ivg.cloudfront.net/Documentos/631/10264280415/6311026428041508092023093943.pdf")</f>
        <v>https://dpmzos25m8ivg.cloudfront.net/Documentos/631/10264280415/6311026428041508092023093943.pdf</v>
      </c>
      <c r="G4547" s="5" t="str">
        <f>HYPERLINK("https://dpmzos25m8ivg.cloudfront.net/Documentos/631/10264280415/6311026428041508092023093948.pdf","https://dpmzos25m8ivg.cloudfront.net/Documentos/631/10264280415/6311026428041508092023093948.pdf")</f>
        <v>https://dpmzos25m8ivg.cloudfront.net/Documentos/631/10264280415/6311026428041508092023093948.pdf</v>
      </c>
      <c r="H4547" s="5" t="s">
        <v>13122</v>
      </c>
    </row>
    <row r="4548" spans="1:8" x14ac:dyDescent="0.25">
      <c r="A4548" s="2" t="s">
        <v>4570</v>
      </c>
      <c r="B4548" s="3"/>
      <c r="C4548" s="3"/>
      <c r="D4548" s="3"/>
      <c r="E4548" s="5" t="str">
        <f>HYPERLINK("https://dpmzos25m8ivg.cloudfront.net/Documentos/631/10268282790/6311026828279009092023190335.pdf","https://dpmzos25m8ivg.cloudfront.net/Documentos/631/10268282790/6311026828279009092023190335.pdf")</f>
        <v>https://dpmzos25m8ivg.cloudfront.net/Documentos/631/10268282790/6311026828279009092023190335.pdf</v>
      </c>
      <c r="F4548" s="5" t="str">
        <f>HYPERLINK("https://dpmzos25m8ivg.cloudfront.net/Documentos/631/10268282790/6311026828279009092023190348.pdf","https://dpmzos25m8ivg.cloudfront.net/Documentos/631/10268282790/6311026828279009092023190348.pdf")</f>
        <v>https://dpmzos25m8ivg.cloudfront.net/Documentos/631/10268282790/6311026828279009092023190348.pdf</v>
      </c>
      <c r="G4548" s="5" t="str">
        <f>HYPERLINK("https://dpmzos25m8ivg.cloudfront.net/Documentos/631/10268282790/6311026828279009092023190403.pdf","https://dpmzos25m8ivg.cloudfront.net/Documentos/631/10268282790/6311026828279009092023190403.pdf")</f>
        <v>https://dpmzos25m8ivg.cloudfront.net/Documentos/631/10268282790/6311026828279009092023190403.pdf</v>
      </c>
      <c r="H4548" s="5" t="s">
        <v>13123</v>
      </c>
    </row>
    <row r="4549" spans="1:8" x14ac:dyDescent="0.25">
      <c r="A4549" s="2" t="s">
        <v>4571</v>
      </c>
      <c r="B4549" s="19" t="s">
        <v>3385</v>
      </c>
      <c r="C4549" s="3"/>
      <c r="D4549" s="3"/>
      <c r="E4549" s="5" t="str">
        <f>HYPERLINK("https://dpmzos25m8ivg.cloudfront.net/Documentos/631/10268701784/6311026870178405092023085153.pdf","https://dpmzos25m8ivg.cloudfront.net/Documentos/631/10268701784/6311026870178405092023085153.pdf")</f>
        <v>https://dpmzos25m8ivg.cloudfront.net/Documentos/631/10268701784/6311026870178405092023085153.pdf</v>
      </c>
      <c r="F4549" s="5" t="str">
        <f>HYPERLINK("https://dpmzos25m8ivg.cloudfront.net/Documentos/631/10268701784/6311026870178405092023085201.pdf","https://dpmzos25m8ivg.cloudfront.net/Documentos/631/10268701784/6311026870178405092023085201.pdf")</f>
        <v>https://dpmzos25m8ivg.cloudfront.net/Documentos/631/10268701784/6311026870178405092023085201.pdf</v>
      </c>
      <c r="G4549" s="5" t="str">
        <f>HYPERLINK("https://dpmzos25m8ivg.cloudfront.net/Documentos/631/10268701784/6311026870178405092023085519.pdf","https://dpmzos25m8ivg.cloudfront.net/Documentos/631/10268701784/6311026870178405092023085519.pdf")</f>
        <v>https://dpmzos25m8ivg.cloudfront.net/Documentos/631/10268701784/6311026870178405092023085519.pdf</v>
      </c>
      <c r="H4549" s="5" t="s">
        <v>13124</v>
      </c>
    </row>
    <row r="4550" spans="1:8" x14ac:dyDescent="0.25">
      <c r="A4550" s="2" t="s">
        <v>4572</v>
      </c>
      <c r="B4550" s="3"/>
      <c r="C4550" s="3"/>
      <c r="D4550" s="3"/>
      <c r="E4550" s="5" t="str">
        <f>HYPERLINK("https://dpmzos25m8ivg.cloudfront.net/Documentos/631/10269255680/6311026925568011092023153109.jpeg","https://dpmzos25m8ivg.cloudfront.net/Documentos/631/10269255680/6311026925568011092023153109.jpeg")</f>
        <v>https://dpmzos25m8ivg.cloudfront.net/Documentos/631/10269255680/6311026925568011092023153109.jpeg</v>
      </c>
      <c r="F4550" s="5" t="str">
        <f>HYPERLINK("https://dpmzos25m8ivg.cloudfront.net/Documentos/631/10269255680/6311026925568011092023153120.jpeg","https://dpmzos25m8ivg.cloudfront.net/Documentos/631/10269255680/6311026925568011092023153120.jpeg")</f>
        <v>https://dpmzos25m8ivg.cloudfront.net/Documentos/631/10269255680/6311026925568011092023153120.jpeg</v>
      </c>
      <c r="G4550" s="5" t="str">
        <f>HYPERLINK("https://dpmzos25m8ivg.cloudfront.net/Documentos/631/10269255680/6311026925568011092023153130.jpeg","https://dpmzos25m8ivg.cloudfront.net/Documentos/631/10269255680/6311026925568011092023153130.jpeg")</f>
        <v>https://dpmzos25m8ivg.cloudfront.net/Documentos/631/10269255680/6311026925568011092023153130.jpeg</v>
      </c>
      <c r="H4550" s="5" t="s">
        <v>13125</v>
      </c>
    </row>
    <row r="4551" spans="1:8" x14ac:dyDescent="0.25">
      <c r="A4551" s="2" t="s">
        <v>4573</v>
      </c>
      <c r="B4551" s="3"/>
      <c r="C4551" s="3"/>
      <c r="D4551" s="3"/>
      <c r="E4551" s="5" t="str">
        <f>HYPERLINK("https://dpmzos25m8ivg.cloudfront.net/Documentos/631/10275197417/6311027519741706092023175354.pdf","https://dpmzos25m8ivg.cloudfront.net/Documentos/631/10275197417/6311027519741706092023175354.pdf")</f>
        <v>https://dpmzos25m8ivg.cloudfront.net/Documentos/631/10275197417/6311027519741706092023175354.pdf</v>
      </c>
      <c r="F4551" s="5" t="str">
        <f>HYPERLINK("https://dpmzos25m8ivg.cloudfront.net/Documentos/631/10275197417/6311027519741706092023175817.pdf","https://dpmzos25m8ivg.cloudfront.net/Documentos/631/10275197417/6311027519741706092023175817.pdf")</f>
        <v>https://dpmzos25m8ivg.cloudfront.net/Documentos/631/10275197417/6311027519741706092023175817.pdf</v>
      </c>
      <c r="G4551" s="5" t="str">
        <f>HYPERLINK("https://dpmzos25m8ivg.cloudfront.net/Documentos/631/10275197417/6311027519741706092023175836.pdf","https://dpmzos25m8ivg.cloudfront.net/Documentos/631/10275197417/6311027519741706092023175836.pdf")</f>
        <v>https://dpmzos25m8ivg.cloudfront.net/Documentos/631/10275197417/6311027519741706092023175836.pdf</v>
      </c>
      <c r="H4551" s="5" t="s">
        <v>13126</v>
      </c>
    </row>
    <row r="4552" spans="1:8" x14ac:dyDescent="0.25">
      <c r="A4552" s="2" t="s">
        <v>4574</v>
      </c>
      <c r="B4552" s="3"/>
      <c r="C4552" s="3"/>
      <c r="D4552" s="3"/>
      <c r="E4552" s="5" t="str">
        <f>HYPERLINK("https://dpmzos25m8ivg.cloudfront.net/Documentos/631/10275512703/6311027551270309092023082419.jpg","https://dpmzos25m8ivg.cloudfront.net/Documentos/631/10275512703/6311027551270309092023082419.jpg")</f>
        <v>https://dpmzos25m8ivg.cloudfront.net/Documentos/631/10275512703/6311027551270309092023082419.jpg</v>
      </c>
      <c r="F4552" s="5" t="str">
        <f>HYPERLINK("https://dpmzos25m8ivg.cloudfront.net/Documentos/631/10275512703/6311027551270309092023082438.jpg","https://dpmzos25m8ivg.cloudfront.net/Documentos/631/10275512703/6311027551270309092023082438.jpg")</f>
        <v>https://dpmzos25m8ivg.cloudfront.net/Documentos/631/10275512703/6311027551270309092023082438.jpg</v>
      </c>
      <c r="G4552" s="5" t="str">
        <f>HYPERLINK("https://dpmzos25m8ivg.cloudfront.net/Documentos/631/10275512703/6311027551270309092023082458.jpg","https://dpmzos25m8ivg.cloudfront.net/Documentos/631/10275512703/6311027551270309092023082458.jpg")</f>
        <v>https://dpmzos25m8ivg.cloudfront.net/Documentos/631/10275512703/6311027551270309092023082458.jpg</v>
      </c>
      <c r="H4552" s="5" t="s">
        <v>13127</v>
      </c>
    </row>
    <row r="4553" spans="1:8" x14ac:dyDescent="0.25">
      <c r="A4553" s="2" t="s">
        <v>4575</v>
      </c>
      <c r="B4553" s="3"/>
      <c r="C4553" s="3"/>
      <c r="D4553" s="3"/>
      <c r="E4553" s="5" t="str">
        <f>HYPERLINK("https://dpmzos25m8ivg.cloudfront.net/Documentos/631/10277131499/6311027713149911092023160058.pdf","https://dpmzos25m8ivg.cloudfront.net/Documentos/631/10277131499/6311027713149911092023160058.pdf")</f>
        <v>https://dpmzos25m8ivg.cloudfront.net/Documentos/631/10277131499/6311027713149911092023160058.pdf</v>
      </c>
      <c r="F4553" s="5" t="str">
        <f>HYPERLINK("https://dpmzos25m8ivg.cloudfront.net/Documentos/631/10277131499/6311027713149911092023160111.pdf","https://dpmzos25m8ivg.cloudfront.net/Documentos/631/10277131499/6311027713149911092023160111.pdf")</f>
        <v>https://dpmzos25m8ivg.cloudfront.net/Documentos/631/10277131499/6311027713149911092023160111.pdf</v>
      </c>
      <c r="G4553" s="5" t="str">
        <f>HYPERLINK("https://dpmzos25m8ivg.cloudfront.net/Documentos/631/10277131499/6311027713149911092023160123.pdf","https://dpmzos25m8ivg.cloudfront.net/Documentos/631/10277131499/6311027713149911092023160123.pdf")</f>
        <v>https://dpmzos25m8ivg.cloudfront.net/Documentos/631/10277131499/6311027713149911092023160123.pdf</v>
      </c>
      <c r="H4553" s="5" t="s">
        <v>13128</v>
      </c>
    </row>
    <row r="4554" spans="1:8" x14ac:dyDescent="0.25">
      <c r="A4554" s="2" t="s">
        <v>4576</v>
      </c>
      <c r="B4554" s="3"/>
      <c r="C4554" s="3"/>
      <c r="D4554" s="3"/>
      <c r="E4554" s="5" t="str">
        <f>HYPERLINK("https://dpmzos25m8ivg.cloudfront.net/Documentos/631/10280761422/6311028076142211092023132943.jpeg","https://dpmzos25m8ivg.cloudfront.net/Documentos/631/10280761422/6311028076142211092023132943.jpeg")</f>
        <v>https://dpmzos25m8ivg.cloudfront.net/Documentos/631/10280761422/6311028076142211092023132943.jpeg</v>
      </c>
      <c r="F4554" s="5" t="str">
        <f>HYPERLINK("https://dpmzos25m8ivg.cloudfront.net/Documentos/631/10280761422/6311028076142211092023133129.jpeg","https://dpmzos25m8ivg.cloudfront.net/Documentos/631/10280761422/6311028076142211092023133129.jpeg")</f>
        <v>https://dpmzos25m8ivg.cloudfront.net/Documentos/631/10280761422/6311028076142211092023133129.jpeg</v>
      </c>
      <c r="G4554" s="5" t="str">
        <f>HYPERLINK("https://dpmzos25m8ivg.cloudfront.net/Documentos/631/10280761422/6311028076142211092023133326.jpeg","https://dpmzos25m8ivg.cloudfront.net/Documentos/631/10280761422/6311028076142211092023133326.jpeg")</f>
        <v>https://dpmzos25m8ivg.cloudfront.net/Documentos/631/10280761422/6311028076142211092023133326.jpeg</v>
      </c>
      <c r="H4554" s="5" t="s">
        <v>13129</v>
      </c>
    </row>
    <row r="4555" spans="1:8" x14ac:dyDescent="0.25">
      <c r="A4555" s="2" t="s">
        <v>4577</v>
      </c>
      <c r="B4555" s="3"/>
      <c r="C4555" s="3"/>
      <c r="D4555" s="3"/>
      <c r="E4555" s="9" t="str">
        <f>HYPERLINK("https://dpmzos25m8ivg.cloudfront.net/Documentos/631/10282264701/6311028226470105092023084214.pdf","https://dpmzos25m8ivg.cloudfront.net/Documentos/631/10282264701/6311028226470105092023084214.pdf")</f>
        <v>https://dpmzos25m8ivg.cloudfront.net/Documentos/631/10282264701/6311028226470105092023084214.pdf</v>
      </c>
      <c r="F4555" s="5" t="str">
        <f>HYPERLINK("https://dpmzos25m8ivg.cloudfront.net/Documentos/631/10282264701/6311028226470105092023084242.pdf","https://dpmzos25m8ivg.cloudfront.net/Documentos/631/10282264701/6311028226470105092023084242.pdf")</f>
        <v>https://dpmzos25m8ivg.cloudfront.net/Documentos/631/10282264701/6311028226470105092023084242.pdf</v>
      </c>
      <c r="G4555" s="5" t="str">
        <f>HYPERLINK("https://dpmzos25m8ivg.cloudfront.net/Documentos/631/10282264701/6311028226470105092023084259.pdf","https://dpmzos25m8ivg.cloudfront.net/Documentos/631/10282264701/6311028226470105092023084259.pdf")</f>
        <v>https://dpmzos25m8ivg.cloudfront.net/Documentos/631/10282264701/6311028226470105092023084259.pdf</v>
      </c>
      <c r="H4555" s="5" t="s">
        <v>13130</v>
      </c>
    </row>
    <row r="4556" spans="1:8" x14ac:dyDescent="0.25">
      <c r="A4556" s="2" t="s">
        <v>4578</v>
      </c>
      <c r="B4556" s="3"/>
      <c r="C4556" s="3"/>
      <c r="D4556" s="3"/>
      <c r="E4556" s="5" t="str">
        <f>HYPERLINK("https://dpmzos25m8ivg.cloudfront.net/Documentos/631/10282472738/6311028247273811092023063449.pdf","https://dpmzos25m8ivg.cloudfront.net/Documentos/631/10282472738/6311028247273811092023063449.pdf")</f>
        <v>https://dpmzos25m8ivg.cloudfront.net/Documentos/631/10282472738/6311028247273811092023063449.pdf</v>
      </c>
      <c r="F4556" s="5" t="str">
        <f>HYPERLINK("https://dpmzos25m8ivg.cloudfront.net/Documentos/631/10282472738/6311028247273811092023063606.pdf","https://dpmzos25m8ivg.cloudfront.net/Documentos/631/10282472738/6311028247273811092023063606.pdf")</f>
        <v>https://dpmzos25m8ivg.cloudfront.net/Documentos/631/10282472738/6311028247273811092023063606.pdf</v>
      </c>
      <c r="G4556" s="5" t="str">
        <f>HYPERLINK("https://dpmzos25m8ivg.cloudfront.net/Documentos/631/10282472738/6311028247273811092023063705.pdf","https://dpmzos25m8ivg.cloudfront.net/Documentos/631/10282472738/6311028247273811092023063705.pdf")</f>
        <v>https://dpmzos25m8ivg.cloudfront.net/Documentos/631/10282472738/6311028247273811092023063705.pdf</v>
      </c>
      <c r="H4556" s="5" t="s">
        <v>13131</v>
      </c>
    </row>
    <row r="4557" spans="1:8" x14ac:dyDescent="0.25">
      <c r="A4557" s="2" t="s">
        <v>4579</v>
      </c>
      <c r="B4557" s="3"/>
      <c r="C4557" s="3"/>
      <c r="D4557" s="3"/>
      <c r="E4557" s="5" t="str">
        <f>HYPERLINK("https://dpmzos25m8ivg.cloudfront.net/Documentos/631/10286692406/6311028669240609092023173225.jpg","https://dpmzos25m8ivg.cloudfront.net/Documentos/631/10286692406/6311028669240609092023173225.jpg")</f>
        <v>https://dpmzos25m8ivg.cloudfront.net/Documentos/631/10286692406/6311028669240609092023173225.jpg</v>
      </c>
      <c r="F4557" s="5" t="str">
        <f>HYPERLINK("https://dpmzos25m8ivg.cloudfront.net/Documentos/631/10286692406/6311028669240609092023173620.jpg","https://dpmzos25m8ivg.cloudfront.net/Documentos/631/10286692406/6311028669240609092023173620.jpg")</f>
        <v>https://dpmzos25m8ivg.cloudfront.net/Documentos/631/10286692406/6311028669240609092023173620.jpg</v>
      </c>
      <c r="G4557" s="5" t="str">
        <f>HYPERLINK("https://dpmzos25m8ivg.cloudfront.net/Documentos/631/10286692406/6311028669240609092023173637.jpg","https://dpmzos25m8ivg.cloudfront.net/Documentos/631/10286692406/6311028669240609092023173637.jpg")</f>
        <v>https://dpmzos25m8ivg.cloudfront.net/Documentos/631/10286692406/6311028669240609092023173637.jpg</v>
      </c>
      <c r="H4557" s="5" t="s">
        <v>13132</v>
      </c>
    </row>
    <row r="4558" spans="1:8" x14ac:dyDescent="0.25">
      <c r="A4558" s="2" t="s">
        <v>4580</v>
      </c>
      <c r="B4558" s="3"/>
      <c r="C4558" s="3"/>
      <c r="D4558" s="3"/>
      <c r="E4558" s="5" t="str">
        <f>HYPERLINK("https://dpmzos25m8ivg.cloudfront.net/Documentos/631/10289702429/6311028970242910092023193221.pdf","https://dpmzos25m8ivg.cloudfront.net/Documentos/631/10289702429/6311028970242910092023193221.pdf")</f>
        <v>https://dpmzos25m8ivg.cloudfront.net/Documentos/631/10289702429/6311028970242910092023193221.pdf</v>
      </c>
      <c r="F4558" s="5" t="str">
        <f>HYPERLINK("https://dpmzos25m8ivg.cloudfront.net/Documentos/631/10289702429/6311028970242910092023193237.pdf","https://dpmzos25m8ivg.cloudfront.net/Documentos/631/10289702429/6311028970242910092023193237.pdf")</f>
        <v>https://dpmzos25m8ivg.cloudfront.net/Documentos/631/10289702429/6311028970242910092023193237.pdf</v>
      </c>
      <c r="G4558" s="5" t="str">
        <f>HYPERLINK("https://dpmzos25m8ivg.cloudfront.net/Documentos/631/10289702429/6311028970242910092023193253.pdf","https://dpmzos25m8ivg.cloudfront.net/Documentos/631/10289702429/6311028970242910092023193253.pdf")</f>
        <v>https://dpmzos25m8ivg.cloudfront.net/Documentos/631/10289702429/6311028970242910092023193253.pdf</v>
      </c>
      <c r="H4558" s="5" t="s">
        <v>13133</v>
      </c>
    </row>
    <row r="4559" spans="1:8" x14ac:dyDescent="0.25">
      <c r="A4559" s="2" t="s">
        <v>4581</v>
      </c>
      <c r="B4559" s="3" t="s">
        <v>8</v>
      </c>
      <c r="C4559" s="3"/>
      <c r="D4559" s="3"/>
      <c r="E4559" s="5" t="str">
        <f>HYPERLINK("https://dpmzos25m8ivg.cloudfront.net/Documentos/631/10290086710/6311029008671006092023200516.jpg","https://dpmzos25m8ivg.cloudfront.net/Documentos/631/10290086710/6311029008671006092023200516.jpg")</f>
        <v>https://dpmzos25m8ivg.cloudfront.net/Documentos/631/10290086710/6311029008671006092023200516.jpg</v>
      </c>
      <c r="F4559" s="5" t="str">
        <f>HYPERLINK("https://dpmzos25m8ivg.cloudfront.net/Documentos/631/10290086710/6311029008671006092023200542.jpg","https://dpmzos25m8ivg.cloudfront.net/Documentos/631/10290086710/6311029008671006092023200542.jpg")</f>
        <v>https://dpmzos25m8ivg.cloudfront.net/Documentos/631/10290086710/6311029008671006092023200542.jpg</v>
      </c>
      <c r="G4559" s="5" t="str">
        <f>HYPERLINK("https://dpmzos25m8ivg.cloudfront.net/Documentos/631/10290086710/6311029008671006092023200606.jpg","https://dpmzos25m8ivg.cloudfront.net/Documentos/631/10290086710/6311029008671006092023200606.jpg")</f>
        <v>https://dpmzos25m8ivg.cloudfront.net/Documentos/631/10290086710/6311029008671006092023200606.jpg</v>
      </c>
      <c r="H4559" s="5" t="s">
        <v>13134</v>
      </c>
    </row>
    <row r="4560" spans="1:8" x14ac:dyDescent="0.25">
      <c r="A4560" s="2" t="s">
        <v>4582</v>
      </c>
      <c r="B4560" s="3"/>
      <c r="C4560" s="3"/>
      <c r="D4560" s="3"/>
      <c r="E4560" s="5" t="str">
        <f>HYPERLINK("https://dpmzos25m8ivg.cloudfront.net/Documentos/631/10292079419/6311029207941914092023162337.pdf","https://dpmzos25m8ivg.cloudfront.net/Documentos/631/10292079419/6311029207941914092023162337.pdf")</f>
        <v>https://dpmzos25m8ivg.cloudfront.net/Documentos/631/10292079419/6311029207941914092023162337.pdf</v>
      </c>
      <c r="F4560" s="5" t="str">
        <f>HYPERLINK("https://dpmzos25m8ivg.cloudfront.net/Documentos/631/10292079419/6311029207941914092023164322.pdf","https://dpmzos25m8ivg.cloudfront.net/Documentos/631/10292079419/6311029207941914092023164322.pdf")</f>
        <v>https://dpmzos25m8ivg.cloudfront.net/Documentos/631/10292079419/6311029207941914092023164322.pdf</v>
      </c>
      <c r="G4560" s="5" t="str">
        <f>HYPERLINK("https://dpmzos25m8ivg.cloudfront.net/Documentos/631/10292079419/6311029207941914092023165838.pdf","https://dpmzos25m8ivg.cloudfront.net/Documentos/631/10292079419/6311029207941914092023165838.pdf")</f>
        <v>https://dpmzos25m8ivg.cloudfront.net/Documentos/631/10292079419/6311029207941914092023165838.pdf</v>
      </c>
      <c r="H4560" s="5" t="s">
        <v>13135</v>
      </c>
    </row>
    <row r="4561" spans="1:8" x14ac:dyDescent="0.25">
      <c r="A4561" s="2" t="s">
        <v>4583</v>
      </c>
      <c r="B4561" s="3"/>
      <c r="C4561" s="3"/>
      <c r="D4561" s="3"/>
      <c r="E4561" s="5" t="str">
        <f>HYPERLINK("https://dpmzos25m8ivg.cloudfront.net/Documentos/631/10300183755/6311030018375506092023085230.pdf","https://dpmzos25m8ivg.cloudfront.net/Documentos/631/10300183755/6311030018375506092023085230.pdf")</f>
        <v>https://dpmzos25m8ivg.cloudfront.net/Documentos/631/10300183755/6311030018375506092023085230.pdf</v>
      </c>
      <c r="F4561" s="5" t="str">
        <f>HYPERLINK("https://dpmzos25m8ivg.cloudfront.net/Documentos/631/10300183755/6311030018375506092023085240.pdf","https://dpmzos25m8ivg.cloudfront.net/Documentos/631/10300183755/6311030018375506092023085240.pdf")</f>
        <v>https://dpmzos25m8ivg.cloudfront.net/Documentos/631/10300183755/6311030018375506092023085240.pdf</v>
      </c>
      <c r="G4561" s="5" t="str">
        <f>HYPERLINK("https://dpmzos25m8ivg.cloudfront.net/Documentos/631/10300183755/6311030018375506092023085251.pdf","https://dpmzos25m8ivg.cloudfront.net/Documentos/631/10300183755/6311030018375506092023085251.pdf")</f>
        <v>https://dpmzos25m8ivg.cloudfront.net/Documentos/631/10300183755/6311030018375506092023085251.pdf</v>
      </c>
      <c r="H4561" s="5" t="s">
        <v>13136</v>
      </c>
    </row>
    <row r="4562" spans="1:8" x14ac:dyDescent="0.25">
      <c r="A4562" s="2" t="s">
        <v>4584</v>
      </c>
      <c r="B4562" s="3" t="s">
        <v>8</v>
      </c>
      <c r="C4562" s="3"/>
      <c r="D4562" s="3"/>
      <c r="E4562" s="5" t="str">
        <f>HYPERLINK("https://dpmzos25m8ivg.cloudfront.net/Documentos/631/10300946910/6311030094691011092023120722.pdf","https://dpmzos25m8ivg.cloudfront.net/Documentos/631/10300946910/6311030094691011092023120722.pdf")</f>
        <v>https://dpmzos25m8ivg.cloudfront.net/Documentos/631/10300946910/6311030094691011092023120722.pdf</v>
      </c>
      <c r="F4562" s="5" t="str">
        <f>HYPERLINK("https://dpmzos25m8ivg.cloudfront.net/Documentos/631/10300946910/6311030094691011092023120728.pdf","https://dpmzos25m8ivg.cloudfront.net/Documentos/631/10300946910/6311030094691011092023120728.pdf")</f>
        <v>https://dpmzos25m8ivg.cloudfront.net/Documentos/631/10300946910/6311030094691011092023120728.pdf</v>
      </c>
      <c r="G4562" s="5" t="str">
        <f>HYPERLINK("https://dpmzos25m8ivg.cloudfront.net/Documentos/631/10300946910/6311030094691011092023120735.pdf","https://dpmzos25m8ivg.cloudfront.net/Documentos/631/10300946910/6311030094691011092023120735.pdf")</f>
        <v>https://dpmzos25m8ivg.cloudfront.net/Documentos/631/10300946910/6311030094691011092023120735.pdf</v>
      </c>
      <c r="H4562" s="5" t="s">
        <v>13137</v>
      </c>
    </row>
    <row r="4563" spans="1:8" x14ac:dyDescent="0.25">
      <c r="A4563" s="2" t="s">
        <v>4585</v>
      </c>
      <c r="B4563" s="3"/>
      <c r="C4563" s="3"/>
      <c r="D4563" s="3"/>
      <c r="E4563" s="5" t="str">
        <f>HYPERLINK("https://dpmzos25m8ivg.cloudfront.net/Documentos/631/10303254998/6311030325499811092023130001.pdf","https://dpmzos25m8ivg.cloudfront.net/Documentos/631/10303254998/6311030325499811092023130001.pdf")</f>
        <v>https://dpmzos25m8ivg.cloudfront.net/Documentos/631/10303254998/6311030325499811092023130001.pdf</v>
      </c>
      <c r="F4563" s="5" t="str">
        <f>HYPERLINK("https://dpmzos25m8ivg.cloudfront.net/Documentos/631/10303254998/6311030325499811092023130015.pdf","https://dpmzos25m8ivg.cloudfront.net/Documentos/631/10303254998/6311030325499811092023130015.pdf")</f>
        <v>https://dpmzos25m8ivg.cloudfront.net/Documentos/631/10303254998/6311030325499811092023130015.pdf</v>
      </c>
      <c r="G4563" s="5" t="str">
        <f>HYPERLINK("https://dpmzos25m8ivg.cloudfront.net/Documentos/631/10303254998/6311030325499811092023130157.pdf","https://dpmzos25m8ivg.cloudfront.net/Documentos/631/10303254998/6311030325499811092023130157.pdf")</f>
        <v>https://dpmzos25m8ivg.cloudfront.net/Documentos/631/10303254998/6311030325499811092023130157.pdf</v>
      </c>
      <c r="H4563" s="5" t="s">
        <v>13138</v>
      </c>
    </row>
    <row r="4564" spans="1:8" x14ac:dyDescent="0.25">
      <c r="A4564" s="2" t="s">
        <v>4586</v>
      </c>
      <c r="B4564" s="3"/>
      <c r="C4564" s="3"/>
      <c r="D4564" s="3"/>
      <c r="E4564" s="5" t="str">
        <f>HYPERLINK("https://dpmzos25m8ivg.cloudfront.net/Documentos/631/10303459450/6311030345945011092023083803.pdf","https://dpmzos25m8ivg.cloudfront.net/Documentos/631/10303459450/6311030345945011092023083803.pdf")</f>
        <v>https://dpmzos25m8ivg.cloudfront.net/Documentos/631/10303459450/6311030345945011092023083803.pdf</v>
      </c>
      <c r="F4564" s="5" t="str">
        <f>HYPERLINK("https://dpmzos25m8ivg.cloudfront.net/Documentos/631/10303459450/6311030345945011092023083812.pdf","https://dpmzos25m8ivg.cloudfront.net/Documentos/631/10303459450/6311030345945011092023083812.pdf")</f>
        <v>https://dpmzos25m8ivg.cloudfront.net/Documentos/631/10303459450/6311030345945011092023083812.pdf</v>
      </c>
      <c r="G4564" s="5" t="str">
        <f>HYPERLINK("https://dpmzos25m8ivg.cloudfront.net/Documentos/631/10303459450/6311030345945011092023083819.pdf","https://dpmzos25m8ivg.cloudfront.net/Documentos/631/10303459450/6311030345945011092023083819.pdf")</f>
        <v>https://dpmzos25m8ivg.cloudfront.net/Documentos/631/10303459450/6311030345945011092023083819.pdf</v>
      </c>
      <c r="H4564" s="5" t="s">
        <v>13139</v>
      </c>
    </row>
    <row r="4565" spans="1:8" x14ac:dyDescent="0.25">
      <c r="A4565" s="2" t="s">
        <v>4587</v>
      </c>
      <c r="B4565" s="3" t="s">
        <v>8</v>
      </c>
      <c r="C4565" s="3"/>
      <c r="D4565" s="3"/>
      <c r="E4565" s="5" t="str">
        <f>HYPERLINK("https://dpmzos25m8ivg.cloudfront.net/Documentos/631/10306651416/6311030665141611092023035114.pdf","https://dpmzos25m8ivg.cloudfront.net/Documentos/631/10306651416/6311030665141611092023035114.pdf")</f>
        <v>https://dpmzos25m8ivg.cloudfront.net/Documentos/631/10306651416/6311030665141611092023035114.pdf</v>
      </c>
      <c r="F4565" s="5" t="str">
        <f>HYPERLINK("https://dpmzos25m8ivg.cloudfront.net/Documentos/631/10306651416/6311030665141611092023035124.pdf","https://dpmzos25m8ivg.cloudfront.net/Documentos/631/10306651416/6311030665141611092023035124.pdf")</f>
        <v>https://dpmzos25m8ivg.cloudfront.net/Documentos/631/10306651416/6311030665141611092023035124.pdf</v>
      </c>
      <c r="G4565" s="5" t="str">
        <f>HYPERLINK("https://dpmzos25m8ivg.cloudfront.net/Documentos/631/10306651416/6311030665141611092023035203.pdf","https://dpmzos25m8ivg.cloudfront.net/Documentos/631/10306651416/6311030665141611092023035203.pdf")</f>
        <v>https://dpmzos25m8ivg.cloudfront.net/Documentos/631/10306651416/6311030665141611092023035203.pdf</v>
      </c>
      <c r="H4565" s="5" t="s">
        <v>13140</v>
      </c>
    </row>
    <row r="4566" spans="1:8" x14ac:dyDescent="0.25">
      <c r="A4566" s="2" t="s">
        <v>4588</v>
      </c>
      <c r="B4566" s="3"/>
      <c r="C4566" s="3"/>
      <c r="D4566" s="3"/>
      <c r="E4566" s="5" t="str">
        <f>HYPERLINK("https://dpmzos25m8ivg.cloudfront.net/Documentos/631/10309022401/6311030902240108092023110100.pdf","https://dpmzos25m8ivg.cloudfront.net/Documentos/631/10309022401/6311030902240108092023110100.pdf")</f>
        <v>https://dpmzos25m8ivg.cloudfront.net/Documentos/631/10309022401/6311030902240108092023110100.pdf</v>
      </c>
      <c r="F4566" s="5" t="str">
        <f>HYPERLINK("https://dpmzos25m8ivg.cloudfront.net/Documentos/631/10309022401/6311030902240108092023110111.pdf","https://dpmzos25m8ivg.cloudfront.net/Documentos/631/10309022401/6311030902240108092023110111.pdf")</f>
        <v>https://dpmzos25m8ivg.cloudfront.net/Documentos/631/10309022401/6311030902240108092023110111.pdf</v>
      </c>
      <c r="G4566" s="5" t="str">
        <f>HYPERLINK("https://dpmzos25m8ivg.cloudfront.net/Documentos/631/10309022401/6311030902240108092023110127.pdf","https://dpmzos25m8ivg.cloudfront.net/Documentos/631/10309022401/6311030902240108092023110127.pdf")</f>
        <v>https://dpmzos25m8ivg.cloudfront.net/Documentos/631/10309022401/6311030902240108092023110127.pdf</v>
      </c>
      <c r="H4566" s="5" t="s">
        <v>13141</v>
      </c>
    </row>
    <row r="4567" spans="1:8" x14ac:dyDescent="0.25">
      <c r="A4567" s="2" t="s">
        <v>4589</v>
      </c>
      <c r="B4567" s="3"/>
      <c r="C4567" s="3"/>
      <c r="D4567" s="3"/>
      <c r="E4567" s="5" t="str">
        <f>HYPERLINK("https://dpmzos25m8ivg.cloudfront.net/Documentos/631/10311218466/6311031121846609092023160137.pdf","https://dpmzos25m8ivg.cloudfront.net/Documentos/631/10311218466/6311031121846609092023160137.pdf")</f>
        <v>https://dpmzos25m8ivg.cloudfront.net/Documentos/631/10311218466/6311031121846609092023160137.pdf</v>
      </c>
      <c r="F4567" s="5" t="str">
        <f>HYPERLINK("https://dpmzos25m8ivg.cloudfront.net/Documentos/631/10311218466/6311031121846609092023160200.pdf","https://dpmzos25m8ivg.cloudfront.net/Documentos/631/10311218466/6311031121846609092023160200.pdf")</f>
        <v>https://dpmzos25m8ivg.cloudfront.net/Documentos/631/10311218466/6311031121846609092023160200.pdf</v>
      </c>
      <c r="G4567" s="5" t="str">
        <f>HYPERLINK("https://dpmzos25m8ivg.cloudfront.net/Documentos/631/10311218466/6311031121846609092023160218.pdf","https://dpmzos25m8ivg.cloudfront.net/Documentos/631/10311218466/6311031121846609092023160218.pdf")</f>
        <v>https://dpmzos25m8ivg.cloudfront.net/Documentos/631/10311218466/6311031121846609092023160218.pdf</v>
      </c>
      <c r="H4567" s="5" t="s">
        <v>13142</v>
      </c>
    </row>
    <row r="4568" spans="1:8" x14ac:dyDescent="0.25">
      <c r="A4568" s="2" t="s">
        <v>4590</v>
      </c>
      <c r="B4568" s="3"/>
      <c r="C4568" s="3"/>
      <c r="D4568" s="3"/>
      <c r="E4568" s="5" t="str">
        <f>HYPERLINK("https://dpmzos25m8ivg.cloudfront.net/Documentos/631/10314320865/6311031432086507092023120543.pdf","https://dpmzos25m8ivg.cloudfront.net/Documentos/631/10314320865/6311031432086507092023120543.pdf")</f>
        <v>https://dpmzos25m8ivg.cloudfront.net/Documentos/631/10314320865/6311031432086507092023120543.pdf</v>
      </c>
      <c r="F4568" s="5" t="str">
        <f>HYPERLINK("https://dpmzos25m8ivg.cloudfront.net/Documentos/631/10314320865/6311031432086507092023120550.pdf","https://dpmzos25m8ivg.cloudfront.net/Documentos/631/10314320865/6311031432086507092023120550.pdf")</f>
        <v>https://dpmzos25m8ivg.cloudfront.net/Documentos/631/10314320865/6311031432086507092023120550.pdf</v>
      </c>
      <c r="G4568" s="5" t="str">
        <f>HYPERLINK("https://dpmzos25m8ivg.cloudfront.net/Documentos/631/10314320865/6311031432086507092023120557.pdf","https://dpmzos25m8ivg.cloudfront.net/Documentos/631/10314320865/6311031432086507092023120557.pdf")</f>
        <v>https://dpmzos25m8ivg.cloudfront.net/Documentos/631/10314320865/6311031432086507092023120557.pdf</v>
      </c>
      <c r="H4568" s="5" t="s">
        <v>13143</v>
      </c>
    </row>
    <row r="4569" spans="1:8" x14ac:dyDescent="0.25">
      <c r="A4569" s="2" t="s">
        <v>4591</v>
      </c>
      <c r="B4569" s="3"/>
      <c r="C4569" s="3"/>
      <c r="D4569" s="3"/>
      <c r="E4569" s="5" t="str">
        <f>HYPERLINK("https://dpmzos25m8ivg.cloudfront.net/Documentos/631/10322081475/6311032208147509092023095131.pdf","https://dpmzos25m8ivg.cloudfront.net/Documentos/631/10322081475/6311032208147509092023095131.pdf")</f>
        <v>https://dpmzos25m8ivg.cloudfront.net/Documentos/631/10322081475/6311032208147509092023095131.pdf</v>
      </c>
      <c r="F4569" s="5" t="str">
        <f>HYPERLINK("https://dpmzos25m8ivg.cloudfront.net/Documentos/631/10322081475/6311032208147509092023095141.pdf","https://dpmzos25m8ivg.cloudfront.net/Documentos/631/10322081475/6311032208147509092023095141.pdf")</f>
        <v>https://dpmzos25m8ivg.cloudfront.net/Documentos/631/10322081475/6311032208147509092023095141.pdf</v>
      </c>
      <c r="G4569" s="5" t="str">
        <f>HYPERLINK("https://dpmzos25m8ivg.cloudfront.net/Documentos/631/10322081475/6311032208147509092023103450.pdf","https://dpmzos25m8ivg.cloudfront.net/Documentos/631/10322081475/6311032208147509092023103450.pdf")</f>
        <v>https://dpmzos25m8ivg.cloudfront.net/Documentos/631/10322081475/6311032208147509092023103450.pdf</v>
      </c>
      <c r="H4569" s="5" t="s">
        <v>13144</v>
      </c>
    </row>
    <row r="4570" spans="1:8" x14ac:dyDescent="0.25">
      <c r="A4570" s="2" t="s">
        <v>4592</v>
      </c>
      <c r="B4570" s="3"/>
      <c r="C4570" s="3"/>
      <c r="D4570" s="3"/>
      <c r="E4570" s="5" t="str">
        <f>HYPERLINK("https://dpmzos25m8ivg.cloudfront.net/Documentos/631/10323001408/6311032300140811092023152848.pdf","https://dpmzos25m8ivg.cloudfront.net/Documentos/631/10323001408/6311032300140811092023152848.pdf")</f>
        <v>https://dpmzos25m8ivg.cloudfront.net/Documentos/631/10323001408/6311032300140811092023152848.pdf</v>
      </c>
      <c r="F4570" s="5" t="str">
        <f>HYPERLINK("https://dpmzos25m8ivg.cloudfront.net/Documentos/631/10323001408/6311032300140811092023153106.pdf","https://dpmzos25m8ivg.cloudfront.net/Documentos/631/10323001408/6311032300140811092023153106.pdf")</f>
        <v>https://dpmzos25m8ivg.cloudfront.net/Documentos/631/10323001408/6311032300140811092023153106.pdf</v>
      </c>
      <c r="G4570" s="5" t="str">
        <f>HYPERLINK("https://dpmzos25m8ivg.cloudfront.net/Documentos/631/10323001408/6311032300140811092023153126.pdf","https://dpmzos25m8ivg.cloudfront.net/Documentos/631/10323001408/6311032300140811092023153126.pdf")</f>
        <v>https://dpmzos25m8ivg.cloudfront.net/Documentos/631/10323001408/6311032300140811092023153126.pdf</v>
      </c>
      <c r="H4570" s="5" t="s">
        <v>13145</v>
      </c>
    </row>
    <row r="4571" spans="1:8" x14ac:dyDescent="0.25">
      <c r="A4571" s="2" t="s">
        <v>4593</v>
      </c>
      <c r="B4571" s="3"/>
      <c r="C4571" s="3"/>
      <c r="D4571" s="3"/>
      <c r="E4571" s="5" t="str">
        <f>HYPERLINK("https://dpmzos25m8ivg.cloudfront.net/Documentos/631/10324456450/6311032445645005092023113111.pdf","https://dpmzos25m8ivg.cloudfront.net/Documentos/631/10324456450/6311032445645005092023113111.pdf")</f>
        <v>https://dpmzos25m8ivg.cloudfront.net/Documentos/631/10324456450/6311032445645005092023113111.pdf</v>
      </c>
      <c r="F4571" s="5" t="str">
        <f>HYPERLINK("https://dpmzos25m8ivg.cloudfront.net/Documentos/631/10324456450/6311032445645005092023113122.pdf","https://dpmzos25m8ivg.cloudfront.net/Documentos/631/10324456450/6311032445645005092023113122.pdf")</f>
        <v>https://dpmzos25m8ivg.cloudfront.net/Documentos/631/10324456450/6311032445645005092023113122.pdf</v>
      </c>
      <c r="G4571" s="5" t="str">
        <f>HYPERLINK("https://dpmzos25m8ivg.cloudfront.net/Documentos/631/10324456450/6311032445645005092023113137.pdf","https://dpmzos25m8ivg.cloudfront.net/Documentos/631/10324456450/6311032445645005092023113137.pdf")</f>
        <v>https://dpmzos25m8ivg.cloudfront.net/Documentos/631/10324456450/6311032445645005092023113137.pdf</v>
      </c>
      <c r="H4571" s="5" t="s">
        <v>13146</v>
      </c>
    </row>
    <row r="4572" spans="1:8" x14ac:dyDescent="0.25">
      <c r="A4572" s="2" t="s">
        <v>4594</v>
      </c>
      <c r="B4572" s="3"/>
      <c r="C4572" s="3"/>
      <c r="D4572" s="3"/>
      <c r="E4572" s="5" t="str">
        <f>HYPERLINK("https://dpmzos25m8ivg.cloudfront.net/Documentos/631/10327155450/6311032715545011092023165621.jpg","https://dpmzos25m8ivg.cloudfront.net/Documentos/631/10327155450/6311032715545011092023165621.jpg")</f>
        <v>https://dpmzos25m8ivg.cloudfront.net/Documentos/631/10327155450/6311032715545011092023165621.jpg</v>
      </c>
      <c r="F4572" s="5" t="str">
        <f>HYPERLINK("https://dpmzos25m8ivg.cloudfront.net/Documentos/631/10327155450/6311032715545011092023165632.jpg","https://dpmzos25m8ivg.cloudfront.net/Documentos/631/10327155450/6311032715545011092023165632.jpg")</f>
        <v>https://dpmzos25m8ivg.cloudfront.net/Documentos/631/10327155450/6311032715545011092023165632.jpg</v>
      </c>
      <c r="G4572" s="5" t="str">
        <f>HYPERLINK("https://dpmzos25m8ivg.cloudfront.net/Documentos/631/10327155450/6311032715545011092023165643.jpg","https://dpmzos25m8ivg.cloudfront.net/Documentos/631/10327155450/6311032715545011092023165643.jpg")</f>
        <v>https://dpmzos25m8ivg.cloudfront.net/Documentos/631/10327155450/6311032715545011092023165643.jpg</v>
      </c>
      <c r="H4572" s="5" t="s">
        <v>13147</v>
      </c>
    </row>
    <row r="4573" spans="1:8" x14ac:dyDescent="0.25">
      <c r="A4573" s="2" t="s">
        <v>4595</v>
      </c>
      <c r="B4573" s="3"/>
      <c r="C4573" s="3"/>
      <c r="D4573" s="3"/>
      <c r="E4573" s="5" t="str">
        <f>HYPERLINK("https://dpmzos25m8ivg.cloudfront.net/Documentos/631/10327867442/6311032786744206092023143847.jpg","https://dpmzos25m8ivg.cloudfront.net/Documentos/631/10327867442/6311032786744206092023143847.jpg")</f>
        <v>https://dpmzos25m8ivg.cloudfront.net/Documentos/631/10327867442/6311032786744206092023143847.jpg</v>
      </c>
      <c r="F4573" s="5" t="str">
        <f>HYPERLINK("https://dpmzos25m8ivg.cloudfront.net/Documentos/631/10327867442/6311032786744206092023144213.jpg","https://dpmzos25m8ivg.cloudfront.net/Documentos/631/10327867442/6311032786744206092023144213.jpg")</f>
        <v>https://dpmzos25m8ivg.cloudfront.net/Documentos/631/10327867442/6311032786744206092023144213.jpg</v>
      </c>
      <c r="G4573" s="5" t="str">
        <f>HYPERLINK("https://dpmzos25m8ivg.cloudfront.net/Documentos/631/10327867442/6311032786744206092023144231.jpg","https://dpmzos25m8ivg.cloudfront.net/Documentos/631/10327867442/6311032786744206092023144231.jpg")</f>
        <v>https://dpmzos25m8ivg.cloudfront.net/Documentos/631/10327867442/6311032786744206092023144231.jpg</v>
      </c>
      <c r="H4573" s="5" t="s">
        <v>13148</v>
      </c>
    </row>
    <row r="4574" spans="1:8" x14ac:dyDescent="0.25">
      <c r="A4574" s="2" t="s">
        <v>4596</v>
      </c>
      <c r="B4574" s="3"/>
      <c r="C4574" s="3"/>
      <c r="D4574" s="3"/>
      <c r="E4574" s="5" t="str">
        <f>HYPERLINK("https://dpmzos25m8ivg.cloudfront.net/Documentos/631/10331952432/6311033195243211092023103715.jpg","https://dpmzos25m8ivg.cloudfront.net/Documentos/631/10331952432/6311033195243211092023103715.jpg")</f>
        <v>https://dpmzos25m8ivg.cloudfront.net/Documentos/631/10331952432/6311033195243211092023103715.jpg</v>
      </c>
      <c r="F4574" s="5" t="str">
        <f>HYPERLINK("https://dpmzos25m8ivg.cloudfront.net/Documentos/631/10331952432/6311033195243211092023103757.jpg","https://dpmzos25m8ivg.cloudfront.net/Documentos/631/10331952432/6311033195243211092023103757.jpg")</f>
        <v>https://dpmzos25m8ivg.cloudfront.net/Documentos/631/10331952432/6311033195243211092023103757.jpg</v>
      </c>
      <c r="G4574" s="5" t="str">
        <f>HYPERLINK("https://dpmzos25m8ivg.cloudfront.net/Documentos/631/10331952432/6311033195243211092023103834.jpg","https://dpmzos25m8ivg.cloudfront.net/Documentos/631/10331952432/6311033195243211092023103834.jpg")</f>
        <v>https://dpmzos25m8ivg.cloudfront.net/Documentos/631/10331952432/6311033195243211092023103834.jpg</v>
      </c>
      <c r="H4574" s="5" t="s">
        <v>13149</v>
      </c>
    </row>
    <row r="4575" spans="1:8" x14ac:dyDescent="0.25">
      <c r="A4575" s="2" t="s">
        <v>4597</v>
      </c>
      <c r="B4575" s="3" t="s">
        <v>42</v>
      </c>
      <c r="C4575" s="3"/>
      <c r="D4575" s="3"/>
      <c r="E4575" s="5" t="str">
        <f>HYPERLINK("https://dpmzos25m8ivg.cloudfront.net/Documentos/631/10335216471/6311033521647108092023113741.jpeg","https://dpmzos25m8ivg.cloudfront.net/Documentos/631/10335216471/6311033521647108092023113741.jpeg")</f>
        <v>https://dpmzos25m8ivg.cloudfront.net/Documentos/631/10335216471/6311033521647108092023113741.jpeg</v>
      </c>
      <c r="F4575" s="5" t="str">
        <f>HYPERLINK("https://dpmzos25m8ivg.cloudfront.net/Documentos/631/10335216471/6311033521647108092023113750.jpeg","https://dpmzos25m8ivg.cloudfront.net/Documentos/631/10335216471/6311033521647108092023113750.jpeg")</f>
        <v>https://dpmzos25m8ivg.cloudfront.net/Documentos/631/10335216471/6311033521647108092023113750.jpeg</v>
      </c>
      <c r="G4575" s="5" t="str">
        <f>HYPERLINK("https://dpmzos25m8ivg.cloudfront.net/Documentos/631/10335216471/6311033521647108092023113801.jpeg","https://dpmzos25m8ivg.cloudfront.net/Documentos/631/10335216471/6311033521647108092023113801.jpeg")</f>
        <v>https://dpmzos25m8ivg.cloudfront.net/Documentos/631/10335216471/6311033521647108092023113801.jpeg</v>
      </c>
      <c r="H4575" s="5" t="s">
        <v>13150</v>
      </c>
    </row>
    <row r="4576" spans="1:8" x14ac:dyDescent="0.25">
      <c r="A4576" s="2" t="s">
        <v>4598</v>
      </c>
      <c r="B4576" s="3"/>
      <c r="C4576" s="3"/>
      <c r="D4576" s="3"/>
      <c r="E4576" s="5" t="str">
        <f>HYPERLINK("https://dpmzos25m8ivg.cloudfront.net/Documentos/631/10336970609/6311033697060911092023093013.pdf","https://dpmzos25m8ivg.cloudfront.net/Documentos/631/10336970609/6311033697060911092023093013.pdf")</f>
        <v>https://dpmzos25m8ivg.cloudfront.net/Documentos/631/10336970609/6311033697060911092023093013.pdf</v>
      </c>
      <c r="F4576" s="5" t="str">
        <f>HYPERLINK("https://dpmzos25m8ivg.cloudfront.net/Documentos/631/10336970609/6311033697060911092023093022.pdf","https://dpmzos25m8ivg.cloudfront.net/Documentos/631/10336970609/6311033697060911092023093022.pdf")</f>
        <v>https://dpmzos25m8ivg.cloudfront.net/Documentos/631/10336970609/6311033697060911092023093022.pdf</v>
      </c>
      <c r="G4576" s="5" t="str">
        <f>HYPERLINK("https://dpmzos25m8ivg.cloudfront.net/Documentos/631/10336970609/6311033697060911092023093031.pdf","https://dpmzos25m8ivg.cloudfront.net/Documentos/631/10336970609/6311033697060911092023093031.pdf")</f>
        <v>https://dpmzos25m8ivg.cloudfront.net/Documentos/631/10336970609/6311033697060911092023093031.pdf</v>
      </c>
      <c r="H4576" s="5" t="s">
        <v>13151</v>
      </c>
    </row>
    <row r="4577" spans="1:8" x14ac:dyDescent="0.25">
      <c r="A4577" s="2" t="s">
        <v>4599</v>
      </c>
      <c r="B4577" s="3"/>
      <c r="C4577" s="3"/>
      <c r="D4577" s="3"/>
      <c r="E4577" s="5" t="str">
        <f>HYPERLINK("https://dpmzos25m8ivg.cloudfront.net/Documentos/631/10337836418/6311033783641811092023160841.pdf","https://dpmzos25m8ivg.cloudfront.net/Documentos/631/10337836418/6311033783641811092023160841.pdf")</f>
        <v>https://dpmzos25m8ivg.cloudfront.net/Documentos/631/10337836418/6311033783641811092023160841.pdf</v>
      </c>
      <c r="F4577" s="5" t="str">
        <f>HYPERLINK("https://dpmzos25m8ivg.cloudfront.net/Documentos/631/10337836418/6311033783641811092023160901.pdf","https://dpmzos25m8ivg.cloudfront.net/Documentos/631/10337836418/6311033783641811092023160901.pdf")</f>
        <v>https://dpmzos25m8ivg.cloudfront.net/Documentos/631/10337836418/6311033783641811092023160901.pdf</v>
      </c>
      <c r="G4577" s="5" t="str">
        <f>HYPERLINK("https://dpmzos25m8ivg.cloudfront.net/Documentos/631/10337836418/6311033783641811092023160921.pdf","https://dpmzos25m8ivg.cloudfront.net/Documentos/631/10337836418/6311033783641811092023160921.pdf")</f>
        <v>https://dpmzos25m8ivg.cloudfront.net/Documentos/631/10337836418/6311033783641811092023160921.pdf</v>
      </c>
      <c r="H4577" s="5" t="s">
        <v>13152</v>
      </c>
    </row>
    <row r="4578" spans="1:8" x14ac:dyDescent="0.25">
      <c r="A4578" s="2" t="s">
        <v>4600</v>
      </c>
      <c r="B4578" s="3"/>
      <c r="C4578" s="3"/>
      <c r="D4578" s="3"/>
      <c r="E4578" s="5" t="str">
        <f>HYPERLINK("https://dpmzos25m8ivg.cloudfront.net/Documentos/631/10341220701/6311034122070107092023230348.pdf","https://dpmzos25m8ivg.cloudfront.net/Documentos/631/10341220701/6311034122070107092023230348.pdf")</f>
        <v>https://dpmzos25m8ivg.cloudfront.net/Documentos/631/10341220701/6311034122070107092023230348.pdf</v>
      </c>
      <c r="F4578" s="5" t="str">
        <f>HYPERLINK("https://dpmzos25m8ivg.cloudfront.net/Documentos/631/10341220701/6311034122070107092023230416.pdf","https://dpmzos25m8ivg.cloudfront.net/Documentos/631/10341220701/6311034122070107092023230416.pdf")</f>
        <v>https://dpmzos25m8ivg.cloudfront.net/Documentos/631/10341220701/6311034122070107092023230416.pdf</v>
      </c>
      <c r="G4578" s="5" t="str">
        <f>HYPERLINK("https://dpmzos25m8ivg.cloudfront.net/Documentos/631/10341220701/6311034122070107092023230442.pdf","https://dpmzos25m8ivg.cloudfront.net/Documentos/631/10341220701/6311034122070107092023230442.pdf")</f>
        <v>https://dpmzos25m8ivg.cloudfront.net/Documentos/631/10341220701/6311034122070107092023230442.pdf</v>
      </c>
      <c r="H4578" s="5" t="s">
        <v>13153</v>
      </c>
    </row>
    <row r="4579" spans="1:8" x14ac:dyDescent="0.25">
      <c r="A4579" s="2" t="s">
        <v>4601</v>
      </c>
      <c r="B4579" s="3"/>
      <c r="C4579" s="3"/>
      <c r="D4579" s="3"/>
      <c r="E4579" s="5" t="str">
        <f>HYPERLINK("https://dpmzos25m8ivg.cloudfront.net/Documentos/631/10343878984/6311034387898411092023144256.pdf","https://dpmzos25m8ivg.cloudfront.net/Documentos/631/10343878984/6311034387898411092023144256.pdf")</f>
        <v>https://dpmzos25m8ivg.cloudfront.net/Documentos/631/10343878984/6311034387898411092023144256.pdf</v>
      </c>
      <c r="F4579" s="5" t="str">
        <f>HYPERLINK("https://dpmzos25m8ivg.cloudfront.net/Documentos/631/10343878984/6311034387898411092023144309.pdf","https://dpmzos25m8ivg.cloudfront.net/Documentos/631/10343878984/6311034387898411092023144309.pdf")</f>
        <v>https://dpmzos25m8ivg.cloudfront.net/Documentos/631/10343878984/6311034387898411092023144309.pdf</v>
      </c>
      <c r="G4579" s="5" t="str">
        <f>HYPERLINK("https://dpmzos25m8ivg.cloudfront.net/Documentos/631/10343878984/6311034387898411092023144320.pdf","https://dpmzos25m8ivg.cloudfront.net/Documentos/631/10343878984/6311034387898411092023144320.pdf")</f>
        <v>https://dpmzos25m8ivg.cloudfront.net/Documentos/631/10343878984/6311034387898411092023144320.pdf</v>
      </c>
      <c r="H4579" s="5" t="s">
        <v>13154</v>
      </c>
    </row>
    <row r="4580" spans="1:8" x14ac:dyDescent="0.25">
      <c r="A4580" s="2" t="s">
        <v>4602</v>
      </c>
      <c r="B4580" s="3"/>
      <c r="C4580" s="3"/>
      <c r="D4580" s="3"/>
      <c r="E4580" s="5" t="str">
        <f>HYPERLINK("https://dpmzos25m8ivg.cloudfront.net/Documentos/631/10345656482/6311034565648211092023145710.pdf","https://dpmzos25m8ivg.cloudfront.net/Documentos/631/10345656482/6311034565648211092023145710.pdf")</f>
        <v>https://dpmzos25m8ivg.cloudfront.net/Documentos/631/10345656482/6311034565648211092023145710.pdf</v>
      </c>
      <c r="F4580" s="5" t="str">
        <f>HYPERLINK("https://dpmzos25m8ivg.cloudfront.net/Documentos/631/10345656482/6311034565648211092023145725.pdf","https://dpmzos25m8ivg.cloudfront.net/Documentos/631/10345656482/6311034565648211092023145725.pdf")</f>
        <v>https://dpmzos25m8ivg.cloudfront.net/Documentos/631/10345656482/6311034565648211092023145725.pdf</v>
      </c>
      <c r="G4580" s="5" t="str">
        <f>HYPERLINK("https://dpmzos25m8ivg.cloudfront.net/Documentos/631/10345656482/6311034565648211092023145740.pdf","https://dpmzos25m8ivg.cloudfront.net/Documentos/631/10345656482/6311034565648211092023145740.pdf")</f>
        <v>https://dpmzos25m8ivg.cloudfront.net/Documentos/631/10345656482/6311034565648211092023145740.pdf</v>
      </c>
      <c r="H4580" s="5" t="s">
        <v>13155</v>
      </c>
    </row>
    <row r="4581" spans="1:8" x14ac:dyDescent="0.25">
      <c r="A4581" s="2" t="s">
        <v>4603</v>
      </c>
      <c r="B4581" s="3"/>
      <c r="C4581" s="3"/>
      <c r="D4581" s="3"/>
      <c r="E4581" s="5" t="str">
        <f>HYPERLINK("https://dpmzos25m8ivg.cloudfront.net/Documentos/631/10345824458/6311034582445811092023131332.pdf","https://dpmzos25m8ivg.cloudfront.net/Documentos/631/10345824458/6311034582445811092023131332.pdf")</f>
        <v>https://dpmzos25m8ivg.cloudfront.net/Documentos/631/10345824458/6311034582445811092023131332.pdf</v>
      </c>
      <c r="F4581" s="5" t="str">
        <f>HYPERLINK("https://dpmzos25m8ivg.cloudfront.net/Documentos/631/10345824458/6311034582445811092023131417.pdf","https://dpmzos25m8ivg.cloudfront.net/Documentos/631/10345824458/6311034582445811092023131417.pdf")</f>
        <v>https://dpmzos25m8ivg.cloudfront.net/Documentos/631/10345824458/6311034582445811092023131417.pdf</v>
      </c>
      <c r="G4581" s="5" t="str">
        <f>HYPERLINK("https://dpmzos25m8ivg.cloudfront.net/Documentos/631/10345824458/6311034582445811092023131639.pdf","https://dpmzos25m8ivg.cloudfront.net/Documentos/631/10345824458/6311034582445811092023131639.pdf")</f>
        <v>https://dpmzos25m8ivg.cloudfront.net/Documentos/631/10345824458/6311034582445811092023131639.pdf</v>
      </c>
      <c r="H4581" s="5" t="s">
        <v>13156</v>
      </c>
    </row>
    <row r="4582" spans="1:8" x14ac:dyDescent="0.25">
      <c r="A4582" s="2" t="s">
        <v>4604</v>
      </c>
      <c r="B4582" s="3"/>
      <c r="C4582" s="3"/>
      <c r="D4582" s="3"/>
      <c r="E4582" s="5" t="str">
        <f>HYPERLINK("https://dpmzos25m8ivg.cloudfront.net/Documentos/631/10349883440/6311034988344011092023150645.jpeg","https://dpmzos25m8ivg.cloudfront.net/Documentos/631/10349883440/6311034988344011092023150645.jpeg")</f>
        <v>https://dpmzos25m8ivg.cloudfront.net/Documentos/631/10349883440/6311034988344011092023150645.jpeg</v>
      </c>
      <c r="F4582" s="5" t="str">
        <f>HYPERLINK("https://dpmzos25m8ivg.cloudfront.net/Documentos/631/10349883440/6311034988344011092023150700.jpeg","https://dpmzos25m8ivg.cloudfront.net/Documentos/631/10349883440/6311034988344011092023150700.jpeg")</f>
        <v>https://dpmzos25m8ivg.cloudfront.net/Documentos/631/10349883440/6311034988344011092023150700.jpeg</v>
      </c>
      <c r="G4582" s="5" t="str">
        <f>HYPERLINK("https://dpmzos25m8ivg.cloudfront.net/Documentos/631/10349883440/6311034988344011092023150715.jpeg","https://dpmzos25m8ivg.cloudfront.net/Documentos/631/10349883440/6311034988344011092023150715.jpeg")</f>
        <v>https://dpmzos25m8ivg.cloudfront.net/Documentos/631/10349883440/6311034988344011092023150715.jpeg</v>
      </c>
      <c r="H4582" s="5" t="s">
        <v>13157</v>
      </c>
    </row>
    <row r="4583" spans="1:8" x14ac:dyDescent="0.25">
      <c r="A4583" s="2" t="s">
        <v>4605</v>
      </c>
      <c r="B4583" s="3"/>
      <c r="C4583" s="3"/>
      <c r="D4583" s="3"/>
      <c r="E4583" s="5" t="str">
        <f>HYPERLINK("https://dpmzos25m8ivg.cloudfront.net/Documentos/631/10352615451/6311035261545111092023132934.jpg","https://dpmzos25m8ivg.cloudfront.net/Documentos/631/10352615451/6311035261545111092023132934.jpg")</f>
        <v>https://dpmzos25m8ivg.cloudfront.net/Documentos/631/10352615451/6311035261545111092023132934.jpg</v>
      </c>
      <c r="F4583" s="5" t="str">
        <f>HYPERLINK("https://dpmzos25m8ivg.cloudfront.net/Documentos/631/10352615451/6311035261545111092023133153.jpg","https://dpmzos25m8ivg.cloudfront.net/Documentos/631/10352615451/6311035261545111092023133153.jpg")</f>
        <v>https://dpmzos25m8ivg.cloudfront.net/Documentos/631/10352615451/6311035261545111092023133153.jpg</v>
      </c>
      <c r="G4583" s="5" t="str">
        <f>HYPERLINK("https://dpmzos25m8ivg.cloudfront.net/Documentos/631/10352615451/6311035261545111092023133337.jpg","https://dpmzos25m8ivg.cloudfront.net/Documentos/631/10352615451/6311035261545111092023133337.jpg")</f>
        <v>https://dpmzos25m8ivg.cloudfront.net/Documentos/631/10352615451/6311035261545111092023133337.jpg</v>
      </c>
      <c r="H4583" s="5" t="s">
        <v>13158</v>
      </c>
    </row>
    <row r="4584" spans="1:8" x14ac:dyDescent="0.25">
      <c r="A4584" s="2" t="s">
        <v>4606</v>
      </c>
      <c r="B4584" s="3"/>
      <c r="C4584" s="3"/>
      <c r="D4584" s="3"/>
      <c r="E4584" s="5" t="str">
        <f>HYPERLINK("https://dpmzos25m8ivg.cloudfront.net/Documentos/631/10355442701/6311035544270111092023162204.pdf","https://dpmzos25m8ivg.cloudfront.net/Documentos/631/10355442701/6311035544270111092023162204.pdf")</f>
        <v>https://dpmzos25m8ivg.cloudfront.net/Documentos/631/10355442701/6311035544270111092023162204.pdf</v>
      </c>
      <c r="F4584" s="5" t="str">
        <f>HYPERLINK("https://dpmzos25m8ivg.cloudfront.net/Documentos/631/10355442701/6311035544270111092023162237.pdf","https://dpmzos25m8ivg.cloudfront.net/Documentos/631/10355442701/6311035544270111092023162237.pdf")</f>
        <v>https://dpmzos25m8ivg.cloudfront.net/Documentos/631/10355442701/6311035544270111092023162237.pdf</v>
      </c>
      <c r="G4584" s="5" t="str">
        <f>HYPERLINK("https://dpmzos25m8ivg.cloudfront.net/Documentos/631/10355442701/6311035544270111092023162256.pdf","https://dpmzos25m8ivg.cloudfront.net/Documentos/631/10355442701/6311035544270111092023162256.pdf")</f>
        <v>https://dpmzos25m8ivg.cloudfront.net/Documentos/631/10355442701/6311035544270111092023162256.pdf</v>
      </c>
      <c r="H4584" s="5" t="s">
        <v>13159</v>
      </c>
    </row>
    <row r="4585" spans="1:8" x14ac:dyDescent="0.25">
      <c r="A4585" s="2" t="s">
        <v>4607</v>
      </c>
      <c r="B4585" s="3"/>
      <c r="C4585" s="3"/>
      <c r="D4585" s="3"/>
      <c r="E4585" s="5" t="str">
        <f>HYPERLINK("https://dpmzos25m8ivg.cloudfront.net/Documentos/631/10360929419/6311036092941911092023160848.pdf","https://dpmzos25m8ivg.cloudfront.net/Documentos/631/10360929419/6311036092941911092023160848.pdf")</f>
        <v>https://dpmzos25m8ivg.cloudfront.net/Documentos/631/10360929419/6311036092941911092023160848.pdf</v>
      </c>
      <c r="F4585" s="5" t="str">
        <f>HYPERLINK("https://dpmzos25m8ivg.cloudfront.net/Documentos/631/10360929419/6311036092941911092023160856.pdf","https://dpmzos25m8ivg.cloudfront.net/Documentos/631/10360929419/6311036092941911092023160856.pdf")</f>
        <v>https://dpmzos25m8ivg.cloudfront.net/Documentos/631/10360929419/6311036092941911092023160856.pdf</v>
      </c>
      <c r="G4585" s="5" t="str">
        <f>HYPERLINK("https://dpmzos25m8ivg.cloudfront.net/Documentos/631/10360929419/6311036092941911092023160903.pdf","https://dpmzos25m8ivg.cloudfront.net/Documentos/631/10360929419/6311036092941911092023160903.pdf")</f>
        <v>https://dpmzos25m8ivg.cloudfront.net/Documentos/631/10360929419/6311036092941911092023160903.pdf</v>
      </c>
      <c r="H4585" s="5" t="s">
        <v>13160</v>
      </c>
    </row>
    <row r="4586" spans="1:8" x14ac:dyDescent="0.25">
      <c r="A4586" s="2" t="s">
        <v>4608</v>
      </c>
      <c r="B4586" s="3"/>
      <c r="C4586" s="3"/>
      <c r="D4586" s="3"/>
      <c r="E4586" s="4" t="str">
        <f>HYPERLINK("https://dpmzos25m8ivg.cloudfront.net/Documentos/631/10362277907/6311036227790711092023160951.jpg","https://dpmzos25m8ivg.cloudfront.net/Documentos/631/10362277907/6311036227790711092023160951.jpg")</f>
        <v>https://dpmzos25m8ivg.cloudfront.net/Documentos/631/10362277907/6311036227790711092023160951.jpg</v>
      </c>
      <c r="F4586" s="5" t="str">
        <f>HYPERLINK("https://dpmzos25m8ivg.cloudfront.net/Documentos/631/10362277907/6311036227790711092023161001.jpg","https://dpmzos25m8ivg.cloudfront.net/Documentos/631/10362277907/6311036227790711092023161001.jpg")</f>
        <v>https://dpmzos25m8ivg.cloudfront.net/Documentos/631/10362277907/6311036227790711092023161001.jpg</v>
      </c>
      <c r="G4586" s="5" t="str">
        <f>HYPERLINK("https://dpmzos25m8ivg.cloudfront.net/Documentos/631/10362277907/6311036227790711092023161010.jpg","https://dpmzos25m8ivg.cloudfront.net/Documentos/631/10362277907/6311036227790711092023161010.jpg")</f>
        <v>https://dpmzos25m8ivg.cloudfront.net/Documentos/631/10362277907/6311036227790711092023161010.jpg</v>
      </c>
      <c r="H4586" s="5" t="s">
        <v>13161</v>
      </c>
    </row>
    <row r="4587" spans="1:8" x14ac:dyDescent="0.25">
      <c r="A4587" s="2" t="s">
        <v>4609</v>
      </c>
      <c r="B4587" s="3"/>
      <c r="C4587" s="3"/>
      <c r="D4587" s="3"/>
      <c r="E4587" s="5" t="str">
        <f>HYPERLINK("https://dpmzos25m8ivg.cloudfront.net/Documentos/631/10362777470/6311036277747010092023204515.pdf","https://dpmzos25m8ivg.cloudfront.net/Documentos/631/10362777470/6311036277747010092023204515.pdf")</f>
        <v>https://dpmzos25m8ivg.cloudfront.net/Documentos/631/10362777470/6311036277747010092023204515.pdf</v>
      </c>
      <c r="F4587" s="5" t="str">
        <f>HYPERLINK("https://dpmzos25m8ivg.cloudfront.net/Documentos/631/10362777470/6311036277747010092023204538.pdf","https://dpmzos25m8ivg.cloudfront.net/Documentos/631/10362777470/6311036277747010092023204538.pdf")</f>
        <v>https://dpmzos25m8ivg.cloudfront.net/Documentos/631/10362777470/6311036277747010092023204538.pdf</v>
      </c>
      <c r="G4587" s="5" t="str">
        <f>HYPERLINK("https://dpmzos25m8ivg.cloudfront.net/Documentos/631/10362777470/6311036277747010092023204605.pdf","https://dpmzos25m8ivg.cloudfront.net/Documentos/631/10362777470/6311036277747010092023204605.pdf")</f>
        <v>https://dpmzos25m8ivg.cloudfront.net/Documentos/631/10362777470/6311036277747010092023204605.pdf</v>
      </c>
      <c r="H4587" s="5" t="s">
        <v>13162</v>
      </c>
    </row>
    <row r="4588" spans="1:8" x14ac:dyDescent="0.25">
      <c r="A4588" s="2" t="s">
        <v>4610</v>
      </c>
      <c r="B4588" s="3"/>
      <c r="C4588" s="3"/>
      <c r="D4588" s="3"/>
      <c r="E4588" s="5" t="str">
        <f>HYPERLINK("https://dpmzos25m8ivg.cloudfront.net/Documentos/631/10367495414/6311036749541410092023224254.pdf","https://dpmzos25m8ivg.cloudfront.net/Documentos/631/10367495414/6311036749541410092023224254.pdf")</f>
        <v>https://dpmzos25m8ivg.cloudfront.net/Documentos/631/10367495414/6311036749541410092023224254.pdf</v>
      </c>
      <c r="F4588" s="5" t="str">
        <f>HYPERLINK("https://dpmzos25m8ivg.cloudfront.net/Documentos/631/10367495414/6311036749541410092023224314.pdf","https://dpmzos25m8ivg.cloudfront.net/Documentos/631/10367495414/6311036749541410092023224314.pdf")</f>
        <v>https://dpmzos25m8ivg.cloudfront.net/Documentos/631/10367495414/6311036749541410092023224314.pdf</v>
      </c>
      <c r="G4588" s="5" t="str">
        <f>HYPERLINK("https://dpmzos25m8ivg.cloudfront.net/Documentos/631/10367495414/6311036749541410092023224327.pdf","https://dpmzos25m8ivg.cloudfront.net/Documentos/631/10367495414/6311036749541410092023224327.pdf")</f>
        <v>https://dpmzos25m8ivg.cloudfront.net/Documentos/631/10367495414/6311036749541410092023224327.pdf</v>
      </c>
      <c r="H4588" s="5" t="s">
        <v>13163</v>
      </c>
    </row>
    <row r="4589" spans="1:8" x14ac:dyDescent="0.25">
      <c r="A4589" s="21" t="s">
        <v>4611</v>
      </c>
      <c r="B4589" s="3"/>
      <c r="C4589" s="3"/>
      <c r="D4589" s="3"/>
      <c r="E4589" s="5" t="str">
        <f>HYPERLINK("https://dpmzos25m8ivg.cloudfront.net/Documentos/631/10369332881/6311036933288106092023164736.pdf","https://dpmzos25m8ivg.cloudfront.net/Documentos/631/10369332881/6311036933288106092023164736.pdf")</f>
        <v>https://dpmzos25m8ivg.cloudfront.net/Documentos/631/10369332881/6311036933288106092023164736.pdf</v>
      </c>
      <c r="F4589" s="5" t="str">
        <f>HYPERLINK("https://dpmzos25m8ivg.cloudfront.net/Documentos/631/10369332881/6311036933288106092023164749.pdf","https://dpmzos25m8ivg.cloudfront.net/Documentos/631/10369332881/6311036933288106092023164749.pdf")</f>
        <v>https://dpmzos25m8ivg.cloudfront.net/Documentos/631/10369332881/6311036933288106092023164749.pdf</v>
      </c>
      <c r="G4589" s="5" t="str">
        <f>HYPERLINK("https://dpmzos25m8ivg.cloudfront.net/Documentos/631/10369332881/6311036933288106092023164802.pdf","https://dpmzos25m8ivg.cloudfront.net/Documentos/631/10369332881/6311036933288106092023164802.pdf")</f>
        <v>https://dpmzos25m8ivg.cloudfront.net/Documentos/631/10369332881/6311036933288106092023164802.pdf</v>
      </c>
      <c r="H4589" s="5" t="s">
        <v>13164</v>
      </c>
    </row>
    <row r="4590" spans="1:8" x14ac:dyDescent="0.25">
      <c r="A4590" s="2" t="s">
        <v>4612</v>
      </c>
      <c r="B4590" s="3"/>
      <c r="C4590" s="3"/>
      <c r="D4590" s="3"/>
      <c r="E4590" s="5" t="str">
        <f>HYPERLINK("https://dpmzos25m8ivg.cloudfront.net/Documentos/631/10384106730/6311038410673005092023195012.pdf","https://dpmzos25m8ivg.cloudfront.net/Documentos/631/10384106730/6311038410673005092023195012.pdf")</f>
        <v>https://dpmzos25m8ivg.cloudfront.net/Documentos/631/10384106730/6311038410673005092023195012.pdf</v>
      </c>
      <c r="F4590" s="5" t="str">
        <f>HYPERLINK("https://dpmzos25m8ivg.cloudfront.net/Documentos/631/10384106730/6311038410673005092023195028.pdf","https://dpmzos25m8ivg.cloudfront.net/Documentos/631/10384106730/6311038410673005092023195028.pdf")</f>
        <v>https://dpmzos25m8ivg.cloudfront.net/Documentos/631/10384106730/6311038410673005092023195028.pdf</v>
      </c>
      <c r="G4590" s="5" t="str">
        <f>HYPERLINK("https://dpmzos25m8ivg.cloudfront.net/Documentos/631/10384106730/6311038410673005092023195038.pdf","https://dpmzos25m8ivg.cloudfront.net/Documentos/631/10384106730/6311038410673005092023195038.pdf")</f>
        <v>https://dpmzos25m8ivg.cloudfront.net/Documentos/631/10384106730/6311038410673005092023195038.pdf</v>
      </c>
      <c r="H4590" s="5" t="s">
        <v>13165</v>
      </c>
    </row>
    <row r="4591" spans="1:8" x14ac:dyDescent="0.25">
      <c r="A4591" s="21" t="s">
        <v>4613</v>
      </c>
      <c r="B4591" s="16" t="s">
        <v>42</v>
      </c>
      <c r="C4591" s="3"/>
      <c r="D4591" s="3"/>
      <c r="E4591" s="5" t="str">
        <f>HYPERLINK("https://dpmzos25m8ivg.cloudfront.net/Documentos/631/10386557659/6311038655765905092023151146.pdf","https://dpmzos25m8ivg.cloudfront.net/Documentos/631/10386557659/6311038655765905092023151146.pdf")</f>
        <v>https://dpmzos25m8ivg.cloudfront.net/Documentos/631/10386557659/6311038655765905092023151146.pdf</v>
      </c>
      <c r="F4591" s="5" t="str">
        <f>HYPERLINK("https://dpmzos25m8ivg.cloudfront.net/Documentos/631/10386557659/6311038655765905092023151204.pdf","https://dpmzos25m8ivg.cloudfront.net/Documentos/631/10386557659/6311038655765905092023151204.pdf")</f>
        <v>https://dpmzos25m8ivg.cloudfront.net/Documentos/631/10386557659/6311038655765905092023151204.pdf</v>
      </c>
      <c r="G4591" s="5" t="str">
        <f>HYPERLINK("https://dpmzos25m8ivg.cloudfront.net/Documentos/631/10386557659/6311038655765905092023151231.pdf","https://dpmzos25m8ivg.cloudfront.net/Documentos/631/10386557659/6311038655765905092023151231.pdf")</f>
        <v>https://dpmzos25m8ivg.cloudfront.net/Documentos/631/10386557659/6311038655765905092023151231.pdf</v>
      </c>
      <c r="H4591" s="5" t="s">
        <v>13166</v>
      </c>
    </row>
    <row r="4592" spans="1:8" x14ac:dyDescent="0.25">
      <c r="A4592" s="21" t="s">
        <v>4614</v>
      </c>
      <c r="B4592" s="16" t="s">
        <v>8</v>
      </c>
      <c r="C4592" s="3"/>
      <c r="D4592" s="3"/>
      <c r="E4592" s="5" t="str">
        <f>HYPERLINK("https://dpmzos25m8ivg.cloudfront.net/Documentos/631/10387683658/6311038768365808092023141719.pdf","https://dpmzos25m8ivg.cloudfront.net/Documentos/631/10387683658/6311038768365808092023141719.pdf")</f>
        <v>https://dpmzos25m8ivg.cloudfront.net/Documentos/631/10387683658/6311038768365808092023141719.pdf</v>
      </c>
      <c r="F4592" s="5" t="str">
        <f>HYPERLINK("https://dpmzos25m8ivg.cloudfront.net/Documentos/631/10387683658/6311038768365808092023141727.pdf","https://dpmzos25m8ivg.cloudfront.net/Documentos/631/10387683658/6311038768365808092023141727.pdf")</f>
        <v>https://dpmzos25m8ivg.cloudfront.net/Documentos/631/10387683658/6311038768365808092023141727.pdf</v>
      </c>
      <c r="G4592" s="5" t="str">
        <f>HYPERLINK("https://dpmzos25m8ivg.cloudfront.net/Documentos/631/10387683658/6311038768365808092023141738.pdf","https://dpmzos25m8ivg.cloudfront.net/Documentos/631/10387683658/6311038768365808092023141738.pdf")</f>
        <v>https://dpmzos25m8ivg.cloudfront.net/Documentos/631/10387683658/6311038768365808092023141738.pdf</v>
      </c>
      <c r="H4592" s="5" t="s">
        <v>13167</v>
      </c>
    </row>
    <row r="4593" spans="1:8" x14ac:dyDescent="0.25">
      <c r="A4593" s="2" t="s">
        <v>4615</v>
      </c>
      <c r="B4593" s="3"/>
      <c r="C4593" s="3"/>
      <c r="D4593" s="3"/>
      <c r="E4593" s="5" t="str">
        <f>HYPERLINK("https://dpmzos25m8ivg.cloudfront.net/Documentos/631/10389651443/6311038965144311092023040833.pdf","https://dpmzos25m8ivg.cloudfront.net/Documentos/631/10389651443/6311038965144311092023040833.pdf")</f>
        <v>https://dpmzos25m8ivg.cloudfront.net/Documentos/631/10389651443/6311038965144311092023040833.pdf</v>
      </c>
      <c r="F4593" s="5" t="str">
        <f>HYPERLINK("https://dpmzos25m8ivg.cloudfront.net/Documentos/631/10389651443/6311038965144311092023040859.pdf","https://dpmzos25m8ivg.cloudfront.net/Documentos/631/10389651443/6311038965144311092023040859.pdf")</f>
        <v>https://dpmzos25m8ivg.cloudfront.net/Documentos/631/10389651443/6311038965144311092023040859.pdf</v>
      </c>
      <c r="G4593" s="5" t="str">
        <f>HYPERLINK("https://dpmzos25m8ivg.cloudfront.net/Documentos/631/10389651443/6311038965144311092023040909.pdf","https://dpmzos25m8ivg.cloudfront.net/Documentos/631/10389651443/6311038965144311092023040909.pdf")</f>
        <v>https://dpmzos25m8ivg.cloudfront.net/Documentos/631/10389651443/6311038965144311092023040909.pdf</v>
      </c>
      <c r="H4593" s="5" t="s">
        <v>13168</v>
      </c>
    </row>
    <row r="4594" spans="1:8" x14ac:dyDescent="0.25">
      <c r="A4594" s="2" t="s">
        <v>4616</v>
      </c>
      <c r="B4594" s="3"/>
      <c r="C4594" s="3"/>
      <c r="D4594" s="3"/>
      <c r="E4594" s="5" t="str">
        <f>HYPERLINK("https://dpmzos25m8ivg.cloudfront.net/Documentos/631/10394598466/6311039459846611092023103358.pdf","https://dpmzos25m8ivg.cloudfront.net/Documentos/631/10394598466/6311039459846611092023103358.pdf")</f>
        <v>https://dpmzos25m8ivg.cloudfront.net/Documentos/631/10394598466/6311039459846611092023103358.pdf</v>
      </c>
      <c r="F4594" s="5" t="str">
        <f>HYPERLINK("https://dpmzos25m8ivg.cloudfront.net/Documentos/631/10394598466/6311039459846611092023105100.pdf","https://dpmzos25m8ivg.cloudfront.net/Documentos/631/10394598466/6311039459846611092023105100.pdf")</f>
        <v>https://dpmzos25m8ivg.cloudfront.net/Documentos/631/10394598466/6311039459846611092023105100.pdf</v>
      </c>
      <c r="G4594" s="5" t="str">
        <f>HYPERLINK("https://dpmzos25m8ivg.cloudfront.net/Documentos/631/10394598466/6311039459846611092023105140.pdf","https://dpmzos25m8ivg.cloudfront.net/Documentos/631/10394598466/6311039459846611092023105140.pdf")</f>
        <v>https://dpmzos25m8ivg.cloudfront.net/Documentos/631/10394598466/6311039459846611092023105140.pdf</v>
      </c>
      <c r="H4594" s="5" t="s">
        <v>13169</v>
      </c>
    </row>
    <row r="4595" spans="1:8" x14ac:dyDescent="0.25">
      <c r="A4595" s="2" t="s">
        <v>4617</v>
      </c>
      <c r="B4595" s="3"/>
      <c r="C4595" s="3"/>
      <c r="D4595" s="3"/>
      <c r="E4595" s="5" t="str">
        <f>HYPERLINK("https://dpmzos25m8ivg.cloudfront.net/Documentos/631/10396389457/6311039638945711092023143519.jpg","https://dpmzos25m8ivg.cloudfront.net/Documentos/631/10396389457/6311039638945711092023143519.jpg")</f>
        <v>https://dpmzos25m8ivg.cloudfront.net/Documentos/631/10396389457/6311039638945711092023143519.jpg</v>
      </c>
      <c r="F4595" s="5" t="str">
        <f>HYPERLINK("https://dpmzos25m8ivg.cloudfront.net/Documentos/631/10396389457/6311039638945711092023143530.jpg","https://dpmzos25m8ivg.cloudfront.net/Documentos/631/10396389457/6311039638945711092023143530.jpg")</f>
        <v>https://dpmzos25m8ivg.cloudfront.net/Documentos/631/10396389457/6311039638945711092023143530.jpg</v>
      </c>
      <c r="G4595" s="5" t="str">
        <f>HYPERLINK("https://dpmzos25m8ivg.cloudfront.net/Documentos/631/10396389457/6311039638945711092023143540.jpg","https://dpmzos25m8ivg.cloudfront.net/Documentos/631/10396389457/6311039638945711092023143540.jpg")</f>
        <v>https://dpmzos25m8ivg.cloudfront.net/Documentos/631/10396389457/6311039638945711092023143540.jpg</v>
      </c>
      <c r="H4595" s="5" t="s">
        <v>13170</v>
      </c>
    </row>
    <row r="4596" spans="1:8" x14ac:dyDescent="0.25">
      <c r="A4596" s="2" t="s">
        <v>4618</v>
      </c>
      <c r="B4596" s="3"/>
      <c r="C4596" s="3"/>
      <c r="D4596" s="3"/>
      <c r="E4596" s="5" t="str">
        <f>HYPERLINK("https://dpmzos25m8ivg.cloudfront.net/Documentos/631/10396889778/6311039688977811092023171336.pdf","https://dpmzos25m8ivg.cloudfront.net/Documentos/631/10396889778/6311039688977811092023171336.pdf")</f>
        <v>https://dpmzos25m8ivg.cloudfront.net/Documentos/631/10396889778/6311039688977811092023171336.pdf</v>
      </c>
      <c r="F4596" s="5" t="str">
        <f>HYPERLINK("https://dpmzos25m8ivg.cloudfront.net/Documentos/631/10396889778/6311039688977811092023171622.pdf","https://dpmzos25m8ivg.cloudfront.net/Documentos/631/10396889778/6311039688977811092023171622.pdf")</f>
        <v>https://dpmzos25m8ivg.cloudfront.net/Documentos/631/10396889778/6311039688977811092023171622.pdf</v>
      </c>
      <c r="G4596" s="5" t="str">
        <f>HYPERLINK("https://dpmzos25m8ivg.cloudfront.net/Documentos/631/10396889778/6311039688977811092023171811.pdf","https://dpmzos25m8ivg.cloudfront.net/Documentos/631/10396889778/6311039688977811092023171811.pdf")</f>
        <v>https://dpmzos25m8ivg.cloudfront.net/Documentos/631/10396889778/6311039688977811092023171811.pdf</v>
      </c>
      <c r="H4596" s="5" t="s">
        <v>13171</v>
      </c>
    </row>
    <row r="4597" spans="1:8" x14ac:dyDescent="0.25">
      <c r="A4597" s="2" t="s">
        <v>4619</v>
      </c>
      <c r="B4597" s="3"/>
      <c r="C4597" s="3"/>
      <c r="D4597" s="3"/>
      <c r="E4597" s="5" t="str">
        <f>HYPERLINK("https://dpmzos25m8ivg.cloudfront.net/Documentos/631/10399545611/6311039954561110092023175317.pdf","https://dpmzos25m8ivg.cloudfront.net/Documentos/631/10399545611/6311039954561110092023175317.pdf")</f>
        <v>https://dpmzos25m8ivg.cloudfront.net/Documentos/631/10399545611/6311039954561110092023175317.pdf</v>
      </c>
      <c r="F4597" s="5" t="str">
        <f>HYPERLINK("https://dpmzos25m8ivg.cloudfront.net/Documentos/631/10399545611/6311039954561110092023175325.pdf","https://dpmzos25m8ivg.cloudfront.net/Documentos/631/10399545611/6311039954561110092023175325.pdf")</f>
        <v>https://dpmzos25m8ivg.cloudfront.net/Documentos/631/10399545611/6311039954561110092023175325.pdf</v>
      </c>
      <c r="G4597" s="5" t="str">
        <f>HYPERLINK("https://dpmzos25m8ivg.cloudfront.net/Documentos/631/10399545611/6311039954561110092023175346.pdf","https://dpmzos25m8ivg.cloudfront.net/Documentos/631/10399545611/6311039954561110092023175346.pdf")</f>
        <v>https://dpmzos25m8ivg.cloudfront.net/Documentos/631/10399545611/6311039954561110092023175346.pdf</v>
      </c>
      <c r="H4597" s="5" t="s">
        <v>13172</v>
      </c>
    </row>
    <row r="4598" spans="1:8" x14ac:dyDescent="0.25">
      <c r="A4598" s="2" t="s">
        <v>4620</v>
      </c>
      <c r="B4598" s="3"/>
      <c r="C4598" s="3"/>
      <c r="D4598" s="3"/>
      <c r="E4598" s="5" t="str">
        <f>HYPERLINK("https://dpmzos25m8ivg.cloudfront.net/Documentos/631/10408158719/6311040815871914092023112637.jpeg","https://dpmzos25m8ivg.cloudfront.net/Documentos/631/10408158719/6311040815871914092023112637.jpeg")</f>
        <v>https://dpmzos25m8ivg.cloudfront.net/Documentos/631/10408158719/6311040815871914092023112637.jpeg</v>
      </c>
      <c r="F4598" s="5" t="str">
        <f>HYPERLINK("https://dpmzos25m8ivg.cloudfront.net/Documentos/631/10408158719/6311040815871914092023112729.jpeg","https://dpmzos25m8ivg.cloudfront.net/Documentos/631/10408158719/6311040815871914092023112729.jpeg")</f>
        <v>https://dpmzos25m8ivg.cloudfront.net/Documentos/631/10408158719/6311040815871914092023112729.jpeg</v>
      </c>
      <c r="G4598" s="5" t="str">
        <f>HYPERLINK("https://dpmzos25m8ivg.cloudfront.net/Documentos/631/10408158719/6311040815871914092023112738.jpeg","https://dpmzos25m8ivg.cloudfront.net/Documentos/631/10408158719/6311040815871914092023112738.jpeg")</f>
        <v>https://dpmzos25m8ivg.cloudfront.net/Documentos/631/10408158719/6311040815871914092023112738.jpeg</v>
      </c>
      <c r="H4598" s="5" t="s">
        <v>13173</v>
      </c>
    </row>
    <row r="4599" spans="1:8" x14ac:dyDescent="0.25">
      <c r="A4599" s="2" t="s">
        <v>4621</v>
      </c>
      <c r="B4599" s="3"/>
      <c r="C4599" s="3"/>
      <c r="D4599" s="3"/>
      <c r="E4599" s="5" t="str">
        <f>HYPERLINK("https://dpmzos25m8ivg.cloudfront.net/Documentos/631/10409144460/6311040914446011092023155911.pdf","https://dpmzos25m8ivg.cloudfront.net/Documentos/631/10409144460/6311040914446011092023155911.pdf")</f>
        <v>https://dpmzos25m8ivg.cloudfront.net/Documentos/631/10409144460/6311040914446011092023155911.pdf</v>
      </c>
      <c r="F4599" s="5" t="str">
        <f>HYPERLINK("https://dpmzos25m8ivg.cloudfront.net/Documentos/631/10409144460/6311040914446011092023155921.pdf","https://dpmzos25m8ivg.cloudfront.net/Documentos/631/10409144460/6311040914446011092023155921.pdf")</f>
        <v>https://dpmzos25m8ivg.cloudfront.net/Documentos/631/10409144460/6311040914446011092023155921.pdf</v>
      </c>
      <c r="G4599" s="5" t="str">
        <f>HYPERLINK("https://dpmzos25m8ivg.cloudfront.net/Documentos/631/10409144460/6311040914446011092023155930.pdf","https://dpmzos25m8ivg.cloudfront.net/Documentos/631/10409144460/6311040914446011092023155930.pdf")</f>
        <v>https://dpmzos25m8ivg.cloudfront.net/Documentos/631/10409144460/6311040914446011092023155930.pdf</v>
      </c>
      <c r="H4599" s="5" t="s">
        <v>13174</v>
      </c>
    </row>
    <row r="4600" spans="1:8" x14ac:dyDescent="0.25">
      <c r="A4600" s="2" t="s">
        <v>4622</v>
      </c>
      <c r="B4600" s="3"/>
      <c r="C4600" s="3"/>
      <c r="D4600" s="3"/>
      <c r="E4600" s="5" t="str">
        <f>HYPERLINK("https://dpmzos25m8ivg.cloudfront.net/Documentos/631/10409844446/6311040984444611092023151014.pdf","https://dpmzos25m8ivg.cloudfront.net/Documentos/631/10409844446/6311040984444611092023151014.pdf")</f>
        <v>https://dpmzos25m8ivg.cloudfront.net/Documentos/631/10409844446/6311040984444611092023151014.pdf</v>
      </c>
      <c r="F4600" s="5" t="str">
        <f>HYPERLINK("https://dpmzos25m8ivg.cloudfront.net/Documentos/631/10409844446/6311040984444611092023151110.pdf","https://dpmzos25m8ivg.cloudfront.net/Documentos/631/10409844446/6311040984444611092023151110.pdf")</f>
        <v>https://dpmzos25m8ivg.cloudfront.net/Documentos/631/10409844446/6311040984444611092023151110.pdf</v>
      </c>
      <c r="G4600" s="5" t="str">
        <f>HYPERLINK("https://dpmzos25m8ivg.cloudfront.net/Documentos/631/10409844446/6311040984444611092023151125.pdf","https://dpmzos25m8ivg.cloudfront.net/Documentos/631/10409844446/6311040984444611092023151125.pdf")</f>
        <v>https://dpmzos25m8ivg.cloudfront.net/Documentos/631/10409844446/6311040984444611092023151125.pdf</v>
      </c>
      <c r="H4600" s="5" t="s">
        <v>13175</v>
      </c>
    </row>
    <row r="4601" spans="1:8" x14ac:dyDescent="0.25">
      <c r="A4601" s="2" t="s">
        <v>4623</v>
      </c>
      <c r="B4601" s="3"/>
      <c r="C4601" s="3"/>
      <c r="D4601" s="3"/>
      <c r="E4601" s="5" t="str">
        <f>HYPERLINK("https://dpmzos25m8ivg.cloudfront.net/Documentos/631/10415779740/6311041577974004092023180528.pdf","https://dpmzos25m8ivg.cloudfront.net/Documentos/631/10415779740/6311041577974004092023180528.pdf")</f>
        <v>https://dpmzos25m8ivg.cloudfront.net/Documentos/631/10415779740/6311041577974004092023180528.pdf</v>
      </c>
      <c r="F4601" s="5" t="str">
        <f>HYPERLINK("https://dpmzos25m8ivg.cloudfront.net/Documentos/631/10415779740/6311041577974004092023180542.pdf","https://dpmzos25m8ivg.cloudfront.net/Documentos/631/10415779740/6311041577974004092023180542.pdf")</f>
        <v>https://dpmzos25m8ivg.cloudfront.net/Documentos/631/10415779740/6311041577974004092023180542.pdf</v>
      </c>
      <c r="G4601" s="5" t="str">
        <f>HYPERLINK("https://dpmzos25m8ivg.cloudfront.net/Documentos/631/10415779740/6311041577974004092023180604.pdf","https://dpmzos25m8ivg.cloudfront.net/Documentos/631/10415779740/6311041577974004092023180604.pdf")</f>
        <v>https://dpmzos25m8ivg.cloudfront.net/Documentos/631/10415779740/6311041577974004092023180604.pdf</v>
      </c>
      <c r="H4601" s="5" t="s">
        <v>13176</v>
      </c>
    </row>
    <row r="4602" spans="1:8" x14ac:dyDescent="0.25">
      <c r="A4602" s="2" t="s">
        <v>4624</v>
      </c>
      <c r="B4602" s="3"/>
      <c r="C4602" s="3"/>
      <c r="D4602" s="3"/>
      <c r="E4602" s="5" t="str">
        <f>HYPERLINK("https://dpmzos25m8ivg.cloudfront.net/Documentos/631/10419723935/6311041972393511092023152620.pdf","https://dpmzos25m8ivg.cloudfront.net/Documentos/631/10419723935/6311041972393511092023152620.pdf")</f>
        <v>https://dpmzos25m8ivg.cloudfront.net/Documentos/631/10419723935/6311041972393511092023152620.pdf</v>
      </c>
      <c r="F4602" s="5" t="str">
        <f>HYPERLINK("https://dpmzos25m8ivg.cloudfront.net/Documentos/631/10419723935/6311041972393511092023152630.pdf","https://dpmzos25m8ivg.cloudfront.net/Documentos/631/10419723935/6311041972393511092023152630.pdf")</f>
        <v>https://dpmzos25m8ivg.cloudfront.net/Documentos/631/10419723935/6311041972393511092023152630.pdf</v>
      </c>
      <c r="G4602" s="5" t="str">
        <f>HYPERLINK("https://dpmzos25m8ivg.cloudfront.net/Documentos/631/10419723935/6311041972393511092023152639.pdf","https://dpmzos25m8ivg.cloudfront.net/Documentos/631/10419723935/6311041972393511092023152639.pdf")</f>
        <v>https://dpmzos25m8ivg.cloudfront.net/Documentos/631/10419723935/6311041972393511092023152639.pdf</v>
      </c>
      <c r="H4602" s="5" t="s">
        <v>13177</v>
      </c>
    </row>
    <row r="4603" spans="1:8" x14ac:dyDescent="0.25">
      <c r="A4603" s="2" t="s">
        <v>4625</v>
      </c>
      <c r="B4603" s="3"/>
      <c r="C4603" s="3"/>
      <c r="D4603" s="3"/>
      <c r="E4603" s="5" t="str">
        <f>HYPERLINK("https://dpmzos25m8ivg.cloudfront.net/Documentos/631/10422294497/6311042229449711092023010821.jpeg","https://dpmzos25m8ivg.cloudfront.net/Documentos/631/10422294497/6311042229449711092023010821.jpeg")</f>
        <v>https://dpmzos25m8ivg.cloudfront.net/Documentos/631/10422294497/6311042229449711092023010821.jpeg</v>
      </c>
      <c r="F4603" s="5" t="str">
        <f>HYPERLINK("https://dpmzos25m8ivg.cloudfront.net/Documentos/631/10422294497/6311042229449711092023010829.jpeg","https://dpmzos25m8ivg.cloudfront.net/Documentos/631/10422294497/6311042229449711092023010829.jpeg")</f>
        <v>https://dpmzos25m8ivg.cloudfront.net/Documentos/631/10422294497/6311042229449711092023010829.jpeg</v>
      </c>
      <c r="G4603" s="5" t="str">
        <f>HYPERLINK("https://dpmzos25m8ivg.cloudfront.net/Documentos/631/10422294497/6311042229449711092023010838.jpeg","https://dpmzos25m8ivg.cloudfront.net/Documentos/631/10422294497/6311042229449711092023010838.jpeg")</f>
        <v>https://dpmzos25m8ivg.cloudfront.net/Documentos/631/10422294497/6311042229449711092023010838.jpeg</v>
      </c>
      <c r="H4603" s="5" t="s">
        <v>13178</v>
      </c>
    </row>
    <row r="4604" spans="1:8" x14ac:dyDescent="0.25">
      <c r="A4604" s="2" t="s">
        <v>4626</v>
      </c>
      <c r="B4604" s="16" t="s">
        <v>8</v>
      </c>
      <c r="C4604" s="3"/>
      <c r="D4604" s="3"/>
      <c r="E4604" s="5" t="str">
        <f>HYPERLINK("https://dpmzos25m8ivg.cloudfront.net/Documentos/631/10432569626/6311043256962611092023162351.jpeg","https://dpmzos25m8ivg.cloudfront.net/Documentos/631/10432569626/6311043256962611092023162351.jpeg")</f>
        <v>https://dpmzos25m8ivg.cloudfront.net/Documentos/631/10432569626/6311043256962611092023162351.jpeg</v>
      </c>
      <c r="F4604" s="5" t="str">
        <f>HYPERLINK("https://dpmzos25m8ivg.cloudfront.net/Documentos/631/10432569626/6311043256962611092023162412.jpeg","https://dpmzos25m8ivg.cloudfront.net/Documentos/631/10432569626/6311043256962611092023162412.jpeg")</f>
        <v>https://dpmzos25m8ivg.cloudfront.net/Documentos/631/10432569626/6311043256962611092023162412.jpeg</v>
      </c>
      <c r="G4604" s="5" t="str">
        <f>HYPERLINK("https://dpmzos25m8ivg.cloudfront.net/Documentos/631/10432569626/6311043256962611092023162402.jpeg","https://dpmzos25m8ivg.cloudfront.net/Documentos/631/10432569626/6311043256962611092023162402.jpeg")</f>
        <v>https://dpmzos25m8ivg.cloudfront.net/Documentos/631/10432569626/6311043256962611092023162402.jpeg</v>
      </c>
      <c r="H4604" s="5" t="s">
        <v>13179</v>
      </c>
    </row>
    <row r="4605" spans="1:8" x14ac:dyDescent="0.25">
      <c r="A4605" s="2" t="s">
        <v>4627</v>
      </c>
      <c r="B4605" s="3"/>
      <c r="C4605" s="3"/>
      <c r="D4605" s="3"/>
      <c r="E4605" s="5" t="str">
        <f>HYPERLINK("https://dpmzos25m8ivg.cloudfront.net/Documentos/631/10434649724/6311043464972411092023163201.pdf","https://dpmzos25m8ivg.cloudfront.net/Documentos/631/10434649724/6311043464972411092023163201.pdf")</f>
        <v>https://dpmzos25m8ivg.cloudfront.net/Documentos/631/10434649724/6311043464972411092023163201.pdf</v>
      </c>
      <c r="F4605" s="5" t="str">
        <f>HYPERLINK("https://dpmzos25m8ivg.cloudfront.net/Documentos/631/10434649724/6311043464972411092023163226.pdf","https://dpmzos25m8ivg.cloudfront.net/Documentos/631/10434649724/6311043464972411092023163226.pdf")</f>
        <v>https://dpmzos25m8ivg.cloudfront.net/Documentos/631/10434649724/6311043464972411092023163226.pdf</v>
      </c>
      <c r="G4605" s="5" t="str">
        <f>HYPERLINK("https://dpmzos25m8ivg.cloudfront.net/Documentos/631/10434649724/6311043464972411092023163335.pdf","https://dpmzos25m8ivg.cloudfront.net/Documentos/631/10434649724/6311043464972411092023163335.pdf")</f>
        <v>https://dpmzos25m8ivg.cloudfront.net/Documentos/631/10434649724/6311043464972411092023163335.pdf</v>
      </c>
      <c r="H4605" s="5" t="s">
        <v>13180</v>
      </c>
    </row>
    <row r="4606" spans="1:8" x14ac:dyDescent="0.25">
      <c r="A4606" s="2" t="s">
        <v>4628</v>
      </c>
      <c r="B4606" s="3"/>
      <c r="C4606" s="3"/>
      <c r="D4606" s="3"/>
      <c r="E4606" s="5" t="str">
        <f>HYPERLINK("https://dpmzos25m8ivg.cloudfront.net/Documentos/631/10441754945/6311044175494511092023103242.pdf","https://dpmzos25m8ivg.cloudfront.net/Documentos/631/10441754945/6311044175494511092023103242.pdf")</f>
        <v>https://dpmzos25m8ivg.cloudfront.net/Documentos/631/10441754945/6311044175494511092023103242.pdf</v>
      </c>
      <c r="F4606" s="5" t="str">
        <f>HYPERLINK("https://dpmzos25m8ivg.cloudfront.net/Documentos/631/10441754945/6311044175494511092023103250.pdf","https://dpmzos25m8ivg.cloudfront.net/Documentos/631/10441754945/6311044175494511092023103250.pdf")</f>
        <v>https://dpmzos25m8ivg.cloudfront.net/Documentos/631/10441754945/6311044175494511092023103250.pdf</v>
      </c>
      <c r="G4606" s="5" t="str">
        <f>HYPERLINK("https://dpmzos25m8ivg.cloudfront.net/Documentos/631/10441754945/6311044175494511092023103322.pdf","https://dpmzos25m8ivg.cloudfront.net/Documentos/631/10441754945/6311044175494511092023103322.pdf")</f>
        <v>https://dpmzos25m8ivg.cloudfront.net/Documentos/631/10441754945/6311044175494511092023103322.pdf</v>
      </c>
      <c r="H4606" s="5" t="s">
        <v>13181</v>
      </c>
    </row>
    <row r="4607" spans="1:8" x14ac:dyDescent="0.25">
      <c r="A4607" s="2" t="s">
        <v>4629</v>
      </c>
      <c r="B4607" s="3"/>
      <c r="C4607" s="3"/>
      <c r="D4607" s="3"/>
      <c r="E4607" s="5" t="str">
        <f>HYPERLINK("https://dpmzos25m8ivg.cloudfront.net/Documentos/631/10443581657/6311044358165709092023160148.pdf","https://dpmzos25m8ivg.cloudfront.net/Documentos/631/10443581657/6311044358165709092023160148.pdf")</f>
        <v>https://dpmzos25m8ivg.cloudfront.net/Documentos/631/10443581657/6311044358165709092023160148.pdf</v>
      </c>
      <c r="F4607" s="5" t="str">
        <f>HYPERLINK("https://dpmzos25m8ivg.cloudfront.net/Documentos/631/10443581657/6311044358165709092023160156.pdf","https://dpmzos25m8ivg.cloudfront.net/Documentos/631/10443581657/6311044358165709092023160156.pdf")</f>
        <v>https://dpmzos25m8ivg.cloudfront.net/Documentos/631/10443581657/6311044358165709092023160156.pdf</v>
      </c>
      <c r="G4607" s="5" t="str">
        <f>HYPERLINK("https://dpmzos25m8ivg.cloudfront.net/Documentos/631/10443581657/6311044358165709092023160204.pdf","https://dpmzos25m8ivg.cloudfront.net/Documentos/631/10443581657/6311044358165709092023160204.pdf")</f>
        <v>https://dpmzos25m8ivg.cloudfront.net/Documentos/631/10443581657/6311044358165709092023160204.pdf</v>
      </c>
      <c r="H4607" s="5" t="s">
        <v>13182</v>
      </c>
    </row>
    <row r="4608" spans="1:8" x14ac:dyDescent="0.25">
      <c r="A4608" s="2" t="s">
        <v>4630</v>
      </c>
      <c r="B4608" s="3"/>
      <c r="C4608" s="3"/>
      <c r="D4608" s="3"/>
      <c r="E4608" s="5" t="str">
        <f>HYPERLINK("https://dpmzos25m8ivg.cloudfront.net/Documentos/631/10445353422/6311044535342207092023190207.jpeg","https://dpmzos25m8ivg.cloudfront.net/Documentos/631/10445353422/6311044535342207092023190207.jpeg")</f>
        <v>https://dpmzos25m8ivg.cloudfront.net/Documentos/631/10445353422/6311044535342207092023190207.jpeg</v>
      </c>
      <c r="F4608" s="5" t="str">
        <f>HYPERLINK("https://dpmzos25m8ivg.cloudfront.net/Documentos/631/10445353422/6311044535342207092023191413.jpeg","https://dpmzos25m8ivg.cloudfront.net/Documentos/631/10445353422/6311044535342207092023191413.jpeg")</f>
        <v>https://dpmzos25m8ivg.cloudfront.net/Documentos/631/10445353422/6311044535342207092023191413.jpeg</v>
      </c>
      <c r="G4608" s="5" t="str">
        <f>HYPERLINK("https://dpmzos25m8ivg.cloudfront.net/Documentos/631/10445353422/6311044535342207092023191632.jpeg","https://dpmzos25m8ivg.cloudfront.net/Documentos/631/10445353422/6311044535342207092023191632.jpeg")</f>
        <v>https://dpmzos25m8ivg.cloudfront.net/Documentos/631/10445353422/6311044535342207092023191632.jpeg</v>
      </c>
      <c r="H4608" s="5" t="s">
        <v>13183</v>
      </c>
    </row>
    <row r="4609" spans="1:8" x14ac:dyDescent="0.25">
      <c r="A4609" s="2" t="s">
        <v>4631</v>
      </c>
      <c r="B4609" s="16" t="s">
        <v>8</v>
      </c>
      <c r="C4609" s="3"/>
      <c r="D4609" s="3"/>
      <c r="E4609" s="5" t="str">
        <f>HYPERLINK("https://dpmzos25m8ivg.cloudfront.net/Documentos/631/10446148466/6311044614846611092023112614.pdf","https://dpmzos25m8ivg.cloudfront.net/Documentos/631/10446148466/6311044614846611092023112614.pdf")</f>
        <v>https://dpmzos25m8ivg.cloudfront.net/Documentos/631/10446148466/6311044614846611092023112614.pdf</v>
      </c>
      <c r="F4609" s="5" t="str">
        <f>HYPERLINK("https://dpmzos25m8ivg.cloudfront.net/Documentos/631/10446148466/6311044614846611092023112629.pdf","https://dpmzos25m8ivg.cloudfront.net/Documentos/631/10446148466/6311044614846611092023112629.pdf")</f>
        <v>https://dpmzos25m8ivg.cloudfront.net/Documentos/631/10446148466/6311044614846611092023112629.pdf</v>
      </c>
      <c r="G4609" s="5" t="str">
        <f>HYPERLINK("https://dpmzos25m8ivg.cloudfront.net/Documentos/631/10446148466/6311044614846611092023112648.pdf","https://dpmzos25m8ivg.cloudfront.net/Documentos/631/10446148466/6311044614846611092023112648.pdf")</f>
        <v>https://dpmzos25m8ivg.cloudfront.net/Documentos/631/10446148466/6311044614846611092023112648.pdf</v>
      </c>
      <c r="H4609" s="5" t="s">
        <v>13184</v>
      </c>
    </row>
    <row r="4610" spans="1:8" x14ac:dyDescent="0.25">
      <c r="A4610" s="2" t="s">
        <v>4632</v>
      </c>
      <c r="B4610" s="3"/>
      <c r="C4610" s="3"/>
      <c r="D4610" s="3"/>
      <c r="E4610" s="5" t="str">
        <f>HYPERLINK("https://dpmzos25m8ivg.cloudfront.net/Documentos/631/10447756451/6311044775645105092023114848.jpg","https://dpmzos25m8ivg.cloudfront.net/Documentos/631/10447756451/6311044775645105092023114848.jpg")</f>
        <v>https://dpmzos25m8ivg.cloudfront.net/Documentos/631/10447756451/6311044775645105092023114848.jpg</v>
      </c>
      <c r="F4610" s="5" t="str">
        <f>HYPERLINK("https://dpmzos25m8ivg.cloudfront.net/Documentos/631/10447756451/6311044775645105092023114858.jpg","https://dpmzos25m8ivg.cloudfront.net/Documentos/631/10447756451/6311044775645105092023114858.jpg")</f>
        <v>https://dpmzos25m8ivg.cloudfront.net/Documentos/631/10447756451/6311044775645105092023114858.jpg</v>
      </c>
      <c r="G4610" s="5" t="str">
        <f>HYPERLINK("https://dpmzos25m8ivg.cloudfront.net/Documentos/631/10447756451/6311044775645105092023114908.jpg","https://dpmzos25m8ivg.cloudfront.net/Documentos/631/10447756451/6311044775645105092023114908.jpg")</f>
        <v>https://dpmzos25m8ivg.cloudfront.net/Documentos/631/10447756451/6311044775645105092023114908.jpg</v>
      </c>
      <c r="H4610" s="5" t="s">
        <v>13185</v>
      </c>
    </row>
    <row r="4611" spans="1:8" x14ac:dyDescent="0.25">
      <c r="A4611" s="2" t="s">
        <v>4633</v>
      </c>
      <c r="B4611" s="3"/>
      <c r="C4611" s="3"/>
      <c r="D4611" s="3"/>
      <c r="E4611" s="5" t="str">
        <f>HYPERLINK("https://dpmzos25m8ivg.cloudfront.net/Documentos/631/10453597939/6311045359793911092023100541.pdf","https://dpmzos25m8ivg.cloudfront.net/Documentos/631/10453597939/6311045359793911092023100541.pdf")</f>
        <v>https://dpmzos25m8ivg.cloudfront.net/Documentos/631/10453597939/6311045359793911092023100541.pdf</v>
      </c>
      <c r="F4611" s="5" t="str">
        <f>HYPERLINK("https://dpmzos25m8ivg.cloudfront.net/Documentos/631/10453597939/6311045359793911092023100922.pdf","https://dpmzos25m8ivg.cloudfront.net/Documentos/631/10453597939/6311045359793911092023100922.pdf")</f>
        <v>https://dpmzos25m8ivg.cloudfront.net/Documentos/631/10453597939/6311045359793911092023100922.pdf</v>
      </c>
      <c r="G4611" s="5" t="str">
        <f>HYPERLINK("https://dpmzos25m8ivg.cloudfront.net/Documentos/631/10453597939/6311045359793911092023100947.pdf","https://dpmzos25m8ivg.cloudfront.net/Documentos/631/10453597939/6311045359793911092023100947.pdf")</f>
        <v>https://dpmzos25m8ivg.cloudfront.net/Documentos/631/10453597939/6311045359793911092023100947.pdf</v>
      </c>
      <c r="H4611" s="5" t="s">
        <v>13186</v>
      </c>
    </row>
    <row r="4612" spans="1:8" x14ac:dyDescent="0.25">
      <c r="A4612" s="2" t="s">
        <v>4634</v>
      </c>
      <c r="B4612" s="3"/>
      <c r="C4612" s="3"/>
      <c r="D4612" s="3"/>
      <c r="E4612" s="5" t="str">
        <f>HYPERLINK("https://dpmzos25m8ivg.cloudfront.net/Documentos/631/10454729480/6311045472948011092023163124.jpg","https://dpmzos25m8ivg.cloudfront.net/Documentos/631/10454729480/6311045472948011092023163124.jpg")</f>
        <v>https://dpmzos25m8ivg.cloudfront.net/Documentos/631/10454729480/6311045472948011092023163124.jpg</v>
      </c>
      <c r="F4612" s="5" t="str">
        <f>HYPERLINK("https://dpmzos25m8ivg.cloudfront.net/Documentos/631/10454729480/6311045472948011092023163200.jpg","https://dpmzos25m8ivg.cloudfront.net/Documentos/631/10454729480/6311045472948011092023163200.jpg")</f>
        <v>https://dpmzos25m8ivg.cloudfront.net/Documentos/631/10454729480/6311045472948011092023163200.jpg</v>
      </c>
      <c r="G4612" s="5" t="str">
        <f>HYPERLINK("https://dpmzos25m8ivg.cloudfront.net/Documentos/631/10454729480/6311045472948011092023163232.jpg","https://dpmzos25m8ivg.cloudfront.net/Documentos/631/10454729480/6311045472948011092023163232.jpg")</f>
        <v>https://dpmzos25m8ivg.cloudfront.net/Documentos/631/10454729480/6311045472948011092023163232.jpg</v>
      </c>
      <c r="H4612" s="5" t="s">
        <v>13187</v>
      </c>
    </row>
    <row r="4613" spans="1:8" x14ac:dyDescent="0.25">
      <c r="A4613" s="2" t="s">
        <v>4635</v>
      </c>
      <c r="B4613" s="3" t="s">
        <v>23</v>
      </c>
      <c r="C4613" s="3"/>
      <c r="D4613" s="3"/>
      <c r="E4613" s="5" t="str">
        <f>HYPERLINK("https://dpmzos25m8ivg.cloudfront.net/Documentos/631/10455781931/6311045578193105092023222145.pdf","https://dpmzos25m8ivg.cloudfront.net/Documentos/631/10455781931/6311045578193105092023222145.pdf")</f>
        <v>https://dpmzos25m8ivg.cloudfront.net/Documentos/631/10455781931/6311045578193105092023222145.pdf</v>
      </c>
      <c r="F4613" s="5" t="str">
        <f>HYPERLINK("https://dpmzos25m8ivg.cloudfront.net/Documentos/631/10455781931/6311045578193105092023222157.pdf","https://dpmzos25m8ivg.cloudfront.net/Documentos/631/10455781931/6311045578193105092023222157.pdf")</f>
        <v>https://dpmzos25m8ivg.cloudfront.net/Documentos/631/10455781931/6311045578193105092023222157.pdf</v>
      </c>
      <c r="G4613" s="5" t="str">
        <f>HYPERLINK("https://dpmzos25m8ivg.cloudfront.net/Documentos/631/10455781931/6311045578193105092023222212.pdf","https://dpmzos25m8ivg.cloudfront.net/Documentos/631/10455781931/6311045578193105092023222212.pdf")</f>
        <v>https://dpmzos25m8ivg.cloudfront.net/Documentos/631/10455781931/6311045578193105092023222212.pdf</v>
      </c>
      <c r="H4613" s="5" t="s">
        <v>13188</v>
      </c>
    </row>
    <row r="4614" spans="1:8" x14ac:dyDescent="0.25">
      <c r="A4614" s="2" t="s">
        <v>4636</v>
      </c>
      <c r="B4614" s="3"/>
      <c r="C4614" s="3"/>
      <c r="D4614" s="3"/>
      <c r="E4614" s="5" t="str">
        <f>HYPERLINK("https://dpmzos25m8ivg.cloudfront.net/Documentos/631/10458222992/6311045822299209092023121913.pdf","https://dpmzos25m8ivg.cloudfront.net/Documentos/631/10458222992/6311045822299209092023121913.pdf")</f>
        <v>https://dpmzos25m8ivg.cloudfront.net/Documentos/631/10458222992/6311045822299209092023121913.pdf</v>
      </c>
      <c r="F4614" s="5" t="str">
        <f>HYPERLINK("https://dpmzos25m8ivg.cloudfront.net/Documentos/631/10458222992/6311045822299209092023121932.pdf","https://dpmzos25m8ivg.cloudfront.net/Documentos/631/10458222992/6311045822299209092023121932.pdf")</f>
        <v>https://dpmzos25m8ivg.cloudfront.net/Documentos/631/10458222992/6311045822299209092023121932.pdf</v>
      </c>
      <c r="G4614" s="5" t="str">
        <f>HYPERLINK("https://dpmzos25m8ivg.cloudfront.net/Documentos/631/10458222992/6311045822299209092023121951.pdf","https://dpmzos25m8ivg.cloudfront.net/Documentos/631/10458222992/6311045822299209092023121951.pdf")</f>
        <v>https://dpmzos25m8ivg.cloudfront.net/Documentos/631/10458222992/6311045822299209092023121951.pdf</v>
      </c>
      <c r="H4614" s="5" t="s">
        <v>13189</v>
      </c>
    </row>
    <row r="4615" spans="1:8" x14ac:dyDescent="0.25">
      <c r="A4615" s="2" t="s">
        <v>4637</v>
      </c>
      <c r="B4615" s="3"/>
      <c r="C4615" s="3"/>
      <c r="D4615" s="3"/>
      <c r="E4615" s="5" t="str">
        <f>HYPERLINK("https://dpmzos25m8ivg.cloudfront.net/Documentos/631/10464388910/6311046438891009092023181754.pdf","https://dpmzos25m8ivg.cloudfront.net/Documentos/631/10464388910/6311046438891009092023181754.pdf")</f>
        <v>https://dpmzos25m8ivg.cloudfront.net/Documentos/631/10464388910/6311046438891009092023181754.pdf</v>
      </c>
      <c r="F4615" s="5" t="str">
        <f>HYPERLINK("https://dpmzos25m8ivg.cloudfront.net/Documentos/631/10464388910/6311046438891009092023181927.pdf","https://dpmzos25m8ivg.cloudfront.net/Documentos/631/10464388910/6311046438891009092023181927.pdf")</f>
        <v>https://dpmzos25m8ivg.cloudfront.net/Documentos/631/10464388910/6311046438891009092023181927.pdf</v>
      </c>
      <c r="G4615" s="5" t="str">
        <f>HYPERLINK("https://dpmzos25m8ivg.cloudfront.net/Documentos/631/10464388910/6311046438891009092023182110.pdf","https://dpmzos25m8ivg.cloudfront.net/Documentos/631/10464388910/6311046438891009092023182110.pdf")</f>
        <v>https://dpmzos25m8ivg.cloudfront.net/Documentos/631/10464388910/6311046438891009092023182110.pdf</v>
      </c>
      <c r="H4615" s="5" t="s">
        <v>13190</v>
      </c>
    </row>
    <row r="4616" spans="1:8" x14ac:dyDescent="0.25">
      <c r="A4616" s="2" t="s">
        <v>4638</v>
      </c>
      <c r="B4616" s="3"/>
      <c r="C4616" s="3"/>
      <c r="D4616" s="3"/>
      <c r="E4616" s="5" t="str">
        <f>HYPERLINK("https://dpmzos25m8ivg.cloudfront.net/Documentos/631/10470302410/6311047030241011092023144704.pdf","https://dpmzos25m8ivg.cloudfront.net/Documentos/631/10470302410/6311047030241011092023144704.pdf")</f>
        <v>https://dpmzos25m8ivg.cloudfront.net/Documentos/631/10470302410/6311047030241011092023144704.pdf</v>
      </c>
      <c r="F4616" s="5" t="str">
        <f>HYPERLINK("https://dpmzos25m8ivg.cloudfront.net/Documentos/631/10470302410/6311047030241011092023144721.pdf","https://dpmzos25m8ivg.cloudfront.net/Documentos/631/10470302410/6311047030241011092023144721.pdf")</f>
        <v>https://dpmzos25m8ivg.cloudfront.net/Documentos/631/10470302410/6311047030241011092023144721.pdf</v>
      </c>
      <c r="G4616" s="5" t="str">
        <f>HYPERLINK("https://dpmzos25m8ivg.cloudfront.net/Documentos/631/10470302410/6311047030241011092023144732.pdf","https://dpmzos25m8ivg.cloudfront.net/Documentos/631/10470302410/6311047030241011092023144732.pdf")</f>
        <v>https://dpmzos25m8ivg.cloudfront.net/Documentos/631/10470302410/6311047030241011092023144732.pdf</v>
      </c>
      <c r="H4616" s="5" t="s">
        <v>13191</v>
      </c>
    </row>
    <row r="4617" spans="1:8" x14ac:dyDescent="0.25">
      <c r="A4617" s="2" t="s">
        <v>4639</v>
      </c>
      <c r="B4617" s="3"/>
      <c r="C4617" s="3"/>
      <c r="D4617" s="3"/>
      <c r="E4617" s="5" t="str">
        <f>HYPERLINK("https://dpmzos25m8ivg.cloudfront.net/Documentos/631/10477855601/6311047785560111092023143646.jpeg","https://dpmzos25m8ivg.cloudfront.net/Documentos/631/10477855601/6311047785560111092023143646.jpeg")</f>
        <v>https://dpmzos25m8ivg.cloudfront.net/Documentos/631/10477855601/6311047785560111092023143646.jpeg</v>
      </c>
      <c r="F4617" s="5" t="str">
        <f>HYPERLINK("https://dpmzos25m8ivg.cloudfront.net/Documentos/631/10477855601/6311047785560111092023143808.jpeg","https://dpmzos25m8ivg.cloudfront.net/Documentos/631/10477855601/6311047785560111092023143808.jpeg")</f>
        <v>https://dpmzos25m8ivg.cloudfront.net/Documentos/631/10477855601/6311047785560111092023143808.jpeg</v>
      </c>
      <c r="G4617" s="5" t="str">
        <f>HYPERLINK("https://dpmzos25m8ivg.cloudfront.net/Documentos/631/10477855601/6311047785560111092023143822.jpeg","https://dpmzos25m8ivg.cloudfront.net/Documentos/631/10477855601/6311047785560111092023143822.jpeg")</f>
        <v>https://dpmzos25m8ivg.cloudfront.net/Documentos/631/10477855601/6311047785560111092023143822.jpeg</v>
      </c>
      <c r="H4617" s="5" t="s">
        <v>13192</v>
      </c>
    </row>
    <row r="4618" spans="1:8" x14ac:dyDescent="0.25">
      <c r="A4618" s="2" t="s">
        <v>4640</v>
      </c>
      <c r="B4618" s="3"/>
      <c r="C4618" s="3"/>
      <c r="D4618" s="3"/>
      <c r="E4618" s="5" t="str">
        <f>HYPERLINK("https://dpmzos25m8ivg.cloudfront.net/Documentos/631/10478072465/6311047807246511092023135737.pdf","https://dpmzos25m8ivg.cloudfront.net/Documentos/631/10478072465/6311047807246511092023135737.pdf")</f>
        <v>https://dpmzos25m8ivg.cloudfront.net/Documentos/631/10478072465/6311047807246511092023135737.pdf</v>
      </c>
      <c r="F4618" s="5" t="str">
        <f>HYPERLINK("https://dpmzos25m8ivg.cloudfront.net/Documentos/631/10478072465/6311047807246511092023135748.pdf","https://dpmzos25m8ivg.cloudfront.net/Documentos/631/10478072465/6311047807246511092023135748.pdf")</f>
        <v>https://dpmzos25m8ivg.cloudfront.net/Documentos/631/10478072465/6311047807246511092023135748.pdf</v>
      </c>
      <c r="G4618" s="5" t="str">
        <f>HYPERLINK("https://dpmzos25m8ivg.cloudfront.net/Documentos/631/10478072465/6311047807246511092023135756.pdf","https://dpmzos25m8ivg.cloudfront.net/Documentos/631/10478072465/6311047807246511092023135756.pdf")</f>
        <v>https://dpmzos25m8ivg.cloudfront.net/Documentos/631/10478072465/6311047807246511092023135756.pdf</v>
      </c>
      <c r="H4618" s="5" t="s">
        <v>13193</v>
      </c>
    </row>
    <row r="4619" spans="1:8" x14ac:dyDescent="0.25">
      <c r="A4619" s="2" t="s">
        <v>4641</v>
      </c>
      <c r="B4619" s="3"/>
      <c r="C4619" s="3"/>
      <c r="D4619" s="3"/>
      <c r="E4619" s="5" t="str">
        <f>HYPERLINK("https://dpmzos25m8ivg.cloudfront.net/Documentos/631/10479918880/6311047991888005092023173156.pdf","https://dpmzos25m8ivg.cloudfront.net/Documentos/631/10479918880/6311047991888005092023173156.pdf")</f>
        <v>https://dpmzos25m8ivg.cloudfront.net/Documentos/631/10479918880/6311047991888005092023173156.pdf</v>
      </c>
      <c r="F4619" s="5" t="str">
        <f>HYPERLINK("https://dpmzos25m8ivg.cloudfront.net/Documentos/631/10479918880/6311047991888005092023173215.pdf","https://dpmzos25m8ivg.cloudfront.net/Documentos/631/10479918880/6311047991888005092023173215.pdf")</f>
        <v>https://dpmzos25m8ivg.cloudfront.net/Documentos/631/10479918880/6311047991888005092023173215.pdf</v>
      </c>
      <c r="G4619" s="5" t="str">
        <f>HYPERLINK("https://dpmzos25m8ivg.cloudfront.net/Documentos/631/10479918880/6311047991888005092023173238.pdf","https://dpmzos25m8ivg.cloudfront.net/Documentos/631/10479918880/6311047991888005092023173238.pdf")</f>
        <v>https://dpmzos25m8ivg.cloudfront.net/Documentos/631/10479918880/6311047991888005092023173238.pdf</v>
      </c>
      <c r="H4619" s="5" t="s">
        <v>13194</v>
      </c>
    </row>
    <row r="4620" spans="1:8" x14ac:dyDescent="0.25">
      <c r="A4620" s="2" t="s">
        <v>4642</v>
      </c>
      <c r="B4620" s="3"/>
      <c r="C4620" s="3"/>
      <c r="D4620" s="3"/>
      <c r="E4620" s="5" t="str">
        <f>HYPERLINK("https://dpmzos25m8ivg.cloudfront.net/Documentos/631/10480970483/6311048097048309092023160227.pdf","https://dpmzos25m8ivg.cloudfront.net/Documentos/631/10480970483/6311048097048309092023160227.pdf")</f>
        <v>https://dpmzos25m8ivg.cloudfront.net/Documentos/631/10480970483/6311048097048309092023160227.pdf</v>
      </c>
      <c r="F4620" s="5" t="str">
        <f>HYPERLINK("https://dpmzos25m8ivg.cloudfront.net/Documentos/631/10480970483/6311048097048309092023160445.pdf","https://dpmzos25m8ivg.cloudfront.net/Documentos/631/10480970483/6311048097048309092023160445.pdf")</f>
        <v>https://dpmzos25m8ivg.cloudfront.net/Documentos/631/10480970483/6311048097048309092023160445.pdf</v>
      </c>
      <c r="G4620" s="5" t="str">
        <f>HYPERLINK("https://dpmzos25m8ivg.cloudfront.net/Documentos/631/10480970483/6311048097048309092023160458.pdf","https://dpmzos25m8ivg.cloudfront.net/Documentos/631/10480970483/6311048097048309092023160458.pdf")</f>
        <v>https://dpmzos25m8ivg.cloudfront.net/Documentos/631/10480970483/6311048097048309092023160458.pdf</v>
      </c>
      <c r="H4620" s="5" t="s">
        <v>13195</v>
      </c>
    </row>
    <row r="4621" spans="1:8" x14ac:dyDescent="0.25">
      <c r="A4621" s="21" t="s">
        <v>4643</v>
      </c>
      <c r="B4621" s="3"/>
      <c r="C4621" s="3"/>
      <c r="D4621" s="3"/>
      <c r="E4621" s="5" t="str">
        <f>HYPERLINK("https://dpmzos25m8ivg.cloudfront.net/Documentos/631/10482696982/6311048269698211092023081155.jpeg","https://dpmzos25m8ivg.cloudfront.net/Documentos/631/10482696982/6311048269698211092023081155.jpeg")</f>
        <v>https://dpmzos25m8ivg.cloudfront.net/Documentos/631/10482696982/6311048269698211092023081155.jpeg</v>
      </c>
      <c r="F4621" s="5" t="str">
        <f>HYPERLINK("https://dpmzos25m8ivg.cloudfront.net/Documentos/631/10482696982/6311048269698211092023081205.jpeg","https://dpmzos25m8ivg.cloudfront.net/Documentos/631/10482696982/6311048269698211092023081205.jpeg")</f>
        <v>https://dpmzos25m8ivg.cloudfront.net/Documentos/631/10482696982/6311048269698211092023081205.jpeg</v>
      </c>
      <c r="G4621" s="5" t="str">
        <f>HYPERLINK("https://dpmzos25m8ivg.cloudfront.net/Documentos/631/10482696982/6311048269698211092023081216.jpeg","https://dpmzos25m8ivg.cloudfront.net/Documentos/631/10482696982/6311048269698211092023081216.jpeg")</f>
        <v>https://dpmzos25m8ivg.cloudfront.net/Documentos/631/10482696982/6311048269698211092023081216.jpeg</v>
      </c>
      <c r="H4621" s="5" t="s">
        <v>13196</v>
      </c>
    </row>
    <row r="4622" spans="1:8" x14ac:dyDescent="0.25">
      <c r="A4622" s="21" t="s">
        <v>4644</v>
      </c>
      <c r="B4622" s="3"/>
      <c r="C4622" s="3"/>
      <c r="D4622" s="3"/>
      <c r="E4622" s="5" t="str">
        <f>HYPERLINK("https://dpmzos25m8ivg.cloudfront.net/Documentos/631/10486329704/6311048632970410092023152459.jpeg","https://dpmzos25m8ivg.cloudfront.net/Documentos/631/10486329704/6311048632970410092023152459.jpeg")</f>
        <v>https://dpmzos25m8ivg.cloudfront.net/Documentos/631/10486329704/6311048632970410092023152459.jpeg</v>
      </c>
      <c r="F4622" s="5" t="str">
        <f>HYPERLINK("https://dpmzos25m8ivg.cloudfront.net/Documentos/631/10486329704/6311048632970410092023152955.jpeg","https://dpmzos25m8ivg.cloudfront.net/Documentos/631/10486329704/6311048632970410092023152955.jpeg")</f>
        <v>https://dpmzos25m8ivg.cloudfront.net/Documentos/631/10486329704/6311048632970410092023152955.jpeg</v>
      </c>
      <c r="G4622" s="5" t="str">
        <f>HYPERLINK("https://dpmzos25m8ivg.cloudfront.net/Documentos/631/10486329704/6311048632970410092023153120.jpeg","https://dpmzos25m8ivg.cloudfront.net/Documentos/631/10486329704/6311048632970410092023153120.jpeg")</f>
        <v>https://dpmzos25m8ivg.cloudfront.net/Documentos/631/10486329704/6311048632970410092023153120.jpeg</v>
      </c>
      <c r="H4622" s="5" t="s">
        <v>13197</v>
      </c>
    </row>
    <row r="4623" spans="1:8" x14ac:dyDescent="0.25">
      <c r="A4623" s="21" t="s">
        <v>4645</v>
      </c>
      <c r="B4623" s="16" t="s">
        <v>4646</v>
      </c>
      <c r="C4623" s="3"/>
      <c r="D4623" s="3"/>
      <c r="E4623" s="5" t="str">
        <f>HYPERLINK("https://dpmzos25m8ivg.cloudfront.net/Documentos/631/10497542714/6311049754271407092023144711.jpg","https://dpmzos25m8ivg.cloudfront.net/Documentos/631/10497542714/6311049754271407092023144711.jpg")</f>
        <v>https://dpmzos25m8ivg.cloudfront.net/Documentos/631/10497542714/6311049754271407092023144711.jpg</v>
      </c>
      <c r="F4623" s="5" t="str">
        <f>HYPERLINK("https://dpmzos25m8ivg.cloudfront.net/Documentos/631/10497542714/6311049754271407092023144732.jpg","https://dpmzos25m8ivg.cloudfront.net/Documentos/631/10497542714/6311049754271407092023144732.jpg")</f>
        <v>https://dpmzos25m8ivg.cloudfront.net/Documentos/631/10497542714/6311049754271407092023144732.jpg</v>
      </c>
      <c r="G4623" s="5" t="str">
        <f>HYPERLINK("https://dpmzos25m8ivg.cloudfront.net/Documentos/631/10497542714/6311049754271407092023144753.jpg","https://dpmzos25m8ivg.cloudfront.net/Documentos/631/10497542714/6311049754271407092023144753.jpg")</f>
        <v>https://dpmzos25m8ivg.cloudfront.net/Documentos/631/10497542714/6311049754271407092023144753.jpg</v>
      </c>
      <c r="H4623" s="5" t="s">
        <v>13198</v>
      </c>
    </row>
    <row r="4624" spans="1:8" x14ac:dyDescent="0.25">
      <c r="A4624" s="21" t="s">
        <v>4647</v>
      </c>
      <c r="B4624" s="3"/>
      <c r="C4624" s="3"/>
      <c r="D4624" s="3"/>
      <c r="E4624" s="5" t="str">
        <f>HYPERLINK("https://dpmzos25m8ivg.cloudfront.net/Documentos/631/10499126408/6311049912640814092023164600.jpeg","https://dpmzos25m8ivg.cloudfront.net/Documentos/631/10499126408/6311049912640814092023164600.jpeg")</f>
        <v>https://dpmzos25m8ivg.cloudfront.net/Documentos/631/10499126408/6311049912640814092023164600.jpeg</v>
      </c>
      <c r="F4624" s="5" t="str">
        <f>HYPERLINK("https://dpmzos25m8ivg.cloudfront.net/Documentos/631/10499126408/6311049912640814092023164616.jpeg","https://dpmzos25m8ivg.cloudfront.net/Documentos/631/10499126408/6311049912640814092023164616.jpeg")</f>
        <v>https://dpmzos25m8ivg.cloudfront.net/Documentos/631/10499126408/6311049912640814092023164616.jpeg</v>
      </c>
      <c r="G4624" s="5" t="str">
        <f>HYPERLINK("https://dpmzos25m8ivg.cloudfront.net/Documentos/631/10499126408/6311049912640814092023164626.jpeg","https://dpmzos25m8ivg.cloudfront.net/Documentos/631/10499126408/6311049912640814092023164626.jpeg")</f>
        <v>https://dpmzos25m8ivg.cloudfront.net/Documentos/631/10499126408/6311049912640814092023164626.jpeg</v>
      </c>
      <c r="H4624" s="5" t="s">
        <v>13199</v>
      </c>
    </row>
    <row r="4625" spans="1:8" x14ac:dyDescent="0.25">
      <c r="A4625" s="21" t="s">
        <v>4648</v>
      </c>
      <c r="B4625" s="3"/>
      <c r="C4625" s="3"/>
      <c r="D4625" s="3"/>
      <c r="E4625" s="5" t="str">
        <f>HYPERLINK("https://dpmzos25m8ivg.cloudfront.net/Documentos/631/10510872441/6311051087244111092023154247.pdf","https://dpmzos25m8ivg.cloudfront.net/Documentos/631/10510872441/6311051087244111092023154247.pdf")</f>
        <v>https://dpmzos25m8ivg.cloudfront.net/Documentos/631/10510872441/6311051087244111092023154247.pdf</v>
      </c>
      <c r="F4625" s="5" t="str">
        <f>HYPERLINK("https://dpmzos25m8ivg.cloudfront.net/Documentos/631/10510872441/6311051087244111092023154101.pdf","https://dpmzos25m8ivg.cloudfront.net/Documentos/631/10510872441/6311051087244111092023154101.pdf")</f>
        <v>https://dpmzos25m8ivg.cloudfront.net/Documentos/631/10510872441/6311051087244111092023154101.pdf</v>
      </c>
      <c r="G4625" s="5" t="str">
        <f>HYPERLINK("https://dpmzos25m8ivg.cloudfront.net/Documentos/631/10510872441/6311051087244111092023154321.pdf","https://dpmzos25m8ivg.cloudfront.net/Documentos/631/10510872441/6311051087244111092023154321.pdf")</f>
        <v>https://dpmzos25m8ivg.cloudfront.net/Documentos/631/10510872441/6311051087244111092023154321.pdf</v>
      </c>
      <c r="H4625" s="5" t="s">
        <v>13200</v>
      </c>
    </row>
    <row r="4626" spans="1:8" x14ac:dyDescent="0.25">
      <c r="A4626" s="21" t="s">
        <v>4649</v>
      </c>
      <c r="B4626" s="16" t="s">
        <v>8</v>
      </c>
      <c r="C4626" s="3"/>
      <c r="D4626" s="3"/>
      <c r="E4626" s="5" t="str">
        <f>HYPERLINK("https://dpmzos25m8ivg.cloudfront.net/Documentos/631/10513093796/6311051309379606092023135537.pdf","https://dpmzos25m8ivg.cloudfront.net/Documentos/631/10513093796/6311051309379606092023135537.pdf")</f>
        <v>https://dpmzos25m8ivg.cloudfront.net/Documentos/631/10513093796/6311051309379606092023135537.pdf</v>
      </c>
      <c r="F4626" s="5" t="str">
        <f>HYPERLINK("https://dpmzos25m8ivg.cloudfront.net/Documentos/631/10513093796/6311051309379606092023135559.pdf","https://dpmzos25m8ivg.cloudfront.net/Documentos/631/10513093796/6311051309379606092023135559.pdf")</f>
        <v>https://dpmzos25m8ivg.cloudfront.net/Documentos/631/10513093796/6311051309379606092023135559.pdf</v>
      </c>
      <c r="G4626" s="5" t="str">
        <f>HYPERLINK("https://dpmzos25m8ivg.cloudfront.net/Documentos/631/10513093796/6311051309379606092023135623.pdf","https://dpmzos25m8ivg.cloudfront.net/Documentos/631/10513093796/6311051309379606092023135623.pdf")</f>
        <v>https://dpmzos25m8ivg.cloudfront.net/Documentos/631/10513093796/6311051309379606092023135623.pdf</v>
      </c>
      <c r="H4626" s="5" t="s">
        <v>13201</v>
      </c>
    </row>
    <row r="4627" spans="1:8" x14ac:dyDescent="0.25">
      <c r="A4627" s="21" t="s">
        <v>4650</v>
      </c>
      <c r="B4627" s="16" t="s">
        <v>2358</v>
      </c>
      <c r="C4627" s="3"/>
      <c r="D4627" s="3"/>
      <c r="E4627" s="5" t="str">
        <f>HYPERLINK("https://dpmzos25m8ivg.cloudfront.net/Documentos/631/10523016492/6311052301649209092023190010.pdf","https://dpmzos25m8ivg.cloudfront.net/Documentos/631/10523016492/6311052301649209092023190010.pdf")</f>
        <v>https://dpmzos25m8ivg.cloudfront.net/Documentos/631/10523016492/6311052301649209092023190010.pdf</v>
      </c>
      <c r="F4627" s="5" t="str">
        <f>HYPERLINK("https://dpmzos25m8ivg.cloudfront.net/Documentos/631/10523016492/6311052301649209092023190023.pdf","https://dpmzos25m8ivg.cloudfront.net/Documentos/631/10523016492/6311052301649209092023190023.pdf")</f>
        <v>https://dpmzos25m8ivg.cloudfront.net/Documentos/631/10523016492/6311052301649209092023190023.pdf</v>
      </c>
      <c r="G4627" s="5" t="str">
        <f>HYPERLINK("https://dpmzos25m8ivg.cloudfront.net/Documentos/631/10523016492/6311052301649209092023190035.pdf","https://dpmzos25m8ivg.cloudfront.net/Documentos/631/10523016492/6311052301649209092023190035.pdf")</f>
        <v>https://dpmzos25m8ivg.cloudfront.net/Documentos/631/10523016492/6311052301649209092023190035.pdf</v>
      </c>
      <c r="H4627" s="5" t="s">
        <v>13202</v>
      </c>
    </row>
    <row r="4628" spans="1:8" x14ac:dyDescent="0.25">
      <c r="A4628" s="21" t="s">
        <v>4651</v>
      </c>
      <c r="B4628" s="3"/>
      <c r="C4628" s="3"/>
      <c r="D4628" s="3"/>
      <c r="E4628" s="5" t="str">
        <f>HYPERLINK("https://dpmzos25m8ivg.cloudfront.net/Documentos/631/10525532498/6311052553249807092023183246.pdf","https://dpmzos25m8ivg.cloudfront.net/Documentos/631/10525532498/6311052553249807092023183246.pdf")</f>
        <v>https://dpmzos25m8ivg.cloudfront.net/Documentos/631/10525532498/6311052553249807092023183246.pdf</v>
      </c>
      <c r="F4628" s="5" t="str">
        <f>HYPERLINK("https://dpmzos25m8ivg.cloudfront.net/Documentos/631/10525532498/6311052553249807092023183300.pdf","https://dpmzos25m8ivg.cloudfront.net/Documentos/631/10525532498/6311052553249807092023183300.pdf")</f>
        <v>https://dpmzos25m8ivg.cloudfront.net/Documentos/631/10525532498/6311052553249807092023183300.pdf</v>
      </c>
      <c r="G4628" s="5" t="str">
        <f>HYPERLINK("https://dpmzos25m8ivg.cloudfront.net/Documentos/631/10525532498/6311052553249807092023183315.pdf","https://dpmzos25m8ivg.cloudfront.net/Documentos/631/10525532498/6311052553249807092023183315.pdf")</f>
        <v>https://dpmzos25m8ivg.cloudfront.net/Documentos/631/10525532498/6311052553249807092023183315.pdf</v>
      </c>
      <c r="H4628" s="5" t="s">
        <v>13203</v>
      </c>
    </row>
    <row r="4629" spans="1:8" x14ac:dyDescent="0.25">
      <c r="A4629" s="21" t="s">
        <v>4652</v>
      </c>
      <c r="B4629" s="16" t="s">
        <v>2358</v>
      </c>
      <c r="C4629" s="3"/>
      <c r="D4629" s="3"/>
      <c r="E4629" s="5" t="str">
        <f>HYPERLINK("https://dpmzos25m8ivg.cloudfront.net/Documentos/631/10525659722/6311052565972211092023162712.pdf","https://dpmzos25m8ivg.cloudfront.net/Documentos/631/10525659722/6311052565972211092023162712.pdf")</f>
        <v>https://dpmzos25m8ivg.cloudfront.net/Documentos/631/10525659722/6311052565972211092023162712.pdf</v>
      </c>
      <c r="F4629" s="5" t="str">
        <f>HYPERLINK("https://dpmzos25m8ivg.cloudfront.net/Documentos/631/10525659722/6311052565972211092023162720.pdf","https://dpmzos25m8ivg.cloudfront.net/Documentos/631/10525659722/6311052565972211092023162720.pdf")</f>
        <v>https://dpmzos25m8ivg.cloudfront.net/Documentos/631/10525659722/6311052565972211092023162720.pdf</v>
      </c>
      <c r="G4629" s="5" t="str">
        <f>HYPERLINK("https://dpmzos25m8ivg.cloudfront.net/Documentos/631/10525659722/6311052565972211092023162731.pdf","https://dpmzos25m8ivg.cloudfront.net/Documentos/631/10525659722/6311052565972211092023162731.pdf")</f>
        <v>https://dpmzos25m8ivg.cloudfront.net/Documentos/631/10525659722/6311052565972211092023162731.pdf</v>
      </c>
      <c r="H4629" s="5" t="s">
        <v>13204</v>
      </c>
    </row>
    <row r="4630" spans="1:8" x14ac:dyDescent="0.25">
      <c r="A4630" s="2" t="s">
        <v>4653</v>
      </c>
      <c r="B4630" s="3"/>
      <c r="C4630" s="3"/>
      <c r="D4630" s="3"/>
      <c r="E4630" s="5" t="str">
        <f>HYPERLINK("https://dpmzos25m8ivg.cloudfront.net/Documentos/631/10530136473/6311053013647311092023145811.jpeg","https://dpmzos25m8ivg.cloudfront.net/Documentos/631/10530136473/6311053013647311092023145811.jpeg")</f>
        <v>https://dpmzos25m8ivg.cloudfront.net/Documentos/631/10530136473/6311053013647311092023145811.jpeg</v>
      </c>
      <c r="F4630" s="5" t="str">
        <f>HYPERLINK("https://dpmzos25m8ivg.cloudfront.net/Documentos/631/10530136473/6311053013647311092023145825.jpeg","https://dpmzos25m8ivg.cloudfront.net/Documentos/631/10530136473/6311053013647311092023145825.jpeg")</f>
        <v>https://dpmzos25m8ivg.cloudfront.net/Documentos/631/10530136473/6311053013647311092023145825.jpeg</v>
      </c>
      <c r="G4630" s="5" t="str">
        <f>HYPERLINK("https://dpmzos25m8ivg.cloudfront.net/Documentos/631/10530136473/6311053013647311092023145840.jpeg","https://dpmzos25m8ivg.cloudfront.net/Documentos/631/10530136473/6311053013647311092023145840.jpeg")</f>
        <v>https://dpmzos25m8ivg.cloudfront.net/Documentos/631/10530136473/6311053013647311092023145840.jpeg</v>
      </c>
      <c r="H4630" s="5" t="s">
        <v>13205</v>
      </c>
    </row>
    <row r="4631" spans="1:8" x14ac:dyDescent="0.25">
      <c r="A4631" s="2" t="s">
        <v>4654</v>
      </c>
      <c r="B4631" s="3" t="s">
        <v>23</v>
      </c>
      <c r="C4631" s="3"/>
      <c r="D4631" s="3"/>
      <c r="E4631" s="5" t="str">
        <f>HYPERLINK("https://dpmzos25m8ivg.cloudfront.net/Documentos/631/10531051420/6311053105142011092023155153.jpg","https://dpmzos25m8ivg.cloudfront.net/Documentos/631/10531051420/6311053105142011092023155153.jpg")</f>
        <v>https://dpmzos25m8ivg.cloudfront.net/Documentos/631/10531051420/6311053105142011092023155153.jpg</v>
      </c>
      <c r="F4631" s="5" t="str">
        <f>HYPERLINK("https://dpmzos25m8ivg.cloudfront.net/Documentos/631/10531051420/6311053105142011092023155211.jpg","https://dpmzos25m8ivg.cloudfront.net/Documentos/631/10531051420/6311053105142011092023155211.jpg")</f>
        <v>https://dpmzos25m8ivg.cloudfront.net/Documentos/631/10531051420/6311053105142011092023155211.jpg</v>
      </c>
      <c r="G4631" s="5" t="str">
        <f>HYPERLINK("https://dpmzos25m8ivg.cloudfront.net/Documentos/631/10531051420/6311053105142011092023155235.jpg","https://dpmzos25m8ivg.cloudfront.net/Documentos/631/10531051420/6311053105142011092023155235.jpg")</f>
        <v>https://dpmzos25m8ivg.cloudfront.net/Documentos/631/10531051420/6311053105142011092023155235.jpg</v>
      </c>
      <c r="H4631" s="5" t="s">
        <v>13206</v>
      </c>
    </row>
    <row r="4632" spans="1:8" x14ac:dyDescent="0.25">
      <c r="A4632" s="2" t="s">
        <v>4655</v>
      </c>
      <c r="B4632" s="3"/>
      <c r="C4632" s="3"/>
      <c r="D4632" s="3"/>
      <c r="E4632" s="5" t="str">
        <f>HYPERLINK("https://dpmzos25m8ivg.cloudfront.net/Documentos/631/10533922496/6311053392249610092023104519.pdf","https://dpmzos25m8ivg.cloudfront.net/Documentos/631/10533922496/6311053392249610092023104519.pdf")</f>
        <v>https://dpmzos25m8ivg.cloudfront.net/Documentos/631/10533922496/6311053392249610092023104519.pdf</v>
      </c>
      <c r="F4632" s="5" t="str">
        <f>HYPERLINK("https://dpmzos25m8ivg.cloudfront.net/Documentos/631/10533922496/6311053392249610092023104541.pdf","https://dpmzos25m8ivg.cloudfront.net/Documentos/631/10533922496/6311053392249610092023104541.pdf")</f>
        <v>https://dpmzos25m8ivg.cloudfront.net/Documentos/631/10533922496/6311053392249610092023104541.pdf</v>
      </c>
      <c r="G4632" s="5" t="str">
        <f>HYPERLINK("https://dpmzos25m8ivg.cloudfront.net/Documentos/631/10533922496/6311053392249610092023104604.pdf","https://dpmzos25m8ivg.cloudfront.net/Documentos/631/10533922496/6311053392249610092023104604.pdf")</f>
        <v>https://dpmzos25m8ivg.cloudfront.net/Documentos/631/10533922496/6311053392249610092023104604.pdf</v>
      </c>
      <c r="H4632" s="5" t="s">
        <v>13207</v>
      </c>
    </row>
    <row r="4633" spans="1:8" x14ac:dyDescent="0.25">
      <c r="A4633" s="2" t="s">
        <v>4656</v>
      </c>
      <c r="B4633" s="3"/>
      <c r="C4633" s="3"/>
      <c r="D4633" s="3"/>
      <c r="E4633" s="5" t="str">
        <f>HYPERLINK("https://dpmzos25m8ivg.cloudfront.net/Documentos/631/10534017878/6311053401787810092023173104.pdf","https://dpmzos25m8ivg.cloudfront.net/Documentos/631/10534017878/6311053401787810092023173104.pdf")</f>
        <v>https://dpmzos25m8ivg.cloudfront.net/Documentos/631/10534017878/6311053401787810092023173104.pdf</v>
      </c>
      <c r="F4633" s="5" t="str">
        <f>HYPERLINK("https://dpmzos25m8ivg.cloudfront.net/Documentos/631/10534017878/6311053401787810092023173132.pdf","https://dpmzos25m8ivg.cloudfront.net/Documentos/631/10534017878/6311053401787810092023173132.pdf")</f>
        <v>https://dpmzos25m8ivg.cloudfront.net/Documentos/631/10534017878/6311053401787810092023173132.pdf</v>
      </c>
      <c r="G4633" s="5" t="str">
        <f>HYPERLINK("https://dpmzos25m8ivg.cloudfront.net/Documentos/631/10534017878/6311053401787810092023173145.pdf","https://dpmzos25m8ivg.cloudfront.net/Documentos/631/10534017878/6311053401787810092023173145.pdf")</f>
        <v>https://dpmzos25m8ivg.cloudfront.net/Documentos/631/10534017878/6311053401787810092023173145.pdf</v>
      </c>
      <c r="H4633" s="5" t="s">
        <v>13208</v>
      </c>
    </row>
    <row r="4634" spans="1:8" x14ac:dyDescent="0.25">
      <c r="A4634" s="2" t="s">
        <v>4657</v>
      </c>
      <c r="B4634" s="3"/>
      <c r="C4634" s="3"/>
      <c r="D4634" s="3"/>
      <c r="E4634" s="5" t="str">
        <f>HYPERLINK("https://dpmzos25m8ivg.cloudfront.net/Documentos/631/10534788955/6311053478895514092023161753.pdf","https://dpmzos25m8ivg.cloudfront.net/Documentos/631/10534788955/6311053478895514092023161753.pdf")</f>
        <v>https://dpmzos25m8ivg.cloudfront.net/Documentos/631/10534788955/6311053478895514092023161753.pdf</v>
      </c>
      <c r="F4634" s="5" t="str">
        <f>HYPERLINK("https://dpmzos25m8ivg.cloudfront.net/Documentos/631/10534788955/6311053478895514092023161810.pdf","https://dpmzos25m8ivg.cloudfront.net/Documentos/631/10534788955/6311053478895514092023161810.pdf")</f>
        <v>https://dpmzos25m8ivg.cloudfront.net/Documentos/631/10534788955/6311053478895514092023161810.pdf</v>
      </c>
      <c r="G4634" s="5" t="str">
        <f>HYPERLINK("https://dpmzos25m8ivg.cloudfront.net/Documentos/631/10534788955/6311053478895514092023161822.pdf","https://dpmzos25m8ivg.cloudfront.net/Documentos/631/10534788955/6311053478895514092023161822.pdf")</f>
        <v>https://dpmzos25m8ivg.cloudfront.net/Documentos/631/10534788955/6311053478895514092023161822.pdf</v>
      </c>
      <c r="H4634" s="5" t="s">
        <v>13209</v>
      </c>
    </row>
    <row r="4635" spans="1:8" x14ac:dyDescent="0.25">
      <c r="A4635" s="2" t="s">
        <v>4658</v>
      </c>
      <c r="B4635" s="3"/>
      <c r="C4635" s="3"/>
      <c r="D4635" s="3"/>
      <c r="E4635" s="5" t="str">
        <f>HYPERLINK("https://dpmzos25m8ivg.cloudfront.net/Documentos/631/10536989419/6311053698941905092023100950.pdf","https://dpmzos25m8ivg.cloudfront.net/Documentos/631/10536989419/6311053698941905092023100950.pdf")</f>
        <v>https://dpmzos25m8ivg.cloudfront.net/Documentos/631/10536989419/6311053698941905092023100950.pdf</v>
      </c>
      <c r="F4635" s="5" t="str">
        <f>HYPERLINK("https://dpmzos25m8ivg.cloudfront.net/Documentos/631/10536989419/6311053698941905092023100959.pdf","https://dpmzos25m8ivg.cloudfront.net/Documentos/631/10536989419/6311053698941905092023100959.pdf")</f>
        <v>https://dpmzos25m8ivg.cloudfront.net/Documentos/631/10536989419/6311053698941905092023100959.pdf</v>
      </c>
      <c r="G4635" s="5" t="str">
        <f>HYPERLINK("https://dpmzos25m8ivg.cloudfront.net/Documentos/631/10536989419/6311053698941905092023101007.pdf","https://dpmzos25m8ivg.cloudfront.net/Documentos/631/10536989419/6311053698941905092023101007.pdf")</f>
        <v>https://dpmzos25m8ivg.cloudfront.net/Documentos/631/10536989419/6311053698941905092023101007.pdf</v>
      </c>
      <c r="H4635" s="5" t="s">
        <v>13210</v>
      </c>
    </row>
    <row r="4636" spans="1:8" x14ac:dyDescent="0.25">
      <c r="A4636" s="2" t="s">
        <v>4659</v>
      </c>
      <c r="B4636" s="3"/>
      <c r="C4636" s="3"/>
      <c r="D4636" s="3"/>
      <c r="E4636" s="5" t="str">
        <f>HYPERLINK("https://dpmzos25m8ivg.cloudfront.net/Documentos/631/10539649430/6311053964943008092023065830.pdf","https://dpmzos25m8ivg.cloudfront.net/Documentos/631/10539649430/6311053964943008092023065830.pdf")</f>
        <v>https://dpmzos25m8ivg.cloudfront.net/Documentos/631/10539649430/6311053964943008092023065830.pdf</v>
      </c>
      <c r="F4636" s="5" t="str">
        <f>HYPERLINK("https://dpmzos25m8ivg.cloudfront.net/Documentos/631/10539649430/6311053964943008092023065845.pdf","https://dpmzos25m8ivg.cloudfront.net/Documentos/631/10539649430/6311053964943008092023065845.pdf")</f>
        <v>https://dpmzos25m8ivg.cloudfront.net/Documentos/631/10539649430/6311053964943008092023065845.pdf</v>
      </c>
      <c r="G4636" s="5" t="str">
        <f>HYPERLINK("https://dpmzos25m8ivg.cloudfront.net/Documentos/631/10539649430/6311053964943008092023065901.pdf","https://dpmzos25m8ivg.cloudfront.net/Documentos/631/10539649430/6311053964943008092023065901.pdf")</f>
        <v>https://dpmzos25m8ivg.cloudfront.net/Documentos/631/10539649430/6311053964943008092023065901.pdf</v>
      </c>
      <c r="H4636" s="5" t="s">
        <v>13211</v>
      </c>
    </row>
    <row r="4637" spans="1:8" x14ac:dyDescent="0.25">
      <c r="A4637" s="2" t="s">
        <v>4660</v>
      </c>
      <c r="B4637" s="16" t="s">
        <v>8</v>
      </c>
      <c r="C4637" s="3"/>
      <c r="D4637" s="3"/>
      <c r="E4637" s="5" t="str">
        <f>HYPERLINK("https://dpmzos25m8ivg.cloudfront.net/Documentos/631/10544440803/6311054444080311092023003624.jpg","https://dpmzos25m8ivg.cloudfront.net/Documentos/631/10544440803/6311054444080311092023003624.jpg")</f>
        <v>https://dpmzos25m8ivg.cloudfront.net/Documentos/631/10544440803/6311054444080311092023003624.jpg</v>
      </c>
      <c r="F4637" s="5" t="str">
        <f>HYPERLINK("https://dpmzos25m8ivg.cloudfront.net/Documentos/631/10544440803/6311054444080311092023003639.jpg","https://dpmzos25m8ivg.cloudfront.net/Documentos/631/10544440803/6311054444080311092023003639.jpg")</f>
        <v>https://dpmzos25m8ivg.cloudfront.net/Documentos/631/10544440803/6311054444080311092023003639.jpg</v>
      </c>
      <c r="G4637" s="5" t="str">
        <f>HYPERLINK("https://dpmzos25m8ivg.cloudfront.net/Documentos/631/10544440803/6311054444080311092023003652.jpg","https://dpmzos25m8ivg.cloudfront.net/Documentos/631/10544440803/6311054444080311092023003652.jpg")</f>
        <v>https://dpmzos25m8ivg.cloudfront.net/Documentos/631/10544440803/6311054444080311092023003652.jpg</v>
      </c>
      <c r="H4637" s="5" t="s">
        <v>13212</v>
      </c>
    </row>
    <row r="4638" spans="1:8" x14ac:dyDescent="0.25">
      <c r="A4638" s="2" t="s">
        <v>4661</v>
      </c>
      <c r="B4638" s="3"/>
      <c r="C4638" s="3"/>
      <c r="D4638" s="3"/>
      <c r="E4638" s="5" t="str">
        <f>HYPERLINK("https://dpmzos25m8ivg.cloudfront.net/Documentos/631/10544932943/6311054493294314092023161617.pdf","https://dpmzos25m8ivg.cloudfront.net/Documentos/631/10544932943/6311054493294314092023161617.pdf")</f>
        <v>https://dpmzos25m8ivg.cloudfront.net/Documentos/631/10544932943/6311054493294314092023161617.pdf</v>
      </c>
      <c r="F4638" s="5" t="str">
        <f>HYPERLINK("https://dpmzos25m8ivg.cloudfront.net/Documentos/631/10544932943/6311054493294314092023161624.pdf","https://dpmzos25m8ivg.cloudfront.net/Documentos/631/10544932943/6311054493294314092023161624.pdf")</f>
        <v>https://dpmzos25m8ivg.cloudfront.net/Documentos/631/10544932943/6311054493294314092023161624.pdf</v>
      </c>
      <c r="G4638" s="5" t="str">
        <f>HYPERLINK("https://dpmzos25m8ivg.cloudfront.net/Documentos/631/10544932943/6311054493294314092023161635.pdf","https://dpmzos25m8ivg.cloudfront.net/Documentos/631/10544932943/6311054493294314092023161635.pdf")</f>
        <v>https://dpmzos25m8ivg.cloudfront.net/Documentos/631/10544932943/6311054493294314092023161635.pdf</v>
      </c>
      <c r="H4638" s="5" t="s">
        <v>13213</v>
      </c>
    </row>
    <row r="4639" spans="1:8" x14ac:dyDescent="0.25">
      <c r="A4639" s="2" t="s">
        <v>4662</v>
      </c>
      <c r="B4639" s="3"/>
      <c r="C4639" s="3"/>
      <c r="D4639" s="3"/>
      <c r="E4639" s="5" t="str">
        <f>HYPERLINK("https://dpmzos25m8ivg.cloudfront.net/Documentos/631/10557409616/6311055740961605092023093921.pdf","https://dpmzos25m8ivg.cloudfront.net/Documentos/631/10557409616/6311055740961605092023093921.pdf")</f>
        <v>https://dpmzos25m8ivg.cloudfront.net/Documentos/631/10557409616/6311055740961605092023093921.pdf</v>
      </c>
      <c r="F4639" s="5" t="str">
        <f>HYPERLINK("https://dpmzos25m8ivg.cloudfront.net/Documentos/631/10557409616/6311055740961605092023093932.pdf","https://dpmzos25m8ivg.cloudfront.net/Documentos/631/10557409616/6311055740961605092023093932.pdf")</f>
        <v>https://dpmzos25m8ivg.cloudfront.net/Documentos/631/10557409616/6311055740961605092023093932.pdf</v>
      </c>
      <c r="G4639" s="5" t="str">
        <f>HYPERLINK("https://dpmzos25m8ivg.cloudfront.net/Documentos/631/10557409616/6311055740961605092023093947.pdf","https://dpmzos25m8ivg.cloudfront.net/Documentos/631/10557409616/6311055740961605092023093947.pdf")</f>
        <v>https://dpmzos25m8ivg.cloudfront.net/Documentos/631/10557409616/6311055740961605092023093947.pdf</v>
      </c>
      <c r="H4639" s="5" t="s">
        <v>13214</v>
      </c>
    </row>
    <row r="4640" spans="1:8" x14ac:dyDescent="0.25">
      <c r="A4640" s="2" t="s">
        <v>4663</v>
      </c>
      <c r="B4640" s="3"/>
      <c r="C4640" s="3"/>
      <c r="D4640" s="3"/>
      <c r="E4640" s="5" t="str">
        <f>HYPERLINK("https://dpmzos25m8ivg.cloudfront.net/Documentos/631/10563825979/6311056382597905092023102753.pdf","https://dpmzos25m8ivg.cloudfront.net/Documentos/631/10563825979/6311056382597905092023102753.pdf")</f>
        <v>https://dpmzos25m8ivg.cloudfront.net/Documentos/631/10563825979/6311056382597905092023102753.pdf</v>
      </c>
      <c r="F4640" s="5" t="str">
        <f>HYPERLINK("https://dpmzos25m8ivg.cloudfront.net/Documentos/631/10563825979/6311056382597905092023102818.pdf","https://dpmzos25m8ivg.cloudfront.net/Documentos/631/10563825979/6311056382597905092023102818.pdf")</f>
        <v>https://dpmzos25m8ivg.cloudfront.net/Documentos/631/10563825979/6311056382597905092023102818.pdf</v>
      </c>
      <c r="G4640" s="5" t="str">
        <f>HYPERLINK("https://dpmzos25m8ivg.cloudfront.net/Documentos/631/10563825979/6311056382597905092023102827.pdf","https://dpmzos25m8ivg.cloudfront.net/Documentos/631/10563825979/6311056382597905092023102827.pdf")</f>
        <v>https://dpmzos25m8ivg.cloudfront.net/Documentos/631/10563825979/6311056382597905092023102827.pdf</v>
      </c>
      <c r="H4640" s="5" t="s">
        <v>13215</v>
      </c>
    </row>
    <row r="4641" spans="1:8" x14ac:dyDescent="0.25">
      <c r="A4641" s="2" t="s">
        <v>4664</v>
      </c>
      <c r="B4641" s="3"/>
      <c r="C4641" s="3"/>
      <c r="D4641" s="3"/>
      <c r="E4641" s="5" t="str">
        <f>HYPERLINK("https://dpmzos25m8ivg.cloudfront.net/Documentos/631/10566638479/6311056663847911092023122129.pdf","https://dpmzos25m8ivg.cloudfront.net/Documentos/631/10566638479/6311056663847911092023122129.pdf")</f>
        <v>https://dpmzos25m8ivg.cloudfront.net/Documentos/631/10566638479/6311056663847911092023122129.pdf</v>
      </c>
      <c r="F4641" s="5" t="str">
        <f>HYPERLINK("https://dpmzos25m8ivg.cloudfront.net/Documentos/631/10566638479/6311056663847911092023122215.pdf","https://dpmzos25m8ivg.cloudfront.net/Documentos/631/10566638479/6311056663847911092023122215.pdf")</f>
        <v>https://dpmzos25m8ivg.cloudfront.net/Documentos/631/10566638479/6311056663847911092023122215.pdf</v>
      </c>
      <c r="G4641" s="5" t="str">
        <f>HYPERLINK("https://dpmzos25m8ivg.cloudfront.net/Documentos/631/10566638479/6311056663847911092023122237.pdf","https://dpmzos25m8ivg.cloudfront.net/Documentos/631/10566638479/6311056663847911092023122237.pdf")</f>
        <v>https://dpmzos25m8ivg.cloudfront.net/Documentos/631/10566638479/6311056663847911092023122237.pdf</v>
      </c>
      <c r="H4641" s="5" t="s">
        <v>13216</v>
      </c>
    </row>
    <row r="4642" spans="1:8" x14ac:dyDescent="0.25">
      <c r="A4642" s="2" t="s">
        <v>4665</v>
      </c>
      <c r="B4642" s="16" t="s">
        <v>8</v>
      </c>
      <c r="C4642" s="3"/>
      <c r="D4642" s="3"/>
      <c r="E4642" s="5" t="str">
        <f>HYPERLINK("https://dpmzos25m8ivg.cloudfront.net/Documentos/631/10567898911/6311056789891110092023130044.pdf","https://dpmzos25m8ivg.cloudfront.net/Documentos/631/10567898911/6311056789891110092023130044.pdf")</f>
        <v>https://dpmzos25m8ivg.cloudfront.net/Documentos/631/10567898911/6311056789891110092023130044.pdf</v>
      </c>
      <c r="F4642" s="5" t="str">
        <f>HYPERLINK("https://dpmzos25m8ivg.cloudfront.net/Documentos/631/10567898911/6311056789891110092023130109.pdf","https://dpmzos25m8ivg.cloudfront.net/Documentos/631/10567898911/6311056789891110092023130109.pdf")</f>
        <v>https://dpmzos25m8ivg.cloudfront.net/Documentos/631/10567898911/6311056789891110092023130109.pdf</v>
      </c>
      <c r="G4642" s="5" t="str">
        <f>HYPERLINK("https://dpmzos25m8ivg.cloudfront.net/Documentos/631/10567898911/6311056789891110092023130123.pdf","https://dpmzos25m8ivg.cloudfront.net/Documentos/631/10567898911/6311056789891110092023130123.pdf")</f>
        <v>https://dpmzos25m8ivg.cloudfront.net/Documentos/631/10567898911/6311056789891110092023130123.pdf</v>
      </c>
      <c r="H4642" s="5" t="s">
        <v>13217</v>
      </c>
    </row>
    <row r="4643" spans="1:8" x14ac:dyDescent="0.25">
      <c r="A4643" s="21" t="s">
        <v>4666</v>
      </c>
      <c r="B4643" s="16" t="s">
        <v>2358</v>
      </c>
      <c r="C4643" s="3"/>
      <c r="D4643" s="3"/>
      <c r="E4643" s="5" t="str">
        <f>HYPERLINK("https://dpmzos25m8ivg.cloudfront.net/Documentos/631/10575732482/6311057573248213092023170212.pdf","https://dpmzos25m8ivg.cloudfront.net/Documentos/631/10575732482/6311057573248213092023170212.pdf")</f>
        <v>https://dpmzos25m8ivg.cloudfront.net/Documentos/631/10575732482/6311057573248213092023170212.pdf</v>
      </c>
      <c r="F4643" s="5" t="str">
        <f>HYPERLINK("https://dpmzos25m8ivg.cloudfront.net/Documentos/631/10575732482/6311057573248213092023170221.pdf","https://dpmzos25m8ivg.cloudfront.net/Documentos/631/10575732482/6311057573248213092023170221.pdf")</f>
        <v>https://dpmzos25m8ivg.cloudfront.net/Documentos/631/10575732482/6311057573248213092023170221.pdf</v>
      </c>
      <c r="G4643" s="5" t="str">
        <f>HYPERLINK("https://dpmzos25m8ivg.cloudfront.net/Documentos/631/10575732482/6311057573248213092023170237.pdf","https://dpmzos25m8ivg.cloudfront.net/Documentos/631/10575732482/6311057573248213092023170237.pdf")</f>
        <v>https://dpmzos25m8ivg.cloudfront.net/Documentos/631/10575732482/6311057573248213092023170237.pdf</v>
      </c>
      <c r="H4643" s="5" t="s">
        <v>13218</v>
      </c>
    </row>
    <row r="4644" spans="1:8" x14ac:dyDescent="0.25">
      <c r="A4644" s="21" t="s">
        <v>4667</v>
      </c>
      <c r="B4644" s="3"/>
      <c r="C4644" s="3"/>
      <c r="D4644" s="3"/>
      <c r="E4644" s="5" t="str">
        <f>HYPERLINK("https://dpmzos25m8ivg.cloudfront.net/Documentos/631/10576405493/6311057640549310092023231200.pdf","https://dpmzos25m8ivg.cloudfront.net/Documentos/631/10576405493/6311057640549310092023231200.pdf")</f>
        <v>https://dpmzos25m8ivg.cloudfront.net/Documentos/631/10576405493/6311057640549310092023231200.pdf</v>
      </c>
      <c r="F4644" s="5" t="str">
        <f>HYPERLINK("https://dpmzos25m8ivg.cloudfront.net/Documentos/631/10576405493/6311057640549310092023231221.pdf","https://dpmzos25m8ivg.cloudfront.net/Documentos/631/10576405493/6311057640549310092023231221.pdf")</f>
        <v>https://dpmzos25m8ivg.cloudfront.net/Documentos/631/10576405493/6311057640549310092023231221.pdf</v>
      </c>
      <c r="G4644" s="5" t="str">
        <f>HYPERLINK("https://dpmzos25m8ivg.cloudfront.net/Documentos/631/10576405493/6311057640549310092023231240.pdf","https://dpmzos25m8ivg.cloudfront.net/Documentos/631/10576405493/6311057640549310092023231240.pdf")</f>
        <v>https://dpmzos25m8ivg.cloudfront.net/Documentos/631/10576405493/6311057640549310092023231240.pdf</v>
      </c>
      <c r="H4644" s="5" t="s">
        <v>13219</v>
      </c>
    </row>
    <row r="4645" spans="1:8" x14ac:dyDescent="0.25">
      <c r="A4645" s="21" t="s">
        <v>4668</v>
      </c>
      <c r="B4645" s="16" t="s">
        <v>4646</v>
      </c>
      <c r="C4645" s="3"/>
      <c r="D4645" s="3"/>
      <c r="E4645" s="5" t="str">
        <f>HYPERLINK("https://dpmzos25m8ivg.cloudfront.net/Documentos/631/10582203490/6311058220349009092023094322.pdf","https://dpmzos25m8ivg.cloudfront.net/Documentos/631/10582203490/6311058220349009092023094322.pdf")</f>
        <v>https://dpmzos25m8ivg.cloudfront.net/Documentos/631/10582203490/6311058220349009092023094322.pdf</v>
      </c>
      <c r="F4645" s="5" t="str">
        <f>HYPERLINK("https://dpmzos25m8ivg.cloudfront.net/Documentos/631/10582203490/6311058220349009092023094337.pdf","https://dpmzos25m8ivg.cloudfront.net/Documentos/631/10582203490/6311058220349009092023094337.pdf")</f>
        <v>https://dpmzos25m8ivg.cloudfront.net/Documentos/631/10582203490/6311058220349009092023094337.pdf</v>
      </c>
      <c r="G4645" s="5" t="str">
        <f>HYPERLINK("https://dpmzos25m8ivg.cloudfront.net/Documentos/631/10582203490/6311058220349009092023094348.pdf","https://dpmzos25m8ivg.cloudfront.net/Documentos/631/10582203490/6311058220349009092023094348.pdf")</f>
        <v>https://dpmzos25m8ivg.cloudfront.net/Documentos/631/10582203490/6311058220349009092023094348.pdf</v>
      </c>
      <c r="H4645" s="5" t="s">
        <v>13220</v>
      </c>
    </row>
    <row r="4646" spans="1:8" x14ac:dyDescent="0.25">
      <c r="A4646" s="21" t="s">
        <v>4669</v>
      </c>
      <c r="B4646" s="3"/>
      <c r="C4646" s="3"/>
      <c r="D4646" s="3"/>
      <c r="E4646" s="5" t="str">
        <f>HYPERLINK("https://dpmzos25m8ivg.cloudfront.net/Documentos/631/10583242928/6311058324292807092023113934.pdf","https://dpmzos25m8ivg.cloudfront.net/Documentos/631/10583242928/6311058324292807092023113934.pdf")</f>
        <v>https://dpmzos25m8ivg.cloudfront.net/Documentos/631/10583242928/6311058324292807092023113934.pdf</v>
      </c>
      <c r="F4646" s="5" t="str">
        <f>HYPERLINK("https://dpmzos25m8ivg.cloudfront.net/Documentos/631/10583242928/6311058324292807092023113943.pdf","https://dpmzos25m8ivg.cloudfront.net/Documentos/631/10583242928/6311058324292807092023113943.pdf")</f>
        <v>https://dpmzos25m8ivg.cloudfront.net/Documentos/631/10583242928/6311058324292807092023113943.pdf</v>
      </c>
      <c r="G4646" s="5" t="str">
        <f>HYPERLINK("https://dpmzos25m8ivg.cloudfront.net/Documentos/631/10583242928/6311058324292807092023113953.pdf","https://dpmzos25m8ivg.cloudfront.net/Documentos/631/10583242928/6311058324292807092023113953.pdf")</f>
        <v>https://dpmzos25m8ivg.cloudfront.net/Documentos/631/10583242928/6311058324292807092023113953.pdf</v>
      </c>
      <c r="H4646" s="5" t="s">
        <v>13221</v>
      </c>
    </row>
    <row r="4647" spans="1:8" x14ac:dyDescent="0.25">
      <c r="A4647" s="21" t="s">
        <v>4670</v>
      </c>
      <c r="B4647" s="16" t="s">
        <v>4646</v>
      </c>
      <c r="C4647" s="3"/>
      <c r="D4647" s="3"/>
      <c r="E4647" s="5" t="str">
        <f>HYPERLINK("https://dpmzos25m8ivg.cloudfront.net/Documentos/631/10590453890/6311059045389009092023064217.jpg","https://dpmzos25m8ivg.cloudfront.net/Documentos/631/10590453890/6311059045389009092023064217.jpg")</f>
        <v>https://dpmzos25m8ivg.cloudfront.net/Documentos/631/10590453890/6311059045389009092023064217.jpg</v>
      </c>
      <c r="F4647" s="5" t="str">
        <f>HYPERLINK("https://dpmzos25m8ivg.cloudfront.net/Documentos/631/10590453890/6311059045389009092023064234.jpg","https://dpmzos25m8ivg.cloudfront.net/Documentos/631/10590453890/6311059045389009092023064234.jpg")</f>
        <v>https://dpmzos25m8ivg.cloudfront.net/Documentos/631/10590453890/6311059045389009092023064234.jpg</v>
      </c>
      <c r="G4647" s="5" t="str">
        <f>HYPERLINK("https://dpmzos25m8ivg.cloudfront.net/Documentos/631/10590453890/6311059045389009092023064248.jpg","https://dpmzos25m8ivg.cloudfront.net/Documentos/631/10590453890/6311059045389009092023064248.jpg")</f>
        <v>https://dpmzos25m8ivg.cloudfront.net/Documentos/631/10590453890/6311059045389009092023064248.jpg</v>
      </c>
      <c r="H4647" s="5" t="s">
        <v>13222</v>
      </c>
    </row>
    <row r="4648" spans="1:8" x14ac:dyDescent="0.25">
      <c r="A4648" s="21" t="s">
        <v>4671</v>
      </c>
      <c r="B4648" s="3"/>
      <c r="C4648" s="3"/>
      <c r="D4648" s="3"/>
      <c r="E4648" s="5" t="str">
        <f>HYPERLINK("https://dpmzos25m8ivg.cloudfront.net/Documentos/631/10593513401/6311059351340105092023212934.pdf","https://dpmzos25m8ivg.cloudfront.net/Documentos/631/10593513401/6311059351340105092023212934.pdf")</f>
        <v>https://dpmzos25m8ivg.cloudfront.net/Documentos/631/10593513401/6311059351340105092023212934.pdf</v>
      </c>
      <c r="F4648" s="5" t="str">
        <f>HYPERLINK("https://dpmzos25m8ivg.cloudfront.net/Documentos/631/10593513401/6311059351340105092023212947.pdf","https://dpmzos25m8ivg.cloudfront.net/Documentos/631/10593513401/6311059351340105092023212947.pdf")</f>
        <v>https://dpmzos25m8ivg.cloudfront.net/Documentos/631/10593513401/6311059351340105092023212947.pdf</v>
      </c>
      <c r="G4648" s="5" t="str">
        <f>HYPERLINK("https://dpmzos25m8ivg.cloudfront.net/Documentos/631/10593513401/6311059351340105092023213015.pdf","https://dpmzos25m8ivg.cloudfront.net/Documentos/631/10593513401/6311059351340105092023213015.pdf")</f>
        <v>https://dpmzos25m8ivg.cloudfront.net/Documentos/631/10593513401/6311059351340105092023213015.pdf</v>
      </c>
      <c r="H4648" s="5" t="s">
        <v>13223</v>
      </c>
    </row>
    <row r="4649" spans="1:8" x14ac:dyDescent="0.25">
      <c r="A4649" s="21" t="s">
        <v>4672</v>
      </c>
      <c r="B4649" s="16" t="s">
        <v>4646</v>
      </c>
      <c r="C4649" s="3"/>
      <c r="D4649" s="3"/>
      <c r="E4649" s="5" t="str">
        <f>HYPERLINK("https://dpmzos25m8ivg.cloudfront.net/Documentos/631/10601381742/6311060138174210092023122410.jpg","https://dpmzos25m8ivg.cloudfront.net/Documentos/631/10601381742/6311060138174210092023122410.jpg")</f>
        <v>https://dpmzos25m8ivg.cloudfront.net/Documentos/631/10601381742/6311060138174210092023122410.jpg</v>
      </c>
      <c r="F4649" s="5" t="str">
        <f>HYPERLINK("https://dpmzos25m8ivg.cloudfront.net/Documentos/631/10601381742/6311060138174210092023122450.jpg","https://dpmzos25m8ivg.cloudfront.net/Documentos/631/10601381742/6311060138174210092023122450.jpg")</f>
        <v>https://dpmzos25m8ivg.cloudfront.net/Documentos/631/10601381742/6311060138174210092023122450.jpg</v>
      </c>
      <c r="G4649" s="5" t="str">
        <f>HYPERLINK("https://dpmzos25m8ivg.cloudfront.net/Documentos/631/10601381742/6311060138174210092023122523.jpg","https://dpmzos25m8ivg.cloudfront.net/Documentos/631/10601381742/6311060138174210092023122523.jpg")</f>
        <v>https://dpmzos25m8ivg.cloudfront.net/Documentos/631/10601381742/6311060138174210092023122523.jpg</v>
      </c>
      <c r="H4649" s="5" t="s">
        <v>9010</v>
      </c>
    </row>
    <row r="4650" spans="1:8" x14ac:dyDescent="0.25">
      <c r="A4650" s="21" t="s">
        <v>4673</v>
      </c>
      <c r="B4650" s="3" t="s">
        <v>23</v>
      </c>
      <c r="C4650" s="3"/>
      <c r="D4650" s="3"/>
      <c r="E4650" s="5" t="str">
        <f>HYPERLINK("https://dpmzos25m8ivg.cloudfront.net/Documentos/631/10606940693/6311060694069311092023080451.jpg","https://dpmzos25m8ivg.cloudfront.net/Documentos/631/10606940693/6311060694069311092023080451.jpg")</f>
        <v>https://dpmzos25m8ivg.cloudfront.net/Documentos/631/10606940693/6311060694069311092023080451.jpg</v>
      </c>
      <c r="F4650" s="5" t="str">
        <f>HYPERLINK("https://dpmzos25m8ivg.cloudfront.net/Documentos/631/10606940693/6311060694069311092023080510.jpg","https://dpmzos25m8ivg.cloudfront.net/Documentos/631/10606940693/6311060694069311092023080510.jpg")</f>
        <v>https://dpmzos25m8ivg.cloudfront.net/Documentos/631/10606940693/6311060694069311092023080510.jpg</v>
      </c>
      <c r="G4650" s="5" t="str">
        <f>HYPERLINK("https://dpmzos25m8ivg.cloudfront.net/Documentos/631/10606940693/6311060694069311092023080530.jpg","https://dpmzos25m8ivg.cloudfront.net/Documentos/631/10606940693/6311060694069311092023080530.jpg")</f>
        <v>https://dpmzos25m8ivg.cloudfront.net/Documentos/631/10606940693/6311060694069311092023080530.jpg</v>
      </c>
      <c r="H4650" s="5" t="s">
        <v>13224</v>
      </c>
    </row>
    <row r="4651" spans="1:8" x14ac:dyDescent="0.25">
      <c r="A4651" s="21" t="s">
        <v>4674</v>
      </c>
      <c r="B4651" s="3"/>
      <c r="C4651" s="3"/>
      <c r="D4651" s="3"/>
      <c r="E4651" s="5" t="str">
        <f>HYPERLINK("https://dpmzos25m8ivg.cloudfront.net/Documentos/631/10608780464/6311060878046409092023220909.pdf","https://dpmzos25m8ivg.cloudfront.net/Documentos/631/10608780464/6311060878046409092023220909.pdf")</f>
        <v>https://dpmzos25m8ivg.cloudfront.net/Documentos/631/10608780464/6311060878046409092023220909.pdf</v>
      </c>
      <c r="F4651" s="5" t="str">
        <f>HYPERLINK("https://dpmzos25m8ivg.cloudfront.net/Documentos/631/10608780464/6311060878046409092023220953.pdf","https://dpmzos25m8ivg.cloudfront.net/Documentos/631/10608780464/6311060878046409092023220953.pdf")</f>
        <v>https://dpmzos25m8ivg.cloudfront.net/Documentos/631/10608780464/6311060878046409092023220953.pdf</v>
      </c>
      <c r="G4651" s="5" t="str">
        <f>HYPERLINK("https://dpmzos25m8ivg.cloudfront.net/Documentos/631/10608780464/6311060878046409092023221011.pdf","https://dpmzos25m8ivg.cloudfront.net/Documentos/631/10608780464/6311060878046409092023221011.pdf")</f>
        <v>https://dpmzos25m8ivg.cloudfront.net/Documentos/631/10608780464/6311060878046409092023221011.pdf</v>
      </c>
      <c r="H4651" s="5" t="s">
        <v>13225</v>
      </c>
    </row>
    <row r="4652" spans="1:8" x14ac:dyDescent="0.25">
      <c r="A4652" s="21" t="s">
        <v>4675</v>
      </c>
      <c r="B4652" s="3"/>
      <c r="C4652" s="3"/>
      <c r="D4652" s="3"/>
      <c r="E4652" s="5" t="str">
        <f>HYPERLINK("https://dpmzos25m8ivg.cloudfront.net/Documentos/631/10609621793/6311060962179309092023150155.pdf","https://dpmzos25m8ivg.cloudfront.net/Documentos/631/10609621793/6311060962179309092023150155.pdf")</f>
        <v>https://dpmzos25m8ivg.cloudfront.net/Documentos/631/10609621793/6311060962179309092023150155.pdf</v>
      </c>
      <c r="F4652" s="5" t="str">
        <f>HYPERLINK("https://dpmzos25m8ivg.cloudfront.net/Documentos/631/10609621793/6311060962179309092023150212.pdf","https://dpmzos25m8ivg.cloudfront.net/Documentos/631/10609621793/6311060962179309092023150212.pdf")</f>
        <v>https://dpmzos25m8ivg.cloudfront.net/Documentos/631/10609621793/6311060962179309092023150212.pdf</v>
      </c>
      <c r="G4652" s="5" t="str">
        <f>HYPERLINK("https://dpmzos25m8ivg.cloudfront.net/Documentos/631/10609621793/6311060962179309092023150227.pdf","https://dpmzos25m8ivg.cloudfront.net/Documentos/631/10609621793/6311060962179309092023150227.pdf")</f>
        <v>https://dpmzos25m8ivg.cloudfront.net/Documentos/631/10609621793/6311060962179309092023150227.pdf</v>
      </c>
      <c r="H4652" s="5" t="s">
        <v>13226</v>
      </c>
    </row>
    <row r="4653" spans="1:8" x14ac:dyDescent="0.25">
      <c r="A4653" s="21" t="s">
        <v>4676</v>
      </c>
      <c r="B4653" s="3"/>
      <c r="C4653" s="3"/>
      <c r="D4653" s="3"/>
      <c r="E4653" s="5" t="str">
        <f>HYPERLINK("https://dpmzos25m8ivg.cloudfront.net/Documentos/631/10619301651/6311061930165109092023124259.pdf","https://dpmzos25m8ivg.cloudfront.net/Documentos/631/10619301651/6311061930165109092023124259.pdf")</f>
        <v>https://dpmzos25m8ivg.cloudfront.net/Documentos/631/10619301651/6311061930165109092023124259.pdf</v>
      </c>
      <c r="F4653" s="5" t="str">
        <f>HYPERLINK("https://dpmzos25m8ivg.cloudfront.net/Documentos/631/10619301651/6311061930165109092023124312.pdf","https://dpmzos25m8ivg.cloudfront.net/Documentos/631/10619301651/6311061930165109092023124312.pdf")</f>
        <v>https://dpmzos25m8ivg.cloudfront.net/Documentos/631/10619301651/6311061930165109092023124312.pdf</v>
      </c>
      <c r="G4653" s="5" t="str">
        <f>HYPERLINK("https://dpmzos25m8ivg.cloudfront.net/Documentos/631/10619301651/6311061930165109092023124322.pdf","https://dpmzos25m8ivg.cloudfront.net/Documentos/631/10619301651/6311061930165109092023124322.pdf")</f>
        <v>https://dpmzos25m8ivg.cloudfront.net/Documentos/631/10619301651/6311061930165109092023124322.pdf</v>
      </c>
      <c r="H4653" s="5" t="s">
        <v>13227</v>
      </c>
    </row>
    <row r="4654" spans="1:8" x14ac:dyDescent="0.25">
      <c r="A4654" s="21" t="s">
        <v>4677</v>
      </c>
      <c r="B4654" s="3"/>
      <c r="C4654" s="3"/>
      <c r="D4654" s="3"/>
      <c r="E4654" s="5" t="str">
        <f>HYPERLINK("https://dpmzos25m8ivg.cloudfront.net/Documentos/631/10625644646/6311062564464605092023202646.pdf","https://dpmzos25m8ivg.cloudfront.net/Documentos/631/10625644646/6311062564464605092023202646.pdf")</f>
        <v>https://dpmzos25m8ivg.cloudfront.net/Documentos/631/10625644646/6311062564464605092023202646.pdf</v>
      </c>
      <c r="F4654" s="5" t="str">
        <f>HYPERLINK("https://dpmzos25m8ivg.cloudfront.net/Documentos/631/10625644646/6311062564464605092023202802.pdf","https://dpmzos25m8ivg.cloudfront.net/Documentos/631/10625644646/6311062564464605092023202802.pdf")</f>
        <v>https://dpmzos25m8ivg.cloudfront.net/Documentos/631/10625644646/6311062564464605092023202802.pdf</v>
      </c>
      <c r="G4654" s="5" t="str">
        <f>HYPERLINK("https://dpmzos25m8ivg.cloudfront.net/Documentos/631/10625644646/6311062564464605092023202934.pdf","https://dpmzos25m8ivg.cloudfront.net/Documentos/631/10625644646/6311062564464605092023202934.pdf")</f>
        <v>https://dpmzos25m8ivg.cloudfront.net/Documentos/631/10625644646/6311062564464605092023202934.pdf</v>
      </c>
      <c r="H4654" s="5" t="s">
        <v>13228</v>
      </c>
    </row>
    <row r="4655" spans="1:8" x14ac:dyDescent="0.25">
      <c r="A4655" s="21" t="s">
        <v>4678</v>
      </c>
      <c r="B4655" s="3"/>
      <c r="C4655" s="3"/>
      <c r="D4655" s="3"/>
      <c r="E4655" s="5" t="str">
        <f>HYPERLINK("https://dpmzos25m8ivg.cloudfront.net/Documentos/631/10626249473/6311062624947305092023194425.jpg","https://dpmzos25m8ivg.cloudfront.net/Documentos/631/10626249473/6311062624947305092023194425.jpg")</f>
        <v>https://dpmzos25m8ivg.cloudfront.net/Documentos/631/10626249473/6311062624947305092023194425.jpg</v>
      </c>
      <c r="F4655" s="5" t="str">
        <f>HYPERLINK("https://dpmzos25m8ivg.cloudfront.net/Documentos/631/10626249473/6311062624947305092023194909.jpg","https://dpmzos25m8ivg.cloudfront.net/Documentos/631/10626249473/6311062624947305092023194909.jpg")</f>
        <v>https://dpmzos25m8ivg.cloudfront.net/Documentos/631/10626249473/6311062624947305092023194909.jpg</v>
      </c>
      <c r="G4655" s="5" t="str">
        <f>HYPERLINK("https://dpmzos25m8ivg.cloudfront.net/Documentos/631/10626249473/6311062624947305092023195342.jpg","https://dpmzos25m8ivg.cloudfront.net/Documentos/631/10626249473/6311062624947305092023195342.jpg")</f>
        <v>https://dpmzos25m8ivg.cloudfront.net/Documentos/631/10626249473/6311062624947305092023195342.jpg</v>
      </c>
      <c r="H4655" s="5" t="s">
        <v>13229</v>
      </c>
    </row>
    <row r="4656" spans="1:8" x14ac:dyDescent="0.25">
      <c r="A4656" s="21" t="s">
        <v>4679</v>
      </c>
      <c r="B4656" s="3"/>
      <c r="C4656" s="3"/>
      <c r="D4656" s="3"/>
      <c r="E4656" s="5" t="str">
        <f>HYPERLINK("https://dpmzos25m8ivg.cloudfront.net/Documentos/631/10626501660/6311062650166011092023160350.pdf","https://dpmzos25m8ivg.cloudfront.net/Documentos/631/10626501660/6311062650166011092023160350.pdf")</f>
        <v>https://dpmzos25m8ivg.cloudfront.net/Documentos/631/10626501660/6311062650166011092023160350.pdf</v>
      </c>
      <c r="F4656" s="5" t="str">
        <f>HYPERLINK("https://dpmzos25m8ivg.cloudfront.net/Documentos/631/10626501660/6311062650166011092023160400.pdf","https://dpmzos25m8ivg.cloudfront.net/Documentos/631/10626501660/6311062650166011092023160400.pdf")</f>
        <v>https://dpmzos25m8ivg.cloudfront.net/Documentos/631/10626501660/6311062650166011092023160400.pdf</v>
      </c>
      <c r="G4656" s="5" t="str">
        <f>HYPERLINK("https://dpmzos25m8ivg.cloudfront.net/Documentos/631/10626501660/6311062650166011092023160409.pdf","https://dpmzos25m8ivg.cloudfront.net/Documentos/631/10626501660/6311062650166011092023160409.pdf")</f>
        <v>https://dpmzos25m8ivg.cloudfront.net/Documentos/631/10626501660/6311062650166011092023160409.pdf</v>
      </c>
      <c r="H4656" s="5" t="s">
        <v>13230</v>
      </c>
    </row>
    <row r="4657" spans="1:8" x14ac:dyDescent="0.25">
      <c r="A4657" s="21" t="s">
        <v>4680</v>
      </c>
      <c r="B4657" s="3"/>
      <c r="C4657" s="3"/>
      <c r="D4657" s="3"/>
      <c r="E4657" s="5" t="str">
        <f>HYPERLINK("https://dpmzos25m8ivg.cloudfront.net/Documentos/631/10640447430/6311064044743011092023110528.pdf","https://dpmzos25m8ivg.cloudfront.net/Documentos/631/10640447430/6311064044743011092023110528.pdf")</f>
        <v>https://dpmzos25m8ivg.cloudfront.net/Documentos/631/10640447430/6311064044743011092023110528.pdf</v>
      </c>
      <c r="F4657" s="5" t="str">
        <f>HYPERLINK("https://dpmzos25m8ivg.cloudfront.net/Documentos/631/10640447430/6311064044743011092023110539.pdf","https://dpmzos25m8ivg.cloudfront.net/Documentos/631/10640447430/6311064044743011092023110539.pdf")</f>
        <v>https://dpmzos25m8ivg.cloudfront.net/Documentos/631/10640447430/6311064044743011092023110539.pdf</v>
      </c>
      <c r="G4657" s="5" t="str">
        <f>HYPERLINK("https://dpmzos25m8ivg.cloudfront.net/Documentos/631/10640447430/6311064044743011092023110552.pdf","https://dpmzos25m8ivg.cloudfront.net/Documentos/631/10640447430/6311064044743011092023110552.pdf")</f>
        <v>https://dpmzos25m8ivg.cloudfront.net/Documentos/631/10640447430/6311064044743011092023110552.pdf</v>
      </c>
      <c r="H4657" s="5" t="s">
        <v>13231</v>
      </c>
    </row>
    <row r="4658" spans="1:8" x14ac:dyDescent="0.25">
      <c r="A4658" s="21" t="s">
        <v>4681</v>
      </c>
      <c r="B4658" s="3"/>
      <c r="C4658" s="3"/>
      <c r="D4658" s="3"/>
      <c r="E4658" s="5" t="str">
        <f>HYPERLINK("https://dpmzos25m8ivg.cloudfront.net/Documentos/631/10643175610/6311064317561007092023161220.pdf","https://dpmzos25m8ivg.cloudfront.net/Documentos/631/10643175610/6311064317561007092023161220.pdf")</f>
        <v>https://dpmzos25m8ivg.cloudfront.net/Documentos/631/10643175610/6311064317561007092023161220.pdf</v>
      </c>
      <c r="F4658" s="5" t="str">
        <f>HYPERLINK("https://dpmzos25m8ivg.cloudfront.net/Documentos/631/10643175610/6311064317561007092023161237.pdf","https://dpmzos25m8ivg.cloudfront.net/Documentos/631/10643175610/6311064317561007092023161237.pdf")</f>
        <v>https://dpmzos25m8ivg.cloudfront.net/Documentos/631/10643175610/6311064317561007092023161237.pdf</v>
      </c>
      <c r="G4658" s="5" t="str">
        <f>HYPERLINK("https://dpmzos25m8ivg.cloudfront.net/Documentos/631/10643175610/6311064317561007092023161249.pdf","https://dpmzos25m8ivg.cloudfront.net/Documentos/631/AU33010643175610/6311064317561007092023161249.pdf")</f>
        <v>https://dpmzos25m8ivg.cloudfront.net/Documentos/631/AU33010643175610/6311064317561007092023161249.pdf</v>
      </c>
      <c r="H4658" s="5" t="s">
        <v>13232</v>
      </c>
    </row>
    <row r="4659" spans="1:8" x14ac:dyDescent="0.25">
      <c r="A4659" s="21" t="s">
        <v>4682</v>
      </c>
      <c r="B4659" s="16" t="s">
        <v>4646</v>
      </c>
      <c r="C4659" s="3"/>
      <c r="D4659" s="3"/>
      <c r="E4659" s="5" t="str">
        <f>HYPERLINK("https://dpmzos25m8ivg.cloudfront.net/Documentos/631/10646790641/6311064679064111092023090358.jpeg","https://dpmzos25m8ivg.cloudfront.net/Documentos/631/10646790641/6311064679064111092023090358.jpeg")</f>
        <v>https://dpmzos25m8ivg.cloudfront.net/Documentos/631/10646790641/6311064679064111092023090358.jpeg</v>
      </c>
      <c r="F4659" s="5" t="str">
        <f>HYPERLINK("https://dpmzos25m8ivg.cloudfront.net/Documentos/631/10646790641/6311064679064110092023181806.jpeg","https://dpmzos25m8ivg.cloudfront.net/Documentos/631/10646790641/6311064679064110092023181806.jpeg")</f>
        <v>https://dpmzos25m8ivg.cloudfront.net/Documentos/631/10646790641/6311064679064110092023181806.jpeg</v>
      </c>
      <c r="G4659" s="5" t="str">
        <f>HYPERLINK("https://dpmzos25m8ivg.cloudfront.net/Documentos/631/10646790641/6311064679064110092023181820.jpeg","https://dpmzos25m8ivg.cloudfront.net/Documentos/631/10646790641/6311064679064110092023181820.jpeg")</f>
        <v>https://dpmzos25m8ivg.cloudfront.net/Documentos/631/10646790641/6311064679064110092023181820.jpeg</v>
      </c>
      <c r="H4659" s="5" t="s">
        <v>13233</v>
      </c>
    </row>
    <row r="4660" spans="1:8" x14ac:dyDescent="0.25">
      <c r="A4660" s="2" t="s">
        <v>4683</v>
      </c>
      <c r="B4660" s="3"/>
      <c r="C4660" s="3"/>
      <c r="D4660" s="3"/>
      <c r="E4660" s="5" t="str">
        <f>HYPERLINK("https://dpmzos25m8ivg.cloudfront.net/Documentos/631/10649687400/6311064968740014092023121609.pdf","https://dpmzos25m8ivg.cloudfront.net/Documentos/631/10649687400/6311064968740014092023121609.pdf")</f>
        <v>https://dpmzos25m8ivg.cloudfront.net/Documentos/631/10649687400/6311064968740014092023121609.pdf</v>
      </c>
      <c r="F4660" s="5" t="str">
        <f>HYPERLINK("https://dpmzos25m8ivg.cloudfront.net/Documentos/631/10649687400/6311064968740014092023121627.pdf","https://dpmzos25m8ivg.cloudfront.net/Documentos/631/10649687400/6311064968740014092023121627.pdf")</f>
        <v>https://dpmzos25m8ivg.cloudfront.net/Documentos/631/10649687400/6311064968740014092023121627.pdf</v>
      </c>
      <c r="G4660" s="5" t="str">
        <f>HYPERLINK("https://dpmzos25m8ivg.cloudfront.net/Documentos/631/10649687400/6311064968740014092023121704.pdf","https://dpmzos25m8ivg.cloudfront.net/Documentos/631/10649687400/6311064968740014092023121704.pdf")</f>
        <v>https://dpmzos25m8ivg.cloudfront.net/Documentos/631/10649687400/6311064968740014092023121704.pdf</v>
      </c>
      <c r="H4660" s="5" t="s">
        <v>13234</v>
      </c>
    </row>
    <row r="4661" spans="1:8" x14ac:dyDescent="0.25">
      <c r="A4661" s="2" t="s">
        <v>4684</v>
      </c>
      <c r="B4661" s="3"/>
      <c r="C4661" s="3"/>
      <c r="D4661" s="3"/>
      <c r="E4661" s="5" t="str">
        <f>HYPERLINK("https://dpmzos25m8ivg.cloudfront.net/Documentos/631/10656862424/6311065686242412092023200433.pdf","https://dpmzos25m8ivg.cloudfront.net/Documentos/631/10656862424/6311065686242412092023200433.pdf")</f>
        <v>https://dpmzos25m8ivg.cloudfront.net/Documentos/631/10656862424/6311065686242412092023200433.pdf</v>
      </c>
      <c r="F4661" s="5" t="str">
        <f>HYPERLINK("https://dpmzos25m8ivg.cloudfront.net/Documentos/631/10656862424/6311065686242412092023200420.pdf","https://dpmzos25m8ivg.cloudfront.net/Documentos/631/10656862424/6311065686242412092023200420.pdf")</f>
        <v>https://dpmzos25m8ivg.cloudfront.net/Documentos/631/10656862424/6311065686242412092023200420.pdf</v>
      </c>
      <c r="G4661" s="5" t="str">
        <f>HYPERLINK("https://dpmzos25m8ivg.cloudfront.net/Documentos/631/10656862424/6311065686242412092023200405.pdf","https://dpmzos25m8ivg.cloudfront.net/Documentos/631/10656862424/6311065686242412092023200405.pdf")</f>
        <v>https://dpmzos25m8ivg.cloudfront.net/Documentos/631/10656862424/6311065686242412092023200405.pdf</v>
      </c>
      <c r="H4661" s="5" t="s">
        <v>13235</v>
      </c>
    </row>
    <row r="4662" spans="1:8" x14ac:dyDescent="0.25">
      <c r="A4662" s="2" t="s">
        <v>4685</v>
      </c>
      <c r="B4662" s="3"/>
      <c r="C4662" s="3"/>
      <c r="D4662" s="3"/>
      <c r="E4662" s="5" t="str">
        <f>HYPERLINK("https://dpmzos25m8ivg.cloudfront.net/Documentos/631/10657494496/6311065749449610092023114955.jpeg","https://dpmzos25m8ivg.cloudfront.net/Documentos/631/10657494496/6311065749449610092023114955.jpeg")</f>
        <v>https://dpmzos25m8ivg.cloudfront.net/Documentos/631/10657494496/6311065749449610092023114955.jpeg</v>
      </c>
      <c r="F4662" s="5" t="str">
        <f>HYPERLINK("https://dpmzos25m8ivg.cloudfront.net/Documentos/631/10657494496/6311065749449610092023115024.jpeg","https://dpmzos25m8ivg.cloudfront.net/Documentos/631/10657494496/6311065749449610092023115024.jpeg")</f>
        <v>https://dpmzos25m8ivg.cloudfront.net/Documentos/631/10657494496/6311065749449610092023115024.jpeg</v>
      </c>
      <c r="G4662" s="5" t="str">
        <f>HYPERLINK("https://dpmzos25m8ivg.cloudfront.net/Documentos/631/10657494496/6311065749449610092023115053.jpeg","https://dpmzos25m8ivg.cloudfront.net/Documentos/631/10657494496/6311065749449610092023115053.jpeg")</f>
        <v>https://dpmzos25m8ivg.cloudfront.net/Documentos/631/10657494496/6311065749449610092023115053.jpeg</v>
      </c>
      <c r="H4662" s="5" t="s">
        <v>13236</v>
      </c>
    </row>
    <row r="4663" spans="1:8" x14ac:dyDescent="0.25">
      <c r="A4663" s="21" t="s">
        <v>4686</v>
      </c>
      <c r="B4663" s="16" t="s">
        <v>4646</v>
      </c>
      <c r="C4663" s="3"/>
      <c r="D4663" s="3"/>
      <c r="E4663" s="5" t="str">
        <f>HYPERLINK("https://dpmzos25m8ivg.cloudfront.net/Documentos/631/10658191705/6311065819170509092023104930.pdf","https://dpmzos25m8ivg.cloudfront.net/Documentos/631/10658191705/6311065819170509092023104930.pdf")</f>
        <v>https://dpmzos25m8ivg.cloudfront.net/Documentos/631/10658191705/6311065819170509092023104930.pdf</v>
      </c>
      <c r="F4663" s="5" t="str">
        <f>HYPERLINK("https://dpmzos25m8ivg.cloudfront.net/Documentos/631/10658191705/6311065819170509092023104939.pdf","https://dpmzos25m8ivg.cloudfront.net/Documentos/631/10658191705/6311065819170509092023104939.pdf")</f>
        <v>https://dpmzos25m8ivg.cloudfront.net/Documentos/631/10658191705/6311065819170509092023104939.pdf</v>
      </c>
      <c r="G4663" s="5" t="str">
        <f>HYPERLINK("https://dpmzos25m8ivg.cloudfront.net/Documentos/631/10658191705/6311065819170509092023104947.pdf","https://dpmzos25m8ivg.cloudfront.net/Documentos/631/10658191705/6311065819170509092023104947.pdf")</f>
        <v>https://dpmzos25m8ivg.cloudfront.net/Documentos/631/10658191705/6311065819170509092023104947.pdf</v>
      </c>
      <c r="H4663" s="5" t="s">
        <v>13237</v>
      </c>
    </row>
    <row r="4664" spans="1:8" x14ac:dyDescent="0.25">
      <c r="A4664" s="21" t="s">
        <v>4687</v>
      </c>
      <c r="B4664" s="3"/>
      <c r="C4664" s="3"/>
      <c r="D4664" s="3"/>
      <c r="E4664" s="5" t="str">
        <f>HYPERLINK("https://dpmzos25m8ivg.cloudfront.net/Documentos/631/10659430916/6311065943091606092023141944.pdf","https://dpmzos25m8ivg.cloudfront.net/Documentos/631/10659430916/6311065943091606092023141944.pdf")</f>
        <v>https://dpmzos25m8ivg.cloudfront.net/Documentos/631/10659430916/6311065943091606092023141944.pdf</v>
      </c>
      <c r="F4664" s="5" t="str">
        <f>HYPERLINK("https://dpmzos25m8ivg.cloudfront.net/Documentos/631/10659430916/6311065943091606092023141936.pdf","https://dpmzos25m8ivg.cloudfront.net/Documentos/631/10659430916/6311065943091606092023141936.pdf")</f>
        <v>https://dpmzos25m8ivg.cloudfront.net/Documentos/631/10659430916/6311065943091606092023141936.pdf</v>
      </c>
      <c r="G4664" s="5" t="str">
        <f>HYPERLINK("https://dpmzos25m8ivg.cloudfront.net/Documentos/631/10659430916/6311065943091606092023141926.pdf","https://dpmzos25m8ivg.cloudfront.net/Documentos/631/10659430916/6311065943091606092023141926.pdf")</f>
        <v>https://dpmzos25m8ivg.cloudfront.net/Documentos/631/10659430916/6311065943091606092023141926.pdf</v>
      </c>
      <c r="H4664" s="5" t="s">
        <v>13238</v>
      </c>
    </row>
    <row r="4665" spans="1:8" x14ac:dyDescent="0.25">
      <c r="A4665" s="21" t="s">
        <v>4688</v>
      </c>
      <c r="B4665" s="3"/>
      <c r="C4665" s="3"/>
      <c r="D4665" s="3"/>
      <c r="E4665" s="5" t="str">
        <f>HYPERLINK("https://dpmzos25m8ivg.cloudfront.net/Documentos/631/10660227479/6311066022747911092023120335.pdf","https://dpmzos25m8ivg.cloudfront.net/Documentos/631/10660227479/6311066022747911092023120335.pdf")</f>
        <v>https://dpmzos25m8ivg.cloudfront.net/Documentos/631/10660227479/6311066022747911092023120335.pdf</v>
      </c>
      <c r="F4665" s="5" t="str">
        <f>HYPERLINK("https://dpmzos25m8ivg.cloudfront.net/Documentos/631/10660227479/6311066022747911092023120415.pdf","https://dpmzos25m8ivg.cloudfront.net/Documentos/631/10660227479/6311066022747911092023120415.pdf")</f>
        <v>https://dpmzos25m8ivg.cloudfront.net/Documentos/631/10660227479/6311066022747911092023120415.pdf</v>
      </c>
      <c r="G4665" s="5" t="str">
        <f>HYPERLINK("https://dpmzos25m8ivg.cloudfront.net/Documentos/631/10660227479/6311066022747911092023120500.pdf","https://dpmzos25m8ivg.cloudfront.net/Documentos/631/10660227479/6311066022747911092023120500.pdf")</f>
        <v>https://dpmzos25m8ivg.cloudfront.net/Documentos/631/10660227479/6311066022747911092023120500.pdf</v>
      </c>
      <c r="H4665" s="5" t="s">
        <v>13239</v>
      </c>
    </row>
    <row r="4666" spans="1:8" x14ac:dyDescent="0.25">
      <c r="A4666" s="21" t="s">
        <v>4689</v>
      </c>
      <c r="B4666" s="3"/>
      <c r="C4666" s="3"/>
      <c r="D4666" s="3"/>
      <c r="E4666" s="5" t="str">
        <f>HYPERLINK("https://dpmzos25m8ivg.cloudfront.net/Documentos/631/10661422895/6311066142289505092023101329.pdf","https://dpmzos25m8ivg.cloudfront.net/Documentos/631/10661422895/6311066142289505092023101329.pdf")</f>
        <v>https://dpmzos25m8ivg.cloudfront.net/Documentos/631/10661422895/6311066142289505092023101329.pdf</v>
      </c>
      <c r="F4666" s="5" t="str">
        <f>HYPERLINK("https://dpmzos25m8ivg.cloudfront.net/Documentos/631/10661422895/6311066142289505092023101342.pdf","https://dpmzos25m8ivg.cloudfront.net/Documentos/631/10661422895/6311066142289505092023101342.pdf")</f>
        <v>https://dpmzos25m8ivg.cloudfront.net/Documentos/631/10661422895/6311066142289505092023101342.pdf</v>
      </c>
      <c r="G4666" s="5" t="str">
        <f>HYPERLINK("https://dpmzos25m8ivg.cloudfront.net/Documentos/631/10661422895/6311066142289505092023101355.pdf","https://dpmzos25m8ivg.cloudfront.net/Documentos/631/10661422895/6311066142289505092023101355.pdf")</f>
        <v>https://dpmzos25m8ivg.cloudfront.net/Documentos/631/10661422895/6311066142289505092023101355.pdf</v>
      </c>
      <c r="H4666" s="5" t="s">
        <v>13240</v>
      </c>
    </row>
    <row r="4667" spans="1:8" x14ac:dyDescent="0.25">
      <c r="A4667" s="21" t="s">
        <v>4690</v>
      </c>
      <c r="B4667" s="16" t="s">
        <v>4646</v>
      </c>
      <c r="C4667" s="3"/>
      <c r="D4667" s="3"/>
      <c r="E4667" s="5" t="str">
        <f>HYPERLINK("https://dpmzos25m8ivg.cloudfront.net/Documentos/631/10661871428/6311066187142811092023101953.jpg","https://dpmzos25m8ivg.cloudfront.net/Documentos/631/10661871428/6311066187142811092023101953.jpg")</f>
        <v>https://dpmzos25m8ivg.cloudfront.net/Documentos/631/10661871428/6311066187142811092023101953.jpg</v>
      </c>
      <c r="F4667" s="5" t="str">
        <f>HYPERLINK("https://dpmzos25m8ivg.cloudfront.net/Documentos/631/10661871428/6311066187142811092023102003.jpg","https://dpmzos25m8ivg.cloudfront.net/Documentos/631/10661871428/6311066187142811092023102003.jpg")</f>
        <v>https://dpmzos25m8ivg.cloudfront.net/Documentos/631/10661871428/6311066187142811092023102003.jpg</v>
      </c>
      <c r="G4667" s="5" t="str">
        <f>HYPERLINK("https://dpmzos25m8ivg.cloudfront.net/Documentos/631/10661871428/6311066187142811092023102015.jpg","https://dpmzos25m8ivg.cloudfront.net/Documentos/631/10661871428/6311066187142811092023102015.jpg")</f>
        <v>https://dpmzos25m8ivg.cloudfront.net/Documentos/631/10661871428/6311066187142811092023102015.jpg</v>
      </c>
      <c r="H4667" s="5" t="s">
        <v>13241</v>
      </c>
    </row>
    <row r="4668" spans="1:8" x14ac:dyDescent="0.25">
      <c r="A4668" s="2" t="s">
        <v>4691</v>
      </c>
      <c r="B4668" s="3"/>
      <c r="C4668" s="3"/>
      <c r="D4668" s="3"/>
      <c r="E4668" s="5" t="str">
        <f>HYPERLINK("https://dpmzos25m8ivg.cloudfront.net/Documentos/631/10671221418/6311067122141806092023130451.jpg","https://dpmzos25m8ivg.cloudfront.net/Documentos/631/10671221418/6311067122141806092023130451.jpg")</f>
        <v>https://dpmzos25m8ivg.cloudfront.net/Documentos/631/10671221418/6311067122141806092023130451.jpg</v>
      </c>
      <c r="F4668" s="5" t="str">
        <f>HYPERLINK("https://dpmzos25m8ivg.cloudfront.net/Documentos/631/10671221418/6311067122141806092023130509.jpg","https://dpmzos25m8ivg.cloudfront.net/Documentos/631/10671221418/6311067122141806092023130509.jpg")</f>
        <v>https://dpmzos25m8ivg.cloudfront.net/Documentos/631/10671221418/6311067122141806092023130509.jpg</v>
      </c>
      <c r="G4668" s="5" t="str">
        <f>HYPERLINK("https://dpmzos25m8ivg.cloudfront.net/Documentos/631/10671221418/6311067122141806092023130538.jpg","https://dpmzos25m8ivg.cloudfront.net/Documentos/631/10671221418/6311067122141806092023130538.jpg")</f>
        <v>https://dpmzos25m8ivg.cloudfront.net/Documentos/631/10671221418/6311067122141806092023130538.jpg</v>
      </c>
      <c r="H4668" s="5" t="s">
        <v>13242</v>
      </c>
    </row>
    <row r="4669" spans="1:8" x14ac:dyDescent="0.25">
      <c r="A4669" s="2" t="s">
        <v>4692</v>
      </c>
      <c r="B4669" s="3"/>
      <c r="C4669" s="3"/>
      <c r="D4669" s="3"/>
      <c r="E4669" s="5" t="str">
        <f>HYPERLINK("https://dpmzos25m8ivg.cloudfront.net/Documentos/631/10671736760/6311067173676006092023120211.jpg","https://dpmzos25m8ivg.cloudfront.net/Documentos/631/10671736760/6311067173676006092023120211.jpg")</f>
        <v>https://dpmzos25m8ivg.cloudfront.net/Documentos/631/10671736760/6311067173676006092023120211.jpg</v>
      </c>
      <c r="F4669" s="5" t="str">
        <f>HYPERLINK("https://dpmzos25m8ivg.cloudfront.net/Documentos/631/10671736760/6311067173676006092023120235.jpg","https://dpmzos25m8ivg.cloudfront.net/Documentos/631/10671736760/6311067173676006092023120235.jpg")</f>
        <v>https://dpmzos25m8ivg.cloudfront.net/Documentos/631/10671736760/6311067173676006092023120235.jpg</v>
      </c>
      <c r="G4669" s="5" t="str">
        <f>HYPERLINK("https://dpmzos25m8ivg.cloudfront.net/Documentos/631/10671736760/6311067173676006092023120257.jpg","https://dpmzos25m8ivg.cloudfront.net/Documentos/631/10671736760/6311067173676006092023120257.jpg")</f>
        <v>https://dpmzos25m8ivg.cloudfront.net/Documentos/631/10671736760/6311067173676006092023120257.jpg</v>
      </c>
      <c r="H4669" s="5" t="s">
        <v>13243</v>
      </c>
    </row>
    <row r="4670" spans="1:8" x14ac:dyDescent="0.25">
      <c r="A4670" s="2" t="s">
        <v>4693</v>
      </c>
      <c r="B4670" s="3"/>
      <c r="C4670" s="3"/>
      <c r="D4670" s="3"/>
      <c r="E4670" s="5" t="str">
        <f>HYPERLINK("https://dpmzos25m8ivg.cloudfront.net/Documentos/631/10672923149/6311067292314905092023232710.pdf","https://dpmzos25m8ivg.cloudfront.net/Documentos/631/10672923149/6311067292314905092023232710.pdf")</f>
        <v>https://dpmzos25m8ivg.cloudfront.net/Documentos/631/10672923149/6311067292314905092023232710.pdf</v>
      </c>
      <c r="F4670" s="5" t="str">
        <f>HYPERLINK("https://dpmzos25m8ivg.cloudfront.net/Documentos/631/10672923149/6311067292314905092023232821.pdf","https://dpmzos25m8ivg.cloudfront.net/Documentos/631/10672923149/6311067292314905092023232821.pdf")</f>
        <v>https://dpmzos25m8ivg.cloudfront.net/Documentos/631/10672923149/6311067292314905092023232821.pdf</v>
      </c>
      <c r="G4670" s="5" t="str">
        <f>HYPERLINK("https://dpmzos25m8ivg.cloudfront.net/Documentos/631/10672923149/6311067292314905092023232856.pdf","https://dpmzos25m8ivg.cloudfront.net/Documentos/631/10672923149/6311067292314905092023232856.pdf")</f>
        <v>https://dpmzos25m8ivg.cloudfront.net/Documentos/631/10672923149/6311067292314905092023232856.pdf</v>
      </c>
      <c r="H4670" s="5" t="s">
        <v>13244</v>
      </c>
    </row>
    <row r="4671" spans="1:8" x14ac:dyDescent="0.25">
      <c r="A4671" s="2" t="s">
        <v>4694</v>
      </c>
      <c r="B4671" s="3"/>
      <c r="C4671" s="3"/>
      <c r="D4671" s="3"/>
      <c r="E4671" s="5" t="str">
        <f>HYPERLINK("https://dpmzos25m8ivg.cloudfront.net/Documentos/631/10674877438/6311067487743811092023154838.pdf","https://dpmzos25m8ivg.cloudfront.net/Documentos/631/10674877438/6311067487743811092023154838.pdf")</f>
        <v>https://dpmzos25m8ivg.cloudfront.net/Documentos/631/10674877438/6311067487743811092023154838.pdf</v>
      </c>
      <c r="F4671" s="5" t="str">
        <f>HYPERLINK("https://dpmzos25m8ivg.cloudfront.net/Documentos/631/10674877438/6311067487743811092023154906.pdf","https://dpmzos25m8ivg.cloudfront.net/Documentos/631/10674877438/6311067487743811092023154906.pdf")</f>
        <v>https://dpmzos25m8ivg.cloudfront.net/Documentos/631/10674877438/6311067487743811092023154906.pdf</v>
      </c>
      <c r="G4671" s="5" t="str">
        <f>HYPERLINK("https://dpmzos25m8ivg.cloudfront.net/Documentos/631/10674877438/6311067487743811092023154916.pdf","https://dpmzos25m8ivg.cloudfront.net/Documentos/631/10674877438/6311067487743811092023154916.pdf")</f>
        <v>https://dpmzos25m8ivg.cloudfront.net/Documentos/631/10674877438/6311067487743811092023154916.pdf</v>
      </c>
      <c r="H4671" s="5" t="s">
        <v>13245</v>
      </c>
    </row>
    <row r="4672" spans="1:8" x14ac:dyDescent="0.25">
      <c r="A4672" s="2" t="s">
        <v>4695</v>
      </c>
      <c r="B4672" s="3"/>
      <c r="C4672" s="3"/>
      <c r="D4672" s="3"/>
      <c r="E4672" s="5" t="str">
        <f>HYPERLINK("https://dpmzos25m8ivg.cloudfront.net/Documentos/631/10683598465/6311068359846505092023181437.jpeg","https://dpmzos25m8ivg.cloudfront.net/Documentos/631/10683598465/6311068359846505092023181437.jpeg")</f>
        <v>https://dpmzos25m8ivg.cloudfront.net/Documentos/631/10683598465/6311068359846505092023181437.jpeg</v>
      </c>
      <c r="F4672" s="5" t="str">
        <f>HYPERLINK("https://dpmzos25m8ivg.cloudfront.net/Documentos/631/10683598465/6311068359846505092023181448.jpeg","https://dpmzos25m8ivg.cloudfront.net/Documentos/631/10683598465/6311068359846505092023181448.jpeg")</f>
        <v>https://dpmzos25m8ivg.cloudfront.net/Documentos/631/10683598465/6311068359846505092023181448.jpeg</v>
      </c>
      <c r="G4672" s="5" t="str">
        <f>HYPERLINK("https://dpmzos25m8ivg.cloudfront.net/Documentos/631/10683598465/6311068359846505092023181500.jpeg","https://dpmzos25m8ivg.cloudfront.net/Documentos/631/10683598465/6311068359846505092023181500.jpeg")</f>
        <v>https://dpmzos25m8ivg.cloudfront.net/Documentos/631/10683598465/6311068359846505092023181500.jpeg</v>
      </c>
      <c r="H4672" s="5" t="s">
        <v>13246</v>
      </c>
    </row>
    <row r="4673" spans="1:8" x14ac:dyDescent="0.25">
      <c r="A4673" s="2" t="s">
        <v>4696</v>
      </c>
      <c r="B4673" s="3"/>
      <c r="C4673" s="3"/>
      <c r="D4673" s="3"/>
      <c r="E4673" s="5" t="str">
        <f>HYPERLINK("https://dpmzos25m8ivg.cloudfront.net/Documentos/631/10687649455/6311068764945509092023002728.jpeg","https://dpmzos25m8ivg.cloudfront.net/Documentos/631/10687649455/6311068764945509092023002728.jpeg")</f>
        <v>https://dpmzos25m8ivg.cloudfront.net/Documentos/631/10687649455/6311068764945509092023002728.jpeg</v>
      </c>
      <c r="F4673" s="5" t="str">
        <f>HYPERLINK("https://dpmzos25m8ivg.cloudfront.net/Documentos/631/10687649455/6311068764945509092023002738.jpeg","https://dpmzos25m8ivg.cloudfront.net/Documentos/631/10687649455/6311068764945509092023002738.jpeg")</f>
        <v>https://dpmzos25m8ivg.cloudfront.net/Documentos/631/10687649455/6311068764945509092023002738.jpeg</v>
      </c>
      <c r="G4673" s="5" t="str">
        <f>HYPERLINK("https://dpmzos25m8ivg.cloudfront.net/Documentos/631/10687649455/6311068764945509092023002747.jpeg","https://dpmzos25m8ivg.cloudfront.net/Documentos/631/10687649455/6311068764945509092023002747.jpeg")</f>
        <v>https://dpmzos25m8ivg.cloudfront.net/Documentos/631/10687649455/6311068764945509092023002747.jpeg</v>
      </c>
      <c r="H4673" s="5" t="s">
        <v>13247</v>
      </c>
    </row>
    <row r="4674" spans="1:8" x14ac:dyDescent="0.25">
      <c r="A4674" s="2" t="s">
        <v>4697</v>
      </c>
      <c r="B4674" s="3"/>
      <c r="C4674" s="3"/>
      <c r="D4674" s="3"/>
      <c r="E4674" s="5" t="str">
        <f>HYPERLINK("https://dpmzos25m8ivg.cloudfront.net/Documentos/631/10690649479/6311069064947908092023085646.pdf","https://dpmzos25m8ivg.cloudfront.net/Documentos/631/10690649479/6311069064947908092023085646.pdf")</f>
        <v>https://dpmzos25m8ivg.cloudfront.net/Documentos/631/10690649479/6311069064947908092023085646.pdf</v>
      </c>
      <c r="F4674" s="5" t="str">
        <f>HYPERLINK("https://dpmzos25m8ivg.cloudfront.net/Documentos/631/10690649479/6311069064947905092023143600.pdf","https://dpmzos25m8ivg.cloudfront.net/Documentos/631/10690649479/6311069064947905092023143600.pdf")</f>
        <v>https://dpmzos25m8ivg.cloudfront.net/Documentos/631/10690649479/6311069064947905092023143600.pdf</v>
      </c>
      <c r="G4674" s="5" t="str">
        <f>HYPERLINK("https://dpmzos25m8ivg.cloudfront.net/Documentos/631/10690649479/6311069064947905092023143321.pdf","https://dpmzos25m8ivg.cloudfront.net/Documentos/631/10690649479/6311069064947905092023143321.pdf")</f>
        <v>https://dpmzos25m8ivg.cloudfront.net/Documentos/631/10690649479/6311069064947905092023143321.pdf</v>
      </c>
      <c r="H4674" s="5" t="s">
        <v>13248</v>
      </c>
    </row>
    <row r="4675" spans="1:8" x14ac:dyDescent="0.25">
      <c r="A4675" s="2" t="s">
        <v>4698</v>
      </c>
      <c r="B4675" s="3"/>
      <c r="C4675" s="3"/>
      <c r="D4675" s="3"/>
      <c r="E4675" s="5" t="str">
        <f>HYPERLINK("https://dpmzos25m8ivg.cloudfront.net/Documentos/631/10693591498/6311069359149811092023105244.pdf","https://dpmzos25m8ivg.cloudfront.net/Documentos/631/10693591498/6311069359149811092023105244.pdf")</f>
        <v>https://dpmzos25m8ivg.cloudfront.net/Documentos/631/10693591498/6311069359149811092023105244.pdf</v>
      </c>
      <c r="F4675" s="5" t="str">
        <f>HYPERLINK("https://dpmzos25m8ivg.cloudfront.net/Documentos/631/10693591498/6311069359149811092023105256.pdf","https://dpmzos25m8ivg.cloudfront.net/Documentos/631/10693591498/6311069359149811092023105256.pdf")</f>
        <v>https://dpmzos25m8ivg.cloudfront.net/Documentos/631/10693591498/6311069359149811092023105256.pdf</v>
      </c>
      <c r="G4675" s="5" t="str">
        <f>HYPERLINK("https://dpmzos25m8ivg.cloudfront.net/Documentos/631/10693591498/6311069359149811092023105305.pdf","https://dpmzos25m8ivg.cloudfront.net/Documentos/631/10693591498/6311069359149811092023105305.pdf")</f>
        <v>https://dpmzos25m8ivg.cloudfront.net/Documentos/631/10693591498/6311069359149811092023105305.pdf</v>
      </c>
      <c r="H4675" s="5" t="s">
        <v>13249</v>
      </c>
    </row>
    <row r="4676" spans="1:8" x14ac:dyDescent="0.25">
      <c r="A4676" s="2" t="s">
        <v>4699</v>
      </c>
      <c r="B4676" s="3"/>
      <c r="C4676" s="3"/>
      <c r="D4676" s="3"/>
      <c r="E4676" s="5" t="str">
        <f>HYPERLINK("https://dpmzos25m8ivg.cloudfront.net/Documentos/631/10694148679/6311069414867908092023121100.pdf","https://dpmzos25m8ivg.cloudfront.net/Documentos/631/10694148679/6311069414867908092023121100.pdf")</f>
        <v>https://dpmzos25m8ivg.cloudfront.net/Documentos/631/10694148679/6311069414867908092023121100.pdf</v>
      </c>
      <c r="F4676" s="5" t="str">
        <f>HYPERLINK("https://dpmzos25m8ivg.cloudfront.net/Documentos/631/10694148679/6311069414867908092023121114.pdf","https://dpmzos25m8ivg.cloudfront.net/Documentos/631/10694148679/6311069414867908092023121114.pdf")</f>
        <v>https://dpmzos25m8ivg.cloudfront.net/Documentos/631/10694148679/6311069414867908092023121114.pdf</v>
      </c>
      <c r="G4676" s="5" t="str">
        <f>HYPERLINK("https://dpmzos25m8ivg.cloudfront.net/Documentos/631/10694148679/6311069414867908092023121127.pdf","https://dpmzos25m8ivg.cloudfront.net/Documentos/631/10694148679/6311069414867908092023121127.pdf")</f>
        <v>https://dpmzos25m8ivg.cloudfront.net/Documentos/631/10694148679/6311069414867908092023121127.pdf</v>
      </c>
      <c r="H4676" s="5" t="s">
        <v>13250</v>
      </c>
    </row>
    <row r="4677" spans="1:8" x14ac:dyDescent="0.25">
      <c r="A4677" s="2" t="s">
        <v>4700</v>
      </c>
      <c r="B4677" s="16" t="s">
        <v>4646</v>
      </c>
      <c r="C4677" s="3"/>
      <c r="D4677" s="3"/>
      <c r="E4677" s="5" t="str">
        <f>HYPERLINK("https://dpmzos25m8ivg.cloudfront.net/Documentos/631/10703731769/6311070373176911092023093746.pdf","https://dpmzos25m8ivg.cloudfront.net/Documentos/631/10703731769/6311070373176911092023093746.pdf")</f>
        <v>https://dpmzos25m8ivg.cloudfront.net/Documentos/631/10703731769/6311070373176911092023093746.pdf</v>
      </c>
      <c r="F4677" s="5" t="str">
        <f>HYPERLINK("https://dpmzos25m8ivg.cloudfront.net/Documentos/631/10703731769/6311070373176911092023093751.pdf","https://dpmzos25m8ivg.cloudfront.net/Documentos/631/10703731769/6311070373176911092023093751.pdf")</f>
        <v>https://dpmzos25m8ivg.cloudfront.net/Documentos/631/10703731769/6311070373176911092023093751.pdf</v>
      </c>
      <c r="G4677" s="5" t="str">
        <f>HYPERLINK("https://dpmzos25m8ivg.cloudfront.net/Documentos/631/10703731769/6311070373176911092023093757.pdf","https://dpmzos25m8ivg.cloudfront.net/Documentos/631/10703731769/6311070373176911092023093757.pdf")</f>
        <v>https://dpmzos25m8ivg.cloudfront.net/Documentos/631/10703731769/6311070373176911092023093757.pdf</v>
      </c>
      <c r="H4677" s="5" t="s">
        <v>13251</v>
      </c>
    </row>
    <row r="4678" spans="1:8" x14ac:dyDescent="0.25">
      <c r="A4678" s="2" t="s">
        <v>4701</v>
      </c>
      <c r="B4678" s="3"/>
      <c r="C4678" s="3"/>
      <c r="D4678" s="3"/>
      <c r="E4678" s="5" t="str">
        <f>HYPERLINK("https://dpmzos25m8ivg.cloudfront.net/Documentos/631/10704915430/6311070491543009092023191956.pdf","https://dpmzos25m8ivg.cloudfront.net/Documentos/631/10704915430/6311070491543009092023191956.pdf")</f>
        <v>https://dpmzos25m8ivg.cloudfront.net/Documentos/631/10704915430/6311070491543009092023191956.pdf</v>
      </c>
      <c r="F4678" s="5" t="str">
        <f>HYPERLINK("https://dpmzos25m8ivg.cloudfront.net/Documentos/631/10704915430/6311070491543009092023192259.pdf","https://dpmzos25m8ivg.cloudfront.net/Documentos/631/10704915430/6311070491543009092023192259.pdf")</f>
        <v>https://dpmzos25m8ivg.cloudfront.net/Documentos/631/10704915430/6311070491543009092023192259.pdf</v>
      </c>
      <c r="G4678" s="5" t="str">
        <f>HYPERLINK("https://dpmzos25m8ivg.cloudfront.net/Documentos/631/10704915430/6311070491543009092023192552.pdf","https://dpmzos25m8ivg.cloudfront.net/Documentos/631/10704915430/6311070491543009092023192552.pdf")</f>
        <v>https://dpmzos25m8ivg.cloudfront.net/Documentos/631/10704915430/6311070491543009092023192552.pdf</v>
      </c>
      <c r="H4678" s="5" t="s">
        <v>13252</v>
      </c>
    </row>
    <row r="4679" spans="1:8" x14ac:dyDescent="0.25">
      <c r="A4679" s="2" t="s">
        <v>4702</v>
      </c>
      <c r="B4679" s="16" t="s">
        <v>4646</v>
      </c>
      <c r="C4679" s="3"/>
      <c r="D4679" s="3"/>
      <c r="E4679" s="5" t="str">
        <f>HYPERLINK("https://dpmzos25m8ivg.cloudfront.net/Documentos/631/10709486677/6311070948667709092023125122.jpg","https://dpmzos25m8ivg.cloudfront.net/Documentos/631/10709486677/6311070948667709092023125122.jpg")</f>
        <v>https://dpmzos25m8ivg.cloudfront.net/Documentos/631/10709486677/6311070948667709092023125122.jpg</v>
      </c>
      <c r="F4679" s="5" t="str">
        <f>HYPERLINK("https://dpmzos25m8ivg.cloudfront.net/Documentos/631/10709486677/6311070948667709092023125135.jpg","https://dpmzos25m8ivg.cloudfront.net/Documentos/631/10709486677/6311070948667709092023125135.jpg")</f>
        <v>https://dpmzos25m8ivg.cloudfront.net/Documentos/631/10709486677/6311070948667709092023125135.jpg</v>
      </c>
      <c r="G4679" s="5" t="str">
        <f>HYPERLINK("https://dpmzos25m8ivg.cloudfront.net/Documentos/631/10709486677/6311070948667709092023125149.jpg","https://dpmzos25m8ivg.cloudfront.net/Documentos/631/10709486677/6311070948667709092023125149.jpg")</f>
        <v>https://dpmzos25m8ivg.cloudfront.net/Documentos/631/10709486677/6311070948667709092023125149.jpg</v>
      </c>
      <c r="H4679" s="5" t="s">
        <v>13253</v>
      </c>
    </row>
    <row r="4680" spans="1:8" x14ac:dyDescent="0.25">
      <c r="A4680" s="2" t="s">
        <v>4703</v>
      </c>
      <c r="B4680" s="3"/>
      <c r="C4680" s="3"/>
      <c r="D4680" s="3"/>
      <c r="E4680" s="5" t="str">
        <f>HYPERLINK("https://dpmzos25m8ivg.cloudfront.net/Documentos/631/10718779410/6311071877941011092023152156.jpg","https://dpmzos25m8ivg.cloudfront.net/Documentos/631/10718779410/6311071877941011092023152156.jpg")</f>
        <v>https://dpmzos25m8ivg.cloudfront.net/Documentos/631/10718779410/6311071877941011092023152156.jpg</v>
      </c>
      <c r="F4680" s="5" t="str">
        <f>HYPERLINK("https://dpmzos25m8ivg.cloudfront.net/Documentos/631/10718779410/6311071877941011092023152212.jpg","https://dpmzos25m8ivg.cloudfront.net/Documentos/631/10718779410/6311071877941011092023152212.jpg")</f>
        <v>https://dpmzos25m8ivg.cloudfront.net/Documentos/631/10718779410/6311071877941011092023152212.jpg</v>
      </c>
      <c r="G4680" s="5" t="str">
        <f>HYPERLINK("https://dpmzos25m8ivg.cloudfront.net/Documentos/631/10718779410/6311071877941011092023152225.jpg","https://dpmzos25m8ivg.cloudfront.net/Documentos/631/10718779410/6311071877941011092023152225.jpg")</f>
        <v>https://dpmzos25m8ivg.cloudfront.net/Documentos/631/10718779410/6311071877941011092023152225.jpg</v>
      </c>
      <c r="H4680" s="5" t="s">
        <v>13254</v>
      </c>
    </row>
    <row r="4681" spans="1:8" x14ac:dyDescent="0.25">
      <c r="A4681" s="2" t="s">
        <v>4704</v>
      </c>
      <c r="B4681" s="3"/>
      <c r="C4681" s="3"/>
      <c r="D4681" s="3"/>
      <c r="E4681" s="5" t="str">
        <f>HYPERLINK("https://dpmzos25m8ivg.cloudfront.net/Documentos/631/10723507856/6311072350785605092023150504.pdf","https://dpmzos25m8ivg.cloudfront.net/Documentos/631/10723507856/6311072350785605092023150504.pdf")</f>
        <v>https://dpmzos25m8ivg.cloudfront.net/Documentos/631/10723507856/6311072350785605092023150504.pdf</v>
      </c>
      <c r="F4681" s="5" t="str">
        <f>HYPERLINK("https://dpmzos25m8ivg.cloudfront.net/Documentos/631/10723507856/6311072350785605092023150529.pdf","https://dpmzos25m8ivg.cloudfront.net/Documentos/631/10723507856/6311072350785605092023150529.pdf")</f>
        <v>https://dpmzos25m8ivg.cloudfront.net/Documentos/631/10723507856/6311072350785605092023150529.pdf</v>
      </c>
      <c r="G4681" s="5" t="str">
        <f>HYPERLINK("https://dpmzos25m8ivg.cloudfront.net/Documentos/631/10723507856/6311072350785605092023150548.pdf","https://dpmzos25m8ivg.cloudfront.net/Documentos/631/10723507856/6311072350785605092023150548.pdf")</f>
        <v>https://dpmzos25m8ivg.cloudfront.net/Documentos/631/10723507856/6311072350785605092023150548.pdf</v>
      </c>
      <c r="H4681" s="5" t="s">
        <v>13255</v>
      </c>
    </row>
    <row r="4682" spans="1:8" x14ac:dyDescent="0.25">
      <c r="A4682" s="2" t="s">
        <v>4705</v>
      </c>
      <c r="B4682" s="16" t="s">
        <v>4646</v>
      </c>
      <c r="C4682" s="3"/>
      <c r="D4682" s="3"/>
      <c r="E4682" s="5" t="str">
        <f>HYPERLINK("https://dpmzos25m8ivg.cloudfront.net/Documentos/631/10723688460/6311072368846008092023200730.jpg","https://dpmzos25m8ivg.cloudfront.net/Documentos/631/10723688460/6311072368846008092023200730.jpg")</f>
        <v>https://dpmzos25m8ivg.cloudfront.net/Documentos/631/10723688460/6311072368846008092023200730.jpg</v>
      </c>
      <c r="F4682" s="5" t="str">
        <f>HYPERLINK("https://dpmzos25m8ivg.cloudfront.net/Documentos/631/10723688460/6311072368846008092023200813.jpg","https://dpmzos25m8ivg.cloudfront.net/Documentos/631/10723688460/6311072368846008092023200813.jpg")</f>
        <v>https://dpmzos25m8ivg.cloudfront.net/Documentos/631/10723688460/6311072368846008092023200813.jpg</v>
      </c>
      <c r="G4682" s="5" t="str">
        <f>HYPERLINK("https://dpmzos25m8ivg.cloudfront.net/Documentos/631/10723688460/6311072368846008092023200823.jpg","https://dpmzos25m8ivg.cloudfront.net/Documentos/631/10723688460/6311072368846008092023200823.jpg")</f>
        <v>https://dpmzos25m8ivg.cloudfront.net/Documentos/631/10723688460/6311072368846008092023200823.jpg</v>
      </c>
      <c r="H4682" s="5" t="s">
        <v>13256</v>
      </c>
    </row>
    <row r="4683" spans="1:8" x14ac:dyDescent="0.25">
      <c r="A4683" s="2" t="s">
        <v>4706</v>
      </c>
      <c r="B4683" s="3"/>
      <c r="C4683" s="3"/>
      <c r="D4683" s="3"/>
      <c r="E4683" s="5" t="str">
        <f>HYPERLINK("https://dpmzos25m8ivg.cloudfront.net/Documentos/631/10723972699/6311072397269906092023090535.pdf","https://dpmzos25m8ivg.cloudfront.net/Documentos/631/10723972699/6311072397269906092023090535.pdf")</f>
        <v>https://dpmzos25m8ivg.cloudfront.net/Documentos/631/10723972699/6311072397269906092023090535.pdf</v>
      </c>
      <c r="F4683" s="5" t="str">
        <f>HYPERLINK("https://dpmzos25m8ivg.cloudfront.net/Documentos/631/10723972699/6311072397269906092023090616.pdf","https://dpmzos25m8ivg.cloudfront.net/Documentos/631/10723972699/6311072397269906092023090616.pdf")</f>
        <v>https://dpmzos25m8ivg.cloudfront.net/Documentos/631/10723972699/6311072397269906092023090616.pdf</v>
      </c>
      <c r="G4683" s="5" t="str">
        <f>HYPERLINK("https://dpmzos25m8ivg.cloudfront.net/Documentos/631/10723972699/6311072397269906092023090633.pdf","https://dpmzos25m8ivg.cloudfront.net/Documentos/631/10723972699/6311072397269906092023090633.pdf")</f>
        <v>https://dpmzos25m8ivg.cloudfront.net/Documentos/631/10723972699/6311072397269906092023090633.pdf</v>
      </c>
      <c r="H4683" s="5" t="s">
        <v>13257</v>
      </c>
    </row>
    <row r="4684" spans="1:8" x14ac:dyDescent="0.25">
      <c r="A4684" s="2" t="s">
        <v>4707</v>
      </c>
      <c r="B4684" s="3" t="s">
        <v>23</v>
      </c>
      <c r="C4684" s="3"/>
      <c r="D4684" s="3"/>
      <c r="E4684" s="5" t="str">
        <f>HYPERLINK("https://dpmzos25m8ivg.cloudfront.net/Documentos/631/10730713679/6311073071367911092023152345.pdf","https://dpmzos25m8ivg.cloudfront.net/Documentos/631/10730713679/6311073071367911092023152345.pdf")</f>
        <v>https://dpmzos25m8ivg.cloudfront.net/Documentos/631/10730713679/6311073071367911092023152345.pdf</v>
      </c>
      <c r="F4684" s="5" t="str">
        <f>HYPERLINK("https://dpmzos25m8ivg.cloudfront.net/Documentos/631/10730713679/6311073071367911092023152210.pdf","https://dpmzos25m8ivg.cloudfront.net/Documentos/631/10730713679/6311073071367911092023152210.pdf")</f>
        <v>https://dpmzos25m8ivg.cloudfront.net/Documentos/631/10730713679/6311073071367911092023152210.pdf</v>
      </c>
      <c r="G4684" s="5" t="str">
        <f>HYPERLINK("https://dpmzos25m8ivg.cloudfront.net/Documentos/631/10730713679/6311073071367911092023152130.pdf","https://dpmzos25m8ivg.cloudfront.net/Documentos/631/10730713679/6311073071367911092023152130.pdf")</f>
        <v>https://dpmzos25m8ivg.cloudfront.net/Documentos/631/10730713679/6311073071367911092023152130.pdf</v>
      </c>
      <c r="H4684" s="5" t="s">
        <v>13258</v>
      </c>
    </row>
    <row r="4685" spans="1:8" x14ac:dyDescent="0.25">
      <c r="A4685" s="2" t="s">
        <v>4708</v>
      </c>
      <c r="B4685" s="3"/>
      <c r="C4685" s="3"/>
      <c r="D4685" s="3"/>
      <c r="E4685" s="5" t="str">
        <f>HYPERLINK("https://dpmzos25m8ivg.cloudfront.net/Documentos/631/10732699657/6311073269965710092023044230.pdf","https://dpmzos25m8ivg.cloudfront.net/Documentos/631/10732699657/6311073269965710092023044230.pdf")</f>
        <v>https://dpmzos25m8ivg.cloudfront.net/Documentos/631/10732699657/6311073269965710092023044230.pdf</v>
      </c>
      <c r="F4685" s="5" t="str">
        <f>HYPERLINK("https://dpmzos25m8ivg.cloudfront.net/Documentos/631/10732699657/6311073269965710092023044239.pdf","https://dpmzos25m8ivg.cloudfront.net/Documentos/631/10732699657/6311073269965710092023044239.pdf")</f>
        <v>https://dpmzos25m8ivg.cloudfront.net/Documentos/631/10732699657/6311073269965710092023044239.pdf</v>
      </c>
      <c r="G4685" s="5" t="str">
        <f>HYPERLINK("https://dpmzos25m8ivg.cloudfront.net/Documentos/631/10732699657/6311073269965710092023044248.pdf","https://dpmzos25m8ivg.cloudfront.net/Documentos/631/10732699657/6311073269965710092023044248.pdf")</f>
        <v>https://dpmzos25m8ivg.cloudfront.net/Documentos/631/10732699657/6311073269965710092023044248.pdf</v>
      </c>
      <c r="H4685" s="5" t="s">
        <v>13259</v>
      </c>
    </row>
    <row r="4686" spans="1:8" x14ac:dyDescent="0.25">
      <c r="A4686" s="2" t="s">
        <v>4709</v>
      </c>
      <c r="B4686" s="3"/>
      <c r="C4686" s="3"/>
      <c r="D4686" s="3"/>
      <c r="E4686" s="5" t="str">
        <f>HYPERLINK("https://dpmzos25m8ivg.cloudfront.net/Documentos/631/10732779413/6311073277941308092023131729.pdf","https://dpmzos25m8ivg.cloudfront.net/Documentos/631/10732779413/6311073277941308092023131729.pdf")</f>
        <v>https://dpmzos25m8ivg.cloudfront.net/Documentos/631/10732779413/6311073277941308092023131729.pdf</v>
      </c>
      <c r="F4686" s="5" t="str">
        <f>HYPERLINK("https://dpmzos25m8ivg.cloudfront.net/Documentos/631/10732779413/6311073277941308092023131743.pdf","https://dpmzos25m8ivg.cloudfront.net/Documentos/631/10732779413/6311073277941308092023131743.pdf")</f>
        <v>https://dpmzos25m8ivg.cloudfront.net/Documentos/631/10732779413/6311073277941308092023131743.pdf</v>
      </c>
      <c r="G4686" s="5" t="str">
        <f>HYPERLINK("https://dpmzos25m8ivg.cloudfront.net/Documentos/631/10732779413/6311073277941308092023131755.pdf","https://dpmzos25m8ivg.cloudfront.net/Documentos/631/10732779413/6311073277941308092023131755.pdf")</f>
        <v>https://dpmzos25m8ivg.cloudfront.net/Documentos/631/10732779413/6311073277941308092023131755.pdf</v>
      </c>
      <c r="H4686" s="5" t="s">
        <v>13260</v>
      </c>
    </row>
    <row r="4687" spans="1:8" x14ac:dyDescent="0.25">
      <c r="A4687" s="2" t="s">
        <v>4710</v>
      </c>
      <c r="B4687" s="3"/>
      <c r="C4687" s="3"/>
      <c r="D4687" s="3"/>
      <c r="E4687" s="5" t="str">
        <f>HYPERLINK("https://dpmzos25m8ivg.cloudfront.net/Documentos/631/10736261648/6311073626164811092023142138.pdf","https://dpmzos25m8ivg.cloudfront.net/Documentos/631/10736261648/6311073626164811092023142138.pdf")</f>
        <v>https://dpmzos25m8ivg.cloudfront.net/Documentos/631/10736261648/6311073626164811092023142138.pdf</v>
      </c>
      <c r="F4687" s="5" t="str">
        <f>HYPERLINK("https://dpmzos25m8ivg.cloudfront.net/Documentos/631/10736261648/6311073626164811092023142155.pdf","https://dpmzos25m8ivg.cloudfront.net/Documentos/631/10736261648/6311073626164811092023142155.pdf")</f>
        <v>https://dpmzos25m8ivg.cloudfront.net/Documentos/631/10736261648/6311073626164811092023142155.pdf</v>
      </c>
      <c r="G4687" s="5" t="str">
        <f>HYPERLINK("https://dpmzos25m8ivg.cloudfront.net/Documentos/631/10736261648/6311073626164811092023142212.pdf","https://dpmzos25m8ivg.cloudfront.net/Documentos/631/10736261648/6311073626164811092023142212.pdf")</f>
        <v>https://dpmzos25m8ivg.cloudfront.net/Documentos/631/10736261648/6311073626164811092023142212.pdf</v>
      </c>
      <c r="H4687" s="5" t="s">
        <v>13261</v>
      </c>
    </row>
    <row r="4688" spans="1:8" x14ac:dyDescent="0.25">
      <c r="A4688" s="2" t="s">
        <v>4711</v>
      </c>
      <c r="B4688" s="3"/>
      <c r="C4688" s="3"/>
      <c r="D4688" s="3"/>
      <c r="E4688" s="5" t="str">
        <f>HYPERLINK("https://dpmzos25m8ivg.cloudfront.net/Documentos/631/10736676694/6311073667669405092023213928.pdf","https://dpmzos25m8ivg.cloudfront.net/Documentos/631/10736676694/6311073667669405092023213928.pdf")</f>
        <v>https://dpmzos25m8ivg.cloudfront.net/Documentos/631/10736676694/6311073667669405092023213928.pdf</v>
      </c>
      <c r="F4688" s="5" t="str">
        <f>HYPERLINK("https://dpmzos25m8ivg.cloudfront.net/Documentos/631/10736676694/6311073667669405092023214049.pdf","https://dpmzos25m8ivg.cloudfront.net/Documentos/631/10736676694/6311073667669405092023214049.pdf")</f>
        <v>https://dpmzos25m8ivg.cloudfront.net/Documentos/631/10736676694/6311073667669405092023214049.pdf</v>
      </c>
      <c r="G4688" s="5" t="str">
        <f>HYPERLINK("https://dpmzos25m8ivg.cloudfront.net/Documentos/631/10736676694/6311073667669405092023214110.pdf","https://dpmzos25m8ivg.cloudfront.net/Documentos/631/10736676694/6311073667669405092023214110.pdf")</f>
        <v>https://dpmzos25m8ivg.cloudfront.net/Documentos/631/10736676694/6311073667669405092023214110.pdf</v>
      </c>
      <c r="H4688" s="5" t="s">
        <v>13262</v>
      </c>
    </row>
    <row r="4689" spans="1:8" x14ac:dyDescent="0.25">
      <c r="A4689" s="2" t="s">
        <v>4712</v>
      </c>
      <c r="B4689" s="3"/>
      <c r="C4689" s="3"/>
      <c r="D4689" s="3"/>
      <c r="E4689" s="5" t="str">
        <f>HYPERLINK("https://dpmzos25m8ivg.cloudfront.net/Documentos/631/10739438441/6311073943844105092023203622.pdf","https://dpmzos25m8ivg.cloudfront.net/Documentos/631/10739438441/6311073943844105092023203622.pdf")</f>
        <v>https://dpmzos25m8ivg.cloudfront.net/Documentos/631/10739438441/6311073943844105092023203622.pdf</v>
      </c>
      <c r="F4689" s="5" t="str">
        <f>HYPERLINK("https://dpmzos25m8ivg.cloudfront.net/Documentos/631/10739438441/6311073943844105092023203630.pdf","https://dpmzos25m8ivg.cloudfront.net/Documentos/631/10739438441/6311073943844105092023203630.pdf")</f>
        <v>https://dpmzos25m8ivg.cloudfront.net/Documentos/631/10739438441/6311073943844105092023203630.pdf</v>
      </c>
      <c r="G4689" s="5" t="str">
        <f>HYPERLINK("https://dpmzos25m8ivg.cloudfront.net/Documentos/631/10739438441/6311073943844105092023203639.pdf","https://dpmzos25m8ivg.cloudfront.net/Documentos/631/10739438441/6311073943844105092023203639.pdf")</f>
        <v>https://dpmzos25m8ivg.cloudfront.net/Documentos/631/10739438441/6311073943844105092023203639.pdf</v>
      </c>
      <c r="H4689" s="5" t="s">
        <v>13263</v>
      </c>
    </row>
    <row r="4690" spans="1:8" x14ac:dyDescent="0.25">
      <c r="A4690" s="2" t="s">
        <v>4713</v>
      </c>
      <c r="B4690" s="3"/>
      <c r="C4690" s="3"/>
      <c r="D4690" s="3"/>
      <c r="E4690" s="5" t="str">
        <f>HYPERLINK("https://dpmzos25m8ivg.cloudfront.net/Documentos/631/10741258439/6311074125843907092023201548.pdf","https://dpmzos25m8ivg.cloudfront.net/Documentos/631/10741258439/6311074125843907092023201548.pdf")</f>
        <v>https://dpmzos25m8ivg.cloudfront.net/Documentos/631/10741258439/6311074125843907092023201548.pdf</v>
      </c>
      <c r="F4690" s="5" t="str">
        <f>HYPERLINK("https://dpmzos25m8ivg.cloudfront.net/Documentos/631/10741258439/6311074125843907092023201608.pdf","https://dpmzos25m8ivg.cloudfront.net/Documentos/631/10741258439/6311074125843907092023201608.pdf")</f>
        <v>https://dpmzos25m8ivg.cloudfront.net/Documentos/631/10741258439/6311074125843907092023201608.pdf</v>
      </c>
      <c r="G4690" s="5" t="str">
        <f>HYPERLINK("https://dpmzos25m8ivg.cloudfront.net/Documentos/631/10741258439/6311074125843907092023201633.pdf","https://dpmzos25m8ivg.cloudfront.net/Documentos/631/10741258439/6311074125843907092023201633.pdf")</f>
        <v>https://dpmzos25m8ivg.cloudfront.net/Documentos/631/10741258439/6311074125843907092023201633.pdf</v>
      </c>
      <c r="H4690" s="5" t="s">
        <v>13264</v>
      </c>
    </row>
    <row r="4691" spans="1:8" x14ac:dyDescent="0.25">
      <c r="A4691" s="2" t="s">
        <v>4714</v>
      </c>
      <c r="B4691" s="3"/>
      <c r="C4691" s="3"/>
      <c r="D4691" s="3"/>
      <c r="E4691" s="5" t="str">
        <f>HYPERLINK("https://dpmzos25m8ivg.cloudfront.net/Documentos/631/10742853608/6311074285360811092023145310.pdf","https://dpmzos25m8ivg.cloudfront.net/Documentos/631/10742853608/6311074285360811092023145310.pdf")</f>
        <v>https://dpmzos25m8ivg.cloudfront.net/Documentos/631/10742853608/6311074285360811092023145310.pdf</v>
      </c>
      <c r="F4691" s="5" t="str">
        <f>HYPERLINK("https://dpmzos25m8ivg.cloudfront.net/Documentos/631/10742853608/6311074285360811092023145324.pdf","https://dpmzos25m8ivg.cloudfront.net/Documentos/631/10742853608/6311074285360811092023145324.pdf")</f>
        <v>https://dpmzos25m8ivg.cloudfront.net/Documentos/631/10742853608/6311074285360811092023145324.pdf</v>
      </c>
      <c r="G4691" s="5" t="str">
        <f>HYPERLINK("https://dpmzos25m8ivg.cloudfront.net/Documentos/631/10742853608/6311074285360811092023145345.pdf","https://dpmzos25m8ivg.cloudfront.net/Documentos/631/10742853608/6311074285360811092023145345.pdf")</f>
        <v>https://dpmzos25m8ivg.cloudfront.net/Documentos/631/10742853608/6311074285360811092023145345.pdf</v>
      </c>
      <c r="H4691" s="5" t="s">
        <v>13265</v>
      </c>
    </row>
    <row r="4692" spans="1:8" x14ac:dyDescent="0.25">
      <c r="A4692" s="2" t="s">
        <v>4715</v>
      </c>
      <c r="B4692" s="3"/>
      <c r="C4692" s="3"/>
      <c r="D4692" s="3"/>
      <c r="E4692" s="5" t="str">
        <f>HYPERLINK("https://dpmzos25m8ivg.cloudfront.net/Documentos/631/10753706806/6311075370680607092023144055.pdf","https://dpmzos25m8ivg.cloudfront.net/Documentos/631/10753706806/6311075370680607092023144055.pdf")</f>
        <v>https://dpmzos25m8ivg.cloudfront.net/Documentos/631/10753706806/6311075370680607092023144055.pdf</v>
      </c>
      <c r="F4692" s="5" t="str">
        <f>HYPERLINK("https://dpmzos25m8ivg.cloudfront.net/Documentos/631/10753706806/6311075370680607092023144156.pdf","https://dpmzos25m8ivg.cloudfront.net/Documentos/631/10753706806/6311075370680607092023144156.pdf")</f>
        <v>https://dpmzos25m8ivg.cloudfront.net/Documentos/631/10753706806/6311075370680607092023144156.pdf</v>
      </c>
      <c r="G4692" s="5" t="str">
        <f>HYPERLINK("https://dpmzos25m8ivg.cloudfront.net/Documentos/631/10753706806/6311075370680607092023144317.pdf","https://dpmzos25m8ivg.cloudfront.net/Documentos/631/10753706806/6311075370680607092023144317.pdf")</f>
        <v>https://dpmzos25m8ivg.cloudfront.net/Documentos/631/10753706806/6311075370680607092023144317.pdf</v>
      </c>
      <c r="H4692" s="5" t="s">
        <v>13266</v>
      </c>
    </row>
    <row r="4693" spans="1:8" x14ac:dyDescent="0.25">
      <c r="A4693" s="21" t="s">
        <v>4716</v>
      </c>
      <c r="B4693" s="3"/>
      <c r="C4693" s="3"/>
      <c r="D4693" s="3"/>
      <c r="E4693" s="5" t="str">
        <f>HYPERLINK("https://dpmzos25m8ivg.cloudfront.net/Documentos/631/10754381951/6311075438195108092023154135.pdf","https://dpmzos25m8ivg.cloudfront.net/Documentos/631/10754381951/6311075438195108092023154135.pdf")</f>
        <v>https://dpmzos25m8ivg.cloudfront.net/Documentos/631/10754381951/6311075438195108092023154135.pdf</v>
      </c>
      <c r="F4693" s="5" t="str">
        <f>HYPERLINK("https://dpmzos25m8ivg.cloudfront.net/Documentos/631/10754381951/6311075438195108092023154201.pdf","https://dpmzos25m8ivg.cloudfront.net/Documentos/631/10754381951/6311075438195108092023154201.pdf")</f>
        <v>https://dpmzos25m8ivg.cloudfront.net/Documentos/631/10754381951/6311075438195108092023154201.pdf</v>
      </c>
      <c r="G4693" s="5" t="str">
        <f>HYPERLINK("https://dpmzos25m8ivg.cloudfront.net/Documentos/631/10754381951/6311075438195108092023154226.pdf","https://dpmzos25m8ivg.cloudfront.net/Documentos/631/10754381951/6311075438195108092023154226.pdf")</f>
        <v>https://dpmzos25m8ivg.cloudfront.net/Documentos/631/10754381951/6311075438195108092023154226.pdf</v>
      </c>
      <c r="H4693" s="5" t="s">
        <v>13267</v>
      </c>
    </row>
    <row r="4694" spans="1:8" x14ac:dyDescent="0.25">
      <c r="A4694" s="2" t="s">
        <v>4717</v>
      </c>
      <c r="B4694" s="3"/>
      <c r="C4694" s="3"/>
      <c r="D4694" s="3"/>
      <c r="E4694" s="5" t="str">
        <f>HYPERLINK("https://dpmzos25m8ivg.cloudfront.net/Documentos/631/10755258967/6311075525896709092023153103.pdf","https://dpmzos25m8ivg.cloudfront.net/Documentos/631/10755258967/6311075525896709092023153103.pdf")</f>
        <v>https://dpmzos25m8ivg.cloudfront.net/Documentos/631/10755258967/6311075525896709092023153103.pdf</v>
      </c>
      <c r="F4694" s="5" t="str">
        <f>HYPERLINK("https://dpmzos25m8ivg.cloudfront.net/Documentos/631/10755258967/6311075525896709092023153111.pdf","https://dpmzos25m8ivg.cloudfront.net/Documentos/631/10755258967/6311075525896709092023153111.pdf")</f>
        <v>https://dpmzos25m8ivg.cloudfront.net/Documentos/631/10755258967/6311075525896709092023153111.pdf</v>
      </c>
      <c r="G4694" s="5" t="str">
        <f>HYPERLINK("https://dpmzos25m8ivg.cloudfront.net/Documentos/631/10755258967/6311075525896709092023153122.pdf","https://dpmzos25m8ivg.cloudfront.net/Documentos/631/10755258967/6311075525896709092023153122.pdf")</f>
        <v>https://dpmzos25m8ivg.cloudfront.net/Documentos/631/10755258967/6311075525896709092023153122.pdf</v>
      </c>
      <c r="H4694" s="5" t="s">
        <v>13268</v>
      </c>
    </row>
    <row r="4695" spans="1:8" x14ac:dyDescent="0.25">
      <c r="A4695" s="2" t="s">
        <v>4718</v>
      </c>
      <c r="B4695" s="3"/>
      <c r="C4695" s="3"/>
      <c r="D4695" s="3"/>
      <c r="E4695" s="5" t="str">
        <f>HYPERLINK("https://dpmzos25m8ivg.cloudfront.net/Documentos/631/10763883611/6311076388361106092023162314.jpeg","https://dpmzos25m8ivg.cloudfront.net/Documentos/631/10763883611/6311076388361106092023162314.jpeg")</f>
        <v>https://dpmzos25m8ivg.cloudfront.net/Documentos/631/10763883611/6311076388361106092023162314.jpeg</v>
      </c>
      <c r="F4695" s="5" t="str">
        <f>HYPERLINK("https://dpmzos25m8ivg.cloudfront.net/Documentos/631/10763883611/6311076388361106092023162325.jpeg","https://dpmzos25m8ivg.cloudfront.net/Documentos/631/10763883611/6311076388361106092023162325.jpeg")</f>
        <v>https://dpmzos25m8ivg.cloudfront.net/Documentos/631/10763883611/6311076388361106092023162325.jpeg</v>
      </c>
      <c r="G4695" s="5" t="str">
        <f>HYPERLINK("https://dpmzos25m8ivg.cloudfront.net/Documentos/631/10763883611/6311076388361106092023162335.jpeg","https://dpmzos25m8ivg.cloudfront.net/Documentos/631/10763883611/6311076388361106092023162335.jpeg")</f>
        <v>https://dpmzos25m8ivg.cloudfront.net/Documentos/631/10763883611/6311076388361106092023162335.jpeg</v>
      </c>
      <c r="H4695" s="5" t="s">
        <v>13269</v>
      </c>
    </row>
    <row r="4696" spans="1:8" x14ac:dyDescent="0.25">
      <c r="A4696" s="2" t="s">
        <v>4719</v>
      </c>
      <c r="B4696" s="3"/>
      <c r="C4696" s="3"/>
      <c r="D4696" s="3"/>
      <c r="E4696" s="5" t="str">
        <f>HYPERLINK("https://dpmzos25m8ivg.cloudfront.net/Documentos/631/10765673630/6311076567363011092023131810.jpeg","https://dpmzos25m8ivg.cloudfront.net/Documentos/631/10765673630/6311076567363011092023131810.jpeg")</f>
        <v>https://dpmzos25m8ivg.cloudfront.net/Documentos/631/10765673630/6311076567363011092023131810.jpeg</v>
      </c>
      <c r="F4696" s="5" t="str">
        <f>HYPERLINK("https://dpmzos25m8ivg.cloudfront.net/Documentos/631/10765673630/6311076567363011092023131827.jpeg","https://dpmzos25m8ivg.cloudfront.net/Documentos/631/10765673630/6311076567363011092023131827.jpeg")</f>
        <v>https://dpmzos25m8ivg.cloudfront.net/Documentos/631/10765673630/6311076567363011092023131827.jpeg</v>
      </c>
      <c r="G4696" s="5" t="str">
        <f>HYPERLINK("https://dpmzos25m8ivg.cloudfront.net/Documentos/631/10765673630/6311076567363011092023131834.jpeg","https://dpmzos25m8ivg.cloudfront.net/Documentos/631/10765673630/6311076567363011092023131834.jpeg")</f>
        <v>https://dpmzos25m8ivg.cloudfront.net/Documentos/631/10765673630/6311076567363011092023131834.jpeg</v>
      </c>
      <c r="H4696" s="5" t="s">
        <v>13270</v>
      </c>
    </row>
    <row r="4697" spans="1:8" x14ac:dyDescent="0.25">
      <c r="A4697" s="2" t="s">
        <v>4720</v>
      </c>
      <c r="B4697" s="3"/>
      <c r="C4697" s="3"/>
      <c r="D4697" s="3"/>
      <c r="E4697" s="5" t="str">
        <f>HYPERLINK("https://dpmzos25m8ivg.cloudfront.net/Documentos/631/10772380457/6311077238045706092023113518.pdf","https://dpmzos25m8ivg.cloudfront.net/Documentos/631/10772380457/6311077238045706092023113518.pdf")</f>
        <v>https://dpmzos25m8ivg.cloudfront.net/Documentos/631/10772380457/6311077238045706092023113518.pdf</v>
      </c>
      <c r="F4697" s="5" t="str">
        <f>HYPERLINK("https://dpmzos25m8ivg.cloudfront.net/Documentos/631/10772380457/6311077238045706092023113531.pdf","https://dpmzos25m8ivg.cloudfront.net/Documentos/631/10772380457/6311077238045706092023113531.pdf")</f>
        <v>https://dpmzos25m8ivg.cloudfront.net/Documentos/631/10772380457/6311077238045706092023113531.pdf</v>
      </c>
      <c r="G4697" s="5" t="str">
        <f>HYPERLINK("https://dpmzos25m8ivg.cloudfront.net/Documentos/631/10772380457/6311077238045706092023134149.pdf","https://dpmzos25m8ivg.cloudfront.net/Documentos/631/10772380457/6311077238045706092023134149.pdf")</f>
        <v>https://dpmzos25m8ivg.cloudfront.net/Documentos/631/10772380457/6311077238045706092023134149.pdf</v>
      </c>
      <c r="H4697" s="5" t="s">
        <v>13271</v>
      </c>
    </row>
    <row r="4698" spans="1:8" x14ac:dyDescent="0.25">
      <c r="A4698" s="2" t="s">
        <v>4721</v>
      </c>
      <c r="B4698" s="3"/>
      <c r="C4698" s="3"/>
      <c r="D4698" s="3"/>
      <c r="E4698" s="5" t="str">
        <f>HYPERLINK("https://dpmzos25m8ivg.cloudfront.net/Documentos/631/10773202480/6311077320248009092023114918.pdf","https://dpmzos25m8ivg.cloudfront.net/Documentos/631/10773202480/6311077320248009092023114918.pdf")</f>
        <v>https://dpmzos25m8ivg.cloudfront.net/Documentos/631/10773202480/6311077320248009092023114918.pdf</v>
      </c>
      <c r="F4698" s="5" t="str">
        <f>HYPERLINK("https://dpmzos25m8ivg.cloudfront.net/Documentos/631/10773202480/6311077320248009092023114936.pdf","https://dpmzos25m8ivg.cloudfront.net/Documentos/631/10773202480/6311077320248009092023114936.pdf")</f>
        <v>https://dpmzos25m8ivg.cloudfront.net/Documentos/631/10773202480/6311077320248009092023114936.pdf</v>
      </c>
      <c r="G4698" s="5" t="str">
        <f>HYPERLINK("https://dpmzos25m8ivg.cloudfront.net/Documentos/631/10773202480/6311077320248009092023114953.pdf","https://dpmzos25m8ivg.cloudfront.net/Documentos/631/10773202480/6311077320248009092023114953.pdf")</f>
        <v>https://dpmzos25m8ivg.cloudfront.net/Documentos/631/10773202480/6311077320248009092023114953.pdf</v>
      </c>
      <c r="H4698" s="5" t="s">
        <v>13272</v>
      </c>
    </row>
    <row r="4699" spans="1:8" x14ac:dyDescent="0.25">
      <c r="A4699" s="21" t="s">
        <v>4722</v>
      </c>
      <c r="B4699" s="16" t="s">
        <v>2358</v>
      </c>
      <c r="C4699" s="3"/>
      <c r="D4699" s="3"/>
      <c r="E4699" s="5" t="str">
        <f>HYPERLINK("https://dpmzos25m8ivg.cloudfront.net/Documentos/631/10774609451/6311077460945114092023162253.jpeg","https://dpmzos25m8ivg.cloudfront.net/Documentos/631/10774609451/6311077460945114092023162253.jpeg")</f>
        <v>https://dpmzos25m8ivg.cloudfront.net/Documentos/631/10774609451/6311077460945114092023162253.jpeg</v>
      </c>
      <c r="F4699" s="5" t="str">
        <f>HYPERLINK("https://dpmzos25m8ivg.cloudfront.net/Documentos/631/10774609451/6311077460945114092023162307.jpeg","https://dpmzos25m8ivg.cloudfront.net/Documentos/631/10774609451/6311077460945114092023162307.jpeg")</f>
        <v>https://dpmzos25m8ivg.cloudfront.net/Documentos/631/10774609451/6311077460945114092023162307.jpeg</v>
      </c>
      <c r="G4699" s="5" t="str">
        <f>HYPERLINK("https://dpmzos25m8ivg.cloudfront.net/Documentos/631/10774609451/6311077460945114092023162340.jpeg","https://dpmzos25m8ivg.cloudfront.net/Documentos/631/10774609451/6311077460945114092023162340.jpeg")</f>
        <v>https://dpmzos25m8ivg.cloudfront.net/Documentos/631/10774609451/6311077460945114092023162340.jpeg</v>
      </c>
      <c r="H4699" s="5" t="s">
        <v>13273</v>
      </c>
    </row>
    <row r="4700" spans="1:8" x14ac:dyDescent="0.25">
      <c r="A4700" s="2" t="s">
        <v>4723</v>
      </c>
      <c r="B4700" s="3"/>
      <c r="C4700" s="3"/>
      <c r="D4700" s="3"/>
      <c r="E4700" s="5" t="str">
        <f>HYPERLINK("https://dpmzos25m8ivg.cloudfront.net/Documentos/631/10781155401/6311078115540109092023221135.jpg","https://dpmzos25m8ivg.cloudfront.net/Documentos/631/10781155401/6311078115540109092023221135.jpg")</f>
        <v>https://dpmzos25m8ivg.cloudfront.net/Documentos/631/10781155401/6311078115540109092023221135.jpg</v>
      </c>
      <c r="F4700" s="5" t="str">
        <f>HYPERLINK("https://dpmzos25m8ivg.cloudfront.net/Documentos/631/10781155401/6311078115540109092023221231.jpg","https://dpmzos25m8ivg.cloudfront.net/Documentos/631/10781155401/6311078115540109092023221231.jpg")</f>
        <v>https://dpmzos25m8ivg.cloudfront.net/Documentos/631/10781155401/6311078115540109092023221231.jpg</v>
      </c>
      <c r="G4700" s="5" t="str">
        <f>HYPERLINK("https://dpmzos25m8ivg.cloudfront.net/Documentos/631/10781155401/6311078115540109092023221257.jpg","https://dpmzos25m8ivg.cloudfront.net/Documentos/631/10781155401/6311078115540109092023221257.jpg")</f>
        <v>https://dpmzos25m8ivg.cloudfront.net/Documentos/631/10781155401/6311078115540109092023221257.jpg</v>
      </c>
      <c r="H4700" s="5" t="s">
        <v>13274</v>
      </c>
    </row>
    <row r="4701" spans="1:8" x14ac:dyDescent="0.25">
      <c r="A4701" s="2" t="s">
        <v>4724</v>
      </c>
      <c r="B4701" s="3"/>
      <c r="C4701" s="3"/>
      <c r="D4701" s="3"/>
      <c r="E4701" s="5" t="str">
        <f>HYPERLINK("https://dpmzos25m8ivg.cloudfront.net/Documentos/631/10781440602/6311078144060205092023214642.pdf","https://dpmzos25m8ivg.cloudfront.net/Documentos/631/10781440602/6311078144060205092023214642.pdf")</f>
        <v>https://dpmzos25m8ivg.cloudfront.net/Documentos/631/10781440602/6311078144060205092023214642.pdf</v>
      </c>
      <c r="F4701" s="5" t="str">
        <f>HYPERLINK("https://dpmzos25m8ivg.cloudfront.net/Documentos/631/10781440602/6311078144060205092023214652.pdf","https://dpmzos25m8ivg.cloudfront.net/Documentos/631/10781440602/6311078144060205092023214652.pdf")</f>
        <v>https://dpmzos25m8ivg.cloudfront.net/Documentos/631/10781440602/6311078144060205092023214652.pdf</v>
      </c>
      <c r="G4701" s="5" t="str">
        <f>HYPERLINK("https://dpmzos25m8ivg.cloudfront.net/Documentos/631/10781440602/6311078144060205092023214704.pdf","https://dpmzos25m8ivg.cloudfront.net/Documentos/631/10781440602/6311078144060205092023214704.pdf")</f>
        <v>https://dpmzos25m8ivg.cloudfront.net/Documentos/631/10781440602/6311078144060205092023214704.pdf</v>
      </c>
      <c r="H4701" s="5" t="s">
        <v>13275</v>
      </c>
    </row>
    <row r="4702" spans="1:8" x14ac:dyDescent="0.25">
      <c r="A4702" s="2" t="s">
        <v>4725</v>
      </c>
      <c r="B4702" s="3"/>
      <c r="C4702" s="3"/>
      <c r="D4702" s="3"/>
      <c r="E4702" s="5" t="str">
        <f>HYPERLINK("https://dpmzos25m8ivg.cloudfront.net/Documentos/631/10783394497/6311078339449714092023160143.pdf","https://dpmzos25m8ivg.cloudfront.net/Documentos/631/10783394497/6311078339449714092023160143.pdf")</f>
        <v>https://dpmzos25m8ivg.cloudfront.net/Documentos/631/10783394497/6311078339449714092023160143.pdf</v>
      </c>
      <c r="F4702" s="5" t="str">
        <f>HYPERLINK("https://dpmzos25m8ivg.cloudfront.net/Documentos/631/10783394497/6311078339449714092023160148.pdf","https://dpmzos25m8ivg.cloudfront.net/Documentos/631/10783394497/6311078339449714092023160148.pdf")</f>
        <v>https://dpmzos25m8ivg.cloudfront.net/Documentos/631/10783394497/6311078339449714092023160148.pdf</v>
      </c>
      <c r="G4702" s="5" t="str">
        <f>HYPERLINK("https://dpmzos25m8ivg.cloudfront.net/Documentos/631/10783394497/6311078339449714092023160154.pdf","https://dpmzos25m8ivg.cloudfront.net/Documentos/631/10783394497/6311078339449714092023160154.pdf")</f>
        <v>https://dpmzos25m8ivg.cloudfront.net/Documentos/631/10783394497/6311078339449714092023160154.pdf</v>
      </c>
      <c r="H4702" s="5" t="s">
        <v>13276</v>
      </c>
    </row>
    <row r="4703" spans="1:8" x14ac:dyDescent="0.25">
      <c r="A4703" s="2" t="s">
        <v>4726</v>
      </c>
      <c r="B4703" s="3"/>
      <c r="C4703" s="3"/>
      <c r="D4703" s="3"/>
      <c r="E4703" s="5" t="str">
        <f>HYPERLINK("https://dpmzos25m8ivg.cloudfront.net/Documentos/631/10784644489/6311078464448911092023144502.jpeg","https://dpmzos25m8ivg.cloudfront.net/Documentos/631/10784644489/6311078464448911092023144502.jpeg")</f>
        <v>https://dpmzos25m8ivg.cloudfront.net/Documentos/631/10784644489/6311078464448911092023144502.jpeg</v>
      </c>
      <c r="F4703" s="5" t="str">
        <f>HYPERLINK("https://dpmzos25m8ivg.cloudfront.net/Documentos/631/10784644489/6311078464448911092023144508.jpeg","https://dpmzos25m8ivg.cloudfront.net/Documentos/631/10784644489/6311078464448911092023144508.jpeg")</f>
        <v>https://dpmzos25m8ivg.cloudfront.net/Documentos/631/10784644489/6311078464448911092023144508.jpeg</v>
      </c>
      <c r="G4703" s="5" t="str">
        <f>HYPERLINK("https://dpmzos25m8ivg.cloudfront.net/Documentos/631/10784644489/6311078464448911092023144514.jpeg","https://dpmzos25m8ivg.cloudfront.net/Documentos/631/10784644489/6311078464448911092023144514.jpeg")</f>
        <v>https://dpmzos25m8ivg.cloudfront.net/Documentos/631/10784644489/6311078464448911092023144514.jpeg</v>
      </c>
      <c r="H4703" s="5" t="s">
        <v>13277</v>
      </c>
    </row>
    <row r="4704" spans="1:8" x14ac:dyDescent="0.25">
      <c r="A4704" s="2" t="s">
        <v>4727</v>
      </c>
      <c r="B4704" s="3"/>
      <c r="C4704" s="3"/>
      <c r="D4704" s="3"/>
      <c r="E4704" s="5" t="str">
        <f>HYPERLINK("https://dpmzos25m8ivg.cloudfront.net/Documentos/631/10787598631/6311078759863109092023161542.pdf","https://dpmzos25m8ivg.cloudfront.net/Documentos/631/10787598631/6311078759863109092023161542.pdf")</f>
        <v>https://dpmzos25m8ivg.cloudfront.net/Documentos/631/10787598631/6311078759863109092023161542.pdf</v>
      </c>
      <c r="F4704" s="5" t="str">
        <f>HYPERLINK("https://dpmzos25m8ivg.cloudfront.net/Documentos/631/10787598631/6311078759863109092023161600.pdf","https://dpmzos25m8ivg.cloudfront.net/Documentos/631/10787598631/6311078759863109092023161600.pdf")</f>
        <v>https://dpmzos25m8ivg.cloudfront.net/Documentos/631/10787598631/6311078759863109092023161600.pdf</v>
      </c>
      <c r="G4704" s="5" t="str">
        <f>HYPERLINK("https://dpmzos25m8ivg.cloudfront.net/Documentos/631/10787598631/6311078759863109092023161617.pdf","https://dpmzos25m8ivg.cloudfront.net/Documentos/631/10787598631/6311078759863109092023161617.pdf")</f>
        <v>https://dpmzos25m8ivg.cloudfront.net/Documentos/631/10787598631/6311078759863109092023161617.pdf</v>
      </c>
      <c r="H4704" s="5" t="s">
        <v>13278</v>
      </c>
    </row>
    <row r="4705" spans="1:8" x14ac:dyDescent="0.25">
      <c r="A4705" s="2" t="s">
        <v>4728</v>
      </c>
      <c r="B4705" s="3"/>
      <c r="C4705" s="3"/>
      <c r="D4705" s="3"/>
      <c r="E4705" s="5" t="str">
        <f>HYPERLINK("https://dpmzos25m8ivg.cloudfront.net/Documentos/631/10789470403/6311078947040311092023161043.pdf","https://dpmzos25m8ivg.cloudfront.net/Documentos/631/10789470403/6311078947040311092023161043.pdf")</f>
        <v>https://dpmzos25m8ivg.cloudfront.net/Documentos/631/10789470403/6311078947040311092023161043.pdf</v>
      </c>
      <c r="F4705" s="5" t="str">
        <f>HYPERLINK("https://dpmzos25m8ivg.cloudfront.net/Documentos/631/10789470403/6311078947040311092023161057.pdf","https://dpmzos25m8ivg.cloudfront.net/Documentos/631/10789470403/6311078947040311092023161057.pdf")</f>
        <v>https://dpmzos25m8ivg.cloudfront.net/Documentos/631/10789470403/6311078947040311092023161057.pdf</v>
      </c>
      <c r="G4705" s="5" t="str">
        <f>HYPERLINK("https://dpmzos25m8ivg.cloudfront.net/Documentos/631/10789470403/6311078947040311092023161112.pdf","https://dpmzos25m8ivg.cloudfront.net/Documentos/631/10789470403/6311078947040311092023161112.pdf")</f>
        <v>https://dpmzos25m8ivg.cloudfront.net/Documentos/631/10789470403/6311078947040311092023161112.pdf</v>
      </c>
      <c r="H4705" s="5" t="s">
        <v>13279</v>
      </c>
    </row>
    <row r="4706" spans="1:8" x14ac:dyDescent="0.25">
      <c r="A4706" s="2" t="s">
        <v>4729</v>
      </c>
      <c r="B4706" s="3"/>
      <c r="C4706" s="3"/>
      <c r="D4706" s="3"/>
      <c r="E4706" s="5" t="str">
        <f>HYPERLINK("https://dpmzos25m8ivg.cloudfront.net/Documentos/631/10795479670/6311079547967005092023141038.pdf","https://dpmzos25m8ivg.cloudfront.net/Documentos/631/10795479670/6311079547967005092023141038.pdf")</f>
        <v>https://dpmzos25m8ivg.cloudfront.net/Documentos/631/10795479670/6311079547967005092023141038.pdf</v>
      </c>
      <c r="F4706" s="5" t="str">
        <f>HYPERLINK("https://dpmzos25m8ivg.cloudfront.net/Documentos/631/10795479670/6311079547967005092023141049.pdf","https://dpmzos25m8ivg.cloudfront.net/Documentos/631/10795479670/6311079547967005092023141049.pdf")</f>
        <v>https://dpmzos25m8ivg.cloudfront.net/Documentos/631/10795479670/6311079547967005092023141049.pdf</v>
      </c>
      <c r="G4706" s="5" t="str">
        <f>HYPERLINK("https://dpmzos25m8ivg.cloudfront.net/Documentos/631/10795479670/6311079547967005092023141115.pdf","https://dpmzos25m8ivg.cloudfront.net/Documentos/631/10795479670/6311079547967005092023141115.pdf")</f>
        <v>https://dpmzos25m8ivg.cloudfront.net/Documentos/631/10795479670/6311079547967005092023141115.pdf</v>
      </c>
      <c r="H4706" s="5" t="s">
        <v>13280</v>
      </c>
    </row>
    <row r="4707" spans="1:8" x14ac:dyDescent="0.25">
      <c r="A4707" s="2" t="s">
        <v>4730</v>
      </c>
      <c r="B4707" s="3"/>
      <c r="C4707" s="3"/>
      <c r="D4707" s="3"/>
      <c r="E4707" s="5" t="str">
        <f>HYPERLINK("https://dpmzos25m8ivg.cloudfront.net/Documentos/631/10800805461/6311080080546108092023201520.pdf","https://dpmzos25m8ivg.cloudfront.net/Documentos/631/10800805461/6311080080546108092023201520.pdf")</f>
        <v>https://dpmzos25m8ivg.cloudfront.net/Documentos/631/10800805461/6311080080546108092023201520.pdf</v>
      </c>
      <c r="F4707" s="5" t="str">
        <f>HYPERLINK("https://dpmzos25m8ivg.cloudfront.net/Documentos/631/10800805461/6311080080546108092023201535.pdf","https://dpmzos25m8ivg.cloudfront.net/Documentos/631/10800805461/6311080080546108092023201535.pdf")</f>
        <v>https://dpmzos25m8ivg.cloudfront.net/Documentos/631/10800805461/6311080080546108092023201535.pdf</v>
      </c>
      <c r="G4707" s="5" t="str">
        <f>HYPERLINK("https://dpmzos25m8ivg.cloudfront.net/Documentos/631/10800805461/6311080080546108092023201548.pdf","https://dpmzos25m8ivg.cloudfront.net/Documentos/631/10800805461/6311080080546108092023201548.pdf")</f>
        <v>https://dpmzos25m8ivg.cloudfront.net/Documentos/631/10800805461/6311080080546108092023201548.pdf</v>
      </c>
      <c r="H4707" s="5" t="s">
        <v>13281</v>
      </c>
    </row>
    <row r="4708" spans="1:8" x14ac:dyDescent="0.25">
      <c r="A4708" s="2" t="s">
        <v>4731</v>
      </c>
      <c r="B4708" s="16" t="s">
        <v>4646</v>
      </c>
      <c r="C4708" s="3"/>
      <c r="D4708" s="3"/>
      <c r="E4708" s="5" t="str">
        <f>HYPERLINK("https://dpmzos25m8ivg.cloudfront.net/Documentos/631/10806492635/6311080649263507092023213733.jpg","https://dpmzos25m8ivg.cloudfront.net/Documentos/631/10806492635/6311080649263507092023213733.jpg")</f>
        <v>https://dpmzos25m8ivg.cloudfront.net/Documentos/631/10806492635/6311080649263507092023213733.jpg</v>
      </c>
      <c r="F4708" s="5" t="str">
        <f>HYPERLINK("https://dpmzos25m8ivg.cloudfront.net/Documentos/631/10806492635/6311080649263507092023213745.jpg","https://dpmzos25m8ivg.cloudfront.net/Documentos/631/10806492635/6311080649263507092023213745.jpg")</f>
        <v>https://dpmzos25m8ivg.cloudfront.net/Documentos/631/10806492635/6311080649263507092023213745.jpg</v>
      </c>
      <c r="G4708" s="5" t="str">
        <f>HYPERLINK("https://dpmzos25m8ivg.cloudfront.net/Documentos/631/10806492635/6311080649263507092023213754.jpg","https://dpmzos25m8ivg.cloudfront.net/Documentos/631/10806492635/6311080649263507092023213754.jpg")</f>
        <v>https://dpmzos25m8ivg.cloudfront.net/Documentos/631/10806492635/6311080649263507092023213754.jpg</v>
      </c>
      <c r="H4708" s="5" t="s">
        <v>13282</v>
      </c>
    </row>
    <row r="4709" spans="1:8" x14ac:dyDescent="0.25">
      <c r="A4709" s="2" t="s">
        <v>4732</v>
      </c>
      <c r="B4709" s="3"/>
      <c r="C4709" s="3"/>
      <c r="D4709" s="3"/>
      <c r="E4709" s="5" t="str">
        <f>HYPERLINK("https://dpmzos25m8ivg.cloudfront.net/Documentos/631/10808572652/6311080857265207092023190956.jpg","https://dpmzos25m8ivg.cloudfront.net/Documentos/631/10808572652/6311080857265207092023190956.jpg")</f>
        <v>https://dpmzos25m8ivg.cloudfront.net/Documentos/631/10808572652/6311080857265207092023190956.jpg</v>
      </c>
      <c r="F4709" s="5" t="str">
        <f>HYPERLINK("https://dpmzos25m8ivg.cloudfront.net/Documentos/631/10808572652/6311080857265207092023191008.jpg","https://dpmzos25m8ivg.cloudfront.net/Documentos/631/10808572652/6311080857265207092023191008.jpg")</f>
        <v>https://dpmzos25m8ivg.cloudfront.net/Documentos/631/10808572652/6311080857265207092023191008.jpg</v>
      </c>
      <c r="G4709" s="5" t="str">
        <f>HYPERLINK("https://dpmzos25m8ivg.cloudfront.net/Documentos/631/10808572652/6311080857265207092023191020.jpg","https://dpmzos25m8ivg.cloudfront.net/Documentos/631/10808572652/6311080857265207092023191020.jpg")</f>
        <v>https://dpmzos25m8ivg.cloudfront.net/Documentos/631/10808572652/6311080857265207092023191020.jpg</v>
      </c>
      <c r="H4709" s="5" t="s">
        <v>13283</v>
      </c>
    </row>
    <row r="4710" spans="1:8" x14ac:dyDescent="0.25">
      <c r="A4710" s="2" t="s">
        <v>4733</v>
      </c>
      <c r="B4710" s="3"/>
      <c r="C4710" s="3"/>
      <c r="D4710" s="3"/>
      <c r="E4710" s="5" t="str">
        <f>HYPERLINK("https://dpmzos25m8ivg.cloudfront.net/Documentos/631/10810284677/6311081028467705092023094133.pdf","https://dpmzos25m8ivg.cloudfront.net/Documentos/631/10810284677/6311081028467705092023094133.pdf")</f>
        <v>https://dpmzos25m8ivg.cloudfront.net/Documentos/631/10810284677/6311081028467705092023094133.pdf</v>
      </c>
      <c r="F4710" s="5" t="str">
        <f>HYPERLINK("https://dpmzos25m8ivg.cloudfront.net/Documentos/631/10810284677/6311081028467705092023103250.pdf","https://dpmzos25m8ivg.cloudfront.net/Documentos/631/10810284677/6311081028467705092023103250.pdf")</f>
        <v>https://dpmzos25m8ivg.cloudfront.net/Documentos/631/10810284677/6311081028467705092023103250.pdf</v>
      </c>
      <c r="G4710" s="5" t="str">
        <f>HYPERLINK("https://dpmzos25m8ivg.cloudfront.net/Documentos/631/10810284677/6311081028467705092023103318.pdf","https://dpmzos25m8ivg.cloudfront.net/Documentos/631/10810284677/6311081028467705092023103318.pdf")</f>
        <v>https://dpmzos25m8ivg.cloudfront.net/Documentos/631/10810284677/6311081028467705092023103318.pdf</v>
      </c>
      <c r="H4710" s="5" t="s">
        <v>13284</v>
      </c>
    </row>
    <row r="4711" spans="1:8" x14ac:dyDescent="0.25">
      <c r="A4711" s="2" t="s">
        <v>4734</v>
      </c>
      <c r="B4711" s="3"/>
      <c r="C4711" s="3"/>
      <c r="D4711" s="3"/>
      <c r="E4711" s="5" t="str">
        <f>HYPERLINK("https://dpmzos25m8ivg.cloudfront.net/Documentos/631/10820916935/6311082091693511092023134413.pdf","https://dpmzos25m8ivg.cloudfront.net/Documentos/631/10820916935/6311082091693511092023134413.pdf")</f>
        <v>https://dpmzos25m8ivg.cloudfront.net/Documentos/631/10820916935/6311082091693511092023134413.pdf</v>
      </c>
      <c r="F4711" s="5" t="str">
        <f>HYPERLINK("https://dpmzos25m8ivg.cloudfront.net/Documentos/631/10820916935/6311082091693511092023134420.pdf","https://dpmzos25m8ivg.cloudfront.net/Documentos/631/10820916935/6311082091693511092023134420.pdf")</f>
        <v>https://dpmzos25m8ivg.cloudfront.net/Documentos/631/10820916935/6311082091693511092023134420.pdf</v>
      </c>
      <c r="G4711" s="5" t="str">
        <f>HYPERLINK("https://dpmzos25m8ivg.cloudfront.net/Documentos/631/10820916935/6311082091693511092023134427.pdf","https://dpmzos25m8ivg.cloudfront.net/Documentos/631/10820916935/6311082091693511092023134427.pdf")</f>
        <v>https://dpmzos25m8ivg.cloudfront.net/Documentos/631/10820916935/6311082091693511092023134427.pdf</v>
      </c>
      <c r="H4711" s="5" t="s">
        <v>13285</v>
      </c>
    </row>
    <row r="4712" spans="1:8" x14ac:dyDescent="0.25">
      <c r="A4712" s="2" t="s">
        <v>4735</v>
      </c>
      <c r="B4712" s="3"/>
      <c r="C4712" s="3"/>
      <c r="D4712" s="3"/>
      <c r="E4712" s="5" t="str">
        <f>HYPERLINK("https://dpmzos25m8ivg.cloudfront.net/Documentos/631/10822618400/6311082261840004092023211008.pdf","https://dpmzos25m8ivg.cloudfront.net/Documentos/631/10822618400/6311082261840004092023211008.pdf")</f>
        <v>https://dpmzos25m8ivg.cloudfront.net/Documentos/631/10822618400/6311082261840004092023211008.pdf</v>
      </c>
      <c r="F4712" s="5" t="str">
        <f>HYPERLINK("https://dpmzos25m8ivg.cloudfront.net/Documentos/631/10822618400/6311082261840004092023211141.pdf","https://dpmzos25m8ivg.cloudfront.net/Documentos/631/10822618400/6311082261840004092023211141.pdf")</f>
        <v>https://dpmzos25m8ivg.cloudfront.net/Documentos/631/10822618400/6311082261840004092023211141.pdf</v>
      </c>
      <c r="G4712" s="5" t="str">
        <f>HYPERLINK("https://dpmzos25m8ivg.cloudfront.net/Documentos/631/10822618400/6311082261840005092023053257.pdf","https://dpmzos25m8ivg.cloudfront.net/Documentos/631/10822618400/6311082261840005092023053257.pdf")</f>
        <v>https://dpmzos25m8ivg.cloudfront.net/Documentos/631/10822618400/6311082261840005092023053257.pdf</v>
      </c>
      <c r="H4712" s="5" t="s">
        <v>13286</v>
      </c>
    </row>
    <row r="4713" spans="1:8" x14ac:dyDescent="0.25">
      <c r="A4713" s="2" t="s">
        <v>4736</v>
      </c>
      <c r="B4713" s="3"/>
      <c r="C4713" s="3"/>
      <c r="D4713" s="3"/>
      <c r="E4713" s="5" t="str">
        <f>HYPERLINK("https://dpmzos25m8ivg.cloudfront.net/Documentos/631/10823181677/6311082318167708092023104528.pdf","https://dpmzos25m8ivg.cloudfront.net/Documentos/631/10823181677/6311082318167708092023104528.pdf")</f>
        <v>https://dpmzos25m8ivg.cloudfront.net/Documentos/631/10823181677/6311082318167708092023104528.pdf</v>
      </c>
      <c r="F4713" s="5" t="str">
        <f>HYPERLINK("https://dpmzos25m8ivg.cloudfront.net/Documentos/631/10823181677/6311082318167708092023104540.pdf","https://dpmzos25m8ivg.cloudfront.net/Documentos/631/10823181677/6311082318167708092023104540.pdf")</f>
        <v>https://dpmzos25m8ivg.cloudfront.net/Documentos/631/10823181677/6311082318167708092023104540.pdf</v>
      </c>
      <c r="G4713" s="5" t="str">
        <f>HYPERLINK("https://dpmzos25m8ivg.cloudfront.net/Documentos/631/10823181677/6311082318167708092023104548.pdf","https://dpmzos25m8ivg.cloudfront.net/Documentos/631/10823181677/6311082318167708092023104548.pdf")</f>
        <v>https://dpmzos25m8ivg.cloudfront.net/Documentos/631/10823181677/6311082318167708092023104548.pdf</v>
      </c>
      <c r="H4713" s="5" t="s">
        <v>13287</v>
      </c>
    </row>
    <row r="4714" spans="1:8" x14ac:dyDescent="0.25">
      <c r="A4714" s="2" t="s">
        <v>4737</v>
      </c>
      <c r="B4714" s="16" t="s">
        <v>4646</v>
      </c>
      <c r="C4714" s="3"/>
      <c r="D4714" s="3"/>
      <c r="E4714" s="5" t="str">
        <f>HYPERLINK("https://dpmzos25m8ivg.cloudfront.net/Documentos/631/10823676994/6311082367699406092023175823.pdf","https://dpmzos25m8ivg.cloudfront.net/Documentos/631/10823676994/6311082367699406092023175823.pdf")</f>
        <v>https://dpmzos25m8ivg.cloudfront.net/Documentos/631/10823676994/6311082367699406092023175823.pdf</v>
      </c>
      <c r="F4714" s="5" t="str">
        <f>HYPERLINK("https://dpmzos25m8ivg.cloudfront.net/Documentos/631/10823676994/6311082367699406092023175834.pdf","https://dpmzos25m8ivg.cloudfront.net/Documentos/631/10823676994/6311082367699406092023175834.pdf")</f>
        <v>https://dpmzos25m8ivg.cloudfront.net/Documentos/631/10823676994/6311082367699406092023175834.pdf</v>
      </c>
      <c r="G4714" s="5" t="str">
        <f>HYPERLINK("https://dpmzos25m8ivg.cloudfront.net/Documentos/631/10823676994/6311082367699406092023175842.pdf","https://dpmzos25m8ivg.cloudfront.net/Documentos/631/10823676994/6311082367699406092023175842.pdf")</f>
        <v>https://dpmzos25m8ivg.cloudfront.net/Documentos/631/10823676994/6311082367699406092023175842.pdf</v>
      </c>
      <c r="H4714" s="5" t="s">
        <v>13288</v>
      </c>
    </row>
    <row r="4715" spans="1:8" x14ac:dyDescent="0.25">
      <c r="A4715" s="2" t="s">
        <v>4738</v>
      </c>
      <c r="B4715" s="3"/>
      <c r="C4715" s="3"/>
      <c r="D4715" s="3"/>
      <c r="E4715" s="5" t="str">
        <f>HYPERLINK("https://dpmzos25m8ivg.cloudfront.net/Documentos/631/10823755606/6311082375560611092023125014.pdf","https://dpmzos25m8ivg.cloudfront.net/Documentos/631/10823755606/6311082375560611092023125014.pdf")</f>
        <v>https://dpmzos25m8ivg.cloudfront.net/Documentos/631/10823755606/6311082375560611092023125014.pdf</v>
      </c>
      <c r="F4715" s="5" t="str">
        <f>HYPERLINK("https://dpmzos25m8ivg.cloudfront.net/Documentos/631/10823755606/6311082375560611092023125022.pdf","https://dpmzos25m8ivg.cloudfront.net/Documentos/631/10823755606/6311082375560611092023125022.pdf")</f>
        <v>https://dpmzos25m8ivg.cloudfront.net/Documentos/631/10823755606/6311082375560611092023125022.pdf</v>
      </c>
      <c r="G4715" s="5" t="str">
        <f>HYPERLINK("https://dpmzos25m8ivg.cloudfront.net/Documentos/631/10823755606/6311082375560611092023125029.pdf","https://dpmzos25m8ivg.cloudfront.net/Documentos/631/10823755606/6311082375560611092023125029.pdf")</f>
        <v>https://dpmzos25m8ivg.cloudfront.net/Documentos/631/10823755606/6311082375560611092023125029.pdf</v>
      </c>
      <c r="H4715" s="5" t="s">
        <v>13289</v>
      </c>
    </row>
    <row r="4716" spans="1:8" x14ac:dyDescent="0.25">
      <c r="A4716" s="2" t="s">
        <v>4739</v>
      </c>
      <c r="B4716" s="16" t="s">
        <v>4646</v>
      </c>
      <c r="C4716" s="3"/>
      <c r="D4716" s="3"/>
      <c r="E4716" s="5" t="str">
        <f>HYPERLINK("https://dpmzos25m8ivg.cloudfront.net/Documentos/631/10824920864/6311082492086411092023154707.jpg","https://dpmzos25m8ivg.cloudfront.net/Documentos/631/10824920864/6311082492086411092023154707.jpg")</f>
        <v>https://dpmzos25m8ivg.cloudfront.net/Documentos/631/10824920864/6311082492086411092023154707.jpg</v>
      </c>
      <c r="F4716" s="5" t="str">
        <f>HYPERLINK("https://dpmzos25m8ivg.cloudfront.net/Documentos/631/10824920864/6311082492086411092023155318.jpg","https://dpmzos25m8ivg.cloudfront.net/Documentos/631/10824920864/6311082492086411092023155318.jpg")</f>
        <v>https://dpmzos25m8ivg.cloudfront.net/Documentos/631/10824920864/6311082492086411092023155318.jpg</v>
      </c>
      <c r="G4716" s="5" t="str">
        <f>HYPERLINK("https://dpmzos25m8ivg.cloudfront.net/Documentos/631/10824920864/6311082492086411092023155332.jpg","https://dpmzos25m8ivg.cloudfront.net/Documentos/631/10824920864/6311082492086411092023155332.jpg")</f>
        <v>https://dpmzos25m8ivg.cloudfront.net/Documentos/631/10824920864/6311082492086411092023155332.jpg</v>
      </c>
      <c r="H4716" s="5" t="s">
        <v>13290</v>
      </c>
    </row>
    <row r="4717" spans="1:8" x14ac:dyDescent="0.25">
      <c r="A4717" s="2" t="s">
        <v>4740</v>
      </c>
      <c r="B4717" s="16"/>
      <c r="C4717" s="3"/>
      <c r="D4717" s="3"/>
      <c r="E4717" s="5" t="str">
        <f>HYPERLINK("https://dpmzos25m8ivg.cloudfront.net/Documentos/631/10827259786/6311082725978611092023122819.pdf","https://dpmzos25m8ivg.cloudfront.net/Documentos/631/10827259786/6311082725978611092023122819.pdf")</f>
        <v>https://dpmzos25m8ivg.cloudfront.net/Documentos/631/10827259786/6311082725978611092023122819.pdf</v>
      </c>
      <c r="F4717" s="5" t="str">
        <f>HYPERLINK("https://dpmzos25m8ivg.cloudfront.net/Documentos/631/10827259786/6311082725978611092023122839.pdf","https://dpmzos25m8ivg.cloudfront.net/Documentos/631/10827259786/6311082725978611092023122839.pdf")</f>
        <v>https://dpmzos25m8ivg.cloudfront.net/Documentos/631/10827259786/6311082725978611092023122839.pdf</v>
      </c>
      <c r="G4717" s="5" t="str">
        <f>HYPERLINK("https://dpmzos25m8ivg.cloudfront.net/Documentos/631/10827259786/6311082725978611092023122854.pdf","https://dpmzos25m8ivg.cloudfront.net/Documentos/631/10827259786/6311082725978611092023122854.pdf")</f>
        <v>https://dpmzos25m8ivg.cloudfront.net/Documentos/631/10827259786/6311082725978611092023122854.pdf</v>
      </c>
      <c r="H4717" s="5" t="s">
        <v>13291</v>
      </c>
    </row>
    <row r="4718" spans="1:8" x14ac:dyDescent="0.25">
      <c r="A4718" s="2" t="s">
        <v>4741</v>
      </c>
      <c r="B4718" s="16" t="s">
        <v>4646</v>
      </c>
      <c r="C4718" s="3"/>
      <c r="D4718" s="3"/>
      <c r="E4718" s="5" t="str">
        <f>HYPERLINK("https://dpmzos25m8ivg.cloudfront.net/Documentos/631/10827372914/6311082737291409092023143038.pdf","https://dpmzos25m8ivg.cloudfront.net/Documentos/631/10827372914/6311082737291409092023143038.pdf")</f>
        <v>https://dpmzos25m8ivg.cloudfront.net/Documentos/631/10827372914/6311082737291409092023143038.pdf</v>
      </c>
      <c r="F4718" s="5" t="str">
        <f>HYPERLINK("https://dpmzos25m8ivg.cloudfront.net/Documentos/631/10827372914/6311082737291409092023143048.pdf","https://dpmzos25m8ivg.cloudfront.net/Documentos/631/10827372914/6311082737291409092023143048.pdf")</f>
        <v>https://dpmzos25m8ivg.cloudfront.net/Documentos/631/10827372914/6311082737291409092023143048.pdf</v>
      </c>
      <c r="G4718" s="5" t="str">
        <f>HYPERLINK("https://dpmzos25m8ivg.cloudfront.net/Documentos/631/10827372914/6311082737291409092023143100.pdf","https://dpmzos25m8ivg.cloudfront.net/Documentos/631/10827372914/6311082737291409092023143100.pdf")</f>
        <v>https://dpmzos25m8ivg.cloudfront.net/Documentos/631/10827372914/6311082737291409092023143100.pdf</v>
      </c>
      <c r="H4718" s="5" t="s">
        <v>13292</v>
      </c>
    </row>
    <row r="4719" spans="1:8" x14ac:dyDescent="0.25">
      <c r="A4719" s="2" t="s">
        <v>4742</v>
      </c>
      <c r="B4719" s="3"/>
      <c r="C4719" s="3"/>
      <c r="D4719" s="3"/>
      <c r="E4719" s="5" t="str">
        <f>HYPERLINK("https://dpmzos25m8ivg.cloudfront.net/Documentos/631/10833607448/6311083360744805092023204619.pdf","https://dpmzos25m8ivg.cloudfront.net/Documentos/631/10833607448/6311083360744805092023204619.pdf")</f>
        <v>https://dpmzos25m8ivg.cloudfront.net/Documentos/631/10833607448/6311083360744805092023204619.pdf</v>
      </c>
      <c r="F4719" s="5" t="str">
        <f>HYPERLINK("https://dpmzos25m8ivg.cloudfront.net/Documentos/631/10833607448/6311083360744805092023204629.pdf","https://dpmzos25m8ivg.cloudfront.net/Documentos/631/10833607448/6311083360744805092023204629.pdf")</f>
        <v>https://dpmzos25m8ivg.cloudfront.net/Documentos/631/10833607448/6311083360744805092023204629.pdf</v>
      </c>
      <c r="G4719" s="5" t="str">
        <f>HYPERLINK("https://dpmzos25m8ivg.cloudfront.net/Documentos/631/10833607448/6311083360744805092023204642.pdf","https://dpmzos25m8ivg.cloudfront.net/Documentos/631/10833607448/6311083360744805092023204642.pdf")</f>
        <v>https://dpmzos25m8ivg.cloudfront.net/Documentos/631/10833607448/6311083360744805092023204642.pdf</v>
      </c>
      <c r="H4719" s="5" t="s">
        <v>13293</v>
      </c>
    </row>
    <row r="4720" spans="1:8" x14ac:dyDescent="0.25">
      <c r="A4720" s="2" t="s">
        <v>4743</v>
      </c>
      <c r="B4720" s="3"/>
      <c r="C4720" s="3"/>
      <c r="D4720" s="3"/>
      <c r="E4720" s="5" t="str">
        <f>HYPERLINK("https://dpmzos25m8ivg.cloudfront.net/Documentos/631/10835942651/6311083594265111092023150534.pdf","https://dpmzos25m8ivg.cloudfront.net/Documentos/631/10835942651/6311083594265111092023150534.pdf")</f>
        <v>https://dpmzos25m8ivg.cloudfront.net/Documentos/631/10835942651/6311083594265111092023150534.pdf</v>
      </c>
      <c r="F4720" s="5" t="str">
        <f>HYPERLINK("https://dpmzos25m8ivg.cloudfront.net/Documentos/631/10835942651/6311083594265111092023150602.pdf","https://dpmzos25m8ivg.cloudfront.net/Documentos/631/10835942651/6311083594265111092023150602.pdf")</f>
        <v>https://dpmzos25m8ivg.cloudfront.net/Documentos/631/10835942651/6311083594265111092023150602.pdf</v>
      </c>
      <c r="G4720" s="5" t="str">
        <f>HYPERLINK("https://dpmzos25m8ivg.cloudfront.net/Documentos/631/10835942651/6311083594265111092023150626.pdf","https://dpmzos25m8ivg.cloudfront.net/Documentos/631/10835942651/6311083594265111092023150626.pdf")</f>
        <v>https://dpmzos25m8ivg.cloudfront.net/Documentos/631/10835942651/6311083594265111092023150626.pdf</v>
      </c>
      <c r="H4720" s="5" t="s">
        <v>13294</v>
      </c>
    </row>
    <row r="4721" spans="1:8" x14ac:dyDescent="0.25">
      <c r="A4721" s="2" t="s">
        <v>4744</v>
      </c>
      <c r="B4721" s="3"/>
      <c r="C4721" s="3"/>
      <c r="D4721" s="3"/>
      <c r="E4721" s="5" t="str">
        <f>HYPERLINK("https://dpmzos25m8ivg.cloudfront.net/Documentos/631/10837664497/6311083766449711092023154818.pdf","https://dpmzos25m8ivg.cloudfront.net/Documentos/631/10837664497/6311083766449711092023154818.pdf")</f>
        <v>https://dpmzos25m8ivg.cloudfront.net/Documentos/631/10837664497/6311083766449711092023154818.pdf</v>
      </c>
      <c r="F4721" s="5" t="str">
        <f>HYPERLINK("https://dpmzos25m8ivg.cloudfront.net/Documentos/631/10837664497/6311083766449711092023154900.pdf","https://dpmzos25m8ivg.cloudfront.net/Documentos/631/10837664497/6311083766449711092023154900.pdf")</f>
        <v>https://dpmzos25m8ivg.cloudfront.net/Documentos/631/10837664497/6311083766449711092023154900.pdf</v>
      </c>
      <c r="G4721" s="5" t="str">
        <f>HYPERLINK("https://dpmzos25m8ivg.cloudfront.net/Documentos/631/10837664497/6311083766449711092023154936.pdf","https://dpmzos25m8ivg.cloudfront.net/Documentos/631/10837664497/6311083766449711092023154936.pdf")</f>
        <v>https://dpmzos25m8ivg.cloudfront.net/Documentos/631/10837664497/6311083766449711092023154936.pdf</v>
      </c>
      <c r="H4721" s="5" t="s">
        <v>13295</v>
      </c>
    </row>
    <row r="4722" spans="1:8" x14ac:dyDescent="0.25">
      <c r="A4722" s="2" t="s">
        <v>4745</v>
      </c>
      <c r="B4722" s="3"/>
      <c r="C4722" s="3"/>
      <c r="D4722" s="3"/>
      <c r="E4722" s="5" t="str">
        <f>HYPERLINK("https://dpmzos25m8ivg.cloudfront.net/Documentos/631/10847838862/6311084783886211092023142850.jpeg","https://dpmzos25m8ivg.cloudfront.net/Documentos/631/10847838862/6311084783886211092023142850.jpeg")</f>
        <v>https://dpmzos25m8ivg.cloudfront.net/Documentos/631/10847838862/6311084783886211092023142850.jpeg</v>
      </c>
      <c r="F4722" s="5" t="str">
        <f>HYPERLINK("https://dpmzos25m8ivg.cloudfront.net/Documentos/631/10847838862/6311084783886211092023142915.jpeg","https://dpmzos25m8ivg.cloudfront.net/Documentos/631/10847838862/6311084783886211092023142915.jpeg")</f>
        <v>https://dpmzos25m8ivg.cloudfront.net/Documentos/631/10847838862/6311084783886211092023142915.jpeg</v>
      </c>
      <c r="G4722" s="5" t="str">
        <f>HYPERLINK("https://dpmzos25m8ivg.cloudfront.net/Documentos/631/10847838862/6311084783886211092023142927.jpeg","https://dpmzos25m8ivg.cloudfront.net/Documentos/631/10847838862/6311084783886211092023142927.jpeg")</f>
        <v>https://dpmzos25m8ivg.cloudfront.net/Documentos/631/10847838862/6311084783886211092023142927.jpeg</v>
      </c>
      <c r="H4722" s="5" t="s">
        <v>13296</v>
      </c>
    </row>
    <row r="4723" spans="1:8" x14ac:dyDescent="0.25">
      <c r="A4723" s="2" t="s">
        <v>4746</v>
      </c>
      <c r="B4723" s="3"/>
      <c r="C4723" s="3"/>
      <c r="D4723" s="3"/>
      <c r="E4723" s="5" t="str">
        <f>HYPERLINK("https://dpmzos25m8ivg.cloudfront.net/Documentos/631/10848036409/6311084803640911092023153146.pdf","https://dpmzos25m8ivg.cloudfront.net/Documentos/631/10848036409/6311084803640911092023153146.pdf")</f>
        <v>https://dpmzos25m8ivg.cloudfront.net/Documentos/631/10848036409/6311084803640911092023153146.pdf</v>
      </c>
      <c r="F4723" s="5" t="str">
        <f>HYPERLINK("https://dpmzos25m8ivg.cloudfront.net/Documentos/631/10848036409/6311084803640911092023153157.pdf","https://dpmzos25m8ivg.cloudfront.net/Documentos/631/10848036409/6311084803640911092023153157.pdf")</f>
        <v>https://dpmzos25m8ivg.cloudfront.net/Documentos/631/10848036409/6311084803640911092023153157.pdf</v>
      </c>
      <c r="G4723" s="5" t="str">
        <f>HYPERLINK("https://dpmzos25m8ivg.cloudfront.net/Documentos/631/10848036409/6311084803640911092023153209.pdf","https://dpmzos25m8ivg.cloudfront.net/Documentos/631/10848036409/6311084803640911092023153209.pdf")</f>
        <v>https://dpmzos25m8ivg.cloudfront.net/Documentos/631/10848036409/6311084803640911092023153209.pdf</v>
      </c>
      <c r="H4723" s="5" t="s">
        <v>13297</v>
      </c>
    </row>
    <row r="4724" spans="1:8" x14ac:dyDescent="0.25">
      <c r="A4724" s="2" t="s">
        <v>4747</v>
      </c>
      <c r="B4724" s="3"/>
      <c r="C4724" s="3"/>
      <c r="D4724" s="3"/>
      <c r="E4724" s="5" t="str">
        <f>HYPERLINK("https://dpmzos25m8ivg.cloudfront.net/Documentos/631/10849832730/6311084983273011092023163320.pdf","https://dpmzos25m8ivg.cloudfront.net/Documentos/631/10849832730/6311084983273011092023163320.pdf")</f>
        <v>https://dpmzos25m8ivg.cloudfront.net/Documentos/631/10849832730/6311084983273011092023163320.pdf</v>
      </c>
      <c r="F4724" s="5" t="str">
        <f>HYPERLINK("https://dpmzos25m8ivg.cloudfront.net/Documentos/631/10849832730/6311084983273011092023163334.pdf","https://dpmzos25m8ivg.cloudfront.net/Documentos/631/10849832730/6311084983273011092023163334.pdf")</f>
        <v>https://dpmzos25m8ivg.cloudfront.net/Documentos/631/10849832730/6311084983273011092023163334.pdf</v>
      </c>
      <c r="G4724" s="5" t="str">
        <f>HYPERLINK("https://dpmzos25m8ivg.cloudfront.net/Documentos/631/10849832730/6311084983273011092023163345.pdf","https://dpmzos25m8ivg.cloudfront.net/Documentos/631/10849832730/6311084983273011092023163345.pdf")</f>
        <v>https://dpmzos25m8ivg.cloudfront.net/Documentos/631/10849832730/6311084983273011092023163345.pdf</v>
      </c>
      <c r="H4724" s="5" t="s">
        <v>13298</v>
      </c>
    </row>
    <row r="4725" spans="1:8" x14ac:dyDescent="0.25">
      <c r="A4725" s="2" t="s">
        <v>4748</v>
      </c>
      <c r="B4725" s="3"/>
      <c r="C4725" s="3"/>
      <c r="D4725" s="3"/>
      <c r="E4725" s="5" t="str">
        <f>HYPERLINK("https://dpmzos25m8ivg.cloudfront.net/Documentos/631/10851604676/6311085160467605092023155822.pdf","https://dpmzos25m8ivg.cloudfront.net/Documentos/631/10851604676/6311085160467605092023155822.pdf")</f>
        <v>https://dpmzos25m8ivg.cloudfront.net/Documentos/631/10851604676/6311085160467605092023155822.pdf</v>
      </c>
      <c r="F4725" s="5" t="str">
        <f>HYPERLINK("https://dpmzos25m8ivg.cloudfront.net/Documentos/631/10851604676/6311085160467605092023160109.pdf","https://dpmzos25m8ivg.cloudfront.net/Documentos/631/10851604676/6311085160467605092023160109.pdf")</f>
        <v>https://dpmzos25m8ivg.cloudfront.net/Documentos/631/10851604676/6311085160467605092023160109.pdf</v>
      </c>
      <c r="G4725" s="5" t="str">
        <f>HYPERLINK("https://dpmzos25m8ivg.cloudfront.net/Documentos/631/10851604676/6311085160467605092023160342.pdf","https://dpmzos25m8ivg.cloudfront.net/Documentos/631/10851604676/6311085160467605092023160342.pdf")</f>
        <v>https://dpmzos25m8ivg.cloudfront.net/Documentos/631/10851604676/6311085160467605092023160342.pdf</v>
      </c>
      <c r="H4725" s="5" t="s">
        <v>13299</v>
      </c>
    </row>
    <row r="4726" spans="1:8" x14ac:dyDescent="0.25">
      <c r="A4726" s="2" t="s">
        <v>4749</v>
      </c>
      <c r="B4726" s="3"/>
      <c r="C4726" s="3"/>
      <c r="D4726" s="3"/>
      <c r="E4726" s="5" t="str">
        <f>HYPERLINK("https://dpmzos25m8ivg.cloudfront.net/Documentos/631/10860697908/6311086069790808092023164348.pdf","https://dpmzos25m8ivg.cloudfront.net/Documentos/631/10860697908/6311086069790808092023164348.pdf")</f>
        <v>https://dpmzos25m8ivg.cloudfront.net/Documentos/631/10860697908/6311086069790808092023164348.pdf</v>
      </c>
      <c r="F4726" s="5" t="str">
        <f>HYPERLINK("https://dpmzos25m8ivg.cloudfront.net/Documentos/631/10860697908/6311086069790808092023164355.pdf","https://dpmzos25m8ivg.cloudfront.net/Documentos/631/10860697908/6311086069790808092023164355.pdf")</f>
        <v>https://dpmzos25m8ivg.cloudfront.net/Documentos/631/10860697908/6311086069790808092023164355.pdf</v>
      </c>
      <c r="G4726" s="5" t="str">
        <f>HYPERLINK("https://dpmzos25m8ivg.cloudfront.net/Documentos/631/10860697908/6311086069790808092023164403.pdf","https://dpmzos25m8ivg.cloudfront.net/Documentos/631/10860697908/6311086069790808092023164403.pdf")</f>
        <v>https://dpmzos25m8ivg.cloudfront.net/Documentos/631/10860697908/6311086069790808092023164403.pdf</v>
      </c>
      <c r="H4726" s="5" t="s">
        <v>13300</v>
      </c>
    </row>
    <row r="4727" spans="1:8" x14ac:dyDescent="0.25">
      <c r="A4727" s="2" t="s">
        <v>4750</v>
      </c>
      <c r="B4727" s="3"/>
      <c r="C4727" s="3"/>
      <c r="D4727" s="3"/>
      <c r="E4727" s="5" t="str">
        <f>HYPERLINK("https://dpmzos25m8ivg.cloudfront.net/Documentos/631/10861320921/6311086132092114092023155700.pdf","https://dpmzos25m8ivg.cloudfront.net/Documentos/631/10861320921/6311086132092114092023155700.pdf")</f>
        <v>https://dpmzos25m8ivg.cloudfront.net/Documentos/631/10861320921/6311086132092114092023155700.pdf</v>
      </c>
      <c r="F4727" s="5" t="str">
        <f>HYPERLINK("https://dpmzos25m8ivg.cloudfront.net/Documentos/631/10861320921/6311086132092114092023155712.pdf","https://dpmzos25m8ivg.cloudfront.net/Documentos/631/10861320921/6311086132092114092023155712.pdf")</f>
        <v>https://dpmzos25m8ivg.cloudfront.net/Documentos/631/10861320921/6311086132092114092023155712.pdf</v>
      </c>
      <c r="G4727" s="5" t="str">
        <f>HYPERLINK("https://dpmzos25m8ivg.cloudfront.net/Documentos/631/10861320921/6311086132092114092023155727.pdf","https://dpmzos25m8ivg.cloudfront.net/Documentos/631/10861320921/6311086132092114092023155727.pdf")</f>
        <v>https://dpmzos25m8ivg.cloudfront.net/Documentos/631/10861320921/6311086132092114092023155727.pdf</v>
      </c>
      <c r="H4727" s="5" t="s">
        <v>13301</v>
      </c>
    </row>
    <row r="4728" spans="1:8" x14ac:dyDescent="0.25">
      <c r="A4728" s="2" t="s">
        <v>4751</v>
      </c>
      <c r="B4728" s="3"/>
      <c r="C4728" s="3"/>
      <c r="D4728" s="3"/>
      <c r="E4728" s="5" t="str">
        <f>HYPERLINK("https://dpmzos25m8ivg.cloudfront.net/Documentos/631/10862744660/6311086274466011092023143804.jpg","https://dpmzos25m8ivg.cloudfront.net/Documentos/631/10862744660/6311086274466011092023143804.jpg")</f>
        <v>https://dpmzos25m8ivg.cloudfront.net/Documentos/631/10862744660/6311086274466011092023143804.jpg</v>
      </c>
      <c r="F4728" s="5" t="str">
        <f>HYPERLINK("https://dpmzos25m8ivg.cloudfront.net/Documentos/631/10862744660/6311086274466011092023143814.jpg","https://dpmzos25m8ivg.cloudfront.net/Documentos/631/10862744660/6311086274466011092023143814.jpg")</f>
        <v>https://dpmzos25m8ivg.cloudfront.net/Documentos/631/10862744660/6311086274466011092023143814.jpg</v>
      </c>
      <c r="G4728" s="5" t="str">
        <f>HYPERLINK("https://dpmzos25m8ivg.cloudfront.net/Documentos/631/10862744660/6311086274466011092023143822.jpg","https://dpmzos25m8ivg.cloudfront.net/Documentos/631/10862744660/6311086274466011092023143822.jpg")</f>
        <v>https://dpmzos25m8ivg.cloudfront.net/Documentos/631/10862744660/6311086274466011092023143822.jpg</v>
      </c>
      <c r="H4728" s="5" t="s">
        <v>13302</v>
      </c>
    </row>
    <row r="4729" spans="1:8" x14ac:dyDescent="0.25">
      <c r="A4729" s="2" t="s">
        <v>4752</v>
      </c>
      <c r="B4729" s="3"/>
      <c r="C4729" s="3"/>
      <c r="D4729" s="3"/>
      <c r="E4729" s="5" t="str">
        <f>HYPERLINK("https://dpmzos25m8ivg.cloudfront.net/Documentos/631/10864175426/6311086417542604092023190501.pdf","https://dpmzos25m8ivg.cloudfront.net/Documentos/631/10864175426/6311086417542604092023190501.pdf")</f>
        <v>https://dpmzos25m8ivg.cloudfront.net/Documentos/631/10864175426/6311086417542604092023190501.pdf</v>
      </c>
      <c r="F4729" s="5" t="str">
        <f>HYPERLINK("https://dpmzos25m8ivg.cloudfront.net/Documentos/631/10864175426/6311086417542604092023184923.pdf","https://dpmzos25m8ivg.cloudfront.net/Documentos/631/10864175426/6311086417542604092023184923.pdf")</f>
        <v>https://dpmzos25m8ivg.cloudfront.net/Documentos/631/10864175426/6311086417542604092023184923.pdf</v>
      </c>
      <c r="G4729" s="5" t="str">
        <f>HYPERLINK("https://dpmzos25m8ivg.cloudfront.net/Documentos/631/10864175426/6311086417542604092023193412.pdf","https://dpmzos25m8ivg.cloudfront.net/Documentos/631/10864175426/6311086417542604092023193412.pdf")</f>
        <v>https://dpmzos25m8ivg.cloudfront.net/Documentos/631/10864175426/6311086417542604092023193412.pdf</v>
      </c>
      <c r="H4729" s="5" t="s">
        <v>13303</v>
      </c>
    </row>
    <row r="4730" spans="1:8" x14ac:dyDescent="0.25">
      <c r="A4730" s="2" t="s">
        <v>4753</v>
      </c>
      <c r="B4730" s="3"/>
      <c r="C4730" s="3"/>
      <c r="D4730" s="3"/>
      <c r="E4730" s="5" t="str">
        <f>HYPERLINK("https://dpmzos25m8ivg.cloudfront.net/Documentos/631/10864968680/6311086496868011092023155741.pdf","https://dpmzos25m8ivg.cloudfront.net/Documentos/631/10864968680/6311086496868011092023155741.pdf")</f>
        <v>https://dpmzos25m8ivg.cloudfront.net/Documentos/631/10864968680/6311086496868011092023155741.pdf</v>
      </c>
      <c r="F4730" s="5" t="str">
        <f>HYPERLINK("https://dpmzos25m8ivg.cloudfront.net/Documentos/631/10864968680/6311086496868011092023155753.pdf","https://dpmzos25m8ivg.cloudfront.net/Documentos/631/10864968680/6311086496868011092023155753.pdf")</f>
        <v>https://dpmzos25m8ivg.cloudfront.net/Documentos/631/10864968680/6311086496868011092023155753.pdf</v>
      </c>
      <c r="G4730" s="5" t="str">
        <f>HYPERLINK("https://dpmzos25m8ivg.cloudfront.net/Documentos/631/10864968680/6311086496868011092023155807.pdf","https://dpmzos25m8ivg.cloudfront.net/Documentos/631/10864968680/6311086496868011092023155807.pdf")</f>
        <v>https://dpmzos25m8ivg.cloudfront.net/Documentos/631/10864968680/6311086496868011092023155807.pdf</v>
      </c>
      <c r="H4730" s="5" t="s">
        <v>13304</v>
      </c>
    </row>
    <row r="4731" spans="1:8" x14ac:dyDescent="0.25">
      <c r="A4731" s="2" t="s">
        <v>4754</v>
      </c>
      <c r="B4731" s="3"/>
      <c r="C4731" s="3"/>
      <c r="D4731" s="3"/>
      <c r="E4731" s="5" t="str">
        <f>HYPERLINK("https://dpmzos25m8ivg.cloudfront.net/Documentos/631/10867227443/6311086722744310092023213331.pdf","https://dpmzos25m8ivg.cloudfront.net/Documentos/631/10867227443/6311086722744310092023213331.pdf")</f>
        <v>https://dpmzos25m8ivg.cloudfront.net/Documentos/631/10867227443/6311086722744310092023213331.pdf</v>
      </c>
      <c r="F4731" s="5" t="str">
        <f>HYPERLINK("https://dpmzos25m8ivg.cloudfront.net/Documentos/631/10867227443/6311086722744310092023213346.pdf","https://dpmzos25m8ivg.cloudfront.net/Documentos/631/10867227443/6311086722744310092023213346.pdf")</f>
        <v>https://dpmzos25m8ivg.cloudfront.net/Documentos/631/10867227443/6311086722744310092023213346.pdf</v>
      </c>
      <c r="G4731" s="5" t="str">
        <f>HYPERLINK("https://dpmzos25m8ivg.cloudfront.net/Documentos/631/10867227443/6311086722744310092023213404.pdf","https://dpmzos25m8ivg.cloudfront.net/Documentos/631/10867227443/6311086722744310092023213404.pdf")</f>
        <v>https://dpmzos25m8ivg.cloudfront.net/Documentos/631/10867227443/6311086722744310092023213404.pdf</v>
      </c>
      <c r="H4731" s="5" t="s">
        <v>13305</v>
      </c>
    </row>
    <row r="4732" spans="1:8" x14ac:dyDescent="0.25">
      <c r="A4732" s="2" t="s">
        <v>4755</v>
      </c>
      <c r="B4732" s="3"/>
      <c r="C4732" s="3"/>
      <c r="D4732" s="3"/>
      <c r="E4732" s="5" t="str">
        <f>HYPERLINK("https://dpmzos25m8ivg.cloudfront.net/Documentos/631/10867973455/6311086797345505092023101134.pdf","https:AR574//dpmzos25m8ivg.cloudfront.net/Documentos/631/10867973455/S5506311086797345505092023101134.pdf")</f>
        <v>https:AR574//dpmzos25m8ivg.cloudfront.net/Documentos/631/10867973455/S5506311086797345505092023101134.pdf</v>
      </c>
      <c r="F4732" s="5" t="str">
        <f>HYPERLINK("https://dpmzos25m8ivg.cloudfront.net/Documentos/631/10867973455/6311086797345505092023101148.pdf","https://dpmzos25m8ivg.cloudfront.net/Documentos/631/10867973455/6311086797345505092023101148.pdf")</f>
        <v>https://dpmzos25m8ivg.cloudfront.net/Documentos/631/10867973455/6311086797345505092023101148.pdf</v>
      </c>
      <c r="G4732" s="5" t="str">
        <f>HYPERLINK("https://dpmzos25m8ivg.cloudfront.net/Documentos/631/10867973455/6311086797345505092023101200.pdf","https://dpmzos25m8ivg.cloudfront.net/Documentos/631/10867973455/6311086797345505092023101200.pdf")</f>
        <v>https://dpmzos25m8ivg.cloudfront.net/Documentos/631/10867973455/6311086797345505092023101200.pdf</v>
      </c>
      <c r="H4732" s="5" t="s">
        <v>13306</v>
      </c>
    </row>
    <row r="4733" spans="1:8" x14ac:dyDescent="0.25">
      <c r="A4733" s="2" t="s">
        <v>4756</v>
      </c>
      <c r="B4733" s="3"/>
      <c r="C4733" s="3"/>
      <c r="D4733" s="3"/>
      <c r="E4733" s="5" t="str">
        <f>HYPERLINK("https://dpmzos25m8ivg.cloudfront.net/Documentos/631/10870889419/6311087088941911092023143945.jpg","https://dpmzos25m8ivg.cloudfront.net/Documentos/631/10870889419/6311087088941911092023143945.jpg")</f>
        <v>https://dpmzos25m8ivg.cloudfront.net/Documentos/631/10870889419/6311087088941911092023143945.jpg</v>
      </c>
      <c r="F4733" s="5" t="str">
        <f>HYPERLINK("https://dpmzos25m8ivg.cloudfront.net/Documentos/631/10870889419/6311087088941911092023143955.jpg","https://dpmzos25m8ivg.cloudfront.net/Documentos/631/10870889419/6311087088941911092023143955.jpg")</f>
        <v>https://dpmzos25m8ivg.cloudfront.net/Documentos/631/10870889419/6311087088941911092023143955.jpg</v>
      </c>
      <c r="G4733" s="5" t="str">
        <f>HYPERLINK("https://dpmzos25m8ivg.cloudfront.net/Documentos/631/10870889419/6311087088941911092023144004.jpg","https://dpmzos25m8ivg.cloudfront.net/Documentos/631/10870889419/6311087088941911092023144004.jpg")</f>
        <v>https://dpmzos25m8ivg.cloudfront.net/Documentos/631/10870889419/6311087088941911092023144004.jpg</v>
      </c>
      <c r="H4733" s="5" t="s">
        <v>13307</v>
      </c>
    </row>
    <row r="4734" spans="1:8" x14ac:dyDescent="0.25">
      <c r="A4734" s="2" t="s">
        <v>4757</v>
      </c>
      <c r="B4734" s="3"/>
      <c r="C4734" s="3"/>
      <c r="D4734" s="3"/>
      <c r="E4734" s="5" t="str">
        <f>HYPERLINK("https://dpmzos25m8ivg.cloudfront.net/Documentos/631/10870951661/6311087095166111092023091251.jpeg","https://dpmzos25m8ivg.cloudfront.net/Documentos/631/10870951661/6311087095166111092023091251.jpeg")</f>
        <v>https://dpmzos25m8ivg.cloudfront.net/Documentos/631/10870951661/6311087095166111092023091251.jpeg</v>
      </c>
      <c r="F4734" s="5" t="str">
        <f>HYPERLINK("https://dpmzos25m8ivg.cloudfront.net/Documentos/631/10870951661/6311087095166111092023091307.jpeg","https://dpmzos25m8ivg.cloudfront.net/Documentos/631/10870951661/6311087095166111092023091307.jpeg")</f>
        <v>https://dpmzos25m8ivg.cloudfront.net/Documentos/631/10870951661/6311087095166111092023091307.jpeg</v>
      </c>
      <c r="G4734" s="5" t="str">
        <f>HYPERLINK("https://dpmzos25m8ivg.cloudfront.net/Documentos/631/10870951661/6311087095166111092023091315.jpeg","https://dpmzos25m8ivg.cloudfront.net/Documentos/631/10870951661/6311087095166111092023091315.jpeg")</f>
        <v>https://dpmzos25m8ivg.cloudfront.net/Documentos/631/10870951661/6311087095166111092023091315.jpeg</v>
      </c>
      <c r="H4734" s="5" t="s">
        <v>13308</v>
      </c>
    </row>
    <row r="4735" spans="1:8" x14ac:dyDescent="0.25">
      <c r="A4735" s="2" t="s">
        <v>4758</v>
      </c>
      <c r="B4735" s="3"/>
      <c r="C4735" s="3"/>
      <c r="D4735" s="3"/>
      <c r="E4735" s="5" t="str">
        <f>HYPERLINK("https://dpmzos25m8ivg.cloudfront.net/Documentos/631/10881471437/6311088147143705092023104057.pdf","https://dpmzos25m8ivg.cloudfront.net/Documentos/631/10881471437/6311088147143705092023104057.pdf")</f>
        <v>https://dpmzos25m8ivg.cloudfront.net/Documentos/631/10881471437/6311088147143705092023104057.pdf</v>
      </c>
      <c r="F4735" s="5" t="str">
        <f>HYPERLINK("https://dpmzos25m8ivg.cloudfront.net/Documentos/631/10881471437/6311088147143705092023104107.pdf","https://dpmzos25m8ivg.cloudfront.net/Documentos/631/10881471437/6311088147143705092023104107.pdf")</f>
        <v>https://dpmzos25m8ivg.cloudfront.net/Documentos/631/10881471437/6311088147143705092023104107.pdf</v>
      </c>
      <c r="G4735" s="5" t="str">
        <f>HYPERLINK("https://dpmzos25m8ivg.cloudfront.net/Documentos/631/10881471437/6311088147143705092023104116.pdf","https://dpmzos25m8ivg.cloudfront.net/Documentos/631/10881471437/6311088147143705092023104116.pdf")</f>
        <v>https://dpmzos25m8ivg.cloudfront.net/Documentos/631/10881471437/6311088147143705092023104116.pdf</v>
      </c>
      <c r="H4735" s="5" t="s">
        <v>13309</v>
      </c>
    </row>
    <row r="4736" spans="1:8" x14ac:dyDescent="0.25">
      <c r="A4736" s="2" t="s">
        <v>4759</v>
      </c>
      <c r="B4736" s="3" t="s">
        <v>23</v>
      </c>
      <c r="C4736" s="3"/>
      <c r="D4736" s="3"/>
      <c r="E4736" s="5" t="str">
        <f>HYPERLINK("https://dpmzos25m8ivg.cloudfront.net/Documentos/631/10883647486/6311088364748611092023160503.pdf","https://dpmzos25m8ivg.cloudfront.net/Documentos/631/10883647486/6311088364748611092023160503.pdf")</f>
        <v>https://dpmzos25m8ivg.cloudfront.net/Documentos/631/10883647486/6311088364748611092023160503.pdf</v>
      </c>
      <c r="F4736" s="5" t="str">
        <f>HYPERLINK("https://dpmzos25m8ivg.cloudfront.net/Documentos/631/10883647486/6311088364748611092023161019.pdf","https://dpmzos25m8ivg.cloudfront.net/Documentos/631/10883647486/6311088364748611092023161019.pdf")</f>
        <v>https://dpmzos25m8ivg.cloudfront.net/Documentos/631/10883647486/6311088364748611092023161019.pdf</v>
      </c>
      <c r="G4736" s="5" t="str">
        <f>HYPERLINK("https://dpmzos25m8ivg.cloudfront.net/Documentos/631/10883647486/6311088364748611092023161044.pdf","https://dpmzos25m8ivg.cloudfront.net/Documentos/631/10883647486/6311088364748611092023161044.pdf")</f>
        <v>https://dpmzos25m8ivg.cloudfront.net/Documentos/631/10883647486/6311088364748611092023161044.pdf</v>
      </c>
      <c r="H4736" s="5" t="s">
        <v>13310</v>
      </c>
    </row>
    <row r="4737" spans="1:8" x14ac:dyDescent="0.25">
      <c r="A4737" s="2" t="s">
        <v>4760</v>
      </c>
      <c r="B4737" s="3"/>
      <c r="C4737" s="3"/>
      <c r="D4737" s="3"/>
      <c r="E4737" s="5" t="str">
        <f>HYPERLINK("https://dpmzos25m8ivg.cloudfront.net/Documentos/631/10888729642/6311088872964207092023141834.jpeg","https://dpmzos25m8ivg.cloudfront.net/Documentos/631/10888729642/6311088872964207092023141834.jpeg")</f>
        <v>https://dpmzos25m8ivg.cloudfront.net/Documentos/631/10888729642/6311088872964207092023141834.jpeg</v>
      </c>
      <c r="F4737" s="5" t="str">
        <f>HYPERLINK("https://dpmzos25m8ivg.cloudfront.net/Documentos/631/10888729642/6311088872964207092023141915.jpeg","https://dpmzos25m8ivg.cloudfront.net/Documentos/631/10888729642/6311088872964207092023141915.jpeg")</f>
        <v>https://dpmzos25m8ivg.cloudfront.net/Documentos/631/10888729642/6311088872964207092023141915.jpeg</v>
      </c>
      <c r="G4737" s="5" t="str">
        <f>HYPERLINK("https://dpmzos25m8ivg.cloudfront.net/Documentos/631/10888729642/6311088872964207092023142742.jpeg","https://dpmzos25m8ivg.cloudfront.net/Documentos/631/10888729642/6311088872964207092023142742.jpeg")</f>
        <v>https://dpmzos25m8ivg.cloudfront.net/Documentos/631/10888729642/6311088872964207092023142742.jpeg</v>
      </c>
      <c r="H4737" s="5" t="s">
        <v>13311</v>
      </c>
    </row>
    <row r="4738" spans="1:8" x14ac:dyDescent="0.25">
      <c r="A4738" s="2" t="s">
        <v>4761</v>
      </c>
      <c r="B4738" s="3"/>
      <c r="C4738" s="3"/>
      <c r="D4738" s="3"/>
      <c r="E4738" s="5" t="str">
        <f>HYPERLINK("https://dpmzos25m8ivg.cloudfront.net/Documentos/631/10888777701/6311088877770109092023112355.jpeg","https://dpmzos25m8ivg.cloudfront.net/Documentos/631/10888777701/6311088877770109092023112355.jpeg")</f>
        <v>https://dpmzos25m8ivg.cloudfront.net/Documentos/631/10888777701/6311088877770109092023112355.jpeg</v>
      </c>
      <c r="F4738" s="5" t="str">
        <f>HYPERLINK("https://dpmzos25m8ivg.cloudfront.net/Documentos/631/10888777701/6311088877770109092023112409.jpeg","https://dpmzos25m8ivg.cloudfront.net/Documentos/631/10888777701/6311088877770109092023112409.jpeg")</f>
        <v>https://dpmzos25m8ivg.cloudfront.net/Documentos/631/10888777701/6311088877770109092023112409.jpeg</v>
      </c>
      <c r="G4738" s="5" t="str">
        <f>HYPERLINK("https://dpmzos25m8ivg.cloudfront.net/Documentos/631/10888777701/6311088877770109092023112424.jpeg","https://dpmzos25m8ivg.cloudfront.net/Documentos/631/10888777701/6311088877770109092023112424.jpeg")</f>
        <v>https://dpmzos25m8ivg.cloudfront.net/Documentos/631/10888777701/6311088877770109092023112424.jpeg</v>
      </c>
      <c r="H4738" s="5" t="s">
        <v>13312</v>
      </c>
    </row>
    <row r="4739" spans="1:8" x14ac:dyDescent="0.25">
      <c r="A4739" s="2" t="s">
        <v>4762</v>
      </c>
      <c r="B4739" s="3"/>
      <c r="C4739" s="3"/>
      <c r="D4739" s="3"/>
      <c r="E4739" s="5" t="str">
        <f>HYPERLINK("https://dpmzos25m8ivg.cloudfront.net/Documentos/631/10895376970/6311089537697014092023162112.pdf","https://dpmzos25m8ivg.cloudfront.net/Documentos/631/10895376970/6311089537697014092023162112.pdf")</f>
        <v>https://dpmzos25m8ivg.cloudfront.net/Documentos/631/10895376970/6311089537697014092023162112.pdf</v>
      </c>
      <c r="F4739" s="5" t="str">
        <f>HYPERLINK("https://dpmzos25m8ivg.cloudfront.net/Documentos/631/10895376970/6311089537697014092023162130.pdf","https://dpmzos25m8ivg.cloudfront.net/Documentos/631/10895376970/6311089537697014092023162130.pdf")</f>
        <v>https://dpmzos25m8ivg.cloudfront.net/Documentos/631/10895376970/6311089537697014092023162130.pdf</v>
      </c>
      <c r="G4739" s="5" t="str">
        <f>HYPERLINK("https://dpmzos25m8ivg.cloudfront.net/Documentos/631/10895376970/6311089537697014092023162149.pdf","https://dpmzos25m8ivg.cloudfront.net/Documentos/631/10895376970/6311089537697014092023162149.pdf")</f>
        <v>https://dpmzos25m8ivg.cloudfront.net/Documentos/631/10895376970/6311089537697014092023162149.pdf</v>
      </c>
      <c r="H4739" s="5" t="s">
        <v>13313</v>
      </c>
    </row>
    <row r="4740" spans="1:8" x14ac:dyDescent="0.25">
      <c r="A4740" s="2" t="s">
        <v>4763</v>
      </c>
      <c r="B4740" s="3"/>
      <c r="C4740" s="3"/>
      <c r="D4740" s="3"/>
      <c r="E4740" s="5" t="str">
        <f>HYPERLINK("https://dpmzos25m8ivg.cloudfront.net/Documentos/631/10898496640/6311089849664004092023200445.pdf","https://dpmzos25m8ivg.cloudfront.net/Documentos/631/10898496640/6311089849664004092023200445.pdf")</f>
        <v>https://dpmzos25m8ivg.cloudfront.net/Documentos/631/10898496640/6311089849664004092023200445.pdf</v>
      </c>
      <c r="F4740" s="5" t="str">
        <f>HYPERLINK("https://dpmzos25m8ivg.cloudfront.net/Documentos/631/10898496640/6311089849664004092023200844.pdf","https://dpmzos25m8ivg.cloudfront.net/Documentos/631/10898496640/6311089849664004092023200844.pdf")</f>
        <v>https://dpmzos25m8ivg.cloudfront.net/Documentos/631/10898496640/6311089849664004092023200844.pdf</v>
      </c>
      <c r="G4740" s="5" t="str">
        <f>HYPERLINK("https://dpmzos25m8ivg.cloudfront.net/Documentos/631/10898496640/6311089849664004092023201125.pdf","https://dpmzos25m8ivg.cloudfront.net/Documentos/631/10898496640/6311089849664004092023201125.pdf")</f>
        <v>https://dpmzos25m8ivg.cloudfront.net/Documentos/631/10898496640/6311089849664004092023201125.pdf</v>
      </c>
      <c r="H4740" s="5" t="s">
        <v>13314</v>
      </c>
    </row>
    <row r="4741" spans="1:8" x14ac:dyDescent="0.25">
      <c r="A4741" s="2" t="s">
        <v>4764</v>
      </c>
      <c r="B4741" s="3"/>
      <c r="C4741" s="3"/>
      <c r="D4741" s="3"/>
      <c r="E4741" s="5" t="str">
        <f>HYPERLINK("https://dpmzos25m8ivg.cloudfront.net/Documentos/631/10900329432/6311090032943214092023145009.pdf","https://dpmzos25m8ivg.cloudfront.net/Documentos/631/10900329432/6311090032943214092023145009.pdf")</f>
        <v>https://dpmzos25m8ivg.cloudfront.net/Documentos/631/10900329432/6311090032943214092023145009.pdf</v>
      </c>
      <c r="F4741" s="5" t="str">
        <f>HYPERLINK("https://dpmzos25m8ivg.cloudfront.net/Documentos/631/10900329432/6311090032943214092023145019.pdf","https://dpmzos25m8ivg.cloudfront.net/Documentos/631/10900329432/6311090032943214092023145019.pdf")</f>
        <v>https://dpmzos25m8ivg.cloudfront.net/Documentos/631/10900329432/6311090032943214092023145019.pdf</v>
      </c>
      <c r="G4741" s="5" t="str">
        <f>HYPERLINK("https://dpmzos25m8ivg.cloudfront.net/Documentos/631/10900329432/6311090032943214092023145029.pdf","https://dpmzos25m8ivg.cloudfront.net/Documentos/631/10900329432/6311090032943214092023145029.pdf")</f>
        <v>https://dpmzos25m8ivg.cloudfront.net/Documentos/631/10900329432/6311090032943214092023145029.pdf</v>
      </c>
      <c r="H4741" s="5" t="s">
        <v>13315</v>
      </c>
    </row>
    <row r="4742" spans="1:8" x14ac:dyDescent="0.25">
      <c r="A4742" s="2" t="s">
        <v>4765</v>
      </c>
      <c r="B4742" s="3"/>
      <c r="C4742" s="3"/>
      <c r="D4742" s="3"/>
      <c r="E4742" s="5" t="str">
        <f>HYPERLINK("https://dpmzos25m8ivg.cloudfront.net/Documentos/631/10900620447/6311090062044711092023030856.pdf","https://dpmzos25m8ivg.cloudfront.net/Documentos/631/10900620447/6311090062044711092023030856.pdf")</f>
        <v>https://dpmzos25m8ivg.cloudfront.net/Documentos/631/10900620447/6311090062044711092023030856.pdf</v>
      </c>
      <c r="F4742" s="5" t="str">
        <f>HYPERLINK("https://dpmzos25m8ivg.cloudfront.net/Documentos/631/10900620447/6311090062044711092023030917.pdf","https://dpmzos25m8ivg.cloudfront.net/Documentos/631/10900620447/6311090062044711092023030917.pdf")</f>
        <v>https://dpmzos25m8ivg.cloudfront.net/Documentos/631/10900620447/6311090062044711092023030917.pdf</v>
      </c>
      <c r="G4742" s="5" t="str">
        <f>HYPERLINK("https://dpmzos25m8ivg.cloudfront.net/Documentos/631/10900620447/6311090062044711092023030948.pdf","https://dpmzos25m8ivg.cloudfront.net/Documentos/631/10900620447/6311090062044711092023030948.pdf")</f>
        <v>https://dpmzos25m8ivg.cloudfront.net/Documentos/631/10900620447/6311090062044711092023030948.pdf</v>
      </c>
      <c r="H4742" s="5" t="s">
        <v>13316</v>
      </c>
    </row>
    <row r="4743" spans="1:8" x14ac:dyDescent="0.25">
      <c r="A4743" s="2" t="s">
        <v>4766</v>
      </c>
      <c r="B4743" s="3"/>
      <c r="C4743" s="3"/>
      <c r="D4743" s="3"/>
      <c r="E4743" s="5" t="str">
        <f>HYPERLINK("https://dpmzos25m8ivg.cloudfront.net/Documentos/631/10903397714/6311090339771406092023114330.pdf","https://dpmzos25m8ivg.cloudfront.net/Documentos/631/10903397714/6311090339771406092023114330.pdf")</f>
        <v>https://dpmzos25m8ivg.cloudfront.net/Documentos/631/10903397714/6311090339771406092023114330.pdf</v>
      </c>
      <c r="F4743" s="5" t="str">
        <f>HYPERLINK("https://dpmzos25m8ivg.cloudfront.net/Documentos/631/10903397714/6311090339771406092023114346.pdf","https://dpmzos25m8ivg.cloudfront.net/Documentos/631/10903397714/6311090339771406092023114346.pdf")</f>
        <v>https://dpmzos25m8ivg.cloudfront.net/Documentos/631/10903397714/6311090339771406092023114346.pdf</v>
      </c>
      <c r="G4743" s="5" t="str">
        <f>HYPERLINK("https://dpmzos25m8ivg.cloudfront.net/Documentos/631/10903397714/6311090339771406092023114406.pdf","https://dpmzos25m8ivg.cloudfront.net/Documentos/631/10903397714/6311090339771406092023114406.pdf")</f>
        <v>https://dpmzos25m8ivg.cloudfront.net/Documentos/631/10903397714/6311090339771406092023114406.pdf</v>
      </c>
      <c r="H4743" s="5" t="s">
        <v>13317</v>
      </c>
    </row>
    <row r="4744" spans="1:8" x14ac:dyDescent="0.25">
      <c r="A4744" s="2" t="s">
        <v>4767</v>
      </c>
      <c r="B4744" s="3"/>
      <c r="C4744" s="3"/>
      <c r="D4744" s="3"/>
      <c r="E4744" s="5" t="str">
        <f>HYPERLINK("https://dpmzos25m8ivg.cloudfront.net/Documentos/631/10906376750/6311090637675006092023124012.pdf","https://dpmzos25m8ivg.cloudfront.net/Documentos/631/10906376750/6311090637675006092023124012.pdf")</f>
        <v>https://dpmzos25m8ivg.cloudfront.net/Documentos/631/10906376750/6311090637675006092023124012.pdf</v>
      </c>
      <c r="F4744" s="5" t="str">
        <f>HYPERLINK("https://dpmzos25m8ivg.cloudfront.net/Documentos/631/10906376750/6311090637675006092023124039.pdf","https://dpmzos25m8ivg.cloudfront.net/Documentos/631/10906376750/6311090637675006092023124039.pdf")</f>
        <v>https://dpmzos25m8ivg.cloudfront.net/Documentos/631/10906376750/6311090637675006092023124039.pdf</v>
      </c>
      <c r="G4744" s="5" t="str">
        <f>HYPERLINK("https://dpmzos25m8ivg.cloudfront.net/Documentos/631/10906376750/6311090637675006092023124105.pdf","https://dpmzos25m8ivg.cloudfront.net/Documentos/631/10906376750/6311090637675006092023124105.pdf")</f>
        <v>https://dpmzos25m8ivg.cloudfront.net/Documentos/631/10906376750/6311090637675006092023124105.pdf</v>
      </c>
      <c r="H4744" s="5" t="s">
        <v>13318</v>
      </c>
    </row>
    <row r="4745" spans="1:8" x14ac:dyDescent="0.25">
      <c r="A4745" s="2" t="s">
        <v>4768</v>
      </c>
      <c r="B4745" s="3"/>
      <c r="C4745" s="3"/>
      <c r="D4745" s="3"/>
      <c r="E4745" s="5" t="str">
        <f>HYPERLINK("https://dpmzos25m8ivg.cloudfront.net/Documentos/631/10908941471/6311090894147111092023155538.pdf","https://dpmzos25m8ivg.cloudfront.net/Documentos/631/10908941471/6311090894147111092023155538.pdf")</f>
        <v>https://dpmzos25m8ivg.cloudfront.net/Documentos/631/10908941471/6311090894147111092023155538.pdf</v>
      </c>
      <c r="F4745" s="5" t="str">
        <f>HYPERLINK("https://dpmzos25m8ivg.cloudfront.net/Documentos/631/10908941471/6311090894147111092023155551.pdf","https://dpmzos25m8ivg.cloudfront.net/Documentos/631/10908941471/6311090894147111092023155551.pdf")</f>
        <v>https://dpmzos25m8ivg.cloudfront.net/Documentos/631/10908941471/6311090894147111092023155551.pdf</v>
      </c>
      <c r="G4745" s="5" t="str">
        <f>HYPERLINK("https://dpmzos25m8ivg.cloudfront.net/Documentos/631/10908941471/6311090894147111092023155602.pdf","https://dpmzos25m8ivg.cloudfront.net/Documentos/631/10908941471/6311090894147111092023155602.pdf")</f>
        <v>https://dpmzos25m8ivg.cloudfront.net/Documentos/631/10908941471/6311090894147111092023155602.pdf</v>
      </c>
      <c r="H4745" s="5" t="s">
        <v>13319</v>
      </c>
    </row>
    <row r="4746" spans="1:8" x14ac:dyDescent="0.25">
      <c r="A4746" s="2" t="s">
        <v>4769</v>
      </c>
      <c r="B4746" s="3"/>
      <c r="C4746" s="3"/>
      <c r="D4746" s="3"/>
      <c r="E4746" s="5" t="str">
        <f>HYPERLINK("https://dpmzos25m8ivg.cloudfront.net/Documentos/631/10912397977/6311091239797713092023200955.pdf","https://dpmzos25m8ivg.cloudfront.net/Documentos/631/10912397977/6311091239797713092023200955.pdf")</f>
        <v>https://dpmzos25m8ivg.cloudfront.net/Documentos/631/10912397977/6311091239797713092023200955.pdf</v>
      </c>
      <c r="F4746" s="5" t="str">
        <f>HYPERLINK("https://dpmzos25m8ivg.cloudfront.net/Documentos/631/10912397977/6311091239797713092023200938.pdf","https://dpmzos25m8ivg.cloudfront.net/Documentos/631/10912397977/6311091239797713092023200938.pdf")</f>
        <v>https://dpmzos25m8ivg.cloudfront.net/Documentos/631/10912397977/6311091239797713092023200938.pdf</v>
      </c>
      <c r="G4746" s="5" t="str">
        <f>HYPERLINK("https://dpmzos25m8ivg.cloudfront.net/Documentos/631/10912397977/6311091239797713092023200836.pdf","https://dpmzos25m8ivg.cloudfront.net/Documentos/631/10912397977/6311091239797713092023200836.pdf")</f>
        <v>https://dpmzos25m8ivg.cloudfront.net/Documentos/631/10912397977/6311091239797713092023200836.pdf</v>
      </c>
      <c r="H4746" s="5" t="s">
        <v>13320</v>
      </c>
    </row>
    <row r="4747" spans="1:8" x14ac:dyDescent="0.25">
      <c r="A4747" s="2" t="s">
        <v>4770</v>
      </c>
      <c r="B4747" s="3"/>
      <c r="C4747" s="3"/>
      <c r="D4747" s="3"/>
      <c r="E4747" s="5" t="str">
        <f>HYPERLINK("https://dpmzos25m8ivg.cloudfront.net/Documentos/631/10914865811/6311091486581111092023155740.pdf","https://dpmzos25m8ivg.cloudfront.net/Documentos/631/10914865811/6311091486581111092023155740.pdf")</f>
        <v>https://dpmzos25m8ivg.cloudfront.net/Documentos/631/10914865811/6311091486581111092023155740.pdf</v>
      </c>
      <c r="F4747" s="5" t="str">
        <f>HYPERLINK("https://dpmzos25m8ivg.cloudfront.net/Documentos/631/10914865811/6311091486581111092023155816.pdf","https://dpmzos25m8ivg.cloudfront.net/Documentos/631/10914865811/6311091486581111092023155816.pdf")</f>
        <v>https://dpmzos25m8ivg.cloudfront.net/Documentos/631/10914865811/6311091486581111092023155816.pdf</v>
      </c>
      <c r="G4747" s="5" t="str">
        <f>HYPERLINK("https://dpmzos25m8ivg.cloudfront.net/Documentos/631/10914865811/6311091486581111092023155858.pdf","https://dpmzos25m8ivg.cloudfront.net/Documentos/631/10914865811/6311091486581111092023155858.pdf")</f>
        <v>https://dpmzos25m8ivg.cloudfront.net/Documentos/631/10914865811/6311091486581111092023155858.pdf</v>
      </c>
      <c r="H4747" s="5" t="s">
        <v>13321</v>
      </c>
    </row>
    <row r="4748" spans="1:8" x14ac:dyDescent="0.25">
      <c r="A4748" s="2" t="s">
        <v>4771</v>
      </c>
      <c r="B4748" s="3"/>
      <c r="C4748" s="3"/>
      <c r="D4748" s="3"/>
      <c r="E4748" s="5" t="str">
        <f>HYPERLINK("https://dpmzos25m8ivg.cloudfront.net/Documentos/631/10923477632/6311092347763205092023120249.pdf","https://dpmzos25m8ivg.cloudfront.net/Documentos/631/10923477632/6311092347763205092023120249.pdf")</f>
        <v>https://dpmzos25m8ivg.cloudfront.net/Documentos/631/10923477632/6311092347763205092023120249.pdf</v>
      </c>
      <c r="F4748" s="5" t="str">
        <f>HYPERLINK("https://dpmzos25m8ivg.cloudfront.net/Documentos/631/10923477632/6311092347763205092023120302.pdf","https://dpmzos25m8ivg.cloudfront.net/Documentos/631/10923477632/6311092347763205092023120302.pdf")</f>
        <v>https://dpmzos25m8ivg.cloudfront.net/Documentos/631/10923477632/6311092347763205092023120302.pdf</v>
      </c>
      <c r="G4748" s="5" t="str">
        <f>HYPERLINK("https://dpmzos25m8ivg.cloudfront.net/Documentos/631/10923477632/6311092347763205092023120314.pdf","https://dpmzos25m8ivg.cloudfront.net/Documentos/631/10923477632/6311092347763205092023120314.pdf")</f>
        <v>https://dpmzos25m8ivg.cloudfront.net/Documentos/631/10923477632/6311092347763205092023120314.pdf</v>
      </c>
      <c r="H4748" s="5" t="s">
        <v>13322</v>
      </c>
    </row>
    <row r="4749" spans="1:8" x14ac:dyDescent="0.25">
      <c r="A4749" s="2" t="s">
        <v>4772</v>
      </c>
      <c r="B4749" s="3"/>
      <c r="C4749" s="3"/>
      <c r="D4749" s="3"/>
      <c r="E4749" s="5" t="str">
        <f>HYPERLINK("https://dpmzos25m8ivg.cloudfront.net/Documentos/631/10924380411/6311092438041105092023094522.pdf","https://dpmzos25m8ivg.cloudfront.net/Documentos/631/10924380411/6311092438041105092023094522.pdf")</f>
        <v>https://dpmzos25m8ivg.cloudfront.net/Documentos/631/10924380411/6311092438041105092023094522.pdf</v>
      </c>
      <c r="F4749" s="5" t="str">
        <f>HYPERLINK("https://dpmzos25m8ivg.cloudfront.net/Documentos/631/10924380411/6311092438041105092023094534.pdf","https://dpmzos25m8ivg.cloudfront.net/Documentos/631/10924380411/6311092438041105092023094534.pdf")</f>
        <v>https://dpmzos25m8ivg.cloudfront.net/Documentos/631/10924380411/6311092438041105092023094534.pdf</v>
      </c>
      <c r="G4749" s="5" t="str">
        <f>HYPERLINK("https://dpmzos25m8ivg.cloudfront.net/Documentos/631/10924380411/6311092438041105092023094543.pdf","https://dpmzos25m8ivg.cloudfront.net/Documentos/631/10924380411/6311092438041105092023094543.pdf")</f>
        <v>https://dpmzos25m8ivg.cloudfront.net/Documentos/631/10924380411/6311092438041105092023094543.pdf</v>
      </c>
      <c r="H4749" s="5" t="s">
        <v>13323</v>
      </c>
    </row>
    <row r="4750" spans="1:8" x14ac:dyDescent="0.25">
      <c r="A4750" s="2" t="s">
        <v>4773</v>
      </c>
      <c r="B4750" s="16" t="s">
        <v>2358</v>
      </c>
      <c r="C4750" s="3"/>
      <c r="D4750" s="3"/>
      <c r="E4750" s="5" t="str">
        <f>HYPERLINK("https://dpmzos25m8ivg.cloudfront.net/Documentos/631/10930836464/6311093083646406092023121405.pdf","https://dpmzos25m8ivg.cloudfront.net/Documentos/631/10930836464/6311093083646406092023121405.pdf")</f>
        <v>https://dpmzos25m8ivg.cloudfront.net/Documentos/631/10930836464/6311093083646406092023121405.pdf</v>
      </c>
      <c r="F4750" s="5" t="str">
        <f>HYPERLINK("https://dpmzos25m8ivg.cloudfront.net/Documentos/631/10930836464/6311093083646406092023121410.pdf","https://dpmzos25m8ivg.cloudfront.net/Documentos/631/10930836464/6311093083646406092023121410.pdf")</f>
        <v>https://dpmzos25m8ivg.cloudfront.net/Documentos/631/10930836464/6311093083646406092023121410.pdf</v>
      </c>
      <c r="G4750" s="5" t="str">
        <f>HYPERLINK("https://dpmzos25m8ivg.cloudfront.net/Documentos/631/10930836464/6311093083646406092023121416.pdf","https://dpmzos25m8ivg.cloudfront.net/Documentos/631/10930836464/6311093083646406092023121416.pdf")</f>
        <v>https://dpmzos25m8ivg.cloudfront.net/Documentos/631/10930836464/6311093083646406092023121416.pdf</v>
      </c>
      <c r="H4750" s="5" t="s">
        <v>13324</v>
      </c>
    </row>
    <row r="4751" spans="1:8" x14ac:dyDescent="0.25">
      <c r="A4751" s="2" t="s">
        <v>4774</v>
      </c>
      <c r="B4751" s="3"/>
      <c r="C4751" s="3"/>
      <c r="D4751" s="3"/>
      <c r="E4751" s="5" t="str">
        <f>HYPERLINK("https://dpmzos25m8ivg.cloudfront.net/Documentos/631/10935256490/6311093525649011092023143950.pdf","https://dpmzos25m8ivg.cloudfront.net/Documentos/631/10935256490/6311093525649011092023143950.pdf")</f>
        <v>https://dpmzos25m8ivg.cloudfront.net/Documentos/631/10935256490/6311093525649011092023143950.pdf</v>
      </c>
      <c r="F4751" s="5" t="str">
        <f>HYPERLINK("https://dpmzos25m8ivg.cloudfront.net/Documentos/631/10935256490/6311093525649011092023144316.pdf","https://dpmzos25m8ivg.cloudfront.net/Documentos/631/10935256490/6311093525649011092023144316.pdf")</f>
        <v>https://dpmzos25m8ivg.cloudfront.net/Documentos/631/10935256490/6311093525649011092023144316.pdf</v>
      </c>
      <c r="G4751" s="5" t="str">
        <f>HYPERLINK("https://dpmzos25m8ivg.cloudfront.net/Documentos/631/10935256490/6311093525649011092023144356.pdf","https://dpmzos25m8ivg.cloudfront.net/Documentos/631/10935256490/6311093525649011092023144356.pdf")</f>
        <v>https://dpmzos25m8ivg.cloudfront.net/Documentos/631/10935256490/6311093525649011092023144356.pdf</v>
      </c>
      <c r="H4751" s="5" t="s">
        <v>13325</v>
      </c>
    </row>
    <row r="4752" spans="1:8" x14ac:dyDescent="0.25">
      <c r="A4752" s="2" t="s">
        <v>4775</v>
      </c>
      <c r="B4752" s="3"/>
      <c r="C4752" s="3"/>
      <c r="D4752" s="3"/>
      <c r="E4752" s="5" t="str">
        <f>HYPERLINK("https://dpmzos25m8ivg.cloudfront.net/Documentos/631/10941113922/6311094111392214092023134210.jpeg","https://dpmzos25m8ivg.cloudfront.net/Documentos/631/10941113922/6311094111392214092023134210.jpeg")</f>
        <v>https://dpmzos25m8ivg.cloudfront.net/Documentos/631/10941113922/6311094111392214092023134210.jpeg</v>
      </c>
      <c r="F4752" s="5" t="str">
        <f>HYPERLINK("https://dpmzos25m8ivg.cloudfront.net/Documentos/631/10941113922/6311094111392214092023134222.jpeg","https://dpmzos25m8ivg.cloudfront.net/Documentos/631/10941113922/6311094111392214092023134222.jpeg")</f>
        <v>https://dpmzos25m8ivg.cloudfront.net/Documentos/631/10941113922/6311094111392214092023134222.jpeg</v>
      </c>
      <c r="G4752" s="5" t="str">
        <f>HYPERLINK("https://dpmzos25m8ivg.cloudfront.net/Documentos/631/10941113922/6311094111392214092023134230.jpeg","https://dpmzos25m8ivg.cloudfront.net/Documentos/631/10941113922/6311094111392214092023134230.jpeg")</f>
        <v>https://dpmzos25m8ivg.cloudfront.net/Documentos/631/10941113922/6311094111392214092023134230.jpeg</v>
      </c>
      <c r="H4752" s="5" t="s">
        <v>13326</v>
      </c>
    </row>
    <row r="4753" spans="1:8" x14ac:dyDescent="0.25">
      <c r="A4753" s="2" t="s">
        <v>4776</v>
      </c>
      <c r="B4753" s="3"/>
      <c r="C4753" s="3"/>
      <c r="D4753" s="3"/>
      <c r="E4753" s="5" t="str">
        <f>HYPERLINK("https://dpmzos25m8ivg.cloudfront.net/Documentos/631/10961203480/6311096120348012092023232655.jpeg","https://dpmzos25m8ivg.cloudfront.net/Documentos/631/10961203480/6311096120348012092023232655.jpeg")</f>
        <v>https://dpmzos25m8ivg.cloudfront.net/Documentos/631/10961203480/6311096120348012092023232655.jpeg</v>
      </c>
      <c r="F4753" s="5" t="str">
        <f>HYPERLINK("https://dpmzos25m8ivg.cloudfront.net/Documentos/631/10961203480/6311096120348012092023232753.jpeg","https://dpmzos25m8ivg.cloudfront.net/Documentos/631/10961203480/6311096120348012092023232753.jpeg")</f>
        <v>https://dpmzos25m8ivg.cloudfront.net/Documentos/631/10961203480/6311096120348012092023232753.jpeg</v>
      </c>
      <c r="G4753" s="5" t="str">
        <f>HYPERLINK("https://dpmzos25m8ivg.cloudfront.net/Documentos/631/10961203480/6311096120348012092023232845.jpeg","https://dpmzos25m8ivg.cloudfront.net/Documentos/631/10961203480/6311096120348012092023232845.jpeg")</f>
        <v>https://dpmzos25m8ivg.cloudfront.net/Documentos/631/10961203480/6311096120348012092023232845.jpeg</v>
      </c>
      <c r="H4753" s="5" t="s">
        <v>13327</v>
      </c>
    </row>
    <row r="4754" spans="1:8" x14ac:dyDescent="0.25">
      <c r="A4754" s="2" t="s">
        <v>4777</v>
      </c>
      <c r="B4754" s="3"/>
      <c r="C4754" s="3"/>
      <c r="D4754" s="3"/>
      <c r="E4754" s="5" t="str">
        <f>HYPERLINK("https://dpmzos25m8ivg.cloudfront.net/Documentos/631/10961847450/6311096184745011092023153944.jpeg","https://dpmzos25m8ivg.cloudfront.net/Documentos/631/10961847450/6311096184745011092023153944.jpeg")</f>
        <v>https://dpmzos25m8ivg.cloudfront.net/Documentos/631/10961847450/6311096184745011092023153944.jpeg</v>
      </c>
      <c r="F4754" s="5" t="str">
        <f>HYPERLINK("https://dpmzos25m8ivg.cloudfront.net/Documentos/631/10961847450/6311096184745011092023154015.jpeg","https://dpmzos25m8ivg.cloudfront.net/Documentos/631/10961847450/6311096184745011092023154015.jpeg")</f>
        <v>https://dpmzos25m8ivg.cloudfront.net/Documentos/631/10961847450/6311096184745011092023154015.jpeg</v>
      </c>
      <c r="G4754" s="5" t="str">
        <f>HYPERLINK("https://dpmzos25m8ivg.cloudfront.net/Documentos/631/10961847450/6311096184745011092023154152.jpeg","https://dpmzos25m8ivg.cloudfront.net/Documentos/631/10961847450/6311096184745011092023154152.jpeg")</f>
        <v>https://dpmzos25m8ivg.cloudfront.net/Documentos/631/10961847450/6311096184745011092023154152.jpeg</v>
      </c>
      <c r="H4754" s="5" t="s">
        <v>13328</v>
      </c>
    </row>
    <row r="4755" spans="1:8" x14ac:dyDescent="0.25">
      <c r="A4755" s="2" t="s">
        <v>4778</v>
      </c>
      <c r="B4755" s="16" t="s">
        <v>4646</v>
      </c>
      <c r="C4755" s="3"/>
      <c r="D4755" s="3"/>
      <c r="E4755" s="5" t="str">
        <f>HYPERLINK("https://dpmzos25m8ivg.cloudfront.net/Documentos/631/10967574609/6311096757460908092023163120.pdf","https://dpmzos25m8ivg.cloudfront.net/Documentos/631/10967574609/6311096757460908092023163120.pdf")</f>
        <v>https://dpmzos25m8ivg.cloudfront.net/Documentos/631/10967574609/6311096757460908092023163120.pdf</v>
      </c>
      <c r="F4755" s="5" t="str">
        <f>HYPERLINK("https://dpmzos25m8ivg.cloudfront.net/Documentos/631/10967574609/6311096757460908092023163150.pdf","https://dpmzos25m8ivg.cloudfront.net/Documentos/631/10967574609/6311096757460908092023163150.pdf")</f>
        <v>https://dpmzos25m8ivg.cloudfront.net/Documentos/631/10967574609/6311096757460908092023163150.pdf</v>
      </c>
      <c r="G4755" s="5" t="str">
        <f>HYPERLINK("https://dpmzos25m8ivg.cloudfront.net/Documentos/631/10967574609/6311096757460908092023163200.pdf","https://dpmzos25m8ivg.cloudfront.net/Documentos/631/10967574609/6311096757460908092023163200.pdf")</f>
        <v>https://dpmzos25m8ivg.cloudfront.net/Documentos/631/10967574609/6311096757460908092023163200.pdf</v>
      </c>
      <c r="H4755" s="5" t="s">
        <v>13329</v>
      </c>
    </row>
    <row r="4756" spans="1:8" x14ac:dyDescent="0.25">
      <c r="A4756" s="2" t="s">
        <v>4779</v>
      </c>
      <c r="B4756" s="3"/>
      <c r="C4756" s="3"/>
      <c r="D4756" s="3"/>
      <c r="E4756" s="5" t="str">
        <f>HYPERLINK("https://dpmzos25m8ivg.cloudfront.net/Documentos/631/10970504675/6311097050467511092023161424.pdf","https://dpmzos25m8ivg.cloudfront.net/Documentos/631/10970504675/6311097050467511092023161424.pdf")</f>
        <v>https://dpmzos25m8ivg.cloudfront.net/Documentos/631/10970504675/6311097050467511092023161424.pdf</v>
      </c>
      <c r="F4756" s="5" t="str">
        <f>HYPERLINK("https://dpmzos25m8ivg.cloudfront.net/Documentos/631/10970504675/6311097050467511092023161439.pdf","https://dpmzos25m8ivg.cloudfront.net/Documentos/631/10970504675/6311097050467511092023161439.pdf")</f>
        <v>https://dpmzos25m8ivg.cloudfront.net/Documentos/631/10970504675/6311097050467511092023161439.pdf</v>
      </c>
      <c r="G4756" s="5" t="str">
        <f>HYPERLINK("https://dpmzos25m8ivg.cloudfront.net/Documentos/631/10970504675/6311097050467513092023234658.pdf","https://dpmzos25m8ivg.cloudfront.net/Documentos/631/10970504675/6311097050467513092023234658.pdf")</f>
        <v>https://dpmzos25m8ivg.cloudfront.net/Documentos/631/10970504675/6311097050467513092023234658.pdf</v>
      </c>
      <c r="H4756" s="5" t="s">
        <v>13330</v>
      </c>
    </row>
    <row r="4757" spans="1:8" x14ac:dyDescent="0.25">
      <c r="A4757" s="2" t="s">
        <v>4780</v>
      </c>
      <c r="B4757" s="3"/>
      <c r="C4757" s="3"/>
      <c r="D4757" s="3"/>
      <c r="E4757" s="5" t="str">
        <f>HYPERLINK("https://dpmzos25m8ivg.cloudfront.net/Documentos/631/10970781407/6311097078140706092023013537.pdf","https://dpmzos25m8ivg.cloudfront.net/Documentos/631/10970781407/6311097078140706092023013537.pdf")</f>
        <v>https://dpmzos25m8ivg.cloudfront.net/Documentos/631/10970781407/6311097078140706092023013537.pdf</v>
      </c>
      <c r="F4757" s="5" t="str">
        <f>HYPERLINK("https://dpmzos25m8ivg.cloudfront.net/Documentos/631/10970781407/6311097078140706092023013635.pdf","https://dpmzos25m8ivg.cloudfront.net/Documentos/631/10970781407/6311097078140706092023013635.pdf")</f>
        <v>https://dpmzos25m8ivg.cloudfront.net/Documentos/631/10970781407/6311097078140706092023013635.pdf</v>
      </c>
      <c r="G4757" s="5" t="str">
        <f>HYPERLINK("https://dpmzos25m8ivg.cloudfront.net/Documentos/631/10970781407/6311097078140706092023013649.pdf","https://dpmzos25m8ivg.cloudfront.net/Documentos/631/10970781407/6311097078140706092023013649.pdf")</f>
        <v>https://dpmzos25m8ivg.cloudfront.net/Documentos/631/10970781407/6311097078140706092023013649.pdf</v>
      </c>
      <c r="H4757" s="5" t="s">
        <v>13331</v>
      </c>
    </row>
    <row r="4758" spans="1:8" x14ac:dyDescent="0.25">
      <c r="A4758" s="2" t="s">
        <v>4781</v>
      </c>
      <c r="B4758" s="3"/>
      <c r="C4758" s="3"/>
      <c r="D4758" s="3"/>
      <c r="E4758" s="5" t="str">
        <f>HYPERLINK("https://dpmzos25m8ivg.cloudfront.net/Documentos/631/10978675878/6311097867587810092023182904.jpg","https://dpmzos25m8ivg.cloudfront.net/Documentos/631/10978675878/6311097867587810092023182904.jpg")</f>
        <v>https://dpmzos25m8ivg.cloudfront.net/Documentos/631/10978675878/6311097867587810092023182904.jpg</v>
      </c>
      <c r="F4758" s="5" t="str">
        <f>HYPERLINK("https://dpmzos25m8ivg.cloudfront.net/Documentos/631/10978675878/6311097867587810092023182925.jpg","https://dpmzos25m8ivg.cloudfront.net/Documentos/631/10978675878/6311097867587810092023182925.jpg")</f>
        <v>https://dpmzos25m8ivg.cloudfront.net/Documentos/631/10978675878/6311097867587810092023182925.jpg</v>
      </c>
      <c r="G4758" s="5" t="str">
        <f>HYPERLINK("https://dpmzos25m8ivg.cloudfront.net/Documentos/631/10978675878/6311097867587810092023182942.jpg","https://dpmzos25m8ivg.cloudfront.net/Documentos/631/10978675878/6311097867587810092023182942.jpg")</f>
        <v>https://dpmzos25m8ivg.cloudfront.net/Documentos/631/10978675878/6311097867587810092023182942.jpg</v>
      </c>
      <c r="H4758" s="5" t="s">
        <v>13332</v>
      </c>
    </row>
    <row r="4759" spans="1:8" x14ac:dyDescent="0.25">
      <c r="A4759" s="2" t="s">
        <v>4782</v>
      </c>
      <c r="B4759" s="3"/>
      <c r="C4759" s="3"/>
      <c r="D4759" s="3"/>
      <c r="E4759" s="5" t="str">
        <f>HYPERLINK("https://dpmzos25m8ivg.cloudfront.net/Documentos/631/10990142477/6311099014247713092023222026.pdf","https://dpmzos25m8ivg.cloudfront.net/Documentos/631/10990142477/6311099014247713092023222026.pdf")</f>
        <v>https://dpmzos25m8ivg.cloudfront.net/Documentos/631/10990142477/6311099014247713092023222026.pdf</v>
      </c>
      <c r="F4759" s="5" t="str">
        <f>HYPERLINK("https://dpmzos25m8ivg.cloudfront.net/Documentos/631/10990142477/6311099014247713092023222047.pdf","https://dpmzos25m8ivg.cloudfront.net/Documentos/631/10990142477/6311099014247713092023222047.pdf")</f>
        <v>https://dpmzos25m8ivg.cloudfront.net/Documentos/631/10990142477/6311099014247713092023222047.pdf</v>
      </c>
      <c r="G4759" s="5" t="str">
        <f>HYPERLINK("https://dpmzos25m8ivg.cloudfront.net/Documentos/631/10990142477/6311099014247713092023222110.pdf","https://dpmzos25m8ivg.cloudfront.net/Documentos/631/10990142477/6311099014247713092023222110.pdf")</f>
        <v>https://dpmzos25m8ivg.cloudfront.net/Documentos/631/10990142477/6311099014247713092023222110.pdf</v>
      </c>
      <c r="H4759" s="5" t="s">
        <v>13333</v>
      </c>
    </row>
    <row r="4760" spans="1:8" x14ac:dyDescent="0.25">
      <c r="A4760" s="2" t="s">
        <v>4783</v>
      </c>
      <c r="B4760" s="3"/>
      <c r="C4760" s="3"/>
      <c r="D4760" s="3"/>
      <c r="E4760" s="5" t="str">
        <f>HYPERLINK("https://dpmzos25m8ivg.cloudfront.net/Documentos/631/10990952479/6311099095247911092023154322.pdf","https://dpmzos25m8ivg.cloudfront.net/Documentos/631/10990952479/6311099095247911092023154322.pdf")</f>
        <v>https://dpmzos25m8ivg.cloudfront.net/Documentos/631/10990952479/6311099095247911092023154322.pdf</v>
      </c>
      <c r="F4760" s="5" t="str">
        <f>HYPERLINK("https://dpmzos25m8ivg.cloudfront.net/Documentos/631/10990952479/6311099095247911092023154354.pdf","https://dpmzos25m8ivg.cloudfront.net/Documentos/631/10990952479/6311099095247911092023154354.pdf")</f>
        <v>https://dpmzos25m8ivg.cloudfront.net/Documentos/631/10990952479/6311099095247911092023154354.pdf</v>
      </c>
      <c r="G4760" s="5" t="str">
        <f>HYPERLINK("https://dpmzos25m8ivg.cloudfront.net/Documentos/631/10990952479/6311099095247911092023154413.pdf","https://dpmzos25m8ivg.cloudfront.net/Documentos/631/10990952479/6311099095247911092023154413.pdf")</f>
        <v>https://dpmzos25m8ivg.cloudfront.net/Documentos/631/10990952479/6311099095247911092023154413.pdf</v>
      </c>
      <c r="H4760" s="5" t="s">
        <v>13334</v>
      </c>
    </row>
    <row r="4761" spans="1:8" x14ac:dyDescent="0.25">
      <c r="A4761" s="2" t="s">
        <v>4784</v>
      </c>
      <c r="B4761" s="3"/>
      <c r="C4761" s="3"/>
      <c r="D4761" s="3"/>
      <c r="E4761" s="5" t="str">
        <f>HYPERLINK("https://dpmzos25m8ivg.cloudfront.net/Documentos/631/10991696905/6311099169690506092023165224.pdf","https://dpmzos25m8ivg.cloudfront.net/Documentos/631/10991696905/6311099169690506092023165224.pdf")</f>
        <v>https://dpmzos25m8ivg.cloudfront.net/Documentos/631/10991696905/6311099169690506092023165224.pdf</v>
      </c>
      <c r="F4761" s="5" t="str">
        <f>HYPERLINK("https://dpmzos25m8ivg.cloudfront.net/Documentos/631/10991696905/6311099169690506092023165234.pdf","https://dpmzos25m8ivg.cloudfront.net/Documentos/631/10991696905/6311099169690506092023165234.pdf")</f>
        <v>https://dpmzos25m8ivg.cloudfront.net/Documentos/631/10991696905/6311099169690506092023165234.pdf</v>
      </c>
      <c r="G4761" s="5" t="str">
        <f>HYPERLINK("https://dpmzos25m8ivg.cloudfront.net/Documentos/631/10991696905/6311099169690506092023165241.pdf","https://dpmzos25m8ivg.cloudfront.net/Documentos/631/10991696905/6311099169690506092023165241.pdf")</f>
        <v>https://dpmzos25m8ivg.cloudfront.net/Documentos/631/10991696905/6311099169690506092023165241.pdf</v>
      </c>
      <c r="H4761" s="5" t="s">
        <v>13335</v>
      </c>
    </row>
    <row r="4762" spans="1:8" x14ac:dyDescent="0.25">
      <c r="A4762" s="2" t="s">
        <v>4785</v>
      </c>
      <c r="B4762" s="3"/>
      <c r="C4762" s="3"/>
      <c r="D4762" s="3"/>
      <c r="E4762" s="5" t="str">
        <f>HYPERLINK("https://dpmzos25m8ivg.cloudfront.net/Documentos/631/10997321660/6311099732166012092023173242.jpeg","https://dpmzos25m8ivg.cloudfront.net/Documentos/631/10997321660/6311099732166012092023173242.jpeg")</f>
        <v>https://dpmzos25m8ivg.cloudfront.net/Documentos/631/10997321660/6311099732166012092023173242.jpeg</v>
      </c>
      <c r="F4762" s="5" t="str">
        <f>HYPERLINK("https://dpmzos25m8ivg.cloudfront.net/Documentos/631/10997321660/6311099732166012092023173300.jpeg","https://dpmzos25m8ivg.cloudfront.net/Documentos/631/10997321660/6311099732166012092023173300.jpeg")</f>
        <v>https://dpmzos25m8ivg.cloudfront.net/Documentos/631/10997321660/6311099732166012092023173300.jpeg</v>
      </c>
      <c r="G4762" s="5" t="str">
        <f>HYPERLINK("https://dpmzos25m8ivg.cloudfront.net/Documentos/631/10997321660/6311099732166012092023173312.jpeg","https://dpmzos25m8ivg.cloudfront.net/Documentos/631/10997321660/6311099732166012092023173312.jpeg")</f>
        <v>https://dpmzos25m8ivg.cloudfront.net/Documentos/631/10997321660/6311099732166012092023173312.jpeg</v>
      </c>
      <c r="H4762" s="5" t="s">
        <v>13336</v>
      </c>
    </row>
    <row r="4763" spans="1:8" x14ac:dyDescent="0.25">
      <c r="A4763" s="2" t="s">
        <v>4786</v>
      </c>
      <c r="B4763" s="3"/>
      <c r="C4763" s="3"/>
      <c r="D4763" s="3"/>
      <c r="E4763" s="5" t="str">
        <f>HYPERLINK("https://dpmzos25m8ivg.cloudfront.net/Documentos/631/10998159832/6311099815983205092023110056.pdf","https://dpmzos25m8ivg.cloudfront.net/Documentos/631/10998159832/6311099815983205092023110056.pdf")</f>
        <v>https://dpmzos25m8ivg.cloudfront.net/Documentos/631/10998159832/6311099815983205092023110056.pdf</v>
      </c>
      <c r="F4763" s="5" t="str">
        <f>HYPERLINK("https://dpmzos25m8ivg.cloudfront.net/Documentos/631/10998159832/6311099815983205092023110108.pdf","https://dpmzos25m8ivg.cloudfront.net/Documentos/631/10998159832/6311099815983205092023110108.pdf")</f>
        <v>https://dpmzos25m8ivg.cloudfront.net/Documentos/631/10998159832/6311099815983205092023110108.pdf</v>
      </c>
      <c r="G4763" s="5" t="str">
        <f>HYPERLINK("https://dpmzos25m8ivg.cloudfront.net/Documentos/631/10998159832/6311099815983205092023110118.pdf","https://dpmzos25m8ivg.cloudfront.net/Documentos/631/10998159832/6311099815983205092023110118.pdf")</f>
        <v>https://dpmzos25m8ivg.cloudfront.net/Documentos/631/10998159832/6311099815983205092023110118.pdf</v>
      </c>
      <c r="H4763" s="5" t="s">
        <v>13337</v>
      </c>
    </row>
    <row r="4764" spans="1:8" x14ac:dyDescent="0.25">
      <c r="A4764" s="2" t="s">
        <v>4787</v>
      </c>
      <c r="B4764" s="3"/>
      <c r="C4764" s="3"/>
      <c r="D4764" s="3"/>
      <c r="E4764" s="5" t="str">
        <f>HYPERLINK("https://dpmzos25m8ivg.cloudfront.net/Documentos/631/11002179408/6311100217940811092023165538.pdf","https://dpmzos25m8ivg.cloudfront.net/Documentos/631/11002179408/6311100217940811092023165538.pdf")</f>
        <v>https://dpmzos25m8ivg.cloudfront.net/Documentos/631/11002179408/6311100217940811092023165538.pdf</v>
      </c>
      <c r="F4764" s="5" t="str">
        <f>HYPERLINK("https://dpmzos25m8ivg.cloudfront.net/Documentos/631/11002179408/6311100217940811092023165544.pdf","https://dpmzos25m8ivg.cloudfront.net/Documentos/631/11002179408/6311100217940811092023165544.pdf")</f>
        <v>https://dpmzos25m8ivg.cloudfront.net/Documentos/631/11002179408/6311100217940811092023165544.pdf</v>
      </c>
      <c r="G4764" s="5" t="str">
        <f>HYPERLINK("https://dpmzos25m8ivg.cloudfront.net/Documentos/631/11002179408/6311100217940811092023165552.pdf","https://dpmzos25m8ivg.cloudfront.net/Documentos/631/11002179408/6311100217940811092023165552.pdf")</f>
        <v>https://dpmzos25m8ivg.cloudfront.net/Documentos/631/11002179408/6311100217940811092023165552.pdf</v>
      </c>
      <c r="H4764" s="5" t="s">
        <v>13338</v>
      </c>
    </row>
    <row r="4765" spans="1:8" x14ac:dyDescent="0.25">
      <c r="A4765" s="2" t="s">
        <v>4788</v>
      </c>
      <c r="B4765" s="3"/>
      <c r="C4765" s="3"/>
      <c r="D4765" s="3"/>
      <c r="E4765" s="5" t="str">
        <f>HYPERLINK("https://dpmzos25m8ivg.cloudfront.net/Documentos/631/11002610443/6311100261044307092023211936.jpeg","https://dpmzos25m8ivg.cloudfront.net/Documentos/631/11002610443/6311100261044307092023211936.jpeg")</f>
        <v>https://dpmzos25m8ivg.cloudfront.net/Documentos/631/11002610443/6311100261044307092023211936.jpeg</v>
      </c>
      <c r="F4765" s="5" t="str">
        <f>HYPERLINK("https://dpmzos25m8ivg.cloudfront.net/Documentos/631/11002610443/6311100261044307092023211945.jpeg","https://dpmzos25m8ivg.cloudfront.net/Documentos/631/11002610443/6311100261044307092023211945.jpeg")</f>
        <v>https://dpmzos25m8ivg.cloudfront.net/Documentos/631/11002610443/6311100261044307092023211945.jpeg</v>
      </c>
      <c r="G4765" s="5" t="str">
        <f>HYPERLINK("https://dpmzos25m8ivg.cloudfront.net/Documentos/631/11002610443/6311100261044307092023211954.jpeg","https://dpmzos25m8ivg.cloudfront.net/Documentos/631/11002610443/6311100261044307092023211954.jpeg")</f>
        <v>https://dpmzos25m8ivg.cloudfront.net/Documentos/631/11002610443/6311100261044307092023211954.jpeg</v>
      </c>
      <c r="H4765" s="5" t="s">
        <v>13339</v>
      </c>
    </row>
    <row r="4766" spans="1:8" x14ac:dyDescent="0.25">
      <c r="A4766" s="2" t="s">
        <v>4789</v>
      </c>
      <c r="B4766" s="3"/>
      <c r="C4766" s="3"/>
      <c r="D4766" s="3"/>
      <c r="E4766" s="5" t="str">
        <f>HYPERLINK("https://dpmzos25m8ivg.cloudfront.net/Documentos/631/11019785896/6311101978589606092023212704.pdf","https://dpmzos25m8ivg.cloudfront.net/Documentos/631/11019785896/6311101978589606092023212704.pdf")</f>
        <v>https://dpmzos25m8ivg.cloudfront.net/Documentos/631/11019785896/6311101978589606092023212704.pdf</v>
      </c>
      <c r="F4766" s="5" t="str">
        <f>HYPERLINK("https://dpmzos25m8ivg.cloudfront.net/Documentos/631/11019785896/6311101978589606092023212733.pdf","https://dpmzos25m8ivg.cloudfront.net/Documentos/631/11019785896/6311101978589606092023212733.pdf")</f>
        <v>https://dpmzos25m8ivg.cloudfront.net/Documentos/631/11019785896/6311101978589606092023212733.pdf</v>
      </c>
      <c r="G4766" s="5" t="str">
        <f>HYPERLINK("https://dpmzos25m8ivg.cloudfront.net/Documentos/631/11019785896/6311101978589606092023212755.pdf","https://dpmzos25m8ivg.cloudfront.net/Documentos/631/11019785896/6311101978589606092023212755.pdf")</f>
        <v>https://dpmzos25m8ivg.cloudfront.net/Documentos/631/11019785896/6311101978589606092023212755.pdf</v>
      </c>
      <c r="H4766" s="5" t="s">
        <v>13340</v>
      </c>
    </row>
    <row r="4767" spans="1:8" x14ac:dyDescent="0.25">
      <c r="A4767" s="2" t="s">
        <v>4790</v>
      </c>
      <c r="B4767" s="3"/>
      <c r="C4767" s="3"/>
      <c r="D4767" s="3"/>
      <c r="E4767" s="5" t="str">
        <f>HYPERLINK("https://dpmzos25m8ivg.cloudfront.net/Documentos/631/11019920424/6311101992042405092023092227.pdf","https://dpmzos25m8ivg.cloudfront.net/Documentos/631/11019920424/6311101992042405092023092227.pdf")</f>
        <v>https://dpmzos25m8ivg.cloudfront.net/Documentos/631/11019920424/6311101992042405092023092227.pdf</v>
      </c>
      <c r="F4767" s="5" t="str">
        <f>HYPERLINK("https://dpmzos25m8ivg.cloudfront.net/Documentos/631/11019920424/6311101992042405092023092235.pdf","https://dpmzos25m8ivg.cloudfront.net/Documentos/631/11019920424/6311101992042405092023092235.pdf")</f>
        <v>https://dpmzos25m8ivg.cloudfront.net/Documentos/631/11019920424/6311101992042405092023092235.pdf</v>
      </c>
      <c r="G4767" s="5" t="str">
        <f>HYPERLINK("https://dpmzos25m8ivg.cloudfront.net/Documentos/631/11019920424/6311101992042405092023092244.pdf","https://dpmzos25m8ivg.cloudfront.net/Documentos/631/11019920424/6311101992042405092023092244.pdf")</f>
        <v>https://dpmzos25m8ivg.cloudfront.net/Documentos/631/11019920424/6311101992042405092023092244.pdf</v>
      </c>
      <c r="H4767" s="5" t="s">
        <v>13341</v>
      </c>
    </row>
    <row r="4768" spans="1:8" x14ac:dyDescent="0.25">
      <c r="A4768" s="2" t="s">
        <v>4791</v>
      </c>
      <c r="B4768" s="3"/>
      <c r="C4768" s="3"/>
      <c r="D4768" s="3"/>
      <c r="E4768" s="5" t="str">
        <f>HYPERLINK("https://dpmzos25m8ivg.cloudfront.net/Documentos/631/11022324675/6311102232467508092023142347.pdf","https://dpmzos25m8ivg.cloudfront.net/Documentos/631/11022324675/6311102232467508092023142347.pdf")</f>
        <v>https://dpmzos25m8ivg.cloudfront.net/Documentos/631/11022324675/6311102232467508092023142347.pdf</v>
      </c>
      <c r="F4768" s="5" t="str">
        <f>HYPERLINK("https://dpmzos25m8ivg.cloudfront.net/Documentos/631/11022324675/6311102232467508092023142422.pdf","https://dpmzos25m8ivg.cloudfront.net/Documentos/631/11022324675/6311102232467508092023142422.pdf")</f>
        <v>https://dpmzos25m8ivg.cloudfront.net/Documentos/631/11022324675/6311102232467508092023142422.pdf</v>
      </c>
      <c r="G4768" s="5" t="str">
        <f>HYPERLINK("https://dpmzos25m8ivg.cloudfront.net/Documentos/631/11022324675/6311102232467508092023142448.pdf","https://dpmzos25m8ivg.cloudfront.net/Documentos/631/11022324675/6311102232467508092023142448.pdf")</f>
        <v>https://dpmzos25m8ivg.cloudfront.net/Documentos/631/11022324675/6311102232467508092023142448.pdf</v>
      </c>
      <c r="H4768" s="5" t="s">
        <v>13342</v>
      </c>
    </row>
    <row r="4769" spans="1:8" x14ac:dyDescent="0.25">
      <c r="A4769" s="2" t="s">
        <v>4792</v>
      </c>
      <c r="B4769" s="3"/>
      <c r="C4769" s="3"/>
      <c r="D4769" s="3"/>
      <c r="E4769" s="5" t="str">
        <f>HYPERLINK("https://dpmzos25m8ivg.cloudfront.net/Documentos/631/11025127706/6311102512770614092023155930.jpg","https://dpmzos25m8ivg.cloudfront.net/Documentos/631/11025127706/6311102512770614092023155930.jpg")</f>
        <v>https://dpmzos25m8ivg.cloudfront.net/Documentos/631/11025127706/6311102512770614092023155930.jpg</v>
      </c>
      <c r="F4769" s="5" t="str">
        <f>HYPERLINK("https://dpmzos25m8ivg.cloudfront.net/Documentos/631/11025127706/6311102512770614092023155949.jpg","https://dpmzos25m8ivg.cloudfront.net/Documentos/631/11025127706/6311102512770614092023155949.jpg")</f>
        <v>https://dpmzos25m8ivg.cloudfront.net/Documentos/631/11025127706/6311102512770614092023155949.jpg</v>
      </c>
      <c r="G4769" s="5" t="str">
        <f>HYPERLINK("https://dpmzos25m8ivg.cloudfront.net/Documentos/631/11025127706/6311102512770614092023160006.jpg","https://dpmzos25m8ivg.cloudfront.net/Documentos/631/11025127706/6311102512770614092023160006.jpg")</f>
        <v>https://dpmzos25m8ivg.cloudfront.net/Documentos/631/11025127706/6311102512770614092023160006.jpg</v>
      </c>
      <c r="H4769" s="5" t="s">
        <v>13343</v>
      </c>
    </row>
    <row r="4770" spans="1:8" x14ac:dyDescent="0.25">
      <c r="A4770" s="2" t="s">
        <v>4793</v>
      </c>
      <c r="B4770" s="3"/>
      <c r="C4770" s="3"/>
      <c r="D4770" s="3"/>
      <c r="E4770" s="5" t="str">
        <f>HYPERLINK("https://dpmzos25m8ivg.cloudfront.net/Documentos/631/11027966462/6311102796646213092023214820.jpg","https://dpmzos25m8ivg.cloudfront.net/Documentos/631/11027966462/6311102796646213092023214820.jpg")</f>
        <v>https://dpmzos25m8ivg.cloudfront.net/Documentos/631/11027966462/6311102796646213092023214820.jpg</v>
      </c>
      <c r="F4770" s="5" t="str">
        <f>HYPERLINK("https://dpmzos25m8ivg.cloudfront.net/Documentos/631/11027966462/6311102796646213092023214702.jpg","https://dpmzos25m8ivg.cloudfront.net/Documentos/631/11027966462/6311102796646213092023214702.jpg")</f>
        <v>https://dpmzos25m8ivg.cloudfront.net/Documentos/631/11027966462/6311102796646213092023214702.jpg</v>
      </c>
      <c r="G4770" s="5" t="str">
        <f>HYPERLINK("https://dpmzos25m8ivg.cloudfront.net/Documentos/631/11027966462/6311102796646213092023214850.jpg","https://dpmzos25m8ivg.cloudfront.net/Documentos/631/11027966462/6311102796646213092023214850.jpg")</f>
        <v>https://dpmzos25m8ivg.cloudfront.net/Documentos/631/11027966462/6311102796646213092023214850.jpg</v>
      </c>
      <c r="H4770" s="5" t="s">
        <v>13344</v>
      </c>
    </row>
    <row r="4771" spans="1:8" x14ac:dyDescent="0.25">
      <c r="A4771" s="2" t="s">
        <v>4794</v>
      </c>
      <c r="B4771" s="3"/>
      <c r="C4771" s="3"/>
      <c r="D4771" s="3"/>
      <c r="E4771" s="5" t="str">
        <f>HYPERLINK("https://dpmzos25m8ivg.cloudfront.net/Documentos/631/11030354448/6311103035444806092023140644.pdf","https://dpmzos25m8ivg.cloudfront.net/Documentos/631/11030354448/6311103035444806092023140644.pdf")</f>
        <v>https://dpmzos25m8ivg.cloudfront.net/Documentos/631/11030354448/6311103035444806092023140644.pdf</v>
      </c>
      <c r="F4771" s="5" t="str">
        <f>HYPERLINK("https://dpmzos25m8ivg.cloudfront.net/Documentos/631/11030354448/6311103035444806092023140619.pdf","https://dpmzos25m8ivg.cloudfront.net/Documentos/631/11030354448/6311103035444806092023140619.pdf")</f>
        <v>https://dpmzos25m8ivg.cloudfront.net/Documentos/631/11030354448/6311103035444806092023140619.pdf</v>
      </c>
      <c r="G4771" s="5" t="str">
        <f>HYPERLINK("https://dpmzos25m8ivg.cloudfront.net/Documentos/631/11030354448/6311103035444806092023140603.pdf","https://dpmzos25m8ivg.cloudfront.net/Documentos/631/11030354448/6311103035444806092023140603.pdf")</f>
        <v>https://dpmzos25m8ivg.cloudfront.net/Documentos/631/11030354448/6311103035444806092023140603.pdf</v>
      </c>
      <c r="H4771" s="5" t="s">
        <v>13345</v>
      </c>
    </row>
    <row r="4772" spans="1:8" x14ac:dyDescent="0.25">
      <c r="A4772" s="2" t="s">
        <v>4795</v>
      </c>
      <c r="B4772" s="3"/>
      <c r="C4772" s="3"/>
      <c r="D4772" s="3"/>
      <c r="E4772" s="5" t="str">
        <f>HYPERLINK("https://dpmzos25m8ivg.cloudfront.net/Documentos/631/11035270455/6311103527045506092023144309.pdf","https://dpmzos25m8ivg.cloudfront.net/Documentos/631/11035270455/6311103527045506092023144309.pdf")</f>
        <v>https://dpmzos25m8ivg.cloudfront.net/Documentos/631/11035270455/6311103527045506092023144309.pdf</v>
      </c>
      <c r="F4772" s="5" t="str">
        <f>HYPERLINK("https://dpmzos25m8ivg.cloudfront.net/Documentos/631/11035270455/6311103527045506092023145004.pdf","https://dpmzos25m8ivg.cloudfront.net/Documentos/631/11035270455/6311103527045506092023145004.pdf")</f>
        <v>https://dpmzos25m8ivg.cloudfront.net/Documentos/631/11035270455/6311103527045506092023145004.pdf</v>
      </c>
      <c r="G4772" s="5" t="str">
        <f>HYPERLINK("https://dpmzos25m8ivg.cloudfront.net/Documentos/631/11035270455/6311103527045506092023145014.pdf","https://dpmzos25m8ivg.cloudfront.net/Documentos/631/11035270455/6311103527045506092023145014.pdf")</f>
        <v>https://dpmzos25m8ivg.cloudfront.net/Documentos/631/11035270455/6311103527045506092023145014.pdf</v>
      </c>
      <c r="H4772" s="5" t="s">
        <v>13346</v>
      </c>
    </row>
    <row r="4773" spans="1:8" x14ac:dyDescent="0.25">
      <c r="A4773" s="2" t="s">
        <v>4796</v>
      </c>
      <c r="B4773" s="3"/>
      <c r="C4773" s="3"/>
      <c r="D4773" s="3"/>
      <c r="E4773" s="5" t="str">
        <f>HYPERLINK("https://dpmzos25m8ivg.cloudfront.net/Documentos/631/11035726793/6311103572679311092023142556.pdf","https://dpmzos25m8ivg.cloudfront.net/Documentos/631/11035726793/6311103572679311092023142556.pdf")</f>
        <v>https://dpmzos25m8ivg.cloudfront.net/Documentos/631/11035726793/6311103572679311092023142556.pdf</v>
      </c>
      <c r="F4773" s="5" t="str">
        <f>HYPERLINK("https://dpmzos25m8ivg.cloudfront.net/Documentos/631/11035726793/6311103572679311092023142605.pdf","https://dpmzos25m8ivg.cloudfront.net/Documentos/631/11035726793/6311103572679311092023142605.pdf")</f>
        <v>https://dpmzos25m8ivg.cloudfront.net/Documentos/631/11035726793/6311103572679311092023142605.pdf</v>
      </c>
      <c r="G4773" s="5" t="str">
        <f>HYPERLINK("https://dpmzos25m8ivg.cloudfront.net/Documentos/631/11035726793/6311103572679311092023142615.pdf","https://dpmzos25m8ivg.cloudfront.net/Documentos/631/11035726793/6311103572679311092023142615.pdf")</f>
        <v>https://dpmzos25m8ivg.cloudfront.net/Documentos/631/11035726793/6311103572679311092023142615.pdf</v>
      </c>
      <c r="H4773" s="5" t="s">
        <v>13347</v>
      </c>
    </row>
    <row r="4774" spans="1:8" x14ac:dyDescent="0.25">
      <c r="A4774" s="2" t="s">
        <v>4797</v>
      </c>
      <c r="B4774" s="3"/>
      <c r="C4774" s="3"/>
      <c r="D4774" s="3"/>
      <c r="E4774" s="5" t="str">
        <f>HYPERLINK("https://dpmzos25m8ivg.cloudfront.net/Documentos/631/11039791913/6311103979191311092023095437.jpeg","https://dpmzos25m8ivg.cloudfront.net/Documentos/631/11039791913/6311103979191311092023095437.jpeg")</f>
        <v>https://dpmzos25m8ivg.cloudfront.net/Documentos/631/11039791913/6311103979191311092023095437.jpeg</v>
      </c>
      <c r="F4774" s="5" t="str">
        <f>HYPERLINK("https://dpmzos25m8ivg.cloudfront.net/Documentos/631/11039791913/6311103979191311092023095501.jpeg","https://dpmzos25m8ivg.cloudfront.net/Documentos/631/11039791913/6311103979191311092023095501.jpeg")</f>
        <v>https://dpmzos25m8ivg.cloudfront.net/Documentos/631/11039791913/6311103979191311092023095501.jpeg</v>
      </c>
      <c r="G4774" s="5" t="str">
        <f>HYPERLINK("https://dpmzos25m8ivg.cloudfront.net/Documentos/631/11039791913/6311103979191311092023095511.jpeg","https://dpmzos25m8ivg.cloudfront.net/Documentos/631/11039791913/6311103979191311092023095511.jpeg")</f>
        <v>https://dpmzos25m8ivg.cloudfront.net/Documentos/631/11039791913/6311103979191311092023095511.jpeg</v>
      </c>
      <c r="H4774" s="5" t="s">
        <v>13348</v>
      </c>
    </row>
    <row r="4775" spans="1:8" x14ac:dyDescent="0.25">
      <c r="A4775" s="2" t="s">
        <v>4798</v>
      </c>
      <c r="B4775" s="3"/>
      <c r="C4775" s="3"/>
      <c r="D4775" s="3"/>
      <c r="E4775" s="5" t="str">
        <f>HYPERLINK("https://dpmzos25m8ivg.cloudfront.net/Documentos/631/11041409427/6311104140942711092023155550.jpg","https://dpmzos25m8ivg.cloudfront.net/Documentos/631/11041409427/6311104140942711092023155550.jpg")</f>
        <v>https://dpmzos25m8ivg.cloudfront.net/Documentos/631/11041409427/6311104140942711092023155550.jpg</v>
      </c>
      <c r="F4775" s="5" t="str">
        <f>HYPERLINK("https://dpmzos25m8ivg.cloudfront.net/Documentos/631/11041409427/6311104140942711092023155600.jpg","https://dpmzos25m8ivg.cloudfront.net/Documentos/631/11041409427/6311104140942711092023155600.jpg")</f>
        <v>https://dpmzos25m8ivg.cloudfront.net/Documentos/631/11041409427/6311104140942711092023155600.jpg</v>
      </c>
      <c r="G4775" s="5" t="str">
        <f>HYPERLINK("https://dpmzos25m8ivg.cloudfront.net/Documentos/631/11041409427/6311104140942711092023155609.jpg","https://dpmzos25m8ivg.cloudfront.net/Documentos/631/11041409427/6311104140942711092023155609.jpg")</f>
        <v>https://dpmzos25m8ivg.cloudfront.net/Documentos/631/11041409427/6311104140942711092023155609.jpg</v>
      </c>
      <c r="H4775" s="5" t="s">
        <v>13349</v>
      </c>
    </row>
    <row r="4776" spans="1:8" x14ac:dyDescent="0.25">
      <c r="A4776" s="2" t="s">
        <v>4799</v>
      </c>
      <c r="B4776" s="3"/>
      <c r="C4776" s="3"/>
      <c r="D4776" s="3"/>
      <c r="E4776" s="5" t="str">
        <f>HYPERLINK("https://dpmzos25m8ivg.cloudfront.net/Documentos/631/11041703961/6311104170396111092023110225.pdf","https://dpmzos25m8ivg.cloudfront.net/Documentos/631/11041703961/6311104170396111092023110225.pdf")</f>
        <v>https://dpmzos25m8ivg.cloudfront.net/Documentos/631/11041703961/6311104170396111092023110225.pdf</v>
      </c>
      <c r="F4776" s="5" t="str">
        <f>HYPERLINK("https://dpmzos25m8ivg.cloudfront.net/Documentos/631/11041703961/6311104170396111092023110240.pdf","https://dpmzos25m8ivg.cloudfront.net/Documentos/631/11041703961/6311104170396111092023110240.pdf")</f>
        <v>https://dpmzos25m8ivg.cloudfront.net/Documentos/631/11041703961/6311104170396111092023110240.pdf</v>
      </c>
      <c r="G4776" s="5" t="str">
        <f>HYPERLINK("https://dpmzos25m8ivg.cloudfront.net/Documentos/631/11041703961/6311104170396111092023110253.pdf","https://dpmzos25m8ivg.cloudfront.net/Documentos/631/11041703961/6311104170396111092023110253.pdf")</f>
        <v>https://dpmzos25m8ivg.cloudfront.net/Documentos/631/11041703961/6311104170396111092023110253.pdf</v>
      </c>
      <c r="H4776" s="5" t="s">
        <v>13350</v>
      </c>
    </row>
    <row r="4777" spans="1:8" x14ac:dyDescent="0.25">
      <c r="A4777" s="2" t="s">
        <v>4800</v>
      </c>
      <c r="B4777" s="3"/>
      <c r="C4777" s="3"/>
      <c r="D4777" s="3"/>
      <c r="E4777" s="5" t="str">
        <f>HYPERLINK("https://dpmzos25m8ivg.cloudfront.net/Documentos/631/11042556695/6311104255669506092023113142.pdf","https://dpmzos25m8ivg.cloudfront.net/Documentos/631/11042556695/6311104255669506092023113142.pdf")</f>
        <v>https://dpmzos25m8ivg.cloudfront.net/Documentos/631/11042556695/6311104255669506092023113142.pdf</v>
      </c>
      <c r="F4777" s="5" t="str">
        <f>HYPERLINK("https://dpmzos25m8ivg.cloudfront.net/Documentos/631/11042556695/6311104255669506092023113206.pdf","https://dpmzos25m8ivg.cloudfront.net/Documentos/631/11042556695/6311104255669506092023113206.pdf")</f>
        <v>https://dpmzos25m8ivg.cloudfront.net/Documentos/631/11042556695/6311104255669506092023113206.pdf</v>
      </c>
      <c r="G4777" s="5" t="str">
        <f>HYPERLINK("https://dpmzos25m8ivg.cloudfront.net/Documentos/631/11042556695/6311104255669506092023113254.pdf","https://dpmzos25m8ivg.cloudfront.net/Documentos/631/11042556695/6311104255669506092023113254.pdf")</f>
        <v>https://dpmzos25m8ivg.cloudfront.net/Documentos/631/11042556695/6311104255669506092023113254.pdf</v>
      </c>
      <c r="H4777" s="5" t="s">
        <v>13351</v>
      </c>
    </row>
    <row r="4778" spans="1:8" x14ac:dyDescent="0.25">
      <c r="A4778" s="2" t="s">
        <v>4801</v>
      </c>
      <c r="B4778" s="3"/>
      <c r="C4778" s="3"/>
      <c r="D4778" s="3"/>
      <c r="E4778" s="5" t="str">
        <f>HYPERLINK("https://dpmzos25m8ivg.cloudfront.net/Documentos/631/11043730923/6311104373092308092023074122.pdf","https://dpmzos25m8ivg.cloudfront.net/Documentos/631/11043730923/6311104373092308092023074122.pdf")</f>
        <v>https://dpmzos25m8ivg.cloudfront.net/Documentos/631/11043730923/6311104373092308092023074122.pdf</v>
      </c>
      <c r="F4778" s="5" t="str">
        <f>HYPERLINK("https://dpmzos25m8ivg.cloudfront.net/Documentos/631/11043730923/6311104373092308092023074135.pdf","https://dpmzos25m8ivg.cloudfront.net/Documentos/631/11043730923/6311104373092308092023074135.pdf")</f>
        <v>https://dpmzos25m8ivg.cloudfront.net/Documentos/631/11043730923/6311104373092308092023074135.pdf</v>
      </c>
      <c r="G4778" s="5" t="str">
        <f>HYPERLINK("https://dpmzos25m8ivg.cloudfront.net/Documentos/631/11043730923/6311104373092308092023074146.pdf","https://dpmzos25m8ivg.cloudfront.net/Documentos/631/11043730923/6311104373092308092023074146.pdf")</f>
        <v>https://dpmzos25m8ivg.cloudfront.net/Documentos/631/11043730923/6311104373092308092023074146.pdf</v>
      </c>
      <c r="H4778" s="5" t="s">
        <v>13352</v>
      </c>
    </row>
    <row r="4779" spans="1:8" x14ac:dyDescent="0.25">
      <c r="A4779" s="2" t="s">
        <v>4802</v>
      </c>
      <c r="B4779" s="3"/>
      <c r="C4779" s="3"/>
      <c r="D4779" s="3"/>
      <c r="E4779" s="5" t="str">
        <f>HYPERLINK("https://dpmzos25m8ivg.cloudfront.net/Documentos/631/11045184659/6311104518465913092023144446.pdf","https://dpmzos25m8ivg.cloudfront.net/Documentos/631/11045184659/6311104518465913092023144446.pdf")</f>
        <v>https://dpmzos25m8ivg.cloudfront.net/Documentos/631/11045184659/6311104518465913092023144446.pdf</v>
      </c>
      <c r="F4779" s="5" t="str">
        <f>HYPERLINK("https://dpmzos25m8ivg.cloudfront.net/Documentos/631/11045184659/6311104518465913092023144459.pdf","https://dpmzos25m8ivg.cloudfront.net/Documentos/631/11045184659/6311104518465913092023144459.pdf")</f>
        <v>https://dpmzos25m8ivg.cloudfront.net/Documentos/631/11045184659/6311104518465913092023144459.pdf</v>
      </c>
      <c r="G4779" s="5" t="str">
        <f>HYPERLINK("https://dpmzos25m8ivg.cloudfront.net/Documentos/631/11045184659/6311104518465913092023144511.pdf","https://dpmzos25m8ivg.cloudfront.net/Documentos/631/11045184659/6311104518465913092023144511.pdf")</f>
        <v>https://dpmzos25m8ivg.cloudfront.net/Documentos/631/11045184659/6311104518465913092023144511.pdf</v>
      </c>
      <c r="H4779" s="5" t="s">
        <v>13353</v>
      </c>
    </row>
    <row r="4780" spans="1:8" x14ac:dyDescent="0.25">
      <c r="A4780" s="2" t="s">
        <v>4803</v>
      </c>
      <c r="B4780" s="3"/>
      <c r="C4780" s="3"/>
      <c r="D4780" s="3"/>
      <c r="E4780" s="5" t="str">
        <f>HYPERLINK("https://dpmzos25m8ivg.cloudfront.net/Documentos/631/11049633458/6311104963345811092023151606.pdf","https://dpmzos25m8ivg.cloudfront.net/Documentos/631/11049633458/6311104963345811092023151606.pdf")</f>
        <v>https://dpmzos25m8ivg.cloudfront.net/Documentos/631/11049633458/6311104963345811092023151606.pdf</v>
      </c>
      <c r="F4780" s="5" t="str">
        <f>HYPERLINK("https://dpmzos25m8ivg.cloudfront.net/Documentos/631/11049633458/6311104963345811092023151620.pdf","https://dpmzos25m8ivg.cloudfront.net/Documentos/631/11049633458/6311104963345811092023151620.pdf")</f>
        <v>https://dpmzos25m8ivg.cloudfront.net/Documentos/631/11049633458/6311104963345811092023151620.pdf</v>
      </c>
      <c r="G4780" s="5" t="str">
        <f>HYPERLINK("https://dpmzos25m8ivg.cloudfront.net/Documentos/631/11049633458/6311104963345811092023151636.pdf","https://dpmzos25m8ivg.cloudfront.net/Documentos/631/11049633458/6311104963345811092023151636.pdf")</f>
        <v>https://dpmzos25m8ivg.cloudfront.net/Documentos/631/11049633458/6311104963345811092023151636.pdf</v>
      </c>
      <c r="H4780" s="5" t="s">
        <v>13354</v>
      </c>
    </row>
    <row r="4781" spans="1:8" x14ac:dyDescent="0.25">
      <c r="A4781" s="2" t="s">
        <v>4804</v>
      </c>
      <c r="B4781" s="3"/>
      <c r="C4781" s="3"/>
      <c r="D4781" s="3"/>
      <c r="E4781" s="5" t="str">
        <f>HYPERLINK("https://dpmzos25m8ivg.cloudfront.net/Documentos/631/11051764602/6311105176460211092023110432.pdf","https://dpmzos25m8ivg.cloudfront.net/Documentos/631/11051764602/6311105176460211092023110432.pdf")</f>
        <v>https://dpmzos25m8ivg.cloudfront.net/Documentos/631/11051764602/6311105176460211092023110432.pdf</v>
      </c>
      <c r="F4781" s="5" t="str">
        <f>HYPERLINK("https://dpmzos25m8ivg.cloudfront.net/Documentos/631/11051764602/6311105176460211092023110454.pdf","https://dpmzos25m8ivg.cloudfront.net/Documentos/631/11051764602/6311105176460211092023110454.pdf")</f>
        <v>https://dpmzos25m8ivg.cloudfront.net/Documentos/631/11051764602/6311105176460211092023110454.pdf</v>
      </c>
      <c r="G4781" s="5" t="str">
        <f>HYPERLINK("https://dpmzos25m8ivg.cloudfront.net/Documentos/631/11051764602/6311105176460211092023110518.pdf","https://dpmzos25m8ivg.cloudfront.net/Documentos/631/11051764602/6311105176460211092023110518.pdf")</f>
        <v>https://dpmzos25m8ivg.cloudfront.net/Documentos/631/11051764602/6311105176460211092023110518.pdf</v>
      </c>
      <c r="H4781" s="5" t="s">
        <v>13355</v>
      </c>
    </row>
    <row r="4782" spans="1:8" x14ac:dyDescent="0.25">
      <c r="A4782" s="2" t="s">
        <v>4805</v>
      </c>
      <c r="B4782" s="3" t="s">
        <v>23</v>
      </c>
      <c r="C4782" s="3"/>
      <c r="D4782" s="3"/>
      <c r="E4782" s="5" t="str">
        <f>HYPERLINK("https://dpmzos25m8ivg.cloudfront.net/Documentos/631/11053404735/6311105340473505092023094931.jpg","https://dpmzos25m8ivg.cloudfront.net/Documentos/631/11053404735/6311105340473505092023094931.jpg")</f>
        <v>https://dpmzos25m8ivg.cloudfront.net/Documentos/631/11053404735/6311105340473505092023094931.jpg</v>
      </c>
      <c r="F4782" s="5" t="str">
        <f>HYPERLINK("https://dpmzos25m8ivg.cloudfront.net/Documentos/631/11053404735/6311105340473505092023094941.jpg","https://dpmzos25m8ivg.cloudfront.net/Documentos/631/11053404735/6311105340473505092023094941.jpg")</f>
        <v>https://dpmzos25m8ivg.cloudfront.net/Documentos/631/11053404735/6311105340473505092023094941.jpg</v>
      </c>
      <c r="G4782" s="5" t="str">
        <f>HYPERLINK("https://dpmzos25m8ivg.cloudfront.net/Documentos/631/11053404735/6311105340473505092023094949.jpg","https://dpmzos25m8ivg.cloudfront.net/Documentos/631/11053404735/6311105340473505092023094949.jpg")</f>
        <v>https://dpmzos25m8ivg.cloudfront.net/Documentos/631/11053404735/6311105340473505092023094949.jpg</v>
      </c>
      <c r="H4782" s="5" t="s">
        <v>13356</v>
      </c>
    </row>
    <row r="4783" spans="1:8" x14ac:dyDescent="0.25">
      <c r="A4783" s="2" t="s">
        <v>4806</v>
      </c>
      <c r="B4783" s="3"/>
      <c r="C4783" s="3"/>
      <c r="D4783" s="3"/>
      <c r="E4783" s="5" t="str">
        <f>HYPERLINK("https://dpmzos25m8ivg.cloudfront.net/Documentos/631/11060189402/6311106018940207092023161229.jpg","https://dpmzos25m8ivg.cloudfront.net/Documentos/631/11060189402/6311106018940207092023161229.jpg")</f>
        <v>https://dpmzos25m8ivg.cloudfront.net/Documentos/631/11060189402/6311106018940207092023161229.jpg</v>
      </c>
      <c r="F4783" s="5" t="str">
        <f>HYPERLINK("https://dpmzos25m8ivg.cloudfront.net/Documentos/631/11060189402/6311106018940207092023161251.jpg","https://dpmzos25m8ivg.cloudfront.net/Documentos/631/11060189402/6311106018940207092023161251.jpg")</f>
        <v>https://dpmzos25m8ivg.cloudfront.net/Documentos/631/11060189402/6311106018940207092023161251.jpg</v>
      </c>
      <c r="G4783" s="5" t="str">
        <f>HYPERLINK("https://dpmzos25m8ivg.cloudfront.net/Documentos/631/11060189402/6311106018940207092023161324.jpg","https://dpmzos25m8ivg.cloudfront.net/Documentos/631/11060189402/6311106018940207092023161324.jpg")</f>
        <v>https://dpmzos25m8ivg.cloudfront.net/Documentos/631/11060189402/6311106018940207092023161324.jpg</v>
      </c>
      <c r="H4783" s="5" t="s">
        <v>13357</v>
      </c>
    </row>
    <row r="4784" spans="1:8" x14ac:dyDescent="0.25">
      <c r="A4784" s="2" t="s">
        <v>4807</v>
      </c>
      <c r="B4784" s="3"/>
      <c r="C4784" s="3"/>
      <c r="D4784" s="3"/>
      <c r="E4784" s="5" t="str">
        <f>HYPERLINK("https://dpmzos25m8ivg.cloudfront.net/Documentos/631/11067719407/6311106771940711092023143536.jpeg","https://dpmzos25m8ivg.cloudfront.net/Documentos/631/11067719407/6311106771940711092023143536.jpeg")</f>
        <v>https://dpmzos25m8ivg.cloudfront.net/Documentos/631/11067719407/6311106771940711092023143536.jpeg</v>
      </c>
      <c r="F4784" s="5" t="str">
        <f>HYPERLINK("https://dpmzos25m8ivg.cloudfront.net/Documentos/631/11067719407/6311106771940711092023143558.jpeg","https://dpmzos25m8ivg.cloudfront.net/Documentos/631/11067719407/6311106771940711092023143558.jpeg")</f>
        <v>https://dpmzos25m8ivg.cloudfront.net/Documentos/631/11067719407/6311106771940711092023143558.jpeg</v>
      </c>
      <c r="G4784" s="5" t="str">
        <f>HYPERLINK("https://dpmzos25m8ivg.cloudfront.net/Documentos/631/11067719407/6311106771940711092023143612.jpeg","https://dpmzos25m8ivg.cloudfront.net/Documentos/631/11067719407/6311106771940711092023143612.jpeg")</f>
        <v>https://dpmzos25m8ivg.cloudfront.net/Documentos/631/11067719407/6311106771940711092023143612.jpeg</v>
      </c>
      <c r="H4784" s="5" t="s">
        <v>13358</v>
      </c>
    </row>
    <row r="4785" spans="1:8" x14ac:dyDescent="0.25">
      <c r="A4785" s="2" t="s">
        <v>4808</v>
      </c>
      <c r="B4785" s="3"/>
      <c r="C4785" s="3"/>
      <c r="D4785" s="3"/>
      <c r="E4785" s="5" t="str">
        <f>HYPERLINK("https://dpmzos25m8ivg.cloudfront.net/Documentos/631/11069007153/6311106900715314092023134926.pdf","https://dpmzos25m8ivg.cloudfront.net/Documentos/631/11069007153/6311106900715314092023134926.pdf")</f>
        <v>https://dpmzos25m8ivg.cloudfront.net/Documentos/631/11069007153/6311106900715314092023134926.pdf</v>
      </c>
      <c r="F4785" s="5" t="str">
        <f>HYPERLINK("https://dpmzos25m8ivg.cloudfront.net/Documentos/631/11069007153/6311106900715314092023124726.pdf","https://dpmzos25m8ivg.cloudfront.net/Documentos/631/11069007153/6311106900715314092023124726.pdf")</f>
        <v>https://dpmzos25m8ivg.cloudfront.net/Documentos/631/11069007153/6311106900715314092023124726.pdf</v>
      </c>
      <c r="G4785" s="5" t="str">
        <f>HYPERLINK("https://dpmzos25m8ivg.cloudfront.net/Documentos/631/11069007153/6311106900715314092023124745.pdf","https://dpmzos25m8ivg.cloudfront.net/Documentos/631/11069007153/6311106900715314092023124745.pdf")</f>
        <v>https://dpmzos25m8ivg.cloudfront.net/Documentos/631/11069007153/6311106900715314092023124745.pdf</v>
      </c>
      <c r="H4785" s="5" t="s">
        <v>13359</v>
      </c>
    </row>
    <row r="4786" spans="1:8" x14ac:dyDescent="0.25">
      <c r="A4786" s="2" t="s">
        <v>4809</v>
      </c>
      <c r="B4786" s="3"/>
      <c r="C4786" s="3"/>
      <c r="D4786" s="3"/>
      <c r="E4786" s="5" t="str">
        <f>HYPERLINK("https://dpmzos25m8ivg.cloudfront.net/Documentos/631/11072058758/6311107205875811092023101110.pdf","https://dpmzos25m8ivg.cloudfront.net/Documentos/631/11072058758/6311107205875811092023101110.pdf")</f>
        <v>https://dpmzos25m8ivg.cloudfront.net/Documentos/631/11072058758/6311107205875811092023101110.pdf</v>
      </c>
      <c r="F4786" s="5" t="str">
        <f>HYPERLINK("https://dpmzos25m8ivg.cloudfront.net/Documentos/631/11072058758/6311107205875811092023101133.pdf","https://dpmzos25m8ivg.cloudfront.net/Documentos/631/11072058758/6311107205875811092023101133.pdf")</f>
        <v>https://dpmzos25m8ivg.cloudfront.net/Documentos/631/11072058758/6311107205875811092023101133.pdf</v>
      </c>
      <c r="G4786" s="5" t="str">
        <f>HYPERLINK("https://dpmzos25m8ivg.cloudfront.net/Documentos/631/11072058758/6311107205875811092023101150.pdf","https://dpmzos25m8ivg.cloudfront.net/Documentos/631/11072058758/6311107205875811092023101150.pdf")</f>
        <v>https://dpmzos25m8ivg.cloudfront.net/Documentos/631/11072058758/6311107205875811092023101150.pdf</v>
      </c>
      <c r="H4786" s="5" t="s">
        <v>13360</v>
      </c>
    </row>
    <row r="4787" spans="1:8" x14ac:dyDescent="0.25">
      <c r="A4787" s="2" t="s">
        <v>4810</v>
      </c>
      <c r="B4787" s="3"/>
      <c r="C4787" s="3"/>
      <c r="D4787" s="3"/>
      <c r="E4787" s="5" t="str">
        <f>HYPERLINK("https://dpmzos25m8ivg.cloudfront.net/Documentos/631/11072631407/6311107263140714092023144646.jpeg","https://dpmzos25m8ivg.cloudfront.net/Documentos/631/11072631407/6311107263140714092023144646.jpeg")</f>
        <v>https://dpmzos25m8ivg.cloudfront.net/Documentos/631/11072631407/6311107263140714092023144646.jpeg</v>
      </c>
      <c r="F4787" s="5" t="str">
        <f>HYPERLINK("https://dpmzos25m8ivg.cloudfront.net/Documentos/631/11072631407/6311107263140714092023145807.jpeg","https://dpmzos25m8ivg.cloudfront.net/Documentos/631/11072631407/6311107263140714092023145807.jpeg")</f>
        <v>https://dpmzos25m8ivg.cloudfront.net/Documentos/631/11072631407/6311107263140714092023145807.jpeg</v>
      </c>
      <c r="G4787" s="5" t="str">
        <f>HYPERLINK("https://dpmzos25m8ivg.cloudfront.net/Documentos/631/11072631407/6311107263140714092023145829.jpeg","https://dpmzos25m8ivg.cloudfront.net/Documentos/631/11072631407/6311107263140714092023145829.jpeg")</f>
        <v>https://dpmzos25m8ivg.cloudfront.net/Documentos/631/11072631407/6311107263140714092023145829.jpeg</v>
      </c>
      <c r="H4787" s="5" t="s">
        <v>13361</v>
      </c>
    </row>
    <row r="4788" spans="1:8" x14ac:dyDescent="0.25">
      <c r="A4788" s="2" t="s">
        <v>4811</v>
      </c>
      <c r="B4788" s="3"/>
      <c r="C4788" s="3"/>
      <c r="D4788" s="3"/>
      <c r="E4788" s="5" t="str">
        <f>HYPERLINK("https://dpmzos25m8ivg.cloudfront.net/Documentos/631/11076881408/6311107688140805092023092951.pdf","https://dpmzos25m8ivg.cloudfront.net/Documentos/631/11076881408/6311107688140805092023092951.pdf")</f>
        <v>https://dpmzos25m8ivg.cloudfront.net/Documentos/631/11076881408/6311107688140805092023092951.pdf</v>
      </c>
      <c r="F4788" s="5" t="str">
        <f>HYPERLINK("https://dpmzos25m8ivg.cloudfront.net/Documentos/631/11076881408/6311107688140805092023093007.pdf","https://dpmzos25m8ivg.cloudfront.net/Documentos/631/11076881408/6311107688140805092023093007.pdf")</f>
        <v>https://dpmzos25m8ivg.cloudfront.net/Documentos/631/11076881408/6311107688140805092023093007.pdf</v>
      </c>
      <c r="G4788" s="5" t="str">
        <f>HYPERLINK("https://dpmzos25m8ivg.cloudfront.net/Documentos/631/11076881408/6311107688140805092023093022.pdf","https://dpmzos25m8ivg.cloudfront.net/Documentos/631/11076881408/6311107688140805092023093022.pdf")</f>
        <v>https://dpmzos25m8ivg.cloudfront.net/Documentos/631/11076881408/6311107688140805092023093022.pdf</v>
      </c>
      <c r="H4788" s="5" t="s">
        <v>13362</v>
      </c>
    </row>
    <row r="4789" spans="1:8" x14ac:dyDescent="0.25">
      <c r="A4789" s="2" t="s">
        <v>4812</v>
      </c>
      <c r="B4789" s="3"/>
      <c r="C4789" s="3"/>
      <c r="D4789" s="3"/>
      <c r="E4789" s="5" t="str">
        <f>HYPERLINK("https://dpmzos25m8ivg.cloudfront.net/Documentos/631/11077027630/6311107702763013092023162053.jpg","https://dpmzos25m8ivg.cloudfront.net/Documentos/631/11077027630/6311107702763013092023162053.jpg")</f>
        <v>https://dpmzos25m8ivg.cloudfront.net/Documentos/631/11077027630/6311107702763013092023162053.jpg</v>
      </c>
      <c r="F4789" s="5" t="str">
        <f>HYPERLINK("https://dpmzos25m8ivg.cloudfront.net/Documentos/631/11077027630/6311107702763013092023162112.jpg","https://dpmzos25m8ivg.cloudfront.net/Documentos/631/11077027630/6311107702763013092023162112.jpg")</f>
        <v>https://dpmzos25m8ivg.cloudfront.net/Documentos/631/11077027630/6311107702763013092023162112.jpg</v>
      </c>
      <c r="G4789" s="5" t="str">
        <f>HYPERLINK("https://dpmzos25m8ivg.cloudfront.net/Documentos/631/11077027630/6311107702763013092023162130.jpg","https://dpmzos25m8ivg.cloudfront.net/Documentos/631/11077027630/6311107702763013092023162130.jpg")</f>
        <v>https://dpmzos25m8ivg.cloudfront.net/Documentos/631/11077027630/6311107702763013092023162130.jpg</v>
      </c>
      <c r="H4789" s="5" t="s">
        <v>13363</v>
      </c>
    </row>
    <row r="4790" spans="1:8" x14ac:dyDescent="0.25">
      <c r="A4790" s="2" t="s">
        <v>4813</v>
      </c>
      <c r="B4790" s="3"/>
      <c r="C4790" s="3"/>
      <c r="D4790" s="3"/>
      <c r="E4790" s="5" t="str">
        <f>HYPERLINK("https://dpmzos25m8ivg.cloudfront.net/Documentos/631/11077203705/6311107720370511092023155234.pdf","https://dpmzos25m8ivg.cloudfront.net/Documentos/631/11077203705/6311107720370511092023155234.pdf")</f>
        <v>https://dpmzos25m8ivg.cloudfront.net/Documentos/631/11077203705/6311107720370511092023155234.pdf</v>
      </c>
      <c r="F4790" s="5" t="str">
        <f>HYPERLINK("https://dpmzos25m8ivg.cloudfront.net/Documentos/631/11077203705/6311107720370511092023155310.pdf","https://dpmzos25m8ivg.cloudfront.net/Documentos/631/11077203705/6311107720370511092023155310.pdf")</f>
        <v>https://dpmzos25m8ivg.cloudfront.net/Documentos/631/11077203705/6311107720370511092023155310.pdf</v>
      </c>
      <c r="G4790" s="5" t="str">
        <f>HYPERLINK("https://dpmzos25m8ivg.cloudfront.net/Documentos/631/11077203705/6311107720370511092023155325.pdf","https://dpmzos25m8ivg.cloudfront.net/Documentos/631/11077203705/6311107720370511092023155325.pdf")</f>
        <v>https://dpmzos25m8ivg.cloudfront.net/Documentos/631/11077203705/6311107720370511092023155325.pdf</v>
      </c>
      <c r="H4790" s="5" t="s">
        <v>13364</v>
      </c>
    </row>
    <row r="4791" spans="1:8" x14ac:dyDescent="0.25">
      <c r="A4791" s="2" t="s">
        <v>4814</v>
      </c>
      <c r="B4791" s="3"/>
      <c r="C4791" s="3"/>
      <c r="D4791" s="3"/>
      <c r="E4791" s="5" t="str">
        <f>HYPERLINK("https://dpmzos25m8ivg.cloudfront.net/Documentos/631/11081125608/6311108112560806092023124728.pdf","https://dpmzos25m8ivg.cloudfront.net/Documentos/631/11081125608/6311108112560806092023124728.pdf")</f>
        <v>https://dpmzos25m8ivg.cloudfront.net/Documentos/631/11081125608/6311108112560806092023124728.pdf</v>
      </c>
      <c r="F4791" s="5" t="str">
        <f>HYPERLINK("https://dpmzos25m8ivg.cloudfront.net/Documentos/631/11081125608/6311108112560806092023124737.pdf","https://dpmzos25m8ivg.cloudfront.net/Documentos/631/11081125608/6311108112560806092023124737.pdf")</f>
        <v>https://dpmzos25m8ivg.cloudfront.net/Documentos/631/11081125608/6311108112560806092023124737.pdf</v>
      </c>
      <c r="G4791" s="5" t="str">
        <f>HYPERLINK("https://dpmzos25m8ivg.cloudfront.net/Documentos/631/11081125608/6311108112560806092023124745.pdf","https://dpmzos25m8ivg.cloudfront.net/Documentos/631/11081125608/6311108112560806092023124745.pdf")</f>
        <v>https://dpmzos25m8ivg.cloudfront.net/Documentos/631/11081125608/6311108112560806092023124745.pdf</v>
      </c>
      <c r="H4791" s="5" t="s">
        <v>13365</v>
      </c>
    </row>
    <row r="4792" spans="1:8" x14ac:dyDescent="0.25">
      <c r="A4792" s="2" t="s">
        <v>4815</v>
      </c>
      <c r="B4792" s="3"/>
      <c r="C4792" s="3"/>
      <c r="D4792" s="3"/>
      <c r="E4792" s="5" t="str">
        <f>HYPERLINK("https://dpmzos25m8ivg.cloudfront.net/Documentos/631/11084636492/6311108463649205092023150802.pdf","https://dpmzos25m8ivg.cloudfront.net/Documentos/631/11084636492/6311108463649205092023150802.pdf")</f>
        <v>https://dpmzos25m8ivg.cloudfront.net/Documentos/631/11084636492/6311108463649205092023150802.pdf</v>
      </c>
      <c r="F4792" s="5" t="str">
        <f>HYPERLINK("https://dpmzos25m8ivg.cloudfront.net/Documentos/631/11084636492/6311108463649205092023150819.pdf","https://dpmzos25m8ivg.cloudfront.net/Documentos/631/11084636492/6311108463649205092023150819.pdf")</f>
        <v>https://dpmzos25m8ivg.cloudfront.net/Documentos/631/11084636492/6311108463649205092023150819.pdf</v>
      </c>
      <c r="G4792" s="5" t="str">
        <f>HYPERLINK("https://dpmzos25m8ivg.cloudfront.net/Documentos/631/11084636492/6311108463649205092023150834.pdf","https://dpmzos25m8ivg.cloudfront.net/Documentos/631/11084636492/6311108463649205092023150834.pdf")</f>
        <v>https://dpmzos25m8ivg.cloudfront.net/Documentos/631/11084636492/6311108463649205092023150834.pdf</v>
      </c>
      <c r="H4792" s="5" t="s">
        <v>13366</v>
      </c>
    </row>
    <row r="4793" spans="1:8" x14ac:dyDescent="0.25">
      <c r="A4793" s="2" t="s">
        <v>4816</v>
      </c>
      <c r="B4793" s="3"/>
      <c r="C4793" s="3"/>
      <c r="D4793" s="3"/>
      <c r="E4793" s="5" t="str">
        <f>HYPERLINK("https://dpmzos25m8ivg.cloudfront.net/Documentos/631/11091873780/6311109187378011092023160713.jpg","https://dpmzos25m8ivg.cloudfront.net/Documentos/631/11091873780/6311109187378011092023160713.jpg")</f>
        <v>https://dpmzos25m8ivg.cloudfront.net/Documentos/631/11091873780/6311109187378011092023160713.jpg</v>
      </c>
      <c r="F4793" s="5" t="str">
        <f>HYPERLINK("https://dpmzos25m8ivg.cloudfront.net/Documentos/631/11091873780/6311109187378011092023160726.jpg","https://dpmzos25m8ivg.cloudfront.net/Documentos/631/11091873780/6311109187378011092023160726.jpg")</f>
        <v>https://dpmzos25m8ivg.cloudfront.net/Documentos/631/11091873780/6311109187378011092023160726.jpg</v>
      </c>
      <c r="G4793" s="5" t="str">
        <f>HYPERLINK("https://dpmzos25m8ivg.cloudfront.net/Documentos/631/11091873780/6311109187378011092023160736.jpg","https://dpmzos25m8ivg.cloudfront.net/Documentos/631/11091873780/6311109187378011092023160736.jpg")</f>
        <v>https://dpmzos25m8ivg.cloudfront.net/Documentos/631/11091873780/6311109187378011092023160736.jpg</v>
      </c>
      <c r="H4793" s="5" t="s">
        <v>13367</v>
      </c>
    </row>
    <row r="4794" spans="1:8" x14ac:dyDescent="0.25">
      <c r="A4794" s="2" t="s">
        <v>4817</v>
      </c>
      <c r="B4794" s="3"/>
      <c r="C4794" s="3"/>
      <c r="D4794" s="3"/>
      <c r="E4794" s="5" t="str">
        <f>HYPERLINK("https://dpmzos25m8ivg.cloudfront.net/Documentos/631/11103606735/6311110360673506092023182256.jpeg","https://dpmzos25m8ivg.cloudfront.net/Documentos/631/11103606735/6311110360673506092023182256.jpeg")</f>
        <v>https://dpmzos25m8ivg.cloudfront.net/Documentos/631/11103606735/6311110360673506092023182256.jpeg</v>
      </c>
      <c r="F4794" s="5" t="str">
        <f>HYPERLINK("https://dpmzos25m8ivg.cloudfront.net/Documentos/631/11103606735/6311110360673506092023182339.jpeg","https://dpmzos25m8ivg.cloudfront.net/Documentos/631/11103606735/6311110360673506092023182339.jpeg")</f>
        <v>https://dpmzos25m8ivg.cloudfront.net/Documentos/631/11103606735/6311110360673506092023182339.jpeg</v>
      </c>
      <c r="G4794" s="5" t="str">
        <f>HYPERLINK("https://dpmzos25m8ivg.cloudfront.net/Documentos/631/11103606735/6311110360673506092023182431.jpeg","https://dpmzos25m8ivg.cloudfront.net/Documentos/631/11103606735/6311110360673506092023182431.jpeg")</f>
        <v>https://dpmzos25m8ivg.cloudfront.net/Documentos/631/11103606735/6311110360673506092023182431.jpeg</v>
      </c>
      <c r="H4794" s="5" t="s">
        <v>13368</v>
      </c>
    </row>
    <row r="4795" spans="1:8" x14ac:dyDescent="0.25">
      <c r="A4795" s="2" t="s">
        <v>4818</v>
      </c>
      <c r="B4795" s="3"/>
      <c r="C4795" s="3"/>
      <c r="D4795" s="3"/>
      <c r="E4795" s="5" t="str">
        <f>HYPERLINK("https://dpmzos25m8ivg.cloudfront.net/Documentos/631/11107216419/6311110721641914092023154800.jpg","https://dpmzos25m8ivg.cloudfront.net/Documentos/631/11107216419/6311110721641914092023154800.jpg")</f>
        <v>https://dpmzos25m8ivg.cloudfront.net/Documentos/631/11107216419/6311110721641914092023154800.jpg</v>
      </c>
      <c r="F4795" s="5" t="str">
        <f>HYPERLINK("https://dpmzos25m8ivg.cloudfront.net/Documentos/631/11107216419/6311110721641914092023154819.jpg","https://dpmzos25m8ivg.cloudfront.net/Documentos/631/11107216419/6311110721641914092023154819.jpg")</f>
        <v>https://dpmzos25m8ivg.cloudfront.net/Documentos/631/11107216419/6311110721641914092023154819.jpg</v>
      </c>
      <c r="G4795" s="5" t="str">
        <f>HYPERLINK("https://dpmzos25m8ivg.cloudfront.net/Documentos/631/11107216419/6311110721641914092023154833.jpg","https://dpmzos25m8ivg.cloudfront.net/Documentos/631/11107216419/6311110721641914092023154833.jpg")</f>
        <v>https://dpmzos25m8ivg.cloudfront.net/Documentos/631/11107216419/6311110721641914092023154833.jpg</v>
      </c>
      <c r="H4795" s="5" t="s">
        <v>13369</v>
      </c>
    </row>
    <row r="4796" spans="1:8" x14ac:dyDescent="0.25">
      <c r="A4796" s="2" t="s">
        <v>4819</v>
      </c>
      <c r="B4796" s="3"/>
      <c r="C4796" s="3"/>
      <c r="D4796" s="3"/>
      <c r="E4796" s="5" t="str">
        <f>HYPERLINK("https://dpmzos25m8ivg.cloudfront.net/Documentos/631/11115385496/6311111538549611092023124110.jpeg","https://dpmzos25m8ivg.cloudfront.net/Documentos/631/11115385496/6311111538549611092023124110.jpeg")</f>
        <v>https://dpmzos25m8ivg.cloudfront.net/Documentos/631/11115385496/6311111538549611092023124110.jpeg</v>
      </c>
      <c r="F4796" s="5" t="str">
        <f>HYPERLINK("https://dpmzos25m8ivg.cloudfront.net/Documentos/631/11115385496/6311111538549611092023124303.jpeg","https://dpmzos25m8ivg.cloudfront.net/Documentos/631/11115385496/6311111538549611092023124303.jpeg")</f>
        <v>https://dpmzos25m8ivg.cloudfront.net/Documentos/631/11115385496/6311111538549611092023124303.jpeg</v>
      </c>
      <c r="G4796" s="5" t="str">
        <f>HYPERLINK("https://dpmzos25m8ivg.cloudfront.net/Documentos/631/11115385496/6311111538549611092023124617.jpeg","https://dpmzos25m8ivg.cloudfront.net/Documentos/631/11115385496/6311111538549611092023124617.jpeg")</f>
        <v>https://dpmzos25m8ivg.cloudfront.net/Documentos/631/11115385496/6311111538549611092023124617.jpeg</v>
      </c>
      <c r="H4796" s="5" t="s">
        <v>13370</v>
      </c>
    </row>
    <row r="4797" spans="1:8" x14ac:dyDescent="0.25">
      <c r="A4797" s="2" t="s">
        <v>4820</v>
      </c>
      <c r="B4797" s="3"/>
      <c r="C4797" s="3"/>
      <c r="D4797" s="3"/>
      <c r="E4797" s="5" t="str">
        <f>HYPERLINK("https://dpmzos25m8ivg.cloudfront.net/Documentos/631/11115579770/6311111557977011092023140859.pdf","https://dpmzos25m8ivg.cloudfront.net/Documentos/631/11115579770/6311111557977011092023140859.pdf")</f>
        <v>https://dpmzos25m8ivg.cloudfront.net/Documentos/631/11115579770/6311111557977011092023140859.pdf</v>
      </c>
      <c r="F4797" s="5" t="str">
        <f>HYPERLINK("https://dpmzos25m8ivg.cloudfront.net/Documentos/631/11115579770/6311111557977011092023140934.pdf","https://dpmzos25m8ivg.cloudfront.net/Documentos/631/11115579770/6311111557977011092023140934.pdf")</f>
        <v>https://dpmzos25m8ivg.cloudfront.net/Documentos/631/11115579770/6311111557977011092023140934.pdf</v>
      </c>
      <c r="G4797" s="5" t="str">
        <f>HYPERLINK("https://dpmzos25m8ivg.cloudfront.net/Documentos/631/11115579770/6311111557977011092023140956.pdf","https://dpmzos25m8ivg.cloudfront.net/Documentos/631/11115579770/6311111557977011092023140956.pdf")</f>
        <v>https://dpmzos25m8ivg.cloudfront.net/Documentos/631/11115579770/6311111557977011092023140956.pdf</v>
      </c>
      <c r="H4797" s="5" t="s">
        <v>13371</v>
      </c>
    </row>
    <row r="4798" spans="1:8" x14ac:dyDescent="0.25">
      <c r="A4798" s="2" t="s">
        <v>4821</v>
      </c>
      <c r="B4798" s="3"/>
      <c r="C4798" s="3"/>
      <c r="D4798" s="3"/>
      <c r="E4798" s="5" t="str">
        <f>HYPERLINK("https://dpmzos25m8ivg.cloudfront.net/Documentos/631/11122686420/6311112268642011092023161923.jpg","https://dpmzos25m8ivg.cloudfront.net/Documentos/631/11122686420/6311112268642011092023161923.jpg")</f>
        <v>https://dpmzos25m8ivg.cloudfront.net/Documentos/631/11122686420/6311112268642011092023161923.jpg</v>
      </c>
      <c r="F4798" s="5" t="str">
        <f>HYPERLINK("https://dpmzos25m8ivg.cloudfront.net/Documentos/631/11122686420/6311112268642011092023161940.jpg","https://dpmzos25m8ivg.cloudfront.net/Documentos/631/11122686420/6311112268642011092023161940.jpg")</f>
        <v>https://dpmzos25m8ivg.cloudfront.net/Documentos/631/11122686420/6311112268642011092023161940.jpg</v>
      </c>
      <c r="G4798" s="5" t="str">
        <f>HYPERLINK("https://dpmzos25m8ivg.cloudfront.net/Documentos/631/11122686420/6311112268642011092023161952.jpg","https://dpmzos25m8ivg.cloudfront.net/Documentos/631/11122686420/6311112268642011092023161952.jpg")</f>
        <v>https://dpmzos25m8ivg.cloudfront.net/Documentos/631/11122686420/6311112268642011092023161952.jpg</v>
      </c>
      <c r="H4798" s="5" t="s">
        <v>13372</v>
      </c>
    </row>
    <row r="4799" spans="1:8" x14ac:dyDescent="0.25">
      <c r="A4799" s="2" t="s">
        <v>4822</v>
      </c>
      <c r="B4799" s="3"/>
      <c r="C4799" s="3"/>
      <c r="D4799" s="3"/>
      <c r="E4799" s="5" t="str">
        <f>HYPERLINK("https://dpmzos25m8ivg.cloudfront.net/Documentos/631/11126803650/6311112680365005092023135432.pdf","https://dpmzos25m8ivg.cloudfront.net/Documentos/631/11126803650/6311112680365005092023135432.pdf")</f>
        <v>https://dpmzos25m8ivg.cloudfront.net/Documentos/631/11126803650/6311112680365005092023135432.pdf</v>
      </c>
      <c r="F4799" s="5" t="str">
        <f>HYPERLINK("https://dpmzos25m8ivg.cloudfront.net/Documentos/631/11126803650/6311112680365005092023135508.pdf","https://dpmzos25m8ivg.cloudfront.net/Documentos/631/11126803650/6311112680365005092023135508.pdf")</f>
        <v>https://dpmzos25m8ivg.cloudfront.net/Documentos/631/11126803650/6311112680365005092023135508.pdf</v>
      </c>
      <c r="G4799" s="5" t="str">
        <f>HYPERLINK("https://dpmzos25m8ivg.cloudfront.net/Documentos/631/11126803650/6311112680365005092023135533.pdf","https://dpmzos25m8ivg.cloudfront.net/Documentos/631/11126803650/6311112680365005092023135533.pdf")</f>
        <v>https://dpmzos25m8ivg.cloudfront.net/Documentos/631/11126803650/6311112680365005092023135533.pdf</v>
      </c>
      <c r="H4799" s="5" t="s">
        <v>13373</v>
      </c>
    </row>
    <row r="4800" spans="1:8" x14ac:dyDescent="0.25">
      <c r="A4800" s="2" t="s">
        <v>4823</v>
      </c>
      <c r="B4800" s="3"/>
      <c r="C4800" s="3"/>
      <c r="D4800" s="3"/>
      <c r="E4800" s="5" t="str">
        <f>HYPERLINK("https://dpmzos25m8ivg.cloudfront.net/Documentos/631/11131562445/6311113156244505092023091533.jpg","https://dpmzos25m8ivg.cloudfront.net/Documentos/631/11131562445/6311113156244505092023091533.jpg")</f>
        <v>https://dpmzos25m8ivg.cloudfront.net/Documentos/631/11131562445/6311113156244505092023091533.jpg</v>
      </c>
      <c r="F4800" s="5" t="str">
        <f>HYPERLINK("https://dpmzos25m8ivg.cloudfront.net/Documentos/631/11131562445/6311113156244505092023091555.jpg","https://dpmzos25m8ivg.cloudfront.net/Documentos/631/11131562445/6311113156244505092023091555.jpg")</f>
        <v>https://dpmzos25m8ivg.cloudfront.net/Documentos/631/11131562445/6311113156244505092023091555.jpg</v>
      </c>
      <c r="G4800" s="5" t="str">
        <f>HYPERLINK("https://dpmzos25m8ivg.cloudfront.net/Documentos/631/11131562445/6311113156244505092023091613.jpg","https://dpmzos25m8ivg.cloudfront.net/Documentos/631/11131562445/6311113156244505092023091613.jpg")</f>
        <v>https://dpmzos25m8ivg.cloudfront.net/Documentos/631/11131562445/6311113156244505092023091613.jpg</v>
      </c>
      <c r="H4800" s="5" t="s">
        <v>13374</v>
      </c>
    </row>
    <row r="4801" spans="1:8" x14ac:dyDescent="0.25">
      <c r="A4801" s="2" t="s">
        <v>4824</v>
      </c>
      <c r="B4801" s="3"/>
      <c r="C4801" s="3"/>
      <c r="D4801" s="3"/>
      <c r="E4801" s="5" t="str">
        <f>HYPERLINK("https://dpmzos25m8ivg.cloudfront.net/Documentos/631/11137503670/6311113750367011092023142550.pdf","https://dpmzos25m8ivg.cloudfront.net/Documentos/631/11137503670/6311113750367011092023142550.pdf")</f>
        <v>https://dpmzos25m8ivg.cloudfront.net/Documentos/631/11137503670/6311113750367011092023142550.pdf</v>
      </c>
      <c r="F4801" s="5" t="str">
        <f>HYPERLINK("https://dpmzos25m8ivg.cloudfront.net/Documentos/631/11137503670/6311113750367011092023142609.pdf","https://dpmzos25m8ivg.cloudfront.net/Documentos/631/11137503670/6311113750367011092023142609.pdf")</f>
        <v>https://dpmzos25m8ivg.cloudfront.net/Documentos/631/11137503670/6311113750367011092023142609.pdf</v>
      </c>
      <c r="G4801" s="5" t="str">
        <f>HYPERLINK("https://dpmzos25m8ivg.cloudfront.net/Documentos/631/11137503670/6311113750367011092023142619.pdf","https://dpmzos25m8ivg.cloudfront.net/Documentos/631/11137503670/6311113750367011092023142619.pdf")</f>
        <v>https://dpmzos25m8ivg.cloudfront.net/Documentos/631/11137503670/6311113750367011092023142619.pdf</v>
      </c>
      <c r="H4801" s="5" t="s">
        <v>13375</v>
      </c>
    </row>
    <row r="4802" spans="1:8" x14ac:dyDescent="0.25">
      <c r="A4802" s="2" t="s">
        <v>4825</v>
      </c>
      <c r="B4802" s="16" t="s">
        <v>2358</v>
      </c>
      <c r="C4802" s="3"/>
      <c r="D4802" s="3"/>
      <c r="E4802" s="5" t="str">
        <f>HYPERLINK("https://dpmzos25m8ivg.cloudfront.net/Documentos/631/11138597767/6311113859776711092023122547.pdf","https://dpmzos25m8ivg.cloudfront.net/Documentos/631/11138597767/6311113859776711092023122547.pdf")</f>
        <v>https://dpmzos25m8ivg.cloudfront.net/Documentos/631/11138597767/6311113859776711092023122547.pdf</v>
      </c>
      <c r="F4802" s="5" t="str">
        <f>HYPERLINK("https://dpmzos25m8ivg.cloudfront.net/Documentos/631/11138597767/6311113859776711092023122602.pdf","https://dpmzos25m8ivg.cloudfront.net/Documentos/631/11138597767/6311113859776711092023122602.pdf")</f>
        <v>https://dpmzos25m8ivg.cloudfront.net/Documentos/631/11138597767/6311113859776711092023122602.pdf</v>
      </c>
      <c r="G4802" s="5" t="str">
        <f>HYPERLINK("https://dpmzos25m8ivg.cloudfront.net/Documentos/631/11138597767/6311113859776711092023122612.pdf","https://dpmzos25m8ivg.cloudfront.net/Documentos/631/11138597767/6311113859776711092023122612.pdf")</f>
        <v>https://dpmzos25m8ivg.cloudfront.net/Documentos/631/11138597767/6311113859776711092023122612.pdf</v>
      </c>
      <c r="H4802" s="5" t="s">
        <v>13376</v>
      </c>
    </row>
    <row r="4803" spans="1:8" x14ac:dyDescent="0.25">
      <c r="A4803" s="2" t="s">
        <v>4826</v>
      </c>
      <c r="B4803" s="3"/>
      <c r="C4803" s="3"/>
      <c r="D4803" s="3"/>
      <c r="E4803" s="5" t="str">
        <f>HYPERLINK("https://dpmzos25m8ivg.cloudfront.net/Documentos/631/11139881698/6311113988169805092023000950.pdf","https://dpmzos25m8ivg.cloudfront.net/Documentos/631/11139881698/6311113988169805092023000950.pdf")</f>
        <v>https://dpmzos25m8ivg.cloudfront.net/Documentos/631/11139881698/6311113988169805092023000950.pdf</v>
      </c>
      <c r="F4803" s="5" t="str">
        <f>HYPERLINK("https://dpmzos25m8ivg.cloudfront.net/Documentos/631/11139881698/6311113988169806092023152817.pdf","https://dpmzos25m8ivg.cloudfront.net/Documentos/631/11139881698/6311113988169806092023152817.pdf")</f>
        <v>https://dpmzos25m8ivg.cloudfront.net/Documentos/631/11139881698/6311113988169806092023152817.pdf</v>
      </c>
      <c r="G4803" s="5" t="str">
        <f>HYPERLINK("https://dpmzos25m8ivg.cloudfront.net/Documentos/631/11139881698/6311113988169806092023152827.pdf","https://dpmzos25m8ivg.cloudfront.net/Documentos/631/11139881698/6311113988169806092023152827.pdf")</f>
        <v>https://dpmzos25m8ivg.cloudfront.net/Documentos/631/11139881698/6311113988169806092023152827.pdf</v>
      </c>
      <c r="H4803" s="5" t="s">
        <v>13377</v>
      </c>
    </row>
    <row r="4804" spans="1:8" x14ac:dyDescent="0.25">
      <c r="A4804" s="21" t="s">
        <v>4827</v>
      </c>
      <c r="B4804" s="16" t="s">
        <v>4828</v>
      </c>
      <c r="C4804" s="3"/>
      <c r="D4804" s="3"/>
      <c r="E4804" s="5" t="str">
        <f>HYPERLINK("https://dpmzos25m8ivg.cloudfront.net/Documentos/631/11140905490/6311114090549011092023114631.pdf","https://dpmzos25m8ivg.cloudfront.net/Documentos/631/11140905490/6311114090549011092023114631.pdf")</f>
        <v>https://dpmzos25m8ivg.cloudfront.net/Documentos/631/11140905490/6311114090549011092023114631.pdf</v>
      </c>
      <c r="F4804" s="5" t="str">
        <f>HYPERLINK("https://dpmzos25m8ivg.cloudfront.net/Documentos/631/11140905490/6311114090549011092023114645.pdf","https://dpmzos25m8ivg.cloudfront.net/Documentos/631/11140905490/6311114090549011092023114645.pdf")</f>
        <v>https://dpmzos25m8ivg.cloudfront.net/Documentos/631/11140905490/6311114090549011092023114645.pdf</v>
      </c>
      <c r="G4804" s="5" t="str">
        <f>HYPERLINK("https://dpmzos25m8ivg.cloudfront.net/Documentos/631/11140905490/6311114090549011092023114741.pdf","https://dpmzos25m8ivg.cloudfront.net/Documentos/631/11140905490/6311114090549011092023114741.pdf")</f>
        <v>https://dpmzos25m8ivg.cloudfront.net/Documentos/631/11140905490/6311114090549011092023114741.pdf</v>
      </c>
      <c r="H4804" s="5" t="s">
        <v>13378</v>
      </c>
    </row>
    <row r="4805" spans="1:8" x14ac:dyDescent="0.25">
      <c r="A4805" s="2" t="s">
        <v>4829</v>
      </c>
      <c r="B4805" s="3"/>
      <c r="C4805" s="3"/>
      <c r="D4805" s="3"/>
      <c r="E4805" s="5" t="str">
        <f>HYPERLINK("https://dpmzos25m8ivg.cloudfront.net/Documentos/631/11141731428/6311114173142813092023200836.pdf","https://dpmzos25m8ivg.cloudfront.net/Documentos/631/11141731428/6311114173142813092023200836.pdf")</f>
        <v>https://dpmzos25m8ivg.cloudfront.net/Documentos/631/11141731428/6311114173142813092023200836.pdf</v>
      </c>
      <c r="F4805" s="5" t="str">
        <f>HYPERLINK("https://dpmzos25m8ivg.cloudfront.net/Documentos/631/11141731428/6311114173142813092023200846.pdf","https://dpmzos25m8ivg.cloudfront.net/Documentos/631/11141731428/6311114173142813092023200846.pdf")</f>
        <v>https://dpmzos25m8ivg.cloudfront.net/Documentos/631/11141731428/6311114173142813092023200846.pdf</v>
      </c>
      <c r="G4805" s="5" t="str">
        <f>HYPERLINK("https://dpmzos25m8ivg.cloudfront.net/Documentos/631/11141731428/6311114173142813092023200855.pdf","https://dpmzos25m8ivg.cloudfront.net/Documentos/631/11141731428/6311114173142813092023200855.pdf")</f>
        <v>https://dpmzos25m8ivg.cloudfront.net/Documentos/631/11141731428/6311114173142813092023200855.pdf</v>
      </c>
      <c r="H4805" s="5" t="s">
        <v>13379</v>
      </c>
    </row>
    <row r="4806" spans="1:8" x14ac:dyDescent="0.25">
      <c r="A4806" s="2" t="s">
        <v>4830</v>
      </c>
      <c r="B4806" s="3"/>
      <c r="C4806" s="3"/>
      <c r="D4806" s="3"/>
      <c r="E4806" s="5" t="str">
        <f>HYPERLINK("https://dpmzos25m8ivg.cloudfront.net/Documentos/631/11141960451/6311114196045107092023232229.pdf","https://dpmzos25m8ivg.cloudfront.net/Documentos/631/11141960451/6311114196045107092023232229.pdf")</f>
        <v>https://dpmzos25m8ivg.cloudfront.net/Documentos/631/11141960451/6311114196045107092023232229.pdf</v>
      </c>
      <c r="F4806" s="5" t="str">
        <f>HYPERLINK("https://dpmzos25m8ivg.cloudfront.net/Documentos/631/11141960451/6311114196045107092023232239.pdf","https://dpmzos25m8ivg.cloudfront.net/Documentos/631/11141960451/6311114196045107092023232239.pdf")</f>
        <v>https://dpmzos25m8ivg.cloudfront.net/Documentos/631/11141960451/6311114196045107092023232239.pdf</v>
      </c>
      <c r="G4806" s="5" t="str">
        <f>HYPERLINK("https://dpmzos25m8ivg.cloudfront.net/Documentos/631/11141960451/6311114196045107092023232248.pdf","https://dpmzos25m8ivg.cloudfront.net/Documentos/631/11141960451/6311114196045107092023232248.pdf")</f>
        <v>https://dpmzos25m8ivg.cloudfront.net/Documentos/631/11141960451/6311114196045107092023232248.pdf</v>
      </c>
      <c r="H4806" s="5" t="s">
        <v>13380</v>
      </c>
    </row>
    <row r="4807" spans="1:8" x14ac:dyDescent="0.25">
      <c r="A4807" s="2" t="s">
        <v>4831</v>
      </c>
      <c r="B4807" s="16" t="s">
        <v>2358</v>
      </c>
      <c r="C4807" s="3"/>
      <c r="D4807" s="3"/>
      <c r="E4807" s="5" t="str">
        <f>HYPERLINK("https://dpmzos25m8ivg.cloudfront.net/Documentos/631/11146315902/6311114631590213092023162602.pdf","https://dpmzos25m8ivg.cloudfront.net/Documentos/631/11146315902/6311114631590213092023162602.pdf")</f>
        <v>https://dpmzos25m8ivg.cloudfront.net/Documentos/631/11146315902/6311114631590213092023162602.pdf</v>
      </c>
      <c r="F4807" s="5" t="str">
        <f>HYPERLINK("https://dpmzos25m8ivg.cloudfront.net/Documentos/631/11146315902/6311114631590213092023162609.pdf","https://dpmzos25m8ivg.cloudfront.net/Documentos/631/11146315902/6311114631590213092023162609.pdf")</f>
        <v>https://dpmzos25m8ivg.cloudfront.net/Documentos/631/11146315902/6311114631590213092023162609.pdf</v>
      </c>
      <c r="G4807" s="5" t="str">
        <f>HYPERLINK("https://dpmzos25m8ivg.cloudfront.net/Documentos/631/11146315902/6311114631590213092023162614.pdf","https://dpmzos25m8ivg.cloudfront.net/Documentos/631/11146315902/6311114631590213092023162614.pdf")</f>
        <v>https://dpmzos25m8ivg.cloudfront.net/Documentos/631/11146315902/6311114631590213092023162614.pdf</v>
      </c>
      <c r="H4807" s="5" t="s">
        <v>13381</v>
      </c>
    </row>
    <row r="4808" spans="1:8" x14ac:dyDescent="0.25">
      <c r="A4808" s="2" t="s">
        <v>4832</v>
      </c>
      <c r="B4808" s="3"/>
      <c r="C4808" s="3"/>
      <c r="D4808" s="3"/>
      <c r="E4808" s="5" t="str">
        <f>HYPERLINK("https://dpmzos25m8ivg.cloudfront.net/Documentos/631/11153801680/6311115380168005092023120446.pdf","https://dpmzos25m8ivg.cloudfront.net/Documentos/631/11153801680/6311115380168005092023120446.pdf")</f>
        <v>https://dpmzos25m8ivg.cloudfront.net/Documentos/631/11153801680/6311115380168005092023120446.pdf</v>
      </c>
      <c r="F4808" s="5" t="str">
        <f>HYPERLINK("https://dpmzos25m8ivg.cloudfront.net/Documentos/631/11153801680/6311115380168005092023120455.pdf","https://dpmzos25m8ivg.cloudfront.net/Documentos/631/11153801680/6311115380168005092023120455.pdf")</f>
        <v>https://dpmzos25m8ivg.cloudfront.net/Documentos/631/11153801680/6311115380168005092023120455.pdf</v>
      </c>
      <c r="G4808" s="5" t="str">
        <f>HYPERLINK("https://dpmzos25m8ivg.cloudfront.net/Documentos/631/11153801680/6311115380168005092023120505.pdf","https://dpmzos25m8ivg.cloudfront.net/Documentos/631/11153801680/6311115380168005092023120505.pdf")</f>
        <v>https://dpmzos25m8ivg.cloudfront.net/Documentos/631/11153801680/6311115380168005092023120505.pdf</v>
      </c>
      <c r="H4808" s="5" t="s">
        <v>13382</v>
      </c>
    </row>
    <row r="4809" spans="1:8" x14ac:dyDescent="0.25">
      <c r="A4809" s="2" t="s">
        <v>4833</v>
      </c>
      <c r="B4809" s="16" t="s">
        <v>4646</v>
      </c>
      <c r="C4809" s="3"/>
      <c r="D4809" s="3"/>
      <c r="E4809" s="5" t="str">
        <f>HYPERLINK("https://dpmzos25m8ivg.cloudfront.net/Documentos/631/11154408450/6311115440845007092023080316.pdf","https://dpmzos25m8ivg.cloudfront.net/Documentos/631/11154408450/6311115440845007092023080316.pdf")</f>
        <v>https://dpmzos25m8ivg.cloudfront.net/Documentos/631/11154408450/6311115440845007092023080316.pdf</v>
      </c>
      <c r="F4809" s="5" t="str">
        <f>HYPERLINK("https://dpmzos25m8ivg.cloudfront.net/Documentos/631/11154408450/6311115440845007092023080329.pdf","https://dpmzos25m8ivg.cloudfront.net/Documentos/631/11154408450/6311115440845007092023080329.pdf")</f>
        <v>https://dpmzos25m8ivg.cloudfront.net/Documentos/631/11154408450/6311115440845007092023080329.pdf</v>
      </c>
      <c r="G4809" s="5" t="str">
        <f>HYPERLINK("https://dpmzos25m8ivg.cloudfront.net/Documentos/631/11154408450/6311115440845007092023080339.pdf","https://dpmzos25m8ivg.cloudfront.net/Documentos/631/11154408450/6311115440845007092023080339.pdf")</f>
        <v>https://dpmzos25m8ivg.cloudfront.net/Documentos/631/11154408450/6311115440845007092023080339.pdf</v>
      </c>
      <c r="H4809" s="5" t="s">
        <v>13383</v>
      </c>
    </row>
    <row r="4810" spans="1:8" x14ac:dyDescent="0.25">
      <c r="A4810" s="2" t="s">
        <v>4834</v>
      </c>
      <c r="B4810" s="3"/>
      <c r="C4810" s="3"/>
      <c r="D4810" s="3"/>
      <c r="E4810" s="5" t="str">
        <f>HYPERLINK("https://dpmzos25m8ivg.cloudfront.net/Documentos/631/11158110707/6311115811070705092023085831.jpg","https://dpmzos25m8ivg.cloudfront.net/Documentos/631/11158110707/6311115811070705092023085831.jpg")</f>
        <v>https://dpmzos25m8ivg.cloudfront.net/Documentos/631/11158110707/6311115811070705092023085831.jpg</v>
      </c>
      <c r="F4810" s="5" t="str">
        <f>HYPERLINK("https://dpmzos25m8ivg.cloudfront.net/Documentos/631/11158110707/6311115811070705092023085840.jpg","https://dpmzos25m8ivg.cloudfront.net/Documentos/631/11158110707/6311115811070705092023085840.jpg")</f>
        <v>https://dpmzos25m8ivg.cloudfront.net/Documentos/631/11158110707/6311115811070705092023085840.jpg</v>
      </c>
      <c r="G4810" s="5" t="str">
        <f>HYPERLINK("https://dpmzos25m8ivg.cloudfront.net/Documentos/631/11158110707/6311115811070705092023090128.jpg","https://dpmzos25m8ivg.cloudfront.net/Documentos/631/11158110707/6311115811070705092023090128.jpg")</f>
        <v>https://dpmzos25m8ivg.cloudfront.net/Documentos/631/11158110707/6311115811070705092023090128.jpg</v>
      </c>
      <c r="H4810" s="5" t="s">
        <v>13384</v>
      </c>
    </row>
    <row r="4811" spans="1:8" x14ac:dyDescent="0.25">
      <c r="A4811" s="2" t="s">
        <v>4835</v>
      </c>
      <c r="B4811" s="3"/>
      <c r="C4811" s="3"/>
      <c r="D4811" s="3"/>
      <c r="E4811" s="5" t="str">
        <f>HYPERLINK("https://dpmzos25m8ivg.cloudfront.net/Documentos/631/11160296936/6311116029693605092023101109.pdf","https://dpmzos25m8ivg.cloudfront.net/Documentos/631/11160296936/6311116029693605092023101109.pdf")</f>
        <v>https://dpmzos25m8ivg.cloudfront.net/Documentos/631/11160296936/6311116029693605092023101109.pdf</v>
      </c>
      <c r="F4811" s="5" t="str">
        <f>HYPERLINK("https://dpmzos25m8ivg.cloudfront.net/Documentos/631/11160296936/6311116029693605092023101126.pdf","https://dpmzos25m8ivg.cloudfront.net/Documentos/631/11160296936/6311116029693605092023101126.pdf")</f>
        <v>https://dpmzos25m8ivg.cloudfront.net/Documentos/631/11160296936/6311116029693605092023101126.pdf</v>
      </c>
      <c r="G4811" s="5" t="str">
        <f>HYPERLINK("https://dpmzos25m8ivg.cloudfront.net/Documentos/631/11160296936/6311116029693605092023101150.pdf","https://dpmzos25m8ivg.cloudfront.net/Documentos/631/11160296936/6311116029693605092023101150.pdf")</f>
        <v>https://dpmzos25m8ivg.cloudfront.net/Documentos/631/11160296936/6311116029693605092023101150.pdf</v>
      </c>
      <c r="H4811" s="5" t="s">
        <v>13385</v>
      </c>
    </row>
    <row r="4812" spans="1:8" x14ac:dyDescent="0.25">
      <c r="A4812" s="2" t="s">
        <v>4836</v>
      </c>
      <c r="B4812" s="3"/>
      <c r="C4812" s="3"/>
      <c r="D4812" s="3"/>
      <c r="E4812" s="5" t="str">
        <f>HYPERLINK("https://dpmzos25m8ivg.cloudfront.net/Documentos/631/11160867607/6311116086760711092023084638.jpeg","https://dpmzos25m8ivg.cloudfront.net/Documentos/631/11160867607/6311116086760711092023084638.jpeg")</f>
        <v>https://dpmzos25m8ivg.cloudfront.net/Documentos/631/11160867607/6311116086760711092023084638.jpeg</v>
      </c>
      <c r="F4812" s="5" t="str">
        <f>HYPERLINK("https://dpmzos25m8ivg.cloudfront.net/Documentos/631/11160867607/6311116086760711092023084804.jpeg","https://dpmzos25m8ivg.cloudfront.net/Documentos/631/11160867607/6311116086760711092023084804.jpeg")</f>
        <v>https://dpmzos25m8ivg.cloudfront.net/Documentos/631/11160867607/6311116086760711092023084804.jpeg</v>
      </c>
      <c r="G4812" s="5" t="str">
        <f>HYPERLINK("https://dpmzos25m8ivg.cloudfront.net/Documentos/631/11160867607/6311116086760711092023084934.jpeg","https://dpmzos25m8ivg.cloudfront.net/Documentos/631/11160867607/6311116086760711092023084934.jpeg")</f>
        <v>https://dpmzos25m8ivg.cloudfront.net/Documentos/631/11160867607/6311116086760711092023084934.jpeg</v>
      </c>
      <c r="H4812" s="5" t="s">
        <v>13386</v>
      </c>
    </row>
    <row r="4813" spans="1:8" x14ac:dyDescent="0.25">
      <c r="A4813" s="2" t="s">
        <v>4837</v>
      </c>
      <c r="B4813" s="3"/>
      <c r="C4813" s="3"/>
      <c r="D4813" s="3"/>
      <c r="E4813" s="5" t="str">
        <f>HYPERLINK("https://dpmzos25m8ivg.cloudfront.net/Documentos/631/11162285990/6311116228599005092023214932.pdf","https://dpmzos25m8ivg.cloudfront.net/Documentos/631/11162285990/6311116228599005092023214932.pdf")</f>
        <v>https://dpmzos25m8ivg.cloudfront.net/Documentos/631/11162285990/6311116228599005092023214932.pdf</v>
      </c>
      <c r="F4813" s="5" t="str">
        <f>HYPERLINK("https://dpmzos25m8ivg.cloudfront.net/Documentos/631/11162285990/6311116228599005092023214945.pdf","https://dpmzos25m8ivg.cloudfront.net/Documentos/631/11162285990/6311116228599005092023214945.pdf")</f>
        <v>https://dpmzos25m8ivg.cloudfront.net/Documentos/631/11162285990/6311116228599005092023214945.pdf</v>
      </c>
      <c r="G4813" s="5" t="str">
        <f>HYPERLINK("https://dpmzos25m8ivg.cloudfront.net/Documentos/631/11162285990/6311116228599005092023214958.pdf","https://dpmzos25m8ivg.cloudfront.net/Documentos/631/11162285990/6311116228599005092023214958.pdf")</f>
        <v>https://dpmzos25m8ivg.cloudfront.net/Documentos/631/11162285990/6311116228599005092023214958.pdf</v>
      </c>
      <c r="H4813" s="5" t="s">
        <v>13387</v>
      </c>
    </row>
    <row r="4814" spans="1:8" x14ac:dyDescent="0.25">
      <c r="A4814" s="2" t="s">
        <v>4838</v>
      </c>
      <c r="B4814" s="3"/>
      <c r="C4814" s="3"/>
      <c r="D4814" s="3"/>
      <c r="E4814" s="5" t="str">
        <f>HYPERLINK("https://dpmzos25m8ivg.cloudfront.net/Documentos/631/11164504452/6311116450445211092023060111.pdf","https://dpmzos25m8ivg.cloudfront.net/Documentos/631/11164504452/6311116450445211092023060111.pdf")</f>
        <v>https://dpmzos25m8ivg.cloudfront.net/Documentos/631/11164504452/6311116450445211092023060111.pdf</v>
      </c>
      <c r="F4814" s="5" t="str">
        <f>HYPERLINK("https://dpmzos25m8ivg.cloudfront.net/Documentos/631/11164504452/6311116450445211092023060133.pdf","https://dpmzos25m8ivg.cloudfront.net/Documentos/631/11164504452/6311116450445211092023060133.pdf")</f>
        <v>https://dpmzos25m8ivg.cloudfront.net/Documentos/631/11164504452/6311116450445211092023060133.pdf</v>
      </c>
      <c r="G4814" s="5" t="str">
        <f>HYPERLINK("https://dpmzos25m8ivg.cloudfront.net/Documentos/631/11164504452/6311116450445211092023060152.pdf","https://dpmzos25m8ivg.cloudfront.net/Documentos/631/11164504452/6311116450445211092023060152.pdf")</f>
        <v>https://dpmzos25m8ivg.cloudfront.net/Documentos/631/11164504452/6311116450445211092023060152.pdf</v>
      </c>
      <c r="H4814" s="5" t="s">
        <v>13388</v>
      </c>
    </row>
    <row r="4815" spans="1:8" x14ac:dyDescent="0.25">
      <c r="A4815" s="2" t="s">
        <v>4839</v>
      </c>
      <c r="B4815" s="3"/>
      <c r="C4815" s="3"/>
      <c r="D4815" s="3"/>
      <c r="E4815" s="5" t="str">
        <f>HYPERLINK("https://dpmzos25m8ivg.cloudfront.net/Documentos/631/11166243460/6311116624346013092023133108.pdf","https://dpmzos25m8ivg.cloudfront.net/Documentos/631/11166243460/6311116624346013092023133108.pdf")</f>
        <v>https://dpmzos25m8ivg.cloudfront.net/Documentos/631/11166243460/6311116624346013092023133108.pdf</v>
      </c>
      <c r="F4815" s="5" t="str">
        <f>HYPERLINK("https://dpmzos25m8ivg.cloudfront.net/Documentos/631/11166243460/6311116624346013092023152134.pdf","https://dpmzos25m8ivg.cloudfront.net/Documentos/631/11166243460/6311116624346013092023152134.pdf")</f>
        <v>https://dpmzos25m8ivg.cloudfront.net/Documentos/631/11166243460/6311116624346013092023152134.pdf</v>
      </c>
      <c r="G4815" s="5" t="str">
        <f>HYPERLINK("https://dpmzos25m8ivg.cloudfront.net/Documentos/631/11166243460/6311116624346013092023191840.pdf","https://dpmzos25m8ivg.cloudfront.net/Documentos/631/11166243460/6311116624346013092023191840.pdf")</f>
        <v>https://dpmzos25m8ivg.cloudfront.net/Documentos/631/11166243460/6311116624346013092023191840.pdf</v>
      </c>
      <c r="H4815" s="5" t="s">
        <v>13389</v>
      </c>
    </row>
    <row r="4816" spans="1:8" x14ac:dyDescent="0.25">
      <c r="A4816" s="2" t="s">
        <v>4840</v>
      </c>
      <c r="B4816" s="3"/>
      <c r="C4816" s="3"/>
      <c r="D4816" s="3"/>
      <c r="E4816" s="5" t="str">
        <f>HYPERLINK("https://dpmzos25m8ivg.cloudfront.net/Documentos/631/11176599410/6311117659941010092023235425.jpg","https://dpmzos25m8ivg.cloudfront.net/Documentos/631/11176599410/6311117659941010092023235425.jpg")</f>
        <v>https://dpmzos25m8ivg.cloudfront.net/Documentos/631/11176599410/6311117659941010092023235425.jpg</v>
      </c>
      <c r="F4816" s="5" t="str">
        <f>HYPERLINK("https://dpmzos25m8ivg.cloudfront.net/Documentos/631/11176599410/6311117659941010092023235438.jpg","https://dpmzos25m8ivg.cloudfront.net/Documentos/631/11176599410/6311117659941010092023235438.jpg")</f>
        <v>https://dpmzos25m8ivg.cloudfront.net/Documentos/631/11176599410/6311117659941010092023235438.jpg</v>
      </c>
      <c r="G4816" s="5" t="str">
        <f>HYPERLINK("https://dpmzos25m8ivg.cloudfront.net/Documentos/631/11176599410/6311117659941010092023235450.jpg","https://dpmzos25m8ivg.cloudfront.net/Documentos/631/11176599410/6311117659941010092023235450.jpg")</f>
        <v>https://dpmzos25m8ivg.cloudfront.net/Documentos/631/11176599410/6311117659941010092023235450.jpg</v>
      </c>
      <c r="H4816" s="5" t="s">
        <v>13390</v>
      </c>
    </row>
    <row r="4817" spans="1:8" x14ac:dyDescent="0.25">
      <c r="A4817" s="2" t="s">
        <v>4841</v>
      </c>
      <c r="B4817" s="16" t="s">
        <v>4646</v>
      </c>
      <c r="C4817" s="3"/>
      <c r="D4817" s="3"/>
      <c r="E4817" s="5" t="str">
        <f>HYPERLINK("https://dpmzos25m8ivg.cloudfront.net/Documentos/631/11184912467/6311118491246711092023164609.jpeg","https://dpmzos25m8ivg.cloudfront.net/Documentos/631/11184912467/6311118491246711092023164609.jpeg")</f>
        <v>https://dpmzos25m8ivg.cloudfront.net/Documentos/631/11184912467/6311118491246711092023164609.jpeg</v>
      </c>
      <c r="F4817" s="5" t="str">
        <f>HYPERLINK("https://dpmzos25m8ivg.cloudfront.net/Documentos/631/11184912467/6311118491246711092023164623.jpeg","https://dpmzos25m8ivg.cloudfront.net/Documentos/631/11184912467/6311118491246711092023164623.jpeg")</f>
        <v>https://dpmzos25m8ivg.cloudfront.net/Documentos/631/11184912467/6311118491246711092023164623.jpeg</v>
      </c>
      <c r="G4817" s="5" t="str">
        <f>HYPERLINK("https://dpmzos25m8ivg.cloudfront.net/Documentos/631/11184912467/6311118491246711092023164634.jpeg","https://dpmzos25m8ivg.cloudfront.net/Documentos/631/11184912467/6311118491246711092023164634.jpeg")</f>
        <v>https://dpmzos25m8ivg.cloudfront.net/Documentos/631/11184912467/6311118491246711092023164634.jpeg</v>
      </c>
      <c r="H4817" s="5" t="s">
        <v>13391</v>
      </c>
    </row>
    <row r="4818" spans="1:8" x14ac:dyDescent="0.25">
      <c r="A4818" s="2" t="s">
        <v>4842</v>
      </c>
      <c r="B4818" s="3"/>
      <c r="C4818" s="3"/>
      <c r="D4818" s="3"/>
      <c r="E4818" s="5" t="str">
        <f>HYPERLINK("https://dpmzos25m8ivg.cloudfront.net/Documentos/631/11186012463/6311118601246310092023195636.pdf","https://dpmzos25m8ivg.cloudfront.net/Documentos/631/11186012463/6311118601246310092023195636.pdf")</f>
        <v>https://dpmzos25m8ivg.cloudfront.net/Documentos/631/11186012463/6311118601246310092023195636.pdf</v>
      </c>
      <c r="F4818" s="5" t="str">
        <f>HYPERLINK("https://dpmzos25m8ivg.cloudfront.net/Documentos/631/11186012463/6311118601246310092023195826.pdf","https://dpmzos25m8ivg.cloudfront.net/Documentos/631/11186012463/6311118601246310092023195826.pdf")</f>
        <v>https://dpmzos25m8ivg.cloudfront.net/Documentos/631/11186012463/6311118601246310092023195826.pdf</v>
      </c>
      <c r="G4818" s="5" t="str">
        <f>HYPERLINK("https://dpmzos25m8ivg.cloudfront.net/Documentos/631/11186012463/6311118601246310092023200033.pdf","https://dpmzos25m8ivg.cloudfront.net/Documentos/631/11186012463/6311118601246310092023200033.pdf")</f>
        <v>https://dpmzos25m8ivg.cloudfront.net/Documentos/631/11186012463/6311118601246310092023200033.pdf</v>
      </c>
      <c r="H4818" s="5" t="s">
        <v>13392</v>
      </c>
    </row>
    <row r="4819" spans="1:8" x14ac:dyDescent="0.25">
      <c r="A4819" s="2" t="s">
        <v>4843</v>
      </c>
      <c r="B4819" s="3"/>
      <c r="C4819" s="3"/>
      <c r="D4819" s="3"/>
      <c r="E4819" s="5" t="str">
        <f>HYPERLINK("https://dpmzos25m8ivg.cloudfront.net/Documentos/631/11186156627/6311118615662705092023110956.pdf","https://dpmzos25m8ivg.cloudfront.net/Documentos/631/11186156627/6311118615662705092023110956.pdf")</f>
        <v>https://dpmzos25m8ivg.cloudfront.net/Documentos/631/11186156627/6311118615662705092023110956.pdf</v>
      </c>
      <c r="F4819" s="5" t="str">
        <f>HYPERLINK("https://dpmzos25m8ivg.cloudfront.net/Documentos/631/11186156627/6311118615662705092023111004.pdf","https://dpmzos25m8ivg.cloudfront.net/Documentos/631/11186156627/6311118615662705092023111004.pdf")</f>
        <v>https://dpmzos25m8ivg.cloudfront.net/Documentos/631/11186156627/6311118615662705092023111004.pdf</v>
      </c>
      <c r="G4819" s="5" t="str">
        <f>HYPERLINK("https://dpmzos25m8ivg.cloudfront.net/Documentos/631/11186156627/6311118615662705092023111014.pdf","https://dpmzos25m8ivg.cloudfront.net/Documentos/631/11186156627/6311118615662705092023111014.pdf")</f>
        <v>https://dpmzos25m8ivg.cloudfront.net/Documentos/631/11186156627/6311118615662705092023111014.pdf</v>
      </c>
      <c r="H4819" s="5" t="s">
        <v>13393</v>
      </c>
    </row>
    <row r="4820" spans="1:8" x14ac:dyDescent="0.25">
      <c r="A4820" s="2" t="s">
        <v>4844</v>
      </c>
      <c r="B4820" s="3"/>
      <c r="C4820" s="3"/>
      <c r="D4820" s="3"/>
      <c r="E4820" s="5" t="str">
        <f>HYPERLINK("https://dpmzos25m8ivg.cloudfront.net/Documentos/631/11186417951/6311118641795114092023155300.pdf","https://dpmzos25m8ivg.cloudfront.net/Documentos/631/11186417951/6311118641795114092023155300.pdf")</f>
        <v>https://dpmzos25m8ivg.cloudfront.net/Documentos/631/11186417951/6311118641795114092023155300.pdf</v>
      </c>
      <c r="F4820" s="5" t="str">
        <f>HYPERLINK("https://dpmzos25m8ivg.cloudfront.net/Documentos/631/11186417951/6311118641795114092023155234.pdf","https://dpmzos25m8ivg.cloudfront.net/Documentos/631/11186417951/6311118641795114092023155234.pdf")</f>
        <v>https://dpmzos25m8ivg.cloudfront.net/Documentos/631/11186417951/6311118641795114092023155234.pdf</v>
      </c>
      <c r="G4820" s="5" t="str">
        <f>HYPERLINK("https://dpmzos25m8ivg.cloudfront.net/Documentos/631/11186417951/6311118641795114092023155309.pdf","https://dpmzos25m8ivg.cloudfront.net/Documentos/631/11186417951/6311118641795114092023155309.pdf")</f>
        <v>https://dpmzos25m8ivg.cloudfront.net/Documentos/631/11186417951/6311118641795114092023155309.pdf</v>
      </c>
      <c r="H4820" s="5" t="s">
        <v>13394</v>
      </c>
    </row>
    <row r="4821" spans="1:8" x14ac:dyDescent="0.25">
      <c r="A4821" s="2" t="s">
        <v>4845</v>
      </c>
      <c r="B4821" s="3"/>
      <c r="C4821" s="3"/>
      <c r="D4821" s="3"/>
      <c r="E4821" s="5" t="str">
        <f>HYPERLINK("https://dpmzos25m8ivg.cloudfront.net/Documentos/631/11189004640/6311118900464011092023144253.pdf","https://dpmzos25m8ivg.cloudfront.net/Documentos/631/11189004640/6311118900464011092023144253.pdf")</f>
        <v>https://dpmzos25m8ivg.cloudfront.net/Documentos/631/11189004640/6311118900464011092023144253.pdf</v>
      </c>
      <c r="F4821" s="5" t="str">
        <f>HYPERLINK("https://dpmzos25m8ivg.cloudfront.net/Documentos/631/11189004640/6311118900464011092023144237.pdf","https://dpmzos25m8ivg.cloudfront.net/Documentos/631/11189004640/6311118900464011092023144237.pdf")</f>
        <v>https://dpmzos25m8ivg.cloudfront.net/Documentos/631/11189004640/6311118900464011092023144237.pdf</v>
      </c>
      <c r="G4821" s="5" t="str">
        <f>HYPERLINK("https://dpmzos25m8ivg.cloudfront.net/Documentos/631/11189004640/6311118900464011092023144324.pdf","https://dpmzos25m8ivg.cloudfront.net/Documentos/631/11189004640/6311118900464011092023144324.pdf")</f>
        <v>https://dpmzos25m8ivg.cloudfront.net/Documentos/631/11189004640/6311118900464011092023144324.pdf</v>
      </c>
      <c r="H4821" s="5" t="s">
        <v>13395</v>
      </c>
    </row>
    <row r="4822" spans="1:8" x14ac:dyDescent="0.25">
      <c r="A4822" s="2" t="s">
        <v>4846</v>
      </c>
      <c r="B4822" s="3"/>
      <c r="C4822" s="3"/>
      <c r="D4822" s="3"/>
      <c r="E4822" s="5" t="str">
        <f>HYPERLINK("https://dpmzos25m8ivg.cloudfront.net/Documentos/631/11189186659/6311118918665914092023163706.pdf","https://dpmzos25m8ivg.cloudfront.net/Documentos/631/11189186659/6311118918665914092023163706.pdf")</f>
        <v>https://dpmzos25m8ivg.cloudfront.net/Documentos/631/11189186659/6311118918665914092023163706.pdf</v>
      </c>
      <c r="F4822" s="5" t="str">
        <f>HYPERLINK("https://dpmzos25m8ivg.cloudfront.net/Documentos/631/11189186659/6311118918665914092023163716.pdf","https://dpmzos25m8ivg.cloudfront.net/Documentos/631/11189186659/6311118918665914092023163716.pdf")</f>
        <v>https://dpmzos25m8ivg.cloudfront.net/Documentos/631/11189186659/6311118918665914092023163716.pdf</v>
      </c>
      <c r="G4822" s="5" t="str">
        <f>HYPERLINK("https://dpmzos25m8ivg.cloudfront.net/Documentos/631/11189186659/6311118918665914092023163726.pdf","https://dpmzos25m8ivg.cloudfront.net/Documentos/631/11189186659/6311118918665914092023163726.pdf")</f>
        <v>https://dpmzos25m8ivg.cloudfront.net/Documentos/631/11189186659/6311118918665914092023163726.pdf</v>
      </c>
      <c r="H4822" s="5" t="s">
        <v>13396</v>
      </c>
    </row>
    <row r="4823" spans="1:8" x14ac:dyDescent="0.25">
      <c r="A4823" s="2" t="s">
        <v>4847</v>
      </c>
      <c r="B4823" s="3"/>
      <c r="C4823" s="3"/>
      <c r="D4823" s="3"/>
      <c r="E4823" s="5" t="str">
        <f>HYPERLINK("https://dpmzos25m8ivg.cloudfront.net/Documentos/631/11191782662/6311119178266210092023202426.jpg","https://dpmzos25m8ivg.cloudfront.net/Documentos/631/11191782662/6311119178266210092023202426.jpg")</f>
        <v>https://dpmzos25m8ivg.cloudfront.net/Documentos/631/11191782662/6311119178266210092023202426.jpg</v>
      </c>
      <c r="F4823" s="5" t="str">
        <f>HYPERLINK("https://dpmzos25m8ivg.cloudfront.net/Documentos/631/11191782662/6311119178266210092023202438.jpg","https://dpmzos25m8ivg.cloudfront.net/Documentos/631/11191782662/6311119178266210092023202438.jpg")</f>
        <v>https://dpmzos25m8ivg.cloudfront.net/Documentos/631/11191782662/6311119178266210092023202438.jpg</v>
      </c>
      <c r="G4823" s="5" t="str">
        <f>HYPERLINK("https://dpmzos25m8ivg.cloudfront.net/Documentos/631/11191782662/6311119178266210092023202451.jpg","https://dpmzos25m8ivg.cloudfront.net/Documentos/631/11191782662/6311119178266210092023202451.jpg")</f>
        <v>https://dpmzos25m8ivg.cloudfront.net/Documentos/631/11191782662/6311119178266210092023202451.jpg</v>
      </c>
      <c r="H4823" s="5" t="s">
        <v>13397</v>
      </c>
    </row>
    <row r="4824" spans="1:8" x14ac:dyDescent="0.25">
      <c r="A4824" s="2" t="s">
        <v>4848</v>
      </c>
      <c r="B4824" s="3"/>
      <c r="C4824" s="3"/>
      <c r="D4824" s="3"/>
      <c r="E4824" s="5" t="str">
        <f>HYPERLINK("https://dpmzos25m8ivg.cloudfront.net/Documentos/631/11196344400/6311119634440010092023205131.jpeg","https://AR942dpmzos25m8ivg.cloudfront.net/Documentos/631/11196344400/6311119634440010092023205131.jpeg")</f>
        <v>https://AR942dpmzos25m8ivg.cloudfront.net/Documentos/631/11196344400/6311119634440010092023205131.jpeg</v>
      </c>
      <c r="F4824" s="5" t="str">
        <f>HYPERLINK("https://dpmzos25m8ivg.cloudfront.net/Documentos/631/11196344400/6311119634440010092023205144.jpeg","https://dpmzos25m8ivg.cloudfront.net/Documentos/631/11196344400/6311119634440010092023205144.jpeg")</f>
        <v>https://dpmzos25m8ivg.cloudfront.net/Documentos/631/11196344400/6311119634440010092023205144.jpeg</v>
      </c>
      <c r="G4824" s="5" t="str">
        <f>HYPERLINK("https://dpmzos25m8ivg.cloudfront.net/Documentos/631/11196344400/6311119634440010092023205155.jpeg","https://dpmzos25m8ivg.cloudfront.net/Documentos/631/11196344400/6311119634440010092023205155.jpeg")</f>
        <v>https://dpmzos25m8ivg.cloudfront.net/Documentos/631/11196344400/6311119634440010092023205155.jpeg</v>
      </c>
      <c r="H4824" s="5" t="s">
        <v>13398</v>
      </c>
    </row>
    <row r="4825" spans="1:8" x14ac:dyDescent="0.25">
      <c r="A4825" s="2" t="s">
        <v>4849</v>
      </c>
      <c r="B4825" s="3"/>
      <c r="C4825" s="3"/>
      <c r="D4825" s="3"/>
      <c r="E4825" s="5" t="str">
        <f>HYPERLINK("https://dpmzos25m8ivg.cloudfront.net/Documentos/631/11203770723/6311120377072310092023212446.pdf","https://dpmzos25m8ivg.cloudfront.net/Documentos/631/11203770723/6311120377072310092023212446.pdf")</f>
        <v>https://dpmzos25m8ivg.cloudfront.net/Documentos/631/11203770723/6311120377072310092023212446.pdf</v>
      </c>
      <c r="F4825" s="5" t="str">
        <f>HYPERLINK("https://dpmzos25m8ivg.cloudfront.net/Documentos/631/11203770723/6311120377072311092023111928.pdf","https://dpmzos25m8ivg.cloudfront.net/Documentos/631/11203770723/6311120377072311092023111928.pdf")</f>
        <v>https://dpmzos25m8ivg.cloudfront.net/Documentos/631/11203770723/6311120377072311092023111928.pdf</v>
      </c>
      <c r="G4825" s="5" t="str">
        <f>HYPERLINK("https://dpmzos25m8ivg.cloudfront.net/Documentos/631/11203770723/6311120377072310092023212753.pdf","https://dpmzos25m8ivg.cloudfront.net/Documentos/631/11203770723/6311120377072310092023212753.pdf")</f>
        <v>https://dpmzos25m8ivg.cloudfront.net/Documentos/631/11203770723/6311120377072310092023212753.pdf</v>
      </c>
      <c r="H4825" s="5" t="s">
        <v>13399</v>
      </c>
    </row>
    <row r="4826" spans="1:8" x14ac:dyDescent="0.25">
      <c r="A4826" s="2" t="s">
        <v>4850</v>
      </c>
      <c r="B4826" s="3"/>
      <c r="C4826" s="3"/>
      <c r="D4826" s="3"/>
      <c r="E4826" s="5" t="str">
        <f>HYPERLINK("https://dpmzos25m8ivg.cloudfront.net/Documentos/631/11207518611/6311120751861111092023095145.jpg","https://dpmzos25m8ivg.cloudfront.net/Documentos/631/11207518611/6311120751861111092023095145.jpg")</f>
        <v>https://dpmzos25m8ivg.cloudfront.net/Documentos/631/11207518611/6311120751861111092023095145.jpg</v>
      </c>
      <c r="F4826" s="5" t="str">
        <f>HYPERLINK("https://dpmzos25m8ivg.cloudfront.net/Documentos/631/11207518611/6311120751861111092023095155.jpg","https://dpmzos25m8ivg.cloudfront.net/Documentos/631/11207518611/6311120751861111092023095155.jpg")</f>
        <v>https://dpmzos25m8ivg.cloudfront.net/Documentos/631/11207518611/6311120751861111092023095155.jpg</v>
      </c>
      <c r="G4826" s="5" t="str">
        <f>HYPERLINK("https://dpmzos25m8ivg.cloudfront.net/Documentos/631/11207518611/6311120751861111092023095228.jpg","https://dpmzos25m8ivg.cloudfront.net/Documentos/631/11207518611/6311120751861111092023095228.jpg")</f>
        <v>https://dpmzos25m8ivg.cloudfront.net/Documentos/631/11207518611/6311120751861111092023095228.jpg</v>
      </c>
      <c r="H4826" s="5" t="s">
        <v>13400</v>
      </c>
    </row>
    <row r="4827" spans="1:8" x14ac:dyDescent="0.25">
      <c r="A4827" s="2" t="s">
        <v>4851</v>
      </c>
      <c r="B4827" s="3"/>
      <c r="C4827" s="3"/>
      <c r="D4827" s="3"/>
      <c r="E4827" s="5" t="str">
        <f>HYPERLINK("https://dpmzos25m8ivg.cloudfront.net/Documentos/631/11221012444/6311122101244410092023123148.pdf","https://dpmzos25m8ivg.cloudfront.net/Documentos/631/11221012444/6311122101244410092023123148.pdf")</f>
        <v>https://dpmzos25m8ivg.cloudfront.net/Documentos/631/11221012444/6311122101244410092023123148.pdf</v>
      </c>
      <c r="F4827" s="5" t="str">
        <f>HYPERLINK("https://dpmzos25m8ivg.cloudfront.net/Documentos/631/11221012444/6311122101244410092023123309.pdf","https://dpmzos25m8ivg.cloudfront.net/Documentos/631/11221012444/6311122101244410092023123309.pdf")</f>
        <v>https://dpmzos25m8ivg.cloudfront.net/Documentos/631/11221012444/6311122101244410092023123309.pdf</v>
      </c>
      <c r="G4827" s="5" t="str">
        <f>HYPERLINK("https://dpmzos25m8ivg.cloudfront.net/Documentos/631/11221012444/6311122101244410092023123400.pdf","https://dpmzos25m8ivg.cloudfront.net/Documentos/631/11221012444/6311122101244410092023123400.pdf")</f>
        <v>https://dpmzos25m8ivg.cloudfront.net/Documentos/631/11221012444/6311122101244410092023123400.pdf</v>
      </c>
      <c r="H4827" s="5" t="s">
        <v>13401</v>
      </c>
    </row>
    <row r="4828" spans="1:8" x14ac:dyDescent="0.25">
      <c r="A4828" s="2" t="s">
        <v>4852</v>
      </c>
      <c r="B4828" s="3"/>
      <c r="C4828" s="3"/>
      <c r="D4828" s="3"/>
      <c r="E4828" s="5" t="str">
        <f>HYPERLINK("https://dpmzos25m8ivg.cloudfront.net/Documentos/631/11221915614/6311122191561411092023114208.pdf","https://dpmzos25m8ivg.cloudfront.net/Documentos/631/11221915614/6311122191561411092023114208.pdf")</f>
        <v>https://dpmzos25m8ivg.cloudfront.net/Documentos/631/11221915614/6311122191561411092023114208.pdf</v>
      </c>
      <c r="F4828" s="5" t="str">
        <f>HYPERLINK("https://dpmzos25m8ivg.cloudfront.net/Documentos/631/11221915614/6311122191561411092023114218.pdf","https://dpmzos25m8ivg.cloudfront.net/Documentos/631/11221915614/6311122191561411092023114218.pdf")</f>
        <v>https://dpmzos25m8ivg.cloudfront.net/Documentos/631/11221915614/6311122191561411092023114218.pdf</v>
      </c>
      <c r="G4828" s="5" t="str">
        <f>HYPERLINK("https://dpmzos25m8ivg.cloudfront.net/Documentos/631/11221915614/6311122191561411092023114236.pdf","https://dpmzos25m8ivg.cloudfront.net/Documentos/631/11221915614/6311122191561411092023114236.pdf")</f>
        <v>https://dpmzos25m8ivg.cloudfront.net/Documentos/631/11221915614/6311122191561411092023114236.pdf</v>
      </c>
      <c r="H4828" s="5" t="s">
        <v>13402</v>
      </c>
    </row>
    <row r="4829" spans="1:8" x14ac:dyDescent="0.25">
      <c r="A4829" s="2" t="s">
        <v>4853</v>
      </c>
      <c r="B4829" s="16" t="s">
        <v>4646</v>
      </c>
      <c r="C4829" s="3"/>
      <c r="D4829" s="3"/>
      <c r="E4829" s="5" t="str">
        <f>HYPERLINK("https://dpmzos25m8ivg.cloudfront.net/Documentos/631/11231208465/6311123120846506092023213655.pdf","https://dpmzos25m8ivg.cloudfront.net/Documentos/631/11231208465/6311123120846506092023213655.pdf")</f>
        <v>https://dpmzos25m8ivg.cloudfront.net/Documentos/631/11231208465/6311123120846506092023213655.pdf</v>
      </c>
      <c r="F4829" s="5" t="str">
        <f>HYPERLINK("https://dpmzos25m8ivg.cloudfront.net/Documentos/631/11231208465/6311123120846506092023213729.pdf","https://dpmzos25m8ivg.cloudfront.net/Documentos/631/11231208465/6311123120846506092023213729.pdf")</f>
        <v>https://dpmzos25m8ivg.cloudfront.net/Documentos/631/11231208465/6311123120846506092023213729.pdf</v>
      </c>
      <c r="G4829" s="5" t="str">
        <f>HYPERLINK("https://dpmzos25m8ivg.cloudfront.net/Documentos/631/11231208465/6311123120846506092023213807.pdf","https://dpmzos25m8ivg.cloudfront.net/Documentos/631/11231208465/6311123120846506092023213807.pdf")</f>
        <v>https://dpmzos25m8ivg.cloudfront.net/Documentos/631/11231208465/6311123120846506092023213807.pdf</v>
      </c>
      <c r="H4829" s="5" t="s">
        <v>13403</v>
      </c>
    </row>
    <row r="4830" spans="1:8" x14ac:dyDescent="0.25">
      <c r="A4830" s="2" t="s">
        <v>4854</v>
      </c>
      <c r="B4830" s="3"/>
      <c r="C4830" s="3"/>
      <c r="D4830" s="3"/>
      <c r="E4830" s="5" t="str">
        <f>HYPERLINK("https://dpmzos25m8ivg.cloudfront.net/Documentos/631/11239100493/6311123910049311092023164733.jpeg","https://dpmzos25m8ivg.cloudfront.net/Documentos/631/11239100493/6311123910049311092023164733.jpeg")</f>
        <v>https://dpmzos25m8ivg.cloudfront.net/Documentos/631/11239100493/6311123910049311092023164733.jpeg</v>
      </c>
      <c r="F4830" s="5" t="str">
        <f>HYPERLINK("https://dpmzos25m8ivg.cloudfront.net/Documentos/631/11239100493/6311123910049311092023164738.jpeg","https://dpmzos25m8ivg.cloudfront.net/Documentos/631/11239100493/6311123910049311092023164738.jpeg")</f>
        <v>https://dpmzos25m8ivg.cloudfront.net/Documentos/631/11239100493/6311123910049311092023164738.jpeg</v>
      </c>
      <c r="G4830" s="5" t="str">
        <f>HYPERLINK("https://dpmzos25m8ivg.cloudfront.net/Documentos/631/11239100493/6311123910049311092023164745.jpeg","https://dpmzos25m8ivg.cloudfront.net/Documentos/631/11239100493/6311123910049311092023164745.jpeg")</f>
        <v>https://dpmzos25m8ivg.cloudfront.net/Documentos/631/11239100493/6311123910049311092023164745.jpeg</v>
      </c>
      <c r="H4830" s="5" t="s">
        <v>13404</v>
      </c>
    </row>
    <row r="4831" spans="1:8" x14ac:dyDescent="0.25">
      <c r="A4831" s="2" t="s">
        <v>4855</v>
      </c>
      <c r="B4831" s="3"/>
      <c r="C4831" s="3"/>
      <c r="D4831" s="3"/>
      <c r="E4831" s="5" t="str">
        <f>HYPERLINK("https://dpmzos25m8ivg.cloudfront.net/Documentos/631/11246679892/6311124667989211092023155454.pdf","https://dpmzos25m8ivg.cloudfront.net/Documentos/631/11246679892/6311124667989211092023155454.pdf")</f>
        <v>https://dpmzos25m8ivg.cloudfront.net/Documentos/631/11246679892/6311124667989211092023155454.pdf</v>
      </c>
      <c r="F4831" s="5" t="str">
        <f>HYPERLINK("https://dpmzos25m8ivg.cloudfront.net/Documentos/631/11246679892/6311124667989211092023155501.pdf","https://dpmzos25m8ivg.cloudfront.net/Documentos/631/11246679892/6311124667989211092023155501.pdf")</f>
        <v>https://dpmzos25m8ivg.cloudfront.net/Documentos/631/11246679892/6311124667989211092023155501.pdf</v>
      </c>
      <c r="G4831" s="5" t="str">
        <f>HYPERLINK("https://dpmzos25m8ivg.cloudfront.net/Documentos/631/11246679892/6311124667989211092023155508.pdf","https://dpmzos25m8ivg.cloudfront.net/Documentos/631/11246679892/6311124667989211092023155508.pdf")</f>
        <v>https://dpmzos25m8ivg.cloudfront.net/Documentos/631/11246679892/6311124667989211092023155508.pdf</v>
      </c>
      <c r="H4831" s="5" t="s">
        <v>13405</v>
      </c>
    </row>
    <row r="4832" spans="1:8" x14ac:dyDescent="0.25">
      <c r="A4832" s="2" t="s">
        <v>4856</v>
      </c>
      <c r="B4832" s="19" t="s">
        <v>4857</v>
      </c>
      <c r="C4832" s="3"/>
      <c r="D4832" s="3"/>
      <c r="E4832" s="5" t="str">
        <f>HYPERLINK("https://dpmzos25m8ivg.cloudfront.net/Documentos/631/11247412407/6311124741240705092023112137.pdf","https://dpmzos25m8ivg.cloudfront.net/Documentos/631/11247412407/6311124741240705092023112137.pdf")</f>
        <v>https://dpmzos25m8ivg.cloudfront.net/Documentos/631/11247412407/6311124741240705092023112137.pdf</v>
      </c>
      <c r="F4832" s="5" t="str">
        <f>HYPERLINK("https://dpmzos25m8ivg.cloudfront.net/Documentos/631/11247412407/6311124741240705092023112144.pdf","https://dpmzos25m8ivg.cloudfront.net/Documentos/631/11247412407/6311124741240705092023112144.pdf")</f>
        <v>https://dpmzos25m8ivg.cloudfront.net/Documentos/631/11247412407/6311124741240705092023112144.pdf</v>
      </c>
      <c r="G4832" s="5" t="str">
        <f>HYPERLINK("https://dpmzos25m8ivg.cloudfront.net/Documentos/631/11247412407/6311124741240705092023155858.pdf","https://dpmzos25m8ivg.cloudfront.net/Documentos/631/11247412407/6311124741240705092023155858.pdf")</f>
        <v>https://dpmzos25m8ivg.cloudfront.net/Documentos/631/11247412407/6311124741240705092023155858.pdf</v>
      </c>
      <c r="H4832" s="5" t="s">
        <v>13406</v>
      </c>
    </row>
    <row r="4833" spans="1:8" x14ac:dyDescent="0.25">
      <c r="A4833" s="2" t="s">
        <v>4858</v>
      </c>
      <c r="B4833" s="16" t="s">
        <v>2358</v>
      </c>
      <c r="C4833" s="3"/>
      <c r="D4833" s="3"/>
      <c r="E4833" s="5" t="str">
        <f>HYPERLINK("https://dpmzos25m8ivg.cloudfront.net/Documentos/631/11249776430/6311124977643011092023141321.pdf","https://dpmzos25m8ivg.cloudfront.net/Documentos/631/11249776430/6311124977643011092023141321.pdf")</f>
        <v>https://dpmzos25m8ivg.cloudfront.net/Documentos/631/11249776430/6311124977643011092023141321.pdf</v>
      </c>
      <c r="F4833" s="5" t="str">
        <f>HYPERLINK("https://dpmzos25m8ivg.cloudfront.net/Documentos/631/11249776430/6311124977643011092023141332.pdf","https://dpmzos25m8ivg.cloudfront.net/Documentos/631/11249776430/6311124977643011092023141332.pdf")</f>
        <v>https://dpmzos25m8ivg.cloudfront.net/Documentos/631/11249776430/6311124977643011092023141332.pdf</v>
      </c>
      <c r="G4833" s="5" t="str">
        <f>HYPERLINK("https://dpmzos25m8ivg.cloudfront.net/Documentos/631/11249776430/6311124977643011092023141341.pdf","https://dpmzos25m8ivg.cloudfront.net/Documentos/631/11249776430/6311124977643011092023141341.pdf")</f>
        <v>https://dpmzos25m8ivg.cloudfront.net/Documentos/631/11249776430/6311124977643011092023141341.pdf</v>
      </c>
      <c r="H4833" s="5" t="s">
        <v>13407</v>
      </c>
    </row>
    <row r="4834" spans="1:8" x14ac:dyDescent="0.25">
      <c r="A4834" s="2" t="s">
        <v>4859</v>
      </c>
      <c r="B4834" s="3"/>
      <c r="C4834" s="3"/>
      <c r="D4834" s="3"/>
      <c r="E4834" s="5" t="str">
        <f>HYPERLINK("https://dpmzos25m8ivg.cloudfront.net/Documentos/631/11262418909/6311126241890913092023233339.pdf","https://dpmzos25m8ivg.cloudfront.net/Documentos/631/11262418909/6311126241890913092023233339.pdf")</f>
        <v>https://dpmzos25m8ivg.cloudfront.net/Documentos/631/11262418909/6311126241890913092023233339.pdf</v>
      </c>
      <c r="F4834" s="5" t="str">
        <f>HYPERLINK("https://dpmzos25m8ivg.cloudfront.net/Documentos/631/11262418909/6311126241890913092023233407.pdf","https://dpmzos25m8ivg.cloudfront.net/Documentos/631/11262418909/6311126241890913092023233407.pdf")</f>
        <v>https://dpmzos25m8ivg.cloudfront.net/Documentos/631/11262418909/6311126241890913092023233407.pdf</v>
      </c>
      <c r="G4834" s="5" t="str">
        <f>HYPERLINK("https://dpmzos25m8ivg.cloudfront.net/Documentos/631/11262418909/6311126241890913092023233417.pdf","https://dpmzos25m8ivg.cloudfront.net/Documentos/631/11262418909/6311126241890913092023233417.pdf")</f>
        <v>https://dpmzos25m8ivg.cloudfront.net/Documentos/631/11262418909/6311126241890913092023233417.pdf</v>
      </c>
      <c r="H4834" s="5" t="s">
        <v>13408</v>
      </c>
    </row>
    <row r="4835" spans="1:8" x14ac:dyDescent="0.25">
      <c r="A4835" s="2" t="s">
        <v>4860</v>
      </c>
      <c r="B4835" s="3"/>
      <c r="C4835" s="3"/>
      <c r="D4835" s="3"/>
      <c r="E4835" s="5" t="str">
        <f>HYPERLINK("https://dpmzos25m8ivg.cloudfront.net/Documentos/631/11266739432/6311126673943208092023124240.jpg","https://dpmzos25m8ivg.cloudfront.net/Documentos/631/11266739432/6311126673943208092023124240.jpg")</f>
        <v>https://dpmzos25m8ivg.cloudfront.net/Documentos/631/11266739432/6311126673943208092023124240.jpg</v>
      </c>
      <c r="F4835" s="5" t="str">
        <f>HYPERLINK("https://dpmzos25m8ivg.cloudfront.net/Documentos/631/11266739432/6311126673943208092023125351.jpg","https://dpmzos25m8ivg.cloudfront.net/Documentos/631/11266739432/6311126673943208092023125351.jpg")</f>
        <v>https://dpmzos25m8ivg.cloudfront.net/Documentos/631/11266739432/6311126673943208092023125351.jpg</v>
      </c>
      <c r="G4835" s="5" t="str">
        <f>HYPERLINK("https://dpmzos25m8ivg.cloudfront.net/Documentos/631/11266739432/6311126673943208092023125402.jpg","https://dpmzos25m8ivg.cloudfront.net/Documentos/631/11266739432/6311126673943208092023125402.jpg")</f>
        <v>https://dpmzos25m8ivg.cloudfront.net/Documentos/631/11266739432/6311126673943208092023125402.jpg</v>
      </c>
      <c r="H4835" s="5" t="s">
        <v>13409</v>
      </c>
    </row>
    <row r="4836" spans="1:8" x14ac:dyDescent="0.25">
      <c r="A4836" s="2" t="s">
        <v>4861</v>
      </c>
      <c r="B4836" s="3"/>
      <c r="C4836" s="3"/>
      <c r="D4836" s="3"/>
      <c r="E4836" s="5" t="str">
        <f>HYPERLINK("https://dpmzos25m8ivg.cloudfront.net/Documentos/631/11268146951/6311126814695111092023115606.pdf","https://dpmzos25m8ivg.cloudfront.net/Documentos/631/11268146951/6311126814695111092023115606.pdf")</f>
        <v>https://dpmzos25m8ivg.cloudfront.net/Documentos/631/11268146951/6311126814695111092023115606.pdf</v>
      </c>
      <c r="F4836" s="5" t="str">
        <f>HYPERLINK("https://dpmzos25m8ivg.cloudfront.net/Documentos/631/11268146951/6311126814695111092023115621.pdf","https://dpmzos25m8ivg.cloudfront.net/Documentos/631/11268146951/6311126814695111092023115621.pdf")</f>
        <v>https://dpmzos25m8ivg.cloudfront.net/Documentos/631/11268146951/6311126814695111092023115621.pdf</v>
      </c>
      <c r="G4836" s="5" t="str">
        <f>HYPERLINK("https://dpmzos25m8ivg.cloudfront.net/Documentos/631/11268146951/6311126814695111092023115651.pdf","https://dpmzos25m8ivg.cloudfront.net/Documentos/631/11268146951/6311126814695111092023115651.pdf")</f>
        <v>https://dpmzos25m8ivg.cloudfront.net/Documentos/631/11268146951/6311126814695111092023115651.pdf</v>
      </c>
      <c r="H4836" s="5" t="s">
        <v>13410</v>
      </c>
    </row>
    <row r="4837" spans="1:8" x14ac:dyDescent="0.25">
      <c r="A4837" s="21" t="s">
        <v>4862</v>
      </c>
      <c r="B4837" s="16"/>
      <c r="C4837" s="3"/>
      <c r="D4837" s="3"/>
      <c r="E4837" s="5" t="str">
        <f>HYPERLINK("https://dpmzos25m8ivg.cloudfront.net/Documentos/631/11272692671/6311127269267108092023115222.pdf","https://dpmzos25m8ivg.cloudfront.net/Documentos/631/11272692671/6311127269267108092023115222.pdf")</f>
        <v>https://dpmzos25m8ivg.cloudfront.net/Documentos/631/11272692671/6311127269267108092023115222.pdf</v>
      </c>
      <c r="F4837" s="5" t="str">
        <f>HYPERLINK("https://dpmzos25m8ivg.cloudfront.net/Documentos/631/11272692671/6311127269267108092023115250.pdf","https://dpmzos25m8ivg.cloudfront.net/Documentos/631/11272692671/6311127269267108092023115250.pdf")</f>
        <v>https://dpmzos25m8ivg.cloudfront.net/Documentos/631/11272692671/6311127269267108092023115250.pdf</v>
      </c>
      <c r="G4837" s="5" t="str">
        <f>HYPERLINK("https://dpmzos25m8ivg.cloudfront.net/Documentos/631/11272692671/6311127269267108092023115314.pdf","https://dpmzos25m8ivg.cloudfront.net/Documentos/631/11272692671/6311127269267108092023115314.pdf")</f>
        <v>https://dpmzos25m8ivg.cloudfront.net/Documentos/631/11272692671/6311127269267108092023115314.pdf</v>
      </c>
      <c r="H4837" s="5" t="s">
        <v>13411</v>
      </c>
    </row>
    <row r="4838" spans="1:8" x14ac:dyDescent="0.25">
      <c r="A4838" s="2" t="s">
        <v>4863</v>
      </c>
      <c r="B4838" s="3"/>
      <c r="C4838" s="3"/>
      <c r="D4838" s="3"/>
      <c r="E4838" s="5" t="str">
        <f>HYPERLINK("https://dpmzos25m8ivg.cloudfront.net/Documentos/631/11274451620/6311127445162007092023185753.pdf","https://dpmzos25m8ivg.cloudfront.net/Documentos/631/11274451620/6311127445162007092023185753.pdf")</f>
        <v>https://dpmzos25m8ivg.cloudfront.net/Documentos/631/11274451620/6311127445162007092023185753.pdf</v>
      </c>
      <c r="F4838" s="5" t="str">
        <f>HYPERLINK("https://dpmzos25m8ivg.cloudfront.net/Documentos/631/11274451620/6311127445162007092023185806.pdf","https://dpmzos25m8ivg.cloudfront.net/Documentos/631/11274451620/6311127445162007092023185806.pdf")</f>
        <v>https://dpmzos25m8ivg.cloudfront.net/Documentos/631/11274451620/6311127445162007092023185806.pdf</v>
      </c>
      <c r="G4838" s="5" t="str">
        <f>HYPERLINK("https://dpmzos25m8ivg.cloudfront.net/Documentos/631/11274451620/6311127445162007092023185822.pdf","https://dpmzos25m8ivg.cloudfront.net/Documentos/631/11274451620/6311127445162007092023185822.pdf")</f>
        <v>https://dpmzos25m8ivg.cloudfront.net/Documentos/631/11274451620/6311127445162007092023185822.pdf</v>
      </c>
      <c r="H4838" s="5" t="s">
        <v>13412</v>
      </c>
    </row>
    <row r="4839" spans="1:8" x14ac:dyDescent="0.25">
      <c r="A4839" s="2" t="s">
        <v>4864</v>
      </c>
      <c r="B4839" s="3"/>
      <c r="C4839" s="3"/>
      <c r="D4839" s="3"/>
      <c r="E4839" s="5" t="str">
        <f>HYPERLINK("https://dpmzos25m8ivg.cloudfront.net/Documentos/631/11274513405/6311127451340511092023133825.jpeg","https://dpmzos25m8ivg.cloudfront.net/Documentos/631/11274513405/6311127451340511092023133825.jpeg")</f>
        <v>https://dpmzos25m8ivg.cloudfront.net/Documentos/631/11274513405/6311127451340511092023133825.jpeg</v>
      </c>
      <c r="F4839" s="5" t="str">
        <f>HYPERLINK("https://dpmzos25m8ivg.cloudfront.net/Documentos/631/11274513405/6311127451340511092023133858.jpeg","https://dpmzos25m8ivg.cloudfront.net/Documentos/631/11274513405/6311127451340511092023133858.jpeg")</f>
        <v>https://dpmzos25m8ivg.cloudfront.net/Documentos/631/11274513405/6311127451340511092023133858.jpeg</v>
      </c>
      <c r="G4839" s="5" t="str">
        <f>HYPERLINK("https://dpmzos25m8ivg.cloudfront.net/Documentos/631/11274513405/6311127451340511092023133916.jpeg","https://dpmzos25m8ivg.cloudfront.net/Documentos/631/11274513405/6311127451340511092023133916.jpeg")</f>
        <v>https://dpmzos25m8ivg.cloudfront.net/Documentos/631/11274513405/6311127451340511092023133916.jpeg</v>
      </c>
      <c r="H4839" s="5" t="s">
        <v>13413</v>
      </c>
    </row>
    <row r="4840" spans="1:8" x14ac:dyDescent="0.25">
      <c r="A4840" s="2" t="s">
        <v>4865</v>
      </c>
      <c r="B4840" s="3"/>
      <c r="C4840" s="3"/>
      <c r="D4840" s="3"/>
      <c r="E4840" s="5" t="str">
        <f>HYPERLINK("https://dpmzos25m8ivg.cloudfront.net/Documentos/631/11277461465/6311127746146508092023120458.pdf","https://dpmzos25m8ivg.cloudfront.net/Documentos/631/11277461465/6311127746146508092023120458.pdf")</f>
        <v>https://dpmzos25m8ivg.cloudfront.net/Documentos/631/11277461465/6311127746146508092023120458.pdf</v>
      </c>
      <c r="F4840" s="5" t="str">
        <f>HYPERLINK("https://dpmzos25m8ivg.cloudfront.net/Documentos/631/11277461465/6311127746146508092023120514.pdf","https://dpmzos25m8ivg.cloudfront.net/Documentos/631/11277461465/6311127746146508092023120514.pdf")</f>
        <v>https://dpmzos25m8ivg.cloudfront.net/Documentos/631/11277461465/6311127746146508092023120514.pdf</v>
      </c>
      <c r="G4840" s="5" t="str">
        <f>HYPERLINK("https://dpmzos25m8ivg.cloudfront.net/Documentos/631/11277461465/6311127746146508092023120528.pdf","https://dpmzos25m8ivg.cloudfront.net/Documentos/631/11277461465/6311127746146508092023120528.pdf")</f>
        <v>https://dpmzos25m8ivg.cloudfront.net/Documentos/631/11277461465/6311127746146508092023120528.pdf</v>
      </c>
      <c r="H4840" s="5" t="s">
        <v>13414</v>
      </c>
    </row>
    <row r="4841" spans="1:8" x14ac:dyDescent="0.25">
      <c r="A4841" s="2" t="s">
        <v>4866</v>
      </c>
      <c r="B4841" s="3"/>
      <c r="C4841" s="3"/>
      <c r="D4841" s="3"/>
      <c r="E4841" s="5" t="str">
        <f>HYPERLINK("https://dpmzos25m8ivg.cloudfront.net/Documentos/631/11280303735/6311128030373511092023120954.pdf","https://dpmzos25m8ivg.cloudfront.net/Documentos/631/11280303735/6311128030373511092023120954.pdf")</f>
        <v>https://dpmzos25m8ivg.cloudfront.net/Documentos/631/11280303735/6311128030373511092023120954.pdf</v>
      </c>
      <c r="F4841" s="5" t="str">
        <f>HYPERLINK("https://dpmzos25m8ivg.cloudfront.net/Documentos/631/11280303735/6311128030373511092023121012.pdf","https://dpmzos25m8ivg.cloudfront.net/Documentos/631/11280303735/6311128030373511092023121012.pdf")</f>
        <v>https://dpmzos25m8ivg.cloudfront.net/Documentos/631/11280303735/6311128030373511092023121012.pdf</v>
      </c>
      <c r="G4841" s="5" t="str">
        <f>HYPERLINK("https://dpmzos25m8ivg.cloudfront.net/Documentos/631/11280303735/6311128030373511092023121030.pdf","https://dpmzos25m8ivg.cloudfront.net/Documentos/631/11280303735/6311128030373511092023121030.pdf")</f>
        <v>https://dpmzos25m8ivg.cloudfront.net/Documentos/631/11280303735/6311128030373511092023121030.pdf</v>
      </c>
      <c r="H4841" s="5" t="s">
        <v>13415</v>
      </c>
    </row>
    <row r="4842" spans="1:8" x14ac:dyDescent="0.25">
      <c r="A4842" s="2" t="s">
        <v>4867</v>
      </c>
      <c r="B4842" s="3"/>
      <c r="C4842" s="3"/>
      <c r="D4842" s="3"/>
      <c r="E4842" s="5" t="str">
        <f>HYPERLINK("https://dpmzos25m8ivg.cloudfront.net/Documentos/631/11281771457/6311128177145706092023204632.pdf","https://dpmzos25m8ivg.cloudfront.net/Documentos/631/11281771457/6311128177145706092023204632.pdf")</f>
        <v>https://dpmzos25m8ivg.cloudfront.net/Documentos/631/11281771457/6311128177145706092023204632.pdf</v>
      </c>
      <c r="F4842" s="5" t="str">
        <f>HYPERLINK("https://dpmzos25m8ivg.cloudfront.net/Documentos/631/11281771457/6311128177145706092023205301.pdf","https://dpmzos25m8ivg.cloudfront.net/Documentos/631/11281771457/6311128177145706092023205301.pdf")</f>
        <v>https://dpmzos25m8ivg.cloudfront.net/Documentos/631/11281771457/6311128177145706092023205301.pdf</v>
      </c>
      <c r="G4842" s="5" t="str">
        <f>HYPERLINK("https://dpmzos25m8ivg.cloudfront.net/Documentos/631/11281771457/6311128177145706092023205356.pdf","https://dpmzos25m8ivg.cloudfront.net/Documentos/631/11281771457/6311128177145706092023205356.pdf")</f>
        <v>https://dpmzos25m8ivg.cloudfront.net/Documentos/631/11281771457/6311128177145706092023205356.pdf</v>
      </c>
      <c r="H4842" s="5" t="s">
        <v>13416</v>
      </c>
    </row>
    <row r="4843" spans="1:8" x14ac:dyDescent="0.25">
      <c r="A4843" s="2" t="s">
        <v>4868</v>
      </c>
      <c r="B4843" s="3"/>
      <c r="C4843" s="3"/>
      <c r="D4843" s="3"/>
      <c r="E4843" s="5" t="str">
        <f>HYPERLINK("https://dpmzos25m8ivg.cloudfront.net/Documentos/631/11283011484/6311128301148409092023232922.pdf","https://dpmzos25m8ivg.cloudfront.net/Documentos/631/11283011484/6311128301148409092023232922.pdf")</f>
        <v>https://dpmzos25m8ivg.cloudfront.net/Documentos/631/11283011484/6311128301148409092023232922.pdf</v>
      </c>
      <c r="F4843" s="5" t="str">
        <f>HYPERLINK("https://dpmzos25m8ivg.cloudfront.net/Documentos/631/11283011484/6311128301148409092023232947.pdf","https://dpmzos25m8ivg.cloudfront.net/Documentos/631/11283011484/6311128301148409092023232947.pdf")</f>
        <v>https://dpmzos25m8ivg.cloudfront.net/Documentos/631/11283011484/6311128301148409092023232947.pdf</v>
      </c>
      <c r="G4843" s="5" t="str">
        <f>HYPERLINK("https://dpmzos25m8ivg.cloudfront.net/Documentos/631/11283011484/6311128301148409092023232957.pdf","https://dpmzos25m8ivg.cloudfront.net/Documentos/631/11283011484/6311128301148409092023232957.pdf")</f>
        <v>https://dpmzos25m8ivg.cloudfront.net/Documentos/631/11283011484/6311128301148409092023232957.pdf</v>
      </c>
      <c r="H4843" s="5" t="s">
        <v>13417</v>
      </c>
    </row>
    <row r="4844" spans="1:8" x14ac:dyDescent="0.25">
      <c r="A4844" s="2" t="s">
        <v>4869</v>
      </c>
      <c r="B4844" s="3"/>
      <c r="C4844" s="3"/>
      <c r="D4844" s="3"/>
      <c r="E4844" s="5" t="str">
        <f>HYPERLINK("https://dpmzos25m8ivg.cloudfront.net/Documentos/631/11283209403/6311128320940305092023105408.jpeg","https://dpmzos25m8ivg.cloudfront.net/Documentos/631/11283209403/6311128320940305092023105408.jpeg")</f>
        <v>https://dpmzos25m8ivg.cloudfront.net/Documentos/631/11283209403/6311128320940305092023105408.jpeg</v>
      </c>
      <c r="F4844" s="5" t="str">
        <f>HYPERLINK("https://dpmzos25m8ivg.cloudfront.net/Documentos/631/11283209403/6311128320940305092023105435.jpeg","https://dpmzos25m8ivg.cloudfront.net/Documentos/631/11283209403/6311128320940305092023105435.jpeg")</f>
        <v>https://dpmzos25m8ivg.cloudfront.net/Documentos/631/11283209403/6311128320940305092023105435.jpeg</v>
      </c>
      <c r="G4844" s="5" t="str">
        <f>HYPERLINK("https://dpmzos25m8ivg.cloudfront.net/Documentos/631/11283209403/6311128320940305092023105500.jpeg","https://dpmzos25m8ivg.cloudfront.net/Documentos/631/11283209403/6311128320940305092023105500.jpeg")</f>
        <v>https://dpmzos25m8ivg.cloudfront.net/Documentos/631/11283209403/6311128320940305092023105500.jpeg</v>
      </c>
      <c r="H4844" s="5" t="s">
        <v>13418</v>
      </c>
    </row>
    <row r="4845" spans="1:8" x14ac:dyDescent="0.25">
      <c r="A4845" s="2" t="s">
        <v>4870</v>
      </c>
      <c r="B4845" s="3"/>
      <c r="C4845" s="3"/>
      <c r="D4845" s="3"/>
      <c r="E4845" s="5" t="str">
        <f>HYPERLINK("https://dpmzos25m8ivg.cloudfront.net/Documentos/631/11284841456/6311128484145610092023142334.jpeg","https://dpmzos25m8ivg.cloudfront.net/Documentos/631/11284841456/6311128484145610092023142334.jpeg")</f>
        <v>https://dpmzos25m8ivg.cloudfront.net/Documentos/631/11284841456/6311128484145610092023142334.jpeg</v>
      </c>
      <c r="F4845" s="5" t="str">
        <f>HYPERLINK("https://dpmzos25m8ivg.cloudfront.net/Documentos/631/11284841456/6311128484145610092023142347.jpeg","https://dpmzos25m8ivg.cloudfront.net/Documentos/631/11284841456/6311128484145610092023142347.jpeg")</f>
        <v>https://dpmzos25m8ivg.cloudfront.net/Documentos/631/11284841456/6311128484145610092023142347.jpeg</v>
      </c>
      <c r="G4845" s="5" t="str">
        <f>HYPERLINK("https://dpmzos25m8ivg.cloudfront.net/Documentos/631/11284841456/6311128484145610092023142359.jpeg","https://dpmzos25m8ivg.cloudfront.net/Documentos/631/11284841456/6311128484145610092023142359.jpeg")</f>
        <v>https://dpmzos25m8ivg.cloudfront.net/Documentos/631/11284841456/6311128484145610092023142359.jpeg</v>
      </c>
      <c r="H4845" s="5" t="s">
        <v>13419</v>
      </c>
    </row>
    <row r="4846" spans="1:8" x14ac:dyDescent="0.25">
      <c r="A4846" s="2" t="s">
        <v>4871</v>
      </c>
      <c r="B4846" s="3"/>
      <c r="C4846" s="3"/>
      <c r="D4846" s="3"/>
      <c r="E4846" s="5" t="str">
        <f>HYPERLINK("https://dpmzos25m8ivg.cloudfront.net/Documentos/631/11292301473/6311129230147305092023120550.pdf","https://dpmzos25m8ivg.cloudfront.net/Documentos/631/11292301473/6311129230147305092023120550.pdf")</f>
        <v>https://dpmzos25m8ivg.cloudfront.net/Documentos/631/11292301473/6311129230147305092023120550.pdf</v>
      </c>
      <c r="F4846" s="5" t="str">
        <f>HYPERLINK("https://dpmzos25m8ivg.cloudfront.net/Documentos/631/11292301473/6311129230147305092023120602.pdf","https://dpmzos25m8ivg.cloudfront.net/Documentos/631/11292301473/6311129230147305092023120602.pdf")</f>
        <v>https://dpmzos25m8ivg.cloudfront.net/Documentos/631/11292301473/6311129230147305092023120602.pdf</v>
      </c>
      <c r="G4846" s="5" t="str">
        <f>HYPERLINK("https://dpmzos25m8ivg.cloudfront.net/Documentos/631/11292301473/6311129230147305092023120614.pdf","https://dpmzos25m8ivg.cloudfront.net/Documentos/631/11292301473/6311129230147305092023120614.pdf")</f>
        <v>https://dpmzos25m8ivg.cloudfront.net/Documentos/631/11292301473/6311129230147305092023120614.pdf</v>
      </c>
      <c r="H4846" s="5" t="s">
        <v>13420</v>
      </c>
    </row>
    <row r="4847" spans="1:8" x14ac:dyDescent="0.25">
      <c r="A4847" s="2" t="s">
        <v>4872</v>
      </c>
      <c r="B4847" s="3"/>
      <c r="C4847" s="3"/>
      <c r="D4847" s="3"/>
      <c r="E4847" s="5" t="str">
        <f>HYPERLINK("https://dpmzos25m8ivg.cloudfront.net/Documentos/631/11298959470/6311129895947008092023150302.pdf","https://dpmzos25m8ivg.cloudfront.net/Documentos/631/11298959470/6311129895947008092023150302.pdf")</f>
        <v>https://dpmzos25m8ivg.cloudfront.net/Documentos/631/11298959470/6311129895947008092023150302.pdf</v>
      </c>
      <c r="F4847" s="5" t="str">
        <f>HYPERLINK("https://dpmzos25m8ivg.cloudfront.net/Documentos/631/11298959470/6311129895947008092023150251.pdf","https://dpmzos25m8ivg.cloudfront.net/Documentos/631/11298959470/6311129895947008092023150251.pdf")</f>
        <v>https://dpmzos25m8ivg.cloudfront.net/Documentos/631/11298959470/6311129895947008092023150251.pdf</v>
      </c>
      <c r="G4847" s="5" t="str">
        <f>HYPERLINK("https://dpmzos25m8ivg.cloudfront.net/Documentos/631/11298959470/6311129895947008092023150242.pdf","https://dpmzos25m8ivg.cloudfront.net/Documentos/631/11298959470/6311129895947008092023150242.pdf")</f>
        <v>https://dpmzos25m8ivg.cloudfront.net/Documentos/631/11298959470/6311129895947008092023150242.pdf</v>
      </c>
      <c r="H4847" s="5" t="s">
        <v>13421</v>
      </c>
    </row>
    <row r="4848" spans="1:8" x14ac:dyDescent="0.25">
      <c r="A4848" s="2" t="s">
        <v>4873</v>
      </c>
      <c r="B4848" s="19" t="s">
        <v>4857</v>
      </c>
      <c r="C4848" s="3"/>
      <c r="D4848" s="3"/>
      <c r="E4848" s="5" t="str">
        <f>HYPERLINK("https://dpmzos25m8ivg.cloudfront.net/Documentos/631/11301196614/6311130119661405092023131930.pdf","https://dpmzos25m8ivg.cloudfront.net/Documentos/631/11301196614/6311130119661405092023131930.pdf")</f>
        <v>https://dpmzos25m8ivg.cloudfront.net/Documentos/631/11301196614/6311130119661405092023131930.pdf</v>
      </c>
      <c r="F4848" s="5" t="str">
        <f>HYPERLINK("https://dpmzos25m8ivg.cloudfront.net/Documentos/631/11301196614/6311130119661405092023132007.pdf","https://dpmzos25m8ivg.cloudfront.net/Documentos/631/11301196614/6311130119661405092023132007.pdf")</f>
        <v>https://dpmzos25m8ivg.cloudfront.net/Documentos/631/11301196614/6311130119661405092023132007.pdf</v>
      </c>
      <c r="G4848" s="5" t="str">
        <f>HYPERLINK("https://dpmzos25m8ivg.cloudfront.net/Documentos/631/11301196614/6311130119661405092023132044.pdf","https://dpmzos25m8ivg.cloudfront.net/Documentos/631/11301196614/6311130119661405092023132044.pdf")</f>
        <v>https://dpmzos25m8ivg.cloudfront.net/Documentos/631/11301196614/6311130119661405092023132044.pdf</v>
      </c>
      <c r="H4848" s="5" t="s">
        <v>13422</v>
      </c>
    </row>
    <row r="4849" spans="1:8" x14ac:dyDescent="0.25">
      <c r="A4849" s="2" t="s">
        <v>4874</v>
      </c>
      <c r="B4849" s="3"/>
      <c r="C4849" s="3"/>
      <c r="D4849" s="3"/>
      <c r="E4849" s="5" t="str">
        <f>HYPERLINK("https://dpmzos25m8ivg.cloudfront.net/Documentos/631/11301688401/6311130168840111092023163042.pdf","https://dpmzos25m8ivg.cloudfront.net/Documentos/631/11301688401/6311130168840111092023163042.pdf")</f>
        <v>https://dpmzos25m8ivg.cloudfront.net/Documentos/631/11301688401/6311130168840111092023163042.pdf</v>
      </c>
      <c r="F4849" s="5" t="str">
        <f>HYPERLINK("https://dpmzos25m8ivg.cloudfront.net/Documentos/631/11301688401/6311130168840111092023163056.pdf","https://dpmzos25m8ivg.cloudfront.net/Documentos/631/11301688401/6311130168840111092023163056.pdf")</f>
        <v>https://dpmzos25m8ivg.cloudfront.net/Documentos/631/11301688401/6311130168840111092023163056.pdf</v>
      </c>
      <c r="G4849" s="5" t="str">
        <f>HYPERLINK("https://dpmzos25m8ivg.cloudfront.net/Documentos/631/11301688401/6311130168840111092023163110.pdf","https://dpmzos25m8ivg.cloudfront.net/Documentos/631/11301688401/6311130168840111092023163110.pdf")</f>
        <v>https://dpmzos25m8ivg.cloudfront.net/Documentos/631/11301688401/6311130168840111092023163110.pdf</v>
      </c>
      <c r="H4849" s="5" t="s">
        <v>13423</v>
      </c>
    </row>
    <row r="4850" spans="1:8" x14ac:dyDescent="0.25">
      <c r="A4850" s="2" t="s">
        <v>4875</v>
      </c>
      <c r="B4850" s="19" t="s">
        <v>4857</v>
      </c>
      <c r="C4850" s="3"/>
      <c r="D4850" s="3"/>
      <c r="E4850" s="5" t="str">
        <f>HYPERLINK("https://dpmzos25m8ivg.cloudfront.net/Documentos/631/11303040867/6311130304086705092023235307.pdf","https://dpmzos25m8ivg.cloudfront.net/Documentos/631/11303040867/6311130304086705092023235307.pdf")</f>
        <v>https://dpmzos25m8ivg.cloudfront.net/Documentos/631/11303040867/6311130304086705092023235307.pdf</v>
      </c>
      <c r="F4850" s="5" t="str">
        <f>HYPERLINK("https://dpmzos25m8ivg.cloudfront.net/Documentos/631/11303040867/6311130304086705092023235348.pdf","https://dpmzos25m8ivg.cloudfront.net/Documentos/631/11303040867/6311130304086705092023235348.pdf")</f>
        <v>https://dpmzos25m8ivg.cloudfront.net/Documentos/631/11303040867/6311130304086705092023235348.pdf</v>
      </c>
      <c r="G4850" s="5" t="str">
        <f>HYPERLINK("https://dpmzos25m8ivg.cloudfront.net/Documentos/631/11303040867/6311130304086705092023235401.pdf","https://dpmzos25m8ivg.cloudfront.net/Documentos/631/11303040867/6311130304086705092023235401.pdf")</f>
        <v>https://dpmzos25m8ivg.cloudfront.net/Documentos/631/11303040867/6311130304086705092023235401.pdf</v>
      </c>
      <c r="H4850" s="5" t="s">
        <v>13424</v>
      </c>
    </row>
    <row r="4851" spans="1:8" x14ac:dyDescent="0.25">
      <c r="A4851" s="2" t="s">
        <v>4876</v>
      </c>
      <c r="B4851" s="3" t="s">
        <v>23</v>
      </c>
      <c r="C4851" s="3"/>
      <c r="D4851" s="3"/>
      <c r="E4851" s="5" t="str">
        <f>HYPERLINK("https://dpmzos25m8ivg.cloudfront.net/Documentos/631/11303233908/6311130323390814092023160557.pdf","https://dpmzos25m8ivg.cloudfront.net/Documentos/631/11303233908/6311130323390814092023160557.pdf")</f>
        <v>https://dpmzos25m8ivg.cloudfront.net/Documentos/631/11303233908/6311130323390814092023160557.pdf</v>
      </c>
      <c r="F4851" s="5" t="str">
        <f>HYPERLINK("https://dpmzos25m8ivg.cloudfront.net/Documentos/631/11303233908/6311130323390814092023160621.pdf","https://dpmzos25m8ivg.cloudfront.net/Documentos/631/11303233908/6311130323390814092023160621.pdf")</f>
        <v>https://dpmzos25m8ivg.cloudfront.net/Documentos/631/11303233908/6311130323390814092023160621.pdf</v>
      </c>
      <c r="G4851" s="5" t="str">
        <f>HYPERLINK("https://dpmzos25m8ivg.cloudfront.net/Documentos/631/11303233908/6311130323390814092023160628.pdf","https://dpmzos25m8ivg.cloudfront.net/Documentos/631/11303233908/6311130323390814092023160628.pdf")</f>
        <v>https://dpmzos25m8ivg.cloudfront.net/Documentos/631/11303233908/6311130323390814092023160628.pdf</v>
      </c>
      <c r="H4851" s="5" t="s">
        <v>13425</v>
      </c>
    </row>
    <row r="4852" spans="1:8" x14ac:dyDescent="0.25">
      <c r="A4852" s="2" t="s">
        <v>4877</v>
      </c>
      <c r="B4852" s="3"/>
      <c r="C4852" s="3"/>
      <c r="D4852" s="3"/>
      <c r="E4852" s="5" t="str">
        <f>HYPERLINK("https://dpmzos25m8ivg.cloudfront.net/Documentos/631/11304600610/6311130460061008092023200319.jpg","https://dpmzos25m8ivg.cloudfront.net/Documentos/631/11304600610/6311130460061008092023200319.jpg")</f>
        <v>https://dpmzos25m8ivg.cloudfront.net/Documentos/631/11304600610/6311130460061008092023200319.jpg</v>
      </c>
      <c r="F4852" s="5" t="str">
        <f>HYPERLINK("https://dpmzos25m8ivg.cloudfront.net/Documentos/631/11304600610/6311130460061009092023172729.jpg","https://dpmzos25m8ivg.cloudfront.net/Documentos/631/11304600610/6311130460061009092023172729.jpg")</f>
        <v>https://dpmzos25m8ivg.cloudfront.net/Documentos/631/11304600610/6311130460061009092023172729.jpg</v>
      </c>
      <c r="G4852" s="5" t="str">
        <f>HYPERLINK("https://dpmzos25m8ivg.cloudfront.net/Documentos/631/11304600610/6311130460061008092023200438.jpg","https://dpmzos25m8ivg.cloudfront.net/Documentos/631/11304600610/6311130460061008092023200438.jpg")</f>
        <v>https://dpmzos25m8ivg.cloudfront.net/Documentos/631/11304600610/6311130460061008092023200438.jpg</v>
      </c>
      <c r="H4852" s="5" t="s">
        <v>13426</v>
      </c>
    </row>
    <row r="4853" spans="1:8" x14ac:dyDescent="0.25">
      <c r="A4853" s="2" t="s">
        <v>4878</v>
      </c>
      <c r="B4853" s="3"/>
      <c r="C4853" s="3"/>
      <c r="D4853" s="3"/>
      <c r="E4853" s="5" t="str">
        <f>HYPERLINK("https://dpmzos25m8ivg.cloudfront.net/Documentos/631/11309240922/6311130924092205092023103750.pdf","https://dpmzos25m8ivg.cloudfront.net/Documentos/631/11309240922/6311130924092205092023103750.pdf")</f>
        <v>https://dpmzos25m8ivg.cloudfront.net/Documentos/631/11309240922/6311130924092205092023103750.pdf</v>
      </c>
      <c r="F4853" s="5" t="str">
        <f>HYPERLINK("https://dpmzos25m8ivg.cloudfront.net/Documentos/631/11309240922/6311130924092205092023103803.pdf","https://dpmzos25m8ivg.cloudfront.net/Documentos/631/11309240922/6311130924092205092023103803.pdf")</f>
        <v>https://dpmzos25m8ivg.cloudfront.net/Documentos/631/11309240922/6311130924092205092023103803.pdf</v>
      </c>
      <c r="G4853" s="5" t="str">
        <f>HYPERLINK("https://dpmzos25m8ivg.cloudfront.net/Documentos/631/11309240922/6311130924092205092023103817.pdf","https://dpmzos25m8ivg.cloudfront.net/Documentos/631/11309240922/6311130924092205092023103817.pdf")</f>
        <v>https://dpmzos25m8ivg.cloudfront.net/Documentos/631/11309240922/6311130924092205092023103817.pdf</v>
      </c>
      <c r="H4853" s="5" t="s">
        <v>13427</v>
      </c>
    </row>
    <row r="4854" spans="1:8" x14ac:dyDescent="0.25">
      <c r="A4854" s="2" t="s">
        <v>4879</v>
      </c>
      <c r="B4854" s="3"/>
      <c r="C4854" s="3"/>
      <c r="D4854" s="3"/>
      <c r="E4854" s="5" t="str">
        <f>HYPERLINK("https://dpmzos25m8ivg.cloudfront.net/Documentos/631/11311157670/6311131115767011092023090011.pdf","https://dpmzos25m8ivg.cloudfront.net/Documentos/631/11311157670/6311131115767011092023090011.pdf")</f>
        <v>https://dpmzos25m8ivg.cloudfront.net/Documentos/631/11311157670/6311131115767011092023090011.pdf</v>
      </c>
      <c r="F4854" s="5" t="str">
        <f>HYPERLINK("https://dpmzos25m8ivg.cloudfront.net/Documentos/631/11311157670/6311131115767011092023090044.pdf","https://dpmzos25m8ivg.cloudfront.net/Documentos/631/11311157670/6311131115767011092023090044.pdf")</f>
        <v>https://dpmzos25m8ivg.cloudfront.net/Documentos/631/11311157670/6311131115767011092023090044.pdf</v>
      </c>
      <c r="G4854" s="5" t="str">
        <f>HYPERLINK("https://dpmzos25m8ivg.cloudfront.net/Documentos/631/11311157670/6311131115767011092023090103.pdf","https://dpmzos25m8ivg.cloudfront.net/Documentos/631/11311157670/6311131115767011092023090103.pdf")</f>
        <v>https://dpmzos25m8ivg.cloudfront.net/Documentos/631/11311157670/6311131115767011092023090103.pdf</v>
      </c>
      <c r="H4854" s="5" t="s">
        <v>13428</v>
      </c>
    </row>
    <row r="4855" spans="1:8" x14ac:dyDescent="0.25">
      <c r="A4855" s="2" t="s">
        <v>4880</v>
      </c>
      <c r="B4855" s="3"/>
      <c r="C4855" s="3"/>
      <c r="D4855" s="3"/>
      <c r="E4855" s="5" t="str">
        <f>HYPERLINK("https://dpmzos25m8ivg.cloudfront.net/Documentos/631/11311159886/6311131115988606092023125842.jpeg","https://dpmzos25m8ivg.cloudfront.net/Documentos/631/11311159886/6311131115988606092023125842.jpeg")</f>
        <v>https://dpmzos25m8ivg.cloudfront.net/Documentos/631/11311159886/6311131115988606092023125842.jpeg</v>
      </c>
      <c r="F4855" s="5" t="str">
        <f>HYPERLINK("https://dpmzos25m8ivg.cloudfront.net/Documentos/631/11311159886/6311131115988606092023130202.jpeg","https://dpmzos25m8ivg.cloudfront.net/Documentos/631/11311159886/6311131115988606092023130202.jpeg")</f>
        <v>https://dpmzos25m8ivg.cloudfront.net/Documentos/631/11311159886/6311131115988606092023130202.jpeg</v>
      </c>
      <c r="G4855" s="5" t="str">
        <f>HYPERLINK("https://dpmzos25m8ivg.cloudfront.net/Documentos/631/11311159886/6311131115988606092023143129.jpeg","https://dpmzos25m8ivg.cloudfront.net/Documentos/631/11311159886/6311131115988606092023143129.jpeg")</f>
        <v>https://dpmzos25m8ivg.cloudfront.net/Documentos/631/11311159886/6311131115988606092023143129.jpeg</v>
      </c>
      <c r="H4855" s="5" t="s">
        <v>13429</v>
      </c>
    </row>
    <row r="4856" spans="1:8" x14ac:dyDescent="0.25">
      <c r="A4856" s="2" t="s">
        <v>4881</v>
      </c>
      <c r="B4856" s="3"/>
      <c r="C4856" s="3"/>
      <c r="D4856" s="3"/>
      <c r="E4856" s="5" t="str">
        <f>HYPERLINK("https://dpmzos25m8ivg.cloudfront.net/Documentos/631/11313143790/6311131314379009092023170057.pdf","https://dpmzos25m8ivg.cloudfront.net/Documentos/631/11313143790/6311131314379009092023170057.pdf")</f>
        <v>https://dpmzos25m8ivg.cloudfront.net/Documentos/631/11313143790/6311131314379009092023170057.pdf</v>
      </c>
      <c r="F4856" s="5" t="str">
        <f>HYPERLINK("https://dpmzos25m8ivg.cloudfront.net/Documentos/631/11313143790/6311131314379009092023170120.pdf","https://dpmzos25m8ivg.cloudfront.net/Documentos/631/11313143790/6311131314379009092023170120.pdf")</f>
        <v>https://dpmzos25m8ivg.cloudfront.net/Documentos/631/11313143790/6311131314379009092023170120.pdf</v>
      </c>
      <c r="G4856" s="5" t="str">
        <f>HYPERLINK("https://dpmzos25m8ivg.cloudfront.net/Documentos/631/11313143790/6311131314379009092023170143.pdf","https://dpmzos25m8ivg.cloudfront.net/Documentos/631/11313143790/6311131314379009092023170143.pdf")</f>
        <v>https://dpmzos25m8ivg.cloudfront.net/Documentos/631/11313143790/6311131314379009092023170143.pdf</v>
      </c>
      <c r="H4856" s="5" t="s">
        <v>13430</v>
      </c>
    </row>
    <row r="4857" spans="1:8" x14ac:dyDescent="0.25">
      <c r="A4857" s="21" t="s">
        <v>4882</v>
      </c>
      <c r="B4857" s="16" t="s">
        <v>4883</v>
      </c>
      <c r="C4857" s="3"/>
      <c r="D4857" s="3"/>
      <c r="E4857" s="5" t="str">
        <f>HYPERLINK("https://dpmzos25m8ivg.cloudfront.net/Documentos/631/11315319497/6311131531949711092023075752.pdf","https://dpmzos25m8ivg.cloudfront.net/Documentos/631/11315319497/6311131531949711092023075752.pdf")</f>
        <v>https://dpmzos25m8ivg.cloudfront.net/Documentos/631/11315319497/6311131531949711092023075752.pdf</v>
      </c>
      <c r="F4857" s="5" t="str">
        <f>HYPERLINK("https://dpmzos25m8ivg.cloudfront.net/Documentos/631/11315319497/6311131531949711092023075804.pdf","https://dpmzos25m8ivg.cloudfront.net/Documentos/631/11315319497/6311131531949711092023075804.pdf")</f>
        <v>https://dpmzos25m8ivg.cloudfront.net/Documentos/631/11315319497/6311131531949711092023075804.pdf</v>
      </c>
      <c r="G4857" s="5" t="str">
        <f>HYPERLINK("https://dpmzos25m8ivg.cloudfront.net/Documentos/631/11315319497/6311131531949711092023075817.pdf","https://dpmzos25m8ivg.cloudfront.net/Documentos/631/11315319497/6311131531949711092023075817.pdf")</f>
        <v>https://dpmzos25m8ivg.cloudfront.net/Documentos/631/11315319497/6311131531949711092023075817.pdf</v>
      </c>
      <c r="H4857" s="5" t="s">
        <v>13431</v>
      </c>
    </row>
    <row r="4858" spans="1:8" x14ac:dyDescent="0.25">
      <c r="A4858" s="2" t="s">
        <v>4884</v>
      </c>
      <c r="B4858" s="19" t="s">
        <v>4857</v>
      </c>
      <c r="C4858" s="3"/>
      <c r="D4858" s="3"/>
      <c r="E4858" s="5" t="str">
        <f>HYPERLINK("https://dpmzos25m8ivg.cloudfront.net/Documentos/631/11321676476/6311132167647612092023191248.pdf","https://dpmzos25m8ivg.cloudfront.net/Documentos/631/11321676476/6311132167647612092023191248.pdf")</f>
        <v>https://dpmzos25m8ivg.cloudfront.net/Documentos/631/11321676476/6311132167647612092023191248.pdf</v>
      </c>
      <c r="F4858" s="5" t="str">
        <f>HYPERLINK("https://dpmzos25m8ivg.cloudfront.net/Documentos/631/11321676476/6311132167647612092023191304.pdf","https://dpmzos25m8ivg.cloudfront.net/Documentos/631/11321676476/6311132167647612092023191304.pdf")</f>
        <v>https://dpmzos25m8ivg.cloudfront.net/Documentos/631/11321676476/6311132167647612092023191304.pdf</v>
      </c>
      <c r="G4858" s="5" t="str">
        <f>HYPERLINK("https://dpmzos25m8ivg.cloudfront.net/Documentos/631/11321676476/6311132167647612092023191319.pdf","https://dpmzos25m8ivg.cloudfront.net/Documentos/631/11321676476/6311132167647612092023191319.pdf")</f>
        <v>https://dpmzos25m8ivg.cloudfront.net/Documentos/631/11321676476/6311132167647612092023191319.pdf</v>
      </c>
      <c r="H4858" s="5" t="s">
        <v>13432</v>
      </c>
    </row>
    <row r="4859" spans="1:8" x14ac:dyDescent="0.25">
      <c r="A4859" s="2" t="s">
        <v>4885</v>
      </c>
      <c r="B4859" s="3"/>
      <c r="C4859" s="3"/>
      <c r="D4859" s="3"/>
      <c r="E4859" s="5" t="str">
        <f>HYPERLINK("https://dpmzos25m8ivg.cloudfront.net/Documentos/631/11321961677/6311132196167711092023090352.pdf","https://dpmzos25m8ivg.cloudfront.net/Documentos/631/11321961677/6311132196167711092023090352.pdf")</f>
        <v>https://dpmzos25m8ivg.cloudfront.net/Documentos/631/11321961677/6311132196167711092023090352.pdf</v>
      </c>
      <c r="F4859" s="5" t="str">
        <f>HYPERLINK("https://dpmzos25m8ivg.cloudfront.net/Documentos/631/11321961677/6311132196167711092023090406.pdf","https://dpmzos25m8ivg.cloudfront.net/Documentos/631/11321961677/6311132196167711092023090406.pdf")</f>
        <v>https://dpmzos25m8ivg.cloudfront.net/Documentos/631/11321961677/6311132196167711092023090406.pdf</v>
      </c>
      <c r="G4859" s="5" t="str">
        <f>HYPERLINK("https://dpmzos25m8ivg.cloudfront.net/Documentos/631/11321961677/6311132196167711092023090417.pdf","https://dpmzos25m8ivg.cloudfront.net/Documentos/631/11321961677/6311132196167711092023090417.pdf")</f>
        <v>https://dpmzos25m8ivg.cloudfront.net/Documentos/631/11321961677/6311132196167711092023090417.pdf</v>
      </c>
      <c r="H4859" s="5" t="s">
        <v>13433</v>
      </c>
    </row>
    <row r="4860" spans="1:8" x14ac:dyDescent="0.25">
      <c r="A4860" s="2" t="s">
        <v>4886</v>
      </c>
      <c r="B4860" s="3"/>
      <c r="C4860" s="3"/>
      <c r="D4860" s="3"/>
      <c r="E4860" s="5" t="str">
        <f>HYPERLINK("https://dpmzos25m8ivg.cloudfront.net/Documentos/631/11326856723/6311132685672311092023163417.jpg","https://dpmzos25m8ivg.cloudfront.net/Documentos/631/11326856723/6311132685672311092023163417.jpg")</f>
        <v>https://dpmzos25m8ivg.cloudfront.net/Documentos/631/11326856723/6311132685672311092023163417.jpg</v>
      </c>
      <c r="F4860" s="5" t="str">
        <f>HYPERLINK("https://dpmzos25m8ivg.cloudfront.net/Documentos/631/11326856723/6311132685672311092023163451.jpg","https://dpmzos25m8ivg.cloudfront.net/Documentos/631/11326856723/6311132685672311092023163451.jpg")</f>
        <v>https://dpmzos25m8ivg.cloudfront.net/Documentos/631/11326856723/6311132685672311092023163451.jpg</v>
      </c>
      <c r="G4860" s="5" t="str">
        <f>HYPERLINK("https://dpmzos25m8ivg.cloudfront.net/Documentos/631/11326856723/6311132685672311092023163510.jpg","https://dpmzos25m8ivg.cloudfront.net/Documentos/631/11326856723/6311132685672311092023163510.jpg")</f>
        <v>https://dpmzos25m8ivg.cloudfront.net/Documentos/631/11326856723/6311132685672311092023163510.jpg</v>
      </c>
      <c r="H4860" s="5" t="s">
        <v>13434</v>
      </c>
    </row>
    <row r="4861" spans="1:8" x14ac:dyDescent="0.25">
      <c r="A4861" s="2" t="s">
        <v>4887</v>
      </c>
      <c r="B4861" s="3"/>
      <c r="C4861" s="3"/>
      <c r="D4861" s="3"/>
      <c r="E4861" s="5" t="str">
        <f>HYPERLINK("https://dpmzos25m8ivg.cloudfront.net/Documentos/631/11331672414/6311133167241405092023233308.pdf","https://dpmzos25m8ivg.cloudfront.net/Documentos/631/11331672414/6311133167241405092023233308.pdf")</f>
        <v>https://dpmzos25m8ivg.cloudfront.net/Documentos/631/11331672414/6311133167241405092023233308.pdf</v>
      </c>
      <c r="F4861" s="5" t="str">
        <f>HYPERLINK("https://dpmzos25m8ivg.cloudfront.net/Documentos/631/11331672414/6311133167241405092023233530.pdf","https://dpmzos25m8ivg.cloudfront.net/Documentos/631/11331672414/6311133167241405092023233530.pdf")</f>
        <v>https://dpmzos25m8ivg.cloudfront.net/Documentos/631/11331672414/6311133167241405092023233530.pdf</v>
      </c>
      <c r="G4861" s="5" t="str">
        <f>HYPERLINK("https://dpmzos25m8ivg.cloudfront.net/Documentos/631/11331672414/6311133167241405092023233550.pdf","https://dpmzos25m8ivg.cloudfront.net/Documentos/631/11331672414/6311133167241405092023233550.pdf")</f>
        <v>https://dpmzos25m8ivg.cloudfront.net/Documentos/631/11331672414/6311133167241405092023233550.pdf</v>
      </c>
      <c r="H4861" s="5" t="s">
        <v>13435</v>
      </c>
    </row>
    <row r="4862" spans="1:8" x14ac:dyDescent="0.25">
      <c r="A4862" s="2" t="s">
        <v>4888</v>
      </c>
      <c r="B4862" s="3"/>
      <c r="C4862" s="3"/>
      <c r="D4862" s="3"/>
      <c r="E4862" s="5" t="str">
        <f>HYPERLINK("https://dpmzos25m8ivg.cloudfront.net/Documentos/631/11334692645/6311133469264511092023121230.pdf","https://dpmzos25m8ivg.cloudfront.net/Documentos/631/11334692645/6311133469264511092023121230.pdf")</f>
        <v>https://dpmzos25m8ivg.cloudfront.net/Documentos/631/11334692645/6311133469264511092023121230.pdf</v>
      </c>
      <c r="F4862" s="5" t="str">
        <f>HYPERLINK("https://dpmzos25m8ivg.cloudfront.net/Documentos/631/11334692645/6311133469264511092023121251.pdf","https://dpmzos25m8ivg.cloudfront.net/Documentos/631/11334692645/6311133469264511092023121251.pdf")</f>
        <v>https://dpmzos25m8ivg.cloudfront.net/Documentos/631/11334692645/6311133469264511092023121251.pdf</v>
      </c>
      <c r="G4862" s="5" t="str">
        <f>HYPERLINK("https://dpmzos25m8ivg.cloudfront.net/Documentos/631/11334692645/6311133469264511092023121311.pdf","https://dpmzos25m8ivg.cloudfront.net/Documentos/631/11334692645/6311133469264511092023121311.pdf")</f>
        <v>https://dpmzos25m8ivg.cloudfront.net/Documentos/631/11334692645/6311133469264511092023121311.pdf</v>
      </c>
      <c r="H4862" s="5" t="s">
        <v>13436</v>
      </c>
    </row>
    <row r="4863" spans="1:8" x14ac:dyDescent="0.25">
      <c r="A4863" s="2" t="s">
        <v>4889</v>
      </c>
      <c r="B4863" s="19" t="s">
        <v>4857</v>
      </c>
      <c r="C4863" s="3"/>
      <c r="D4863" s="3"/>
      <c r="E4863" s="5" t="str">
        <f>HYPERLINK("https://dpmzos25m8ivg.cloudfront.net/Documentos/631/11336833475/6311133683347511092023142555.pdf","https://dpmzos25m8ivg.cloudfront.net/Documentos/631/11336833475/6311133683347511092023142555.pdf")</f>
        <v>https://dpmzos25m8ivg.cloudfront.net/Documentos/631/11336833475/6311133683347511092023142555.pdf</v>
      </c>
      <c r="F4863" s="5" t="str">
        <f>HYPERLINK("https://dpmzos25m8ivg.cloudfront.net/Documentos/631/11336833475/6311133683347511092023142603.pdf","https://dpmzos25m8ivg.cloudfront.net/Documentos/631/11336833475/6311133683347511092023142603.pdf")</f>
        <v>https://dpmzos25m8ivg.cloudfront.net/Documentos/631/11336833475/6311133683347511092023142603.pdf</v>
      </c>
      <c r="G4863" s="5" t="str">
        <f>HYPERLINK("https://dpmzos25m8ivg.cloudfront.net/Documentos/631/11336833475/6311133683347511092023142612.pdf","https://dpmzos25m8ivg.cloudfront.net/Documentos/631/11336833475/6311133683347511092023142612.pdf")</f>
        <v>https://dpmzos25m8ivg.cloudfront.net/Documentos/631/11336833475/6311133683347511092023142612.pdf</v>
      </c>
      <c r="H4863" s="5" t="s">
        <v>13437</v>
      </c>
    </row>
    <row r="4864" spans="1:8" x14ac:dyDescent="0.25">
      <c r="A4864" s="2" t="s">
        <v>4890</v>
      </c>
      <c r="B4864" s="3"/>
      <c r="C4864" s="3"/>
      <c r="D4864" s="3"/>
      <c r="E4864" s="5" t="str">
        <f>HYPERLINK("https://dpmzos25m8ivg.cloudfront.net/Documentos/631/11338000411/6311133800041111092023161134.jpeg","https://dpmzos25m8ivg.cloudfront.net/Documentos/631/11338000411/6311133800041111092023161134.jpeg")</f>
        <v>https://dpmzos25m8ivg.cloudfront.net/Documentos/631/11338000411/6311133800041111092023161134.jpeg</v>
      </c>
      <c r="F4864" s="5" t="str">
        <f>HYPERLINK("https://dpmzos25m8ivg.cloudfront.net/Documentos/631/11338000411/6311133800041111092023161157.jpeg","https://dpmzos25m8ivg.cloudfront.net/Documentos/631/11338000411/6311133800041111092023161157.jpeg")</f>
        <v>https://dpmzos25m8ivg.cloudfront.net/Documentos/631/11338000411/6311133800041111092023161157.jpeg</v>
      </c>
      <c r="G4864" s="5" t="str">
        <f>HYPERLINK("https://dpmzos25m8ivg.cloudfront.net/Documentos/631/11338000411/6311133800041111092023161213.jpeg","https://dpmzos25m8ivg.cloudfront.net/Documentos/631/11338000411/6311133800041111092023161213.jpeg")</f>
        <v>https://dpmzos25m8ivg.cloudfront.net/Documentos/631/11338000411/6311133800041111092023161213.jpeg</v>
      </c>
      <c r="H4864" s="5" t="s">
        <v>13438</v>
      </c>
    </row>
    <row r="4865" spans="1:8" x14ac:dyDescent="0.25">
      <c r="A4865" s="2" t="s">
        <v>4891</v>
      </c>
      <c r="B4865" s="3"/>
      <c r="C4865" s="3"/>
      <c r="D4865" s="3"/>
      <c r="E4865" s="5" t="str">
        <f>HYPERLINK("https://dpmzos25m8ivg.cloudfront.net/Documentos/631/11339362457/6311133936245711092023163405.jpeg","https://dpmzos25m8ivg.cloudfront.net/Documentos/631/11339362457/6311133936245711092023163405.jpeg")</f>
        <v>https://dpmzos25m8ivg.cloudfront.net/Documentos/631/11339362457/6311133936245711092023163405.jpeg</v>
      </c>
      <c r="F4865" s="5" t="str">
        <f>HYPERLINK("https://dpmzos25m8ivg.cloudfront.net/Documentos/631/11339362457/6311133936245711092023163417.jpeg","https://dpmzos25m8ivg.cloudfront.net/Documentos/631/11339362457/6311133936245711092023163417.jpeg")</f>
        <v>https://dpmzos25m8ivg.cloudfront.net/Documentos/631/11339362457/6311133936245711092023163417.jpeg</v>
      </c>
      <c r="G4865" s="5" t="str">
        <f>HYPERLINK("https://dpmzos25m8ivg.cloudfront.net/Documentos/631/11339362457/6311133936245711092023163428.jpeg","https://dpmzos25m8ivg.cloudfront.net/Documentos/631/11339362457/6311133936245711092023163428.jpeg")</f>
        <v>https://dpmzos25m8ivg.cloudfront.net/Documentos/631/11339362457/6311133936245711092023163428.jpeg</v>
      </c>
      <c r="H4865" s="5" t="s">
        <v>13439</v>
      </c>
    </row>
    <row r="4866" spans="1:8" x14ac:dyDescent="0.25">
      <c r="A4866" s="2" t="s">
        <v>4892</v>
      </c>
      <c r="B4866" s="3"/>
      <c r="C4866" s="3"/>
      <c r="D4866" s="3"/>
      <c r="E4866" s="5" t="str">
        <f>HYPERLINK("https://dpmzos25m8ivg.cloudfront.net/Documentos/631/11341559726/6311134155972605092023232058.pdf","https://dpmzos25m8ivg.cloudfront.net/Documentos/631/11341559726/6311134155972605092023232058.pdf")</f>
        <v>https://dpmzos25m8ivg.cloudfront.net/Documentos/631/11341559726/6311134155972605092023232058.pdf</v>
      </c>
      <c r="F4866" s="5" t="str">
        <f>HYPERLINK("https://dpmzos25m8ivg.cloudfront.net/Documentos/631/11341559726/6311134155972605092023232125.pdf","https://dpmzos25m8ivg.cloudfront.net/Documentos/631/11341559726/6311134155972605092023232125.pdf")</f>
        <v>https://dpmzos25m8ivg.cloudfront.net/Documentos/631/11341559726/6311134155972605092023232125.pdf</v>
      </c>
      <c r="G4866" s="5" t="str">
        <f>HYPERLINK("https://dpmzos25m8ivg.cloudfront.net/Documentos/631/11341559726/6311134155972605092023232256.pdf","https://dpmzos25m8ivg.cloudfront.net/Documentos/631/11341559726/6311134155972605092023232256.pdf")</f>
        <v>https://dpmzos25m8ivg.cloudfront.net/Documentos/631/11341559726/6311134155972605092023232256.pdf</v>
      </c>
      <c r="H4866" s="5" t="s">
        <v>13440</v>
      </c>
    </row>
    <row r="4867" spans="1:8" x14ac:dyDescent="0.25">
      <c r="A4867" s="2" t="s">
        <v>4893</v>
      </c>
      <c r="B4867" s="3"/>
      <c r="C4867" s="3"/>
      <c r="D4867" s="3"/>
      <c r="E4867" s="5" t="str">
        <f>HYPERLINK("https://dpmzos25m8ivg.cloudfront.net/Documentos/631/11343848407/6311134384840714092023001224.pdf","https://dpmzos25m8ivg.cloudfront.net/Documentos/631/11343848407/6311134384840714092023001224.pdf")</f>
        <v>https://dpmzos25m8ivg.cloudfront.net/Documentos/631/11343848407/6311134384840714092023001224.pdf</v>
      </c>
      <c r="F4867" s="5" t="str">
        <f>HYPERLINK("https://dpmzos25m8ivg.cloudfront.net/Documentos/631/11343848407/6311134384840714092023001317.pdf","https://dpmzos25m8ivg.cloudfront.net/Documentos/631/11343848407/6311134384840714092023001317.pdf")</f>
        <v>https://dpmzos25m8ivg.cloudfront.net/Documentos/631/11343848407/6311134384840714092023001317.pdf</v>
      </c>
      <c r="G4867" s="5" t="str">
        <f>HYPERLINK("https://dpmzos25m8ivg.cloudfront.net/Documentos/631/11343848407/6311134384840714092023001502.pdf","https://dpmzos25m8ivg.cloudfront.net/Documentos/631/11343848407/6311134384840714092023001502.pdf")</f>
        <v>https://dpmzos25m8ivg.cloudfront.net/Documentos/631/11343848407/6311134384840714092023001502.pdf</v>
      </c>
      <c r="H4867" s="5" t="s">
        <v>13441</v>
      </c>
    </row>
    <row r="4868" spans="1:8" x14ac:dyDescent="0.25">
      <c r="A4868" s="2" t="s">
        <v>4894</v>
      </c>
      <c r="B4868" s="3"/>
      <c r="C4868" s="3"/>
      <c r="D4868" s="3"/>
      <c r="E4868" s="5" t="str">
        <f>HYPERLINK("https://dpmzos25m8ivg.cloudfront.net/Documentos/631/11345612613/6311134561261311092023131246.pdf","https://dpmzos25m8ivg.cloudfront.net/Documentos/631/11345612613/6311134561261311092023131246.pdf")</f>
        <v>https://dpmzos25m8ivg.cloudfront.net/Documentos/631/11345612613/6311134561261311092023131246.pdf</v>
      </c>
      <c r="F4868" s="5" t="str">
        <f>HYPERLINK("https://dpmzos25m8ivg.cloudfront.net/Documentos/631/11345612613/6311134561261311092023131651.pdf","https://dpmzos25m8ivg.cloudfront.net/Documentos/631/11345612613/6311134561261311092023131651.pdf")</f>
        <v>https://dpmzos25m8ivg.cloudfront.net/Documentos/631/11345612613/6311134561261311092023131651.pdf</v>
      </c>
      <c r="G4868" s="5" t="str">
        <f>HYPERLINK("https://dpmzos25m8ivg.cloudfront.net/Documentos/631/11345612613/6311134561261311092023131710.pdf","https://dpmzos25m8ivg.cloudfront.net/Documentos/631/11345612613/6311134561261311092023131710.pdf")</f>
        <v>https://dpmzos25m8ivg.cloudfront.net/Documentos/631/11345612613/6311134561261311092023131710.pdf</v>
      </c>
      <c r="H4868" s="5" t="s">
        <v>13442</v>
      </c>
    </row>
    <row r="4869" spans="1:8" x14ac:dyDescent="0.25">
      <c r="A4869" s="2" t="s">
        <v>4895</v>
      </c>
      <c r="B4869" s="3"/>
      <c r="C4869" s="3"/>
      <c r="D4869" s="3"/>
      <c r="E4869" s="5" t="str">
        <f>HYPERLINK("https://dpmzos25m8ivg.cloudfront.net/Documentos/631/11345948441/6311134594844110092023211209.jpeg","https://dpmzos25m8ivg.cloudfront.net/Documentos/631/11345948441/6311134594844110092023211209.jpeg")</f>
        <v>https://dpmzos25m8ivg.cloudfront.net/Documentos/631/11345948441/6311134594844110092023211209.jpeg</v>
      </c>
      <c r="F4869" s="5" t="str">
        <f>HYPERLINK("https://dpmzos25m8ivg.cloudfront.net/Documentos/631/11345948441/6311134594844110092023211217.jpeg","https://dpmzos25m8ivg.cloudfront.net/Documentos/631/11345948441/6311134594844110092023211217.jpeg")</f>
        <v>https://dpmzos25m8ivg.cloudfront.net/Documentos/631/11345948441/6311134594844110092023211217.jpeg</v>
      </c>
      <c r="G4869" s="5" t="str">
        <f>HYPERLINK("https://dpmzos25m8ivg.cloudfront.net/Documentos/631/11345948441/6311134594844110092023211225.jpeg","https://dpmzos25m8ivg.cloudfront.net/Documentos/631/11345948441/6311134594844110092023211225.jpeg")</f>
        <v>https://dpmzos25m8ivg.cloudfront.net/Documentos/631/11345948441/6311134594844110092023211225.jpeg</v>
      </c>
      <c r="H4869" s="5" t="s">
        <v>13443</v>
      </c>
    </row>
    <row r="4870" spans="1:8" x14ac:dyDescent="0.25">
      <c r="A4870" s="2" t="s">
        <v>4896</v>
      </c>
      <c r="B4870" s="3"/>
      <c r="C4870" s="3"/>
      <c r="D4870" s="3"/>
      <c r="E4870" s="5" t="str">
        <f>HYPERLINK("https://dpmzos25m8ivg.cloudfront.net/Documentos/631/11346997438/6311134699743810092023184755.pdf","https:/AR1136/dpmzos25m8ivg.cloudfront.net/Documentos/631/11346997438/6311134699743810092023184755.pdf")</f>
        <v>https:/AR1136/dpmzos25m8ivg.cloudfront.net/Documentos/631/11346997438/6311134699743810092023184755.pdf</v>
      </c>
      <c r="F4870" s="5" t="str">
        <f>HYPERLINK("https://dpmzos25m8ivg.cloudfront.net/Documentos/631/11346997438/6311134699743810092023184807.pdf","https://dpmzos25m8ivg.cloudfront.net/Documentos/631/11346997438/6311134699743810092023184807.pdf")</f>
        <v>https://dpmzos25m8ivg.cloudfront.net/Documentos/631/11346997438/6311134699743810092023184807.pdf</v>
      </c>
      <c r="G4870" s="5" t="str">
        <f>HYPERLINK("https://dpmzos25m8ivg.cloudfront.net/Documentos/631/11346997438/6311134699743810092023184818.pdf","https://dpmzos25m8ivg.cloudfront.net/Documentos/631/11346997438/6311134699743810092023184818.pdf")</f>
        <v>https://dpmzos25m8ivg.cloudfront.net/Documentos/631/11346997438/6311134699743810092023184818.pdf</v>
      </c>
      <c r="H4870" s="5" t="s">
        <v>13444</v>
      </c>
    </row>
    <row r="4871" spans="1:8" x14ac:dyDescent="0.25">
      <c r="A4871" s="21" t="s">
        <v>4897</v>
      </c>
      <c r="B4871" s="16" t="s">
        <v>4883</v>
      </c>
      <c r="C4871" s="3"/>
      <c r="D4871" s="3"/>
      <c r="E4871" s="5" t="str">
        <f>HYPERLINK("https://dpmzos25m8ivg.cloudfront.net/Documentos/631/11349099694/6311134909969410092023214034.pdf","https://dpmzos25m8ivg.cloudfront.net/Documentos/631/11349099694/6311134909969410092023214034.pdf")</f>
        <v>https://dpmzos25m8ivg.cloudfront.net/Documentos/631/11349099694/6311134909969410092023214034.pdf</v>
      </c>
      <c r="F4871" s="5" t="str">
        <f>HYPERLINK("https://dpmzos25m8ivg.cloudfront.net/Documentos/631/11349099694/6311134909969410092023214048.pdf","https://dpmzos25m8ivg.cloudfront.net/Documentos/631/11349099694/6311134909969410092023214048.pdf")</f>
        <v>https://dpmzos25m8ivg.cloudfront.net/Documentos/631/11349099694/6311134909969410092023214048.pdf</v>
      </c>
      <c r="G4871" s="5" t="str">
        <f>HYPERLINK("https://dpmzos25m8ivg.cloudfront.net/Documentos/631/11349099694/6311134909969410092023214101.pdf","https://dpmzos25m8ivg.cloudfront.net/Documentos/631/11349099694/6311134909969410092023214101.pdf")</f>
        <v>https://dpmzos25m8ivg.cloudfront.net/Documentos/631/11349099694/6311134909969410092023214101.pdf</v>
      </c>
      <c r="H4871" s="5" t="s">
        <v>13445</v>
      </c>
    </row>
    <row r="4872" spans="1:8" x14ac:dyDescent="0.25">
      <c r="A4872" s="2" t="s">
        <v>4898</v>
      </c>
      <c r="B4872" s="16" t="s">
        <v>2358</v>
      </c>
      <c r="C4872" s="3"/>
      <c r="D4872" s="3"/>
      <c r="E4872" s="5" t="str">
        <f>HYPERLINK("https://dpmzos25m8ivg.cloudfront.net/Documentos/631/11350862738/6311135086273806092023145255.pdf","https://dpmzos25m8ivg.cloudfront.net/Documentos/631/11350862738/6311135086273806092023145255.pdf")</f>
        <v>https://dpmzos25m8ivg.cloudfront.net/Documentos/631/11350862738/6311135086273806092023145255.pdf</v>
      </c>
      <c r="F4872" s="5" t="str">
        <f>HYPERLINK("https://dpmzos25m8ivg.cloudfront.net/Documentos/631/11350862738/6311135086273806092023145306.pdf","https://dpmzos25m8ivg.cloudfront.net/Documentos/631/11350862738/6311135086273806092023145306.pdf")</f>
        <v>https://dpmzos25m8ivg.cloudfront.net/Documentos/631/11350862738/6311135086273806092023145306.pdf</v>
      </c>
      <c r="G4872" s="5" t="str">
        <f>HYPERLINK("https://dpmzos25m8ivg.cloudfront.net/Documentos/631/11350862738/6311135086273806092023145319.pdf","https://dpmzos25m8ivg.cloudfront.net/Documentos/631/11350862738/6311135086273806092023145319.pdf")</f>
        <v>https://dpmzos25m8ivg.cloudfront.net/Documentos/631/11350862738/6311135086273806092023145319.pdf</v>
      </c>
      <c r="H4872" s="5" t="s">
        <v>13446</v>
      </c>
    </row>
    <row r="4873" spans="1:8" x14ac:dyDescent="0.25">
      <c r="A4873" s="2" t="s">
        <v>4899</v>
      </c>
      <c r="B4873" s="3"/>
      <c r="C4873" s="3"/>
      <c r="D4873" s="3"/>
      <c r="E4873" s="5" t="str">
        <f>HYPERLINK("https://dpmzos25m8ivg.cloudfront.net/Documentos/631/11352262886/6311135226288610092023183738.pdf","https://dpmzos25m8ivg.cloudfront.net/Documentos/631/11352262886/6311135226288610092023183738.pdf")</f>
        <v>https://dpmzos25m8ivg.cloudfront.net/Documentos/631/11352262886/6311135226288610092023183738.pdf</v>
      </c>
      <c r="F4873" s="5" t="str">
        <f>HYPERLINK("https://dpmzos25m8ivg.cloudfront.net/Documentos/631/11352262886/6311135226288610092023183755.pdf","https://dpmzos25m8ivg.cloudfront.net/Documentos/631/11352262886/6311135226288610092023183755.pdf")</f>
        <v>https://dpmzos25m8ivg.cloudfront.net/Documentos/631/11352262886/6311135226288610092023183755.pdf</v>
      </c>
      <c r="G4873" s="5" t="str">
        <f>HYPERLINK("https://dpmzos25m8ivg.cloudfront.net/Documentos/631/11352262886/6311135226288610092023183811.pdf","https://dpmzos25m8ivg.cloudfront.net/Documentos/631/11352262886/6311135226288610092023183811.pdf")</f>
        <v>https://dpmzos25m8ivg.cloudfront.net/Documentos/631/11352262886/6311135226288610092023183811.pdf</v>
      </c>
      <c r="H4873" s="5" t="s">
        <v>13447</v>
      </c>
    </row>
    <row r="4874" spans="1:8" x14ac:dyDescent="0.25">
      <c r="A4874" s="2" t="s">
        <v>4900</v>
      </c>
      <c r="B4874" s="3"/>
      <c r="C4874" s="3"/>
      <c r="D4874" s="3"/>
      <c r="E4874" s="5" t="str">
        <f>HYPERLINK("https://dpmzos25m8ivg.cloudfront.net/Documentos/631/11362463981/6311136246398108092023130721.pdf","https://dpmzos25m8ivg.cloudfront.net/Documentos/631/11362463981/6311136246398108092023130721.pdf")</f>
        <v>https://dpmzos25m8ivg.cloudfront.net/Documentos/631/11362463981/6311136246398108092023130721.pdf</v>
      </c>
      <c r="F4874" s="5" t="str">
        <f>HYPERLINK("https://dpmzos25m8ivg.cloudfront.net/Documentos/631/11362463981/6311136246398108092023130734.pdf","https://dpmzos25m8ivg.cloudfront.net/Documentos/631/11362463981/6311136246398108092023130734.pdf")</f>
        <v>https://dpmzos25m8ivg.cloudfront.net/Documentos/631/11362463981/6311136246398108092023130734.pdf</v>
      </c>
      <c r="G4874" s="5" t="str">
        <f>HYPERLINK("https://dpmzos25m8ivg.cloudfront.net/Documentos/631/11362463981/6311136246398108092023130751.pdf","https://dpmzos25m8ivg.cloudfront.net/Documentos/631/11362463981/6311136246398108092023130751.pdf")</f>
        <v>https://dpmzos25m8ivg.cloudfront.net/Documentos/631/11362463981/6311136246398108092023130751.pdf</v>
      </c>
      <c r="H4874" s="5" t="s">
        <v>13448</v>
      </c>
    </row>
    <row r="4875" spans="1:8" x14ac:dyDescent="0.25">
      <c r="A4875" s="2" t="s">
        <v>4901</v>
      </c>
      <c r="B4875" s="3"/>
      <c r="C4875" s="3"/>
      <c r="D4875" s="3"/>
      <c r="E4875" s="5" t="str">
        <f>HYPERLINK("https://dpmzos25m8ivg.cloudfront.net/Documentos/631/11366560655/6311136656065511092023101332.pdf","https://dpmzos25m8ivg.cloudfront.net/Documentos/631/11366560655/6311136656065511092023101332.pdf")</f>
        <v>https://dpmzos25m8ivg.cloudfront.net/Documentos/631/11366560655/6311136656065511092023101332.pdf</v>
      </c>
      <c r="F4875" s="5" t="str">
        <f>HYPERLINK("https://dpmzos25m8ivg.cloudfront.net/Documentos/631/11366560655/6311136656065511092023101359.pdf","https://dpmzos25m8ivg.cloudfront.net/Documentos/631/11366560655/6311136656065511092023101359.pdf")</f>
        <v>https://dpmzos25m8ivg.cloudfront.net/Documentos/631/11366560655/6311136656065511092023101359.pdf</v>
      </c>
      <c r="G4875" s="5" t="str">
        <f>HYPERLINK("https://dpmzos25m8ivg.cloudfront.net/Documentos/631/11366560655/6311136656065511092023101520.pdf","https://dpmzos25m8ivg.cloudfront.net/Documentos/631/11366560655/6311136656065511092023101520.pdf")</f>
        <v>https://dpmzos25m8ivg.cloudfront.net/Documentos/631/11366560655/6311136656065511092023101520.pdf</v>
      </c>
      <c r="H4875" s="5" t="s">
        <v>13449</v>
      </c>
    </row>
    <row r="4876" spans="1:8" x14ac:dyDescent="0.25">
      <c r="A4876" s="2" t="s">
        <v>4902</v>
      </c>
      <c r="B4876" s="3"/>
      <c r="C4876" s="3"/>
      <c r="D4876" s="3"/>
      <c r="E4876" s="5" t="str">
        <f>HYPERLINK("https://dpmzos25m8ivg.cloudfront.net/Documentos/631/11372785604/6311137278560405092023104637.pdf","https://dpmzos25m8ivg.cloudfront.net/Documentos/631/11372785604/6311137278560405092023104637.pdf")</f>
        <v>https://dpmzos25m8ivg.cloudfront.net/Documentos/631/11372785604/6311137278560405092023104637.pdf</v>
      </c>
      <c r="F4876" s="5" t="str">
        <f>HYPERLINK("https://dpmzos25m8ivg.cloudfront.net/Documentos/631/11372785604/6311137278560405092023104651.pdf","https://dpmzos25m8ivg.cloudfront.net/Documentos/631/11372785604/6311137278560405092023104651.pdf")</f>
        <v>https://dpmzos25m8ivg.cloudfront.net/Documentos/631/11372785604/6311137278560405092023104651.pdf</v>
      </c>
      <c r="G4876" s="5" t="str">
        <f>HYPERLINK("https://dpmzos25m8ivg.cloudfront.net/Documentos/631/11372785604/6311137278560405092023104702.pdf","https://dpmzos25m8ivg.cloudfront.net/Documentos/631/11372785604/6311137278560405092023104702.pdf")</f>
        <v>https://dpmzos25m8ivg.cloudfront.net/Documentos/631/11372785604/6311137278560405092023104702.pdf</v>
      </c>
      <c r="H4876" s="5" t="s">
        <v>13450</v>
      </c>
    </row>
    <row r="4877" spans="1:8" x14ac:dyDescent="0.25">
      <c r="A4877" s="2" t="s">
        <v>4903</v>
      </c>
      <c r="B4877" s="3"/>
      <c r="C4877" s="3"/>
      <c r="D4877" s="3"/>
      <c r="E4877" s="5" t="str">
        <f>HYPERLINK("https://dpmzos25m8ivg.cloudfront.net/Documentos/631/11376790424/6311137679042411092023135320.pdf","https://dpmzos25m8ivg.cloudfront.net/Documentos/631/11376790424/6311137679042411092023135320.pdf")</f>
        <v>https://dpmzos25m8ivg.cloudfront.net/Documentos/631/11376790424/6311137679042411092023135320.pdf</v>
      </c>
      <c r="F4877" s="5" t="str">
        <f>HYPERLINK("https://dpmzos25m8ivg.cloudfront.net/Documentos/631/11376790424/6311137679042411092023135331.pdf","https://dpmzos25m8ivg.cloudfront.net/Documentos/631/11376790424/6311137679042411092023135331.pdf")</f>
        <v>https://dpmzos25m8ivg.cloudfront.net/Documentos/631/11376790424/6311137679042411092023135331.pdf</v>
      </c>
      <c r="G4877" s="5" t="str">
        <f>HYPERLINK("https://dpmzos25m8ivg.cloudfront.net/Documentos/631/11376790424/6311137679042411092023135344.pdf","https://dpmzos25m8ivg.cloudfront.net/Documentos/631/11376790424/6311137679042411092023135344.pdf")</f>
        <v>https://dpmzos25m8ivg.cloudfront.net/Documentos/631/11376790424/6311137679042411092023135344.pdf</v>
      </c>
      <c r="H4877" s="5" t="s">
        <v>13451</v>
      </c>
    </row>
    <row r="4878" spans="1:8" x14ac:dyDescent="0.25">
      <c r="A4878" s="2" t="s">
        <v>4904</v>
      </c>
      <c r="B4878" s="3"/>
      <c r="C4878" s="3"/>
      <c r="D4878" s="3"/>
      <c r="E4878" s="5" t="str">
        <f>HYPERLINK("https://dpmzos25m8ivg.cloudfront.net/Documentos/631/11380711614/6311138071161414092023085440.pdf","https://dpmzos25m8ivg.cloudfront.net/Documentos/631/11380711614/6311138071161414092023085440.pdf")</f>
        <v>https://dpmzos25m8ivg.cloudfront.net/Documentos/631/11380711614/6311138071161414092023085440.pdf</v>
      </c>
      <c r="F4878" s="5" t="str">
        <f>HYPERLINK("https://dpmzos25m8ivg.cloudfront.net/Documentos/631/11380711614/6311138071161414092023085453.pdf","https://dpmzos25m8ivg.cloudfront.net/Documentos/631/11380711614/6311138071161414092023085453.pdf")</f>
        <v>https://dpmzos25m8ivg.cloudfront.net/Documentos/631/11380711614/6311138071161414092023085453.pdf</v>
      </c>
      <c r="G4878" s="5" t="str">
        <f>HYPERLINK("https://dpmzos25m8ivg.cloudfront.net/Documentos/631/11380711614/6311138071161414092023085503.pdf","https://dpmzos25m8ivg.cloudfront.net/Documentos/631/11380711614/6311138071161414092023085503.pdf")</f>
        <v>https://dpmzos25m8ivg.cloudfront.net/Documentos/631/11380711614/6311138071161414092023085503.pdf</v>
      </c>
      <c r="H4878" s="5" t="s">
        <v>13452</v>
      </c>
    </row>
    <row r="4879" spans="1:8" x14ac:dyDescent="0.25">
      <c r="A4879" s="2" t="s">
        <v>4905</v>
      </c>
      <c r="B4879" s="3"/>
      <c r="C4879" s="3"/>
      <c r="D4879" s="3"/>
      <c r="E4879" s="5" t="str">
        <f>HYPERLINK("https://dpmzos25m8ivg.cloudfront.net/Documentos/631/11389296628/6311138929662811092023131326.jpg","https://dpmzos25m8ivg.cloudfront.net/Documentos/631/11389296628/6311138929662811092023131326.jpg")</f>
        <v>https://dpmzos25m8ivg.cloudfront.net/Documentos/631/11389296628/6311138929662811092023131326.jpg</v>
      </c>
      <c r="F4879" s="5" t="str">
        <f>HYPERLINK("https://dpmzos25m8ivg.cloudfront.net/Documentos/631/11389296628/6311138929662811092023131337.jpg","https://dpmzos25m8ivg.cloudfront.net/Documentos/631/11389296628/6311138929662811092023131337.jpg")</f>
        <v>https://dpmzos25m8ivg.cloudfront.net/Documentos/631/11389296628/6311138929662811092023131337.jpg</v>
      </c>
      <c r="G4879" s="5" t="str">
        <f>HYPERLINK("https://dpmzos25m8ivg.cloudfront.net/Documentos/631/11389296628/6311138929662811092023131349.jpg","https://dpmzos25m8ivg.cloudfront.net/Documentos/631/11389296628/6311138929662811092023131349.jpg")</f>
        <v>https://dpmzos25m8ivg.cloudfront.net/Documentos/631/11389296628/6311138929662811092023131349.jpg</v>
      </c>
      <c r="H4879" s="5" t="s">
        <v>13453</v>
      </c>
    </row>
    <row r="4880" spans="1:8" x14ac:dyDescent="0.25">
      <c r="A4880" s="2" t="s">
        <v>4906</v>
      </c>
      <c r="B4880" s="16" t="s">
        <v>2358</v>
      </c>
      <c r="C4880" s="3"/>
      <c r="D4880" s="3"/>
      <c r="E4880" s="5" t="str">
        <f>HYPERLINK("https://dpmzos25m8ivg.cloudfront.net/Documentos/631/11389573486/6311138957348605092023224228.pdf","https://dpmzos25m8ivg.cloudfront.net/Documentos/631/11389573486/6311138957348605092023224228.pdf")</f>
        <v>https://dpmzos25m8ivg.cloudfront.net/Documentos/631/11389573486/6311138957348605092023224228.pdf</v>
      </c>
      <c r="F4880" s="5" t="str">
        <f>HYPERLINK("https://dpmzos25m8ivg.cloudfront.net/Documentos/631/11389573486/6311138957348605092023224240.pdf","https://dpmzos25m8ivg.cloudfront.net/Documentos/631/11389573486/6311138957348605092023224240.pdf")</f>
        <v>https://dpmzos25m8ivg.cloudfront.net/Documentos/631/11389573486/6311138957348605092023224240.pdf</v>
      </c>
      <c r="G4880" s="5" t="str">
        <f>HYPERLINK("https://dpmzos25m8ivg.cloudfront.net/Documentos/631/11389573486/6311138957348605092023224250.pdf","https://dpmzos25m8ivg.cloudfront.net/Documentos/631/11389573486/6311138957348605092023224250.pdf")</f>
        <v>https://dpmzos25m8ivg.cloudfront.net/Documentos/631/11389573486/6311138957348605092023224250.pdf</v>
      </c>
      <c r="H4880" s="5" t="s">
        <v>13454</v>
      </c>
    </row>
    <row r="4881" spans="1:8" x14ac:dyDescent="0.25">
      <c r="A4881" s="2" t="s">
        <v>4907</v>
      </c>
      <c r="B4881" s="19" t="s">
        <v>4857</v>
      </c>
      <c r="C4881" s="3"/>
      <c r="D4881" s="3"/>
      <c r="E4881" s="5" t="str">
        <f>HYPERLINK("https://dpmzos25m8ivg.cloudfront.net/Documentos/631/11389604462/6311138960446211092023133536.pdf","https://dpmzos25m8ivg.cloudfront.net/Documentos/631/11389604462/6311138960446211092023133536.pdf")</f>
        <v>https://dpmzos25m8ivg.cloudfront.net/Documentos/631/11389604462/6311138960446211092023133536.pdf</v>
      </c>
      <c r="F4881" s="5" t="str">
        <f>HYPERLINK("https://dpmzos25m8ivg.cloudfront.net/Documentos/631/11389604462/6311138960446211092023133552.pdf","https://dpmzos25m8ivg.cloudfront.net/Documentos/631/11389604462/6311138960446211092023133552.pdf")</f>
        <v>https://dpmzos25m8ivg.cloudfront.net/Documentos/631/11389604462/6311138960446211092023133552.pdf</v>
      </c>
      <c r="G4881" s="5" t="str">
        <f>HYPERLINK("https://dpmzos25m8ivg.cloudfront.net/Documentos/631/11389604462/6311138960446211092023123559.pdf","https://dpmzos25m8ivg.cloudfront.net/Documentos/631/11389604462/6311138960446211092023123559.pdf")</f>
        <v>https://dpmzos25m8ivg.cloudfront.net/Documentos/631/11389604462/6311138960446211092023123559.pdf</v>
      </c>
      <c r="H4881" s="5" t="s">
        <v>13455</v>
      </c>
    </row>
    <row r="4882" spans="1:8" x14ac:dyDescent="0.25">
      <c r="A4882" s="2" t="s">
        <v>4908</v>
      </c>
      <c r="B4882" s="3"/>
      <c r="C4882" s="3"/>
      <c r="D4882" s="3"/>
      <c r="E4882" s="5" t="str">
        <f>HYPERLINK("https://dpmzos25m8ivg.cloudfront.net/Documentos/631/11389799450/6311138979945006092023154011.jpg","https://dpmzos25m8ivg.cloudfront.net/Documentos/631/11389799450/6311138979945006092023154011.jpg")</f>
        <v>https://dpmzos25m8ivg.cloudfront.net/Documentos/631/11389799450/6311138979945006092023154011.jpg</v>
      </c>
      <c r="F4882" s="5" t="str">
        <f>HYPERLINK("https://dpmzos25m8ivg.cloudfront.net/Documentos/631/11389799450/6311138979945006092023154033.jpg","https://dpmzos25m8ivg.cloudfront.net/Documentos/631/11389799450/6311138979945006092023154033.jpg")</f>
        <v>https://dpmzos25m8ivg.cloudfront.net/Documentos/631/11389799450/6311138979945006092023154033.jpg</v>
      </c>
      <c r="G4882" s="5" t="str">
        <f>HYPERLINK("https://dpmzos25m8ivg.cloudfront.net/Documentos/631/11389799450/6311138979945006092023154045.jpg","https://dpmzos25m8ivg.cloudfront.net/Documentos/631/11389799450/6311138979945006092023154045.jpg")</f>
        <v>https://dpmzos25m8ivg.cloudfront.net/Documentos/631/11389799450/6311138979945006092023154045.jpg</v>
      </c>
      <c r="H4882" s="5" t="s">
        <v>13456</v>
      </c>
    </row>
    <row r="4883" spans="1:8" x14ac:dyDescent="0.25">
      <c r="A4883" s="2" t="s">
        <v>4909</v>
      </c>
      <c r="B4883" s="3"/>
      <c r="C4883" s="3"/>
      <c r="D4883" s="3"/>
      <c r="E4883" s="5" t="str">
        <f>HYPERLINK("https://dpmzos25m8ivg.cloudfront.net/Documentos/631/11390839702/6311139083970211092023150330.pdf","https://dpmzos25m8ivg.cloudfront.net/Documentos/631/11390839702/6311139083970211092023150330.pdf")</f>
        <v>https://dpmzos25m8ivg.cloudfront.net/Documentos/631/11390839702/6311139083970211092023150330.pdf</v>
      </c>
      <c r="F4883" s="5" t="str">
        <f>HYPERLINK("https://dpmzos25m8ivg.cloudfront.net/Documentos/631/11390839702/6311139083970211092023150537.pdf","https://dpmzos25m8ivg.cloudfront.net/Documentos/631/11390839702/6311139083970211092023150537.pdf")</f>
        <v>https://dpmzos25m8ivg.cloudfront.net/Documentos/631/11390839702/6311139083970211092023150537.pdf</v>
      </c>
      <c r="G4883" s="5" t="str">
        <f>HYPERLINK("https://dpmzos25m8ivg.cloudfront.net/Documentos/631/11390839702/6311139083970211092023150807.pdf","https://dpmzos25m8ivg.cloudfront.net/Documentos/631/11390839702/6311139083970211092023150807.pdf")</f>
        <v>https://dpmzos25m8ivg.cloudfront.net/Documentos/631/11390839702/6311139083970211092023150807.pdf</v>
      </c>
      <c r="H4883" s="5" t="s">
        <v>13457</v>
      </c>
    </row>
    <row r="4884" spans="1:8" x14ac:dyDescent="0.25">
      <c r="A4884" s="2" t="s">
        <v>4910</v>
      </c>
      <c r="B4884" s="3"/>
      <c r="C4884" s="3"/>
      <c r="D4884" s="3"/>
      <c r="E4884" s="5" t="str">
        <f>HYPERLINK("https://dpmzos25m8ivg.cloudfront.net/Documentos/631/11393825435/6311139382543511092023121708.jpg","https://dpmzos25m8ivg.cloudfront.net/Documentos/631/11393825435/6311139382543511092023121708.jpg")</f>
        <v>https://dpmzos25m8ivg.cloudfront.net/Documentos/631/11393825435/6311139382543511092023121708.jpg</v>
      </c>
      <c r="F4884" s="5" t="str">
        <f>HYPERLINK("https://dpmzos25m8ivg.cloudfront.net/Documentos/631/11393825435/6311139382543511092023121721.jpg","https://dpmzos25m8ivg.cloudfront.net/Documentos/631/11393825435/6311139382543511092023121721.jpg")</f>
        <v>https://dpmzos25m8ivg.cloudfront.net/Documentos/631/11393825435/6311139382543511092023121721.jpg</v>
      </c>
      <c r="G4884" s="5" t="str">
        <f>HYPERLINK("https://dpmzos25m8ivg.cloudfront.net/Documentos/631/11393825435/6311139382543511092023121733.jpg","https://dpmzos25m8ivg.cloudfront.net/Documentos/631/11393825435/6311139382543511092023121733.jpg")</f>
        <v>https://dpmzos25m8ivg.cloudfront.net/Documentos/631/11393825435/6311139382543511092023121733.jpg</v>
      </c>
      <c r="H4884" s="5" t="s">
        <v>13458</v>
      </c>
    </row>
    <row r="4885" spans="1:8" x14ac:dyDescent="0.25">
      <c r="A4885" s="2" t="s">
        <v>4911</v>
      </c>
      <c r="B4885" s="3"/>
      <c r="C4885" s="3"/>
      <c r="D4885" s="3"/>
      <c r="E4885" s="5" t="str">
        <f>HYPERLINK("https://dpmzos25m8ivg.cloudfront.net/Documentos/631/11394197497/6311139419749707092023080230.pdf","https://dpmzos25m8ivg.cloudfront.net/Documentos/631/11394197497/6311139419749707092023080230.pdf")</f>
        <v>https://dpmzos25m8ivg.cloudfront.net/Documentos/631/11394197497/6311139419749707092023080230.pdf</v>
      </c>
      <c r="F4885" s="5" t="str">
        <f>HYPERLINK("https://dpmzos25m8ivg.cloudfront.net/Documentos/631/11394197497/6311139419749707092023080240.pdf","https://dpmzos25m8ivg.cloudfront.net/Documentos/631/11394197497/6311139419749707092023080240.pdf")</f>
        <v>https://dpmzos25m8ivg.cloudfront.net/Documentos/631/11394197497/6311139419749707092023080240.pdf</v>
      </c>
      <c r="G4885" s="5" t="str">
        <f>HYPERLINK("https://dpmzos25m8ivg.cloudfront.net/Documentos/631/11394197497/6311139419749707092023080252.pdf","https://dpmzos25m8ivg.cloudfront.net/Documentos/631/11394197497/6311139419749707092023080252.pdf")</f>
        <v>https://dpmzos25m8ivg.cloudfront.net/Documentos/631/11394197497/6311139419749707092023080252.pdf</v>
      </c>
      <c r="H4885" s="5" t="s">
        <v>13459</v>
      </c>
    </row>
    <row r="4886" spans="1:8" x14ac:dyDescent="0.25">
      <c r="A4886" s="2" t="s">
        <v>4912</v>
      </c>
      <c r="B4886" s="3"/>
      <c r="C4886" s="3"/>
      <c r="D4886" s="3"/>
      <c r="E4886" s="5" t="str">
        <f>HYPERLINK("https://dpmzos25m8ivg.cloudfront.net/Documentos/631/11396436650/6311139643665005092023162231.jpeg","https://dpmzos25m8ivg.cloudfront.net/Documentos/631/11396436650/6311139643665005092023162231.jpeg")</f>
        <v>https://dpmzos25m8ivg.cloudfront.net/Documentos/631/11396436650/6311139643665005092023162231.jpeg</v>
      </c>
      <c r="F4886" s="5" t="str">
        <f>HYPERLINK("https://dpmzos25m8ivg.cloudfront.net/Documentos/631/11396436650/6311139643665005092023162338.jpeg","https://dpmzos25m8ivg.cloudfront.net/Documentos/631/11396436650/6311139643665005092023162338.jpeg")</f>
        <v>https://dpmzos25m8ivg.cloudfront.net/Documentos/631/11396436650/6311139643665005092023162338.jpeg</v>
      </c>
      <c r="G4886" s="5" t="str">
        <f>HYPERLINK("https://dpmzos25m8ivg.cloudfront.net/Documentos/631/11396436650/6311139643665005092023162424.jpeg","https://dpmzos25m8ivg.cloudfront.net/Documentos/631/11396436650/6311139643665005092023162424.jpeg")</f>
        <v>https://dpmzos25m8ivg.cloudfront.net/Documentos/631/11396436650/6311139643665005092023162424.jpeg</v>
      </c>
      <c r="H4886" s="5" t="s">
        <v>13460</v>
      </c>
    </row>
    <row r="4887" spans="1:8" x14ac:dyDescent="0.25">
      <c r="A4887" s="2" t="s">
        <v>4913</v>
      </c>
      <c r="B4887" s="3"/>
      <c r="C4887" s="3"/>
      <c r="D4887" s="3"/>
      <c r="E4887" s="5" t="str">
        <f>HYPERLINK("https://dpmzos25m8ivg.cloudfront.net/Documentos/631/11400426456/6311140042645613092023125148.jpeg","https://dpmzos25m8ivg.cloudfront.net/Documentos/631/11400426456/6311140042645613092023125148.jpeg")</f>
        <v>https://dpmzos25m8ivg.cloudfront.net/Documentos/631/11400426456/6311140042645613092023125148.jpeg</v>
      </c>
      <c r="F4887" s="5" t="str">
        <f>HYPERLINK("https://dpmzos25m8ivg.cloudfront.net/Documentos/631/11400426456/6311140042645613092023125157.jpeg","https://dpmzos25m8ivg.cloudfront.net/Documentos/631/11400426456/6311140042645613092023125157.jpeg")</f>
        <v>https://dpmzos25m8ivg.cloudfront.net/Documentos/631/11400426456/6311140042645613092023125157.jpeg</v>
      </c>
      <c r="G4887" s="5" t="str">
        <f>HYPERLINK("https://dpmzos25m8ivg.cloudfront.net/Documentos/631/11400426456/6311140042645613092023125208.jpeg","https://dpmzos25m8ivg.cloudfront.net/Documentos/631/11400426456/6311140042645613092023125208.jpeg")</f>
        <v>https://dpmzos25m8ivg.cloudfront.net/Documentos/631/11400426456/6311140042645613092023125208.jpeg</v>
      </c>
      <c r="H4887" s="5" t="s">
        <v>13461</v>
      </c>
    </row>
    <row r="4888" spans="1:8" x14ac:dyDescent="0.25">
      <c r="A4888" s="2" t="s">
        <v>4914</v>
      </c>
      <c r="B4888" s="3" t="s">
        <v>23</v>
      </c>
      <c r="C4888" s="3"/>
      <c r="D4888" s="3"/>
      <c r="E4888" s="5" t="str">
        <f>HYPERLINK("https://dpmzos25m8ivg.cloudfront.net/Documentos/631/11401673678/6311140167367805092023121323.pdf","https://dpmzos25m8ivg.cloudfront.net/Documentos/631/11401673678/6311140167367805092023121323.pdf")</f>
        <v>https://dpmzos25m8ivg.cloudfront.net/Documentos/631/11401673678/6311140167367805092023121323.pdf</v>
      </c>
      <c r="F4888" s="5" t="str">
        <f>HYPERLINK("https://dpmzos25m8ivg.cloudfront.net/Documentos/631/11401673678/6311140167367805092023131325.pdf","https://dpmzos25m8ivg.cloudfront.net/Documentos/631/11401673678/6311140167367805092023131325.pdf")</f>
        <v>https://dpmzos25m8ivg.cloudfront.net/Documentos/631/11401673678/6311140167367805092023131325.pdf</v>
      </c>
      <c r="G4888" s="5" t="str">
        <f>HYPERLINK("https://dpmzos25m8ivg.cloudfront.net/Documentos/631/11401673678/6311140167367805092023131715.pdf","https://dpmzos25m8ivg.cloudfront.net/Documentos/631/11401673678/6311140167367805092023131715.pdf")</f>
        <v>https://dpmzos25m8ivg.cloudfront.net/Documentos/631/11401673678/6311140167367805092023131715.pdf</v>
      </c>
      <c r="H4888" s="5" t="s">
        <v>13462</v>
      </c>
    </row>
    <row r="4889" spans="1:8" x14ac:dyDescent="0.25">
      <c r="A4889" s="2" t="s">
        <v>4915</v>
      </c>
      <c r="B4889" s="3"/>
      <c r="C4889" s="3"/>
      <c r="D4889" s="3"/>
      <c r="E4889" s="5" t="str">
        <f>HYPERLINK("https://dpmzos25m8ivg.cloudfront.net/Documentos/631/11407269437/6311140726943705092023161717.jpg","https://dpmzos25m8ivg.cloudfront.net/Documentos/631/11407269437/6311140726943705092023161717.jpg")</f>
        <v>https://dpmzos25m8ivg.cloudfront.net/Documentos/631/11407269437/6311140726943705092023161717.jpg</v>
      </c>
      <c r="F4889" s="5" t="str">
        <f>HYPERLINK("https://dpmzos25m8ivg.cloudfront.net/Documentos/631/11407269437/6311140726943705092023161736.jpg","https://dpmzos25m8ivg.cloudfront.net/Documentos/631/11407269437/6311140726943705092023161736.jpg")</f>
        <v>https://dpmzos25m8ivg.cloudfront.net/Documentos/631/11407269437/6311140726943705092023161736.jpg</v>
      </c>
      <c r="G4889" s="5" t="str">
        <f>HYPERLINK("https://dpmzos25m8ivg.cloudfront.net/Documentos/631/11407269437/6311140726943705092023161756.jpg","https://dpmzos25m8ivg.cloudfront.net/Documentos/631/11407269437/6311140726943705092023161756.jpg")</f>
        <v>https://dpmzos25m8ivg.cloudfront.net/Documentos/631/11407269437/6311140726943705092023161756.jpg</v>
      </c>
      <c r="H4889" s="5" t="s">
        <v>13463</v>
      </c>
    </row>
    <row r="4890" spans="1:8" x14ac:dyDescent="0.25">
      <c r="A4890" s="2" t="s">
        <v>4916</v>
      </c>
      <c r="B4890" s="3"/>
      <c r="C4890" s="3"/>
      <c r="D4890" s="3"/>
      <c r="E4890" s="5" t="str">
        <f>HYPERLINK("https://dpmzos25m8ivg.cloudfront.net/Documentos/631/11424924600/6311142492460008092023112353.pdf","https://dpmzos25m8ivg.cloudfront.net/Documentos/631/11424924600/6311142492460008092023112353.pdf")</f>
        <v>https://dpmzos25m8ivg.cloudfront.net/Documentos/631/11424924600/6311142492460008092023112353.pdf</v>
      </c>
      <c r="F4890" s="5" t="str">
        <f>HYPERLINK("https://dpmzos25m8ivg.cloudfront.net/Documentos/631/11424924600/6311142492460008092023112410.pdf","https://dpmzos25m8ivg.cloudfront.net/Documentos/631/11424924600/6311142492460008092023112410.pdf")</f>
        <v>https://dpmzos25m8ivg.cloudfront.net/Documentos/631/11424924600/6311142492460008092023112410.pdf</v>
      </c>
      <c r="G4890" s="5" t="str">
        <f>HYPERLINK("https://dpmzos25m8ivg.cloudfront.net/Documentos/631/11424924600/6311142492460008092023112422.pdf","https://dpmzos25m8ivg.cloudfront.net/Documentos/631/11424924600/6311142492460008092023112422.pdf")</f>
        <v>https://dpmzos25m8ivg.cloudfront.net/Documentos/631/11424924600/6311142492460008092023112422.pdf</v>
      </c>
      <c r="H4890" s="5" t="s">
        <v>13464</v>
      </c>
    </row>
    <row r="4891" spans="1:8" x14ac:dyDescent="0.25">
      <c r="A4891" s="2" t="s">
        <v>4917</v>
      </c>
      <c r="B4891" s="3"/>
      <c r="C4891" s="3"/>
      <c r="D4891" s="3"/>
      <c r="E4891" s="5" t="str">
        <f>HYPERLINK("https://dpmzos25m8ivg.cloudfront.net/Documentos/631/11427417458/6311142741745813092023134050.pdf","https://dpmzos25m8ivg.cloudfront.net/Documentos/631/11427417458/6311142741745813092023134050.pdf")</f>
        <v>https://dpmzos25m8ivg.cloudfront.net/Documentos/631/11427417458/6311142741745813092023134050.pdf</v>
      </c>
      <c r="F4891" s="5" t="str">
        <f>HYPERLINK("https://dpmzos25m8ivg.cloudfront.net/Documentos/631/11427417458/6311142741745813092023134427.pdf","https://dpmzos25m8ivg.cloudfront.net/Documentos/631/11427417458/6311142741745813092023134427.pdf")</f>
        <v>https://dpmzos25m8ivg.cloudfront.net/Documentos/631/11427417458/6311142741745813092023134427.pdf</v>
      </c>
      <c r="G4891" s="5" t="str">
        <f>HYPERLINK("https://dpmzos25m8ivg.cloudfront.net/Documentos/631/11427417458/6311142741745813092023134446.pdf","https://dpmzos25m8ivg.cloudfront.net/Documentos/631/11427417458/6311142741745813092023134446.pdf")</f>
        <v>https://dpmzos25m8ivg.cloudfront.net/Documentos/631/11427417458/6311142741745813092023134446.pdf</v>
      </c>
      <c r="H4891" s="5" t="s">
        <v>13465</v>
      </c>
    </row>
    <row r="4892" spans="1:8" x14ac:dyDescent="0.25">
      <c r="A4892" s="2" t="s">
        <v>4918</v>
      </c>
      <c r="B4892" s="3"/>
      <c r="C4892" s="3"/>
      <c r="D4892" s="3"/>
      <c r="E4892" s="5" t="str">
        <f>HYPERLINK("https://dpmzos25m8ivg.cloudfront.net/Documentos/631/11430789697/6311143078969707092023170650.jpg","https://dpmzos25m8ivg.cloudfront.net/Documentos/631/11430789697/6311143078969707092023170650.jpg")</f>
        <v>https://dpmzos25m8ivg.cloudfront.net/Documentos/631/11430789697/6311143078969707092023170650.jpg</v>
      </c>
      <c r="F4892" s="5" t="str">
        <f>HYPERLINK("https://dpmzos25m8ivg.cloudfront.net/Documentos/631/11430789697/6311143078969707092023170710.jpg","https://dpmzos25m8ivg.cloudfront.net/Documentos/631/11430789697/6311143078969707092023170710.jpg")</f>
        <v>https://dpmzos25m8ivg.cloudfront.net/Documentos/631/11430789697/6311143078969707092023170710.jpg</v>
      </c>
      <c r="G4892" s="5" t="str">
        <f>HYPERLINK("https://dpmzos25m8ivg.cloudfront.net/Documentos/631/11430789697/6311143078969707092023170723.jpg","https://dpmzos25m8ivg.cloudfront.net/Documentos/631/11430789697/6311143078969707092023170723.jpg")</f>
        <v>https://dpmzos25m8ivg.cloudfront.net/Documentos/631/11430789697/6311143078969707092023170723.jpg</v>
      </c>
      <c r="H4892" s="5" t="s">
        <v>13466</v>
      </c>
    </row>
    <row r="4893" spans="1:8" x14ac:dyDescent="0.25">
      <c r="A4893" s="2" t="s">
        <v>4919</v>
      </c>
      <c r="B4893" s="3"/>
      <c r="C4893" s="3"/>
      <c r="D4893" s="3"/>
      <c r="E4893" s="5" t="str">
        <f>HYPERLINK("https://dpmzos25m8ivg.cloudfront.net/Documentos/631/11449628893/6311144962889307092023133247.AS1249pdf","https://dpmzos25m8ivg.cloudfront.net/Documentos/631/11449628893/6311144962889307092023133247.pdf")</f>
        <v>https://dpmzos25m8ivg.cloudfront.net/Documentos/631/11449628893/6311144962889307092023133247.pdf</v>
      </c>
      <c r="F4893" s="5" t="str">
        <f>HYPERLINK("https://dpmzos25m8ivg.cloudfront.net/Documentos/631/11449628893/6311144962889307092023133312.pdf","https://dpmzos25m8ivg.cloudfront.net/Documentos/631/11449628893/6311144962889307092023133312.pdf")</f>
        <v>https://dpmzos25m8ivg.cloudfront.net/Documentos/631/11449628893/6311144962889307092023133312.pdf</v>
      </c>
      <c r="G4893" s="5" t="str">
        <f>HYPERLINK("https://dpmzos25m8ivg.cloudfront.net/Documentos/631/11449628893/6311144962889307092023133336.pdf","https://dpmzos25m8ivg.cloudfront.net/Documentos/631/11449628893/6311144962889307092023133336.pdf")</f>
        <v>https://dpmzos25m8ivg.cloudfront.net/Documentos/631/11449628893/6311144962889307092023133336.pdf</v>
      </c>
      <c r="H4893" s="5" t="s">
        <v>13467</v>
      </c>
    </row>
    <row r="4894" spans="1:8" x14ac:dyDescent="0.25">
      <c r="A4894" s="2" t="s">
        <v>4920</v>
      </c>
      <c r="B4894" s="3"/>
      <c r="C4894" s="3"/>
      <c r="D4894" s="3"/>
      <c r="E4894" s="5" t="str">
        <f>HYPERLINK("https://dpmzos25m8ivg.cloudfront.net/Documentos/631/11450532624/6311145053262406092023142657.pdf","https://dpmzos25m8ivg.cloudfront.net/Documentos/631/11450532624/6311145053262406092023142657.pdf")</f>
        <v>https://dpmzos25m8ivg.cloudfront.net/Documentos/631/11450532624/6311145053262406092023142657.pdf</v>
      </c>
      <c r="F4894" s="5" t="str">
        <f>HYPERLINK("https://dpmzos25m8ivg.cloudfront.net/Documentos/631/11450532624/6311145053262406092023142820.pdf","https://dpmzos25m8ivg.cloudfront.net/Documentos/631/11450532624/6311145053262406092023142820.pdf")</f>
        <v>https://dpmzos25m8ivg.cloudfront.net/Documentos/631/11450532624/6311145053262406092023142820.pdf</v>
      </c>
      <c r="G4894" s="5" t="str">
        <f>HYPERLINK("https://dpmzos25m8ivg.cloudfront.net/Documentos/631/11450532624/6311145053262406092023142901.pdf","https://dpmzos25m8ivg.cloudfront.net/Documentos/631/11450532624/6311145053262406092023142901.pdf")</f>
        <v>https://dpmzos25m8ivg.cloudfront.net/Documentos/631/11450532624/6311145053262406092023142901.pdf</v>
      </c>
      <c r="H4894" s="5" t="s">
        <v>13468</v>
      </c>
    </row>
    <row r="4895" spans="1:8" x14ac:dyDescent="0.25">
      <c r="A4895" s="2" t="s">
        <v>4921</v>
      </c>
      <c r="B4895" s="3"/>
      <c r="C4895" s="3"/>
      <c r="D4895" s="3"/>
      <c r="E4895" s="5" t="str">
        <f>HYPERLINK("https://dpmzos25m8ivg.cloudfront.net/Documentos/631/11451100450/6311145110045005092023154932.pdf","https://dpmzos25m8ivg.cloudfront.net/Documentos/631/11451100450/6311145110045005092023154932.pdf")</f>
        <v>https://dpmzos25m8ivg.cloudfront.net/Documentos/631/11451100450/6311145110045005092023154932.pdf</v>
      </c>
      <c r="F4895" s="5" t="str">
        <f>HYPERLINK("https://dpmzos25m8ivg.cloudfront.net/Documentos/631/11451100450/6311145110045005092023154945.pdf","https://dpmzos25m8ivg.cloudfront.net/Documentos/631/11451100450/6311145110045005092023154945.pdf")</f>
        <v>https://dpmzos25m8ivg.cloudfront.net/Documentos/631/11451100450/6311145110045005092023154945.pdf</v>
      </c>
      <c r="G4895" s="5" t="str">
        <f>HYPERLINK("https://dpmzos25m8ivg.cloudfront.net/Documentos/631/11451100450/6311145110045005092023154957.pdf","https://dpmzos25m8ivg.cloudfront.net/Documentos/631/11451100450/6311145110045005092023154957.pdf")</f>
        <v>https://dpmzos25m8ivg.cloudfront.net/Documentos/631/11451100450/6311145110045005092023154957.pdf</v>
      </c>
      <c r="H4895" s="5" t="s">
        <v>13469</v>
      </c>
    </row>
    <row r="4896" spans="1:8" x14ac:dyDescent="0.25">
      <c r="A4896" s="2" t="s">
        <v>4922</v>
      </c>
      <c r="B4896" s="3"/>
      <c r="C4896" s="3"/>
      <c r="D4896" s="3"/>
      <c r="E4896" s="5" t="str">
        <f>HYPERLINK("https://dpmzos25m8ivg.cloudfront.net/Documentos/631/11451618638/6311145161863810092023121436.pdf","https://dpmzos25m8ivg.cloudfront.net/Documentos/631/11451618638/6311145161863810092023121436.pdf")</f>
        <v>https://dpmzos25m8ivg.cloudfront.net/Documentos/631/11451618638/6311145161863810092023121436.pdf</v>
      </c>
      <c r="F4896" s="5" t="str">
        <f>HYPERLINK("https://dpmzos25m8ivg.cloudfront.net/Documentos/631/11451618638/6311145161863810092023121553.pdf","https://dpmzos25m8ivg.cloudfront.net/Documentos/631/11451618638/6311145161863810092023121553.pdf")</f>
        <v>https://dpmzos25m8ivg.cloudfront.net/Documentos/631/11451618638/6311145161863810092023121553.pdf</v>
      </c>
      <c r="G4896" s="5" t="str">
        <f>HYPERLINK("https://dpmzos25m8ivg.cloudfront.net/Documentos/631/11451618638/6311145161863810092023121608.pdf","https://dpmzos25m8ivg.cloudfront.net/Documentos/631/11451618638/6311145161863810092023121608.pdf")</f>
        <v>https://dpmzos25m8ivg.cloudfront.net/Documentos/631/11451618638/6311145161863810092023121608.pdf</v>
      </c>
      <c r="H4896" s="5" t="s">
        <v>13470</v>
      </c>
    </row>
    <row r="4897" spans="1:8" x14ac:dyDescent="0.25">
      <c r="A4897" s="2" t="s">
        <v>4923</v>
      </c>
      <c r="B4897" s="3"/>
      <c r="C4897" s="3"/>
      <c r="D4897" s="3"/>
      <c r="E4897" s="5" t="str">
        <f>HYPERLINK("https://dpmzos25m8ivg.cloudfront.net/Documentos/631/11454424478/6311145442447807092023210748.jpeg","https://dpmzos25m8ivg.cloudfront.net/Documentos/631/11454424478/6311145442447807092023210748.jpeg")</f>
        <v>https://dpmzos25m8ivg.cloudfront.net/Documentos/631/11454424478/6311145442447807092023210748.jpeg</v>
      </c>
      <c r="F4897" s="5" t="str">
        <f>HYPERLINK("https://dpmzos25m8ivg.cloudfront.net/Documentos/631/11454424478/6311145442447807092023210759.jpeg","https://dpmzos25m8ivg.cloudfront.net/Documentos/631/11454424478/6311145442447807092023210759.jpeg")</f>
        <v>https://dpmzos25m8ivg.cloudfront.net/Documentos/631/11454424478/6311145442447807092023210759.jpeg</v>
      </c>
      <c r="G4897" s="5" t="str">
        <f>HYPERLINK("https://dpmzos25m8ivg.cloudfront.net/Documentos/631/11454424478/6311145442447807092023210807.jpeg","https://dpmzos25m8ivg.cloudfront.net/Documentos/631/11454424478/6311145442447807092023210807.jpeg")</f>
        <v>https://dpmzos25m8ivg.cloudfront.net/Documentos/631/11454424478/6311145442447807092023210807.jpeg</v>
      </c>
      <c r="H4897" s="5" t="s">
        <v>13471</v>
      </c>
    </row>
    <row r="4898" spans="1:8" x14ac:dyDescent="0.25">
      <c r="A4898" s="2" t="s">
        <v>4924</v>
      </c>
      <c r="B4898" s="3"/>
      <c r="C4898" s="3"/>
      <c r="D4898" s="3"/>
      <c r="E4898" s="5" t="str">
        <f>HYPERLINK("https://dpmzos25m8ivg.cloudfront.net/Documentos/631/11461185467/6311146118546714092023104819.jpg","https://dpmzos25m8ivg.cloudfront.net/Documentos/631/11461185467/6311146118546714092023104819.jpg")</f>
        <v>https://dpmzos25m8ivg.cloudfront.net/Documentos/631/11461185467/6311146118546714092023104819.jpg</v>
      </c>
      <c r="F4898" s="5" t="str">
        <f>HYPERLINK("https://dpmzos25m8ivg.cloudfront.net/Documentos/631/11461185467/6311146118546714092023104856.jpg","https://dpmzos25m8ivg.cloudfront.net/Documentos/631/11461185467/6311146118546714092023104856.jpg")</f>
        <v>https://dpmzos25m8ivg.cloudfront.net/Documentos/631/11461185467/6311146118546714092023104856.jpg</v>
      </c>
      <c r="G4898" s="5" t="str">
        <f>HYPERLINK("https://dpmzos25m8ivg.cloudfront.net/Documentos/631/11461185467/6311146118546714092023104918.jpg","https://dpmzos25m8ivg.cloudfront.net/Documentos/631/11461185467/6311146118546714092023104918.jpg")</f>
        <v>https://dpmzos25m8ivg.cloudfront.net/Documentos/631/11461185467/6311146118546714092023104918.jpg</v>
      </c>
      <c r="H4898" s="5" t="s">
        <v>13472</v>
      </c>
    </row>
    <row r="4899" spans="1:8" x14ac:dyDescent="0.25">
      <c r="A4899" s="2" t="s">
        <v>4925</v>
      </c>
      <c r="B4899" s="3"/>
      <c r="C4899" s="3"/>
      <c r="D4899" s="3"/>
      <c r="E4899" s="5" t="str">
        <f>HYPERLINK("https://dpmzos25m8ivg.cloudfront.net/Documentos/631/11467369403/6311146736940311092023155857.pdf","https://dpmzos25m8ivg.cloudfront.net/Documentos/631/11467369403/6311146736940311092023155857.pdf")</f>
        <v>https://dpmzos25m8ivg.cloudfront.net/Documentos/631/11467369403/6311146736940311092023155857.pdf</v>
      </c>
      <c r="F4899" s="5" t="str">
        <f>HYPERLINK("https://dpmzos25m8ivg.cloudfront.net/Documentos/631/11467369403/6311146736940311092023155953.pdf","https://dpmzos25m8ivg.cloudfront.net/Documentos/631/11467369403/6311146736940311092023155953.pdf")</f>
        <v>https://dpmzos25m8ivg.cloudfront.net/Documentos/631/11467369403/6311146736940311092023155953.pdf</v>
      </c>
      <c r="G4899" s="5" t="str">
        <f>HYPERLINK("https://dpmzos25m8ivg.cloudfront.net/Documentos/631/11467369403/6311146736940311092023160042.pdf","https://dpmzos25m8ivg.cloudfront.net/Documentos/631/11467369403/6311146736940311092023160042.pdf")</f>
        <v>https://dpmzos25m8ivg.cloudfront.net/Documentos/631/11467369403/6311146736940311092023160042.pdf</v>
      </c>
      <c r="H4899" s="5" t="s">
        <v>13473</v>
      </c>
    </row>
    <row r="4900" spans="1:8" x14ac:dyDescent="0.25">
      <c r="A4900" s="2" t="s">
        <v>4926</v>
      </c>
      <c r="B4900" s="3"/>
      <c r="C4900" s="3"/>
      <c r="D4900" s="3"/>
      <c r="E4900" s="5" t="str">
        <f>HYPERLINK("https://dpmzos25m8ivg.cloudfront.net/Documentos/631/11470484447/6311147048444711092023114329.pdf","https://dpmzos25m8ivg.cloudfront.net/Documentos/631/11470484447/6311147048444711092023114329.pdf")</f>
        <v>https://dpmzos25m8ivg.cloudfront.net/Documentos/631/11470484447/6311147048444711092023114329.pdf</v>
      </c>
      <c r="F4900" s="5" t="str">
        <f>HYPERLINK("https://dpmzos25m8ivg.cloudfront.net/Documentos/631/11470484447/6311147048444711092023114342.pdf","https://dpmzos25m8ivg.cloudfront.net/Documentos/631/11470484447/6311147048444711092023114342.pdf")</f>
        <v>https://dpmzos25m8ivg.cloudfront.net/Documentos/631/11470484447/6311147048444711092023114342.pdf</v>
      </c>
      <c r="G4900" s="5" t="str">
        <f>HYPERLINK("https://dpmzos25m8ivg.cloudfront.net/Documentos/631/11470484447/6311147048444711092023114408.pdf","https://dpmzos25m8ivg.cloudfront.net/Documentos/631/11470484447/6311147048444711092023114408.pdf")</f>
        <v>https://dpmzos25m8ivg.cloudfront.net/Documentos/631/11470484447/6311147048444711092023114408.pdf</v>
      </c>
      <c r="H4900" s="5" t="s">
        <v>13474</v>
      </c>
    </row>
    <row r="4901" spans="1:8" x14ac:dyDescent="0.25">
      <c r="A4901" s="2" t="s">
        <v>4927</v>
      </c>
      <c r="B4901" s="3"/>
      <c r="C4901" s="3"/>
      <c r="D4901" s="3"/>
      <c r="E4901" s="5" t="str">
        <f>HYPERLINK("https://dpmzos25m8ivg.cloudfront.net/Documentos/631/11474022480/6311147402248011092023133237.pdf","https://dpmzos25m8ivg.cloudfront.net/Documentos/631/11474022480/6311147402248011092023133237.pdf")</f>
        <v>https://dpmzos25m8ivg.cloudfront.net/Documentos/631/11474022480/6311147402248011092023133237.pdf</v>
      </c>
      <c r="F4901" s="5" t="str">
        <f>HYPERLINK("https://dpmzos25m8ivg.cloudfront.net/Documentos/631/11474022480/6311147402248011092023133253.pdf","https://dpmzos25m8ivg.cloudfront.net/Documentos/631/11474022480/6311147402248011092023133253.pdf")</f>
        <v>https://dpmzos25m8ivg.cloudfront.net/Documentos/631/11474022480/6311147402248011092023133253.pdf</v>
      </c>
      <c r="G4901" s="5" t="str">
        <f>HYPERLINK("https://dpmzos25m8ivg.cloudfront.net/Documentos/631/11474022480/6311147402248011092023133308.pdf","https://dpmzos25m8ivg.cloudfront.net/Documentos/631/11474022480/6311147402248011092023133308.pdf")</f>
        <v>https://dpmzos25m8ivg.cloudfront.net/Documentos/631/11474022480/6311147402248011092023133308.pdf</v>
      </c>
      <c r="H4901" s="5" t="s">
        <v>13475</v>
      </c>
    </row>
    <row r="4902" spans="1:8" x14ac:dyDescent="0.25">
      <c r="A4902" s="2" t="s">
        <v>4928</v>
      </c>
      <c r="B4902" s="3"/>
      <c r="C4902" s="3"/>
      <c r="D4902" s="3"/>
      <c r="E4902" s="5" t="str">
        <f>HYPERLINK("https://dpmzos25m8ivg.cloudfront.net/Documentos/631/11477027645/6311147702764514092023165218.pdf","https://dpmzos25m8ivg.cloudfront.net/Documentos/631/11477027645/6311147702764514092023165218.pdf")</f>
        <v>https://dpmzos25m8ivg.cloudfront.net/Documentos/631/11477027645/6311147702764514092023165218.pdf</v>
      </c>
      <c r="F4902" s="5" t="str">
        <f>HYPERLINK("https://dpmzos25m8ivg.cloudfront.net/Documentos/631/11477027645/6311147702764514092023165232.pdf","https://dpmzos25m8ivg.cloudfront.net/Documentos/631/11477027645/6311147702764514092023165232.pdf")</f>
        <v>https://dpmzos25m8ivg.cloudfront.net/Documentos/631/11477027645/6311147702764514092023165232.pdf</v>
      </c>
      <c r="G4902" s="5" t="str">
        <f>HYPERLINK("https://dpmzos25m8ivg.cloudfront.net/Documentos/631/11477027645/6311147702764514092023165250.pdf","https://dpmzos25m8ivg.cloudfront.net/Documentos/631/11477027645/6311147702764514092023165250.pdf")</f>
        <v>https://dpmzos25m8ivg.cloudfront.net/Documentos/631/11477027645/6311147702764514092023165250.pdf</v>
      </c>
      <c r="H4902" s="5" t="s">
        <v>13476</v>
      </c>
    </row>
    <row r="4903" spans="1:8" x14ac:dyDescent="0.25">
      <c r="A4903" s="2" t="s">
        <v>4929</v>
      </c>
      <c r="B4903" s="3"/>
      <c r="C4903" s="3"/>
      <c r="D4903" s="3"/>
      <c r="E4903" s="5" t="str">
        <f>HYPERLINK("https://dpmzos25m8ivg.cloudfront.net/Documentos/631/11477972935/6311147797293508092023142934.pdf","https://dpmzos25m8ivg.cloudfront.net/Documentos/631/11477972935/6311147797293508092023142934.pdf")</f>
        <v>https://dpmzos25m8ivg.cloudfront.net/Documentos/631/11477972935/6311147797293508092023142934.pdf</v>
      </c>
      <c r="F4903" s="5" t="str">
        <f>HYPERLINK("https://dpmzos25m8ivg.cloudfront.net/Documentos/631/11477972935/6311147797293508092023142945.pdf","https://dpmzos25m8ivg.cloudfront.net/Documentos/631/11477972935/6311147797293508092023142945.pdf")</f>
        <v>https://dpmzos25m8ivg.cloudfront.net/Documentos/631/11477972935/6311147797293508092023142945.pdf</v>
      </c>
      <c r="G4903" s="5" t="str">
        <f>HYPERLINK("https://dpmzos25m8ivg.cloudfront.net/Documentos/631/11477972935/6311147797293508092023142955.pdf","https://dpmzos25m8ivg.cloudfront.net/Documentos/631/11477972935/6311147797293508092023142955.pdf")</f>
        <v>https://dpmzos25m8ivg.cloudfront.net/Documentos/631/11477972935/6311147797293508092023142955.pdf</v>
      </c>
      <c r="H4903" s="5" t="s">
        <v>13477</v>
      </c>
    </row>
    <row r="4904" spans="1:8" x14ac:dyDescent="0.25">
      <c r="A4904" s="2" t="s">
        <v>4930</v>
      </c>
      <c r="B4904" s="19" t="s">
        <v>4857</v>
      </c>
      <c r="C4904" s="3"/>
      <c r="D4904" s="3"/>
      <c r="E4904" s="5" t="str">
        <f>HYPERLINK("https://dpmzos25m8ivg.cloudfront.net/Documentos/631/11479150401/6311147915040111092023145454.pdf","https://dpmzos25m8ivg.cloudfront.net/Documentos/631/11479150401/6311147915040111092023145454.pdf")</f>
        <v>https://dpmzos25m8ivg.cloudfront.net/Documentos/631/11479150401/6311147915040111092023145454.pdf</v>
      </c>
      <c r="F4904" s="5" t="str">
        <f>HYPERLINK("https://dpmzos25m8ivg.cloudfront.net/Documentos/631/11479150401/6311147915040111092023145503.pdf","https://dpmzos25m8ivg.cloudfront.net/Documentos/631/11479150401/6311147915040111092023145503.pdf")</f>
        <v>https://dpmzos25m8ivg.cloudfront.net/Documentos/631/11479150401/6311147915040111092023145503.pdf</v>
      </c>
      <c r="G4904" s="5" t="str">
        <f>HYPERLINK("https://dpmzos25m8ivg.cloudfront.net/Documentos/631/11479150401/6311147915040111092023145516.pdf","https://dpmzos25m8ivg.cloudfront.net/Documentos/631/11479150401/6311147915040111092023145516.pdf")</f>
        <v>https://dpmzos25m8ivg.cloudfront.net/Documentos/631/11479150401/6311147915040111092023145516.pdf</v>
      </c>
      <c r="H4904" s="5" t="s">
        <v>13478</v>
      </c>
    </row>
    <row r="4905" spans="1:8" x14ac:dyDescent="0.25">
      <c r="A4905" s="2" t="s">
        <v>4931</v>
      </c>
      <c r="B4905" s="3"/>
      <c r="C4905" s="3"/>
      <c r="D4905" s="3"/>
      <c r="E4905" s="5" t="str">
        <f>HYPERLINK("https://dpmzos25m8ivg.cloudfront.net/Documentos/631/11480621650/6311148062165011092023133123.jpg","https://dpmzos25m8ivg.cloudfront.net/Documentos/631/11480621650/6311148062165011092023133123.jpg")</f>
        <v>https://dpmzos25m8ivg.cloudfront.net/Documentos/631/11480621650/6311148062165011092023133123.jpg</v>
      </c>
      <c r="F4905" s="5" t="str">
        <f>HYPERLINK("https://dpmzos25m8ivg.cloudfront.net/Documentos/631/11480621650/6311148062165011092023133205.jpg","https://dpmzos25m8ivg.cloudfront.net/Documentos/631/11480621650/6311148062165011092023133205.jpg")</f>
        <v>https://dpmzos25m8ivg.cloudfront.net/Documentos/631/11480621650/6311148062165011092023133205.jpg</v>
      </c>
      <c r="G4905" s="5" t="str">
        <f>HYPERLINK("https://dpmzos25m8ivg.cloudfront.net/Documentos/631/11480621650/6311148062165011092023133259.jpg","https://dpmzos25m8ivg.cloudfront.net/Documentos/631/11480621650/6311148062165011092023133259.jpg")</f>
        <v>https://dpmzos25m8ivg.cloudfront.net/Documentos/631/11480621650/6311148062165011092023133259.jpg</v>
      </c>
      <c r="H4905" s="5" t="s">
        <v>13479</v>
      </c>
    </row>
    <row r="4906" spans="1:8" x14ac:dyDescent="0.25">
      <c r="A4906" s="2" t="s">
        <v>4932</v>
      </c>
      <c r="B4906" s="3"/>
      <c r="C4906" s="3"/>
      <c r="D4906" s="3"/>
      <c r="E4906" s="5" t="str">
        <f>HYPERLINK("https://dpmzos25m8ivg.cloudfront.net/Documentos/631/11481342630/6311148134263011092023145500.pdf","https://dpmzos25m8ivg.cloudfront.net/Documentos/631/11481342630/6311148134263011092023145500.pdf")</f>
        <v>https://dpmzos25m8ivg.cloudfront.net/Documentos/631/11481342630/6311148134263011092023145500.pdf</v>
      </c>
      <c r="F4906" s="5" t="str">
        <f>HYPERLINK("https://dpmzos25m8ivg.cloudfront.net/Documentos/631/11481342630/6311148134263011092023145513.pdf","https://dpmzos25m8ivg.cloudfront.net/Documentos/631/11481342630/6311148134263011092023145513.pdf")</f>
        <v>https://dpmzos25m8ivg.cloudfront.net/Documentos/631/11481342630/6311148134263011092023145513.pdf</v>
      </c>
      <c r="G4906" s="5" t="str">
        <f>HYPERLINK("https://dpmzos25m8ivg.cloudfront.net/Documentos/631/11481342630/6311148134263011092023145526.pdf","https://dpmzos25m8ivg.cloudfront.net/Documentos/631/11481342630/6311148134263011092023145526.pdf")</f>
        <v>https://dpmzos25m8ivg.cloudfront.net/Documentos/631/11481342630/6311148134263011092023145526.pdf</v>
      </c>
      <c r="H4906" s="5" t="s">
        <v>13480</v>
      </c>
    </row>
    <row r="4907" spans="1:8" x14ac:dyDescent="0.25">
      <c r="A4907" s="2" t="s">
        <v>4933</v>
      </c>
      <c r="B4907" s="3"/>
      <c r="C4907" s="3"/>
      <c r="D4907" s="3"/>
      <c r="E4907" s="5" t="str">
        <f>HYPERLINK("https://dpmzos25m8ivg.cloudfront.net/Documentos/631/11483007677/6311148300767705092023163110.jpg","https://dpmzos25m8ivg.cloudfront.net/Documentos/631/11483007677/6311148300767705092023163110.jpg")</f>
        <v>https://dpmzos25m8ivg.cloudfront.net/Documentos/631/11483007677/6311148300767705092023163110.jpg</v>
      </c>
      <c r="F4907" s="5" t="str">
        <f>HYPERLINK("https://dpmzos25m8ivg.cloudfront.net/Documentos/631/11483007677/6311148300767705092023163129.jpg","https://dpmzos25m8ivg.cloudfront.net/Documentos/631/11483007677/6311148300767705092023163129.jpg")</f>
        <v>https://dpmzos25m8ivg.cloudfront.net/Documentos/631/11483007677/6311148300767705092023163129.jpg</v>
      </c>
      <c r="G4907" s="5" t="str">
        <f>HYPERLINK("https://dpmzos25m8ivg.cloudfront.net/Documentos/631/11483007677/6311148300767705092023163438.jpg","https://dpmzos25m8ivg.cloudfront.net/Documentos/631/11483007677/6311148300767705092023163438.jpg")</f>
        <v>https://dpmzos25m8ivg.cloudfront.net/Documentos/631/11483007677/6311148300767705092023163438.jpg</v>
      </c>
      <c r="H4907" s="5" t="s">
        <v>13481</v>
      </c>
    </row>
    <row r="4908" spans="1:8" x14ac:dyDescent="0.25">
      <c r="A4908" s="2" t="s">
        <v>4934</v>
      </c>
      <c r="B4908" s="3"/>
      <c r="C4908" s="3"/>
      <c r="D4908" s="3"/>
      <c r="E4908" s="5" t="str">
        <f>HYPERLINK("https://dpmzos25m8ivg.cloudfront.net/Documentos/631/11484878671/6311148487867107092023172021.pdf","https://dpmzos25m8ivg.cloudfront.net/Documentos/631/11484878671/6311148487867107092023172021.pdf")</f>
        <v>https://dpmzos25m8ivg.cloudfront.net/Documentos/631/11484878671/6311148487867107092023172021.pdf</v>
      </c>
      <c r="F4908" s="5" t="str">
        <f>HYPERLINK("https://dpmzos25m8ivg.cloudfront.net/Documentos/631/11484878671/6311148487867107092023172914.pdf","https://dpmzos25m8ivg.cloudfront.net/Documentos/631/11484878671/6311148487867107092023172914.pdf")</f>
        <v>https://dpmzos25m8ivg.cloudfront.net/Documentos/631/11484878671/6311148487867107092023172914.pdf</v>
      </c>
      <c r="G4908" s="5" t="str">
        <f>HYPERLINK("https://dpmzos25m8ivg.cloudfront.net/Documentos/631/11484878671/6311148487867107092023173242.pdf","https://dpmzos25m8ivg.cloudfront.net/Documentos/631/11484878671/6311148487867107092023173242.pdf")</f>
        <v>https://dpmzos25m8ivg.cloudfront.net/Documentos/631/11484878671/6311148487867107092023173242.pdf</v>
      </c>
      <c r="H4908" s="5" t="s">
        <v>13482</v>
      </c>
    </row>
    <row r="4909" spans="1:8" x14ac:dyDescent="0.25">
      <c r="A4909" s="2" t="s">
        <v>4935</v>
      </c>
      <c r="B4909" s="3"/>
      <c r="C4909" s="3"/>
      <c r="D4909" s="3"/>
      <c r="E4909" s="5" t="str">
        <f>HYPERLINK("https://dpmzos25m8ivg.cloudfront.net/Documentos/631/11485300703/6311148530070314092023125243.pdf","https://dpmzos25m8ivg.cloudfront.net/Documentos/631/11485300703/6311148530070314092023125243.pdf")</f>
        <v>https://dpmzos25m8ivg.cloudfront.net/Documentos/631/11485300703/6311148530070314092023125243.pdf</v>
      </c>
      <c r="F4909" s="5" t="str">
        <f>HYPERLINK("https://dpmzos25m8ivg.cloudfront.net/Documentos/631/11485300703/6311148530070314092023125319.pdf","https://dpmzos25m8ivg.cloudfront.net/Documentos/631/11485300703/6311148530070314092023125319.pdf")</f>
        <v>https://dpmzos25m8ivg.cloudfront.net/Documentos/631/11485300703/6311148530070314092023125319.pdf</v>
      </c>
      <c r="G4909" s="5" t="str">
        <f>HYPERLINK("https://dpmzos25m8ivg.cloudfront.net/Documentos/631/11485300703/6311148530070314092023125337.pdf","https://dpmzos25m8ivg.cloudfront.net/Documentos/631/11485300703/6311148530070314092023125337.pdf")</f>
        <v>https://dpmzos25m8ivg.cloudfront.net/Documentos/631/11485300703/6311148530070314092023125337.pdf</v>
      </c>
      <c r="H4909" s="5" t="s">
        <v>13483</v>
      </c>
    </row>
    <row r="4910" spans="1:8" x14ac:dyDescent="0.25">
      <c r="A4910" s="2" t="s">
        <v>4936</v>
      </c>
      <c r="B4910" s="3"/>
      <c r="C4910" s="3"/>
      <c r="D4910" s="3"/>
      <c r="E4910" s="5" t="str">
        <f>HYPERLINK("https://dpmzos25m8ivg.cloudfront.net/Documentos/631/11492579467/6311149257946710092023140949.jpg","https://dpmzos25m8ivg.cloudfront.net/Documentos/631/11492579467/6311149257946710092023140949.jpg")</f>
        <v>https://dpmzos25m8ivg.cloudfront.net/Documentos/631/11492579467/6311149257946710092023140949.jpg</v>
      </c>
      <c r="F4910" s="5" t="str">
        <f>HYPERLINK("https://dpmzos25m8ivg.cloudfront.net/Documentos/631/11492579467/6311149257946710092023141039.jpg","https://dpmzos25m8ivg.cloudfront.net/Documentos/631/11492579467/6311149257946710092023141039.jpg")</f>
        <v>https://dpmzos25m8ivg.cloudfront.net/Documentos/631/11492579467/6311149257946710092023141039.jpg</v>
      </c>
      <c r="G4910" s="5" t="str">
        <f>HYPERLINK("https://dpmzos25m8ivg.cloudfront.net/Documentos/631/11492579467/6311149257946710092023141113.jpg","https://dpmzos25m8ivg.cloudfront.net/Documentos/631/11492579467/6311149257946710092023141113.jpg")</f>
        <v>https://dpmzos25m8ivg.cloudfront.net/Documentos/631/11492579467/6311149257946710092023141113.jpg</v>
      </c>
      <c r="H4910" s="5" t="s">
        <v>13484</v>
      </c>
    </row>
    <row r="4911" spans="1:8" x14ac:dyDescent="0.25">
      <c r="A4911" s="2" t="s">
        <v>4937</v>
      </c>
      <c r="B4911" s="16" t="s">
        <v>2358</v>
      </c>
      <c r="C4911" s="3"/>
      <c r="D4911" s="3"/>
      <c r="E4911" s="5" t="str">
        <f>HYPERLINK("https://dpmzos25m8ivg.cloudfront.net/Documentos/631/11494084724/6311149408472414092023163219.jpg","https://dpmzos25m8ivg.cloudfront.net/Documentos/631/11494084724/6311149408472414092023163219.jpg")</f>
        <v>https://dpmzos25m8ivg.cloudfront.net/Documentos/631/11494084724/6311149408472414092023163219.jpg</v>
      </c>
      <c r="F4911" s="5" t="str">
        <f>HYPERLINK("https://dpmzos25m8ivg.cloudfront.net/Documentos/631/11494084724/6311149408472414092023170308.jpeg","https://dpmzos25m8ivg.cloudfront.net/Documentos/631/11494084724/6311149408472414092023170308.jpeg")</f>
        <v>https://dpmzos25m8ivg.cloudfront.net/Documentos/631/11494084724/6311149408472414092023170308.jpeg</v>
      </c>
      <c r="G4911" s="5" t="str">
        <f>HYPERLINK("https://dpmzos25m8ivg.cloudfront.net/Documentos/631/11494084724/6311149408472414092023170318.jpeg","https://dpmzos25m8ivg.cloudfront.net/Documentos/631/11494084724/6311149408472414092023170318.jpeg")</f>
        <v>https://dpmzos25m8ivg.cloudfront.net/Documentos/631/11494084724/6311149408472414092023170318.jpeg</v>
      </c>
      <c r="H4911" s="5" t="s">
        <v>13485</v>
      </c>
    </row>
    <row r="4912" spans="1:8" x14ac:dyDescent="0.25">
      <c r="A4912" s="2" t="s">
        <v>4938</v>
      </c>
      <c r="B4912" s="3"/>
      <c r="C4912" s="3"/>
      <c r="D4912" s="3"/>
      <c r="E4912" s="5" t="str">
        <f>HYPERLINK("https://dpmzos25m8ivg.cloudfront.net/Documentos/631/11496250664/6311149625066404092023213048.pdf","https://dpmzos25m8ivg.cloudfront.net/Documentos/631/11496250664/6311149625066404092023213048.pdf")</f>
        <v>https://dpmzos25m8ivg.cloudfront.net/Documentos/631/11496250664/6311149625066404092023213048.pdf</v>
      </c>
      <c r="F4912" s="5" t="str">
        <f>HYPERLINK("https://dpmzos25m8ivg.cloudfront.net/Documentos/631/11496250664/6311149625066405092023103217.pdf","https://dpmzos25m8ivg.cloudfront.net/Documentos/631/11496250664/6311149625066405092023103217.pdf")</f>
        <v>https://dpmzos25m8ivg.cloudfront.net/Documentos/631/11496250664/6311149625066405092023103217.pdf</v>
      </c>
      <c r="G4912" s="5" t="str">
        <f>HYPERLINK("https://dpmzos25m8ivg.cloudfront.net/Documentos/631/11496250664/6311149625066405092023103234.pdf","https://dpmzos25m8ivg.cloudfront.net/Documentos/631/11496250664/6311149625066405092023103234.pdf")</f>
        <v>https://dpmzos25m8ivg.cloudfront.net/Documentos/631/11496250664/6311149625066405092023103234.pdf</v>
      </c>
      <c r="H4912" s="5" t="s">
        <v>13486</v>
      </c>
    </row>
    <row r="4913" spans="1:8" x14ac:dyDescent="0.25">
      <c r="A4913" s="2" t="s">
        <v>4939</v>
      </c>
      <c r="B4913" s="3"/>
      <c r="C4913" s="3"/>
      <c r="D4913" s="3"/>
      <c r="E4913" s="5" t="str">
        <f>HYPERLINK("https://dpmzos25m8ivg.cloudfront.net/Documentos/631/11502695618/6311150269561811092023150219.jpg","https://dpmzos25m8ivg.cloudfront.net/Documentos/631/11502695618/6311150269561811092023150219.jpg")</f>
        <v>https://dpmzos25m8ivg.cloudfront.net/Documentos/631/11502695618/6311150269561811092023150219.jpg</v>
      </c>
      <c r="F4913" s="5" t="str">
        <f>HYPERLINK("https://dpmzos25m8ivg.cloudfront.net/Documentos/631/11502695618/6311150269561811092023150247.jpg","https://dpmzos25m8ivg.cloudfront.net/Documentos/631/11502695618/6311150269561811092023150247.jpg")</f>
        <v>https://dpmzos25m8ivg.cloudfront.net/Documentos/631/11502695618/6311150269561811092023150247.jpg</v>
      </c>
      <c r="G4913" s="5" t="str">
        <f>HYPERLINK("https://dpmzos25m8ivg.cloudfront.net/Documentos/631/11502695618/6311150269561811092023150256.jpg","https://dpmzos25m8ivg.cloudfront.net/Documentos/631/11502695618/6311150269561811092023150256.jpg")</f>
        <v>https://dpmzos25m8ivg.cloudfront.net/Documentos/631/11502695618/6311150269561811092023150256.jpg</v>
      </c>
      <c r="H4913" s="5" t="s">
        <v>13487</v>
      </c>
    </row>
    <row r="4914" spans="1:8" x14ac:dyDescent="0.25">
      <c r="A4914" s="2" t="s">
        <v>4940</v>
      </c>
      <c r="B4914" s="3"/>
      <c r="C4914" s="3"/>
      <c r="D4914" s="3"/>
      <c r="E4914" s="5" t="str">
        <f>HYPERLINK("https://dpmzos25m8ivg.cloudfront.net/Documentos/631/11503749770/6311150374977011092023150335.pdf","https://dpmzos25m8ivg.cloudfront.net/Documentos/631/11503749770/6311150374977011092023150335.pdf")</f>
        <v>https://dpmzos25m8ivg.cloudfront.net/Documentos/631/11503749770/6311150374977011092023150335.pdf</v>
      </c>
      <c r="F4914" s="5" t="str">
        <f>HYPERLINK("https://dpmzos25m8ivg.cloudfront.net/Documentos/631/11503749770/6311150374977011092023150420.pdf","https://dpmzos25m8ivg.cloudfront.net/Documentos/631/11503749770/6311150374977011092023150420.pdf")</f>
        <v>https://dpmzos25m8ivg.cloudfront.net/Documentos/631/11503749770/6311150374977011092023150420.pdf</v>
      </c>
      <c r="G4914" s="5" t="str">
        <f>HYPERLINK("https://dpmzos25m8ivg.cloudfront.net/Documentos/631/11503749770/6311150374977011092023150435.pdf","https://dpmzos25m8ivg.cloudfront.net/Documentos/631/11503749770/6311150374977011092023150435.pdf")</f>
        <v>https://dpmzos25m8ivg.cloudfront.net/Documentos/631/11503749770/6311150374977011092023150435.pdf</v>
      </c>
      <c r="H4914" s="5" t="s">
        <v>13488</v>
      </c>
    </row>
    <row r="4915" spans="1:8" x14ac:dyDescent="0.25">
      <c r="A4915" s="2" t="s">
        <v>4941</v>
      </c>
      <c r="B4915" s="3"/>
      <c r="C4915" s="3"/>
      <c r="D4915" s="3"/>
      <c r="E4915" s="5" t="str">
        <f>HYPERLINK("https://dpmzos25m8ivg.cloudfront.net/Documentos/631/11504490630/6311150449063014092023170236.pdf","https://dpmzos25m8ivg.cloudfront.net/Documentos/631/11504490630/6311150449063014092023170236.pdf")</f>
        <v>https://dpmzos25m8ivg.cloudfront.net/Documentos/631/11504490630/6311150449063014092023170236.pdf</v>
      </c>
      <c r="F4915" s="5" t="str">
        <f>HYPERLINK("https://dpmzos25m8ivg.cloudfront.net/Documentos/631/11504490630/6311150449063014092023170248.pdf","https://dpmzos25m8ivg.cloudfront.net/Documentos/631/11504490630/6311150449063014092023170248.pdf")</f>
        <v>https://dpmzos25m8ivg.cloudfront.net/Documentos/631/11504490630/6311150449063014092023170248.pdf</v>
      </c>
      <c r="G4915" s="5" t="str">
        <f>HYPERLINK("https://dpmzos25m8ivg.cloudfront.net/Documentos/631/11504490630/6311150449063014092023170301.pdf","https://dpmzos25m8ivg.cloudfront.net/Documentos/631/11504490630/6311150449063014092023170301.pdf")</f>
        <v>https://dpmzos25m8ivg.cloudfront.net/Documentos/631/11504490630/6311150449063014092023170301.pdf</v>
      </c>
      <c r="H4915" s="5" t="s">
        <v>13489</v>
      </c>
    </row>
    <row r="4916" spans="1:8" x14ac:dyDescent="0.25">
      <c r="A4916" s="2" t="s">
        <v>4942</v>
      </c>
      <c r="B4916" s="3"/>
      <c r="C4916" s="3"/>
      <c r="D4916" s="3"/>
      <c r="E4916" s="5" t="str">
        <f>HYPERLINK("https://dpmzos25m8ivg.cloudfront.net/Documentos/631/11511752696/6311151175269605092023090608.pdf","https://dpmzos25m8ivg.cloudfront.net/Documentos/631/11511752696/6311151175269605092023090608.pdf")</f>
        <v>https://dpmzos25m8ivg.cloudfront.net/Documentos/631/11511752696/6311151175269605092023090608.pdf</v>
      </c>
      <c r="F4916" s="5" t="str">
        <f>HYPERLINK("https://dpmzos25m8ivg.cloudfront.net/Documentos/631/11511752696/6311151175269605092023090619.pdf","https://dpmzos25m8ivg.cloudfront.net/Documentos/631/11511752696/6311151175269605092023090619.pdf")</f>
        <v>https://dpmzos25m8ivg.cloudfront.net/Documentos/631/11511752696/6311151175269605092023090619.pdf</v>
      </c>
      <c r="G4916" s="5" t="str">
        <f>HYPERLINK("https://dpmzos25m8ivg.cloudfront.net/Documentos/631/11511752696/6311151175269605092023090627.pdf","https://dpmzos25m8ivg.cloudfront.net/Documentos/631/11511752696/6311151175269605092023090627.pdf")</f>
        <v>https://dpmzos25m8ivg.cloudfront.net/Documentos/631/11511752696/6311151175269605092023090627.pdf</v>
      </c>
      <c r="H4916" s="5" t="s">
        <v>13490</v>
      </c>
    </row>
    <row r="4917" spans="1:8" x14ac:dyDescent="0.25">
      <c r="A4917" s="2" t="s">
        <v>4943</v>
      </c>
      <c r="B4917" s="3"/>
      <c r="C4917" s="3"/>
      <c r="D4917" s="3"/>
      <c r="E4917" s="5" t="str">
        <f>HYPERLINK("https://dpmzos25m8ivg.cloudfront.net/Documentos/631/11511815442/6311151181544211092023143502.pdf","https://dpmzos25m8ivg.cloudfront.net/Documentos/631/11511815442/6311151181544211092023143502.pdf")</f>
        <v>https://dpmzos25m8ivg.cloudfront.net/Documentos/631/11511815442/6311151181544211092023143502.pdf</v>
      </c>
      <c r="F4917" s="5" t="str">
        <f>HYPERLINK("https://dpmzos25m8ivg.cloudfront.net/Documentos/631/11511815442/6311151181544211092023143527.pdf","https://dpmzos25m8ivg.cloudfront.net/Documentos/631/11511815442/6311151181544211092023143527.pdf")</f>
        <v>https://dpmzos25m8ivg.cloudfront.net/Documentos/631/11511815442/6311151181544211092023143527.pdf</v>
      </c>
      <c r="G4917" s="5" t="str">
        <f>HYPERLINK("https://dpmzos25m8ivg.cloudfront.net/Documentos/631/11511815442/6311151181544211092023143542.pdf","https://dpmzos25m8ivg.cloudfront.net/Documentos/631/11511815442/6311151181544211092023143542.pdf")</f>
        <v>https://dpmzos25m8ivg.cloudfront.net/Documentos/631/11511815442/6311151181544211092023143542.pdf</v>
      </c>
      <c r="H4917" s="5" t="s">
        <v>13491</v>
      </c>
    </row>
    <row r="4918" spans="1:8" x14ac:dyDescent="0.25">
      <c r="A4918" s="2" t="s">
        <v>4944</v>
      </c>
      <c r="B4918" s="3"/>
      <c r="C4918" s="3"/>
      <c r="D4918" s="3"/>
      <c r="E4918" s="5" t="str">
        <f>HYPERLINK("https://dpmzos25m8ivg.cloudfront.net/Documentos/631/11515401456/6311151540145611092023130805.pdf","https://dpmzos25m8ivg.cloudfront.net/Documentos/631/11515401456/6311151540145611092023130805.pdf")</f>
        <v>https://dpmzos25m8ivg.cloudfront.net/Documentos/631/11515401456/6311151540145611092023130805.pdf</v>
      </c>
      <c r="F4918" s="5" t="str">
        <f>HYPERLINK("https://dpmzos25m8ivg.cloudfront.net/Documentos/631/11515401456/6311151540145611092023130750.pdf","https://dpmzos25m8ivg.cloudfront.net/Documentos/631/11515401456/6311151540145611092023130750.pdf")</f>
        <v>https://dpmzos25m8ivg.cloudfront.net/Documentos/631/11515401456/6311151540145611092023130750.pdf</v>
      </c>
      <c r="G4918" s="5" t="str">
        <f>HYPERLINK("https://dpmzos25m8ivg.cloudfront.net/Documentos/631/11515401456/6311151540145611092023130728.pdf","https://dpmzos25m8ivg.cloudfront.net/Documentos/631/11515401456/6311151540145611092023130728.pdf")</f>
        <v>https://dpmzos25m8ivg.cloudfront.net/Documentos/631/11515401456/6311151540145611092023130728.pdf</v>
      </c>
      <c r="H4918" s="5" t="s">
        <v>13492</v>
      </c>
    </row>
    <row r="4919" spans="1:8" x14ac:dyDescent="0.25">
      <c r="A4919" s="2" t="s">
        <v>4945</v>
      </c>
      <c r="B4919" s="3"/>
      <c r="C4919" s="3"/>
      <c r="D4919" s="3"/>
      <c r="E4919" s="5" t="str">
        <f>HYPERLINK("https://dpmzos25m8ivg.cloudfront.net/Documentos/631/11519137664/6311151913766407092023202504.jpg","https://dpmzos25m8ivg.cloudfront.net/Documentos/631/11519137664/6311151913766407092023202504.jpg")</f>
        <v>https://dpmzos25m8ivg.cloudfront.net/Documentos/631/11519137664/6311151913766407092023202504.jpg</v>
      </c>
      <c r="F4919" s="5" t="str">
        <f>HYPERLINK("https://dpmzos25m8ivg.cloudfront.net/Documentos/631/11519137664/6311151913766407092023202707.jpg","https://dpmzos25m8ivg.cloudfront.net/Documentos/631/11519137664/6311151913766407092023202707.jpg")</f>
        <v>https://dpmzos25m8ivg.cloudfront.net/Documentos/631/11519137664/6311151913766407092023202707.jpg</v>
      </c>
      <c r="G4919" s="5" t="str">
        <f>HYPERLINK("https://dpmzos25m8ivg.cloudfront.net/Documentos/631/11519137664/6311151913766407092023202734.jpg","https://dpmzos25m8ivg.cloudfront.net/Documentos/631/11519137664/6311151913766407092023202734.jpg")</f>
        <v>https://dpmzos25m8ivg.cloudfront.net/Documentos/631/11519137664/6311151913766407092023202734.jpg</v>
      </c>
      <c r="H4919" s="5" t="s">
        <v>13493</v>
      </c>
    </row>
    <row r="4920" spans="1:8" x14ac:dyDescent="0.25">
      <c r="A4920" s="2" t="s">
        <v>4946</v>
      </c>
      <c r="B4920" s="3"/>
      <c r="C4920" s="3"/>
      <c r="D4920" s="3"/>
      <c r="E4920" s="5" t="str">
        <f>HYPERLINK("https://dpmzos25m8ivg.cloudfront.net/Documentos/631/11520766637/6311152076663711092023013609.pdf","https://dpmzos25m8ivg.cloudfront.net/Documentos/631/11520766637/6311152076663711092023013609.pdf")</f>
        <v>https://dpmzos25m8ivg.cloudfront.net/Documentos/631/11520766637/6311152076663711092023013609.pdf</v>
      </c>
      <c r="F4920" s="5" t="str">
        <f>HYPERLINK("https://dpmzos25m8ivg.cloudfront.net/Documentos/631/11520766637/6311152076663711092023013623.pdf","https://dpmzos25m8ivg.cloudfront.net/Documentos/631/11520766637/6311152076663711092023013623.pdf")</f>
        <v>https://dpmzos25m8ivg.cloudfront.net/Documentos/631/11520766637/6311152076663711092023013623.pdf</v>
      </c>
      <c r="G4920" s="5" t="str">
        <f>HYPERLINK("https://dpmzos25m8ivg.cloudfront.net/Documentos/631/11520766637/6311152076663711092023013633.pdf","https://dpmzos25m8ivg.cloudfront.net/Documentos/631/11520766637/6311152076663711092023013633.pdf")</f>
        <v>https://dpmzos25m8ivg.cloudfront.net/Documentos/631/11520766637/6311152076663711092023013633.pdf</v>
      </c>
      <c r="H4920" s="5" t="s">
        <v>13494</v>
      </c>
    </row>
    <row r="4921" spans="1:8" x14ac:dyDescent="0.25">
      <c r="A4921" s="2" t="s">
        <v>4947</v>
      </c>
      <c r="B4921" s="3" t="s">
        <v>23</v>
      </c>
      <c r="C4921" s="3"/>
      <c r="D4921" s="3"/>
      <c r="E4921" s="5" t="str">
        <f>HYPERLINK("https://dpmzos25m8ivg.cloudfront.net/Documentos/631/11525526430/6311152552643009092023213532.jpeg","https://dpmzos25m8ivg.cloudfront.net/Documentos/631/11525526430/6311152552643009092023213532.jpeg")</f>
        <v>https://dpmzos25m8ivg.cloudfront.net/Documentos/631/11525526430/6311152552643009092023213532.jpeg</v>
      </c>
      <c r="F4921" s="5" t="str">
        <f>HYPERLINK("https://dpmzos25m8ivg.cloudfront.net/Documentos/631/11525526430/6311152552643009092023213545.jpeg","https://dpmzos25m8ivg.cloudfront.net/Documentos/631/11525526430/6311152552643009092023213545.jpeg")</f>
        <v>https://dpmzos25m8ivg.cloudfront.net/Documentos/631/11525526430/6311152552643009092023213545.jpeg</v>
      </c>
      <c r="G4921" s="5" t="str">
        <f>HYPERLINK("https://dpmzos25m8ivg.cloudfront.net/Documentos/631/11525526430/6311152552643009092023213556.jpeg","https://dpmzos25m8ivg.cloudfront.net/Documentos/631/11525526430/6311152552643009092023213556.jpeg")</f>
        <v>https://dpmzos25m8ivg.cloudfront.net/Documentos/631/11525526430/6311152552643009092023213556.jpeg</v>
      </c>
      <c r="H4921" s="5" t="s">
        <v>13495</v>
      </c>
    </row>
    <row r="4922" spans="1:8" x14ac:dyDescent="0.25">
      <c r="A4922" s="2" t="s">
        <v>4948</v>
      </c>
      <c r="B4922" s="3"/>
      <c r="C4922" s="3"/>
      <c r="D4922" s="3"/>
      <c r="E4922" s="5" t="str">
        <f>HYPERLINK("https://dpmzos25m8ivg.cloudfront.net/Documentos/631/11532472404/6311153247240405092023190600.pdf","https://dpmzos25m8ivg.cloudfront.net/Documentos/631/11532472404/6311153247240405092023190600.pdf")</f>
        <v>https://dpmzos25m8ivg.cloudfront.net/Documentos/631/11532472404/6311153247240405092023190600.pdf</v>
      </c>
      <c r="F4922" s="5" t="str">
        <f>HYPERLINK("https://dpmzos25m8ivg.cloudfront.net/Documentos/631/11532472404/6311153247240405092023190625.pdf","https://dpmzos25m8ivg.cloudfront.net/Documentos/631/11532472404/6311153247240405092023190625.pdf")</f>
        <v>https://dpmzos25m8ivg.cloudfront.net/Documentos/631/11532472404/6311153247240405092023190625.pdf</v>
      </c>
      <c r="G4922" s="5" t="str">
        <f>HYPERLINK("https://dpmzos25m8ivg.cloudfront.net/Documentos/631/11532472404/6311153247240405092023190642.pdf","https://dpmzos25m8ivg.cloudfront.net/Documentos/631/11532472404/6311153247240405092023190642.pdf")</f>
        <v>https://dpmzos25m8ivg.cloudfront.net/Documentos/631/11532472404/6311153247240405092023190642.pdf</v>
      </c>
      <c r="H4922" s="5" t="s">
        <v>13496</v>
      </c>
    </row>
    <row r="4923" spans="1:8" x14ac:dyDescent="0.25">
      <c r="A4923" s="2" t="s">
        <v>4949</v>
      </c>
      <c r="B4923" s="3"/>
      <c r="C4923" s="3"/>
      <c r="D4923" s="3"/>
      <c r="E4923" s="5" t="str">
        <f>HYPERLINK("https://dpmzos25m8ivg.cloudfront.net/Documentos/631/11540032647/6311154003264706092023181139.pdf","https://dpmzos25m8ivg.cloudfront.net/Documentos/631/11540032647/6311154003264706092023181139.pdf")</f>
        <v>https://dpmzos25m8ivg.cloudfront.net/Documentos/631/11540032647/6311154003264706092023181139.pdf</v>
      </c>
      <c r="F4923" s="5" t="str">
        <f>HYPERLINK("https://dpmzos25m8ivg.cloudfront.net/Documentos/631/11540032647/6311154003264706092023181156.pdf","https://dpmzos25m8ivg.cloudfront.net/Documentos/631/11540032647/6311154003264706092023181156.pdf")</f>
        <v>https://dpmzos25m8ivg.cloudfront.net/Documentos/631/11540032647/6311154003264706092023181156.pdf</v>
      </c>
      <c r="G4923" s="5" t="str">
        <f>HYPERLINK("https://dpmzos25m8ivg.cloudfront.net/Documentos/631/11540032647/6311154003264706092023181211.pdf","https://dpmzos25m8ivg.cloudfront.net/Documentos/631/11540032647/6311154003264706092023181211.pdf")</f>
        <v>https://dpmzos25m8ivg.cloudfront.net/Documentos/631/11540032647/6311154003264706092023181211.pdf</v>
      </c>
      <c r="H4923" s="5" t="s">
        <v>13497</v>
      </c>
    </row>
    <row r="4924" spans="1:8" x14ac:dyDescent="0.25">
      <c r="A4924" s="2" t="s">
        <v>4950</v>
      </c>
      <c r="B4924" s="3"/>
      <c r="C4924" s="3"/>
      <c r="D4924" s="3"/>
      <c r="E4924" s="5" t="str">
        <f>HYPERLINK("https://dpmzos25m8ivg.cloudfront.net/Documentos/631/11542482402/6311154248240211092023110059.jpg","https://dpmzos25m8ivg.cloudfront.net/Documentos/631/11542482402/6311154248240211092023110059.jpg")</f>
        <v>https://dpmzos25m8ivg.cloudfront.net/Documentos/631/11542482402/6311154248240211092023110059.jpg</v>
      </c>
      <c r="F4924" s="5" t="str">
        <f>HYPERLINK("https://dpmzos25m8ivg.cloudfront.net/Documentos/631/11542482402/6311154248240211092023110135.jpg","https://dpmzos25m8ivg.cloudfront.net/Documentos/631/11542482402/6311154248240211092023110135.jpg")</f>
        <v>https://dpmzos25m8ivg.cloudfront.net/Documentos/631/11542482402/6311154248240211092023110135.jpg</v>
      </c>
      <c r="G4924" s="5" t="str">
        <f>HYPERLINK("https://dpmzos25m8ivg.cloudfront.net/Documentos/631/11542482402/6311154248240211092023110233.jpg","https://dpmzos25m8ivg.cloudfront.net/Documentos/631/11542482402/6311154248240211092023110233.jpg")</f>
        <v>https://dpmzos25m8ivg.cloudfront.net/Documentos/631/11542482402/6311154248240211092023110233.jpg</v>
      </c>
      <c r="H4924" s="5" t="s">
        <v>13498</v>
      </c>
    </row>
    <row r="4925" spans="1:8" x14ac:dyDescent="0.25">
      <c r="A4925" s="2" t="s">
        <v>4951</v>
      </c>
      <c r="B4925" s="3" t="s">
        <v>23</v>
      </c>
      <c r="C4925" s="3"/>
      <c r="D4925" s="3"/>
      <c r="E4925" s="5" t="str">
        <f>HYPERLINK("https://dpmzos25m8ivg.cloudfront.net/Documentos/631/11544496613/6311154449661307092023190852.pdf","https://dpmzos25m8ivg.cloudfront.net/Documentos/631/11544496613/6311154449661307092023190852.pdf")</f>
        <v>https://dpmzos25m8ivg.cloudfront.net/Documentos/631/11544496613/6311154449661307092023190852.pdf</v>
      </c>
      <c r="F4925" s="5" t="str">
        <f>HYPERLINK("https://dpmzos25m8ivg.cloudfront.net/Documentos/631/11544496613/6311154449661307092023190910.pdf","https://dpmzos25m8ivg.cloudfront.net/Documentos/631/11544496613/6311154449661307092023190910.pdf")</f>
        <v>https://dpmzos25m8ivg.cloudfront.net/Documentos/631/11544496613/6311154449661307092023190910.pdf</v>
      </c>
      <c r="G4925" s="5" t="str">
        <f>HYPERLINK("https://dpmzos25m8ivg.cloudfront.net/Documentos/631/11544496613/6311154449661307092023190928.pdf","https://dpmzos25m8ivg.cloudfront.net/Documentos/631/11544496613/6311154449661307092023190928.pdf")</f>
        <v>https://dpmzos25m8ivg.cloudfront.net/Documentos/631/11544496613/6311154449661307092023190928.pdf</v>
      </c>
      <c r="H4925" s="5" t="s">
        <v>13499</v>
      </c>
    </row>
    <row r="4926" spans="1:8" x14ac:dyDescent="0.25">
      <c r="A4926" s="2" t="s">
        <v>4952</v>
      </c>
      <c r="B4926" s="3"/>
      <c r="C4926" s="3"/>
      <c r="D4926" s="3"/>
      <c r="E4926" s="5" t="str">
        <f>HYPERLINK("https://dpmzos25m8ivg.cloudfront.net/Documentos/631/11547426799/6311154742679911092023085722.pdf","https://dpmzos25m8ivg.cloudfront.net/Documentos/631/11547426799/6311154742679911092023085722.pdf")</f>
        <v>https://dpmzos25m8ivg.cloudfront.net/Documentos/631/11547426799/6311154742679911092023085722.pdf</v>
      </c>
      <c r="F4926" s="5" t="str">
        <f>HYPERLINK("https://dpmzos25m8ivg.cloudfront.net/Documentos/631/11547426799/6311154742679911092023085735.pdf","https://dpmzos25m8ivg.cloudfront.net/Documentos/631/11547426799/6311154742679911092023085735.pdf")</f>
        <v>https://dpmzos25m8ivg.cloudfront.net/Documentos/631/11547426799/6311154742679911092023085735.pdf</v>
      </c>
      <c r="G4926" s="5" t="str">
        <f>HYPERLINK("https://dpmzos25m8ivg.cloudfront.net/Documentos/631/11547426799/6311154742679911092023085750.pdf","https://dpmzos25m8ivg.cloudfront.net/Documentos/631/11547426799/6311154742679911092023085750.pdf")</f>
        <v>https://dpmzos25m8ivg.cloudfront.net/Documentos/631/11547426799/6311154742679911092023085750.pdf</v>
      </c>
      <c r="H4926" s="5" t="s">
        <v>13500</v>
      </c>
    </row>
    <row r="4927" spans="1:8" x14ac:dyDescent="0.25">
      <c r="A4927" s="2" t="s">
        <v>4953</v>
      </c>
      <c r="B4927" s="3"/>
      <c r="C4927" s="3"/>
      <c r="D4927" s="3"/>
      <c r="E4927" s="5" t="str">
        <f>HYPERLINK("https://dpmzos25m8ivg.cloudfront.net/Documentos/631/11547438614/6311154743861406092023140641.pdf","https://dpmzos25m8ivg.cloudfront.net/Documentos/631/11547438614/6311154743861406092023140641.pdf")</f>
        <v>https://dpmzos25m8ivg.cloudfront.net/Documentos/631/11547438614/6311154743861406092023140641.pdf</v>
      </c>
      <c r="F4927" s="5" t="str">
        <f>HYPERLINK("https://dpmzos25m8ivg.cloudfront.net/Documentos/631/11547438614/6311154743861406092023141016.pdf","https://dpmzos25m8ivg.cloudfront.net/Documentos/631/11547438614/6311154743861406092023141016.pdf")</f>
        <v>https://dpmzos25m8ivg.cloudfront.net/Documentos/631/11547438614/6311154743861406092023141016.pdf</v>
      </c>
      <c r="G4927" s="5" t="str">
        <f>HYPERLINK("https://dpmzos25m8ivg.cloudfront.net/Documentos/631/11547438614/6311154743861406092023141347.pdf","https://dpmzos25m8ivg.cloudfront.net/Documentos/631/11547438614/6311154743861406092023141347.pdf")</f>
        <v>https://dpmzos25m8ivg.cloudfront.net/Documentos/631/11547438614/6311154743861406092023141347.pdf</v>
      </c>
      <c r="H4927" s="5" t="s">
        <v>13501</v>
      </c>
    </row>
    <row r="4928" spans="1:8" x14ac:dyDescent="0.25">
      <c r="A4928" s="2" t="s">
        <v>4954</v>
      </c>
      <c r="B4928" s="3"/>
      <c r="C4928" s="3"/>
      <c r="D4928" s="3"/>
      <c r="E4928" s="5" t="str">
        <f>HYPERLINK("https://dpmzos25m8ivg.cloudfront.net/Documentos/631/11549385658/6311154938565804092023201518.pdf","https://dpmzos25m8ivg.cloudfront.net/Documentos/631/11549385658/6311154938565804092023201518.pdf")</f>
        <v>https://dpmzos25m8ivg.cloudfront.net/Documentos/631/11549385658/6311154938565804092023201518.pdf</v>
      </c>
      <c r="F4928" s="5" t="str">
        <f>HYPERLINK("https://dpmzos25m8ivg.cloudfront.net/Documentos/631/11549385658/6311154938565804092023201602.pdf","https://dpmzos25m8ivg.cloudfront.net/Documentos/631/11549385658/6311154938565804092023201602.pdf")</f>
        <v>https://dpmzos25m8ivg.cloudfront.net/Documentos/631/11549385658/6311154938565804092023201602.pdf</v>
      </c>
      <c r="G4928" s="5" t="str">
        <f>HYPERLINK("https://dpmzos25m8ivg.cloudfront.net/Documentos/631/11549385658/6311154938565804092023204444.pdf","https://dpmzos25m8ivg.cloudfront.net/Documentos/631/11549385658/6311154938565804092023204444.pdf")</f>
        <v>https://dpmzos25m8ivg.cloudfront.net/Documentos/631/11549385658/6311154938565804092023204444.pdf</v>
      </c>
      <c r="H4928" s="5" t="s">
        <v>13502</v>
      </c>
    </row>
    <row r="4929" spans="1:8" x14ac:dyDescent="0.25">
      <c r="A4929" s="2" t="s">
        <v>4955</v>
      </c>
      <c r="B4929" s="3"/>
      <c r="C4929" s="3"/>
      <c r="D4929" s="3"/>
      <c r="E4929" s="5" t="str">
        <f>HYPERLINK("https://dpmzos25m8ivg.cloudfront.net/Documentos/631/11552455637/6311155245563705092023111459.pdf","https://dpmzos25m8ivg.cloudfront.net/Documentos/631/11552455637/6311155245563705092023111459.pdf")</f>
        <v>https://dpmzos25m8ivg.cloudfront.net/Documentos/631/11552455637/6311155245563705092023111459.pdf</v>
      </c>
      <c r="F4929" s="5" t="str">
        <f>HYPERLINK("https://dpmzos25m8ivg.cloudfront.net/Documentos/631/11552455637/6311155245563705092023111526.jpeg","https://dpmzos25m8ivg.cloudfront.net/Documentos/631/11552455637/6311155245563705092023111526.jpeg")</f>
        <v>https://dpmzos25m8ivg.cloudfront.net/Documentos/631/11552455637/6311155245563705092023111526.jpeg</v>
      </c>
      <c r="G4929" s="5" t="str">
        <f>HYPERLINK("https://dpmzos25m8ivg.cloudfront.net/Documentos/631/11552455637/6311155245563705092023112304.jpeg","https://dpmzos25m8ivg.cloudfront.net/Documentos/631/11552455637/6311155245563705092023112304.jpeg")</f>
        <v>https://dpmzos25m8ivg.cloudfront.net/Documentos/631/11552455637/6311155245563705092023112304.jpeg</v>
      </c>
      <c r="H4929" s="5" t="s">
        <v>13503</v>
      </c>
    </row>
    <row r="4930" spans="1:8" x14ac:dyDescent="0.25">
      <c r="A4930" s="2" t="s">
        <v>4956</v>
      </c>
      <c r="B4930" s="3"/>
      <c r="C4930" s="3"/>
      <c r="D4930" s="3"/>
      <c r="E4930" s="5" t="str">
        <f>HYPERLINK("https://dpmzos25m8ivg.cloudfront.net/Documentos/631/11561353701/6311156135370111092023103320.pdf","https://dpmzos25m8ivg.cloudfront.net/Documentos/631/11561353701/6311156135370111092023103320.pdf")</f>
        <v>https://dpmzos25m8ivg.cloudfront.net/Documentos/631/11561353701/6311156135370111092023103320.pdf</v>
      </c>
      <c r="F4930" s="5" t="str">
        <f>HYPERLINK("https://dpmzos25m8ivg.cloudfront.net/Documentos/631/11561353701/6311156135370111092023103333.pdf","https://dpmzos25m8ivg.cloudfront.net/Documentos/631/11561353701/6311156135370111092023103333.pdf")</f>
        <v>https://dpmzos25m8ivg.cloudfront.net/Documentos/631/11561353701/6311156135370111092023103333.pdf</v>
      </c>
      <c r="G4930" s="5" t="str">
        <f>HYPERLINK("https://dpmzos25m8ivg.cloudfront.net/Documentos/631/11561353701/6311156135370111092023103344.pdf","https://dpmzos25m8ivg.cloudfront.net/Documentos/631/11561353701/6311156135370111092023103344.pdf")</f>
        <v>https://dpmzos25m8ivg.cloudfront.net/Documentos/631/11561353701/6311156135370111092023103344.pdf</v>
      </c>
      <c r="H4930" s="5" t="s">
        <v>13504</v>
      </c>
    </row>
    <row r="4931" spans="1:8" x14ac:dyDescent="0.25">
      <c r="A4931" s="2" t="s">
        <v>4957</v>
      </c>
      <c r="B4931" s="16" t="s">
        <v>2358</v>
      </c>
      <c r="C4931" s="3"/>
      <c r="D4931" s="3"/>
      <c r="E4931" s="5" t="str">
        <f>HYPERLINK("https://dpmzos25m8ivg.cloudfront.net/Documentos/631/11561694614/6311156169461411092023152432.pdf","https://dpmzos25m8ivg.cloudfront.net/Documentos/631/11561694614/6311156169461411092023152432.pdf")</f>
        <v>https://dpmzos25m8ivg.cloudfront.net/Documentos/631/11561694614/6311156169461411092023152432.pdf</v>
      </c>
      <c r="F4931" s="5" t="str">
        <f>HYPERLINK("https://dpmzos25m8ivg.cloudfront.net/Documentos/631/11561694614/6311156169461411092023152529.pdf","https://dpmzos25m8ivg.cloudfront.net/Documentos/631/11561694614/6311156169461411092023152529.pdf")</f>
        <v>https://dpmzos25m8ivg.cloudfront.net/Documentos/631/11561694614/6311156169461411092023152529.pdf</v>
      </c>
      <c r="G4931" s="5" t="str">
        <f>HYPERLINK("https://dpmzos25m8ivg.cloudfront.net/Documentos/631/11561694614/6311156169461411092023152556.pdf","https://dpmzos25m8ivg.cloudfront.net/Documentos/631/11561694614/6311156169461411092023152556.pdf")</f>
        <v>https://dpmzos25m8ivg.cloudfront.net/Documentos/631/11561694614/6311156169461411092023152556.pdf</v>
      </c>
      <c r="H4931" s="5" t="s">
        <v>13505</v>
      </c>
    </row>
    <row r="4932" spans="1:8" x14ac:dyDescent="0.25">
      <c r="A4932" s="2" t="s">
        <v>4958</v>
      </c>
      <c r="B4932" s="3"/>
      <c r="C4932" s="3"/>
      <c r="D4932" s="3"/>
      <c r="E4932" s="5" t="str">
        <f>HYPERLINK("https://dpmzos25m8ivg.cloudfront.net/Documentos/631/11564292690/6311156429269010092023181129.pdf","https://dpmzos25m8ivg.cloudfront.net/Documentos/631/11564292690/6311156429269010092023181129.pdf")</f>
        <v>https://dpmzos25m8ivg.cloudfront.net/Documentos/631/11564292690/6311156429269010092023181129.pdf</v>
      </c>
      <c r="F4932" s="5" t="str">
        <f>HYPERLINK("https://dpmzos25m8ivg.cloudfront.net/Documentos/631/11564292690/6311156429269010092023181231.pdf","https://dpmzos25m8ivg.cloudfront.net/Documentos/631/11564292690/6311156429269010092023181231.pdf")</f>
        <v>https://dpmzos25m8ivg.cloudfront.net/Documentos/631/11564292690/6311156429269010092023181231.pdf</v>
      </c>
      <c r="G4932" s="5" t="str">
        <f>HYPERLINK("https://dpmzos25m8ivg.cloudfront.net/Documentos/631/11564292690/6311156429269010092023181343.pdf","https://dpmzos25m8ivg.cloudfront.net/Documentos/631/11564292690/6311156429269010092023181343.pdf")</f>
        <v>https://dpmzos25m8ivg.cloudfront.net/Documentos/631/11564292690/6311156429269010092023181343.pdf</v>
      </c>
      <c r="H4932" s="5" t="s">
        <v>13506</v>
      </c>
    </row>
    <row r="4933" spans="1:8" x14ac:dyDescent="0.25">
      <c r="A4933" s="2" t="s">
        <v>4959</v>
      </c>
      <c r="B4933" s="3"/>
      <c r="C4933" s="3"/>
      <c r="D4933" s="3"/>
      <c r="E4933" s="5" t="str">
        <f>HYPERLINK("https://dpmzos25m8ivg.cloudfront.net/Documentos/631/11564718697/6311156471869711092023122020.jpg","https://dpmzos25m8ivg.cloudfront.net/Documentos/631/11564718697/6311156471869711092023122020.jpg")</f>
        <v>https://dpmzos25m8ivg.cloudfront.net/Documentos/631/11564718697/6311156471869711092023122020.jpg</v>
      </c>
      <c r="F4933" s="5" t="str">
        <f>HYPERLINK("https://dpmzos25m8ivg.cloudfront.net/Documentos/631/11564718697/6311156471869711092023122040.jpg","https://dpmzos25m8ivg.cloudfront.net/Documentos/631/11564718697/6311156471869711092023122040.jpg")</f>
        <v>https://dpmzos25m8ivg.cloudfront.net/Documentos/631/11564718697/6311156471869711092023122040.jpg</v>
      </c>
      <c r="G4933" s="5" t="str">
        <f>HYPERLINK("https://dpmzos25m8ivg.cloudfront.net/Documentos/631/11564718697/6311156471869711092023122048.jpg","https://dpmzos25m8ivg.cloudfront.net/Documentos/631/11564718697/6311156471869711092023122048.jpg")</f>
        <v>https://dpmzos25m8ivg.cloudfront.net/Documentos/631/11564718697/6311156471869711092023122048.jpg</v>
      </c>
      <c r="H4933" s="5" t="s">
        <v>13507</v>
      </c>
    </row>
    <row r="4934" spans="1:8" x14ac:dyDescent="0.25">
      <c r="A4934" s="2" t="s">
        <v>4960</v>
      </c>
      <c r="B4934" s="3"/>
      <c r="C4934" s="3"/>
      <c r="D4934" s="3"/>
      <c r="E4934" s="5" t="str">
        <f>HYPERLINK("https://dpmzos25m8ivg.cloudfront.net/Documentos/631/11567828485/6311156782848511092023162557.pdf","https://dpmzos25m8ivg.cloudfront.net/Documentos/631/11567828485/6311156782848511092023162557.pdf")</f>
        <v>https://dpmzos25m8ivg.cloudfront.net/Documentos/631/11567828485/6311156782848511092023162557.pdf</v>
      </c>
      <c r="F4934" s="5" t="str">
        <f>HYPERLINK("https://dpmzos25m8ivg.cloudfront.net/Documentos/631/11567828485/6311156782848511092023162607.pdf","https://dpmzos25m8ivg.cloudfront.net/Documentos/631/11567828485/6311156782848511092023162607.pdf")</f>
        <v>https://dpmzos25m8ivg.cloudfront.net/Documentos/631/11567828485/6311156782848511092023162607.pdf</v>
      </c>
      <c r="G4934" s="5" t="str">
        <f>HYPERLINK("https://dpmzos25m8ivg.cloudfront.net/Documentos/631/11567828485/6311156782848511092023162619.pdf","https://dpmzos25m8ivg.cloudfront.net/Documentos/631/11567828485/6311156782848511092023162619.pdf")</f>
        <v>https://dpmzos25m8ivg.cloudfront.net/Documentos/631/11567828485/6311156782848511092023162619.pdf</v>
      </c>
      <c r="H4934" s="5" t="s">
        <v>13508</v>
      </c>
    </row>
    <row r="4935" spans="1:8" x14ac:dyDescent="0.25">
      <c r="A4935" s="2" t="s">
        <v>4961</v>
      </c>
      <c r="B4935" s="3"/>
      <c r="C4935" s="3"/>
      <c r="D4935" s="3"/>
      <c r="E4935" s="5" t="str">
        <f>HYPERLINK("https://dpmzos25m8ivg.cloudfront.net/Documentos/631/11567881459/6311156788145911092023140239.pdf","https://dpmzos25m8ivg.cloudfront.net/Documentos/631/11567881459/6311156788145911092023140239.pdf")</f>
        <v>https://dpmzos25m8ivg.cloudfront.net/Documentos/631/11567881459/6311156788145911092023140239.pdf</v>
      </c>
      <c r="F4935" s="5" t="str">
        <f>HYPERLINK("https://dpmzos25m8ivg.cloudfront.net/Documentos/631/11567881459/6311156788145911092023140252.pdf","https://dpmzos25m8ivg.cloudfront.net/Documentos/631/11567881459/6311156788145911092023140252.pdf")</f>
        <v>https://dpmzos25m8ivg.cloudfront.net/Documentos/631/11567881459/6311156788145911092023140252.pdf</v>
      </c>
      <c r="G4935" s="5" t="str">
        <f>HYPERLINK("https://dpmzos25m8ivg.cloudfront.net/Documentos/631/11567881459/6311156788145911092023140321.pdf","https://dpmzos25m8ivg.cloudfront.net/Documentos/631/11567881459/6311156788145911092023140321.pdf")</f>
        <v>https://dpmzos25m8ivg.cloudfront.net/Documentos/631/11567881459/6311156788145911092023140321.pdf</v>
      </c>
      <c r="H4935" s="5" t="s">
        <v>13509</v>
      </c>
    </row>
    <row r="4936" spans="1:8" x14ac:dyDescent="0.25">
      <c r="A4936" s="2" t="s">
        <v>4962</v>
      </c>
      <c r="B4936" s="3"/>
      <c r="C4936" s="3"/>
      <c r="D4936" s="3"/>
      <c r="E4936" s="5" t="str">
        <f>HYPERLINK("https://dpmzos25m8ivg.cloudfront.net/Documentos/631/11570049629/6311157004962911092023113421.pdf","https://dpmzos25m8ivg.cloudfront.net/Documentos/631/11570049629/6311157004962911092023113421.pdf")</f>
        <v>https://dpmzos25m8ivg.cloudfront.net/Documentos/631/11570049629/6311157004962911092023113421.pdf</v>
      </c>
      <c r="F4936" s="5" t="str">
        <f>HYPERLINK("https://dpmzos25m8ivg.cloudfront.net/Documentos/631/11570049629/6311157004962911092023113438.pdf","https://dpmzos25m8ivg.cloudfront.net/Documentos/631/11570049629/6311157004962911092023113438.pdf")</f>
        <v>https://dpmzos25m8ivg.cloudfront.net/Documentos/631/11570049629/6311157004962911092023113438.pdf</v>
      </c>
      <c r="G4936" s="5" t="str">
        <f>HYPERLINK("https://dpmzos25m8ivg.cloudfront.net/Documentos/631/11570049629/6311157004962911092023113455.pdf","https://dpmzos25m8ivg.cloudfront.net/Documentos/631/11570049629/6311157004962911092023113455.pdf")</f>
        <v>https://dpmzos25m8ivg.cloudfront.net/Documentos/631/11570049629/6311157004962911092023113455.pdf</v>
      </c>
      <c r="H4936" s="5" t="s">
        <v>13510</v>
      </c>
    </row>
    <row r="4937" spans="1:8" x14ac:dyDescent="0.25">
      <c r="A4937" s="2" t="s">
        <v>4963</v>
      </c>
      <c r="B4937" s="3"/>
      <c r="C4937" s="3"/>
      <c r="D4937" s="3"/>
      <c r="E4937" s="5" t="str">
        <f>HYPERLINK("https://dpmzos25m8ivg.cloudfront.net/Documentos/631/11580318401/6311158031840105092023100155.pdf","https://dpmzos25m8ivg.cloudfront.net/Documentos/631/11580318401/6311158031840105092023100155.pdf")</f>
        <v>https://dpmzos25m8ivg.cloudfront.net/Documentos/631/11580318401/6311158031840105092023100155.pdf</v>
      </c>
      <c r="F4937" s="5" t="str">
        <f>HYPERLINK("https://dpmzos25m8ivg.cloudfront.net/Documentos/631/11580318401/6311158031840105092023100218.pdf","https://dpmzos25m8ivg.cloudfront.net/Documentos/631/11580318401/6311158031840105092023100218.pdf")</f>
        <v>https://dpmzos25m8ivg.cloudfront.net/Documentos/631/11580318401/6311158031840105092023100218.pdf</v>
      </c>
      <c r="G4937" s="5" t="str">
        <f>HYPERLINK("https://dpmzos25m8ivg.cloudfront.net/Documentos/631/11580318401/6311158031840105092023100251.pdf","https://dpmzos25m8ivg.cloudfront.net/Documentos/631/11580318401/6311158031840105092023100251.pdf")</f>
        <v>https://dpmzos25m8ivg.cloudfront.net/Documentos/631/11580318401/6311158031840105092023100251.pdf</v>
      </c>
      <c r="H4937" s="5" t="s">
        <v>13511</v>
      </c>
    </row>
    <row r="4938" spans="1:8" x14ac:dyDescent="0.25">
      <c r="A4938" s="2" t="s">
        <v>4964</v>
      </c>
      <c r="B4938" s="3"/>
      <c r="C4938" s="3"/>
      <c r="D4938" s="3"/>
      <c r="E4938" s="5" t="str">
        <f>HYPERLINK("https://dpmzos25m8ivg.cloudfront.net/Documentos/631/11582521611/6311158252161111092023141921.pdf","https://dpmzos25m8ivg.cloudfront.net/Documentos/631/11582521611/6311158252161111092023141921.pdf")</f>
        <v>https://dpmzos25m8ivg.cloudfront.net/Documentos/631/11582521611/6311158252161111092023141921.pdf</v>
      </c>
      <c r="F4938" s="5" t="str">
        <f>HYPERLINK("https://dpmzos25m8ivg.cloudfront.net/Documentos/631/11582521611/6311158252161111092023141932.pdf","https://dpmzos25m8ivg.cloudfront.net/Documentos/631/11582521611/6311158252161111092023141932.pdf")</f>
        <v>https://dpmzos25m8ivg.cloudfront.net/Documentos/631/11582521611/6311158252161111092023141932.pdf</v>
      </c>
      <c r="G4938" s="5" t="str">
        <f>HYPERLINK("https://dpmzos25m8ivg.cloudfront.net/Documentos/631/11582521611/6311158252161111092023141945.pdf","https://dpmzos25m8ivg.cloudfront.net/Documentos/631/11582521611/6311158252161111092023141945.pdf")</f>
        <v>https://dpmzos25m8ivg.cloudfront.net/Documentos/631/11582521611/6311158252161111092023141945.pdf</v>
      </c>
      <c r="H4938" s="5" t="s">
        <v>13512</v>
      </c>
    </row>
    <row r="4939" spans="1:8" x14ac:dyDescent="0.25">
      <c r="A4939" s="2" t="s">
        <v>4965</v>
      </c>
      <c r="B4939" s="3"/>
      <c r="C4939" s="3"/>
      <c r="D4939" s="3"/>
      <c r="E4939" s="5" t="str">
        <f>HYPERLINK("https://dpmzos25m8ivg.cloudfront.net/Documentos/631/11585705896/6311158570589605092023090203.pdf","https://dpmzos25m8ivg.cloudfront.net/Documentos/631/11585705896/6311158570589605092023090203.pdf")</f>
        <v>https://dpmzos25m8ivg.cloudfront.net/Documentos/631/11585705896/6311158570589605092023090203.pdf</v>
      </c>
      <c r="F4939" s="5" t="str">
        <f>HYPERLINK("https://dpmzos25m8ivg.cloudfront.net/Documentos/631/11585705896/6311158570589605092023090227.pdf","https://dpmzos25m8ivg.cloudfront.net/Documentos/631/11585705896/6311158570589605092023090227.pdf")</f>
        <v>https://dpmzos25m8ivg.cloudfront.net/Documentos/631/11585705896/6311158570589605092023090227.pdf</v>
      </c>
      <c r="G4939" s="5" t="str">
        <f>HYPERLINK("https://dpmzos25m8ivg.cloudfront.net/Documentos/631/11585705896/6311158570589605092023090251.pdf","https://dpmzos25m8ivg.cloudfront.net/Documentos/631/11585705896/6311158570589605092023090251.pdf")</f>
        <v>https://dpmzos25m8ivg.cloudfront.net/Documentos/631/11585705896/6311158570589605092023090251.pdf</v>
      </c>
      <c r="H4939" s="5" t="s">
        <v>13513</v>
      </c>
    </row>
    <row r="4940" spans="1:8" x14ac:dyDescent="0.25">
      <c r="A4940" s="2" t="s">
        <v>4966</v>
      </c>
      <c r="B4940" s="3"/>
      <c r="C4940" s="3"/>
      <c r="D4940" s="3"/>
      <c r="E4940" s="5" t="str">
        <f>HYPERLINK("https://dpmzos25m8ivg.cloudfront.net/Documentos/631/11588493628/6311158849362805092023145918.pdf","https://dpmzos25m8ivg.cloudfront.net/Documentos/631/11588493628/6311158849362805092023145918.pdf")</f>
        <v>https://dpmzos25m8ivg.cloudfront.net/Documentos/631/11588493628/6311158849362805092023145918.pdf</v>
      </c>
      <c r="F4940" s="5" t="str">
        <f>HYPERLINK("https://dpmzos25m8ivg.cloudfront.net/Documentos/631/11588493628/6311158849362805092023145936.pdf","https://dpmzos25m8ivg.cloudfront.net/Documentos/631/11588493628/6311158849362805092023145936.pdf")</f>
        <v>https://dpmzos25m8ivg.cloudfront.net/Documentos/631/11588493628/6311158849362805092023145936.pdf</v>
      </c>
      <c r="G4940" s="5" t="str">
        <f>HYPERLINK("https://dpmzos25m8ivg.cloudfront.net/Documentos/631/11588493628/6311158849362805092023145948.pdf","https://dpmzos25m8ivg.cloudfront.net/Documentos/631/11588493628/6311158849362805092023145948.pdf")</f>
        <v>https://dpmzos25m8ivg.cloudfront.net/Documentos/631/11588493628/6311158849362805092023145948.pdf</v>
      </c>
      <c r="H4940" s="5" t="s">
        <v>13514</v>
      </c>
    </row>
    <row r="4941" spans="1:8" x14ac:dyDescent="0.25">
      <c r="A4941" s="2" t="s">
        <v>4967</v>
      </c>
      <c r="B4941" s="3"/>
      <c r="C4941" s="3"/>
      <c r="D4941" s="3"/>
      <c r="E4941" s="5" t="str">
        <f>HYPERLINK("https://dpmzos25m8ivg.cloudfront.net/Documentos/631/11589500636/6311158950063605092023181226.pdf","https://dpmzos25m8ivg.cloudfront.net/Documentos/631/11589500636/6311158950063605092023181226.pdf")</f>
        <v>https://dpmzos25m8ivg.cloudfront.net/Documentos/631/11589500636/6311158950063605092023181226.pdf</v>
      </c>
      <c r="F4941" s="5" t="str">
        <f>HYPERLINK("https://dpmzos25m8ivg.cloudfront.net/Documentos/631/11589500636/6311158950063605092023181234.pdf","https://dpmzos25m8ivg.cloudfront.net/Documentos/631/11589500636/6311158950063605092023181234.pdf")</f>
        <v>https://dpmzos25m8ivg.cloudfront.net/Documentos/631/11589500636/6311158950063605092023181234.pdf</v>
      </c>
      <c r="G4941" s="5" t="str">
        <f>HYPERLINK("https://dpmzos25m8ivg.cloudfront.net/Documentos/631/11589500636/6311158950063605092023181240.pdf","https://dpmzos25m8ivg.cloudfront.net/Documentos/631/11589500636/6311158950063605092023181240.pdf")</f>
        <v>https://dpmzos25m8ivg.cloudfront.net/Documentos/631/11589500636/6311158950063605092023181240.pdf</v>
      </c>
      <c r="H4941" s="5" t="s">
        <v>13515</v>
      </c>
    </row>
    <row r="4942" spans="1:8" x14ac:dyDescent="0.25">
      <c r="A4942" s="2" t="s">
        <v>4968</v>
      </c>
      <c r="B4942" s="3"/>
      <c r="C4942" s="3"/>
      <c r="D4942" s="3"/>
      <c r="E4942" s="5" t="str">
        <f>HYPERLINK("https://dpmzos25m8ivg.cloudfront.net/Documentos/631/11590756622/6311159075662205092023160516.jpeg","https://dpmzos25m8ivg.cloudfront.net/Documentos/631/11590756622/6311159075662205092023160516.jpeg")</f>
        <v>https://dpmzos25m8ivg.cloudfront.net/Documentos/631/11590756622/6311159075662205092023160516.jpeg</v>
      </c>
      <c r="F4942" s="5" t="str">
        <f>HYPERLINK("https://dpmzos25m8ivg.cloudfront.net/Documentos/631/11590756622/6311159075662205092023160525.jpeg","https://dpmzos25m8ivg.cloudfront.net/Documentos/631/11590756622/6311159075662205092023160525.jpeg")</f>
        <v>https://dpmzos25m8ivg.cloudfront.net/Documentos/631/11590756622/6311159075662205092023160525.jpeg</v>
      </c>
      <c r="G4942" s="5" t="str">
        <f>HYPERLINK("https://dpmzos25m8ivg.cloudfront.net/Documentos/631/11590756622/6311159075662205092023160535.jpeg","https://dpmzos25m8ivg.cloudfront.net/Documentos/631/11590756622/6311159075662205092023160535.jpeg")</f>
        <v>https://dpmzos25m8ivg.cloudfront.net/Documentos/631/11590756622/6311159075662205092023160535.jpeg</v>
      </c>
      <c r="H4942" s="5" t="s">
        <v>13516</v>
      </c>
    </row>
    <row r="4943" spans="1:8" x14ac:dyDescent="0.25">
      <c r="A4943" s="2" t="s">
        <v>4969</v>
      </c>
      <c r="B4943" s="3" t="s">
        <v>23</v>
      </c>
      <c r="C4943" s="3"/>
      <c r="D4943" s="3"/>
      <c r="E4943" s="5" t="str">
        <f>HYPERLINK("https://dpmzos25m8ivg.cloudfront.net/Documentos/631/11596184965/6311159618496505092023112038.jpg","https://dpmzos25m8ivg.cloudfront.net/Documentos/631/11596184965/6311159618496505092023112038.jpg")</f>
        <v>https://dpmzos25m8ivg.cloudfront.net/Documentos/631/11596184965/6311159618496505092023112038.jpg</v>
      </c>
      <c r="F4943" s="5" t="str">
        <f>HYPERLINK("https://dpmzos25m8ivg.cloudfront.net/Documentos/631/11596184965/6311159618496505092023112047.jpg","https://dpmzos25m8ivg.cloudfront.net/Documentos/631/11596184965/6311159618496505092023112047.jpg")</f>
        <v>https://dpmzos25m8ivg.cloudfront.net/Documentos/631/11596184965/6311159618496505092023112047.jpg</v>
      </c>
      <c r="G4943" s="5" t="str">
        <f>HYPERLINK("https://dpmzos25m8ivg.cloudfront.net/Documentos/631/11596184965/6311159618496505092023112057.jpg","https://dpmzos25m8ivg.cloudfront.net/Documentos/631/11596184965/6311159618496505092023112057.jpg")</f>
        <v>https://dpmzos25m8ivg.cloudfront.net/Documentos/631/11596184965/6311159618496505092023112057.jpg</v>
      </c>
      <c r="H4943" s="5" t="s">
        <v>13517</v>
      </c>
    </row>
    <row r="4944" spans="1:8" x14ac:dyDescent="0.25">
      <c r="A4944" s="2" t="s">
        <v>4970</v>
      </c>
      <c r="B4944" s="16"/>
      <c r="C4944" s="3"/>
      <c r="D4944" s="3"/>
      <c r="E4944" s="5" t="str">
        <f>HYPERLINK("https://dpmzos25m8ivg.cloudfront.net/Documentos/631/11603662685/6311160366268511092023081550.pdf","https://dpmzos25m8ivg.cloudfront.net/Documentos/631/11603662685/6311160366268511092023081550.pdf")</f>
        <v>https://dpmzos25m8ivg.cloudfront.net/Documentos/631/11603662685/6311160366268511092023081550.pdf</v>
      </c>
      <c r="F4944" s="5" t="str">
        <f>HYPERLINK("https://dpmzos25m8ivg.cloudfront.net/Documentos/631/11603662685/6311160366268511092023082737.pdf","https://dpmzos25m8ivg.cloudfront.net/Documentos/631/11603662685/6311160366268511092023082737.pdf")</f>
        <v>https://dpmzos25m8ivg.cloudfront.net/Documentos/631/11603662685/6311160366268511092023082737.pdf</v>
      </c>
      <c r="G4944" s="5" t="str">
        <f>HYPERLINK("https://dpmzos25m8ivg.cloudfront.net/Documentos/631/11603662685/6311160366268511092023083728.pdf","https://dpmzos25m8ivg.cloudfront.net/Documentos/631/11603662685/6311160366268511092023083728.pdf")</f>
        <v>https://dpmzos25m8ivg.cloudfront.net/Documentos/631/11603662685/6311160366268511092023083728.pdf</v>
      </c>
      <c r="H4944" s="5" t="s">
        <v>13518</v>
      </c>
    </row>
    <row r="4945" spans="1:8" x14ac:dyDescent="0.25">
      <c r="A4945" s="2" t="s">
        <v>4971</v>
      </c>
      <c r="B4945" s="16" t="s">
        <v>4972</v>
      </c>
      <c r="C4945" s="3"/>
      <c r="D4945" s="3"/>
      <c r="E4945" s="5" t="str">
        <f>HYPERLINK("https://dpmzos25m8ivg.cloudfront.net/Documentos/631/11606748416/6311160674841611092023123020.pdf","https://dpmzos25m8ivg.cloudfront.net/Documentos/631/11606748416/6311160674841611092023123020.pdf")</f>
        <v>https://dpmzos25m8ivg.cloudfront.net/Documentos/631/11606748416/6311160674841611092023123020.pdf</v>
      </c>
      <c r="F4945" s="5" t="str">
        <f>HYPERLINK("https://dpmzos25m8ivg.cloudfront.net/Documentos/631/11606748416/6311160674841611092023123035.pdf","https://dpmzos25m8ivg.cloudfront.net/Documentos/631/11606748416/6311160674841611092023123035.pdf")</f>
        <v>https://dpmzos25m8ivg.cloudfront.net/Documentos/631/11606748416/6311160674841611092023123035.pdf</v>
      </c>
      <c r="G4945" s="5" t="str">
        <f>HYPERLINK("https://dpmzos25m8ivg.cloudfront.net/Documentos/631/11606748416/6311160674841611092023123056.pdf","https://dpmzos25m8ivg.cloudfront.net/Documentos/631/11606748416/6311160674841611092023123056.pdf")</f>
        <v>https://dpmzos25m8ivg.cloudfront.net/Documentos/631/11606748416/6311160674841611092023123056.pdf</v>
      </c>
      <c r="H4945" s="5" t="s">
        <v>13519</v>
      </c>
    </row>
    <row r="4946" spans="1:8" x14ac:dyDescent="0.25">
      <c r="A4946" s="2" t="s">
        <v>4973</v>
      </c>
      <c r="B4946" s="3"/>
      <c r="C4946" s="3"/>
      <c r="D4946" s="3"/>
      <c r="E4946" s="5" t="str">
        <f>HYPERLINK("https://dpmzos25m8ivg.cloudfront.net/Documentos/631/11607470756/6311160747075610092023153548.pdf","https://dpmzos25m8ivg.cloudfront.net/Documentos/631/11607470756/6311160747075610092023153548.pdf")</f>
        <v>https://dpmzos25m8ivg.cloudfront.net/Documentos/631/11607470756/6311160747075610092023153548.pdf</v>
      </c>
      <c r="F4946" s="5" t="str">
        <f>HYPERLINK("https://dpmzos25m8ivg.cloudfront.net/Documentos/631/11607470756/6311160747075610092023153557.pdf","https://dpmzos25m8ivg.cloudfront.net/Documentos/631/11607470756/6311160747075610092023153557.pdf")</f>
        <v>https://dpmzos25m8ivg.cloudfront.net/Documentos/631/11607470756/6311160747075610092023153557.pdf</v>
      </c>
      <c r="G4946" s="5" t="str">
        <f>HYPERLINK("https://dpmzos25m8ivg.cloudfront.net/Documentos/631/11607470756/6311160747075610092023153610.pdf","https://dpmzos25m8ivg.cloudfront.net/Documentos/631/11607470756/6311160747075610092023153610.pdf")</f>
        <v>https://dpmzos25m8ivg.cloudfront.net/Documentos/631/11607470756/6311160747075610092023153610.pdf</v>
      </c>
      <c r="H4946" s="5" t="s">
        <v>13520</v>
      </c>
    </row>
    <row r="4947" spans="1:8" x14ac:dyDescent="0.25">
      <c r="A4947" s="2" t="s">
        <v>4974</v>
      </c>
      <c r="B4947" s="3"/>
      <c r="C4947" s="3"/>
      <c r="D4947" s="3"/>
      <c r="E4947" s="5" t="str">
        <f>HYPERLINK("https://dpmzos25m8ivg.cloudfront.net/Documentos/631/11612006493/6311161200649310092023135902.pdf","https://dpmzos25m8ivg.cloudfront.net/Documentos/631/11612006493/6311161200649310092023135902.pdf")</f>
        <v>https://dpmzos25m8ivg.cloudfront.net/Documentos/631/11612006493/6311161200649310092023135902.pdf</v>
      </c>
      <c r="F4947" s="5" t="str">
        <f>HYPERLINK("https://dpmzos25m8ivg.cloudfront.net/Documentos/631/11612006493/6311161200649310092023140049.pdf","https://dpmzos25m8ivg.cloudfront.net/Documentos/631/11612006493/6311161200649310092023140049.pdf")</f>
        <v>https://dpmzos25m8ivg.cloudfront.net/Documentos/631/11612006493/6311161200649310092023140049.pdf</v>
      </c>
      <c r="G4947" s="5" t="str">
        <f>HYPERLINK("https://dpmzos25m8ivg.cloudfront.net/Documentos/631/11612006493/6311161200649310092023140105.pdf","https://dpmzos25m8ivg.cloudfront.net/Documentos/631/11612006493/6311161200649310092023140105.pdf")</f>
        <v>https://dpmzos25m8ivg.cloudfront.net/Documentos/631/11612006493/6311161200649310092023140105.pdf</v>
      </c>
      <c r="H4947" s="5" t="s">
        <v>13521</v>
      </c>
    </row>
    <row r="4948" spans="1:8" x14ac:dyDescent="0.25">
      <c r="A4948" s="2" t="s">
        <v>4975</v>
      </c>
      <c r="B4948" s="3"/>
      <c r="C4948" s="3"/>
      <c r="D4948" s="3"/>
      <c r="E4948" s="5" t="str">
        <f>HYPERLINK("https://dpmzos25m8ivg.cloudfront.net/Documentos/631/11614719870/6311161471987014092023165244.pdf","https://dpmzos25m8ivg.cloudfront.net/Documentos/631/11614719870/6311161471987014092023165244.pdf")</f>
        <v>https://dpmzos25m8ivg.cloudfront.net/Documentos/631/11614719870/6311161471987014092023165244.pdf</v>
      </c>
      <c r="F4948" s="5" t="str">
        <f>HYPERLINK("https://dpmzos25m8ivg.cloudfront.net/Documentos/631/11614719870/6311161471987014092023165308.pdf","https://dpmzos25m8ivg.cloudfront.net/Documentos/631/11614719870/6311161471987014092023165308.pdf")</f>
        <v>https://dpmzos25m8ivg.cloudfront.net/Documentos/631/11614719870/6311161471987014092023165308.pdf</v>
      </c>
      <c r="G4948" s="5" t="str">
        <f>HYPERLINK("https://dpmzos25m8ivg.cloudfront.net/Documentos/631/11614719870/6311161471987014092023165356.pdf","https://dpmzos25m8ivg.cloudfront.net/Documentos/631/11614719870/6311161471987014092023165356.pdf")</f>
        <v>https://dpmzos25m8ivg.cloudfront.net/Documentos/631/11614719870/6311161471987014092023165356.pdf</v>
      </c>
      <c r="H4948" s="5" t="s">
        <v>13522</v>
      </c>
    </row>
    <row r="4949" spans="1:8" x14ac:dyDescent="0.25">
      <c r="A4949" s="2" t="s">
        <v>4976</v>
      </c>
      <c r="B4949" s="3"/>
      <c r="C4949" s="3"/>
      <c r="D4949" s="3"/>
      <c r="E4949" s="5" t="str">
        <f>HYPERLINK("https://dpmzos25m8ivg.cloudfront.net/Documentos/631/11620566494/6311162056649406092023050119.jpg","https://dpmzos25m8ivg.cloudfront.net/Documentos/631/11620566494/6311162056649406092023050119.jpg")</f>
        <v>https://dpmzos25m8ivg.cloudfront.net/Documentos/631/11620566494/6311162056649406092023050119.jpg</v>
      </c>
      <c r="F4949" s="5" t="str">
        <f>HYPERLINK("https://dpmzos25m8ivg.cloudfront.net/Documentos/631/11620566494/6311162056649406092023050142.jpg","https://dpmzos25m8ivg.cloudfront.net/Documentos/631/11620566494/6311162056649406092023050142.jpg")</f>
        <v>https://dpmzos25m8ivg.cloudfront.net/Documentos/631/11620566494/6311162056649406092023050142.jpg</v>
      </c>
      <c r="G4949" s="5" t="str">
        <f>HYPERLINK("https://dpmzos25m8ivg.cloudfront.net/Documentos/631/11620566494/6311162056649406092023050205.jpg","https://dpmzos25m8ivg.cloudfront.net/Documentos/631/11620566494/6311162056649406092023050205.jpg")</f>
        <v>https://dpmzos25m8ivg.cloudfront.net/Documentos/631/11620566494/6311162056649406092023050205.jpg</v>
      </c>
      <c r="H4949" s="5" t="s">
        <v>13523</v>
      </c>
    </row>
    <row r="4950" spans="1:8" x14ac:dyDescent="0.25">
      <c r="A4950" s="2" t="s">
        <v>4977</v>
      </c>
      <c r="B4950" s="3" t="s">
        <v>23</v>
      </c>
      <c r="C4950" s="3"/>
      <c r="D4950" s="3"/>
      <c r="E4950" s="5" t="str">
        <f>HYPERLINK("https://dpmzos25m8ivg.cloudfront.net/Documentos/631/11625460775/6311162546077508092023211229.jpg","https://dpmzos25m8ivg.cloudfront.net/Documentos/631/11625460775/6311162546077508092023211229.jpg")</f>
        <v>https://dpmzos25m8ivg.cloudfront.net/Documentos/631/11625460775/6311162546077508092023211229.jpg</v>
      </c>
      <c r="F4950" s="5" t="str">
        <f>HYPERLINK("https://dpmzos25m8ivg.cloudfront.net/Documentos/631/11625460775/6311162546077508092023211300.jpg","https://dpmzos25m8ivg.cloudfront.net/Documentos/631/11625460775/6311162546077508092023211300.jpg")</f>
        <v>https://dpmzos25m8ivg.cloudfront.net/Documentos/631/11625460775/6311162546077508092023211300.jpg</v>
      </c>
      <c r="G4950" s="5" t="str">
        <f>HYPERLINK("https://dpmzos25m8ivg.cloudfront.net/Documentos/631/11625460775/6311162546077508092023211329.jpg","https://dpmzos25m8ivg.cloudfront.net/Documentos/631/11625460775/6311162546077508092023211329.jpg")</f>
        <v>https://dpmzos25m8ivg.cloudfront.net/Documentos/631/11625460775/6311162546077508092023211329.jpg</v>
      </c>
      <c r="H4950" s="5" t="s">
        <v>13524</v>
      </c>
    </row>
    <row r="4951" spans="1:8" x14ac:dyDescent="0.25">
      <c r="A4951" s="2" t="s">
        <v>4978</v>
      </c>
      <c r="B4951" s="19" t="s">
        <v>4857</v>
      </c>
      <c r="C4951" s="3"/>
      <c r="D4951" s="3"/>
      <c r="E4951" s="5" t="str">
        <f>HYPERLINK("https://dpmzos25m8ivg.cloudfront.net/Documentos/631/11626368406/6311162636840611092023152947.jpeg","https://dpmzos25m8ivg.cloudfront.net/Documentos/631/11626368406/6311162636840611092023152947.jpeg")</f>
        <v>https://dpmzos25m8ivg.cloudfront.net/Documentos/631/11626368406/6311162636840611092023152947.jpeg</v>
      </c>
      <c r="F4951" s="5" t="str">
        <f>HYPERLINK("https://dpmzos25m8ivg.cloudfront.net/Documentos/631/11626368406/6311162636840611092023153003.jpeg","https://dpmzos25m8ivg.cloudfront.net/Documentos/631/11626368406/6311162636840611092023153003.jpeg")</f>
        <v>https://dpmzos25m8ivg.cloudfront.net/Documentos/631/11626368406/6311162636840611092023153003.jpeg</v>
      </c>
      <c r="G4951" s="5" t="str">
        <f>HYPERLINK("https://dpmzos25m8ivg.cloudfront.net/Documentos/631/11626368406/6311162636840611092023153018.jpeg","https://dpmzos25m8ivg.cloudfront.net/Documentos/631/11626368406/6311162636840611092023153018.jpeg")</f>
        <v>https://dpmzos25m8ivg.cloudfront.net/Documentos/631/11626368406/6311162636840611092023153018.jpeg</v>
      </c>
      <c r="H4951" s="5" t="s">
        <v>13525</v>
      </c>
    </row>
    <row r="4952" spans="1:8" x14ac:dyDescent="0.25">
      <c r="A4952" s="2" t="s">
        <v>4979</v>
      </c>
      <c r="B4952" s="3"/>
      <c r="C4952" s="3"/>
      <c r="D4952" s="3"/>
      <c r="E4952" s="5" t="str">
        <f>HYPERLINK("https://dpmzos25m8ivg.cloudfront.net/Documentos/631/11627333908/6311162733390812092023195558.pdf","https://dpmzos25m8ivg.cloudfront.net/Documentos/631/11627333908/6311162733390812092023195558.pdf")</f>
        <v>https://dpmzos25m8ivg.cloudfront.net/Documentos/631/11627333908/6311162733390812092023195558.pdf</v>
      </c>
      <c r="F4952" s="5" t="str">
        <f>HYPERLINK("https://dpmzos25m8ivg.cloudfront.net/Documentos/631/11627333908/6311162733390812092023195609.pdf","https://dpmzos25m8ivg.cloudfront.net/Documentos/631/11627333908/6311162733390812092023195609.pdf")</f>
        <v>https://dpmzos25m8ivg.cloudfront.net/Documentos/631/11627333908/6311162733390812092023195609.pdf</v>
      </c>
      <c r="G4952" s="5" t="str">
        <f>HYPERLINK("https://dpmzos25m8ivg.cloudfront.net/Documentos/631/11627333908/6311162733390812092023195618.pdf","https://dpmzos25m8ivg.cloudfront.net/Documentos/631/11627333908/6311162733390812092023195618.pdf")</f>
        <v>https://dpmzos25m8ivg.cloudfront.net/Documentos/631/11627333908/6311162733390812092023195618.pdf</v>
      </c>
      <c r="H4952" s="5" t="s">
        <v>13526</v>
      </c>
    </row>
    <row r="4953" spans="1:8" x14ac:dyDescent="0.25">
      <c r="A4953" s="2" t="s">
        <v>4980</v>
      </c>
      <c r="B4953" s="3"/>
      <c r="C4953" s="3"/>
      <c r="D4953" s="3"/>
      <c r="E4953" s="5" t="str">
        <f>HYPERLINK("https://dpmzos25m8ivg.cloudfront.net/Documentos/631/11630781401/6311163078140105092023204106.pdf","https://dpmzos25m8ivg.cloudfront.net/Documentos/631/11630781401/6311163078140105092023204106.pdf")</f>
        <v>https://dpmzos25m8ivg.cloudfront.net/Documentos/631/11630781401/6311163078140105092023204106.pdf</v>
      </c>
      <c r="F4953" s="5" t="str">
        <f>HYPERLINK("https://dpmzos25m8ivg.cloudfront.net/Documentos/631/11630781401/6311163078140105092023204128.pdf","https://dpmzos25m8ivg.cloudfront.net/Documentos/631/11630781401/6311163078140105092023204128.pdf")</f>
        <v>https://dpmzos25m8ivg.cloudfront.net/Documentos/631/11630781401/6311163078140105092023204128.pdf</v>
      </c>
      <c r="G4953" s="5" t="str">
        <f>HYPERLINK("https://dpmzos25m8ivg.cloudfront.net/Documentos/631/11630781401/6311163078140105092023205046.pdf","https://dpmzos25m8ivg.cloudfront.net/Documentos/631/11630781401/6311163078140105092023205046.pdf")</f>
        <v>https://dpmzos25m8ivg.cloudfront.net/Documentos/631/11630781401/6311163078140105092023205046.pdf</v>
      </c>
      <c r="H4953" s="5" t="s">
        <v>13527</v>
      </c>
    </row>
    <row r="4954" spans="1:8" x14ac:dyDescent="0.25">
      <c r="A4954" s="2" t="s">
        <v>4981</v>
      </c>
      <c r="B4954" s="3"/>
      <c r="C4954" s="3"/>
      <c r="D4954" s="3"/>
      <c r="E4954" s="5" t="str">
        <f>HYPERLINK("https://dpmzos25m8ivg.cloudfront.net/Documentos/631/11632271451/6311163227145108092023173033.pdf","https://dpmzos25m8ivg.cloudfront.net/Documentos/631/11632271451/6311163227145108092023173033.pdf")</f>
        <v>https://dpmzos25m8ivg.cloudfront.net/Documentos/631/11632271451/6311163227145108092023173033.pdf</v>
      </c>
      <c r="F4954" s="5" t="str">
        <f>HYPERLINK("https://dpmzos25m8ivg.cloudfront.net/Documentos/631/11632271451/6311163227145108092023173054.pdf","https://dpmzos25m8ivg.cloudfront.net/Documentos/631/11632271451/6311163227145108092023173054.pdf")</f>
        <v>https://dpmzos25m8ivg.cloudfront.net/Documentos/631/11632271451/6311163227145108092023173054.pdf</v>
      </c>
      <c r="G4954" s="5" t="str">
        <f>HYPERLINK("https://dpmzos25m8ivg.cloudfront.net/Documentos/631/11632271451/6311163227145108092023173110.pdf","https://dpmzos25m8ivg.cloudfront.net/Documentos/631/11632271451/6311163227145108092023173110.pdf")</f>
        <v>https://dpmzos25m8ivg.cloudfront.net/Documentos/631/11632271451/6311163227145108092023173110.pdf</v>
      </c>
      <c r="H4954" s="5" t="s">
        <v>13528</v>
      </c>
    </row>
    <row r="4955" spans="1:8" x14ac:dyDescent="0.25">
      <c r="A4955" s="2" t="s">
        <v>4982</v>
      </c>
      <c r="B4955" s="3" t="s">
        <v>23</v>
      </c>
      <c r="C4955" s="3"/>
      <c r="D4955" s="3"/>
      <c r="E4955" s="5" t="str">
        <f>HYPERLINK("https://dpmzos25m8ivg.cloudfront.net/Documentos/631/11633233499/6311163323349911092023155016.pdf","https://dpmzos25m8ivg.cloudfront.net/Documentos/631/11633233499/6311163323349911092023155016.pdf")</f>
        <v>https://dpmzos25m8ivg.cloudfront.net/Documentos/631/11633233499/6311163323349911092023155016.pdf</v>
      </c>
      <c r="F4955" s="5" t="str">
        <f>HYPERLINK("https://dpmzos25m8ivg.cloudfront.net/Documentos/631/11633233499/6311163323349911092023155033.pdf","https://dpmzos25m8ivg.cloudfront.net/Documentos/631/11633233499/6311163323349911092023155033.pdf")</f>
        <v>https://dpmzos25m8ivg.cloudfront.net/Documentos/631/11633233499/6311163323349911092023155033.pdf</v>
      </c>
      <c r="G4955" s="5" t="str">
        <f>HYPERLINK("https://dpmzos25m8ivg.cloudfront.net/Documentos/631/11633233499/6311163323349911092023155046.pdf","https://dpmzos25m8ivg.cloudfront.net/Documentos/631/11633233499/6311163323349911092023155046.pdf")</f>
        <v>https://dpmzos25m8ivg.cloudfront.net/Documentos/631/11633233499/6311163323349911092023155046.pdf</v>
      </c>
      <c r="H4955" s="5" t="s">
        <v>13529</v>
      </c>
    </row>
    <row r="4956" spans="1:8" x14ac:dyDescent="0.25">
      <c r="A4956" s="2" t="s">
        <v>4983</v>
      </c>
      <c r="B4956" s="3"/>
      <c r="C4956" s="3"/>
      <c r="D4956" s="3"/>
      <c r="E4956" s="5" t="str">
        <f>HYPERLINK("https://dpmzos25m8ivg.cloudfront.net/Documentos/631/11634233433/6311163423343308092023193249.pdf","https://dpmzos25m8ivg.cloudfront.net/Documentos/631/11634233433/6311163423343308092023193249.pdf")</f>
        <v>https://dpmzos25m8ivg.cloudfront.net/Documentos/631/11634233433/6311163423343308092023193249.pdf</v>
      </c>
      <c r="F4956" s="5" t="str">
        <f>HYPERLINK("https://dpmzos25m8ivg.cloudfront.net/Documentos/631/11634233433/6311163423343308092023193319.pdf","https://dpmzos25m8ivg.cloudfront.net/Documentos/631/11634233433/6311163423343308092023193319.pdf")</f>
        <v>https://dpmzos25m8ivg.cloudfront.net/Documentos/631/11634233433/6311163423343308092023193319.pdf</v>
      </c>
      <c r="G4956" s="5" t="str">
        <f>HYPERLINK("https://dpmzos25m8ivg.cloudfront.net/Documentos/631/11634233433/6311163423343308092023193337.pdf","https://dpmzos25m8ivg.cloudfront.net/Documentos/631/11634233433/6311163423343308092023193337.pdf")</f>
        <v>https://dpmzos25m8ivg.cloudfront.net/Documentos/631/11634233433/6311163423343308092023193337.pdf</v>
      </c>
      <c r="H4956" s="5" t="s">
        <v>13530</v>
      </c>
    </row>
    <row r="4957" spans="1:8" x14ac:dyDescent="0.25">
      <c r="A4957" s="2" t="s">
        <v>4984</v>
      </c>
      <c r="B4957" s="3"/>
      <c r="C4957" s="3"/>
      <c r="D4957" s="3"/>
      <c r="E4957" s="5" t="str">
        <f>HYPERLINK("https://dpmzos25m8ivg.cloudfront.net/Documentos/631/11637305800/6311163730580006092023115713.jpg","https://dpmzos25m8ivg.cloudfront.net/Documentos/631/11637305800/6311163730580006092023115713.jpg")</f>
        <v>https://dpmzos25m8ivg.cloudfront.net/Documentos/631/11637305800/6311163730580006092023115713.jpg</v>
      </c>
      <c r="F4957" s="5" t="str">
        <f>HYPERLINK("https://dpmzos25m8ivg.cloudfront.net/Documentos/631/11637305800/6311163730580006092023115729.jpg","https://dpmzos25m8ivg.cloudfront.net/Documentos/631/11637305800/6311163730580006092023115729.jpg")</f>
        <v>https://dpmzos25m8ivg.cloudfront.net/Documentos/631/11637305800/6311163730580006092023115729.jpg</v>
      </c>
      <c r="G4957" s="5" t="str">
        <f>HYPERLINK("https://dpmzos25m8ivg.cloudfront.net/Documentos/631/11637305800/6311163730580006092023115800.jpg","https://dpmzos25m8ivg.cloudfront.net/Documentos/631/11637305800/6311163730580006092023115800.jpg")</f>
        <v>https://dpmzos25m8ivg.cloudfront.net/Documentos/631/11637305800/6311163730580006092023115800.jpg</v>
      </c>
      <c r="H4957" s="5" t="s">
        <v>13531</v>
      </c>
    </row>
    <row r="4958" spans="1:8" x14ac:dyDescent="0.25">
      <c r="A4958" s="2" t="s">
        <v>4985</v>
      </c>
      <c r="B4958" s="3"/>
      <c r="C4958" s="3"/>
      <c r="D4958" s="3"/>
      <c r="E4958" s="5" t="str">
        <f>HYPERLINK("https://dpmzos25m8ivg.cloudfront.net/Documentos/631/11638437769/6311163843776910092023154351.jpg","https://dpmzos25m8ivg.cloudfront.net/Documentos/631/11638437769/6311163843776910092023154351.jpg")</f>
        <v>https://dpmzos25m8ivg.cloudfront.net/Documentos/631/11638437769/6311163843776910092023154351.jpg</v>
      </c>
      <c r="F4958" s="5" t="str">
        <f>HYPERLINK("https://dpmzos25m8ivg.cloudfront.net/Documentos/631/11638437769/6311163843776910092023154417.jpg","https://dpmzos25m8ivg.cloudfront.net/Documentos/631/11638437769/6311163843776910092023154417.jpg")</f>
        <v>https://dpmzos25m8ivg.cloudfront.net/Documentos/631/11638437769/6311163843776910092023154417.jpg</v>
      </c>
      <c r="G4958" s="5" t="str">
        <f>HYPERLINK("https://dpmzos25m8ivg.cloudfront.net/Documentos/631/11638437769/6311163843776910092023154442.jpg","https://dpmzos25m8ivg.cloudfront.net/Documentos/631/11638437769/6311163843776910092023154442.jpg")</f>
        <v>https://dpmzos25m8ivg.cloudfront.net/Documentos/631/11638437769/6311163843776910092023154442.jpg</v>
      </c>
      <c r="H4958" s="5" t="s">
        <v>13532</v>
      </c>
    </row>
    <row r="4959" spans="1:8" x14ac:dyDescent="0.25">
      <c r="A4959" s="2" t="s">
        <v>4986</v>
      </c>
      <c r="B4959" s="3"/>
      <c r="C4959" s="3"/>
      <c r="D4959" s="3"/>
      <c r="E4959" s="5" t="str">
        <f>HYPERLINK("https://dpmzos25m8ivg.cloudfront.net/Documentos/631/11647984645/6311164798464511092023161816.pdf","https://dpmzos25m8ivg.cloudfront.net/Documentos/631/11647984645/6311164798464511092023161816.pdf")</f>
        <v>https://dpmzos25m8ivg.cloudfront.net/Documentos/631/11647984645/6311164798464511092023161816.pdf</v>
      </c>
      <c r="F4959" s="5" t="str">
        <f>HYPERLINK("https://dpmzos25m8ivg.cloudfront.net/Documentos/631/11647984645/6311164798464511092023161903.pdf","https://dpmzos25m8ivg.cloudfront.net/Documentos/631/11647984645/6311164798464511092023161903.pdf")</f>
        <v>https://dpmzos25m8ivg.cloudfront.net/Documentos/631/11647984645/6311164798464511092023161903.pdf</v>
      </c>
      <c r="G4959" s="5" t="str">
        <f>HYPERLINK("https://dpmzos25m8ivg.cloudfront.net/Documentos/631/11647984645/6311164798464511092023161924.pdf","https://dpmzos25m8ivg.cloudfront.net/Documentos/631/11647984645/6311164798464511092023161924.pdf")</f>
        <v>https://dpmzos25m8ivg.cloudfront.net/Documentos/631/11647984645/6311164798464511092023161924.pdf</v>
      </c>
      <c r="H4959" s="5" t="s">
        <v>13533</v>
      </c>
    </row>
    <row r="4960" spans="1:8" x14ac:dyDescent="0.25">
      <c r="A4960" s="2" t="s">
        <v>4987</v>
      </c>
      <c r="B4960" s="19" t="s">
        <v>4857</v>
      </c>
      <c r="C4960" s="3"/>
      <c r="D4960" s="3"/>
      <c r="E4960" s="5" t="str">
        <f>HYPERLINK("https://dpmzos25m8ivg.cloudfront.net/Documentos/631/11657157407/6311165715740711092023160049.pdf","https://dpmzos25m8ivg.cloudfront.net/Documentos/631/11657157407/6311165715740711092023160049.pdf")</f>
        <v>https://dpmzos25m8ivg.cloudfront.net/Documentos/631/11657157407/6311165715740711092023160049.pdf</v>
      </c>
      <c r="F4960" s="5" t="str">
        <f>HYPERLINK("https://dpmzos25m8ivg.cloudfront.net/Documentos/631/11657157407/6311165715740711092023160101.pdf","https://dpmzos25m8ivg.cloudfront.net/Documentos/631/11657157407/6311165715740711092023160101.pdf")</f>
        <v>https://dpmzos25m8ivg.cloudfront.net/Documentos/631/11657157407/6311165715740711092023160101.pdf</v>
      </c>
      <c r="G4960" s="5" t="str">
        <f>HYPERLINK("https://dpmzos25m8ivg.cloudfront.net/Documentos/631/11657157407/6311165715740711092023160114.pdf","https://dpmzos25m8ivg.cloudfront.net/Documentos/631/11657157407/6311165715740711092023160114.pdf")</f>
        <v>https://dpmzos25m8ivg.cloudfront.net/Documentos/631/11657157407/6311165715740711092023160114.pdf</v>
      </c>
      <c r="H4960" s="5" t="s">
        <v>13534</v>
      </c>
    </row>
    <row r="4961" spans="1:8" x14ac:dyDescent="0.25">
      <c r="A4961" s="2" t="s">
        <v>4988</v>
      </c>
      <c r="B4961" s="3"/>
      <c r="C4961" s="3"/>
      <c r="D4961" s="3"/>
      <c r="E4961" s="5" t="str">
        <f>HYPERLINK("https://dpmzos25m8ivg.cloudfront.net/Documentos/631/11657895408/6311165789540806092023140406.pdf","https://dpmzos25m8ivg.cloudfront.net/Documentos/631/11657895408/6311165789540806092023140406.pdf")</f>
        <v>https://dpmzos25m8ivg.cloudfront.net/Documentos/631/11657895408/6311165789540806092023140406.pdf</v>
      </c>
      <c r="F4961" s="5" t="str">
        <f>HYPERLINK("https://dpmzos25m8ivg.cloudfront.net/Documentos/631/11657895408/6311165789540806092023140422.pdf","https://dpmzos25m8ivg.cloudfront.net/Documentos/631/11657895408/6311165789540806092023140422.pdf")</f>
        <v>https://dpmzos25m8ivg.cloudfront.net/Documentos/631/11657895408/6311165789540806092023140422.pdf</v>
      </c>
      <c r="G4961" s="5" t="str">
        <f>HYPERLINK("https://dpmzos25m8ivg.cloudfront.net/Documentos/631/11657895408/6311165789540806092023140438.pdf","https://dpmzos25m8ivg.cloudfront.net/Documentos/631/11657895408/6311165789540806092023140438.pdf")</f>
        <v>https://dpmzos25m8ivg.cloudfront.net/Documentos/631/11657895408/6311165789540806092023140438.pdf</v>
      </c>
      <c r="H4961" s="5" t="s">
        <v>13535</v>
      </c>
    </row>
    <row r="4962" spans="1:8" x14ac:dyDescent="0.25">
      <c r="A4962" s="2" t="s">
        <v>4989</v>
      </c>
      <c r="B4962" s="3"/>
      <c r="C4962" s="3"/>
      <c r="D4962" s="3"/>
      <c r="E4962" s="5" t="str">
        <f>HYPERLINK("https://dpmzos25m8ivg.cloudfront.net/Documentos/631/11660213789/6311166021378904092023205644.pdf","https://dpmzos25m8ivg.cloudfront.net/Documentos/631/11660213789/6311166021378904092023205644.pdf")</f>
        <v>https://dpmzos25m8ivg.cloudfront.net/Documentos/631/11660213789/6311166021378904092023205644.pdf</v>
      </c>
      <c r="F4962" s="5" t="str">
        <f>HYPERLINK("https://dpmzos25m8ivg.cloudfront.net/Documentos/631/11660213789/6311166021378904092023205659.pdf","https://dpmzos25m8ivg.cloudfront.net/Documentos/631/11660213789/6311166021378904092023205659.pdf")</f>
        <v>https://dpmzos25m8ivg.cloudfront.net/Documentos/631/11660213789/6311166021378904092023205659.pdf</v>
      </c>
      <c r="G4962" s="5" t="str">
        <f>HYPERLINK("https://dpmzos25m8ivg.cloudfront.net/Documentos/631/11660213789/6311166021378904092023205717.pdf","https://dpmzos25m8ivg.cloudfront.net/Documentos/631/11660213789/6311166021378904092023205717.pdf")</f>
        <v>https://dpmzos25m8ivg.cloudfront.net/Documentos/631/11660213789/6311166021378904092023205717.pdf</v>
      </c>
      <c r="H4962" s="5" t="s">
        <v>13536</v>
      </c>
    </row>
    <row r="4963" spans="1:8" x14ac:dyDescent="0.25">
      <c r="A4963" s="2" t="s">
        <v>4990</v>
      </c>
      <c r="B4963" s="3"/>
      <c r="C4963" s="3"/>
      <c r="D4963" s="3"/>
      <c r="E4963" s="5" t="str">
        <f>HYPERLINK("https://dpmzos25m8ivg.cloudfront.net/Documentos/631/11663245673/6311166324567310092023205419.pdf","https://dpmzos25m8ivg.cloudfront.net/Documentos/631/11663245673/6311166324567310092023205419.pdf")</f>
        <v>https://dpmzos25m8ivg.cloudfront.net/Documentos/631/11663245673/6311166324567310092023205419.pdf</v>
      </c>
      <c r="F4963" s="5" t="str">
        <f>HYPERLINK("https://dpmzos25m8ivg.cloudfront.net/Documentos/631/11663245673/6311166324567310092023202346.pdf","https://dpmzos25m8ivg.cloudfront.net/Documentos/631/11663245673/6311166324567310092023202346.pdf")</f>
        <v>https://dpmzos25m8ivg.cloudfront.net/Documentos/631/11663245673/6311166324567310092023202346.pdf</v>
      </c>
      <c r="G4963" s="5" t="str">
        <f>HYPERLINK("https://dpmzos25m8ivg.cloudfront.net/Documentos/631/11663245673/6311166324567310092023202528.pdf","https://dpmzos25m8ivg.cloudfront.net/Documentos/631/11663245673/6311166324567310092023202528.pdf")</f>
        <v>https://dpmzos25m8ivg.cloudfront.net/Documentos/631/11663245673/6311166324567310092023202528.pdf</v>
      </c>
      <c r="H4963" s="5" t="s">
        <v>13537</v>
      </c>
    </row>
    <row r="4964" spans="1:8" x14ac:dyDescent="0.25">
      <c r="A4964" s="2" t="s">
        <v>4991</v>
      </c>
      <c r="B4964" s="3"/>
      <c r="C4964" s="3"/>
      <c r="D4964" s="3"/>
      <c r="E4964" s="5" t="str">
        <f>HYPERLINK("https://dpmzos25m8ivg.cloudfront.net/Documentos/631/11674549792/6311167454979211092023113210.jpg","https://dpmzos25m8ivg.cloudfront.net/Documentos/631/11674549792/6311167454979211092023113210.jpg")</f>
        <v>https://dpmzos25m8ivg.cloudfront.net/Documentos/631/11674549792/6311167454979211092023113210.jpg</v>
      </c>
      <c r="F4964" s="5" t="str">
        <f>HYPERLINK("https://dpmzos25m8ivg.cloudfront.net/Documentos/631/11674549792/6311167454979211092023113149.jpg","https://dpmzos25m8ivg.cloudfront.net/Documentos/631/11674549792/6311167454979211092023113149.jpg")</f>
        <v>https://dpmzos25m8ivg.cloudfront.net/Documentos/631/11674549792/6311167454979211092023113149.jpg</v>
      </c>
      <c r="G4964" s="5" t="str">
        <f>HYPERLINK("https://dpmzos25m8ivg.cloudfront.net/Documentos/631/11674549792/6311167454979211092023113128.jpg","https://dpmzos25m8ivg.cloudfront.net/Documentos/631/11674549792/6311167454979211092023113128.jpg")</f>
        <v>https://dpmzos25m8ivg.cloudfront.net/Documentos/631/11674549792/6311167454979211092023113128.jpg</v>
      </c>
      <c r="H4964" s="5" t="s">
        <v>13538</v>
      </c>
    </row>
    <row r="4965" spans="1:8" x14ac:dyDescent="0.25">
      <c r="A4965" s="2" t="s">
        <v>4992</v>
      </c>
      <c r="B4965" s="3"/>
      <c r="C4965" s="3"/>
      <c r="D4965" s="3"/>
      <c r="E4965" s="5" t="str">
        <f>HYPERLINK("https://dpmzos25m8ivg.cloudfront.net/Documentos/631/11675295700/6311167529570008092023154448.pdf","https://dpmzos25m8ivg.cloudfront.net/Documentos/631/11675295700/6311167529570008092023154448.pdf")</f>
        <v>https://dpmzos25m8ivg.cloudfront.net/Documentos/631/11675295700/6311167529570008092023154448.pdf</v>
      </c>
      <c r="F4965" s="5" t="str">
        <f>HYPERLINK("https://dpmzos25m8ivg.cloudfront.net/Documentos/631/11675295700/6311167529570008092023154502.pdf","https://dpmzos25m8ivg.cloudfront.net/Documentos/631/11675295700/6311167529570008092023154502.pdf")</f>
        <v>https://dpmzos25m8ivg.cloudfront.net/Documentos/631/11675295700/6311167529570008092023154502.pdf</v>
      </c>
      <c r="G4965" s="5" t="str">
        <f>HYPERLINK("https://dpmzos25m8ivg.cloudfront.net/Documentos/631/11675295700/6311167529570008092023154845.pdf","https://dpmzos25m8ivg.cloudfront.net/Documentos/631/11675295700/6311167529570008092023154845.pdf")</f>
        <v>https://dpmzos25m8ivg.cloudfront.net/Documentos/631/11675295700/6311167529570008092023154845.pdf</v>
      </c>
      <c r="H4965" s="5" t="s">
        <v>13539</v>
      </c>
    </row>
    <row r="4966" spans="1:8" x14ac:dyDescent="0.25">
      <c r="A4966" s="2" t="s">
        <v>4993</v>
      </c>
      <c r="B4966" s="3"/>
      <c r="C4966" s="3"/>
      <c r="D4966" s="3"/>
      <c r="E4966" s="5" t="str">
        <f>HYPERLINK("https://dpmzos25m8ivg.cloudfront.net/Documentos/631/11682254690/6311168225469006092023095545.jpg","https://dpmzos25m8ivg.cloudfront.net/Documentos/631/11682254690/6311168225469006092023095545.jpg")</f>
        <v>https://dpmzos25m8ivg.cloudfront.net/Documentos/631/11682254690/6311168225469006092023095545.jpg</v>
      </c>
      <c r="F4966" s="5" t="str">
        <f>HYPERLINK("https://dpmzos25m8ivg.cloudfront.net/Documentos/631/11682254690/6311168225469006092023095606.jpg","https://dpmzos25m8ivg.cloudfront.net/Documentos/631/11682254690/6311168225469006092023095606.jpg")</f>
        <v>https://dpmzos25m8ivg.cloudfront.net/Documentos/631/11682254690/6311168225469006092023095606.jpg</v>
      </c>
      <c r="G4966" s="5" t="str">
        <f>HYPERLINK("https://dpmzos25m8ivg.cloudfront.net/Documentos/631/11682254690/6311168225469006092023095632.jpg","https://dpmzos25m8ivg.cloudfront.net/Documentos/631/11682254690/6311168225469006092023095632.jpg")</f>
        <v>https://dpmzos25m8ivg.cloudfront.net/Documentos/631/11682254690/6311168225469006092023095632.jpg</v>
      </c>
      <c r="H4966" s="5" t="s">
        <v>13540</v>
      </c>
    </row>
    <row r="4967" spans="1:8" x14ac:dyDescent="0.25">
      <c r="A4967" s="2" t="s">
        <v>4994</v>
      </c>
      <c r="B4967" s="3"/>
      <c r="C4967" s="3"/>
      <c r="D4967" s="3"/>
      <c r="E4967" s="5" t="str">
        <f>HYPERLINK("https://dpmzos25m8ivg.cloudfront.net/Documentos/631/11685951856/6311168595185613092023150838.pdf","https://dpmzos25m8ivg.cloudfront.net/Documentos/631/11685951856/6311168595185613092023150838.pdf")</f>
        <v>https://dpmzos25m8ivg.cloudfront.net/Documentos/631/11685951856/6311168595185613092023150838.pdf</v>
      </c>
      <c r="F4967" s="5" t="str">
        <f>HYPERLINK("https://dpmzos25m8ivg.cloudfront.net/Documentos/631/11685951856/6311168595185613092023150851.pdf","https://dpmzos25m8ivg.cloudfront.net/Documentos/631/11685951856/6311168595185613092023150851.pdf")</f>
        <v>https://dpmzos25m8ivg.cloudfront.net/Documentos/631/11685951856/6311168595185613092023150851.pdf</v>
      </c>
      <c r="G4967" s="5" t="str">
        <f>HYPERLINK("https://dpmzos25m8ivg.cloudfront.net/Documentos/631/11685951856/6311168595185613092023150904.pdf","https://dpmzos25m8ivg.cloudfront.net/Documentos/631/11685951856/6311168595185613092023150904.pdf")</f>
        <v>https://dpmzos25m8ivg.cloudfront.net/Documentos/631/11685951856/6311168595185613092023150904.pdf</v>
      </c>
      <c r="H4967" s="5" t="s">
        <v>13541</v>
      </c>
    </row>
    <row r="4968" spans="1:8" x14ac:dyDescent="0.25">
      <c r="A4968" s="2" t="s">
        <v>4995</v>
      </c>
      <c r="B4968" s="3"/>
      <c r="C4968" s="3"/>
      <c r="D4968" s="3"/>
      <c r="E4968" s="5" t="str">
        <f>HYPERLINK("https://dpmzos25m8ivg.cloudfront.net/Documentos/631/11685960413/6311168596041308092023174347.pdf","https://dpmzos25m8ivg.cloudfront.net/Documentos/631/11685960413/6311168596041308092023174347.pdf")</f>
        <v>https://dpmzos25m8ivg.cloudfront.net/Documentos/631/11685960413/6311168596041308092023174347.pdf</v>
      </c>
      <c r="F4968" s="5" t="str">
        <f>HYPERLINK("https://dpmzos25m8ivg.cloudfront.net/Documentos/631/11685960413/6311168596041308092023174404.pdf","https://dpmzos25m8ivg.cloudfront.net/Documentos/631/11685960413/6311168596041308092023174404.pdf")</f>
        <v>https://dpmzos25m8ivg.cloudfront.net/Documentos/631/11685960413/6311168596041308092023174404.pdf</v>
      </c>
      <c r="G4968" s="5" t="str">
        <f>HYPERLINK("https://dpmzos25m8ivg.cloudfront.net/Documentos/631/11685960413/6311168596041308092023174417.pdf","https://dpmzos25m8ivg.cloudfront.net/Documentos/631/11685960413/6311168596041308092023174417.pdf")</f>
        <v>https://dpmzos25m8ivg.cloudfront.net/Documentos/631/11685960413/6311168596041308092023174417.pdf</v>
      </c>
      <c r="H4968" s="5" t="s">
        <v>13542</v>
      </c>
    </row>
    <row r="4969" spans="1:8" x14ac:dyDescent="0.25">
      <c r="A4969" s="2" t="s">
        <v>4996</v>
      </c>
      <c r="B4969" s="3"/>
      <c r="C4969" s="3"/>
      <c r="D4969" s="3"/>
      <c r="E4969" s="5" t="str">
        <f>HYPERLINK("https://dpmzos25m8ivg.cloudfront.net/Documentos/631/11688819606/6311168881960610092023154924.pdf","https://dpmzos25m8ivg.cloudfront.net/Documentos/631/11688819606/6311168881960610092023154924.pdf")</f>
        <v>https://dpmzos25m8ivg.cloudfront.net/Documentos/631/11688819606/6311168881960610092023154924.pdf</v>
      </c>
      <c r="F4969" s="5" t="str">
        <f>HYPERLINK("https://dpmzos25m8ivg.cloudfront.net/Documentos/631/11688819606/6311168881960610092023154953.pdf","https://dpmzos25m8ivg.cloudfront.net/Documentos/631/11688819606/6311168881960610092023154953.pdf")</f>
        <v>https://dpmzos25m8ivg.cloudfront.net/Documentos/631/11688819606/6311168881960610092023154953.pdf</v>
      </c>
      <c r="G4969" s="5" t="str">
        <f>HYPERLINK("https://dpmzos25m8ivg.cloudfront.net/Documentos/631/11688819606/6311168881960610092023155055.pdf","https://dpmzos25m8ivg.cloudfront.net/Documentos/631/11688819606/6311168881960610092023155055.pdf")</f>
        <v>https://dpmzos25m8ivg.cloudfront.net/Documentos/631/11688819606/6311168881960610092023155055.pdf</v>
      </c>
      <c r="H4969" s="5" t="s">
        <v>13543</v>
      </c>
    </row>
    <row r="4970" spans="1:8" x14ac:dyDescent="0.25">
      <c r="A4970" s="2" t="s">
        <v>4997</v>
      </c>
      <c r="B4970" s="3"/>
      <c r="C4970" s="3"/>
      <c r="D4970" s="3"/>
      <c r="E4970" s="5" t="str">
        <f>HYPERLINK("https://dpmzos25m8ivg.cloudfront.net/Documentos/631/11689392401/6311168939240111092023094339.pdf","https://dpmzos25m8ivg.cloudfront.net/Documentos/631/11689392401/6311168939240111092023094339.pdf")</f>
        <v>https://dpmzos25m8ivg.cloudfront.net/Documentos/631/11689392401/6311168939240111092023094339.pdf</v>
      </c>
      <c r="F4970" s="5" t="str">
        <f>HYPERLINK("https://dpmzos25m8ivg.cloudfront.net/Documentos/631/11689392401/6311168939240111092023094357.pdf","https://dpmzos25m8ivg.cloudfront.net/Documentos/631/11689392401/6311168939240111092023094357.pdf")</f>
        <v>https://dpmzos25m8ivg.cloudfront.net/Documentos/631/11689392401/6311168939240111092023094357.pdf</v>
      </c>
      <c r="G4970" s="5" t="str">
        <f>HYPERLINK("https://dpmzos25m8ivg.cloudfront.net/Documentos/631/11689392401/6311168939240111092023094409.pdf","https://dpmzos25m8ivg.cloudfront.net/Documentos/631/11689392401/6311168939240111092023094409.pdf")</f>
        <v>https://dpmzos25m8ivg.cloudfront.net/Documentos/631/11689392401/6311168939240111092023094409.pdf</v>
      </c>
      <c r="H4970" s="5" t="s">
        <v>13544</v>
      </c>
    </row>
    <row r="4971" spans="1:8" x14ac:dyDescent="0.25">
      <c r="A4971" s="2" t="s">
        <v>4998</v>
      </c>
      <c r="B4971" s="3"/>
      <c r="C4971" s="3"/>
      <c r="D4971" s="3"/>
      <c r="E4971" s="5" t="str">
        <f>HYPERLINK("https://dpmzos25m8ivg.cloudfront.net/Documentos/631/11689857498/6311168985749808092023231115.pdf","https://dpmzos25m8ivg.cloudfront.net/Documentos/631/11689857498/6311168985749808092023231115.pdf")</f>
        <v>https://dpmzos25m8ivg.cloudfront.net/Documentos/631/11689857498/6311168985749808092023231115.pdf</v>
      </c>
      <c r="F4971" s="5" t="str">
        <f>HYPERLINK("https://dpmzos25m8ivg.cloudfront.net/Documentos/631/11689857498/6311168985749808092023231130.pdf","https://dpmzos25m8ivg.cloudfront.net/Documentos/631/11689857498/6311168985749808092023231130.pdf")</f>
        <v>https://dpmzos25m8ivg.cloudfront.net/Documentos/631/11689857498/6311168985749808092023231130.pdf</v>
      </c>
      <c r="G4971" s="5" t="str">
        <f>HYPERLINK("https://dpmzos25m8ivg.cloudfront.net/Documentos/631/11689857498/6311168985749808092023231137.pdf","https://dpmzos25m8ivg.cloudfront.net/Documentos/631/11689857498/6311168985749808092023231137.pdf")</f>
        <v>https://dpmzos25m8ivg.cloudfront.net/Documentos/631/11689857498/6311168985749808092023231137.pdf</v>
      </c>
      <c r="H4971" s="5" t="s">
        <v>13545</v>
      </c>
    </row>
    <row r="4972" spans="1:8" x14ac:dyDescent="0.25">
      <c r="A4972" s="2" t="s">
        <v>4999</v>
      </c>
      <c r="B4972" s="3"/>
      <c r="C4972" s="3"/>
      <c r="D4972" s="3"/>
      <c r="E4972" s="5" t="str">
        <f>HYPERLINK("https://dpmzos25m8ivg.cloudfront.net/Documentos/631/11691755460/6311169175546013092023150406.pdf","https://dpmzos25m8ivg.cloudfront.net/Documentos/631/11691755460/6311169175546013092023150406.pdf")</f>
        <v>https://dpmzos25m8ivg.cloudfront.net/Documentos/631/11691755460/6311169175546013092023150406.pdf</v>
      </c>
      <c r="F4972" s="5" t="str">
        <f>HYPERLINK("https://dpmzos25m8ivg.cloudfront.net/Documentos/631/11691755460/6311169175546013092023150417.pdf","https://dpmzos25m8ivg.cloudfront.net/Documentos/631/11691755460/6311169175546013092023150417.pdf")</f>
        <v>https://dpmzos25m8ivg.cloudfront.net/Documentos/631/11691755460/6311169175546013092023150417.pdf</v>
      </c>
      <c r="G4972" s="5" t="str">
        <f>HYPERLINK("https://dpmzos25m8ivg.cloudfront.net/Documentos/631/11691755460/6311169175546013092023150428.pdf","https://dpmzos25m8ivg.cloudfront.net/Documentos/631/11691755460/6311169175546013092023150428.pdf")</f>
        <v>https://dpmzos25m8ivg.cloudfront.net/Documentos/631/11691755460/6311169175546013092023150428.pdf</v>
      </c>
      <c r="H4972" s="5" t="s">
        <v>13546</v>
      </c>
    </row>
    <row r="4973" spans="1:8" x14ac:dyDescent="0.25">
      <c r="A4973" s="2" t="s">
        <v>5000</v>
      </c>
      <c r="B4973" s="16" t="s">
        <v>2358</v>
      </c>
      <c r="C4973" s="3"/>
      <c r="D4973" s="3"/>
      <c r="E4973" s="5" t="str">
        <f>HYPERLINK("https://dpmzos25m8ivg.cloudfront.net/Documentos/631/11693995417/6311169399541710092023073921.pdf","https://dpmzos25m8ivg.cloudfront.net/Documentos/631/11693995417/6311169399541710092023073921.pdf")</f>
        <v>https://dpmzos25m8ivg.cloudfront.net/Documentos/631/11693995417/6311169399541710092023073921.pdf</v>
      </c>
      <c r="F4973" s="5" t="str">
        <f>HYPERLINK("https://dpmzos25m8ivg.cloudfront.net/Documentos/631/11693995417/6311169399541710092023073930.pdf","https://dpmzos25m8ivg.cloudfront.net/Documentos/631/11693995417/6311169399541710092023073930.pdf")</f>
        <v>https://dpmzos25m8ivg.cloudfront.net/Documentos/631/11693995417/6311169399541710092023073930.pdf</v>
      </c>
      <c r="G4973" s="5" t="str">
        <f>HYPERLINK("https://dpmzos25m8ivg.cloudfront.net/Documentos/631/11693995417/6311169399541710092023073939.pdf","https://dpmzos25m8ivg.cloudfront.net/Documentos/631/11693995417/6311169399541710092023073939.pdf")</f>
        <v>https://dpmzos25m8ivg.cloudfront.net/Documentos/631/11693995417/6311169399541710092023073939.pdf</v>
      </c>
      <c r="H4973" s="5" t="s">
        <v>13547</v>
      </c>
    </row>
    <row r="4974" spans="1:8" x14ac:dyDescent="0.25">
      <c r="A4974" s="2" t="s">
        <v>5001</v>
      </c>
      <c r="B4974" s="3"/>
      <c r="C4974" s="3"/>
      <c r="D4974" s="3"/>
      <c r="E4974" s="5" t="str">
        <f>HYPERLINK("https://dpmzos25m8ivg.cloudfront.net/Documentos/631/11696258600/6311169625860007092023163235.jpg","https://dpmzos25m8ivg.cloudfront.net/Documentos/631/11696258600/6311169625860007092023163235.jpg")</f>
        <v>https://dpmzos25m8ivg.cloudfront.net/Documentos/631/11696258600/6311169625860007092023163235.jpg</v>
      </c>
      <c r="F4974" s="5" t="str">
        <f>HYPERLINK("https://dpmzos25m8ivg.cloudfront.net/Documentos/631/11696258600/6311169625860007092023163332.jpg","https://dpmzos25m8ivg.cloudfront.net/Documentos/631/11696258600/6311169625860007092023163332.jpg")</f>
        <v>https://dpmzos25m8ivg.cloudfront.net/Documentos/631/11696258600/6311169625860007092023163332.jpg</v>
      </c>
      <c r="G4974" s="5" t="str">
        <f>HYPERLINK("https://dpmzos25m8ivg.cloudfront.net/Documentos/631/11696258600/6311169625860008092023175152.jpg","https://dpmzos25m8ivg.cloudfront.net/Documentos/631/11696258600/6311169625860008092023175152.jpg")</f>
        <v>https://dpmzos25m8ivg.cloudfront.net/Documentos/631/11696258600/6311169625860008092023175152.jpg</v>
      </c>
      <c r="H4974" s="5" t="s">
        <v>13548</v>
      </c>
    </row>
    <row r="4975" spans="1:8" x14ac:dyDescent="0.25">
      <c r="A4975" s="2" t="s">
        <v>5002</v>
      </c>
      <c r="B4975" s="3"/>
      <c r="C4975" s="3"/>
      <c r="D4975" s="3"/>
      <c r="E4975" s="5" t="str">
        <f>HYPERLINK("https://dpmzos25m8ivg.cloudfront.net/Documentos/631/11698181450/6311169818145011092023153857.jpg","https://dpmzos25m8ivg.cloudfront.net/Documentos/631/11698181450/6311169818145011092023153857.jpg")</f>
        <v>https://dpmzos25m8ivg.cloudfront.net/Documentos/631/11698181450/6311169818145011092023153857.jpg</v>
      </c>
      <c r="F4975" s="5" t="str">
        <f>HYPERLINK("https://dpmzos25m8ivg.cloudfront.net/Documentos/631/11698181450/6311169818145011092023154035.jpg","https://dpmzos25m8ivg.cloudfront.net/Documentos/631/11698181450/6311169818145011092023154035.jpg")</f>
        <v>https://dpmzos25m8ivg.cloudfront.net/Documentos/631/11698181450/6311169818145011092023154035.jpg</v>
      </c>
      <c r="G4975" s="5" t="str">
        <f>HYPERLINK("https://dpmzos25m8ivg.cloudfront.net/Documentos/631/11698181450/6311169818145011092023154242.jpg","https://dpmzos25m8ivg.cloudfront.net/Documentos/631/11698181450/6311169818145011092023154242.jpg")</f>
        <v>https://dpmzos25m8ivg.cloudfront.net/Documentos/631/11698181450/6311169818145011092023154242.jpg</v>
      </c>
      <c r="H4975" s="5" t="s">
        <v>13549</v>
      </c>
    </row>
    <row r="4976" spans="1:8" x14ac:dyDescent="0.25">
      <c r="A4976" s="2" t="s">
        <v>5003</v>
      </c>
      <c r="B4976" s="3"/>
      <c r="C4976" s="3"/>
      <c r="D4976" s="3"/>
      <c r="E4976" s="5" t="str">
        <f>HYPERLINK("https://dpmzos25m8ivg.cloudfront.net/Documentos/631/11700126474/6311170012647411092023150436.jpeg","https://dpmzos25m8ivg.cloudfront.net/Documentos/631/11700126474/6311170012647411092023150436.jpeg")</f>
        <v>https://dpmzos25m8ivg.cloudfront.net/Documentos/631/11700126474/6311170012647411092023150436.jpeg</v>
      </c>
      <c r="F4976" s="5" t="str">
        <f>HYPERLINK("https://dpmzos25m8ivg.cloudfront.net/Documentos/631/11700126474/6311170012647411092023150446.jpeg","https://dpmzos25m8ivg.cloudfront.net/Documentos/631/11700126474/6311170012647411092023150446.jpeg")</f>
        <v>https://dpmzos25m8ivg.cloudfront.net/Documentos/631/11700126474/6311170012647411092023150446.jpeg</v>
      </c>
      <c r="G4976" s="5" t="str">
        <f>HYPERLINK("https://dpmzos25m8ivg.cloudfront.net/Documentos/631/11700126474/6311170012647411092023150455.jpeg","https://dpmzos25m8ivg.cloudfront.net/Documentos/631/11700126474/6311170012647411092023150455.jpeg")</f>
        <v>https://dpmzos25m8ivg.cloudfront.net/Documentos/631/11700126474/6311170012647411092023150455.jpeg</v>
      </c>
      <c r="H4976" s="5" t="s">
        <v>13550</v>
      </c>
    </row>
    <row r="4977" spans="1:8" x14ac:dyDescent="0.25">
      <c r="A4977" s="2" t="s">
        <v>5004</v>
      </c>
      <c r="B4977" s="3"/>
      <c r="C4977" s="3"/>
      <c r="D4977" s="3"/>
      <c r="E4977" s="5" t="str">
        <f>HYPERLINK("https://dpmzos25m8ivg.cloudfront.net/Documentos/631/11701968703/6311170196870307092023201239.pdf","https://dpmzos25m8ivg.cloudfront.net/Documentos/631/11701968703/6311170196870307092023201239.pdf")</f>
        <v>https://dpmzos25m8ivg.cloudfront.net/Documentos/631/11701968703/6311170196870307092023201239.pdf</v>
      </c>
      <c r="F4977" s="5" t="str">
        <f>HYPERLINK("https://dpmzos25m8ivg.cloudfront.net/Documentos/631/11701968703/6311170196870307092023201222.pdf","https://dpmzos25m8ivg.cloudfront.net/Documentos/631/11701968703/6311170196870307092023201222.pdf")</f>
        <v>https://dpmzos25m8ivg.cloudfront.net/Documentos/631/11701968703/6311170196870307092023201222.pdf</v>
      </c>
      <c r="G4977" s="5" t="str">
        <f>HYPERLINK("https://dpmzos25m8ivg.cloudfront.net/Documentos/631/11701968703/6311170196870307092023201203.pdf","https://dpmzos25m8ivg.cloudfront.net/Documentos/631/11701968703/6311170196870307092023201203.pdf")</f>
        <v>https://dpmzos25m8ivg.cloudfront.net/Documentos/631/11701968703/6311170196870307092023201203.pdf</v>
      </c>
      <c r="H4977" s="5" t="s">
        <v>13551</v>
      </c>
    </row>
    <row r="4978" spans="1:8" x14ac:dyDescent="0.25">
      <c r="A4978" s="2" t="s">
        <v>5005</v>
      </c>
      <c r="B4978" s="3"/>
      <c r="C4978" s="3"/>
      <c r="D4978" s="3"/>
      <c r="E4978" s="5" t="str">
        <f>HYPERLINK("https://dpmzos25m8ivg.cloudfront.net/Documentos/631/11710450932/6311171045093209092023165912.pdf","https://dpmzos25m8ivg.cloudfront.net/Documentos/631/11710450932/6311171045093209092023165912.pdf")</f>
        <v>https://dpmzos25m8ivg.cloudfront.net/Documentos/631/11710450932/6311171045093209092023165912.pdf</v>
      </c>
      <c r="F4978" s="5" t="str">
        <f>HYPERLINK("https://dpmzos25m8ivg.cloudfront.net/Documentos/631/11710450932/6311171045093209092023165921.pdf","https://dpmzos25m8ivg.cloudfront.net/Documentos/631/11710450932/6311171045093209092023165921.pdf")</f>
        <v>https://dpmzos25m8ivg.cloudfront.net/Documentos/631/11710450932/6311171045093209092023165921.pdf</v>
      </c>
      <c r="G4978" s="5" t="str">
        <f>HYPERLINK("https://dpmzos25m8ivg.cloudfront.net/Documentos/631/11710450932/6311171045093209092023165927.pdf","https://dpmzos25m8ivg.cloudfront.net/Documentos/631/11710450932/6311171045093209092023165927.pdf")</f>
        <v>https://dpmzos25m8ivg.cloudfront.net/Documentos/631/11710450932/6311171045093209092023165927.pdf</v>
      </c>
      <c r="H4978" s="5" t="s">
        <v>13552</v>
      </c>
    </row>
    <row r="4979" spans="1:8" x14ac:dyDescent="0.25">
      <c r="A4979" s="2" t="s">
        <v>5006</v>
      </c>
      <c r="B4979" s="3"/>
      <c r="C4979" s="3"/>
      <c r="D4979" s="3"/>
      <c r="E4979" s="5" t="str">
        <f>HYPERLINK("https://dpmzos25m8ivg.cloudfront.net/Documentos/631/11710453958/6311171045395809092023162451.pdf","https://dpmzos25m8ivg.cloudfront.net/Documentos/631/11710453958/6311171045395809092023162451.pdf")</f>
        <v>https://dpmzos25m8ivg.cloudfront.net/Documentos/631/11710453958/6311171045395809092023162451.pdf</v>
      </c>
      <c r="F4979" s="5" t="str">
        <f>HYPERLINK("https://dpmzos25m8ivg.cloudfront.net/Documentos/631/11710453958/6311171045395809092023162521.pdf","https://dpmzos25m8ivg.cloudfront.net/Documentos/631/11710453958/6311171045395809092023162521.pdf")</f>
        <v>https://dpmzos25m8ivg.cloudfront.net/Documentos/631/11710453958/6311171045395809092023162521.pdf</v>
      </c>
      <c r="G4979" s="5" t="str">
        <f>HYPERLINK("https://dpmzos25m8ivg.cloudfront.net/Documentos/631/11710453958/6311171045395809092023162527.pdf","https://dpmzos25m8ivg.cloudfront.net/Documentos/631/11710453958/6311171045395809092023162527.pdf")</f>
        <v>https://dpmzos25m8ivg.cloudfront.net/Documentos/631/11710453958/6311171045395809092023162527.pdf</v>
      </c>
      <c r="H4979" s="5" t="s">
        <v>13553</v>
      </c>
    </row>
    <row r="4980" spans="1:8" x14ac:dyDescent="0.25">
      <c r="A4980" s="2" t="s">
        <v>5007</v>
      </c>
      <c r="B4980" s="3"/>
      <c r="C4980" s="3"/>
      <c r="D4980" s="3"/>
      <c r="E4980" s="5" t="str">
        <f>HYPERLINK("https://dpmzos25m8ivg.cloudfront.net/Documentos/631/11711645486/6311171164548611092023161658.jpg","https://dpmzos25m8ivg.cloudfront.net/Documentos/631/11711645486/6311171164548611092023161658.jpg")</f>
        <v>https://dpmzos25m8ivg.cloudfront.net/Documentos/631/11711645486/6311171164548611092023161658.jpg</v>
      </c>
      <c r="F4980" s="5" t="str">
        <f>HYPERLINK("https://dpmzos25m8ivg.cloudfront.net/Documentos/631/11711645486/6311171164548611092023161708.jpg","https://dpmzos25m8ivg.cloudfront.net/Documentos/631/11711645486/6311171164548611092023161708.jpg")</f>
        <v>https://dpmzos25m8ivg.cloudfront.net/Documentos/631/11711645486/6311171164548611092023161708.jpg</v>
      </c>
      <c r="G4980" s="5" t="str">
        <f>HYPERLINK("https://dpmzos25m8ivg.cloudfront.net/Documentos/631/11711645486/6311171164548611092023161719.jpg","https://dpmzos25m8ivg.cloudfront.net/Documentos/631/11711645486/6311171164548611092023161719.jpg")</f>
        <v>https://dpmzos25m8ivg.cloudfront.net/Documentos/631/11711645486/6311171164548611092023161719.jpg</v>
      </c>
      <c r="H4980" s="5" t="s">
        <v>13554</v>
      </c>
    </row>
    <row r="4981" spans="1:8" x14ac:dyDescent="0.25">
      <c r="A4981" s="2" t="s">
        <v>5008</v>
      </c>
      <c r="B4981" s="16" t="s">
        <v>4883</v>
      </c>
      <c r="C4981" s="3"/>
      <c r="D4981" s="3"/>
      <c r="E4981" s="5" t="str">
        <f>HYPERLINK("https://dpmzos25m8ivg.cloudfront.net/Documentos/631/11713863707/6311171386370711092023160247.pdf","https://dpmzos25m8ivg.cloudfront.net/Documentos/631/11713863707/6311171386370711092023160247.pdf")</f>
        <v>https://dpmzos25m8ivg.cloudfront.net/Documentos/631/11713863707/6311171386370711092023160247.pdf</v>
      </c>
      <c r="F4981" s="5" t="str">
        <f>HYPERLINK("https://dpmzos25m8ivg.cloudfront.net/Documentos/631/11713863707/6311171386370711092023160317.pdf","https://dpmzos25m8ivg.cloudfront.net/Documentos/631/11713863707/6311171386370711092023160317.pdf")</f>
        <v>https://dpmzos25m8ivg.cloudfront.net/Documentos/631/11713863707/6311171386370711092023160317.pdf</v>
      </c>
      <c r="G4981" s="5" t="str">
        <f>HYPERLINK("https://dpmzos25m8ivg.cloudfront.net/Documentos/631/11713863707/6311171386370711092023160328.pdf","https://dpmzos25m8ivg.cloudfront.net/Documentos/631/11713863707/6311171386370711092023160328.pdf")</f>
        <v>https://dpmzos25m8ivg.cloudfront.net/Documentos/631/11713863707/6311171386370711092023160328.pdf</v>
      </c>
      <c r="H4981" s="5" t="s">
        <v>13555</v>
      </c>
    </row>
    <row r="4982" spans="1:8" x14ac:dyDescent="0.25">
      <c r="A4982" s="2" t="s">
        <v>5009</v>
      </c>
      <c r="B4982" s="16" t="s">
        <v>4883</v>
      </c>
      <c r="C4982" s="3"/>
      <c r="D4982" s="3"/>
      <c r="E4982" s="5" t="str">
        <f>HYPERLINK("https://dpmzos25m8ivg.cloudfront.net/Documentos/631/11715269462/6311171526946206092023154119.pdf","https://dpmzos25m8ivg.cloudfront.net/Documentos/631/11715269462/6311171526946206092023154119.pdf")</f>
        <v>https://dpmzos25m8ivg.cloudfront.net/Documentos/631/11715269462/6311171526946206092023154119.pdf</v>
      </c>
      <c r="F4982" s="5" t="str">
        <f>HYPERLINK("https://dpmzos25m8ivg.cloudfront.net/Documentos/631/11715269462/6311171526946206092023154111.pdf","https://dpmzos25m8ivg.cloudfront.net/Documentos/631/11715269462/6311171526946206092023154111.pdf")</f>
        <v>https://dpmzos25m8ivg.cloudfront.net/Documentos/631/11715269462/6311171526946206092023154111.pdf</v>
      </c>
      <c r="G4982" s="5" t="str">
        <f>HYPERLINK("https://dpmzos25m8ivg.cloudfront.net/Documentos/631/11715269462/6311171526946206092023154101.pdf","https://dpmzos25m8ivg.cloudfront.net/Documentos/631/11715269462/6311171526946206092023154101.pdf")</f>
        <v>https://dpmzos25m8ivg.cloudfront.net/Documentos/631/11715269462/6311171526946206092023154101.pdf</v>
      </c>
      <c r="H4982" s="5" t="s">
        <v>13556</v>
      </c>
    </row>
    <row r="4983" spans="1:8" x14ac:dyDescent="0.25">
      <c r="A4983" s="2" t="s">
        <v>5010</v>
      </c>
      <c r="B4983" s="3"/>
      <c r="C4983" s="3"/>
      <c r="D4983" s="3"/>
      <c r="E4983" s="5" t="str">
        <f>HYPERLINK("https://dpmzos25m8ivg.cloudfront.net/Documentos/631/11717592821/6311171759282107092023123643.pdf","https://dpmzos25m8ivg.cloudfront.net/Documentos/631/11717592821/6311171759282107092023123643.pdf")</f>
        <v>https://dpmzos25m8ivg.cloudfront.net/Documentos/631/11717592821/6311171759282107092023123643.pdf</v>
      </c>
      <c r="F4983" s="5" t="str">
        <f>HYPERLINK("https://dpmzos25m8ivg.cloudfront.net/Documentos/631/11717592821/6311171759282107092023123747.pdf","https://dpmzos25m8ivg.cloudfront.net/Documentos/631/11717592821/6311171759282107092023123747.pdf")</f>
        <v>https://dpmzos25m8ivg.cloudfront.net/Documentos/631/11717592821/6311171759282107092023123747.pdf</v>
      </c>
      <c r="G4983" s="5" t="str">
        <f>HYPERLINK("https://dpmzos25m8ivg.cloudfront.net/Documentos/631/11717592821/6311171759282107092023124155.pdf","https://dpmzos25m8ivg.cloudfront.net/Documentos/631/11717592821/6311171759282107092023124155.pdf")</f>
        <v>https://dpmzos25m8ivg.cloudfront.net/Documentos/631/11717592821/6311171759282107092023124155.pdf</v>
      </c>
      <c r="H4983" s="5" t="s">
        <v>13557</v>
      </c>
    </row>
    <row r="4984" spans="1:8" x14ac:dyDescent="0.25">
      <c r="A4984" s="2" t="s">
        <v>5011</v>
      </c>
      <c r="B4984" s="3"/>
      <c r="C4984" s="3"/>
      <c r="D4984" s="3"/>
      <c r="E4984" s="5" t="str">
        <f>HYPERLINK("https://dpmzos25m8ivg.cloudfront.net/Documentos/631/11717743625/6311171774362506092023154257.pdf","https://dpmzos25m8ivg.cloudfront.net/Documentos/631/11717743625/6311171774362506092023154257.pdf")</f>
        <v>https://dpmzos25m8ivg.cloudfront.net/Documentos/631/11717743625/6311171774362506092023154257.pdf</v>
      </c>
      <c r="F4984" s="5" t="str">
        <f>HYPERLINK("https://dpmzos25m8ivg.cloudfront.net/Documentos/631/11717743625/6311171774362506092023154326.pdf","https://dpmzos25m8ivg.cloudfront.net/Documentos/631/11717743625/6311171774362506092023154326.pdf")</f>
        <v>https://dpmzos25m8ivg.cloudfront.net/Documentos/631/11717743625/6311171774362506092023154326.pdf</v>
      </c>
      <c r="G4984" s="5" t="str">
        <f>HYPERLINK("https://dpmzos25m8ivg.cloudfront.net/Documentos/631/11717743625/6311171774362506092023154357.pdf","https://dpmzos25m8ivg.cloudfront.net/Documentos/631/11717743625/6311171774362506092023154357.pdf")</f>
        <v>https://dpmzos25m8ivg.cloudfront.net/Documentos/631/11717743625/6311171774362506092023154357.pdf</v>
      </c>
      <c r="H4984" s="5" t="s">
        <v>13558</v>
      </c>
    </row>
    <row r="4985" spans="1:8" x14ac:dyDescent="0.25">
      <c r="A4985" s="2" t="s">
        <v>5012</v>
      </c>
      <c r="B4985" s="3"/>
      <c r="C4985" s="3"/>
      <c r="D4985" s="3"/>
      <c r="E4985" s="5" t="str">
        <f>HYPERLINK("https://dpmzos25m8ivg.cloudfront.net/Documentos/631/11718486766/6311171848676611092023112904.pdf","https://dpmzos25m8ivg.cloudfront.net/Documentos/631/11718486766/6311171848676611092023112904.pdf")</f>
        <v>https://dpmzos25m8ivg.cloudfront.net/Documentos/631/11718486766/6311171848676611092023112904.pdf</v>
      </c>
      <c r="F4985" s="5" t="str">
        <f>HYPERLINK("https://dpmzos25m8ivg.cloudfront.net/Documentos/631/11718486766/6311171848676611092023112914.pdf","https://dpmzos25m8ivg.cloudfront.net/Documentos/631/11718486766/6311171848676611092023112914.pdf")</f>
        <v>https://dpmzos25m8ivg.cloudfront.net/Documentos/631/11718486766/6311171848676611092023112914.pdf</v>
      </c>
      <c r="G4985" s="5" t="str">
        <f>HYPERLINK("https://dpmzos25m8ivg.cloudfront.net/Documentos/631/11718486766/6311171848676611092023112924.pdf","https://dpmzos25m8ivg.cloudfront.net/Documentos/631/11718486766/6311171848676611092023112924.pdf")</f>
        <v>https://dpmzos25m8ivg.cloudfront.net/Documentos/631/11718486766/6311171848676611092023112924.pdf</v>
      </c>
      <c r="H4985" s="5" t="s">
        <v>13559</v>
      </c>
    </row>
    <row r="4986" spans="1:8" x14ac:dyDescent="0.25">
      <c r="A4986" s="2" t="s">
        <v>5013</v>
      </c>
      <c r="B4986" s="3"/>
      <c r="C4986" s="3"/>
      <c r="D4986" s="3"/>
      <c r="E4986" s="5" t="str">
        <f>HYPERLINK("https://dpmzos25m8ivg.cloudfront.net/Documentos/631/11719636451/6311171963645111092023164319.pdf","https://dpmzos25m8ivg.cloudfront.net/Documentos/631/11719636451/6311171963645111092023164319.pdf")</f>
        <v>https://dpmzos25m8ivg.cloudfront.net/Documentos/631/11719636451/6311171963645111092023164319.pdf</v>
      </c>
      <c r="F4986" s="5" t="str">
        <f>HYPERLINK("https://dpmzos25m8ivg.cloudfront.net/Documentos/631/11719636451/6311171963645111092023164336.pdf","https://dpmzos25m8ivg.cloudfront.net/Documentos/631/11719636451/6311171963645111092023164336.pdf")</f>
        <v>https://dpmzos25m8ivg.cloudfront.net/Documentos/631/11719636451/6311171963645111092023164336.pdf</v>
      </c>
      <c r="G4986" s="5" t="str">
        <f>HYPERLINK("https://dpmzos25m8ivg.cloudfront.net/Documentos/631/11719636451/6311171963645111092023164353.pdf","https://dpmzos25m8ivg.cloudfront.net/Documentos/631/11719636451/6311171963645111092023164353.pdf")</f>
        <v>https://dpmzos25m8ivg.cloudfront.net/Documentos/631/11719636451/6311171963645111092023164353.pdf</v>
      </c>
      <c r="H4986" s="5" t="s">
        <v>9010</v>
      </c>
    </row>
    <row r="4987" spans="1:8" x14ac:dyDescent="0.25">
      <c r="A4987" s="2" t="s">
        <v>5014</v>
      </c>
      <c r="B4987" s="3"/>
      <c r="C4987" s="3"/>
      <c r="D4987" s="3"/>
      <c r="E4987" s="5" t="str">
        <f>HYPERLINK("https://dpmzos25m8ivg.cloudfront.net/Documentos/631/11719694737/6311171969473709092023123621.jpeg","https://dpmzos25m8ivg.cloudfront.net/Documentos/631/11719694737/6311171969473709092023123621.jpeg")</f>
        <v>https://dpmzos25m8ivg.cloudfront.net/Documentos/631/11719694737/6311171969473709092023123621.jpeg</v>
      </c>
      <c r="F4987" s="5" t="str">
        <f>HYPERLINK("https://dpmzos25m8ivg.cloudfront.net/Documentos/631/11719694737/6311171969473709092023123638.jpeg","https://dpmzos25m8ivg.cloudfront.net/Documentos/631/11719694737/6311171969473709092023123638.jpeg")</f>
        <v>https://dpmzos25m8ivg.cloudfront.net/Documentos/631/11719694737/6311171969473709092023123638.jpeg</v>
      </c>
      <c r="G4987" s="5" t="str">
        <f>HYPERLINK("https://dpmzos25m8ivg.cloudfront.net/Documentos/631/11719694737/6311171969473709092023123655.jpeg","https://dpmzos25m8ivg.cloudfront.net/Documentos/631/11719694737/6311171969473709092023123655.jpeg")</f>
        <v>https://dpmzos25m8ivg.cloudfront.net/Documentos/631/11719694737/6311171969473709092023123655.jpeg</v>
      </c>
      <c r="H4987" s="5" t="s">
        <v>13560</v>
      </c>
    </row>
    <row r="4988" spans="1:8" x14ac:dyDescent="0.25">
      <c r="A4988" s="2" t="s">
        <v>5015</v>
      </c>
      <c r="B4988" s="3"/>
      <c r="C4988" s="3"/>
      <c r="D4988" s="3"/>
      <c r="E4988" s="5" t="str">
        <f>HYPERLINK("https://dpmzos25m8ivg.cloudfront.net/Documentos/631/11719902780/6311171990278011092023161013.pdf","https://dpmzos25m8ivg.cloudfront.net/Documentos/631/11719902780/6311171990278011092023161013.pdf")</f>
        <v>https://dpmzos25m8ivg.cloudfront.net/Documentos/631/11719902780/6311171990278011092023161013.pdf</v>
      </c>
      <c r="F4988" s="5" t="str">
        <f>HYPERLINK("https://dpmzos25m8ivg.cloudfront.net/Documentos/631/11719902780/6311171990278011092023161031.pdf","https://dpmzos25m8ivg.cloudfront.net/Documentos/631/11719902780/6311171990278011092023161031.pdf")</f>
        <v>https://dpmzos25m8ivg.cloudfront.net/Documentos/631/11719902780/6311171990278011092023161031.pdf</v>
      </c>
      <c r="G4988" s="5" t="str">
        <f>HYPERLINK("https://dpmzos25m8ivg.cloudfront.net/Documentos/631/11719902780/6311171990278011092023161041.pdf","https://dpmzos25m8ivg.cloudfront.net/Documentos/631/11719902780/6311171990278011092023161041.pdf")</f>
        <v>https://dpmzos25m8ivg.cloudfront.net/Documentos/631/11719902780/6311171990278011092023161041.pdf</v>
      </c>
      <c r="H4988" s="5" t="s">
        <v>13561</v>
      </c>
    </row>
    <row r="4989" spans="1:8" x14ac:dyDescent="0.25">
      <c r="A4989" s="2" t="s">
        <v>5016</v>
      </c>
      <c r="B4989" s="3" t="s">
        <v>23</v>
      </c>
      <c r="C4989" s="3"/>
      <c r="D4989" s="3"/>
      <c r="E4989" s="5" t="str">
        <f>HYPERLINK("https://dpmzos25m8ivg.cloudfront.net/Documentos/631/11722979755/6311172297975505092023120121.pdf","https://dpmzos25m8ivg.cloudfront.net/Documentos/631/11722979755/6311172297975505092023120121.pdf")</f>
        <v>https://dpmzos25m8ivg.cloudfront.net/Documentos/631/11722979755/6311172297975505092023120121.pdf</v>
      </c>
      <c r="F4989" s="5" t="str">
        <f>HYPERLINK("https://dpmzos25m8ivg.cloudfront.net/Documentos/631/11722979755/6311172297975505092023120132.pdf","https://dpmzos25m8ivg.cloudfront.net/Documentos/631/11722979755/6311172297975505092023120132.pdf")</f>
        <v>https://dpmzos25m8ivg.cloudfront.net/Documentos/631/11722979755/6311172297975505092023120132.pdf</v>
      </c>
      <c r="G4989" s="5" t="str">
        <f>HYPERLINK("https://dpmzos25m8ivg.cloudfront.net/Documentos/631/11722979755/6311172297975505092023120139.pdf","https://dpmzos25m8ivg.cloudfront.net/Documentos/631/11722979755/6311172297975505092023120139.pdf")</f>
        <v>https://dpmzos25m8ivg.cloudfront.net/Documentos/631/11722979755/6311172297975505092023120139.pdf</v>
      </c>
      <c r="H4989" s="5" t="s">
        <v>13562</v>
      </c>
    </row>
    <row r="4990" spans="1:8" x14ac:dyDescent="0.25">
      <c r="A4990" s="2" t="s">
        <v>5017</v>
      </c>
      <c r="B4990" s="16" t="s">
        <v>2358</v>
      </c>
      <c r="C4990" s="3"/>
      <c r="D4990" s="3"/>
      <c r="E4990" s="5" t="str">
        <f>HYPERLINK("https://dpmzos25m8ivg.cloudfront.net/Documentos/631/11725953480/6311172595348007092023230944.pdf","https://dpmzos25m8ivg.cloudfront.net/Documentos/631/11725953480/6311172595348007092023230944.pdf")</f>
        <v>https://dpmzos25m8ivg.cloudfront.net/Documentos/631/11725953480/6311172595348007092023230944.pdf</v>
      </c>
      <c r="F4990" s="5" t="str">
        <f>HYPERLINK("https://dpmzos25m8ivg.cloudfront.net/Documentos/631/11725953480/6311172595348007092023231006.pdf","https://dpmzos25m8ivg.cloudfront.net/Documentos/631/11725953480/6311172595348007092023231006.pdf")</f>
        <v>https://dpmzos25m8ivg.cloudfront.net/Documentos/631/11725953480/6311172595348007092023231006.pdf</v>
      </c>
      <c r="G4990" s="5" t="str">
        <f>HYPERLINK("https://dpmzos25m8ivg.cloudfront.net/Documentos/631/11725953480/6311172595348007092023231018.pdf","https://dpmzos25m8ivg.cloudfront.net/Documentos/631/11725953480/6311172595348007092023231018.pdf")</f>
        <v>https://dpmzos25m8ivg.cloudfront.net/Documentos/631/11725953480/6311172595348007092023231018.pdf</v>
      </c>
      <c r="H4990" s="5" t="s">
        <v>13563</v>
      </c>
    </row>
    <row r="4991" spans="1:8" x14ac:dyDescent="0.25">
      <c r="A4991" s="2" t="s">
        <v>5018</v>
      </c>
      <c r="B4991" s="3"/>
      <c r="C4991" s="3"/>
      <c r="D4991" s="3"/>
      <c r="E4991" s="5" t="str">
        <f>HYPERLINK("https://dpmzos25m8ivg.cloudfront.net/Documentos/631/11731509600/6311173150960011092023165552.pdf","https://dpmzos25m8ivg.cloudfront.net/Documentos/631/11731509600/6311173150960011092023165552.pdf")</f>
        <v>https://dpmzos25m8ivg.cloudfront.net/Documentos/631/11731509600/6311173150960011092023165552.pdf</v>
      </c>
      <c r="F4991" s="5" t="str">
        <f>HYPERLINK("https://dpmzos25m8ivg.cloudfront.net/Documentos/631/11731509600/6311173150960011092023165604.pdf","https://dpmzos25m8ivg.cloudfront.net/Documentos/631/11731509600/6311173150960011092023165604.pdf")</f>
        <v>https://dpmzos25m8ivg.cloudfront.net/Documentos/631/11731509600/6311173150960011092023165604.pdf</v>
      </c>
      <c r="G4991" s="5" t="str">
        <f>HYPERLINK("https://dpmzos25m8ivg.cloudfront.net/Documentos/631/11731509600/6311173150960011092023165610.pdf","https://dpmzos25m8ivg.cloudfront.net/Documentos/631/11731509600/6311173150960011092023165610.pdf")</f>
        <v>https://dpmzos25m8ivg.cloudfront.net/Documentos/631/11731509600/6311173150960011092023165610.pdf</v>
      </c>
      <c r="H4991" s="5" t="s">
        <v>13564</v>
      </c>
    </row>
    <row r="4992" spans="1:8" x14ac:dyDescent="0.25">
      <c r="A4992" s="2" t="s">
        <v>5019</v>
      </c>
      <c r="B4992" s="16" t="s">
        <v>2358</v>
      </c>
      <c r="C4992" s="3"/>
      <c r="D4992" s="3"/>
      <c r="E4992" s="5" t="str">
        <f>HYPERLINK("https://dpmzos25m8ivg.cloudfront.net/Documentos/631/11734996790/6311173499679011092023123316.pdf","https://dpmzos25m8ivg.cloudfront.net/Documentos/631/11734996790/6311173499679011092023123316.pdf")</f>
        <v>https://dpmzos25m8ivg.cloudfront.net/Documentos/631/11734996790/6311173499679011092023123316.pdf</v>
      </c>
      <c r="F4992" s="5" t="str">
        <f>HYPERLINK("https://dpmzos25m8ivg.cloudfront.net/Documentos/631/11734996790/6311173499679011092023123330.pdf","https://dpmzos25m8ivg.cloudfront.net/Documentos/631/11734996790/6311173499679011092023123330.pdf")</f>
        <v>https://dpmzos25m8ivg.cloudfront.net/Documentos/631/11734996790/6311173499679011092023123330.pdf</v>
      </c>
      <c r="G4992" s="5" t="str">
        <f>HYPERLINK("https://dpmzos25m8ivg.cloudfront.net/Documentos/631/11734996790/6311173499679011092023123349.pdf","https://dpmzos25m8ivg.cloudfront.net/Documentos/631/11734996790/6311173499679011092023123349.pdf")</f>
        <v>https://dpmzos25m8ivg.cloudfront.net/Documentos/631/11734996790/6311173499679011092023123349.pdf</v>
      </c>
      <c r="H4992" s="5" t="s">
        <v>13565</v>
      </c>
    </row>
    <row r="4993" spans="1:8" x14ac:dyDescent="0.25">
      <c r="A4993" s="2" t="s">
        <v>5020</v>
      </c>
      <c r="B4993" s="3"/>
      <c r="C4993" s="3"/>
      <c r="D4993" s="3"/>
      <c r="E4993" s="5" t="str">
        <f>HYPERLINK("https://dpmzos25m8ivg.cloudfront.net/Documentos/631/11737689200/6311173768920014092023095606.jpg","https://dpmzos25m8ivg.cloudfront.net/Documentos/631/11737689200/6311173768920014092023095606.jpg")</f>
        <v>https://dpmzos25m8ivg.cloudfront.net/Documentos/631/11737689200/6311173768920014092023095606.jpg</v>
      </c>
      <c r="F4993" s="5" t="str">
        <f>HYPERLINK("https://dpmzos25m8ivg.cloudfront.net/Documentos/631/11737689200/6311173768920014092023095626.jpg","https://dpmzos25m8ivg.cloudfront.net/Documentos/631/11737689200/6311173768920014092023095626.jpg")</f>
        <v>https://dpmzos25m8ivg.cloudfront.net/Documentos/631/11737689200/6311173768920014092023095626.jpg</v>
      </c>
      <c r="G4993" s="5" t="str">
        <f>HYPERLINK("https://dpmzos25m8ivg.cloudfront.net/Documentos/631/11737689200/6311173768920014092023095655.jpg","https://dpmzos25m8ivg.cloudfront.net/Documentos/631/11737689200/6311173768920014092023095655.jpg")</f>
        <v>https://dpmzos25m8ivg.cloudfront.net/Documentos/631/11737689200/6311173768920014092023095655.jpg</v>
      </c>
      <c r="H4993" s="5" t="s">
        <v>13566</v>
      </c>
    </row>
    <row r="4994" spans="1:8" x14ac:dyDescent="0.25">
      <c r="A4994" s="2" t="s">
        <v>5021</v>
      </c>
      <c r="B4994" s="3"/>
      <c r="C4994" s="3"/>
      <c r="D4994" s="3"/>
      <c r="E4994" s="5" t="str">
        <f>HYPERLINK("https://dpmzos25m8ivg.cloudfront.net/Documentos/631/11739253418/6311173925341811092023120521.pdf","https://dpmzos25m8ivg.cloudfront.net/Documentos/631/11739253418/6311173925341811092023120521.pdf")</f>
        <v>https://dpmzos25m8ivg.cloudfront.net/Documentos/631/11739253418/6311173925341811092023120521.pdf</v>
      </c>
      <c r="F4994" s="5" t="str">
        <f>HYPERLINK("https://dpmzos25m8ivg.cloudfront.net/Documentos/631/11739253418/6311173925341811092023120538.pdf","https://dpmzos25m8ivg.cloudfront.net/Documentos/631/11739253418/6311173925341811092023120538.pdf")</f>
        <v>https://dpmzos25m8ivg.cloudfront.net/Documentos/631/11739253418/6311173925341811092023120538.pdf</v>
      </c>
      <c r="G4994" s="5" t="str">
        <f>HYPERLINK("https://dpmzos25m8ivg.cloudfront.net/Documentos/631/11739253418/6311173925341811092023120552.pdf","https://dpmzos25m8ivg.cloudfront.net/Documentos/631/11739253418/6311173925341811092023120552.pdf")</f>
        <v>https://dpmzos25m8ivg.cloudfront.net/Documentos/631/11739253418/6311173925341811092023120552.pdf</v>
      </c>
      <c r="H4994" s="5" t="s">
        <v>13567</v>
      </c>
    </row>
    <row r="4995" spans="1:8" x14ac:dyDescent="0.25">
      <c r="A4995" s="2" t="s">
        <v>5022</v>
      </c>
      <c r="B4995" s="3"/>
      <c r="C4995" s="3"/>
      <c r="D4995" s="3"/>
      <c r="E4995" s="5" t="str">
        <f>HYPERLINK("https://dpmzos25m8ivg.cloudfront.net/Documentos/631/11743888465/6311174388846513092023163723.pdf","https://dpmzos25m8ivg.cloudfront.net/Documentos/631/11743888465/6311174388846513092023163723.pdf")</f>
        <v>https://dpmzos25m8ivg.cloudfront.net/Documentos/631/11743888465/6311174388846513092023163723.pdf</v>
      </c>
      <c r="F4995" s="5" t="str">
        <f>HYPERLINK("https://dpmzos25m8ivg.cloudfront.net/Documentos/631/11743888465/6311174388846513092023163731.pdf","https://dpmzos25m8ivg.cloudfront.net/Documentos/631/11743888465/6311174388846513092023163731.pdf")</f>
        <v>https://dpmzos25m8ivg.cloudfront.net/Documentos/631/11743888465/6311174388846513092023163731.pdf</v>
      </c>
      <c r="G4995" s="5" t="str">
        <f>HYPERLINK("https://dpmzos25m8ivg.cloudfront.net/Documentos/631/11743888465/6311174388846513092023163739.pdf","https://dpmzos25m8ivg.cloudfront.net/Documentos/631/11743888465/6311174388846513092023163739.pdf")</f>
        <v>https://dpmzos25m8ivg.cloudfront.net/Documentos/631/11743888465/6311174388846513092023163739.pdf</v>
      </c>
      <c r="H4995" s="5" t="s">
        <v>13568</v>
      </c>
    </row>
    <row r="4996" spans="1:8" x14ac:dyDescent="0.25">
      <c r="A4996" s="2" t="s">
        <v>5023</v>
      </c>
      <c r="B4996" s="3"/>
      <c r="C4996" s="3"/>
      <c r="D4996" s="3"/>
      <c r="E4996" s="5" t="str">
        <f>HYPERLINK("https://dpmzos25m8ivg.cloudfront.net/Documentos/631/11745473670/6311174547367013092023101034.jpg","https://dpmzos25m8ivg.cloudfront.net/Documentos/631/11745473670/6311174547367013092023101034.jpg")</f>
        <v>https://dpmzos25m8ivg.cloudfront.net/Documentos/631/11745473670/6311174547367013092023101034.jpg</v>
      </c>
      <c r="F4996" s="5" t="str">
        <f>HYPERLINK("https://dpmzos25m8ivg.cloudfront.net/Documentos/631/11745473670/6311174547367013092023101059.jpg","https://dpmzos25m8ivg.cloudfront.net/Documentos/631/11745473670/6311174547367013092023101059.jpg")</f>
        <v>https://dpmzos25m8ivg.cloudfront.net/Documentos/631/11745473670/6311174547367013092023101059.jpg</v>
      </c>
      <c r="G4996" s="5" t="str">
        <f>HYPERLINK("https://dpmzos25m8ivg.cloudfront.net/Documentos/631/11745473670/6311174547367013092023101115.jpg","https://dpmzos25m8ivg.cloudfront.net/Documentos/631/11745473670/6311174547367013092023101115.jpg")</f>
        <v>https://dpmzos25m8ivg.cloudfront.net/Documentos/631/11745473670/6311174547367013092023101115.jpg</v>
      </c>
      <c r="H4996" s="5" t="s">
        <v>13569</v>
      </c>
    </row>
    <row r="4997" spans="1:8" x14ac:dyDescent="0.25">
      <c r="A4997" s="2" t="s">
        <v>5024</v>
      </c>
      <c r="B4997" s="3"/>
      <c r="C4997" s="3"/>
      <c r="D4997" s="3"/>
      <c r="E4997" s="5" t="str">
        <f>HYPERLINK("https://dpmzos25m8ivg.cloudfront.net/Documentos/631/11747662470/6311174766247008092023181249.jpeg","https://dpmzos25m8ivg.cloudfront.net/Documentos/631/11747662470/6311174766247008092023181249.jpeg")</f>
        <v>https://dpmzos25m8ivg.cloudfront.net/Documentos/631/11747662470/6311174766247008092023181249.jpeg</v>
      </c>
      <c r="F4997" s="5" t="str">
        <f>HYPERLINK("https://dpmzos25m8ivg.cloudfront.net/Documentos/631/11747662470/6311174766247008092023181303.jpeg","https://dpmzos25m8ivg.cloudfront.net/Documentos/631/11747662470/6311174766247008092023181303.jpeg")</f>
        <v>https://dpmzos25m8ivg.cloudfront.net/Documentos/631/11747662470/6311174766247008092023181303.jpeg</v>
      </c>
      <c r="G4997" s="5" t="str">
        <f>HYPERLINK("https://dpmzos25m8ivg.cloudfront.net/Documentos/631/11747662470/6311174766247008092023184145.pdf","https://dpmzos25m8ivg.cloudfront.net/Documentos/631/11747662470/6311174766247008092023184145.pdf")</f>
        <v>https://dpmzos25m8ivg.cloudfront.net/Documentos/631/11747662470/6311174766247008092023184145.pdf</v>
      </c>
      <c r="H4997" s="5" t="s">
        <v>13570</v>
      </c>
    </row>
    <row r="4998" spans="1:8" x14ac:dyDescent="0.25">
      <c r="A4998" s="2" t="s">
        <v>5025</v>
      </c>
      <c r="B4998" s="16" t="s">
        <v>4883</v>
      </c>
      <c r="C4998" s="3"/>
      <c r="D4998" s="3"/>
      <c r="E4998" s="5" t="str">
        <f>HYPERLINK("https://dpmzos25m8ivg.cloudfront.net/Documentos/631/11752144694/6311175214469410092023173557.pdf","https://dpmzos25m8ivg.cloudfront.net/Documentos/631/11752144694/6311175214469410092023173557.pdf")</f>
        <v>https://dpmzos25m8ivg.cloudfront.net/Documentos/631/11752144694/6311175214469410092023173557.pdf</v>
      </c>
      <c r="F4998" s="5" t="str">
        <f>HYPERLINK("https://dpmzos25m8ivg.cloudfront.net/Documentos/631/11752144694/6311175214469410092023173615.pdf","https://dpmzos25m8ivg.cloudfront.net/Documentos/631/11752144694/6311175214469410092023173615.pdf")</f>
        <v>https://dpmzos25m8ivg.cloudfront.net/Documentos/631/11752144694/6311175214469410092023173615.pdf</v>
      </c>
      <c r="G4998" s="5" t="str">
        <f>HYPERLINK("https://dpmzos25m8ivg.cloudfront.net/Documentos/631/11752144694/6311175214469410092023173634.pdf","https://dpmzos25m8ivg.cloudfront.net/Documentos/631/11752144694/6311175214469410092023173634.pdf")</f>
        <v>https://dpmzos25m8ivg.cloudfront.net/Documentos/631/11752144694/6311175214469410092023173634.pdf</v>
      </c>
      <c r="H4998" s="5" t="s">
        <v>13571</v>
      </c>
    </row>
    <row r="4999" spans="1:8" x14ac:dyDescent="0.25">
      <c r="A4999" s="2" t="s">
        <v>5026</v>
      </c>
      <c r="B4999" s="3"/>
      <c r="C4999" s="3"/>
      <c r="D4999" s="3"/>
      <c r="E4999" s="5" t="str">
        <f>HYPERLINK("https://dpmzos25m8ivg.cloudfront.net/Documentos/631/11753088704/6311175308870411092023164050.pdf","https://dpmzos25m8ivg.cloudfront.net/Documentos/631/11753088704/6311175308870411092023164050.pdf")</f>
        <v>https://dpmzos25m8ivg.cloudfront.net/Documentos/631/11753088704/6311175308870411092023164050.pdf</v>
      </c>
      <c r="F4999" s="5" t="str">
        <f>HYPERLINK("https://dpmzos25m8ivg.cloudfront.net/Documentos/631/11753088704/6311175308870411092023164119.pdf","https://dpmzos25m8ivg.cloudfront.net/Documentos/631/11753088704/6311175308870411092023164119.pdf")</f>
        <v>https://dpmzos25m8ivg.cloudfront.net/Documentos/631/11753088704/6311175308870411092023164119.pdf</v>
      </c>
      <c r="G4999" s="5" t="str">
        <f>HYPERLINK("https://dpmzos25m8ivg.cloudfront.net/Documentos/631/11753088704/6311175308870411092023164136.pdf","https://dpmzos25m8ivg.cloudfront.net/Documentos/631/11753088704/6311175308870411092023164136.pdf")</f>
        <v>https://dpmzos25m8ivg.cloudfront.net/Documentos/631/11753088704/6311175308870411092023164136.pdf</v>
      </c>
      <c r="H4999" s="5" t="s">
        <v>13572</v>
      </c>
    </row>
    <row r="5000" spans="1:8" x14ac:dyDescent="0.25">
      <c r="A5000" s="2" t="s">
        <v>5027</v>
      </c>
      <c r="B5000" s="3"/>
      <c r="C5000" s="3"/>
      <c r="D5000" s="3"/>
      <c r="E5000" s="5" t="str">
        <f>HYPERLINK("https://dpmzos25m8ivg.cloudfront.net/Documentos/631/11757031766/6311175703176611092023091242.pdf","https://dpmzos25m8ivg.cloudfront.net/Documentos/631/11757031766/6311175703176611092023091242.pdf")</f>
        <v>https://dpmzos25m8ivg.cloudfront.net/Documentos/631/11757031766/6311175703176611092023091242.pdf</v>
      </c>
      <c r="F5000" s="5" t="str">
        <f>HYPERLINK("https://dpmzos25m8ivg.cloudfront.net/Documentos/631/11757031766/6311175703176611092023091641.pdf","https://dpmzos25m8ivg.cloudfront.net/Documentos/631/11757031766/6311175703176611092023091641.pdf")</f>
        <v>https://dpmzos25m8ivg.cloudfront.net/Documentos/631/11757031766/6311175703176611092023091641.pdf</v>
      </c>
      <c r="G5000" s="5" t="str">
        <f>HYPERLINK("https://dpmzos25m8ivg.cloudfront.net/Documentos/631/11757031766/6311175703176611092023091949.pdf","https://dpmzos25m8ivg.cloudfront.net/Documentos/631/11757031766/6311175703176611092023091949.pdf")</f>
        <v>https://dpmzos25m8ivg.cloudfront.net/Documentos/631/11757031766/6311175703176611092023091949.pdf</v>
      </c>
      <c r="H5000" s="5" t="s">
        <v>13573</v>
      </c>
    </row>
    <row r="5001" spans="1:8" x14ac:dyDescent="0.25">
      <c r="A5001" s="2" t="s">
        <v>5028</v>
      </c>
      <c r="B5001" s="3"/>
      <c r="C5001" s="3"/>
      <c r="D5001" s="3"/>
      <c r="E5001" s="5" t="str">
        <f>HYPERLINK("https://dpmzos25m8ivg.cloudfront.net/Documentos/631/11757968407/6311175796840710092023145501.pdf","https://dpmzos25m8ivg.cloudfront.net/Documentos/631/11757968407/6311175796840710092023145501.pdf")</f>
        <v>https://dpmzos25m8ivg.cloudfront.net/Documentos/631/11757968407/6311175796840710092023145501.pdf</v>
      </c>
      <c r="F5001" s="5" t="str">
        <f>HYPERLINK("https://dpmzos25m8ivg.cloudfront.net/Documentos/631/11757968407/6311175796840710092023145519.pdf","https://dpmzos25m8ivg.cloudfront.net/Documentos/631/11757968407/6311175796840710092023145519.pdf")</f>
        <v>https://dpmzos25m8ivg.cloudfront.net/Documentos/631/11757968407/6311175796840710092023145519.pdf</v>
      </c>
      <c r="G5001" s="5" t="str">
        <f>HYPERLINK("https://dpmzos25m8ivg.cloudfront.net/Documentos/631/11757968407/6311175796840710092023145527.pdf","https://dpmzos25m8ivg.cloudfront.net/Documentos/631/11757968407/6311175796840710092023145527.pdf")</f>
        <v>https://dpmzos25m8ivg.cloudfront.net/Documentos/631/11757968407/6311175796840710092023145527.pdf</v>
      </c>
      <c r="H5001" s="5" t="s">
        <v>13574</v>
      </c>
    </row>
    <row r="5002" spans="1:8" x14ac:dyDescent="0.25">
      <c r="A5002" s="2" t="s">
        <v>5029</v>
      </c>
      <c r="B5002" s="16" t="s">
        <v>2358</v>
      </c>
      <c r="C5002" s="3"/>
      <c r="D5002" s="3"/>
      <c r="E5002" s="5" t="str">
        <f>HYPERLINK("https://dpmzos25m8ivg.cloudfront.net/Documentos/631/11764778898/6311176477889811092023160433.pdf","https://dpmzos25m8ivg.cloudfront.net/Documentos/631/11764778898/6311176477889811092023160433.pdf")</f>
        <v>https://dpmzos25m8ivg.cloudfront.net/Documentos/631/11764778898/6311176477889811092023160433.pdf</v>
      </c>
      <c r="F5002" s="5" t="str">
        <f>HYPERLINK("https://dpmzos25m8ivg.cloudfront.net/Documentos/631/11764778898/6311176477889811092023160443.pdf","https://dpmzos25m8ivg.cloudfront.net/Documentos/631/11764778898/6311176477889811092023160443.pdf")</f>
        <v>https://dpmzos25m8ivg.cloudfront.net/Documentos/631/11764778898/6311176477889811092023160443.pdf</v>
      </c>
      <c r="G5002" s="5" t="str">
        <f>HYPERLINK("https://dpmzos25m8ivg.cloudfront.net/Documentos/631/11764778898/6311176477889811092023160451.pdf","https://dpmzos25m8ivg.cloudfront.net/Documentos/631/11764778898/6311176477889811092023160451.pdf")</f>
        <v>https://dpmzos25m8ivg.cloudfront.net/Documentos/631/11764778898/6311176477889811092023160451.pdf</v>
      </c>
      <c r="H5002" s="5" t="s">
        <v>13575</v>
      </c>
    </row>
    <row r="5003" spans="1:8" x14ac:dyDescent="0.25">
      <c r="A5003" s="2" t="s">
        <v>5030</v>
      </c>
      <c r="B5003" s="3"/>
      <c r="C5003" s="3"/>
      <c r="D5003" s="3"/>
      <c r="E5003" s="5" t="str">
        <f>HYPERLINK("https://dpmzos25m8ivg.cloudfront.net/Documentos/631/11782012443/6311178201244306092023115121.pdf","https://dpmzos25m8ivg.cloudfront.net/Documentos/631/11782012443/6311178201244306092023115121.pdf")</f>
        <v>https://dpmzos25m8ivg.cloudfront.net/Documentos/631/11782012443/6311178201244306092023115121.pdf</v>
      </c>
      <c r="F5003" s="5" t="str">
        <f>HYPERLINK("https://dpmzos25m8ivg.cloudfront.net/Documentos/631/11782012443/6311178201244306092023115133.pdf","https://dpmzos25m8ivg.cloudfront.net/Documentos/631/11782012443/6311178201244306092023115133.pdf")</f>
        <v>https://dpmzos25m8ivg.cloudfront.net/Documentos/631/11782012443/6311178201244306092023115133.pdf</v>
      </c>
      <c r="G5003" s="5" t="str">
        <f>HYPERLINK("https://dpmzos25m8ivg.cloudfront.net/Documentos/631/11782012443/6311178201244306092023115141.pdf","https://dpmzos25m8ivg.cloudfront.net/Documentos/631/11782012443/6311178201244306092023115141.pdf")</f>
        <v>https://dpmzos25m8ivg.cloudfront.net/Documentos/631/11782012443/6311178201244306092023115141.pdf</v>
      </c>
      <c r="H5003" s="5" t="s">
        <v>13576</v>
      </c>
    </row>
    <row r="5004" spans="1:8" x14ac:dyDescent="0.25">
      <c r="A5004" s="2" t="s">
        <v>5031</v>
      </c>
      <c r="B5004" s="3"/>
      <c r="C5004" s="3"/>
      <c r="D5004" s="3"/>
      <c r="E5004" s="5" t="str">
        <f>HYPERLINK("https://dpmzos25m8ivg.cloudfront.net/Documentos/631/11785359401/6311178535940113092023185445.jpg","https://dpmzos25m8ivg.cloudfront.net/Documentos/631/11785359401/6311178535940113092023185445.jpg")</f>
        <v>https://dpmzos25m8ivg.cloudfront.net/Documentos/631/11785359401/6311178535940113092023185445.jpg</v>
      </c>
      <c r="F5004" s="5" t="str">
        <f>HYPERLINK("https://dpmzos25m8ivg.cloudfront.net/Documentos/631/11785359401/6311178535940113092023185459.jpg","https://dpmzos25m8ivg.cloudfront.net/Documentos/631/11785359401/6311178535940113092023185459.jpg")</f>
        <v>https://dpmzos25m8ivg.cloudfront.net/Documentos/631/11785359401/6311178535940113092023185459.jpg</v>
      </c>
      <c r="G5004" s="5" t="str">
        <f>HYPERLINK("https://dpmzos25m8ivg.cloudfront.net/Documentos/631/11785359401/6311178535940113092023185509.jpg","https://dpmzos25m8ivg.cloudfront.net/Documentos/631/11785359401/6311178535940113092023185509.jpg")</f>
        <v>https://dpmzos25m8ivg.cloudfront.net/Documentos/631/11785359401/6311178535940113092023185509.jpg</v>
      </c>
      <c r="H5004" s="5" t="s">
        <v>13577</v>
      </c>
    </row>
    <row r="5005" spans="1:8" x14ac:dyDescent="0.25">
      <c r="A5005" s="2" t="s">
        <v>5032</v>
      </c>
      <c r="B5005" s="3"/>
      <c r="C5005" s="3"/>
      <c r="D5005" s="3"/>
      <c r="E5005" s="5" t="str">
        <f>HYPERLINK("https://dpmzos25m8ivg.cloudfront.net/Documentos/631/11792322402/6311179232240210092023175311.pdf","https://dpmzos25m8ivg.cloudfront.net/Documentos/631/11792322402/6311179232240210092023175311.pdf")</f>
        <v>https://dpmzos25m8ivg.cloudfront.net/Documentos/631/11792322402/6311179232240210092023175311.pdf</v>
      </c>
      <c r="F5005" s="5" t="str">
        <f>HYPERLINK("https://dpmzos25m8ivg.cloudfront.net/Documentos/631/11792322402/6311179232240210092023175351.pdf","https://dpmzos25m8ivg.cloudfront.net/Documentos/631/11792322402/6311179232240210092023175351.pdf")</f>
        <v>https://dpmzos25m8ivg.cloudfront.net/Documentos/631/11792322402/6311179232240210092023175351.pdf</v>
      </c>
      <c r="G5005" s="5" t="str">
        <f>HYPERLINK("https://dpmzos25m8ivg.cloudfront.net/Documentos/631/11792322402/6311179232240210092023175402.pdf","https://dpmzos25m8ivg.cloudfront.net/Documentos/631/11792322402/6311179232240210092023175402.pdf")</f>
        <v>https://dpmzos25m8ivg.cloudfront.net/Documentos/631/11792322402/6311179232240210092023175402.pdf</v>
      </c>
      <c r="H5005" s="5" t="s">
        <v>13578</v>
      </c>
    </row>
    <row r="5006" spans="1:8" x14ac:dyDescent="0.25">
      <c r="A5006" s="2" t="s">
        <v>5033</v>
      </c>
      <c r="B5006" s="3"/>
      <c r="C5006" s="3"/>
      <c r="D5006" s="3"/>
      <c r="E5006" s="5" t="str">
        <f>HYPERLINK("https://dpmzos25m8ivg.cloudfront.net/Documentos/631/11795854618/6311179585461806092023151314.pdf","https://dpmzos25m8ivg.cloudfront.net/Documentos/631/11795854618/6311179585461806092023151314.pdf")</f>
        <v>https://dpmzos25m8ivg.cloudfront.net/Documentos/631/11795854618/6311179585461806092023151314.pdf</v>
      </c>
      <c r="F5006" s="5" t="str">
        <f>HYPERLINK("https://dpmzos25m8ivg.cloudfront.net/Documentos/631/11795854618/6311179585461806092023151324.pdf","https://dpmzos25m8ivg.cloudfront.net/Documentos/631/11795854618/6311179585461806092023151324.pdf")</f>
        <v>https://dpmzos25m8ivg.cloudfront.net/Documentos/631/11795854618/6311179585461806092023151324.pdf</v>
      </c>
      <c r="G5006" s="5" t="str">
        <f>HYPERLINK("https://dpmzos25m8ivg.cloudfront.net/Documentos/631/11795854618/6311179585461806092023151333.pdf","https://dpmzos25m8ivg.cloudfront.net/Documentos/631/11795854618/6311179585461806092023151333.pdf")</f>
        <v>https://dpmzos25m8ivg.cloudfront.net/Documentos/631/11795854618/6311179585461806092023151333.pdf</v>
      </c>
      <c r="H5006" s="5" t="s">
        <v>13579</v>
      </c>
    </row>
    <row r="5007" spans="1:8" x14ac:dyDescent="0.25">
      <c r="A5007" s="2" t="s">
        <v>5034</v>
      </c>
      <c r="B5007" s="3"/>
      <c r="C5007" s="3"/>
      <c r="D5007" s="3"/>
      <c r="E5007" s="5" t="str">
        <f>HYPERLINK("https://dpmzos25m8ivg.cloudfront.net/Documentos/631/11796803677/6311179680367711092023125035.jpg","https://dpmzos25m8ivg.cloudfront.net/Documentos/631/11796803677/6311179680367711092023125035.jpg")</f>
        <v>https://dpmzos25m8ivg.cloudfront.net/Documentos/631/11796803677/6311179680367711092023125035.jpg</v>
      </c>
      <c r="F5007" s="5" t="str">
        <f>HYPERLINK("https://dpmzos25m8ivg.cloudfront.net/Documentos/631/11796803677/6311179680367711092023125117.jpg","https://dpmzos25m8ivg.cloudfront.net/Documentos/631/11796803677/6311179680367711092023125117.jpg")</f>
        <v>https://dpmzos25m8ivg.cloudfront.net/Documentos/631/11796803677/6311179680367711092023125117.jpg</v>
      </c>
      <c r="G5007" s="5" t="str">
        <f>HYPERLINK("https://dpmzos25m8ivg.cloudfront.net/Documentos/631/11796803677/6311179680367711092023125147.jpg","https://dpmzos25m8ivg.cloudfront.net/Documentos/631/11796803677/6311179680367711092023125147.jpg")</f>
        <v>https://dpmzos25m8ivg.cloudfront.net/Documentos/631/11796803677/6311179680367711092023125147.jpg</v>
      </c>
      <c r="H5007" s="5" t="s">
        <v>13580</v>
      </c>
    </row>
    <row r="5008" spans="1:8" x14ac:dyDescent="0.25">
      <c r="A5008" s="2" t="s">
        <v>5035</v>
      </c>
      <c r="B5008" s="3"/>
      <c r="C5008" s="3"/>
      <c r="D5008" s="3"/>
      <c r="E5008" s="5" t="str">
        <f>HYPERLINK("https://dpmzos25m8ivg.cloudfront.net/Documentos/631/11797918435/6311179791843505092023143535.pdf","https://dpmzos25m8ivg.cloudfront.net/Documentos/631/11797918435/6311179791843505092023143535.pdf")</f>
        <v>https://dpmzos25m8ivg.cloudfront.net/Documentos/631/11797918435/6311179791843505092023143535.pdf</v>
      </c>
      <c r="F5008" s="5" t="str">
        <f>HYPERLINK("https://dpmzos25m8ivg.cloudfront.net/Documentos/631/11797918435/6311179791843505092023143547.pdf","https://dpmzos25m8ivg.cloudfront.net/Documentos/631/11797918435/6311179791843505092023143547.pdf")</f>
        <v>https://dpmzos25m8ivg.cloudfront.net/Documentos/631/11797918435/6311179791843505092023143547.pdf</v>
      </c>
      <c r="G5008" s="5" t="str">
        <f>HYPERLINK("https://dpmzos25m8ivg.cloudfront.net/Documentos/631/11797918435/6311179791843505092023143602.pdf","https://dpmzos25m8ivg.cloudfront.net/Documentos/631/11797918435/6311179791843505092023143602.pdf")</f>
        <v>https://dpmzos25m8ivg.cloudfront.net/Documentos/631/11797918435/6311179791843505092023143602.pdf</v>
      </c>
      <c r="H5008" s="5" t="s">
        <v>13581</v>
      </c>
    </row>
    <row r="5009" spans="1:8" x14ac:dyDescent="0.25">
      <c r="A5009" s="2" t="s">
        <v>5036</v>
      </c>
      <c r="B5009" s="3"/>
      <c r="C5009" s="3"/>
      <c r="D5009" s="3"/>
      <c r="E5009" s="5" t="str">
        <f>HYPERLINK("https://dpmzos25m8ivg.cloudfront.net/Documentos/631/11801606498/6311180160649808092023190823.pdf","https://dpmzos25m8ivg.cloudfront.net/Documentos/631/11801606498/6311180160649808092023190823.pdf")</f>
        <v>https://dpmzos25m8ivg.cloudfront.net/Documentos/631/11801606498/6311180160649808092023190823.pdf</v>
      </c>
      <c r="F5009" s="5" t="str">
        <f>HYPERLINK("https://dpmzos25m8ivg.cloudfront.net/Documentos/631/11801606498/6311180160649808092023190848.pdf","https://dpmzos25m8ivg.cloudfront.net/Documentos/631/11801606498/6311180160649808092023190848.pdf")</f>
        <v>https://dpmzos25m8ivg.cloudfront.net/Documentos/631/11801606498/6311180160649808092023190848.pdf</v>
      </c>
      <c r="G5009" s="5" t="str">
        <f>HYPERLINK("https://dpmzos25m8ivg.cloudfront.net/Documentos/631/11801606498/6311180160649808092023190914.pdf","https://dpmzos25m8ivg.cloudfront.net/Documentos/631/11801606498/6311180160649808092023190914.pdf")</f>
        <v>https://dpmzos25m8ivg.cloudfront.net/Documentos/631/11801606498/6311180160649808092023190914.pdf</v>
      </c>
      <c r="H5009" s="5" t="s">
        <v>13582</v>
      </c>
    </row>
    <row r="5010" spans="1:8" x14ac:dyDescent="0.25">
      <c r="A5010" s="2" t="s">
        <v>5037</v>
      </c>
      <c r="B5010" s="16" t="s">
        <v>2358</v>
      </c>
      <c r="C5010" s="3"/>
      <c r="D5010" s="3"/>
      <c r="E5010" s="5" t="str">
        <f>HYPERLINK("https://dpmzos25m8ivg.cloudfront.net/Documentos/631/11801937680/6311180193768011092023165844.jpeg","https://dpmzos25m8ivg.cloudfront.net/Documentos/631/11801937680/6311180193768011092023165844.jpeg")</f>
        <v>https://dpmzos25m8ivg.cloudfront.net/Documentos/631/11801937680/6311180193768011092023165844.jpeg</v>
      </c>
      <c r="F5010" s="5" t="str">
        <f>HYPERLINK("https://dpmzos25m8ivg.cloudfront.net/Documentos/631/11801937680/6311180193768011092023165853.jpeg","https://dpmzos25m8ivg.cloudfront.net/Documentos/631/11801937680/6311180193768011092023165853.jpeg")</f>
        <v>https://dpmzos25m8ivg.cloudfront.net/Documentos/631/11801937680/6311180193768011092023165853.jpeg</v>
      </c>
      <c r="G5010" s="5" t="str">
        <f>HYPERLINK("https://dpmzos25m8ivg.cloudfront.net/Documentos/631/11801937680/6311180193768011092023165902.jpeg","https://dpmzos25m8ivg.cloudfront.net/Documentos/631/11801937680/6311180193768011092023165902.jpeg")</f>
        <v>https://dpmzos25m8ivg.cloudfront.net/Documentos/631/11801937680/6311180193768011092023165902.jpeg</v>
      </c>
      <c r="H5010" s="5" t="s">
        <v>13583</v>
      </c>
    </row>
    <row r="5011" spans="1:8" x14ac:dyDescent="0.25">
      <c r="A5011" s="2" t="s">
        <v>5038</v>
      </c>
      <c r="B5011" s="3"/>
      <c r="C5011" s="3"/>
      <c r="D5011" s="3"/>
      <c r="E5011" s="5" t="str">
        <f>HYPERLINK("https://dpmzos25m8ivg.cloudfront.net/Documentos/631/11803300647/6311180330064711092023165646.pdf","https://dpmzos25m8ivg.cloudfront.net/Documentos/631/11803300647/6311180330064711092023165646.pdf")</f>
        <v>https://dpmzos25m8ivg.cloudfront.net/Documentos/631/11803300647/6311180330064711092023165646.pdf</v>
      </c>
      <c r="F5011" s="5" t="str">
        <f>HYPERLINK("https://dpmzos25m8ivg.cloudfront.net/Documentos/631/11803300647/6311180330064711092023165657.pdf","https://dpmzos25m8ivg.cloudfront.net/Documentos/631/11803300647/6311180330064711092023165657.pdf")</f>
        <v>https://dpmzos25m8ivg.cloudfront.net/Documentos/631/11803300647/6311180330064711092023165657.pdf</v>
      </c>
      <c r="G5011" s="5" t="str">
        <f>HYPERLINK("https://dpmzos25m8ivg.cloudfront.net/Documentos/631/11803300647/6311180330064711092023165708.pdf","https://dpmzos25m8ivg.cloudfront.net/Documentos/631/11803300647/6311180330064711092023165708.pdf")</f>
        <v>https://dpmzos25m8ivg.cloudfront.net/Documentos/631/11803300647/6311180330064711092023165708.pdf</v>
      </c>
      <c r="H5011" s="5" t="s">
        <v>13584</v>
      </c>
    </row>
    <row r="5012" spans="1:8" x14ac:dyDescent="0.25">
      <c r="A5012" s="2" t="s">
        <v>5039</v>
      </c>
      <c r="B5012" s="3"/>
      <c r="C5012" s="3"/>
      <c r="D5012" s="3"/>
      <c r="E5012" s="5" t="str">
        <f>HYPERLINK("https://dpmzos25m8ivg.cloudfront.net/Documentos/631/11803788739/6311180378873914092023111306.pdf","https://dpmzos25m8ivg.cloudfront.net/Documentos/631/11803788739/6311180378873914092023111306.pdf")</f>
        <v>https://dpmzos25m8ivg.cloudfront.net/Documentos/631/11803788739/6311180378873914092023111306.pdf</v>
      </c>
      <c r="F5012" s="5" t="str">
        <f>HYPERLINK("https://dpmzos25m8ivg.cloudfront.net/Documentos/631/11803788739/6311180378873914092023111313.pdf","https://dpmzos25m8ivg.cloudfront.net/Documentos/631/11803788739/6311180378873914092023111313.pdf")</f>
        <v>https://dpmzos25m8ivg.cloudfront.net/Documentos/631/11803788739/6311180378873914092023111313.pdf</v>
      </c>
      <c r="G5012" s="5" t="str">
        <f>HYPERLINK("https://dpmzos25m8ivg.cloudfront.net/Documentos/631/11803788739/6311180378873914092023111320.pdf","https://dpmzos25m8ivg.cloudfront.net/Documentos/631/11803788739/6311180378873914092023111320.pdf")</f>
        <v>https://dpmzos25m8ivg.cloudfront.net/Documentos/631/11803788739/6311180378873914092023111320.pdf</v>
      </c>
      <c r="H5012" s="5" t="s">
        <v>13585</v>
      </c>
    </row>
    <row r="5013" spans="1:8" x14ac:dyDescent="0.25">
      <c r="A5013" s="2" t="s">
        <v>5040</v>
      </c>
      <c r="B5013" s="3"/>
      <c r="C5013" s="3"/>
      <c r="D5013" s="3"/>
      <c r="E5013" s="5" t="str">
        <f>HYPERLINK("https://dpmzos25m8ivg.cloudfront.net/Documentos/631/11806409690/6311180640969011092023112251.pdf","https://dpmzos25m8ivg.cloudfront.net/Documentos/631/11806409690/6311180640969011092023112251.pdf")</f>
        <v>https://dpmzos25m8ivg.cloudfront.net/Documentos/631/11806409690/6311180640969011092023112251.pdf</v>
      </c>
      <c r="F5013" s="5" t="str">
        <f>HYPERLINK("https://dpmzos25m8ivg.cloudfront.net/Documentos/631/11806409690/6311180640969011092023112259.pdf","https://dpmzos25m8ivg.cloudfront.net/Documentos/631/11806409690/6311180640969011092023112259.pdf")</f>
        <v>https://dpmzos25m8ivg.cloudfront.net/Documentos/631/11806409690/6311180640969011092023112259.pdf</v>
      </c>
      <c r="G5013" s="5" t="str">
        <f>HYPERLINK("https://dpmzos25m8ivg.cloudfront.net/Documentos/631/11806409690/6311180640969011092023112427.pdf","https://dpmzos25m8ivg.cloudfront.net/Documentos/631/11806409690/6311180640969011092023112427.pdf")</f>
        <v>https://dpmzos25m8ivg.cloudfront.net/Documentos/631/11806409690/6311180640969011092023112427.pdf</v>
      </c>
      <c r="H5013" s="5" t="s">
        <v>13586</v>
      </c>
    </row>
    <row r="5014" spans="1:8" x14ac:dyDescent="0.25">
      <c r="A5014" s="2" t="s">
        <v>5041</v>
      </c>
      <c r="B5014" s="3"/>
      <c r="C5014" s="3"/>
      <c r="D5014" s="3"/>
      <c r="E5014" s="5" t="str">
        <f>HYPERLINK("https://dpmzos25m8ivg.cloudfront.net/Documentos/631/11810716667/6311181071666706092023123435.pdf","https://dpmzos25m8ivg.cloudfront.net/Documentos/631/11810716667/6311181071666706092023123435.pdf")</f>
        <v>https://dpmzos25m8ivg.cloudfront.net/Documentos/631/11810716667/6311181071666706092023123435.pdf</v>
      </c>
      <c r="F5014" s="5" t="str">
        <f>HYPERLINK("https://dpmzos25m8ivg.cloudfront.net/Documentos/631/11810716667/6311181071666706092023123523.pdf","https://dpmzos25m8ivg.cloudfront.net/Documentos/631/11810716667/6311181071666706092023123523.pdf")</f>
        <v>https://dpmzos25m8ivg.cloudfront.net/Documentos/631/11810716667/6311181071666706092023123523.pdf</v>
      </c>
      <c r="G5014" s="5" t="str">
        <f>HYPERLINK("https://dpmzos25m8ivg.cloudfront.net/Documentos/631/11810716667/6311181071666706092023123548.pdf","https://dpmzos25m8ivg.cloudfront.net/Documentos/631/11810716667/6311181071666706092023123548.pdf")</f>
        <v>https://dpmzos25m8ivg.cloudfront.net/Documentos/631/11810716667/6311181071666706092023123548.pdf</v>
      </c>
      <c r="H5014" s="5" t="s">
        <v>13587</v>
      </c>
    </row>
    <row r="5015" spans="1:8" x14ac:dyDescent="0.25">
      <c r="A5015" s="2" t="s">
        <v>5042</v>
      </c>
      <c r="B5015" s="3"/>
      <c r="C5015" s="3"/>
      <c r="D5015" s="3"/>
      <c r="E5015" s="5" t="str">
        <f>HYPERLINK("https://dpmzos25m8ivg.cloudfront.net/Documentos/631/11814677488/6311181467748805092023095045.pdf","https://dpmzos25m8ivg.cloudfront.net/Documentos/631/11814677488/6311181467748805092023095045.pdf")</f>
        <v>https://dpmzos25m8ivg.cloudfront.net/Documentos/631/11814677488/6311181467748805092023095045.pdf</v>
      </c>
      <c r="F5015" s="5" t="str">
        <f>HYPERLINK("https://dpmzos25m8ivg.cloudfront.net/Documentos/631/11814677488/6311181467748805092023095132.pdf","https://dpmzos25m8ivg.cloudfront.net/Documentos/631/11814677488/6311181467748805092023095132.pdf")</f>
        <v>https://dpmzos25m8ivg.cloudfront.net/Documentos/631/11814677488/6311181467748805092023095132.pdf</v>
      </c>
      <c r="G5015" s="5" t="str">
        <f>HYPERLINK("https://dpmzos25m8ivg.cloudfront.net/Documentos/631/11814677488/6311181467748805092023095143.pdf","https://dpmzos25m8ivg.cloudfront.net/Documentos/631/11814677488/6311181467748805092023095143.pdf")</f>
        <v>https://dpmzos25m8ivg.cloudfront.net/Documentos/631/11814677488/6311181467748805092023095143.pdf</v>
      </c>
      <c r="H5015" s="5" t="s">
        <v>13588</v>
      </c>
    </row>
    <row r="5016" spans="1:8" x14ac:dyDescent="0.25">
      <c r="A5016" s="2" t="s">
        <v>5043</v>
      </c>
      <c r="B5016" s="3"/>
      <c r="C5016" s="3"/>
      <c r="D5016" s="3"/>
      <c r="E5016" s="5" t="str">
        <f>HYPERLINK("https://dpmzos25m8ivg.cloudfront.net/Documentos/631/11818814633/6311181881463310092023041629.pdf","https://dpmzos25m8ivg.cloudfront.net/Documentos/631/11818814633/6311181881463310092023041629.pdf")</f>
        <v>https://dpmzos25m8ivg.cloudfront.net/Documentos/631/11818814633/6311181881463310092023041629.pdf</v>
      </c>
      <c r="F5016" s="5" t="str">
        <f>HYPERLINK("https://dpmzos25m8ivg.cloudfront.net/Documentos/631/11818814633/6311181881463310092023041640.pdf","https://dpmzos25m8ivg.cloudfront.net/Documentos/631/11818814633/6311181881463310092023041640.pdf")</f>
        <v>https://dpmzos25m8ivg.cloudfront.net/Documentos/631/11818814633/6311181881463310092023041640.pdf</v>
      </c>
      <c r="G5016" s="5" t="str">
        <f>HYPERLINK("https://dpmzos25m8ivg.cloudfront.net/Documentos/631/11818814633/6311181881463310092023041651.pdf","https://dpmzos25m8ivg.cloudfront.net/Documentos/631/11818814633/6311181881463310092023041651.pdf")</f>
        <v>https://dpmzos25m8ivg.cloudfront.net/Documentos/631/11818814633/6311181881463310092023041651.pdf</v>
      </c>
      <c r="H5016" s="5" t="s">
        <v>13589</v>
      </c>
    </row>
    <row r="5017" spans="1:8" x14ac:dyDescent="0.25">
      <c r="A5017" s="2" t="s">
        <v>5044</v>
      </c>
      <c r="B5017" s="3"/>
      <c r="C5017" s="3"/>
      <c r="D5017" s="3"/>
      <c r="E5017" s="5" t="str">
        <f>HYPERLINK("https://dpmzos25m8ivg.cloudfront.net/Documentos/631/11820916448/6311182091644811092023143303.jpg","https://dpmzos25m8ivg.cloudfront.net/Documentos/631/11820916448/6311182091644811092023143303.jpg")</f>
        <v>https://dpmzos25m8ivg.cloudfront.net/Documentos/631/11820916448/6311182091644811092023143303.jpg</v>
      </c>
      <c r="F5017" s="5" t="str">
        <f>HYPERLINK("https://dpmzos25m8ivg.cloudfront.net/Documentos/631/11820916448/6311182091644811092023143645.jpg","https://dpmzos25m8ivg.cloudfront.net/Documentos/631/11820916448/6311182091644811092023143645.jpg")</f>
        <v>https://dpmzos25m8ivg.cloudfront.net/Documentos/631/11820916448/6311182091644811092023143645.jpg</v>
      </c>
      <c r="G5017" s="5" t="str">
        <f>HYPERLINK("https://dpmzos25m8ivg.cloudfront.net/Documentos/631/11820916448/6311182091644811092023143851.jpg","https://dpmzos25m8ivg.cloudfront.net/Documentos/631/11820916448/6311182091644811092023143851.jpg")</f>
        <v>https://dpmzos25m8ivg.cloudfront.net/Documentos/631/11820916448/6311182091644811092023143851.jpg</v>
      </c>
      <c r="H5017" s="5" t="s">
        <v>13590</v>
      </c>
    </row>
    <row r="5018" spans="1:8" x14ac:dyDescent="0.25">
      <c r="A5018" s="2" t="s">
        <v>5045</v>
      </c>
      <c r="B5018" s="3"/>
      <c r="C5018" s="3"/>
      <c r="D5018" s="3"/>
      <c r="E5018" s="5" t="str">
        <f>HYPERLINK("https://dpmzos25m8ivg.cloudfront.net/Documentos/631/11826038744/6311182603874411092023155158.jpeg","https://dpmzos25m8ivg.cloudfront.net/Documentos/631/11826038744/6311182603874411092023155158.jpeg")</f>
        <v>https://dpmzos25m8ivg.cloudfront.net/Documentos/631/11826038744/6311182603874411092023155158.jpeg</v>
      </c>
      <c r="F5018" s="5" t="str">
        <f>HYPERLINK("https://dpmzos25m8ivg.cloudfront.net/Documentos/631/11826038744/6311182603874411092023155318.jpeg","https://dpmzos25m8ivg.cloudfront.net/Documentos/631/11826038744/6311182603874411092023155318.jpeg")</f>
        <v>https://dpmzos25m8ivg.cloudfront.net/Documentos/631/11826038744/6311182603874411092023155318.jpeg</v>
      </c>
      <c r="G5018" s="5" t="str">
        <f>HYPERLINK("https://dpmzos25m8ivg.cloudfront.net/Documentos/631/11826038744/6311182603874411092023155443.jpeg","https://dpmzos25m8ivg.cloudfront.net/Documentos/631/11826038744/6311182603874411092023155443.jpeg")</f>
        <v>https://dpmzos25m8ivg.cloudfront.net/Documentos/631/11826038744/6311182603874411092023155443.jpeg</v>
      </c>
      <c r="H5018" s="5" t="s">
        <v>13591</v>
      </c>
    </row>
    <row r="5019" spans="1:8" x14ac:dyDescent="0.25">
      <c r="A5019" s="2" t="s">
        <v>5046</v>
      </c>
      <c r="B5019" s="3"/>
      <c r="C5019" s="3"/>
      <c r="D5019" s="3"/>
      <c r="E5019" s="5" t="str">
        <f>HYPERLINK("https://dpmzos25m8ivg.cloudfront.net/Documentos/631/11827652462/6311182765246210092023192830.pdf","https://dpmzos25m8ivg.cloudfront.net/Documentos/631/11827652462/6311182765246210092023192830.pdf")</f>
        <v>https://dpmzos25m8ivg.cloudfront.net/Documentos/631/11827652462/6311182765246210092023192830.pdf</v>
      </c>
      <c r="F5019" s="5" t="str">
        <f>HYPERLINK("https://dpmzos25m8ivg.cloudfront.net/Documentos/631/11827652462/6311182765246210092023192908.pdf","https://dpmzos25m8ivg.cloudfront.net/Documentos/631/11827652462/6311182765246210092023192908.pdf")</f>
        <v>https://dpmzos25m8ivg.cloudfront.net/Documentos/631/11827652462/6311182765246210092023192908.pdf</v>
      </c>
      <c r="G5019" s="5" t="str">
        <f>HYPERLINK("https://dpmzos25m8ivg.cloudfront.net/Documentos/631/11827652462/6311182765246210092023192939.pdf","https://dpmzos25m8ivg.cloudfront.net/Documentos/631/11827652462/6311182765246210092023192939.pdf")</f>
        <v>https://dpmzos25m8ivg.cloudfront.net/Documentos/631/11827652462/6311182765246210092023192939.pdf</v>
      </c>
      <c r="H5019" s="5" t="s">
        <v>13592</v>
      </c>
    </row>
    <row r="5020" spans="1:8" x14ac:dyDescent="0.25">
      <c r="A5020" s="2" t="s">
        <v>5047</v>
      </c>
      <c r="B5020" s="3"/>
      <c r="C5020" s="3"/>
      <c r="D5020" s="3"/>
      <c r="E5020" s="5" t="str">
        <f>HYPERLINK("https://dpmzos25m8ivg.cloudfront.net/Documentos/631/11839693410/6311183969341008092023221903.pdf","https://dpmzos25m8ivg.cloudfront.net/Documentos/631/11839693410/6311183969341008092023221903.pdf")</f>
        <v>https://dpmzos25m8ivg.cloudfront.net/Documentos/631/11839693410/6311183969341008092023221903.pdf</v>
      </c>
      <c r="F5020" s="5" t="str">
        <f>HYPERLINK("https://dpmzos25m8ivg.cloudfront.net/Documentos/631/11839693410/6311183969341008092023221847.pdf","https://dpmzos25m8ivg.cloudfront.net/Documentos/631/11839693410/6311183969341008092023221847.pdf")</f>
        <v>https://dpmzos25m8ivg.cloudfront.net/Documentos/631/11839693410/6311183969341008092023221847.pdf</v>
      </c>
      <c r="G5020" s="5" t="str">
        <f>HYPERLINK("https://dpmzos25m8ivg.cloudfront.net/Documentos/631/11839693410/6311183969341008092023221821.pdf","https://dpmzos25m8ivg.cloudfront.net/Documentos/631/11839693410/6311183969341008092023221821.pdf")</f>
        <v>https://dpmzos25m8ivg.cloudfront.net/Documentos/631/11839693410/6311183969341008092023221821.pdf</v>
      </c>
      <c r="H5020" s="5" t="s">
        <v>13593</v>
      </c>
    </row>
    <row r="5021" spans="1:8" x14ac:dyDescent="0.25">
      <c r="A5021" s="2" t="s">
        <v>5048</v>
      </c>
      <c r="B5021" s="19" t="s">
        <v>4857</v>
      </c>
      <c r="C5021" s="3"/>
      <c r="D5021" s="3"/>
      <c r="E5021" s="5" t="str">
        <f>HYPERLINK("https://dpmzos25m8ivg.cloudfront.net/Documentos/631/11847616470/6311184761647012092023232151.pdf","https://dpmzos25m8ivg.cloudfront.net/Documentos/631/11847616470/6311184761647012092023232151.pdf")</f>
        <v>https://dpmzos25m8ivg.cloudfront.net/Documentos/631/11847616470/6311184761647012092023232151.pdf</v>
      </c>
      <c r="F5021" s="5" t="str">
        <f>HYPERLINK("https://dpmzos25m8ivg.cloudfront.net/Documentos/631/11847616470/6311184761647012092023232204.pdf","https://dpmzos25m8ivg.cloudfront.net/Documentos/631/11847616470/6311184761647012092023232204.pdf")</f>
        <v>https://dpmzos25m8ivg.cloudfront.net/Documentos/631/11847616470/6311184761647012092023232204.pdf</v>
      </c>
      <c r="G5021" s="5" t="str">
        <f>HYPERLINK("https://dpmzos25m8ivg.cloudfront.net/Documentos/631/11847616470/6311184761647012092023232218.pdf","https://dpmzos25m8ivg.cloudfront.net/Documentos/631/11847616470/6311184761647012092023232218.pdf")</f>
        <v>https://dpmzos25m8ivg.cloudfront.net/Documentos/631/11847616470/6311184761647012092023232218.pdf</v>
      </c>
      <c r="H5021" s="5" t="s">
        <v>13594</v>
      </c>
    </row>
    <row r="5022" spans="1:8" x14ac:dyDescent="0.25">
      <c r="A5022" s="21" t="s">
        <v>5049</v>
      </c>
      <c r="B5022" s="16" t="s">
        <v>2358</v>
      </c>
      <c r="C5022" s="3"/>
      <c r="D5022" s="3"/>
      <c r="E5022" s="5" t="str">
        <f>HYPERLINK("https://dpmzos25m8ivg.cloudfront.net/Documentos/631/11848986424/6311184898642407092023095100.pdf","https://dpmzos25m8ivg.cloudfront.net/Documentos/631/11848986424/6311184898642407092023095100.pdf")</f>
        <v>https://dpmzos25m8ivg.cloudfront.net/Documentos/631/11848986424/6311184898642407092023095100.pdf</v>
      </c>
      <c r="F5022" s="5" t="str">
        <f>HYPERLINK("https://dpmzos25m8ivg.cloudfront.net/Documentos/631/11848986424/6311184898642407092023095124.pdf","https://dpmzos25m8ivg.cloudfront.net/Documentos/631/11848986424/6311184898642407092023095124.pdf")</f>
        <v>https://dpmzos25m8ivg.cloudfront.net/Documentos/631/11848986424/6311184898642407092023095124.pdf</v>
      </c>
      <c r="G5022" s="5" t="str">
        <f>HYPERLINK("https://dpmzos25m8ivg.cloudfront.net/Documentos/631/11848986424/6311184898642407092023095145.pdf","https://dpmzos25m8ivg.cloudfront.net/Documentos/631/11848986424/6311184898642407092023095145.pdf")</f>
        <v>https://dpmzos25m8ivg.cloudfront.net/Documentos/631/11848986424/6311184898642407092023095145.pdf</v>
      </c>
      <c r="H5022" s="5" t="s">
        <v>13595</v>
      </c>
    </row>
    <row r="5023" spans="1:8" x14ac:dyDescent="0.25">
      <c r="A5023" s="2" t="s">
        <v>5050</v>
      </c>
      <c r="B5023" s="19" t="s">
        <v>4857</v>
      </c>
      <c r="C5023" s="3"/>
      <c r="D5023" s="3"/>
      <c r="E5023" s="5" t="str">
        <f>HYPERLINK("https://dpmzos25m8ivg.cloudfront.net/Documentos/631/11854100742/6311185410074210092023014945.pdf","https://dpmzos25m8ivg.cloudfront.net/Documentos/631/11854100742/6311185410074210092023014945.pdf")</f>
        <v>https://dpmzos25m8ivg.cloudfront.net/Documentos/631/11854100742/6311185410074210092023014945.pdf</v>
      </c>
      <c r="F5023" s="5" t="str">
        <f>HYPERLINK("https://dpmzos25m8ivg.cloudfront.net/Documentos/631/11854100742/6311185410074210092023015002.pdf","https://dpmzos25m8ivg.cloudfront.net/Documentos/631/11854100742/6311185410074210092023015002.pdf")</f>
        <v>https://dpmzos25m8ivg.cloudfront.net/Documentos/631/11854100742/6311185410074210092023015002.pdf</v>
      </c>
      <c r="G5023" s="5" t="str">
        <f>HYPERLINK("https://dpmzos25m8ivg.cloudfront.net/Documentos/631/11854100742/6311185410074210092023015019.pdf","https://dpmzos25m8ivg.cloudfront.net/Documentos/631/11854100742/6311185410074210092023015019.pdf")</f>
        <v>https://dpmzos25m8ivg.cloudfront.net/Documentos/631/11854100742/6311185410074210092023015019.pdf</v>
      </c>
      <c r="H5023" s="5" t="s">
        <v>13596</v>
      </c>
    </row>
    <row r="5024" spans="1:8" x14ac:dyDescent="0.25">
      <c r="A5024" s="2" t="s">
        <v>5051</v>
      </c>
      <c r="B5024" s="3"/>
      <c r="C5024" s="3"/>
      <c r="D5024" s="3"/>
      <c r="E5024" s="5" t="str">
        <f>HYPERLINK("https://dpmzos25m8ivg.cloudfront.net/Documentos/631/11861268688/6311186126868809092023215401.pdf","https://dpmzos25m8ivg.cloudfront.net/Documentos/631/11861268688/6311186126868809092023215401.pdf")</f>
        <v>https://dpmzos25m8ivg.cloudfront.net/Documentos/631/11861268688/6311186126868809092023215401.pdf</v>
      </c>
      <c r="F5024" s="5" t="str">
        <f>HYPERLINK("https://dpmzos25m8ivg.cloudfront.net/Documentos/631/11861268688/6311186126868809092023215414.pdf","https://dpmzos25m8ivg.cloudfront.net/Documentos/631/11861268688/6311186126868809092023215414.pdf")</f>
        <v>https://dpmzos25m8ivg.cloudfront.net/Documentos/631/11861268688/6311186126868809092023215414.pdf</v>
      </c>
      <c r="G5024" s="5" t="str">
        <f>HYPERLINK("https://dpmzos25m8ivg.cloudfront.net/Documentos/631/11861268688/6311186126868809092023215423.pdf","https://dpmzos25m8ivg.cloudfront.net/Documentos/631/11861268688/6311186126868809092023215423.pdf")</f>
        <v>https://dpmzos25m8ivg.cloudfront.net/Documentos/631/11861268688/6311186126868809092023215423.pdf</v>
      </c>
      <c r="H5024" s="5" t="s">
        <v>13597</v>
      </c>
    </row>
    <row r="5025" spans="1:8" x14ac:dyDescent="0.25">
      <c r="A5025" s="2" t="s">
        <v>5052</v>
      </c>
      <c r="B5025" s="3"/>
      <c r="C5025" s="3"/>
      <c r="D5025" s="3"/>
      <c r="E5025" s="5" t="str">
        <f>HYPERLINK("https://dpmzos25m8ivg.cloudfront.net/Documentos/631/11867740613/6311186774061311092023160619.pdf","https://dpmzos25m8ivg.cloudfront.net/Documentos/631/11867740613/6311186774061311092023160619.pdf")</f>
        <v>https://dpmzos25m8ivg.cloudfront.net/Documentos/631/11867740613/6311186774061311092023160619.pdf</v>
      </c>
      <c r="F5025" s="5" t="str">
        <f>HYPERLINK("https://dpmzos25m8ivg.cloudfront.net/Documentos/631/11867740613/6311186774061311092023160631.pdf","https://dpmzos25m8ivg.cloudfront.net/Documentos/631/11867740613/6311186774061311092023160631.pdf")</f>
        <v>https://dpmzos25m8ivg.cloudfront.net/Documentos/631/11867740613/6311186774061311092023160631.pdf</v>
      </c>
      <c r="G5025" s="5" t="str">
        <f>HYPERLINK("https://dpmzos25m8ivg.cloudfront.net/Documentos/631/11867740613/6311186774061311092023160642.pdf","https://dpmzos25m8ivg.cloudfront.net/Documentos/631/11867740613/6311186774061311092023160642.pdf")</f>
        <v>https://dpmzos25m8ivg.cloudfront.net/Documentos/631/11867740613/6311186774061311092023160642.pdf</v>
      </c>
      <c r="H5025" s="5" t="s">
        <v>13598</v>
      </c>
    </row>
    <row r="5026" spans="1:8" x14ac:dyDescent="0.25">
      <c r="A5026" s="21" t="s">
        <v>5053</v>
      </c>
      <c r="B5026" s="3"/>
      <c r="C5026" s="3"/>
      <c r="D5026" s="3"/>
      <c r="E5026" s="5" t="str">
        <f>HYPERLINK("https://dpmzos25m8ivg.cloudfront.net/Documentos/631/11870671724/6311187067172411092023154139.jpg","https://dpmzos25m8ivg.cloudfront.net/Documentos/631/11870671724/6311187067172411092023154139.jpg")</f>
        <v>https://dpmzos25m8ivg.cloudfront.net/Documentos/631/11870671724/6311187067172411092023154139.jpg</v>
      </c>
      <c r="F5026" s="5" t="str">
        <f>HYPERLINK("https://dpmzos25m8ivg.cloudfront.net/Documentos/631/11870671724/6311187067172411092023154152.jpg","https://dpmzos25m8ivg.cloudfront.net/Documentos/631/11870671724/6311187067172411092023154152.jpg")</f>
        <v>https://dpmzos25m8ivg.cloudfront.net/Documentos/631/11870671724/6311187067172411092023154152.jpg</v>
      </c>
      <c r="G5026" s="5" t="str">
        <f>HYPERLINK("https://dpmzos25m8ivg.cloudfront.net/Documentos/631/11870671724/6311187067172411092023154203.jpg","https://dpmzos25m8ivg.cloudfront.net/Documentos/631/11870671724/6311187067172411092023154203.jpg")</f>
        <v>https://dpmzos25m8ivg.cloudfront.net/Documentos/631/11870671724/6311187067172411092023154203.jpg</v>
      </c>
      <c r="H5026" s="5" t="s">
        <v>13599</v>
      </c>
    </row>
    <row r="5027" spans="1:8" x14ac:dyDescent="0.25">
      <c r="A5027" s="2" t="s">
        <v>5054</v>
      </c>
      <c r="B5027" s="3"/>
      <c r="C5027" s="3"/>
      <c r="D5027" s="3"/>
      <c r="E5027" s="5" t="str">
        <f>HYPERLINK("https://dpmzos25m8ivg.cloudfront.net/Documentos/631/11881490408/6311188149040811092023125853.pdf","https://dpmzos25m8ivg.cloudfront.net/Documentos/631/11881490408/6311188149040811092023125853.pdf")</f>
        <v>https://dpmzos25m8ivg.cloudfront.net/Documentos/631/11881490408/6311188149040811092023125853.pdf</v>
      </c>
      <c r="F5027" s="5" t="str">
        <f>HYPERLINK("https://dpmzos25m8ivg.cloudfront.net/Documentos/631/11881490408/6311188149040811092023125911.pdf","https://dpmzos25m8ivg.cloudfront.net/Documentos/631/11881490408/6311188149040811092023125911.pdf")</f>
        <v>https://dpmzos25m8ivg.cloudfront.net/Documentos/631/11881490408/6311188149040811092023125911.pdf</v>
      </c>
      <c r="G5027" s="5" t="str">
        <f>HYPERLINK("https://dpmzos25m8ivg.cloudfront.net/Documentos/631/11881490408/6311188149040811092023125924.pdf","https://dpmzos25m8ivg.cloudfront.net/Documentos/631/11881490408/6311188149040811092023125924.pdf")</f>
        <v>https://dpmzos25m8ivg.cloudfront.net/Documentos/631/11881490408/6311188149040811092023125924.pdf</v>
      </c>
      <c r="H5027" s="5" t="s">
        <v>13600</v>
      </c>
    </row>
    <row r="5028" spans="1:8" x14ac:dyDescent="0.25">
      <c r="A5028" s="2" t="s">
        <v>5055</v>
      </c>
      <c r="B5028" s="3"/>
      <c r="C5028" s="3"/>
      <c r="D5028" s="3"/>
      <c r="E5028" s="5" t="str">
        <f>HYPERLINK("https://dpmzos25m8ivg.cloudfront.net/Documentos/631/11885893779/6311188589377911092023164230.pdf","https://dpmzos25m8ivg.cloudfront.net/Documentos/631/11885893779/6311188589377911092023164230.pdf")</f>
        <v>https://dpmzos25m8ivg.cloudfront.net/Documentos/631/11885893779/6311188589377911092023164230.pdf</v>
      </c>
      <c r="F5028" s="5" t="str">
        <f>HYPERLINK("https://dpmzos25m8ivg.cloudfront.net/Documentos/631/11885893779/6311188589377911092023164255.pdf","https://dpmzos25m8ivg.cloudfront.net/Documentos/631/11885893779/6311188589377911092023164255.pdf")</f>
        <v>https://dpmzos25m8ivg.cloudfront.net/Documentos/631/11885893779/6311188589377911092023164255.pdf</v>
      </c>
      <c r="G5028" s="5" t="str">
        <f>HYPERLINK("https://dpmzos25m8ivg.cloudfront.net/Documentos/631/11885893779/6311188589377911092023164307.pdf","https://dpmzos25m8ivg.cloudfront.net/Documentos/631/11885893779/6311188589377911092023164307.pdf")</f>
        <v>https://dpmzos25m8ivg.cloudfront.net/Documentos/631/11885893779/6311188589377911092023164307.pdf</v>
      </c>
      <c r="H5028" s="5" t="s">
        <v>13601</v>
      </c>
    </row>
    <row r="5029" spans="1:8" x14ac:dyDescent="0.25">
      <c r="A5029" s="2" t="s">
        <v>5056</v>
      </c>
      <c r="B5029" s="3" t="s">
        <v>23</v>
      </c>
      <c r="C5029" s="3"/>
      <c r="D5029" s="3"/>
      <c r="E5029" s="5" t="str">
        <f>HYPERLINK("https://dpmzos25m8ivg.cloudfront.net/Documentos/631/11886011729/6311188601172910092023230007.pdf","https://dpmzos25m8ivg.cloudfront.net/Documentos/631/11886011729/6311188601172910092023230007.pdf")</f>
        <v>https://dpmzos25m8ivg.cloudfront.net/Documentos/631/11886011729/6311188601172910092023230007.pdf</v>
      </c>
      <c r="F5029" s="5" t="str">
        <f>HYPERLINK("https://dpmzos25m8ivg.cloudfront.net/Documentos/631/11886011729/6311188601172910092023230036.pdf","https://dpmzos25m8ivg.cloudfront.net/Documentos/631/11886011729/6311188601172910092023230036.pdf")</f>
        <v>https://dpmzos25m8ivg.cloudfront.net/Documentos/631/11886011729/6311188601172910092023230036.pdf</v>
      </c>
      <c r="G5029" s="5" t="str">
        <f>HYPERLINK("https://dpmzos25m8ivg.cloudfront.net/Documentos/631/11886011729/6311188601172910092023230111.pdf","https://dpmzos25m8ivg.cloudfront.net/Documentos/631/11886011729/6311188601172910092023230111.pdf")</f>
        <v>https://dpmzos25m8ivg.cloudfront.net/Documentos/631/11886011729/6311188601172910092023230111.pdf</v>
      </c>
      <c r="H5029" s="5" t="s">
        <v>13602</v>
      </c>
    </row>
    <row r="5030" spans="1:8" x14ac:dyDescent="0.25">
      <c r="A5030" s="2" t="s">
        <v>5057</v>
      </c>
      <c r="B5030" s="16" t="s">
        <v>2358</v>
      </c>
      <c r="C5030" s="3"/>
      <c r="D5030" s="3"/>
      <c r="E5030" s="5" t="str">
        <f>HYPERLINK("https://dpmzos25m8ivg.cloudfront.net/Documentos/631/11887986774/6311188798677411092023135658.pdf","https://dpmzos25m8ivg.cloudfront.net/Documentos/631/11887986774/6311188798677411092023135658.pdf")</f>
        <v>https://dpmzos25m8ivg.cloudfront.net/Documentos/631/11887986774/6311188798677411092023135658.pdf</v>
      </c>
      <c r="F5030" s="5" t="str">
        <f>HYPERLINK("https://dpmzos25m8ivg.cloudfront.net/Documentos/631/11887986774/6311188798677411092023135817.pdf","https://dpmzos25m8ivg.cloudfront.net/Documentos/631/11887986774/6311188798677411092023135817.pdf")</f>
        <v>https://dpmzos25m8ivg.cloudfront.net/Documentos/631/11887986774/6311188798677411092023135817.pdf</v>
      </c>
      <c r="G5030" s="5" t="str">
        <f>HYPERLINK("https://dpmzos25m8ivg.cloudfront.net/Documentos/631/11887986774/6311188798677411092023135858.pdf","https://dpmzos25m8ivg.cloudfront.net/Documentos/631/11887986774/6311188798677411092023135858.pdf")</f>
        <v>https://dpmzos25m8ivg.cloudfront.net/Documentos/631/11887986774/6311188798677411092023135858.pdf</v>
      </c>
      <c r="H5030" s="5" t="s">
        <v>13603</v>
      </c>
    </row>
    <row r="5031" spans="1:8" x14ac:dyDescent="0.25">
      <c r="A5031" s="2" t="s">
        <v>5058</v>
      </c>
      <c r="B5031" s="16" t="s">
        <v>4883</v>
      </c>
      <c r="C5031" s="3"/>
      <c r="D5031" s="3"/>
      <c r="E5031" s="5" t="str">
        <f>HYPERLINK("https://dpmzos25m8ivg.cloudfront.net/Documentos/631/11891511629/6311189151162908092023154205.jpeg","https://dpmzos25m8ivg.cloudfront.net/Documentos/631/11891511629/6311189151162908092023154205.jpeg")</f>
        <v>https://dpmzos25m8ivg.cloudfront.net/Documentos/631/11891511629/6311189151162908092023154205.jpeg</v>
      </c>
      <c r="F5031" s="5" t="str">
        <f>HYPERLINK("https://dpmzos25m8ivg.cloudfront.net/Documentos/631/11891511629/6311189151162908092023154214.jpeg","https://dpmzos25m8ivg.cloudfront.net/Documentos/631/11891511629/6311189151162908092023154214.jpeg")</f>
        <v>https://dpmzos25m8ivg.cloudfront.net/Documentos/631/11891511629/6311189151162908092023154214.jpeg</v>
      </c>
      <c r="G5031" s="5" t="str">
        <f>HYPERLINK("https://dpmzos25m8ivg.cloudfront.net/Documentos/631/11891511629/6311189151162908092023154222.jpeg","https://dpmzos25m8ivg.cloudfront.net/Documentos/631/11891511629/6311189151162908092023154222.jpeg")</f>
        <v>https://dpmzos25m8ivg.cloudfront.net/Documentos/631/11891511629/6311189151162908092023154222.jpeg</v>
      </c>
      <c r="H5031" s="5" t="s">
        <v>13604</v>
      </c>
    </row>
    <row r="5032" spans="1:8" x14ac:dyDescent="0.25">
      <c r="A5032" s="2" t="s">
        <v>5059</v>
      </c>
      <c r="B5032" s="19" t="s">
        <v>4857</v>
      </c>
      <c r="C5032" s="3"/>
      <c r="D5032" s="3"/>
      <c r="E5032" s="5" t="str">
        <f>HYPERLINK("https://dpmzos25m8ivg.cloudfront.net/Documentos/631/11894775724/6311189477572405092023134035.jpg","https://dpmzos25m8ivg.cloudfront.net/Documentos/631/11894775724/6311189477572405092023134035.jpg")</f>
        <v>https://dpmzos25m8ivg.cloudfront.net/Documentos/631/11894775724/6311189477572405092023134035.jpg</v>
      </c>
      <c r="F5032" s="5" t="str">
        <f>HYPERLINK("https://dpmzos25m8ivg.cloudfront.net/Documentos/631/11894775724/6311189477572405092023134045.jpg","https://dpmzos25m8ivg.cloudfront.net/Documentos/631/11894775724/6311189477572405092023134045.jpg")</f>
        <v>https://dpmzos25m8ivg.cloudfront.net/Documentos/631/11894775724/6311189477572405092023134045.jpg</v>
      </c>
      <c r="G5032" s="5" t="str">
        <f>HYPERLINK("https://dpmzos25m8ivg.cloudfront.net/Documentos/631/11894775724/6311189477572405092023134057.jpg","https://dpmzos25m8ivg.cloudfront.net/Documentos/631/11894775724/6311189477572405092023134057.jpg")</f>
        <v>https://dpmzos25m8ivg.cloudfront.net/Documentos/631/11894775724/6311189477572405092023134057.jpg</v>
      </c>
      <c r="H5032" s="5" t="s">
        <v>13605</v>
      </c>
    </row>
    <row r="5033" spans="1:8" x14ac:dyDescent="0.25">
      <c r="A5033" s="2" t="s">
        <v>5060</v>
      </c>
      <c r="B5033" s="3"/>
      <c r="C5033" s="3"/>
      <c r="D5033" s="3"/>
      <c r="E5033" s="5" t="str">
        <f>HYPERLINK("https://dpmzos25m8ivg.cloudfront.net/Documentos/631/11897167474/6311189716747408092023140040.jpeg","https://dpmzos25m8ivg.cloudfront.net/Documentos/631/11897167474/6311189716747408092023140040.jpeg")</f>
        <v>https://dpmzos25m8ivg.cloudfront.net/Documentos/631/11897167474/6311189716747408092023140040.jpeg</v>
      </c>
      <c r="F5033" s="5" t="str">
        <f>HYPERLINK("https://dpmzos25m8ivg.cloudfront.net/Documentos/631/11897167474/6311189716747408092023140055.jpeg","https://dpmzos25m8ivg.cloudfront.net/Documentos/631/11897167474/6311189716747408092023140055.jpeg")</f>
        <v>https://dpmzos25m8ivg.cloudfront.net/Documentos/631/11897167474/6311189716747408092023140055.jpeg</v>
      </c>
      <c r="G5033" s="5" t="str">
        <f>HYPERLINK("https://dpmzos25m8ivg.cloudfront.net/Documentos/631/11897167474/6311189716747408092023140115.jpeg","https://dpmzos25m8ivg.cloudfront.net/Documentos/631/11897167474/6311189716747408092023140115.jpeg")</f>
        <v>https://dpmzos25m8ivg.cloudfront.net/Documentos/631/11897167474/6311189716747408092023140115.jpeg</v>
      </c>
      <c r="H5033" s="5" t="s">
        <v>13606</v>
      </c>
    </row>
    <row r="5034" spans="1:8" x14ac:dyDescent="0.25">
      <c r="A5034" s="2" t="s">
        <v>5061</v>
      </c>
      <c r="B5034" s="3"/>
      <c r="C5034" s="3"/>
      <c r="D5034" s="3"/>
      <c r="E5034" s="5" t="str">
        <f>HYPERLINK("https://dpmzos25m8ivg.cloudfront.net/Documentos/631/11904972470/6311190497247006092023104834.pdf","https://dpmzos25m8ivg.cloudfront.net/Documentos/631/11904972470/6311190497247006092023104834.pdf")</f>
        <v>https://dpmzos25m8ivg.cloudfront.net/Documentos/631/11904972470/6311190497247006092023104834.pdf</v>
      </c>
      <c r="F5034" s="5" t="str">
        <f>HYPERLINK("https://dpmzos25m8ivg.cloudfront.net/Documentos/631/11904972470/AT17736311190497247006092023104858.pdf","https://dpmzos25m8ivg.cloudfront.net/Documentos/631/11904972470/6311190497247006092023104858.pdf")</f>
        <v>https://dpmzos25m8ivg.cloudfront.net/Documentos/631/11904972470/6311190497247006092023104858.pdf</v>
      </c>
      <c r="G5034" s="5" t="str">
        <f>HYPERLINK("https://dpmzos25m8ivg.cloudfront.net/Documentos/631/11904972470/6311190497247006092023104907.pdf","https://dpmzos25m8ivg.cloudfront.net/Documentos/631/11904972470/6311190497247006092023104907.pdf")</f>
        <v>https://dpmzos25m8ivg.cloudfront.net/Documentos/631/11904972470/6311190497247006092023104907.pdf</v>
      </c>
      <c r="H5034" s="5" t="s">
        <v>13607</v>
      </c>
    </row>
    <row r="5035" spans="1:8" x14ac:dyDescent="0.25">
      <c r="A5035" s="2" t="s">
        <v>5062</v>
      </c>
      <c r="B5035" s="3"/>
      <c r="C5035" s="3"/>
      <c r="D5035" s="3"/>
      <c r="E5035" s="5" t="str">
        <f>HYPERLINK("https://dpmzos25m8ivg.cloudfront.net/Documentos/631/11909322709/6311190932270914092023093137.pdf","https://dpmzos25m8ivg.cloudfront.net/Documentos/631/11909322709/6311190932270914092023093137.pdf")</f>
        <v>https://dpmzos25m8ivg.cloudfront.net/Documentos/631/11909322709/6311190932270914092023093137.pdf</v>
      </c>
      <c r="F5035" s="5" t="str">
        <f>HYPERLINK("https://dpmzos25m8ivg.cloudfront.net/Documentos/631/11909322709/6311190932270914092023093145.pdf","https://dpmzos25m8ivg.cloudfront.net/Documentos/631/11909322709/6311190932270914092023093145.pdf")</f>
        <v>https://dpmzos25m8ivg.cloudfront.net/Documentos/631/11909322709/6311190932270914092023093145.pdf</v>
      </c>
      <c r="G5035" s="5" t="str">
        <f>HYPERLINK("https://dpmzos25m8ivg.cloudfront.net/Documentos/631/11909322709/6311190932270914092023093154.pdf","https://dpmzos25m8ivg.cloudfront.net/Documentos/631/11909322709/6311190932270914092023093154.pdf")</f>
        <v>https://dpmzos25m8ivg.cloudfront.net/Documentos/631/11909322709/6311190932270914092023093154.pdf</v>
      </c>
      <c r="H5035" s="5" t="s">
        <v>13608</v>
      </c>
    </row>
    <row r="5036" spans="1:8" x14ac:dyDescent="0.25">
      <c r="A5036" s="2" t="s">
        <v>5063</v>
      </c>
      <c r="B5036" s="16" t="s">
        <v>2358</v>
      </c>
      <c r="C5036" s="3"/>
      <c r="D5036" s="3"/>
      <c r="E5036" s="5" t="str">
        <f>HYPERLINK("https://dpmzos25m8ivg.cloudfront.net/Documentos/631/11911513605/6311191151360511092023162004.jpeg","https://dpmzos25m8ivg.cloudfront.net/Documentos/631/11911513605/6311191151360511092023162004.jpeg")</f>
        <v>https://dpmzos25m8ivg.cloudfront.net/Documentos/631/11911513605/6311191151360511092023162004.jpeg</v>
      </c>
      <c r="F5036" s="5" t="str">
        <f>HYPERLINK("https://dpmzos25m8ivg.cloudfront.net/Documentos/631/11911513605/6311191151360511092023162015.jpeg","https://dpmzos25m8ivg.cloudfront.net/Documentos/631/11911513605/6311191151360511092023162015.jpeg")</f>
        <v>https://dpmzos25m8ivg.cloudfront.net/Documentos/631/11911513605/6311191151360511092023162015.jpeg</v>
      </c>
      <c r="G5036" s="5" t="str">
        <f>HYPERLINK("https://dpmzos25m8ivg.cloudfront.net/Documentos/631/11911513605/6311191151360511092023162030.jpeg","https://dpmzos25m8ivg.cloudfront.net/Documentos/631/11911513605/6311191151360511092023162030.jpeg")</f>
        <v>https://dpmzos25m8ivg.cloudfront.net/Documentos/631/11911513605/6311191151360511092023162030.jpeg</v>
      </c>
      <c r="H5036" s="5" t="s">
        <v>13609</v>
      </c>
    </row>
    <row r="5037" spans="1:8" x14ac:dyDescent="0.25">
      <c r="A5037" s="21" t="s">
        <v>5064</v>
      </c>
      <c r="B5037" s="3"/>
      <c r="C5037" s="3"/>
      <c r="D5037" s="3"/>
      <c r="E5037" s="5" t="str">
        <f>HYPERLINK("https://dpmzos25m8ivg.cloudfront.net/Documentos/631/11914313712/6311191431371205092023133449.pdf","https://dpmzos25m8ivg.cloudfront.net/Documentos/631/11914313712/6311191431371205092023133449.pdf")</f>
        <v>https://dpmzos25m8ivg.cloudfront.net/Documentos/631/11914313712/6311191431371205092023133449.pdf</v>
      </c>
      <c r="F5037" s="5" t="str">
        <f>HYPERLINK("https://dpmzos25m8ivg.cloudfront.net/Documentos/631/11914313712/6311191431371205092023133510.pdf","https://dpmzos25m8ivg.cloudfront.net/Documentos/631/11914313712/6311191431371205092023133510.pdf")</f>
        <v>https://dpmzos25m8ivg.cloudfront.net/Documentos/631/11914313712/6311191431371205092023133510.pdf</v>
      </c>
      <c r="G5037" s="5" t="str">
        <f>HYPERLINK("https://dpmzos25m8ivg.cloudfront.net/Documentos/631/11914313712/6311191431371205092023133530.pdf","https://dpmzos25m8ivg.cloudfront.net/Documentos/631/11914313712/6311191431371205092023133530.pdf")</f>
        <v>https://dpmzos25m8ivg.cloudfront.net/Documentos/631/11914313712/6311191431371205092023133530.pdf</v>
      </c>
      <c r="H5037" s="5" t="s">
        <v>13610</v>
      </c>
    </row>
    <row r="5038" spans="1:8" x14ac:dyDescent="0.25">
      <c r="A5038" s="2" t="s">
        <v>5065</v>
      </c>
      <c r="B5038" s="3" t="s">
        <v>23</v>
      </c>
      <c r="C5038" s="3"/>
      <c r="D5038" s="3"/>
      <c r="E5038" s="5" t="str">
        <f>HYPERLINK("https://dpmzos25m8ivg.cloudfront.net/Documentos/631/11917855486/6311191785548611092023153407.jpeg","https://dpmzos25m8ivg.cloudfront.net/Documentos/631/11917855486/6311191785548611092023153407.jpeg")</f>
        <v>https://dpmzos25m8ivg.cloudfront.net/Documentos/631/11917855486/6311191785548611092023153407.jpeg</v>
      </c>
      <c r="F5038" s="5" t="str">
        <f>HYPERLINK("https://dpmzos25m8ivg.cloudfront.net/Documentos/631/11917855486/6311191785548611092023153253.jpeg","https://dpmzos25m8ivg.cloudfront.net/Documentos/631/11917855486/6311191785548611092023153253.jpeg")</f>
        <v>https://dpmzos25m8ivg.cloudfront.net/Documentos/631/11917855486/6311191785548611092023153253.jpeg</v>
      </c>
      <c r="G5038" s="5" t="str">
        <f>HYPERLINK("https://dpmzos25m8ivg.cloudfront.net/Documentos/631/11917855486/6311191785548611092023153426.jpeg","https://dpmzos25m8ivg.cloudfront.net/Documentos/631/11917855486/6311191785548611092023153426.jpeg")</f>
        <v>https://dpmzos25m8ivg.cloudfront.net/Documentos/631/11917855486/6311191785548611092023153426.jpeg</v>
      </c>
      <c r="H5038" s="5" t="s">
        <v>13611</v>
      </c>
    </row>
    <row r="5039" spans="1:8" x14ac:dyDescent="0.25">
      <c r="A5039" s="2" t="s">
        <v>5066</v>
      </c>
      <c r="B5039" s="3"/>
      <c r="C5039" s="3"/>
      <c r="D5039" s="3"/>
      <c r="E5039" s="5" t="str">
        <f>HYPERLINK("https://dpmzos25m8ivg.cloudfront.net/Documentos/631/11918226482/6311191822648205092023125530.jpeg","https://dpmzos25m8ivg.cloudfront.net/Documentos/631/11918226482/6311191822648205092023125530.jpeg")</f>
        <v>https://dpmzos25m8ivg.cloudfront.net/Documentos/631/11918226482/6311191822648205092023125530.jpeg</v>
      </c>
      <c r="F5039" s="5" t="str">
        <f>HYPERLINK("https://dpmzos25m8ivg.cloudfront.net/Documentos/631/11918226482/6311191822648205092023125545.jpeg","https://dpmzos25m8ivg.cloudfront.net/Documentos/631/11918226482/6311191822648205092023125545.jpeg")</f>
        <v>https://dpmzos25m8ivg.cloudfront.net/Documentos/631/11918226482/6311191822648205092023125545.jpeg</v>
      </c>
      <c r="G5039" s="5" t="str">
        <f>HYPERLINK("https://dpmzos25m8ivg.cloudfront.net/Documentos/631/11918226482/6311191822648205092023125559.jpeg","https://dpmzos25m8ivg.cloudfront.net/Documentos/631/11918226482/6311191822648205092023125559.jpeg")</f>
        <v>https://dpmzos25m8ivg.cloudfront.net/Documentos/631/11918226482/6311191822648205092023125559.jpeg</v>
      </c>
      <c r="H5039" s="5" t="s">
        <v>13612</v>
      </c>
    </row>
    <row r="5040" spans="1:8" x14ac:dyDescent="0.25">
      <c r="A5040" s="2" t="s">
        <v>5067</v>
      </c>
      <c r="B5040" s="3"/>
      <c r="C5040" s="3"/>
      <c r="D5040" s="3"/>
      <c r="E5040" s="5" t="str">
        <f>HYPERLINK("https://dpmzos25m8ivg.cloudfront.net/Documentos/631/11919517901/6311191951790114092023003632.pdf","https://dpmzos25m8ivg.cloudfront.net/Documentos/631/11919517901/6311191951790114092023003632.pdf")</f>
        <v>https://dpmzos25m8ivg.cloudfront.net/Documentos/631/11919517901/6311191951790114092023003632.pdf</v>
      </c>
      <c r="F5040" s="5" t="str">
        <f>HYPERLINK("https://dpmzos25m8ivg.cloudfront.net/Documentos/631/11919517901/6311191951790114092023003732.pdf","https://dpmzos25m8ivg.cloudfront.net/Documentos/631/11919517901/6311191951790114092023003732.pdf")</f>
        <v>https://dpmzos25m8ivg.cloudfront.net/Documentos/631/11919517901/6311191951790114092023003732.pdf</v>
      </c>
      <c r="G5040" s="5" t="str">
        <f>HYPERLINK("https://dpmzos25m8ivg.cloudfront.net/Documentos/631/11919517901/6311191951790114092023003812.pdf","https://dpmzos25m8ivg.cloudfront.net/Documentos/631/11919517901/6311191951790114092023003812.pdf")</f>
        <v>https://dpmzos25m8ivg.cloudfront.net/Documentos/631/11919517901/6311191951790114092023003812.pdf</v>
      </c>
      <c r="H5040" s="5" t="s">
        <v>13613</v>
      </c>
    </row>
    <row r="5041" spans="1:8" x14ac:dyDescent="0.25">
      <c r="A5041" s="21" t="s">
        <v>5068</v>
      </c>
      <c r="B5041" s="16" t="s">
        <v>5069</v>
      </c>
      <c r="C5041" s="3"/>
      <c r="D5041" s="3"/>
      <c r="E5041" s="5" t="str">
        <f>HYPERLINK("https://dpmzos25m8ivg.cloudfront.net/Documentos/631/11921422769/6311192142276905092023220441.jpeg","https://dpmzos25m8ivg.cloudfront.net/Documentos/631/11921422769/6311192142276905092023220441.jpeg")</f>
        <v>https://dpmzos25m8ivg.cloudfront.net/Documentos/631/11921422769/6311192142276905092023220441.jpeg</v>
      </c>
      <c r="F5041" s="5" t="str">
        <f>HYPERLINK("https://dpmzos25m8ivg.cloudfront.net/Documentos/631/11921422769/6311192142276905092023220521.jpeg","https://dpmzos25m8ivg.cloudfront.net/Documentos/631/11921422769/6311192142276905092023220521.jpeg")</f>
        <v>https://dpmzos25m8ivg.cloudfront.net/Documentos/631/11921422769/6311192142276905092023220521.jpeg</v>
      </c>
      <c r="G5041" s="5" t="str">
        <f>HYPERLINK("https://dpmzos25m8ivg.cloudfront.net/Documentos/631/11921422769/6311192142276905092023220536.jpeg","https://dpmzos25m8ivg.cloudfront.net/Documentos/631/11921422769/6311192142276905092023220536.jpeg")</f>
        <v>https://dpmzos25m8ivg.cloudfront.net/Documentos/631/11921422769/6311192142276905092023220536.jpeg</v>
      </c>
      <c r="H5041" s="5" t="s">
        <v>13614</v>
      </c>
    </row>
    <row r="5042" spans="1:8" x14ac:dyDescent="0.25">
      <c r="A5042" s="2" t="s">
        <v>5070</v>
      </c>
      <c r="B5042" s="3"/>
      <c r="C5042" s="3"/>
      <c r="D5042" s="3"/>
      <c r="E5042" s="5" t="str">
        <f>HYPERLINK("https://dpmzos25m8ivg.cloudfront.net/Documentos/631/11921710632/6311192171063211092023130651.pdf","https://dpmzos25m8ivg.cloudfront.net/Documentos/631/11921710632/6311192171063211092023130651.pdf")</f>
        <v>https://dpmzos25m8ivg.cloudfront.net/Documentos/631/11921710632/6311192171063211092023130651.pdf</v>
      </c>
      <c r="F5042" s="5" t="str">
        <f>HYPERLINK("https://dpmzos25m8ivg.cloudfront.net/Documentos/631/11921710632/6311192171063211092023130754.pdf","https://dpmzos25m8ivg.cloudfront.net/Documentos/631/11921710632/6311192171063211092023130754.pdf")</f>
        <v>https://dpmzos25m8ivg.cloudfront.net/Documentos/631/11921710632/6311192171063211092023130754.pdf</v>
      </c>
      <c r="G5042" s="5" t="str">
        <f>HYPERLINK("https://dpmzos25m8ivg.cloudfront.net/Documentos/631/11921710632/6311192171063211092023130836.pdf","https://dpmzos25m8ivg.cloudfront.net/Documentos/631/11921710632/6311192171063211092023130836.pdf")</f>
        <v>https://dpmzos25m8ivg.cloudfront.net/Documentos/631/11921710632/6311192171063211092023130836.pdf</v>
      </c>
      <c r="H5042" s="5" t="s">
        <v>13615</v>
      </c>
    </row>
    <row r="5043" spans="1:8" x14ac:dyDescent="0.25">
      <c r="A5043" s="2" t="s">
        <v>5071</v>
      </c>
      <c r="B5043" s="3"/>
      <c r="C5043" s="3"/>
      <c r="D5043" s="3"/>
      <c r="E5043" s="5" t="str">
        <f>HYPERLINK("https://dpmzos25m8ivg.cloudfront.net/Documentos/631/11922786667/6311192278666711092023165132.jpeg","https://dpmzos25m8ivg.cloudfront.net/Documentos/631/11922786667/6311192278666711092023165132.jpeg")</f>
        <v>https://dpmzos25m8ivg.cloudfront.net/Documentos/631/11922786667/6311192278666711092023165132.jpeg</v>
      </c>
      <c r="F5043" s="5" t="str">
        <f>HYPERLINK("https://dpmzos25m8ivg.cloudfront.net/Documentos/631/11922786667/6311192278666711092023165152.jpeg","https://dpmzos25m8ivg.cloudfront.net/Documentos/631/11922786667/6311192278666711092023165152.jpeg")</f>
        <v>https://dpmzos25m8ivg.cloudfront.net/Documentos/631/11922786667/6311192278666711092023165152.jpeg</v>
      </c>
      <c r="G5043" s="5" t="str">
        <f>HYPERLINK("https://dpmzos25m8ivg.cloudfront.net/Documentos/631/11922786667/6311192278666711092023165213.jpeg","https://dpmzos25m8ivg.cloudfront.net/Documentos/631/11922786667/6311192278666711092023165213.jpeg")</f>
        <v>https://dpmzos25m8ivg.cloudfront.net/Documentos/631/11922786667/6311192278666711092023165213.jpeg</v>
      </c>
      <c r="H5043" s="5" t="s">
        <v>13616</v>
      </c>
    </row>
    <row r="5044" spans="1:8" x14ac:dyDescent="0.25">
      <c r="A5044" s="2" t="s">
        <v>5072</v>
      </c>
      <c r="B5044" s="3"/>
      <c r="C5044" s="3"/>
      <c r="D5044" s="3"/>
      <c r="E5044" s="5" t="str">
        <f>HYPERLINK("https://dpmzos25m8ivg.cloudfront.net/Documentos/631/11923949683/6311192394968311092023144335.pdf","https://dpmzos25m8ivg.cloudfront.net/Documentos/631/11923949683/6311192394968311092023144335.pdf")</f>
        <v>https://dpmzos25m8ivg.cloudfront.net/Documentos/631/11923949683/6311192394968311092023144335.pdf</v>
      </c>
      <c r="F5044" s="5" t="str">
        <f>HYPERLINK("https://dpmzos25m8ivg.cloudfront.net/Documentos/631/11923949683/6311192394968311092023144352.pdf","https://dpmzos25m8ivg.cloudfront.net/Documentos/631/11923949683/6311192394968311092023144352.pdf")</f>
        <v>https://dpmzos25m8ivg.cloudfront.net/Documentos/631/11923949683/6311192394968311092023144352.pdf</v>
      </c>
      <c r="G5044" s="5" t="str">
        <f>HYPERLINK("https://dpmzos25m8ivg.cloudfront.net/Documentos/631/11923949683/6311192394968311092023144406.pdf","https://dpmzos25m8ivg.cloudfront.net/Documentos/631/11923949683/6311192394968311092023144406.pdf")</f>
        <v>https://dpmzos25m8ivg.cloudfront.net/Documentos/631/11923949683/6311192394968311092023144406.pdf</v>
      </c>
      <c r="H5044" s="5" t="s">
        <v>13617</v>
      </c>
    </row>
    <row r="5045" spans="1:8" x14ac:dyDescent="0.25">
      <c r="A5045" s="2" t="s">
        <v>5073</v>
      </c>
      <c r="B5045" s="3"/>
      <c r="C5045" s="3"/>
      <c r="D5045" s="3"/>
      <c r="E5045" s="5" t="str">
        <f>HYPERLINK("https://dpmzos25m8ivg.cloudfront.net/Documentos/631/11924587610/6311192458761005092023093920.jpeg","https://dpmzos25m8ivg.cloudfront.net/Documentos/631/11924587610/6311192458761005092023093920.jpeg")</f>
        <v>https://dpmzos25m8ivg.cloudfront.net/Documentos/631/11924587610/6311192458761005092023093920.jpeg</v>
      </c>
      <c r="F5045" s="5" t="str">
        <f>HYPERLINK("https://dpmzos25m8ivg.cloudfront.net/Documentos/631/11924587610/6311192458761005092023093938.jpeg","https://dpmzos25m8ivg.cloudfront.net/Documentos/631/11924587610/6311192458761005092023093938.jpeg")</f>
        <v>https://dpmzos25m8ivg.cloudfront.net/Documentos/631/11924587610/6311192458761005092023093938.jpeg</v>
      </c>
      <c r="G5045" s="5" t="str">
        <f>HYPERLINK("https://dpmzos25m8ivg.cloudfront.net/Documentos/631/11924587610/6311192458761005092023093955.jpeg","https://dpmzos25m8ivg.cloudfront.net/Documentos/631/11924587610/6311192458761005092023093955.jpeg")</f>
        <v>https://dpmzos25m8ivg.cloudfront.net/Documentos/631/11924587610/6311192458761005092023093955.jpeg</v>
      </c>
      <c r="H5045" s="5" t="s">
        <v>13618</v>
      </c>
    </row>
    <row r="5046" spans="1:8" x14ac:dyDescent="0.25">
      <c r="A5046" s="2" t="s">
        <v>5074</v>
      </c>
      <c r="B5046" s="16" t="s">
        <v>5069</v>
      </c>
      <c r="C5046" s="3"/>
      <c r="D5046" s="3"/>
      <c r="E5046" s="5" t="str">
        <f>HYPERLINK("https://dpmzos25m8ivg.cloudfront.net/Documentos/631/11926771451/6311192677145109092023143607.pdf","https://dpmzos25m8ivg.cloudfront.net/Documentos/631/11926771451/6311192677145109092023143607.pdf")</f>
        <v>https://dpmzos25m8ivg.cloudfront.net/Documentos/631/11926771451/6311192677145109092023143607.pdf</v>
      </c>
      <c r="F5046" s="5" t="str">
        <f>HYPERLINK("https://dpmzos25m8ivg.cloudfront.net/Documentos/631/11926771451/6311192677145109092023143626.pdf","https://dpmzos25m8ivg.cloudfront.net/Documentos/631/11926771451/6311192677145109092023143626.pdf")</f>
        <v>https://dpmzos25m8ivg.cloudfront.net/Documentos/631/11926771451/6311192677145109092023143626.pdf</v>
      </c>
      <c r="G5046" s="5" t="str">
        <f>HYPERLINK("https://dpmzos25m8ivg.cloudfront.net/Documentos/631/11926771451/6311192677145109092023143656.pdf","https://dpmzos25m8ivg.cloudfront.net/Documentos/631/11926771451/6311192677145109092023143656.pdf")</f>
        <v>https://dpmzos25m8ivg.cloudfront.net/Documentos/631/11926771451/6311192677145109092023143656.pdf</v>
      </c>
      <c r="H5046" s="5" t="s">
        <v>13619</v>
      </c>
    </row>
    <row r="5047" spans="1:8" x14ac:dyDescent="0.25">
      <c r="A5047" s="2" t="s">
        <v>5075</v>
      </c>
      <c r="B5047" s="3"/>
      <c r="C5047" s="3"/>
      <c r="D5047" s="3"/>
      <c r="E5047" s="5" t="str">
        <f>HYPERLINK("https://dpmzos25m8ivg.cloudfront.net/Documentos/631/11928584683/6311192858468314092023155820.pdf","https://dpmzos25m8ivg.cloudfront.net/Documentos/631/11928584683/6311192858468314092023155820.pdf")</f>
        <v>https://dpmzos25m8ivg.cloudfront.net/Documentos/631/11928584683/6311192858468314092023155820.pdf</v>
      </c>
      <c r="F5047" s="5" t="str">
        <f>HYPERLINK("https://dpmzos25m8ivg.cloudfront.net/Documentos/631/11928584683/6311192858468314092023162440.pdf","https://dpmzos25m8ivg.cloudfront.net/Documentos/631/11928584683/6311192858468314092023162440.pdf")</f>
        <v>https://dpmzos25m8ivg.cloudfront.net/Documentos/631/11928584683/6311192858468314092023162440.pdf</v>
      </c>
      <c r="G5047" s="5" t="str">
        <f>HYPERLINK("https://dpmzos25m8ivg.cloudfront.net/Documentos/631/11928584683/6311192858468314092023162454.pdf","https://dpmzos25m8ivg.cloudfront.net/Documentos/631/11928584683/6311192858468314092023162454.pdf")</f>
        <v>https://dpmzos25m8ivg.cloudfront.net/Documentos/631/11928584683/6311192858468314092023162454.pdf</v>
      </c>
      <c r="H5047" s="5" t="s">
        <v>13620</v>
      </c>
    </row>
    <row r="5048" spans="1:8" x14ac:dyDescent="0.25">
      <c r="A5048" s="2" t="s">
        <v>5076</v>
      </c>
      <c r="B5048" s="16" t="s">
        <v>5069</v>
      </c>
      <c r="C5048" s="3"/>
      <c r="D5048" s="3"/>
      <c r="E5048" s="5" t="str">
        <f>HYPERLINK("https://dpmzos25m8ivg.cloudfront.net/Documentos/631/11933350431/6311193335043114092023100925.jpeg","https://dpmzos25m8ivg.cloudfront.net/Documentos/631/11933350431/6311193335043114092023100925.jpeg")</f>
        <v>https://dpmzos25m8ivg.cloudfront.net/Documentos/631/11933350431/6311193335043114092023100925.jpeg</v>
      </c>
      <c r="F5048" s="5" t="str">
        <f>HYPERLINK("https://dpmzos25m8ivg.cloudfront.net/Documentos/631/11933350431/6311193335043114092023101001.jpeg","https://dpmzos25m8ivg.cloudfront.net/Documentos/631/11933350431/6311193335043114092023101001.jpeg")</f>
        <v>https://dpmzos25m8ivg.cloudfront.net/Documentos/631/11933350431/6311193335043114092023101001.jpeg</v>
      </c>
      <c r="G5048" s="5" t="str">
        <f>HYPERLINK("https://dpmzos25m8ivg.cloudfront.net/Documentos/631/11933350431/6311193335043114092023101012.jpeg","https://dpmzos25m8ivg.cloudfront.net/Documentos/631/11933350431/6311193335043114092023101012.jpeg")</f>
        <v>https://dpmzos25m8ivg.cloudfront.net/Documentos/631/11933350431/6311193335043114092023101012.jpeg</v>
      </c>
      <c r="H5048" s="5" t="s">
        <v>13621</v>
      </c>
    </row>
    <row r="5049" spans="1:8" x14ac:dyDescent="0.25">
      <c r="A5049" s="2" t="s">
        <v>5077</v>
      </c>
      <c r="B5049" s="3"/>
      <c r="C5049" s="3"/>
      <c r="D5049" s="3"/>
      <c r="E5049" s="5" t="str">
        <f>HYPERLINK("https://dpmzos25m8ivg.cloudfront.net/Documentos/631/11933947756/6311193394775614092023160637.pdf","https://dpmzos25m8ivg.cloudfront.net/Documentos/631/11933947756/6311193394775614092023160637.pdf")</f>
        <v>https://dpmzos25m8ivg.cloudfront.net/Documentos/631/11933947756/6311193394775614092023160637.pdf</v>
      </c>
      <c r="F5049" s="5" t="str">
        <f>HYPERLINK("https://dpmzos25m8ivg.cloudfront.net/Documentos/631/11933947756/6311193394775614092023160647.pdf","https://dpmzos25m8ivg.cloudfront.net/Documentos/631/11933947756/6311193394775614092023160647.pdf")</f>
        <v>https://dpmzos25m8ivg.cloudfront.net/Documentos/631/11933947756/6311193394775614092023160647.pdf</v>
      </c>
      <c r="G5049" s="5" t="str">
        <f>HYPERLINK("https://dpmzos25m8ivg.cloudfront.net/Documentos/631/11933947756/6311193394775614092023160656.pdf","https://dpmzos25m8ivg.cloudfront.net/Documentos/631/11933947756/6311193394775614092023160656.pdf")</f>
        <v>https://dpmzos25m8ivg.cloudfront.net/Documentos/631/11933947756/6311193394775614092023160656.pdf</v>
      </c>
      <c r="H5049" s="5" t="s">
        <v>13622</v>
      </c>
    </row>
    <row r="5050" spans="1:8" x14ac:dyDescent="0.25">
      <c r="A5050" s="2" t="s">
        <v>5078</v>
      </c>
      <c r="B5050" s="3"/>
      <c r="C5050" s="3"/>
      <c r="D5050" s="3"/>
      <c r="E5050" s="5" t="str">
        <f>HYPERLINK("https://dpmzos25m8ivg.cloudfront.net/Documentos/631/11934460745/6311193446074505092023172846.jpg","https://dpmzos25m8ivg.cloudfront.net/Documentos/631/11934460745/6311193446074505092023172846.jpg")</f>
        <v>https://dpmzos25m8ivg.cloudfront.net/Documentos/631/11934460745/6311193446074505092023172846.jpg</v>
      </c>
      <c r="F5050" s="5" t="str">
        <f>HYPERLINK("https://dpmzos25m8ivg.cloudfront.net/Documentos/631/11934460745/6311193446074505092023172906.jpg","https://dpmzos25m8ivg.cloudfront.net/Documentos/631/11934460745/6311193446074505092023172906.jpg")</f>
        <v>https://dpmzos25m8ivg.cloudfront.net/Documentos/631/11934460745/6311193446074505092023172906.jpg</v>
      </c>
      <c r="G5050" s="5" t="str">
        <f>HYPERLINK("https://dpmzos25m8ivg.cloudfront.net/Documentos/631/11934460745/6311193446074505092023173011.jpg","https://dpmzos25m8ivg.cloudfront.net/Documentos/631/11934460745/6311193446074505092023173011.jpg")</f>
        <v>https://dpmzos25m8ivg.cloudfront.net/Documentos/631/11934460745/6311193446074505092023173011.jpg</v>
      </c>
      <c r="H5050" s="5" t="s">
        <v>13623</v>
      </c>
    </row>
    <row r="5051" spans="1:8" x14ac:dyDescent="0.25">
      <c r="A5051" s="2" t="s">
        <v>5079</v>
      </c>
      <c r="B5051" s="3"/>
      <c r="C5051" s="3"/>
      <c r="D5051" s="3"/>
      <c r="E5051" s="5" t="str">
        <f>HYPERLINK("https://dpmzos25m8ivg.cloudfront.net/Documentos/631/11938542614/6311193854261414092023153111.jpg","https://dpmzos25m8ivg.cloudfront.net/Documentos/631/11938542614/6311193854261414092023153111.jpg")</f>
        <v>https://dpmzos25m8ivg.cloudfront.net/Documentos/631/11938542614/6311193854261414092023153111.jpg</v>
      </c>
      <c r="F5051" s="5" t="str">
        <f>HYPERLINK("https://dpmzos25m8ivg.cloudfront.net/Documentos/631/11938542614/6311193854261414092023153131.jpg","https://dpmzos25m8ivg.cloudfront.net/Documentos/631/11938542614/6311193854261414092023153131.jpg")</f>
        <v>https://dpmzos25m8ivg.cloudfront.net/Documentos/631/11938542614/6311193854261414092023153131.jpg</v>
      </c>
      <c r="G5051" s="5" t="str">
        <f>HYPERLINK("https://dpmzos25m8ivg.cloudfront.net/Documentos/631/11938542614/6311193854261414092023153159.jpg","https://dpmzos25m8ivg.cloudfront.net/Documentos/631/11938542614/6311193854261414092023153159.jpg")</f>
        <v>https://dpmzos25m8ivg.cloudfront.net/Documentos/631/11938542614/6311193854261414092023153159.jpg</v>
      </c>
      <c r="H5051" s="5" t="s">
        <v>13624</v>
      </c>
    </row>
    <row r="5052" spans="1:8" x14ac:dyDescent="0.25">
      <c r="A5052" s="2" t="s">
        <v>5080</v>
      </c>
      <c r="B5052" s="3"/>
      <c r="C5052" s="3"/>
      <c r="D5052" s="3"/>
      <c r="E5052" s="5" t="str">
        <f>HYPERLINK("https://dpmzos25m8ivg.cloudfront.net/Documentos/631/11941169651/6311194116965105092023203742.jpeg","https://dpmzos25m8ivg.cloudfront.net/Documentos/631/11941169651/6311194116965105092023203742.jpeg")</f>
        <v>https://dpmzos25m8ivg.cloudfront.net/Documentos/631/11941169651/6311194116965105092023203742.jpeg</v>
      </c>
      <c r="F5052" s="5" t="str">
        <f>HYPERLINK("https://dpmzos25m8ivg.cloudfront.net/Documentos/631/11941169651/6311194116965105092023203732.jpeg","https://dpmzos25m8ivg.cloudfront.net/Documentos/631/11941169651/6311194116965105092023203732.jpeg")</f>
        <v>https://dpmzos25m8ivg.cloudfront.net/Documentos/631/11941169651/6311194116965105092023203732.jpeg</v>
      </c>
      <c r="G5052" s="5" t="str">
        <f>HYPERLINK("https://dpmzos25m8ivg.cloudfront.net/Documentos/631/11941169651/6311194116965105092023203719.jpeg","https://dpmzos25m8ivg.cloudfront.net/Documentos/631/11941169651/6311194116965105092023203719.jpeg")</f>
        <v>https://dpmzos25m8ivg.cloudfront.net/Documentos/631/11941169651/6311194116965105092023203719.jpeg</v>
      </c>
      <c r="H5052" s="5" t="s">
        <v>13625</v>
      </c>
    </row>
    <row r="5053" spans="1:8" x14ac:dyDescent="0.25">
      <c r="A5053" s="2" t="s">
        <v>5081</v>
      </c>
      <c r="B5053" s="16" t="s">
        <v>2358</v>
      </c>
      <c r="C5053" s="3"/>
      <c r="D5053" s="3"/>
      <c r="E5053" s="5" t="str">
        <f>HYPERLINK("https://dpmzos25m8ivg.cloudfront.net/Documentos/631/11942650906/6311194265090611092023132353.pdf","https://dpmzos25m8ivg.cloudfront.net/Documentos/631/11942650906/6311194265090611092023132353.pdf")</f>
        <v>https://dpmzos25m8ivg.cloudfront.net/Documentos/631/11942650906/6311194265090611092023132353.pdf</v>
      </c>
      <c r="F5053" s="5" t="str">
        <f>HYPERLINK("https://dpmzos25m8ivg.cloudfront.net/Documentos/631/11942650906/6311194265090611092023132401.pdf","https://dpmzos25m8ivg.cloudfront.net/Documentos/631/11942650906/6311194265090611092023132401.pdf")</f>
        <v>https://dpmzos25m8ivg.cloudfront.net/Documentos/631/11942650906/6311194265090611092023132401.pdf</v>
      </c>
      <c r="G5053" s="5" t="str">
        <f>HYPERLINK("https://dpmzos25m8ivg.cloudfront.net/Documentos/631/11942650906/6311194265090611092023132408.pdf","https://dpmzos25m8ivg.cloudfront.net/Documentos/631/11942650906/6311194265090611092023132408.pdf")</f>
        <v>https://dpmzos25m8ivg.cloudfront.net/Documentos/631/11942650906/6311194265090611092023132408.pdf</v>
      </c>
      <c r="H5053" s="5" t="s">
        <v>13626</v>
      </c>
    </row>
    <row r="5054" spans="1:8" x14ac:dyDescent="0.25">
      <c r="A5054" s="2" t="s">
        <v>5082</v>
      </c>
      <c r="B5054" s="3"/>
      <c r="C5054" s="3"/>
      <c r="D5054" s="3"/>
      <c r="E5054" s="5" t="str">
        <f>HYPERLINK("https://dpmzos25m8ivg.cloudfront.net/Documentos/631/11944094407/6311194409440706092023212210.pdf","https://dpmzos25m8ivg.cloudfront.net/Documentos/631/11944094407/6311194409440706092023212210.pdf")</f>
        <v>https://dpmzos25m8ivg.cloudfront.net/Documentos/631/11944094407/6311194409440706092023212210.pdf</v>
      </c>
      <c r="F5054" s="5" t="str">
        <f>HYPERLINK("https://dpmzos25m8ivg.cloudfront.net/Documentos/631/11944094407/6311194409440706092023212411.pdf","https://dpmzos25m8ivg.cloudfront.net/Documentos/631/11944094407/6311194409440706092023212411.pdf")</f>
        <v>https://dpmzos25m8ivg.cloudfront.net/Documentos/631/11944094407/6311194409440706092023212411.pdf</v>
      </c>
      <c r="G5054" s="5" t="str">
        <f>HYPERLINK("https://dpmzos25m8ivg.cloudfront.net/Documentos/631/11944094407/6311194409440706092023212609.pdf","https://dpmzos25m8ivg.cloudfront.net/Documentos/631/11944094407/6311194409440706092023212609.pdf")</f>
        <v>https://dpmzos25m8ivg.cloudfront.net/Documentos/631/11944094407/6311194409440706092023212609.pdf</v>
      </c>
      <c r="H5054" s="5" t="s">
        <v>13627</v>
      </c>
    </row>
    <row r="5055" spans="1:8" x14ac:dyDescent="0.25">
      <c r="A5055" s="2" t="s">
        <v>5083</v>
      </c>
      <c r="B5055" s="3"/>
      <c r="C5055" s="3"/>
      <c r="D5055" s="3"/>
      <c r="E5055" s="5" t="str">
        <f>HYPERLINK("https://dpmzos25m8ivg.cloudfront.net/Documentos/631/11947460471/6311194746047105092023172034.pdf","https://dpmzos25m8ivg.cloudfront.net/Documentos/631/11947460471/6311194746047105092023172034.pdf")</f>
        <v>https://dpmzos25m8ivg.cloudfront.net/Documentos/631/11947460471/6311194746047105092023172034.pdf</v>
      </c>
      <c r="F5055" s="5" t="str">
        <f>HYPERLINK("https://dpmzos25m8ivg.cloudfront.net/Documentos/631/11947460471/6311194746047105092023172049.pdf","https://dpmzos25m8ivg.cloudfront.net/Documentos/631/11947460471/6311194746047105092023172049.pdf")</f>
        <v>https://dpmzos25m8ivg.cloudfront.net/Documentos/631/11947460471/6311194746047105092023172049.pdf</v>
      </c>
      <c r="G5055" s="5" t="str">
        <f>HYPERLINK("https://dpmzos25m8ivg.cloudfront.net/Documentos/631/11947460471/6311194746047105092023172107.pdf","https://dpmzos25m8ivg.cloudfront.net/Documentos/631/11947460471/6311194746047105092023172107.pdf")</f>
        <v>https://dpmzos25m8ivg.cloudfront.net/Documentos/631/11947460471/6311194746047105092023172107.pdf</v>
      </c>
      <c r="H5055" s="5" t="s">
        <v>13628</v>
      </c>
    </row>
    <row r="5056" spans="1:8" x14ac:dyDescent="0.25">
      <c r="A5056" s="2" t="s">
        <v>5084</v>
      </c>
      <c r="B5056" s="3"/>
      <c r="C5056" s="3"/>
      <c r="D5056" s="3"/>
      <c r="E5056" s="5" t="str">
        <f>HYPERLINK("https://dpmzos25m8ivg.cloudfront.net/Documentos/631/11952387469/6311195238746910092023094509.pdf","https://dpmzos25m8ivg.cloudfront.net/Documentos/631/11952387469/6311195238746910092023094509.pdf")</f>
        <v>https://dpmzos25m8ivg.cloudfront.net/Documentos/631/11952387469/6311195238746910092023094509.pdf</v>
      </c>
      <c r="F5056" s="5" t="str">
        <f>HYPERLINK("https://dpmzos25m8ivg.cloudfront.net/Documentos/631/11952387469/6311195238746910092023094520.pdf","https://dpmzos25m8ivg.cloudfront.net/Documentos/631/11952387469/6311195238746910092023094520.pdf")</f>
        <v>https://dpmzos25m8ivg.cloudfront.net/Documentos/631/11952387469/6311195238746910092023094520.pdf</v>
      </c>
      <c r="G5056" s="5" t="str">
        <f>HYPERLINK("https://dpmzos25m8ivg.cloudfront.net/Documentos/631/11952387469/6311195238746910092023094529.pdf","https://dpmzos25m8ivg.cloudfront.net/Documentos/631/11952387469/6311195238746910092023094529.pdf")</f>
        <v>https://dpmzos25m8ivg.cloudfront.net/Documentos/631/11952387469/6311195238746910092023094529.pdf</v>
      </c>
      <c r="H5056" s="5" t="s">
        <v>13629</v>
      </c>
    </row>
    <row r="5057" spans="1:8" x14ac:dyDescent="0.25">
      <c r="A5057" s="2" t="s">
        <v>5085</v>
      </c>
      <c r="B5057" s="3"/>
      <c r="C5057" s="3"/>
      <c r="D5057" s="3"/>
      <c r="E5057" s="5" t="str">
        <f>HYPERLINK("https://dpmzos25m8ivg.cloudfront.net/Documentos/631/11958684643/6311195868464311092023145252.pdf","https://dpmzos25m8ivg.cloudfront.net/Documentos/631/11958684643/6311195868464311092023145252.pdf")</f>
        <v>https://dpmzos25m8ivg.cloudfront.net/Documentos/631/11958684643/6311195868464311092023145252.pdf</v>
      </c>
      <c r="F5057" s="5" t="str">
        <f>HYPERLINK("https://dpmzos25m8ivg.cloudfront.net/Documentos/631/11958684643/6311195868464311092023145312.pdf","https://dpmzos25m8ivg.cloudfront.net/Documentos/631/11958684643/6311195868464311092023145312.pdf")</f>
        <v>https://dpmzos25m8ivg.cloudfront.net/Documentos/631/11958684643/6311195868464311092023145312.pdf</v>
      </c>
      <c r="G5057" s="5" t="str">
        <f>HYPERLINK("https://dpmzos25m8ivg.cloudfront.net/Documentos/631/11958684643/6311195868464311092023145329.pdf","https://dpmzos25m8ivg.cloudfront.net/Documentos/631/11958684643/6311195868464311092023145329.pdf")</f>
        <v>https://dpmzos25m8ivg.cloudfront.net/Documentos/631/11958684643/6311195868464311092023145329.pdf</v>
      </c>
      <c r="H5057" s="5" t="s">
        <v>13630</v>
      </c>
    </row>
    <row r="5058" spans="1:8" x14ac:dyDescent="0.25">
      <c r="A5058" s="2" t="s">
        <v>5086</v>
      </c>
      <c r="B5058" s="3"/>
      <c r="C5058" s="3"/>
      <c r="D5058" s="3"/>
      <c r="E5058" s="5" t="str">
        <f>HYPERLINK("https://dpmzos25m8ivg.cloudfront.net/Documentos/631/11963091400/6311196309140010092023165147.jpeg","https://dpmzos25m8ivg.cloudfront.net/Documentos/631/11963091400/6311196309140010092023165147.jpeg")</f>
        <v>https://dpmzos25m8ivg.cloudfront.net/Documentos/631/11963091400/6311196309140010092023165147.jpeg</v>
      </c>
      <c r="F5058" s="5" t="str">
        <f>HYPERLINK("https://dpmzos25m8ivg.cloudfront.net/Documentos/631/11963091400/6311196309140010092023165205.jpeg","https://dpmzos25m8ivg.cloudfront.net/Documentos/631/11963091400/6311196309140010092023165205.jpeg")</f>
        <v>https://dpmzos25m8ivg.cloudfront.net/Documentos/631/11963091400/6311196309140010092023165205.jpeg</v>
      </c>
      <c r="G5058" s="5" t="str">
        <f>HYPERLINK("https://dpmzos25m8ivg.cloudfront.net/Documentos/631/11963091400/6311196309140010092023165222.jpeg","https://dpmzos25m8ivg.cloudfront.net/Documentos/631/11963091400/6311196309140010092023165222.jpeg")</f>
        <v>https://dpmzos25m8ivg.cloudfront.net/Documentos/631/11963091400/6311196309140010092023165222.jpeg</v>
      </c>
      <c r="H5058" s="5" t="s">
        <v>13631</v>
      </c>
    </row>
    <row r="5059" spans="1:8" x14ac:dyDescent="0.25">
      <c r="A5059" s="2" t="s">
        <v>5087</v>
      </c>
      <c r="B5059" s="16" t="s">
        <v>2358</v>
      </c>
      <c r="C5059" s="3"/>
      <c r="D5059" s="3"/>
      <c r="E5059" s="5" t="str">
        <f>HYPERLINK("https://dpmzos25m8ivg.cloudfront.net/Documentos/631/11972129651/6311197212965106092023100143.pdf","https://dpmzos25m8ivg.cloudfront.net/Documentos/631/11972129651/6311197212965106092023100143.pdf")</f>
        <v>https://dpmzos25m8ivg.cloudfront.net/Documentos/631/11972129651/6311197212965106092023100143.pdf</v>
      </c>
      <c r="F5059" s="5" t="str">
        <f>HYPERLINK("https://dpmzos25m8ivg.cloudfront.net/Documentos/631/11972129651/6311197212965106092023100152.pdf","https://dpmzos25m8ivg.cloudfront.net/Documentos/631/11972129651/6311197212965106092023100152.pdf")</f>
        <v>https://dpmzos25m8ivg.cloudfront.net/Documentos/631/11972129651/6311197212965106092023100152.pdf</v>
      </c>
      <c r="G5059" s="5" t="str">
        <f>HYPERLINK("https://dpmzos25m8ivg.cloudfront.net/Documentos/631/11972129651/6311197212965106092023100203.pdf","https://dpmzos25m8ivg.cloudfront.net/Documentos/631/11972129651/6311197212965106092023100203.pdf")</f>
        <v>https://dpmzos25m8ivg.cloudfront.net/Documentos/631/11972129651/6311197212965106092023100203.pdf</v>
      </c>
      <c r="H5059" s="5" t="s">
        <v>13632</v>
      </c>
    </row>
    <row r="5060" spans="1:8" x14ac:dyDescent="0.25">
      <c r="A5060" s="2" t="s">
        <v>5088</v>
      </c>
      <c r="B5060" s="3"/>
      <c r="C5060" s="3"/>
      <c r="D5060" s="3"/>
      <c r="E5060" s="5" t="str">
        <f>HYPERLINK("https://dpmzos25m8ivg.cloudfront.net/Documentos/631/11981874410/6311198187441005092023175913.pdf","https://dpmzos25m8ivg.cloudfront.net/Documentos/631/11981874410/6311198187441005092023175913.pdf")</f>
        <v>https://dpmzos25m8ivg.cloudfront.net/Documentos/631/11981874410/6311198187441005092023175913.pdf</v>
      </c>
      <c r="F5060" s="5" t="str">
        <f>HYPERLINK("https://dpmzos25m8ivg.cloudfront.net/Documentos/631/11981874410/6311198187441005092023180110.pdf","https://dpmzos25m8ivg.cloudfront.net/Documentos/631/11981874410/6311198187441005092023180110.pdf")</f>
        <v>https://dpmzos25m8ivg.cloudfront.net/Documentos/631/11981874410/6311198187441005092023180110.pdf</v>
      </c>
      <c r="G5060" s="5" t="str">
        <f>HYPERLINK("https://dpmzos25m8ivg.cloudfront.net/Documentos/631/11981874410/6311198187441005092023180054.pdf","https://dpmzos25m8ivg.cloudfront.net/Documentos/631/11981874410/6311198187441005092023180054.pdf")</f>
        <v>https://dpmzos25m8ivg.cloudfront.net/Documentos/631/11981874410/6311198187441005092023180054.pdf</v>
      </c>
      <c r="H5060" s="5" t="s">
        <v>13633</v>
      </c>
    </row>
    <row r="5061" spans="1:8" x14ac:dyDescent="0.25">
      <c r="A5061" s="2" t="s">
        <v>5089</v>
      </c>
      <c r="B5061" s="3"/>
      <c r="C5061" s="3"/>
      <c r="D5061" s="3"/>
      <c r="E5061" s="5" t="str">
        <f>HYPERLINK("https://dpmzos25m8ivg.cloudfront.net/Documentos/631/11986287661/6311198628766113092023183001.pdf","https://dpmzos25m8ivg.cloudfront.net/Documentos/631/11986287661/6311198628766113092023183001.pdf")</f>
        <v>https://dpmzos25m8ivg.cloudfront.net/Documentos/631/11986287661/6311198628766113092023183001.pdf</v>
      </c>
      <c r="F5061" s="5" t="str">
        <f>HYPERLINK("https://dpmzos25m8ivg.cloudfront.net/Documentos/631/11986287661/6311198628766113092023183020.pdf","https://dpmzos25m8ivg.cloudfront.net/Documentos/631/11986287661/6311198628766113092023183020.pdf")</f>
        <v>https://dpmzos25m8ivg.cloudfront.net/Documentos/631/11986287661/6311198628766113092023183020.pdf</v>
      </c>
      <c r="G5061" s="5" t="str">
        <f>HYPERLINK("https://dpmzos25m8ivg.cloudfront.net/Documentos/631/11986287661/6311198628766113092023183034.pdf","https://dpmzos25m8ivg.cloudfront.net/Documentos/631/11986287661/6311198628766113092023183034.pdf")</f>
        <v>https://dpmzos25m8ivg.cloudfront.net/Documentos/631/11986287661/6311198628766113092023183034.pdf</v>
      </c>
      <c r="H5061" s="5" t="s">
        <v>13634</v>
      </c>
    </row>
    <row r="5062" spans="1:8" x14ac:dyDescent="0.25">
      <c r="A5062" s="2" t="s">
        <v>5090</v>
      </c>
      <c r="B5062" s="3"/>
      <c r="C5062" s="3"/>
      <c r="D5062" s="3"/>
      <c r="E5062" s="5" t="str">
        <f>HYPERLINK("https://dpmzos25m8ivg.cloudfront.net/Documentos/631/11989427626/6311198942762607092023164904.pdf","https://dpmzos25m8ivg.cloudfront.net/Documentos/631/11989427626/6311198942762607092023164904.pdf")</f>
        <v>https://dpmzos25m8ivg.cloudfront.net/Documentos/631/11989427626/6311198942762607092023164904.pdf</v>
      </c>
      <c r="F5062" s="5" t="str">
        <f>HYPERLINK("https://dpmzos25m8ivg.cloudfront.net/Documentos/631/11989427626/6311198942762607092023164913.pdf","https://dpmzos25m8ivg.cloudfront.net/Documentos/631/11989427626/6311198942762607092023164913.pdf")</f>
        <v>https://dpmzos25m8ivg.cloudfront.net/Documentos/631/11989427626/6311198942762607092023164913.pdf</v>
      </c>
      <c r="G5062" s="5" t="str">
        <f>HYPERLINK("https://dpmzos25m8ivg.cloudfront.net/Documentos/631/11989427626/6311198942762607092023164923.pdf","https://dpmzos25m8ivg.cloudfront.net/Documentos/631/11989427626/6311198942762607092023164923.pdf")</f>
        <v>https://dpmzos25m8ivg.cloudfront.net/Documentos/631/11989427626/6311198942762607092023164923.pdf</v>
      </c>
      <c r="H5062" s="5" t="s">
        <v>13635</v>
      </c>
    </row>
    <row r="5063" spans="1:8" x14ac:dyDescent="0.25">
      <c r="A5063" s="21" t="s">
        <v>5091</v>
      </c>
      <c r="B5063" s="3"/>
      <c r="C5063" s="3"/>
      <c r="D5063" s="3"/>
      <c r="E5063" s="5" t="str">
        <f>HYPERLINK("https://dpmzos25m8ivg.cloudfront.net/Documentos/631/11990132693/6311199013269310092023163347.pdf","https://dpmzos25m8ivg.cloudfront.net/Documentos/631/11990132693/6311199013269310092023163347.pdf")</f>
        <v>https://dpmzos25m8ivg.cloudfront.net/Documentos/631/11990132693/6311199013269310092023163347.pdf</v>
      </c>
      <c r="F5063" s="5" t="str">
        <f>HYPERLINK("https://dpmzos25m8ivg.cloudfront.net/Documentos/631/11990132693/6311199013269310092023163840.pdf","https://dpmzos25m8ivg.cloudfront.net/Documentos/631/11990132693/6311199013269310092023163840.pdf")</f>
        <v>https://dpmzos25m8ivg.cloudfront.net/Documentos/631/11990132693/6311199013269310092023163840.pdf</v>
      </c>
      <c r="G5063" s="5" t="str">
        <f>HYPERLINK("https://dpmzos25m8ivg.cloudfront.net/Documentos/631/11990132693/6311199013269310092023164559.pdf","https://dpmzos25m8ivg.cloudfront.net/Documentos/631/11990132693/6311199013269310092023164559.pdf")</f>
        <v>https://dpmzos25m8ivg.cloudfront.net/Documentos/631/11990132693/6311199013269310092023164559.pdf</v>
      </c>
      <c r="H5063" s="5" t="s">
        <v>13636</v>
      </c>
    </row>
    <row r="5064" spans="1:8" x14ac:dyDescent="0.25">
      <c r="A5064" s="21" t="s">
        <v>5092</v>
      </c>
      <c r="B5064" s="3"/>
      <c r="C5064" s="3"/>
      <c r="D5064" s="3"/>
      <c r="E5064" s="5" t="str">
        <f>HYPERLINK("https://dpmzos25m8ivg.cloudfront.net/Documentos/631/11992003440/6311199200344010092023180348.pdf","https://dpmzos25m8ivg.cloudfront.net/Documentos/631/11992003440/6311199200344010092023180348.pdf")</f>
        <v>https://dpmzos25m8ivg.cloudfront.net/Documentos/631/11992003440/6311199200344010092023180348.pdf</v>
      </c>
      <c r="F5064" s="5" t="str">
        <f>HYPERLINK("https://dpmzos25m8ivg.cloudfront.net/Documentos/631/11992003440/6311199200344010092023180354.pdf","https://dpmzos25m8ivg.cloudfront.net/Documentos/631/11992003440/6311199200344010092023180354.pdf")</f>
        <v>https://dpmzos25m8ivg.cloudfront.net/Documentos/631/11992003440/6311199200344010092023180354.pdf</v>
      </c>
      <c r="G5064" s="5" t="str">
        <f>HYPERLINK("https://dpmzos25m8ivg.cloudfront.net/Documentos/631/11992003440/6311199200344010092023180400.pdf","https://dpmzos25m8ivg.cloudfront.net/Documentos/631/11992003440/6311199200344010092023180400.pdf")</f>
        <v>https://dpmzos25m8ivg.cloudfront.net/Documentos/631/11992003440/6311199200344010092023180400.pdf</v>
      </c>
      <c r="H5064" s="5" t="s">
        <v>13637</v>
      </c>
    </row>
    <row r="5065" spans="1:8" x14ac:dyDescent="0.25">
      <c r="A5065" s="2" t="s">
        <v>5093</v>
      </c>
      <c r="B5065" s="3"/>
      <c r="C5065" s="3"/>
      <c r="D5065" s="3"/>
      <c r="E5065" s="5" t="str">
        <f>HYPERLINK("https://dpmzos25m8ivg.cloudfront.net/Documentos/631/11993765409/6311199376540911092023154943.pdf","https://dpmzos25m8ivg.cloudfront.net/Documentos/631/11993765409/6311199376540911092023154943.pdf")</f>
        <v>https://dpmzos25m8ivg.cloudfront.net/Documentos/631/11993765409/6311199376540911092023154943.pdf</v>
      </c>
      <c r="F5065" s="5" t="str">
        <f>HYPERLINK("https://dpmzos25m8ivg.cloudfront.net/Documentos/631/11993765409/6311199376540911092023155005.pdf","https://dpmzos25m8ivg.cloudfront.net/Documentos/631/11993765409/6311199376540911092023155005.pdf")</f>
        <v>https://dpmzos25m8ivg.cloudfront.net/Documentos/631/11993765409/6311199376540911092023155005.pdf</v>
      </c>
      <c r="G5065" s="5" t="str">
        <f>HYPERLINK("https://dpmzos25m8ivg.cloudfront.net/Documentos/631/11993765409/6311199376540911092023155021.pdf","https://dpmzos25m8ivg.cloudfront.net/Documentos/631/11993765409/6311199376540911092023155021.pdf")</f>
        <v>https://dpmzos25m8ivg.cloudfront.net/Documentos/631/11993765409/6311199376540911092023155021.pdf</v>
      </c>
      <c r="H5065" s="5" t="s">
        <v>13638</v>
      </c>
    </row>
    <row r="5066" spans="1:8" x14ac:dyDescent="0.25">
      <c r="A5066" s="2" t="s">
        <v>5094</v>
      </c>
      <c r="B5066" s="3"/>
      <c r="C5066" s="3"/>
      <c r="D5066" s="3"/>
      <c r="E5066" s="5" t="str">
        <f>HYPERLINK("https://dpmzos25m8ivg.cloudfront.net/Documentos/631/11996784730/6311199678473011092023100212.pdf","https://dpmzos25m8ivg.cloudfront.net/Documentos/631/11996784730/6311199678473011092023100212.pdf")</f>
        <v>https://dpmzos25m8ivg.cloudfront.net/Documentos/631/11996784730/6311199678473011092023100212.pdf</v>
      </c>
      <c r="F5066" s="5" t="str">
        <f>HYPERLINK("https://dpmzos25m8ivg.cloudfront.net/Documentos/631/11996784730/6311199678473011092023100232.pdf","https://dpmzos25m8ivg.cloudfront.net/Documentos/631/11996784730/6311199678473011092023100232.pdf")</f>
        <v>https://dpmzos25m8ivg.cloudfront.net/Documentos/631/11996784730/6311199678473011092023100232.pdf</v>
      </c>
      <c r="G5066" s="5" t="str">
        <f>HYPERLINK("https://dpmzos25m8ivg.cloudfront.net/Documentos/631/11996784730/6311199678473011092023100239.pdf","https://dpmzos25m8ivg.cloudfront.net/Documentos/631/11996784730/6311199678473011092023100239.pdf")</f>
        <v>https://dpmzos25m8ivg.cloudfront.net/Documentos/631/11996784730/6311199678473011092023100239.pdf</v>
      </c>
      <c r="H5066" s="5" t="s">
        <v>13639</v>
      </c>
    </row>
    <row r="5067" spans="1:8" x14ac:dyDescent="0.25">
      <c r="A5067" s="2" t="s">
        <v>5095</v>
      </c>
      <c r="B5067" s="3"/>
      <c r="C5067" s="3"/>
      <c r="D5067" s="3"/>
      <c r="E5067" s="5" t="str">
        <f>HYPERLINK("https://dpmzos25m8ivg.cloudfront.net/Documentos/631/12002696403/6311200269640311092023093915.pdf","https://dpmzos25m8ivg.cloudfront.net/Documentos/631/12002696403/6311200269640311092023093915.pdf")</f>
        <v>https://dpmzos25m8ivg.cloudfront.net/Documentos/631/12002696403/6311200269640311092023093915.pdf</v>
      </c>
      <c r="F5067" s="5" t="str">
        <f>HYPERLINK("https://dpmzos25m8ivg.cloudfront.net/Documentos/631/12002696403/6311200269640311092023093947.pdf","https://dpmzos25m8ivg.cloudfront.net/Documentos/631/12002696403/6311200269640311092023093947.pdf")</f>
        <v>https://dpmzos25m8ivg.cloudfront.net/Documentos/631/12002696403/6311200269640311092023093947.pdf</v>
      </c>
      <c r="G5067" s="5" t="str">
        <f>HYPERLINK("https://dpmzos25m8ivg.cloudfront.net/Documentos/631/12002696403/6311200269640311092023093956.pdf","https://dpmzos25m8ivg.cloudfront.net/Documentos/631/12002696403/6311200269640311092023093956.pdf")</f>
        <v>https://dpmzos25m8ivg.cloudfront.net/Documentos/631/12002696403/6311200269640311092023093956.pdf</v>
      </c>
      <c r="H5067" s="5" t="s">
        <v>13640</v>
      </c>
    </row>
    <row r="5068" spans="1:8" x14ac:dyDescent="0.25">
      <c r="A5068" s="2" t="s">
        <v>5096</v>
      </c>
      <c r="B5068" s="3"/>
      <c r="C5068" s="3"/>
      <c r="D5068" s="3"/>
      <c r="E5068" s="5" t="str">
        <f>HYPERLINK("https://dpmzos25m8ivg.cloudfront.net/Documentos/631/12004184418/6311200418441805092023144822.pdf","https://dpmzos25m8ivg.cloudfront.net/Documentos/631/12004184418/6311200418441805092023144822.pdf")</f>
        <v>https://dpmzos25m8ivg.cloudfront.net/Documentos/631/12004184418/6311200418441805092023144822.pdf</v>
      </c>
      <c r="F5068" s="5" t="str">
        <f>HYPERLINK("https://dpmzos25m8ivg.cloudfront.net/Documentos/631/12004184418/6311200418441805092023144832.pdf","https://dpmzos25m8ivg.cloudfront.net/Documentos/631/12004184418/6311200418441805092023144832.pdf")</f>
        <v>https://dpmzos25m8ivg.cloudfront.net/Documentos/631/12004184418/6311200418441805092023144832.pdf</v>
      </c>
      <c r="G5068" s="5" t="str">
        <f>HYPERLINK("https://dpmzos25m8ivg.cloudfront.net/Documentos/631/12004184418/6311200418441805092023144842.pdf","https://dpmzos25m8ivg.cloudfront.net/Documentos/631/12004184418/6311200418441805092023144842.pdf")</f>
        <v>https://dpmzos25m8ivg.cloudfront.net/Documentos/631/12004184418/6311200418441805092023144842.pdf</v>
      </c>
      <c r="H5068" s="5" t="s">
        <v>13641</v>
      </c>
    </row>
    <row r="5069" spans="1:8" x14ac:dyDescent="0.25">
      <c r="A5069" s="2" t="s">
        <v>5097</v>
      </c>
      <c r="B5069" s="3"/>
      <c r="C5069" s="3"/>
      <c r="D5069" s="3"/>
      <c r="E5069" s="5" t="str">
        <f>HYPERLINK("https://dpmzos25m8ivg.cloudfront.net/Documentos/631/12007962411/6311200796241111092023113012.jpeg","https://dpmzos25m8ivg.cloudfront.net/Documentos/631/12007962411/6311200796241111092023113012.jpeg")</f>
        <v>https://dpmzos25m8ivg.cloudfront.net/Documentos/631/12007962411/6311200796241111092023113012.jpeg</v>
      </c>
      <c r="F5069" s="5" t="str">
        <f>HYPERLINK("https://dpmzos25m8ivg.cloudfront.net/Documentos/631/12007962411/6311200796241111092023113020.jpeg","https://dpmzos25m8ivg.cloudfront.net/Documentos/631/12007962411/6311200796241111092023113020.jpeg")</f>
        <v>https://dpmzos25m8ivg.cloudfront.net/Documentos/631/12007962411/6311200796241111092023113020.jpeg</v>
      </c>
      <c r="G5069" s="5" t="str">
        <f>HYPERLINK("https://dpmzos25m8ivg.cloudfront.net/Documentos/631/12007962411/6311200796241111092023113032.jpeg","https://dpmzos25m8ivg.cloudfront.net/Documentos/631/12007962411/6311200796241111092023113032.jpeg")</f>
        <v>https://dpmzos25m8ivg.cloudfront.net/Documentos/631/12007962411/6311200796241111092023113032.jpeg</v>
      </c>
      <c r="H5069" s="5" t="s">
        <v>13642</v>
      </c>
    </row>
    <row r="5070" spans="1:8" x14ac:dyDescent="0.25">
      <c r="A5070" s="2" t="s">
        <v>5098</v>
      </c>
      <c r="B5070" s="3"/>
      <c r="C5070" s="3"/>
      <c r="D5070" s="3"/>
      <c r="E5070" s="5" t="str">
        <f>HYPERLINK("https://dpmzos25m8ivg.cloudfront.net/Documentos/631/12011120446/6311201112044611092023124401.pdf","https://dpmzos25m8ivg.cloudfront.net/Documentos/631/12011120446/6311201112044611092023124401.pdf")</f>
        <v>https://dpmzos25m8ivg.cloudfront.net/Documentos/631/12011120446/6311201112044611092023124401.pdf</v>
      </c>
      <c r="F5070" s="5" t="str">
        <f>HYPERLINK("https://dpmzos25m8ivg.cloudfront.net/Documentos/631/12011120446/6311201112044611092023124423.pdf","https://dpmzos25m8ivg.cloudfront.net/Documentos/631/12011120446/6311201112044611092023124423.pdf")</f>
        <v>https://dpmzos25m8ivg.cloudfront.net/Documentos/631/12011120446/6311201112044611092023124423.pdf</v>
      </c>
      <c r="G5070" s="5" t="str">
        <f>HYPERLINK("https://dpmzos25m8ivg.cloudfront.net/Documentos/631/12011120446/6311201112044611092023124444.pdf","https://dpmzos25m8ivg.cloudfront.net/Documentos/631/12011120446/6311201112044611092023124444.pdf")</f>
        <v>https://dpmzos25m8ivg.cloudfront.net/Documentos/631/12011120446/6311201112044611092023124444.pdf</v>
      </c>
      <c r="H5070" s="5" t="s">
        <v>13643</v>
      </c>
    </row>
    <row r="5071" spans="1:8" x14ac:dyDescent="0.25">
      <c r="A5071" s="2" t="s">
        <v>5099</v>
      </c>
      <c r="B5071" s="3"/>
      <c r="C5071" s="3"/>
      <c r="D5071" s="3"/>
      <c r="E5071" s="5" t="str">
        <f>HYPERLINK("https://dpmzos25m8ivg.cloudfront.net/Documentos/631/12012316476/6311201231647605092023185723.pdf","https://dpmzos25m8ivg.cloudfront.net/Documentos/631/12012316476/6311201231647605092023185723.pdf")</f>
        <v>https://dpmzos25m8ivg.cloudfront.net/Documentos/631/12012316476/6311201231647605092023185723.pdf</v>
      </c>
      <c r="F5071" s="5" t="str">
        <f>HYPERLINK("https://dpmzos25m8ivg.cloudfront.net/Documentos/631/12012316476/6311201231647605092023185731.pdf","https://dpmzos25m8ivg.cloudfront.net/Documentos/631/12012316476/6311201231647605092023185731.pdf")</f>
        <v>https://dpmzos25m8ivg.cloudfront.net/Documentos/631/12012316476/6311201231647605092023185731.pdf</v>
      </c>
      <c r="G5071" s="5" t="str">
        <f>HYPERLINK("https://dpmzos25m8ivg.cloudfront.net/Documentos/631/12012316476/6311201231647605092023185739.pdf","https://dpmzos25m8ivg.cloudfront.net/Documentos/631/12012316476/6311201231647605092023185739.pdf")</f>
        <v>https://dpmzos25m8ivg.cloudfront.net/Documentos/631/12012316476/6311201231647605092023185739.pdf</v>
      </c>
      <c r="H5071" s="5" t="s">
        <v>13644</v>
      </c>
    </row>
    <row r="5072" spans="1:8" x14ac:dyDescent="0.25">
      <c r="A5072" s="2" t="s">
        <v>5100</v>
      </c>
      <c r="B5072" s="3"/>
      <c r="C5072" s="3"/>
      <c r="D5072" s="3"/>
      <c r="E5072" s="5" t="str">
        <f>HYPERLINK("https://dpmzos25m8ivg.cloudfront.net/Documentos/631/12036673619/6311203667361907092023152758.pdf","https://dpmzos25m8ivg.cloudfront.net/Documentos/631/12036673619/6311203667361907092023152758.pdf")</f>
        <v>https://dpmzos25m8ivg.cloudfront.net/Documentos/631/12036673619/6311203667361907092023152758.pdf</v>
      </c>
      <c r="F5072" s="5" t="str">
        <f>HYPERLINK("https://dpmzos25m8ivg.cloudfront.net/Documentos/631/12036673619/6311203667361907092023152824.pdf","https://dpmzos25m8ivg.cloudfront.net/Documentos/631/12036673619/6311203667361907092023152824.pdf")</f>
        <v>https://dpmzos25m8ivg.cloudfront.net/Documentos/631/12036673619/6311203667361907092023152824.pdf</v>
      </c>
      <c r="G5072" s="5" t="str">
        <f>HYPERLINK("https://dpmzos25m8ivg.cloudfront.net/Documentos/631/12036673619/6311203667361907092023152845.pdf","https://dpmzos25m8ivg.cloudfront.net/Documentos/631/12036673619/6311203667361907092023152845.pdf")</f>
        <v>https://dpmzos25m8ivg.cloudfront.net/Documentos/631/12036673619/6311203667361907092023152845.pdf</v>
      </c>
      <c r="H5072" s="5" t="s">
        <v>13645</v>
      </c>
    </row>
    <row r="5073" spans="1:8" x14ac:dyDescent="0.25">
      <c r="A5073" s="2" t="s">
        <v>5101</v>
      </c>
      <c r="B5073" s="3"/>
      <c r="C5073" s="3"/>
      <c r="D5073" s="3"/>
      <c r="E5073" s="5" t="str">
        <f>HYPERLINK("https://dpmzos25m8ivg.cloudfront.net/Documentos/631/12046172604/6311204617260411092023163559.pdf","https://dpmzos25m8ivg.cloudfront.net/Documentos/631/12046172604/6311204617260411092023163559.pdf")</f>
        <v>https://dpmzos25m8ivg.cloudfront.net/Documentos/631/12046172604/6311204617260411092023163559.pdf</v>
      </c>
      <c r="F5073" s="5" t="str">
        <f>HYPERLINK("https://dpmzos25m8ivg.cloudfront.net/Documentos/631/12046172604/6311204617260411092023163612.pdf","https://dpmzos25m8ivg.cloudfront.net/Documentos/631/12046172604/6311204617260411092023163612.pdf")</f>
        <v>https://dpmzos25m8ivg.cloudfront.net/Documentos/631/12046172604/6311204617260411092023163612.pdf</v>
      </c>
      <c r="G5073" s="5" t="str">
        <f>HYPERLINK("https://dpmzos25m8ivg.cloudfront.net/Documentos/631/12046172604/6311204617260411092023163623.pdf","https://dpmzos25m8ivg.cloudfront.net/Documentos/631/12046172604/6311204617260411092023163623.pdf")</f>
        <v>https://dpmzos25m8ivg.cloudfront.net/Documentos/631/12046172604/6311204617260411092023163623.pdf</v>
      </c>
      <c r="H5073" s="5" t="s">
        <v>13646</v>
      </c>
    </row>
    <row r="5074" spans="1:8" x14ac:dyDescent="0.25">
      <c r="A5074" s="2" t="s">
        <v>5102</v>
      </c>
      <c r="B5074" s="3"/>
      <c r="C5074" s="3"/>
      <c r="D5074" s="3"/>
      <c r="E5074" s="5" t="str">
        <f>HYPERLINK("https://dpmzos25m8ivg.cloudfront.net/Documentos/631/12046919670/6311204691967011092023155738.pdf","https://dpmzos25m8ivg.cloudfront.net/Documentos/631/12046919670/6311204691967011092023155738.pdf")</f>
        <v>https://dpmzos25m8ivg.cloudfront.net/Documentos/631/12046919670/6311204691967011092023155738.pdf</v>
      </c>
      <c r="F5074" s="5" t="str">
        <f>HYPERLINK("https://dpmzos25m8ivg.cloudfront.net/Documentos/631/12046919670/6311204691967011092023155748.pdf","https://dpmzos25m8ivg.cloudfront.net/Documentos/631/12046919670/6311204691967011092023155748.pdf")</f>
        <v>https://dpmzos25m8ivg.cloudfront.net/Documentos/631/12046919670/6311204691967011092023155748.pdf</v>
      </c>
      <c r="G5074" s="5" t="str">
        <f>HYPERLINK("https://dpmzos25m8ivg.cloudfront.net/Documentos/631/12046919670/6311204691967011092023155758.pdf","https://dpmzos25m8ivg.cloudfront.net/Documentos/631/12046919670/6311204691967011092023155758.pdf")</f>
        <v>https://dpmzos25m8ivg.cloudfront.net/Documentos/631/12046919670/6311204691967011092023155758.pdf</v>
      </c>
      <c r="H5074" s="5" t="s">
        <v>13647</v>
      </c>
    </row>
    <row r="5075" spans="1:8" x14ac:dyDescent="0.25">
      <c r="A5075" s="2" t="s">
        <v>5103</v>
      </c>
      <c r="B5075" s="3"/>
      <c r="C5075" s="3"/>
      <c r="D5075" s="3"/>
      <c r="E5075" s="5" t="str">
        <f>HYPERLINK("https://dpmzos25m8ivg.cloudfront.net/Documentos/631/12047264421/6311204726442111092023160328.pdf","https://dpmzos25m8ivg.cloudfront.net/Documentos/631/12047264421/6311204726442111092023160328.pdf")</f>
        <v>https://dpmzos25m8ivg.cloudfront.net/Documentos/631/12047264421/6311204726442111092023160328.pdf</v>
      </c>
      <c r="F5075" s="5" t="str">
        <f>HYPERLINK("https://dpmzos25m8ivg.cloudfront.net/Documentos/631/12047264421/6311204726442111092023160346.pdf","https://dpmzos25m8ivg.cloudfront.net/Documentos/631/12047264421/6311204726442111092023160346.pdf")</f>
        <v>https://dpmzos25m8ivg.cloudfront.net/Documentos/631/12047264421/6311204726442111092023160346.pdf</v>
      </c>
      <c r="G5075" s="5" t="str">
        <f>HYPERLINK("https://dpmzos25m8ivg.cloudfront.net/Documentos/631/12047264421/6311204726442111092023160407.pdf","https://dpmzos25m8ivg.cloudfront.net/Documentos/631/12047264421/6311204726442111092023160407.pdf")</f>
        <v>https://dpmzos25m8ivg.cloudfront.net/Documentos/631/12047264421/6311204726442111092023160407.pdf</v>
      </c>
      <c r="H5075" s="5" t="s">
        <v>13648</v>
      </c>
    </row>
    <row r="5076" spans="1:8" x14ac:dyDescent="0.25">
      <c r="A5076" s="2" t="s">
        <v>5104</v>
      </c>
      <c r="B5076" s="3"/>
      <c r="C5076" s="3"/>
      <c r="D5076" s="3"/>
      <c r="E5076" s="5" t="str">
        <f>HYPERLINK("https://dpmzos25m8ivg.cloudfront.net/Documentos/631/12048052614/6311204805261412092023192504.pdf","https://dpmzos25m8ivg.cloudfront.net/Documentos/631/12048052614/6311204805261412092023192504.pdf")</f>
        <v>https://dpmzos25m8ivg.cloudfront.net/Documentos/631/12048052614/6311204805261412092023192504.pdf</v>
      </c>
      <c r="F5076" s="5" t="str">
        <f>HYPERLINK("https://dpmzos25m8ivg.cloudfront.net/Documentos/631/12048052614/6311204805261412092023192525.pdf","https://dpmzos25m8ivg.cloudfront.net/Documentos/631/12048052614/6311204805261412092023192525.pdf")</f>
        <v>https://dpmzos25m8ivg.cloudfront.net/Documentos/631/12048052614/6311204805261412092023192525.pdf</v>
      </c>
      <c r="G5076" s="5" t="str">
        <f>HYPERLINK("https://dpmzos25m8ivg.cloudfront.net/Documentos/631/12048052614/6311204805261412092023192540.pdf","https://dpmzos25m8ivg.cloudfront.net/Documentos/631/12048052614/6311204805261412092023192540.pdf")</f>
        <v>https://dpmzos25m8ivg.cloudfront.net/Documentos/631/12048052614/6311204805261412092023192540.pdf</v>
      </c>
      <c r="H5076" s="5" t="s">
        <v>13649</v>
      </c>
    </row>
    <row r="5077" spans="1:8" x14ac:dyDescent="0.25">
      <c r="A5077" s="2" t="s">
        <v>5105</v>
      </c>
      <c r="B5077" s="3"/>
      <c r="C5077" s="3"/>
      <c r="D5077" s="3"/>
      <c r="E5077" s="5" t="str">
        <f>HYPERLINK("https://dpmzos25m8ivg.cloudfront.net/Documentos/631/12050963700/6311205096370011092023163406.pdf","https://dpmzos25m8ivg.cloudfront.net/Documentos/631/12050963700/6311205096370011092023163406.pdf")</f>
        <v>https://dpmzos25m8ivg.cloudfront.net/Documentos/631/12050963700/6311205096370011092023163406.pdf</v>
      </c>
      <c r="F5077" s="5" t="str">
        <f>HYPERLINK("https://dpmzos25m8ivg.cloudfront.net/Documentos/631/12050963700/6311205096370011092023163430.pdf","https://dpmzos25m8ivg.cloudfront.net/Documentos/631/12050963700/6311205096370011092023163430.pdf")</f>
        <v>https://dpmzos25m8ivg.cloudfront.net/Documentos/631/12050963700/6311205096370011092023163430.pdf</v>
      </c>
      <c r="G5077" s="5" t="str">
        <f>HYPERLINK("https://dpmzos25m8ivg.cloudfront.net/Documentos/631/12050963700/6311205096370011092023163450.pdf","https://dpmzos25m8ivg.cloudfront.net/Documentos/631/12050963700/6311205096370011092023163450.pdf")</f>
        <v>https://dpmzos25m8ivg.cloudfront.net/Documentos/631/12050963700/6311205096370011092023163450.pdf</v>
      </c>
      <c r="H5077" s="5" t="s">
        <v>13650</v>
      </c>
    </row>
    <row r="5078" spans="1:8" x14ac:dyDescent="0.25">
      <c r="A5078" s="2" t="s">
        <v>5106</v>
      </c>
      <c r="B5078" s="3"/>
      <c r="C5078" s="3"/>
      <c r="D5078" s="3"/>
      <c r="E5078" s="5" t="str">
        <f>HYPERLINK("https://dpmzos25m8ivg.cloudfront.net/Documentos/631/12066740403/6311206674040305092023175608.pdf","https://dpmzos25m8ivg.cloudfront.net/Documentos/631/12066740403/6311206674040305092023175608.pdf")</f>
        <v>https://dpmzos25m8ivg.cloudfront.net/Documentos/631/12066740403/6311206674040305092023175608.pdf</v>
      </c>
      <c r="F5078" s="5" t="str">
        <f>HYPERLINK("https://dpmzos25m8ivg.cloudfront.net/Documentos/631/12066740403/6311206674040305092023175636.pdf","https://dpmzos25m8ivg.cloudfront.net/Documentos/631/12066740403/6311206674040305092023175636.pdf")</f>
        <v>https://dpmzos25m8ivg.cloudfront.net/Documentos/631/12066740403/6311206674040305092023175636.pdf</v>
      </c>
      <c r="G5078" s="5" t="str">
        <f>HYPERLINK("https://dpmzos25m8ivg.cloudfront.net/Documentos/631/12066740403/6311206674040305092023175656.pdf","https://dpmzos25m8ivg.cloudfront.net/Documentos/631/12066740403/6311206674040305092023175656.pdf")</f>
        <v>https://dpmzos25m8ivg.cloudfront.net/Documentos/631/12066740403/6311206674040305092023175656.pdf</v>
      </c>
      <c r="H5078" s="5" t="s">
        <v>13651</v>
      </c>
    </row>
    <row r="5079" spans="1:8" x14ac:dyDescent="0.25">
      <c r="A5079" s="2" t="s">
        <v>5107</v>
      </c>
      <c r="B5079" s="3"/>
      <c r="C5079" s="3"/>
      <c r="D5079" s="3"/>
      <c r="E5079" s="5" t="str">
        <f>HYPERLINK("https://dpmzos25m8ivg.cloudfront.net/Documentos/631/12066749460/6311206674946009092023165444.pdf","https://dpmzos25m8ivg.cloudfront.net/Documentos/631/12066749460/6311206674946009092023165444.pdf")</f>
        <v>https://dpmzos25m8ivg.cloudfront.net/Documentos/631/12066749460/6311206674946009092023165444.pdf</v>
      </c>
      <c r="F5079" s="5" t="str">
        <f>HYPERLINK("https://dpmzos25m8ivg.cloudfront.net/Documentos/631/12066749460/6311206674946009092023165501.pdf","https://dpmzos25m8ivg.cloudfront.net/Documentos/631/12066749460/6311206674946009092023165501.pdf")</f>
        <v>https://dpmzos25m8ivg.cloudfront.net/Documentos/631/12066749460/6311206674946009092023165501.pdf</v>
      </c>
      <c r="G5079" s="5" t="str">
        <f>HYPERLINK("https://dpmzos25m8ivg.cloudfront.net/Documentos/631/12066749460/6311206674946009092023165513.pdf","https://dpmzos25m8ivg.cloudfront.net/Documentos/631/12066749460/6311206674946009092023165513.pdf")</f>
        <v>https://dpmzos25m8ivg.cloudfront.net/Documentos/631/12066749460/6311206674946009092023165513.pdf</v>
      </c>
      <c r="H5079" s="5" t="s">
        <v>13652</v>
      </c>
    </row>
    <row r="5080" spans="1:8" x14ac:dyDescent="0.25">
      <c r="A5080" s="2" t="s">
        <v>5108</v>
      </c>
      <c r="B5080" s="3"/>
      <c r="C5080" s="3"/>
      <c r="D5080" s="3"/>
      <c r="E5080" s="5" t="str">
        <f>HYPERLINK("https://dpmzos25m8ivg.cloudfront.net/Documentos/631/12066764779/6311206676477907092023174006.jpeg","https://dpmzos25m8ivg.cloudfront.net/Documentos/631/12066764779/6311206676477907092023174006.jpeg")</f>
        <v>https://dpmzos25m8ivg.cloudfront.net/Documentos/631/12066764779/6311206676477907092023174006.jpeg</v>
      </c>
      <c r="F5080" s="5" t="str">
        <f>HYPERLINK("https://dpmzos25m8ivg.cloudfront.net/Documentos/631/12066764779/6311206676477907092023174026.jpeg","https://dpmzos25m8ivg.cloudfront.net/Documentos/631/12066764779/6311206676477907092023174026.jpeg")</f>
        <v>https://dpmzos25m8ivg.cloudfront.net/Documentos/631/12066764779/6311206676477907092023174026.jpeg</v>
      </c>
      <c r="G5080" s="5" t="str">
        <f>HYPERLINK("https://dpmzos25m8ivg.cloudfront.net/Documentos/631/12066764779/6311206676477907092023174055.jpeg","https://dpmzos25m8ivg.cloudfront.net/Documentos/631/12066764779/6311206676477907092023174055.jpeg")</f>
        <v>https://dpmzos25m8ivg.cloudfront.net/Documentos/631/12066764779/6311206676477907092023174055.jpeg</v>
      </c>
      <c r="H5080" s="5" t="s">
        <v>13653</v>
      </c>
    </row>
    <row r="5081" spans="1:8" x14ac:dyDescent="0.25">
      <c r="A5081" s="2" t="s">
        <v>5109</v>
      </c>
      <c r="B5081" s="16" t="s">
        <v>2358</v>
      </c>
      <c r="C5081" s="3"/>
      <c r="D5081" s="3"/>
      <c r="E5081" s="5" t="str">
        <f>HYPERLINK("https://dpmzos25m8ivg.cloudfront.net/Documentos/631/12067677403/6311206767740311092023134945.jpg","https://dpmzos25m8ivg.cloudfront.net/Documentos/631/12067677403/6311206767740311092023134945.jpg")</f>
        <v>https://dpmzos25m8ivg.cloudfront.net/Documentos/631/12067677403/6311206767740311092023134945.jpg</v>
      </c>
      <c r="F5081" s="5" t="str">
        <f>HYPERLINK("https://dpmzos25m8ivg.cloudfront.net/Documentos/631/12067677403/6311206767740311092023135001.jpg","https://dpmzos25m8ivg.cloudfront.net/Documentos/631/12067677403/6311206767740311092023135001.jpg")</f>
        <v>https://dpmzos25m8ivg.cloudfront.net/Documentos/631/12067677403/6311206767740311092023135001.jpg</v>
      </c>
      <c r="G5081" s="5" t="str">
        <f>HYPERLINK("https://dpmzos25m8ivg.cloudfront.net/Documentos/631/12067677403/6311206767740311092023135020.jpg","https://dpmzos25m8ivg.cloudfront.net/Documentos/631/12067677403/6311206767740311092023135020.jpg")</f>
        <v>https://dpmzos25m8ivg.cloudfront.net/Documentos/631/12067677403/6311206767740311092023135020.jpg</v>
      </c>
      <c r="H5081" s="5" t="s">
        <v>13654</v>
      </c>
    </row>
    <row r="5082" spans="1:8" x14ac:dyDescent="0.25">
      <c r="A5082" s="2" t="s">
        <v>5110</v>
      </c>
      <c r="B5082" s="3"/>
      <c r="C5082" s="3"/>
      <c r="D5082" s="3"/>
      <c r="E5082" s="5" t="str">
        <f>HYPERLINK("https://dpmzos25m8ivg.cloudfront.net/Documentos/631/12068690624/6311206869062405092023205630.pdf","https://dpmzos25m8ivg.cloudfront.net/Documentos/631/12068690624/6311206869062405092023205630.pdf")</f>
        <v>https://dpmzos25m8ivg.cloudfront.net/Documentos/631/12068690624/6311206869062405092023205630.pdf</v>
      </c>
      <c r="F5082" s="5" t="str">
        <f>HYPERLINK("https://dpmzos25m8ivg.cloudfront.net/Documentos/631/12068690624/6311206869062405092023205640.pdf","https://dpmzos25m8ivg.cloudfront.net/Documentos/631/12068690624/6311206869062405092023205640.pdf")</f>
        <v>https://dpmzos25m8ivg.cloudfront.net/Documentos/631/12068690624/6311206869062405092023205640.pdf</v>
      </c>
      <c r="G5082" s="5" t="str">
        <f>HYPERLINK("https://dpmzos25m8ivg.cloudfront.net/Documentos/631/12068690624/6311206869062405092023205651.pdf","https://dpmzos25m8ivg.cloudfront.net/Documentos/631/12068690624/6311206869062405092023205651.pdf")</f>
        <v>https://dpmzos25m8ivg.cloudfront.net/Documentos/631/12068690624/6311206869062405092023205651.pdf</v>
      </c>
      <c r="H5082" s="5" t="s">
        <v>13655</v>
      </c>
    </row>
    <row r="5083" spans="1:8" x14ac:dyDescent="0.25">
      <c r="A5083" s="2" t="s">
        <v>5111</v>
      </c>
      <c r="B5083" s="3"/>
      <c r="C5083" s="3"/>
      <c r="D5083" s="3"/>
      <c r="E5083" s="5" t="str">
        <f>HYPERLINK("https://dpmzos25m8ivg.cloudfront.net/Documentos/631/12069937747/6311206993774711092023101432.pdf","https://dpmzos25m8ivg.cloudfront.net/Documentos/631/12069937747/6311206993774711092023101432.pdf")</f>
        <v>https://dpmzos25m8ivg.cloudfront.net/Documentos/631/12069937747/6311206993774711092023101432.pdf</v>
      </c>
      <c r="F5083" s="5" t="str">
        <f>HYPERLINK("https://dpmzos25m8ivg.cloudfront.net/Documentos/631/12069937747/6311206993774711092023101450.pdf","https://dpmzos25m8ivg.cloudfront.net/Documentos/631/12069937747/6311206993774711092023101450.pdf")</f>
        <v>https://dpmzos25m8ivg.cloudfront.net/Documentos/631/12069937747/6311206993774711092023101450.pdf</v>
      </c>
      <c r="G5083" s="5" t="str">
        <f>HYPERLINK("https://dpmzos25m8ivg.cloudfront.net/Documentos/631/12069937747/6311206993774711092023123421.jpeg","https://dpmzos25m8ivg.cloudfront.net/Documentos/631/12069937747/6311206993774711092023123421.jpeg")</f>
        <v>https://dpmzos25m8ivg.cloudfront.net/Documentos/631/12069937747/6311206993774711092023123421.jpeg</v>
      </c>
      <c r="H5083" s="5" t="s">
        <v>13656</v>
      </c>
    </row>
    <row r="5084" spans="1:8" x14ac:dyDescent="0.25">
      <c r="A5084" s="2" t="s">
        <v>5112</v>
      </c>
      <c r="B5084" s="3"/>
      <c r="C5084" s="3"/>
      <c r="D5084" s="3"/>
      <c r="E5084" s="5" t="str">
        <f>HYPERLINK("https://dpmzos25m8ivg.cloudfront.net/Documentos/631/12071948408/6311207194840809092023152142.pdf","https://dpmzos25m8ivg.cloudfront.net/Documentos/631/12071948408/6311207194840809092023152142.pdf")</f>
        <v>https://dpmzos25m8ivg.cloudfront.net/Documentos/631/12071948408/6311207194840809092023152142.pdf</v>
      </c>
      <c r="F5084" s="5" t="str">
        <f>HYPERLINK("https://dpmzos25m8ivg.cloudfront.net/Documentos/631/12071948408/6311207194840809092023152155.pdf","https://dpmzos25m8ivg.cloudfront.net/Documentos/631/12071948408/6311207194840809092023152155.pdf")</f>
        <v>https://dpmzos25m8ivg.cloudfront.net/Documentos/631/12071948408/6311207194840809092023152155.pdf</v>
      </c>
      <c r="G5084" s="5" t="str">
        <f>HYPERLINK("https://dpmzos25m8ivg.cloudfront.net/Documentos/631/12071948408/6311207194840809092023152214.pdf","https://dpmzos25m8ivg.cloudfront.net/Documentos/631/12071948408/6311207194840809092023152214.pdf")</f>
        <v>https://dpmzos25m8ivg.cloudfront.net/Documentos/631/12071948408/6311207194840809092023152214.pdf</v>
      </c>
      <c r="H5084" s="5" t="s">
        <v>13657</v>
      </c>
    </row>
    <row r="5085" spans="1:8" x14ac:dyDescent="0.25">
      <c r="A5085" s="2" t="s">
        <v>5113</v>
      </c>
      <c r="B5085" s="19" t="s">
        <v>4857</v>
      </c>
      <c r="C5085" s="3"/>
      <c r="D5085" s="3"/>
      <c r="E5085" s="5" t="str">
        <f>HYPERLINK("https://dpmzos25m8ivg.cloudfront.net/Documentos/631/12073322670/6311207332267011092023101449.jpeg","https://dpmzos25m8ivg.cloudfront.net/Documentos/631/12073322670/6311207332267011092023101449.jpeg")</f>
        <v>https://dpmzos25m8ivg.cloudfront.net/Documentos/631/12073322670/6311207332267011092023101449.jpeg</v>
      </c>
      <c r="F5085" s="5" t="str">
        <f>HYPERLINK("https://dpmzos25m8ivg.cloudfront.net/Documentos/631/12073322670/6311207332267011092023101502.jpeg","https://dpmzos25m8ivg.cloudfront.net/Documentos/631/12073322670/6311207332267011092023101502.jpeg")</f>
        <v>https://dpmzos25m8ivg.cloudfront.net/Documentos/631/12073322670/6311207332267011092023101502.jpeg</v>
      </c>
      <c r="G5085" s="5" t="str">
        <f>HYPERLINK("https://dpmzos25m8ivg.cloudfront.net/Documentos/631/12073322670/6311207332267011092023101513.jpeg","https://dpmzos25m8ivg.cloudfront.net/Documentos/631/12073322670/6311207332267011092023101513.jpeg")</f>
        <v>https://dpmzos25m8ivg.cloudfront.net/Documentos/631/12073322670/6311207332267011092023101513.jpeg</v>
      </c>
      <c r="H5085" s="5" t="s">
        <v>13658</v>
      </c>
    </row>
    <row r="5086" spans="1:8" x14ac:dyDescent="0.25">
      <c r="A5086" s="2" t="s">
        <v>5114</v>
      </c>
      <c r="B5086" s="3"/>
      <c r="C5086" s="3"/>
      <c r="D5086" s="3"/>
      <c r="E5086" s="5" t="str">
        <f>HYPERLINK("https://dpmzos25m8ivg.cloudfront.net/Documentos/631/12076098461/6311207609846111092023092956.pdf","https://dpmzos25m8ivg.cloudfront.net/Documentos/631/12076098461/6311207609846111092023092956.pdf")</f>
        <v>https://dpmzos25m8ivg.cloudfront.net/Documentos/631/12076098461/6311207609846111092023092956.pdf</v>
      </c>
      <c r="F5086" s="5" t="str">
        <f>HYPERLINK("https://dpmzos25m8ivg.cloudfront.net/Documentos/631/12076098461/6311207609846111092023093055.pdf","https://dpmzos25m8ivg.cloudfront.net/Documentos/631/12076098461/6311207609846111092023093055.pdf")</f>
        <v>https://dpmzos25m8ivg.cloudfront.net/Documentos/631/12076098461/6311207609846111092023093055.pdf</v>
      </c>
      <c r="G5086" s="5" t="str">
        <f>HYPERLINK("https://dpmzos25m8ivg.cloudfront.net/Documentos/631/12076098461/6311207609846111092023093104.pdf","https://dpmzos25m8ivg.cloudfront.net/Documentos/631/12076098461/6311207609846111092023093104.pdf")</f>
        <v>https://dpmzos25m8ivg.cloudfront.net/Documentos/631/12076098461/6311207609846111092023093104.pdf</v>
      </c>
      <c r="H5086" s="5" t="s">
        <v>13659</v>
      </c>
    </row>
    <row r="5087" spans="1:8" x14ac:dyDescent="0.25">
      <c r="A5087" s="21" t="s">
        <v>5115</v>
      </c>
      <c r="B5087" s="16"/>
      <c r="C5087" s="3"/>
      <c r="D5087" s="3"/>
      <c r="E5087" s="5" t="str">
        <f>HYPERLINK("https://dpmzos25m8ivg.cloudfront.net/Documentos/631/12076728740/6311207672874006092023153724.jpg","https://dpmzos25m8ivg.cloudfront.net/Documentos/631/12076728740/6311207672874006092023153724.jpg")</f>
        <v>https://dpmzos25m8ivg.cloudfront.net/Documentos/631/12076728740/6311207672874006092023153724.jpg</v>
      </c>
      <c r="F5087" s="5" t="str">
        <f>HYPERLINK("https://dpmzos25m8ivg.cloudfront.net/Documentos/631/12076728740/6311207672874006092023160741.jpg","https://dpmzos25m8ivg.cloudfront.net/Documentos/631/12076728740/6311207672874006092023160741.jpg")</f>
        <v>https://dpmzos25m8ivg.cloudfront.net/Documentos/631/12076728740/6311207672874006092023160741.jpg</v>
      </c>
      <c r="G5087" s="5" t="str">
        <f>HYPERLINK("https://dpmzos25m8ivg.cloudfront.net/Documentos/631/12076728740/6311207672874006092023160814.jpg","https://dpmzos25m8ivg.cloudfront.net/Documentos/631/12076728740/6311207672874006092023160814.jpg")</f>
        <v>https://dpmzos25m8ivg.cloudfront.net/Documentos/631/12076728740/6311207672874006092023160814.jpg</v>
      </c>
      <c r="H5087" s="5" t="s">
        <v>13660</v>
      </c>
    </row>
    <row r="5088" spans="1:8" x14ac:dyDescent="0.25">
      <c r="A5088" s="21" t="s">
        <v>5116</v>
      </c>
      <c r="B5088" s="16" t="s">
        <v>2358</v>
      </c>
      <c r="C5088" s="3"/>
      <c r="D5088" s="3"/>
      <c r="E5088" s="5" t="str">
        <f>HYPERLINK("https://dpmzos25m8ivg.cloudfront.net/Documentos/631/12080729608/6311208072960805092023135216.pdf","https://dpmzos25m8ivg.cloudfront.net/Documentos/631/12080729608/6311208072960805092023135216.pdf")</f>
        <v>https://dpmzos25m8ivg.cloudfront.net/Documentos/631/12080729608/6311208072960805092023135216.pdf</v>
      </c>
      <c r="F5088" s="5" t="str">
        <f>HYPERLINK("https://dpmzos25m8ivg.cloudfront.net/Documentos/631/12080729608/6311208072960805092023135236.pdf","https://dpmzos25m8ivg.cloudfront.net/Documentos/631/12080729608/6311208072960805092023135236.pdf")</f>
        <v>https://dpmzos25m8ivg.cloudfront.net/Documentos/631/12080729608/6311208072960805092023135236.pdf</v>
      </c>
      <c r="G5088" s="5" t="str">
        <f>HYPERLINK("https://dpmzos25m8ivg.cloudfront.net/Documentos/631/12080729608/6311208072960805092023135256.pdf","https://dpmzos25m8ivg.cloudfront.net/Documentos/631/12080729608/6311208072960805092023135256.pdf")</f>
        <v>https://dpmzos25m8ivg.cloudfront.net/Documentos/631/12080729608/6311208072960805092023135256.pdf</v>
      </c>
      <c r="H5088" s="5" t="s">
        <v>13661</v>
      </c>
    </row>
    <row r="5089" spans="1:8" x14ac:dyDescent="0.25">
      <c r="A5089" s="2" t="s">
        <v>5117</v>
      </c>
      <c r="B5089" s="3"/>
      <c r="C5089" s="3"/>
      <c r="D5089" s="3"/>
      <c r="E5089" s="5" t="str">
        <f>HYPERLINK("https://dpmzos25m8ivg.cloudfront.net/Documentos/631/12081827735/6311208182773513092023002559.jpg","https://dpmzos25m8ivg.cloudfront.net/Documentos/631/12081827735/6311208182773513092023002559.jpg")</f>
        <v>https://dpmzos25m8ivg.cloudfront.net/Documentos/631/12081827735/6311208182773513092023002559.jpg</v>
      </c>
      <c r="F5089" s="5" t="str">
        <f>HYPERLINK("https://dpmzos25m8ivg.cloudfront.net/Documentos/631/12081827735/6311208182773513092023125343.pdf","https://dpmzos25m8ivg.cloudfront.net/Documentos/631/12081827735/6311208182773513092023125343.pdf")</f>
        <v>https://dpmzos25m8ivg.cloudfront.net/Documentos/631/12081827735/6311208182773513092023125343.pdf</v>
      </c>
      <c r="G5089" s="5" t="str">
        <f>HYPERLINK("https://dpmzos25m8ivg.cloudfront.net/Documentos/631/12081827735/6311208182773513092023125420.pdf","https://dpmzos25m8ivg.cloudfront.net/Documentos/631/12081827735/6311208182773513092023125420.pdf")</f>
        <v>https://dpmzos25m8ivg.cloudfront.net/Documentos/631/12081827735/6311208182773513092023125420.pdf</v>
      </c>
      <c r="H5089" s="5" t="s">
        <v>13662</v>
      </c>
    </row>
    <row r="5090" spans="1:8" x14ac:dyDescent="0.25">
      <c r="A5090" s="2" t="s">
        <v>5118</v>
      </c>
      <c r="B5090" s="3"/>
      <c r="C5090" s="3"/>
      <c r="D5090" s="3"/>
      <c r="E5090" s="5" t="str">
        <f>HYPERLINK("https://dpmzos25m8ivg.cloudfront.net/Documentos/631/12089416742/6311208941674211092023135926.jpg","https://dpmzos25m8ivg.cloudfront.net/Documentos/631/12089416742/6311208941674211092023135926.jpg")</f>
        <v>https://dpmzos25m8ivg.cloudfront.net/Documentos/631/12089416742/6311208941674211092023135926.jpg</v>
      </c>
      <c r="F5090" s="5" t="str">
        <f>HYPERLINK("https://dpmzos25m8ivg.cloudfront.net/Documentos/631/12089416742/6311208941674211092023140007.jpg","https://dpmzos25m8ivg.cloudfront.net/Documentos/631/12089416742/6311208941674211092023140007.jpg")</f>
        <v>https://dpmzos25m8ivg.cloudfront.net/Documentos/631/12089416742/6311208941674211092023140007.jpg</v>
      </c>
      <c r="G5090" s="5" t="str">
        <f>HYPERLINK("https://dpmzos25m8ivg.cloudfront.net/Documentos/631/12089416742/6311208941674211092023140110.jpg","https://dpmzos25m8ivg.cloudfront.net/Documentos/631/12089416742/6311208941674211092023140110.jpg")</f>
        <v>https://dpmzos25m8ivg.cloudfront.net/Documentos/631/12089416742/6311208941674211092023140110.jpg</v>
      </c>
      <c r="H5090" s="5" t="s">
        <v>13663</v>
      </c>
    </row>
    <row r="5091" spans="1:8" x14ac:dyDescent="0.25">
      <c r="A5091" s="2" t="s">
        <v>5119</v>
      </c>
      <c r="B5091" s="3"/>
      <c r="C5091" s="3"/>
      <c r="D5091" s="3"/>
      <c r="E5091" s="5" t="str">
        <f>HYPERLINK("https://dpmzos25m8ivg.cloudfront.net/Documentos/631/12092465970/6311209246597011092023165440.jpg","https://dpmzos25m8ivg.cloudfront.net/Documentos/631/12092465970/6311209246597011092023165440.jpg")</f>
        <v>https://dpmzos25m8ivg.cloudfront.net/Documentos/631/12092465970/6311209246597011092023165440.jpg</v>
      </c>
      <c r="F5091" s="5" t="str">
        <f>HYPERLINK("https://dpmzos25m8ivg.cloudfront.net/Documentos/631/12092465970/6311209246597011092023165450.jpg","https://dpmzos25m8ivg.cloudfront.net/Documentos/631/12092465970/6311209246597011092023165450.jpg")</f>
        <v>https://dpmzos25m8ivg.cloudfront.net/Documentos/631/12092465970/6311209246597011092023165450.jpg</v>
      </c>
      <c r="G5091" s="5" t="str">
        <f>HYPERLINK("https://dpmzos25m8ivg.cloudfront.net/Documentos/631/12092465970/6311209246597011092023165458.jpg","https://dpmzos25m8ivg.cloudfront.net/Documentos/631/12092465970/6311209246597011092023165458.jpg")</f>
        <v>https://dpmzos25m8ivg.cloudfront.net/Documentos/631/12092465970/6311209246597011092023165458.jpg</v>
      </c>
      <c r="H5091" s="5" t="s">
        <v>13664</v>
      </c>
    </row>
    <row r="5092" spans="1:8" x14ac:dyDescent="0.25">
      <c r="A5092" s="2" t="s">
        <v>5120</v>
      </c>
      <c r="B5092" s="16" t="s">
        <v>2358</v>
      </c>
      <c r="C5092" s="3"/>
      <c r="D5092" s="3"/>
      <c r="E5092" s="5" t="str">
        <f>HYPERLINK("https://dpmzos25m8ivg.cloudfront.net/Documentos/631/12094687600/6311209468760006092023143204.pdf","https://dpmzos25m8ivg.cloudfront.net/Documentos/631/12094687600/6311209468760006092023143204.pdf")</f>
        <v>https://dpmzos25m8ivg.cloudfront.net/Documentos/631/12094687600/6311209468760006092023143204.pdf</v>
      </c>
      <c r="F5092" s="5" t="str">
        <f>HYPERLINK("https://dpmzos25m8ivg.cloudfront.net/Documentos/631/12094687600/6311209468760006092023143224.pdf","https://dpmzos25m8ivg.cloudfront.net/Documentos/631/12094687600/6311209468760006092023143224.pdf")</f>
        <v>https://dpmzos25m8ivg.cloudfront.net/Documentos/631/12094687600/6311209468760006092023143224.pdf</v>
      </c>
      <c r="G5092" s="5" t="str">
        <f>HYPERLINK("https://dpmzos25m8ivg.cloudfront.net/Documentos/631/12094687600/6311209468760006092023143243.pdf","https://dpmzos25m8ivg.cloudfront.net/Documentos/631/12094687600/6311209468760006092023143243.pdf")</f>
        <v>https://dpmzos25m8ivg.cloudfront.net/Documentos/631/12094687600/6311209468760006092023143243.pdf</v>
      </c>
      <c r="H5092" s="5" t="s">
        <v>13665</v>
      </c>
    </row>
    <row r="5093" spans="1:8" x14ac:dyDescent="0.25">
      <c r="A5093" s="2" t="s">
        <v>5121</v>
      </c>
      <c r="B5093" s="3"/>
      <c r="C5093" s="3"/>
      <c r="D5093" s="3"/>
      <c r="E5093" s="5" t="str">
        <f>HYPERLINK("https://dpmzos25m8ivg.cloudfront.net/Documentos/631/12096242495/6311209624249511092023121423.pdf","https://dpmzos25m8ivg.cloudfront.net/Documentos/631/12096242495/6311209624249511092023121423.pdf")</f>
        <v>https://dpmzos25m8ivg.cloudfront.net/Documentos/631/12096242495/6311209624249511092023121423.pdf</v>
      </c>
      <c r="F5093" s="5" t="str">
        <f>HYPERLINK("https://dpmzos25m8ivg.cloudfront.net/Documentos/631/12096242495/6311209624249511092023121438.pdf","https://dpmzos25m8ivg.cloudfront.net/Documentos/631/12096242495/6311209624249511092023121438.pdf")</f>
        <v>https://dpmzos25m8ivg.cloudfront.net/Documentos/631/12096242495/6311209624249511092023121438.pdf</v>
      </c>
      <c r="G5093" s="5" t="str">
        <f>HYPERLINK("https://dpmzos25m8ivg.cloudfront.net/Documentos/631/12096242495/6311209624249511092023121454.pdf","https://dpmzos25m8ivg.cloudfront.net/Documentos/631/12096242495/6311209624249511092023121454.pdf")</f>
        <v>https://dpmzos25m8ivg.cloudfront.net/Documentos/631/12096242495/6311209624249511092023121454.pdf</v>
      </c>
      <c r="H5093" s="5" t="s">
        <v>13666</v>
      </c>
    </row>
    <row r="5094" spans="1:8" x14ac:dyDescent="0.25">
      <c r="A5094" s="2" t="s">
        <v>5122</v>
      </c>
      <c r="B5094" s="3"/>
      <c r="C5094" s="3"/>
      <c r="D5094" s="3"/>
      <c r="E5094" s="5" t="str">
        <f>HYPERLINK("https://dpmzos25m8ivg.cloudfront.net/Documentos/631/12096864496/6311209686449611092023114914.pdf","https://dpmzos25m8ivg.cloudfront.net/Documentos/631/12096864496/6311209686449611092023114914.pdf")</f>
        <v>https://dpmzos25m8ivg.cloudfront.net/Documentos/631/12096864496/6311209686449611092023114914.pdf</v>
      </c>
      <c r="F5094" s="5" t="str">
        <f>HYPERLINK("https://dpmzos25m8ivg.cloudfront.net/Documentos/631/12096864496/6311209686449611092023115200.pdf","https://dpmzos25m8ivg.cloudfront.net/Documentos/631/12096864496/6311209686449611092023115200.pdf")</f>
        <v>https://dpmzos25m8ivg.cloudfront.net/Documentos/631/12096864496/6311209686449611092023115200.pdf</v>
      </c>
      <c r="G5094" s="5" t="str">
        <f>HYPERLINK("https://dpmzos25m8ivg.cloudfront.net/Documentos/631/12096864496/6311209686449611092023115311.pdf","https://dpmzos25m8ivg.cloudfront.net/Documentos/631/12096864496/6311209686449611092023115311.pdf")</f>
        <v>https://dpmzos25m8ivg.cloudfront.net/Documentos/631/12096864496/6311209686449611092023115311.pdf</v>
      </c>
      <c r="H5094" s="5" t="s">
        <v>13667</v>
      </c>
    </row>
    <row r="5095" spans="1:8" x14ac:dyDescent="0.25">
      <c r="A5095" s="2" t="s">
        <v>5123</v>
      </c>
      <c r="B5095" s="19" t="s">
        <v>4857</v>
      </c>
      <c r="C5095" s="3"/>
      <c r="D5095" s="3"/>
      <c r="E5095" s="5" t="str">
        <f>HYPERLINK("https://dpmzos25m8ivg.cloudfront.net/Documentos/631/12097127681/6311209712768111092023160852.pdf","https://dpmzos25m8ivg.cloudfront.net/Documentos/631/12097127681/6311209712768111092023160852.pdf")</f>
        <v>https://dpmzos25m8ivg.cloudfront.net/Documentos/631/12097127681/6311209712768111092023160852.pdf</v>
      </c>
      <c r="F5095" s="5" t="str">
        <f>HYPERLINK("https://dpmzos25m8ivg.cloudfront.net/Documentos/631/12097127681/6311209712768111092023160901.pdf","https://dpmzos25m8ivg.cloudfront.net/Documentos/631/12097127681/6311209712768111092023160901.pdf")</f>
        <v>https://dpmzos25m8ivg.cloudfront.net/Documentos/631/12097127681/6311209712768111092023160901.pdf</v>
      </c>
      <c r="G5095" s="5" t="str">
        <f>HYPERLINK("https://dpmzos25m8ivg.cloudfront.net/Documentos/631/12097127681/6311209712768111092023160909.pdf","https://dpmzos25m8ivg.cloudfront.net/Documentos/631/12097127681/6311209712768111092023160909.pdf")</f>
        <v>https://dpmzos25m8ivg.cloudfront.net/Documentos/631/12097127681/6311209712768111092023160909.pdf</v>
      </c>
      <c r="H5095" s="5" t="s">
        <v>13668</v>
      </c>
    </row>
    <row r="5096" spans="1:8" x14ac:dyDescent="0.25">
      <c r="A5096" s="2" t="s">
        <v>5124</v>
      </c>
      <c r="B5096" s="3"/>
      <c r="C5096" s="3"/>
      <c r="D5096" s="3"/>
      <c r="E5096" s="5" t="str">
        <f>HYPERLINK("https://dpmzos25m8ivg.cloudfront.net/Documentos/631/12098278756/6311209827875614092023101114.pdf","https://dpmzos25m8ivg.cloudfront.net/Documentos/631/12098278756/6311209827875614092023101114.pdf")</f>
        <v>https://dpmzos25m8ivg.cloudfront.net/Documentos/631/12098278756/6311209827875614092023101114.pdf</v>
      </c>
      <c r="F5096" s="5" t="str">
        <f>HYPERLINK("https://dpmzos25m8ivg.cloudfront.net/Documentos/631/12098278756/6311209827875614092023101044.pdf","https://dpmzos25m8ivg.cloudfront.net/Documentos/631/12098278756/6311209827875614092023101044.pdf")</f>
        <v>https://dpmzos25m8ivg.cloudfront.net/Documentos/631/12098278756/6311209827875614092023101044.pdf</v>
      </c>
      <c r="G5096" s="5" t="str">
        <f>HYPERLINK("https://dpmzos25m8ivg.cloudfront.net/Documentos/631/12098278756/6311209827875614092023101243.pdf","https://dpmzos25m8ivg.cloudfront.net/Documentos/631/12098278756/6311209827875614092023101243.pdf")</f>
        <v>https://dpmzos25m8ivg.cloudfront.net/Documentos/631/12098278756/6311209827875614092023101243.pdf</v>
      </c>
      <c r="H5096" s="5" t="s">
        <v>13669</v>
      </c>
    </row>
    <row r="5097" spans="1:8" x14ac:dyDescent="0.25">
      <c r="A5097" s="2" t="s">
        <v>5125</v>
      </c>
      <c r="B5097" s="16" t="s">
        <v>2358</v>
      </c>
      <c r="C5097" s="3"/>
      <c r="D5097" s="3"/>
      <c r="E5097" s="5" t="str">
        <f>HYPERLINK("https://dpmzos25m8ivg.cloudfront.net/Documentos/631/12101794667/6311210179466711092023162628.pdf","https://dpmzos25m8ivg.cloudfront.net/Documentos/631/12101794667/6311210179466711092023162628.pdf")</f>
        <v>https://dpmzos25m8ivg.cloudfront.net/Documentos/631/12101794667/6311210179466711092023162628.pdf</v>
      </c>
      <c r="F5097" s="5" t="str">
        <f>HYPERLINK("https://dpmzos25m8ivg.cloudfront.net/Documentos/631/12101794667/6311210179466711092023162646.pdf","https://dpmzos25m8ivg.cloudfront.net/Documentos/631/12101794667/6311210179466711092023162646.pdf")</f>
        <v>https://dpmzos25m8ivg.cloudfront.net/Documentos/631/12101794667/6311210179466711092023162646.pdf</v>
      </c>
      <c r="G5097" s="5" t="str">
        <f>HYPERLINK("https://dpmzos25m8ivg.cloudfront.net/Documentos/631/12101794667/6311210179466711092023162712.pdf","https://dpmzos25m8ivg.cloudfront.net/Documentos/631/12101794667/6311210179466711092023162712.pdf")</f>
        <v>https://dpmzos25m8ivg.cloudfront.net/Documentos/631/12101794667/6311210179466711092023162712.pdf</v>
      </c>
      <c r="H5097" s="5" t="s">
        <v>13670</v>
      </c>
    </row>
    <row r="5098" spans="1:8" x14ac:dyDescent="0.25">
      <c r="A5098" s="2" t="s">
        <v>5126</v>
      </c>
      <c r="B5098" s="3"/>
      <c r="C5098" s="3"/>
      <c r="D5098" s="3"/>
      <c r="E5098" s="5" t="str">
        <f>HYPERLINK("https://dpmzos25m8ivg.cloudfront.net/Documentos/631/12103582632/6311210358263211092023151457.pdf","https://dpmzos25m8ivg.cloudfront.net/Documentos/631/12103582632/6311210358263211092023151457.pdf")</f>
        <v>https://dpmzos25m8ivg.cloudfront.net/Documentos/631/12103582632/6311210358263211092023151457.pdf</v>
      </c>
      <c r="F5098" s="5" t="str">
        <f>HYPERLINK("https://dpmzos25m8ivg.cloudfront.net/Documentos/631/12103582632/6311210358263211092023151504.pdf","https://dpmzos25m8ivg.cloudfront.net/Documentos/631/12103582632/6311210358263211092023151504.pdf")</f>
        <v>https://dpmzos25m8ivg.cloudfront.net/Documentos/631/12103582632/6311210358263211092023151504.pdf</v>
      </c>
      <c r="G5098" s="5" t="str">
        <f>HYPERLINK("https://dpmzos25m8ivg.cloudfront.net/Documentos/631/12103582632/6311210358263211092023151511.pdf","https://dpmzos25m8ivg.cloudfront.net/Documentos/631/12103582632/6311210358263211092023151511.pdf")</f>
        <v>https://dpmzos25m8ivg.cloudfront.net/Documentos/631/12103582632/6311210358263211092023151511.pdf</v>
      </c>
      <c r="H5098" s="5" t="s">
        <v>13671</v>
      </c>
    </row>
    <row r="5099" spans="1:8" x14ac:dyDescent="0.25">
      <c r="A5099" s="2" t="s">
        <v>5127</v>
      </c>
      <c r="B5099" s="16" t="s">
        <v>2358</v>
      </c>
      <c r="C5099" s="3"/>
      <c r="D5099" s="3"/>
      <c r="E5099" s="5" t="str">
        <f>HYPERLINK("https://dpmzos25m8ivg.cloudfront.net/Documentos/631/12112088939/6311211208893911092023163452.pdf","https://dpmzos25m8ivg.cloudfront.net/Documentos/631/12112088939/6311211208893911092023163452.pdf")</f>
        <v>https://dpmzos25m8ivg.cloudfront.net/Documentos/631/12112088939/6311211208893911092023163452.pdf</v>
      </c>
      <c r="F5099" s="5" t="str">
        <f>HYPERLINK("https://dpmzos25m8ivg.cloudfront.net/Documentos/631/12112088939/6311211208893911092023163054.pdf","https://dpmzos25m8ivg.cloudfront.net/Documentos/631/12112088939/6311211208893911092023163054.pdf")</f>
        <v>https://dpmzos25m8ivg.cloudfront.net/Documentos/631/12112088939/6311211208893911092023163054.pdf</v>
      </c>
      <c r="G5099" s="5" t="str">
        <f>HYPERLINK("https://dpmzos25m8ivg.cloudfront.net/Documentos/631/12112088939/6311211208893911092023164118.pdf","https://dpmzos25m8ivg.cloudfront.net/Documentos/631/12112088939/6311211208893911092023164118.pdf")</f>
        <v>https://dpmzos25m8ivg.cloudfront.net/Documentos/631/12112088939/6311211208893911092023164118.pdf</v>
      </c>
      <c r="H5099" s="5" t="s">
        <v>13672</v>
      </c>
    </row>
    <row r="5100" spans="1:8" x14ac:dyDescent="0.25">
      <c r="A5100" s="2" t="s">
        <v>5128</v>
      </c>
      <c r="B5100" s="3" t="s">
        <v>23</v>
      </c>
      <c r="C5100" s="3"/>
      <c r="D5100" s="3"/>
      <c r="E5100" s="5" t="str">
        <f>HYPERLINK("https://dpmzos25m8ivg.cloudfront.net/Documentos/631/12117572693/6311211757269308092023130139.jpg","https://dpmzos25m8ivg.cloudfront.net/Documentos/631/12117572693/6311211757269308092023130139.jpg")</f>
        <v>https://dpmzos25m8ivg.cloudfront.net/Documentos/631/12117572693/6311211757269308092023130139.jpg</v>
      </c>
      <c r="F5100" s="5" t="str">
        <f>HYPERLINK("https://dpmzos25m8ivg.cloudfront.net/Documentos/631/12117572693/6311211757269308092023130151.jpg","https://dpmzos25m8ivg.cloudfront.net/Documentos/631/12117572693/6311211757269308092023130151.jpg")</f>
        <v>https://dpmzos25m8ivg.cloudfront.net/Documentos/631/12117572693/6311211757269308092023130151.jpg</v>
      </c>
      <c r="G5100" s="5" t="str">
        <f>HYPERLINK("https://dpmzos25m8ivg.cloudfront.net/Documentos/631/12117572693/6311211757269308092023130211.jpg","https://dpmzos25m8ivg.cloudfront.net/Documentos/631/12117572693/6311211757269308092023130211.jpg")</f>
        <v>https://dpmzos25m8ivg.cloudfront.net/Documentos/631/12117572693/6311211757269308092023130211.jpg</v>
      </c>
      <c r="H5100" s="5" t="s">
        <v>13673</v>
      </c>
    </row>
    <row r="5101" spans="1:8" x14ac:dyDescent="0.25">
      <c r="A5101" s="2" t="s">
        <v>5129</v>
      </c>
      <c r="B5101" s="16" t="s">
        <v>5069</v>
      </c>
      <c r="C5101" s="3"/>
      <c r="D5101" s="3"/>
      <c r="E5101" s="5" t="str">
        <f>HYPERLINK("https://dpmzos25m8ivg.cloudfront.net/Documentos/631/12118130457/6311211813045707092023170807.pdf","https://dpmzos25m8ivg.cloudfront.net/Documentos/631/12118130457/6311211813045707092023170807.pdf")</f>
        <v>https://dpmzos25m8ivg.cloudfront.net/Documentos/631/12118130457/6311211813045707092023170807.pdf</v>
      </c>
      <c r="F5101" s="5" t="str">
        <f>HYPERLINK("https://dpmzos25m8ivg.cloudfront.net/Documentos/631/12118130457/6311211813045707092023170821.pdf","https://dpmzos25m8ivg.cloudfront.net/Documentos/631/12118130457/6311211813045707092023170821.pdf")</f>
        <v>https://dpmzos25m8ivg.cloudfront.net/Documentos/631/12118130457/6311211813045707092023170821.pdf</v>
      </c>
      <c r="G5101" s="5" t="str">
        <f>HYPERLINK("https://dpmzos25m8ivg.cloudfront.net/Documentos/631/12118130457/6311211813045707092023170838.pdf","https://dpmzos25m8ivg.cloudfront.net/Documentos/631/12118130457/6311211813045707092023170838.pdf")</f>
        <v>https://dpmzos25m8ivg.cloudfront.net/Documentos/631/12118130457/6311211813045707092023170838.pdf</v>
      </c>
      <c r="H5101" s="5" t="s">
        <v>13674</v>
      </c>
    </row>
    <row r="5102" spans="1:8" x14ac:dyDescent="0.25">
      <c r="A5102" s="2" t="s">
        <v>5130</v>
      </c>
      <c r="B5102" s="19" t="s">
        <v>4857</v>
      </c>
      <c r="C5102" s="3"/>
      <c r="D5102" s="3"/>
      <c r="E5102" s="5" t="str">
        <f>HYPERLINK("https://dpmzos25m8ivg.cloudfront.net/Documentos/631/12119330832/6311211933083206092023120738.pdf","https://dpmzos25m8ivg.cloudfront.net/Documentos/631/12119330832/6311211933083206092023120738.pdf")</f>
        <v>https://dpmzos25m8ivg.cloudfront.net/Documentos/631/12119330832/6311211933083206092023120738.pdf</v>
      </c>
      <c r="F5102" s="5" t="str">
        <f>HYPERLINK("https://dpmzos25m8ivg.cloudfront.net/Documentos/631/12119330832/6311211933083206092023140234.pdf","https://dpmzos25m8ivg.cloudfront.net/Documentos/631/12119330832/6311211933083206092023140234.pdf")</f>
        <v>https://dpmzos25m8ivg.cloudfront.net/Documentos/631/12119330832/6311211933083206092023140234.pdf</v>
      </c>
      <c r="G5102" s="5" t="str">
        <f>HYPERLINK("https://dpmzos25m8ivg.cloudfront.net/Documentos/631/12119330832/6311211933083206092023141229.pdf","https://dpmzos25m8ivg.cloudfront.net/Documentos/631/12119330832/6311211933083206092023141229.pdf")</f>
        <v>https://dpmzos25m8ivg.cloudfront.net/Documentos/631/12119330832/6311211933083206092023141229.pdf</v>
      </c>
      <c r="H5102" s="5" t="s">
        <v>13675</v>
      </c>
    </row>
    <row r="5103" spans="1:8" x14ac:dyDescent="0.25">
      <c r="A5103" s="2" t="s">
        <v>5131</v>
      </c>
      <c r="B5103" s="3"/>
      <c r="C5103" s="3"/>
      <c r="D5103" s="3"/>
      <c r="E5103" s="5" t="str">
        <f>HYPERLINK("https://dpmzos25m8ivg.cloudfront.net/Documentos/631/12120884684/6311212088468410092023180751.pdf","https://dpmzos25m8ivg.cloudfront.net/Documentos/631/12120884684/6311212088468410092023180751.pdf")</f>
        <v>https://dpmzos25m8ivg.cloudfront.net/Documentos/631/12120884684/6311212088468410092023180751.pdf</v>
      </c>
      <c r="F5103" s="5" t="str">
        <f>HYPERLINK("https://dpmzos25m8ivg.cloudfront.net/Documentos/631/12120884684/6311212088468410092023180808.pdf","https://dpmzos25m8ivg.cloudfront.net/Documentos/631/12120884684/6311212088468410092023180808.pdf")</f>
        <v>https://dpmzos25m8ivg.cloudfront.net/Documentos/631/12120884684/6311212088468410092023180808.pdf</v>
      </c>
      <c r="G5103" s="5" t="str">
        <f>HYPERLINK("https://dpmzos25m8ivg.cloudfront.net/Documentos/631/12120884684/6311212088468410092023180826.pdf","https://dpmzos25m8ivg.cloudfront.net/Documentos/631/12120884684/6311212088468410092023180826.pdf")</f>
        <v>https://dpmzos25m8ivg.cloudfront.net/Documentos/631/12120884684/6311212088468410092023180826.pdf</v>
      </c>
      <c r="H5103" s="5" t="s">
        <v>13676</v>
      </c>
    </row>
    <row r="5104" spans="1:8" x14ac:dyDescent="0.25">
      <c r="A5104" s="2" t="s">
        <v>5132</v>
      </c>
      <c r="B5104" s="3"/>
      <c r="C5104" s="3"/>
      <c r="D5104" s="3"/>
      <c r="E5104" s="5" t="str">
        <f>HYPERLINK("https://dpmzos25m8ivg.cloudfront.net/Documentos/631/12123147435/6311212314743505092023104715.pdf","https://dpmzos25m8ivg.cloudfront.net/Documentos/631/12123147435/6311212314743505092023104715.pdf")</f>
        <v>https://dpmzos25m8ivg.cloudfront.net/Documentos/631/12123147435/6311212314743505092023104715.pdf</v>
      </c>
      <c r="F5104" s="5" t="str">
        <f>HYPERLINK("https://dpmzos25m8ivg.cloudfront.net/Documentos/631/12123147435/6311212314743505092023104724.pdf","https://dpmzos25m8ivg.cloudfront.net/Documentos/631/12123147435/6311212314743505092023104724.pdf")</f>
        <v>https://dpmzos25m8ivg.cloudfront.net/Documentos/631/12123147435/6311212314743505092023104724.pdf</v>
      </c>
      <c r="G5104" s="5" t="str">
        <f>HYPERLINK("https://dpmzos25m8ivg.cloudfront.net/Documentos/631/12123147435/6311212314743505092023104735.pdf","https://dpmzos25m8ivg.cloudfront.net/Documentos/631/12123147435/6311212314743505092023104735.pdf")</f>
        <v>https://dpmzos25m8ivg.cloudfront.net/Documentos/631/12123147435/6311212314743505092023104735.pdf</v>
      </c>
      <c r="H5104" s="5" t="s">
        <v>13677</v>
      </c>
    </row>
    <row r="5105" spans="1:8" x14ac:dyDescent="0.25">
      <c r="A5105" s="2" t="s">
        <v>5133</v>
      </c>
      <c r="B5105" s="3"/>
      <c r="C5105" s="3"/>
      <c r="D5105" s="3"/>
      <c r="E5105" s="5" t="str">
        <f>HYPERLINK("https://dpmzos25m8ivg.cloudfront.net/Documentos/631/12127496779/6311212749677913092023235453.jpeg","https://dpmzos25m8ivg.cloudfront.net/Documentos/631/12127496779/6311212749677913092023235453.jpeg")</f>
        <v>https://dpmzos25m8ivg.cloudfront.net/Documentos/631/12127496779/6311212749677913092023235453.jpeg</v>
      </c>
      <c r="F5105" s="5" t="str">
        <f>HYPERLINK("https://dpmzos25m8ivg.cloudfront.net/Documentos/631/12127496779/6311212749677913092023235605.jpeg","https://dpmzos25m8ivg.cloudfront.net/Documentos/631/12127496779/6311212749677913092023235605.jpeg")</f>
        <v>https://dpmzos25m8ivg.cloudfront.net/Documentos/631/12127496779/6311212749677913092023235605.jpeg</v>
      </c>
      <c r="G5105" s="5" t="str">
        <f>HYPERLINK("https://dpmzos25m8ivg.cloudfront.net/Documentos/631/12127496779/6311212749677913092023235707.jpeg","https://dpmzos25m8ivg.cloudfront.net/Documentos/631/12127496779/6311212749677913092023235707.jpeg")</f>
        <v>https://dpmzos25m8ivg.cloudfront.net/Documentos/631/12127496779/6311212749677913092023235707.jpeg</v>
      </c>
      <c r="H5105" s="5" t="s">
        <v>13678</v>
      </c>
    </row>
    <row r="5106" spans="1:8" x14ac:dyDescent="0.25">
      <c r="A5106" s="2" t="s">
        <v>5134</v>
      </c>
      <c r="B5106" s="3"/>
      <c r="C5106" s="3"/>
      <c r="D5106" s="3"/>
      <c r="E5106" s="5" t="str">
        <f>HYPERLINK("https://dpmzos25m8ivg.cloudfront.net/Documentos/631/12129605648/6311212960564805092023143225.pdf","https://dpmzos25m8ivg.cloudfront.net/Documentos/631/12129605648/6311212960564805092023143225.pdf")</f>
        <v>https://dpmzos25m8ivg.cloudfront.net/Documentos/631/12129605648/6311212960564805092023143225.pdf</v>
      </c>
      <c r="F5106" s="5" t="str">
        <f>HYPERLINK("https://dpmzos25m8ivg.cloudfront.net/Documentos/631/12129605648/6311212960564805092023142031.pdf","https://dpmzos25m8ivg.cloudfront.net/Documentos/631/12129605648/6311212960564805092023142031.pdf")</f>
        <v>https://dpmzos25m8ivg.cloudfront.net/Documentos/631/12129605648/6311212960564805092023142031.pdf</v>
      </c>
      <c r="G5106" s="5" t="str">
        <f>HYPERLINK("https://dpmzos25m8ivg.cloudfront.net/Documentos/631/12129605648/6311212960564805092023143317.pdf","https://dpmzos25m8ivg.cloudfront.net/Documentos/631/12129605648/6311212960564805092023143317.pdf")</f>
        <v>https://dpmzos25m8ivg.cloudfront.net/Documentos/631/12129605648/6311212960564805092023143317.pdf</v>
      </c>
      <c r="H5106" s="5" t="s">
        <v>13679</v>
      </c>
    </row>
    <row r="5107" spans="1:8" x14ac:dyDescent="0.25">
      <c r="A5107" s="2" t="s">
        <v>5135</v>
      </c>
      <c r="B5107" s="3"/>
      <c r="C5107" s="3"/>
      <c r="D5107" s="3"/>
      <c r="E5107" s="5" t="str">
        <f>HYPERLINK("https://dpmzos25m8ivg.cloudfront.net/Documentos/631/12133292640/6311213329264011092023091746.pdf","https://dpmzos25m8ivg.cloudfront.net/Documentos/631/12133292640/6311213329264011092023091746.pdf")</f>
        <v>https://dpmzos25m8ivg.cloudfront.net/Documentos/631/12133292640/6311213329264011092023091746.pdf</v>
      </c>
      <c r="F5107" s="5" t="str">
        <f>HYPERLINK("https://dpmzos25m8ivg.cloudfront.net/Documentos/631/12133292640/6311213329264011092023091802.pdf","https://dpmzos25m8ivg.cloudfront.net/Documentos/631/12133292640/6311213329264011092023091802.pdf")</f>
        <v>https://dpmzos25m8ivg.cloudfront.net/Documentos/631/12133292640/6311213329264011092023091802.pdf</v>
      </c>
      <c r="G5107" s="5" t="str">
        <f>HYPERLINK("https://dpmzos25m8ivg.cloudfront.net/Documentos/631/12133292640/6311213329264011092023091819.pdf","https://dpmzos25m8ivg.cloudfront.net/Documentos/631/12133292640/6311213329264011092023091819.pdf")</f>
        <v>https://dpmzos25m8ivg.cloudfront.net/Documentos/631/12133292640/6311213329264011092023091819.pdf</v>
      </c>
      <c r="H5107" s="5" t="s">
        <v>13680</v>
      </c>
    </row>
    <row r="5108" spans="1:8" x14ac:dyDescent="0.25">
      <c r="A5108" s="2" t="s">
        <v>5136</v>
      </c>
      <c r="B5108" s="3"/>
      <c r="C5108" s="3"/>
      <c r="D5108" s="3"/>
      <c r="E5108" s="5" t="str">
        <f>HYPERLINK("https://dpmzos25m8ivg.cloudfront.net/Documentos/631/12134220430/6311213422043010092023181637.pdf","https://dpmzos25m8ivg.cloudfront.net/Documentos/631/12134220430/6311213422043010092023181637.pdf")</f>
        <v>https://dpmzos25m8ivg.cloudfront.net/Documentos/631/12134220430/6311213422043010092023181637.pdf</v>
      </c>
      <c r="F5108" s="5" t="str">
        <f>HYPERLINK("https://dpmzos25m8ivg.cloudfront.net/Documentos/631/12134220430/6311213422043010092023181645.pdf","https://dpmzos25m8ivg.cloudfront.net/Documentos/631/12134220430/6311213422043010092023181645.pdf")</f>
        <v>https://dpmzos25m8ivg.cloudfront.net/Documentos/631/12134220430/6311213422043010092023181645.pdf</v>
      </c>
      <c r="G5108" s="5" t="str">
        <f>HYPERLINK("https://dpmzos25m8ivg.cloudfront.net/Documentos/631/12134220430/6311213422043010092023181655.pdf","https://dpmzos25m8ivg.cloudfront.net/Documentos/631/12134220430/6311213422043010092023181655.pdf")</f>
        <v>https://dpmzos25m8ivg.cloudfront.net/Documentos/631/12134220430/6311213422043010092023181655.pdf</v>
      </c>
      <c r="H5108" s="5" t="s">
        <v>13681</v>
      </c>
    </row>
    <row r="5109" spans="1:8" x14ac:dyDescent="0.25">
      <c r="A5109" s="2" t="s">
        <v>5137</v>
      </c>
      <c r="B5109" s="3"/>
      <c r="C5109" s="3"/>
      <c r="D5109" s="3"/>
      <c r="E5109" s="5" t="str">
        <f>HYPERLINK("https://dpmzos25m8ivg.cloudfront.net/Documentos/631/12136684418/6311213668441808092023235739.pdf","https://dpmzos25m8ivg.cloudfront.net/Documentos/631/12136684418/6311213668441808092023235739.pdf")</f>
        <v>https://dpmzos25m8ivg.cloudfront.net/Documentos/631/12136684418/6311213668441808092023235739.pdf</v>
      </c>
      <c r="F5109" s="5" t="str">
        <f>HYPERLINK("https://dpmzos25m8ivg.cloudfront.net/Documentos/631/12136684418/AT20586311213668441809092023000135.pdf","https://dpmzos25m8ivg.cloudfront.net/Documentos/631/12136684418/6311213668441809092023000135.pdf")</f>
        <v>https://dpmzos25m8ivg.cloudfront.net/Documentos/631/12136684418/6311213668441809092023000135.pdf</v>
      </c>
      <c r="G5109" s="5" t="str">
        <f>HYPERLINK("https://dpmzos25m8ivg.cloudfront.net/Documentos/631/12136684418/AR20366311213668441810092023001040.pdf","https://dpmzos25m8ivg.cloudfront.net/Documentos/631/12136684418/6311213668441810092023001040.pdf")</f>
        <v>https://dpmzos25m8ivg.cloudfront.net/Documentos/631/12136684418/6311213668441810092023001040.pdf</v>
      </c>
      <c r="H5109" s="5" t="s">
        <v>13682</v>
      </c>
    </row>
    <row r="5110" spans="1:8" x14ac:dyDescent="0.25">
      <c r="A5110" s="2" t="s">
        <v>5138</v>
      </c>
      <c r="B5110" s="19" t="s">
        <v>4857</v>
      </c>
      <c r="C5110" s="3"/>
      <c r="D5110" s="3"/>
      <c r="E5110" s="5" t="str">
        <f>HYPERLINK("https://dpmzos25m8ivg.cloudfront.net/Documentos/631/12137939711/6311213793971114092023160536.pdf","https://dpmzos25m8ivg.cloudfront.net/Documentos/631/12137939711/6311213793971114092023160536.pdf")</f>
        <v>https://dpmzos25m8ivg.cloudfront.net/Documentos/631/12137939711/6311213793971114092023160536.pdf</v>
      </c>
      <c r="F5110" s="5" t="str">
        <f>HYPERLINK("https://dpmzos25m8ivg.cloudfront.net/Documentos/631/12137939711/6311213793971114092023160543.pdf","https://dpmzos25m8ivg.cloudfront.net/Documentos/631/12137939711/6311213793971114092023160543.pdf")</f>
        <v>https://dpmzos25m8ivg.cloudfront.net/Documentos/631/12137939711/6311213793971114092023160543.pdf</v>
      </c>
      <c r="G5110" s="5" t="str">
        <f>HYPERLINK("https://dpmzos25m8ivg.cloudfront.net/Documentos/631/12137939711/6311213793971114092023161050.pdf","https://dpmzos25m8ivg.cloudfront.net/Documentos/631/12137939711/6311213793971114092023161050.pdf")</f>
        <v>https://dpmzos25m8ivg.cloudfront.net/Documentos/631/12137939711/6311213793971114092023161050.pdf</v>
      </c>
      <c r="H5110" s="5" t="s">
        <v>13683</v>
      </c>
    </row>
    <row r="5111" spans="1:8" x14ac:dyDescent="0.25">
      <c r="A5111" s="2" t="s">
        <v>5139</v>
      </c>
      <c r="B5111" s="3"/>
      <c r="C5111" s="3"/>
      <c r="D5111" s="3"/>
      <c r="E5111" s="5" t="str">
        <f>HYPERLINK("https://dpmzos25m8ivg.cloudfront.net/Documentos/631/12139504739/6311213950473911092023131628.pdf","https://dpmzos25m8ivg.cloudfront.net/Documentos/631/12139504739/6311213950473911092023131628.pdf")</f>
        <v>https://dpmzos25m8ivg.cloudfront.net/Documentos/631/12139504739/6311213950473911092023131628.pdf</v>
      </c>
      <c r="F5111" s="5" t="str">
        <f>HYPERLINK("https://dpmzos25m8ivg.cloudfront.net/Documentos/631/12139504739/6311213950473911092023131639.pdf","https://dpmzos25m8ivg.cloudfront.net/Documentos/631/12139504739/6311213950473911092023131639.pdf")</f>
        <v>https://dpmzos25m8ivg.cloudfront.net/Documentos/631/12139504739/6311213950473911092023131639.pdf</v>
      </c>
      <c r="G5111" s="5" t="str">
        <f>HYPERLINK("https://dpmzos25m8ivg.cloudfront.net/Documentos/631/12139504739/6311213950473911092023131651.pdf","https://dpmzos25m8ivg.cloudfront.net/Documentos/631/12139504739/6311213950473911092023131651.pdf")</f>
        <v>https://dpmzos25m8ivg.cloudfront.net/Documentos/631/12139504739/6311213950473911092023131651.pdf</v>
      </c>
      <c r="H5111" s="5" t="s">
        <v>13684</v>
      </c>
    </row>
    <row r="5112" spans="1:8" x14ac:dyDescent="0.25">
      <c r="A5112" s="2" t="s">
        <v>5140</v>
      </c>
      <c r="B5112" s="3"/>
      <c r="C5112" s="3"/>
      <c r="D5112" s="3"/>
      <c r="E5112" s="5" t="str">
        <f>HYPERLINK("https://dpmzos25m8ivg.cloudfront.net/Documentos/631/12147879673/6311214787967311092023080638.pdf","https://dpmzos25m8ivg.cloudfront.net/Documentos/631/12147879673/6311214787967311092023080638.pdf")</f>
        <v>https://dpmzos25m8ivg.cloudfront.net/Documentos/631/12147879673/6311214787967311092023080638.pdf</v>
      </c>
      <c r="F5112" s="5" t="str">
        <f>HYPERLINK("https://dpmzos25m8ivg.cloudfront.net/Documentos/631/12147879673/6311214787967311092023080644.pdf","https://dpmzos25m8ivg.cloudfront.net/Documentos/631/12147879673/6311214787967311092023080644.pdf")</f>
        <v>https://dpmzos25m8ivg.cloudfront.net/Documentos/631/12147879673/6311214787967311092023080644.pdf</v>
      </c>
      <c r="G5112" s="5" t="str">
        <f>HYPERLINK("https://dpmzos25m8ivg.cloudfront.net/Documentos/631/12147879673/6311214787967311092023080653.pdf","https://dpmzos25m8ivg.cloudfront.net/Documentos/631/12147879673/6311214787967311092023080653.pdf")</f>
        <v>https://dpmzos25m8ivg.cloudfront.net/Documentos/631/12147879673/6311214787967311092023080653.pdf</v>
      </c>
      <c r="H5112" s="5" t="s">
        <v>13685</v>
      </c>
    </row>
    <row r="5113" spans="1:8" x14ac:dyDescent="0.25">
      <c r="A5113" s="2" t="s">
        <v>5141</v>
      </c>
      <c r="B5113" s="3"/>
      <c r="C5113" s="3"/>
      <c r="D5113" s="3"/>
      <c r="E5113" s="5" t="str">
        <f>HYPERLINK("https://dpmzos25m8ivg.cloudfront.net/Documentos/631/12150949490/6311215094949011092023005807.pdf","https://dpmzos25m8ivg.cloudfront.net/Documentos/631/12150949490/6311215094949011092023005807.pdf")</f>
        <v>https://dpmzos25m8ivg.cloudfront.net/Documentos/631/12150949490/6311215094949011092023005807.pdf</v>
      </c>
      <c r="F5113" s="5" t="str">
        <f>HYPERLINK("https://dpmzos25m8ivg.cloudfront.net/Documentos/631/12150949490/6311215094949011092023005839.pdf","https://dpmzos25m8ivg.cloudfront.net/Documentos/631/12150949490/6311215094949011092023005839.pdf")</f>
        <v>https://dpmzos25m8ivg.cloudfront.net/Documentos/631/12150949490/6311215094949011092023005839.pdf</v>
      </c>
      <c r="G5113" s="5" t="str">
        <f>HYPERLINK("https://dpmzos25m8ivg.cloudfront.net/Documentos/631/12150949490/6311215094949011092023005852.pdf","https://dpmzos25m8ivg.cloudfront.net/Documentos/631/12150949490/6311215094949011092023005852.pdf")</f>
        <v>https://dpmzos25m8ivg.cloudfront.net/Documentos/631/12150949490/6311215094949011092023005852.pdf</v>
      </c>
      <c r="H5113" s="5" t="s">
        <v>13686</v>
      </c>
    </row>
    <row r="5114" spans="1:8" x14ac:dyDescent="0.25">
      <c r="A5114" s="2" t="s">
        <v>5142</v>
      </c>
      <c r="B5114" s="3"/>
      <c r="C5114" s="3"/>
      <c r="D5114" s="3"/>
      <c r="E5114" s="5" t="str">
        <f>HYPERLINK("https://dpmzos25m8ivg.cloudfront.net/Documentos/631/12152872673/6311215287267311092023094746.pdf","https://dpmzos25m8ivg.cloudfront.net/Documentos/631/12152872673/6311215287267311092023094746.pdf")</f>
        <v>https://dpmzos25m8ivg.cloudfront.net/Documentos/631/12152872673/6311215287267311092023094746.pdf</v>
      </c>
      <c r="F5114" s="5" t="str">
        <f>HYPERLINK("https://dpmzos25m8ivg.cloudfront.net/Documentos/631/12152872673/6311215287267311092023094759.pdf","https://dpmzos25m8ivg.cloudfront.net/Documentos/631/12152872673/6311215287267311092023094759.pdf")</f>
        <v>https://dpmzos25m8ivg.cloudfront.net/Documentos/631/12152872673/6311215287267311092023094759.pdf</v>
      </c>
      <c r="G5114" s="5" t="str">
        <f>HYPERLINK("https://dpmzos25m8ivg.cloudfront.net/Documentos/631/12152872673/6311215287267311092023094811.pdf","https://dpmzos25m8ivg.cloudfront.net/Documentos/631/12152872673/6311215287267311092023094811.pdf")</f>
        <v>https://dpmzos25m8ivg.cloudfront.net/Documentos/631/12152872673/6311215287267311092023094811.pdf</v>
      </c>
      <c r="H5114" s="5" t="s">
        <v>13687</v>
      </c>
    </row>
    <row r="5115" spans="1:8" x14ac:dyDescent="0.25">
      <c r="A5115" s="2" t="s">
        <v>5143</v>
      </c>
      <c r="B5115" s="3"/>
      <c r="C5115" s="3"/>
      <c r="D5115" s="3"/>
      <c r="E5115" s="5" t="str">
        <f>HYPERLINK("https://dpmzos25m8ivg.cloudfront.net/Documentos/631/12153323436/6311215332343611092023123344.pdf","https://dpmzos25m8ivg.cloudfront.net/Documentos/631/12153323436/6311215332343611092023123344.pdf")</f>
        <v>https://dpmzos25m8ivg.cloudfront.net/Documentos/631/12153323436/6311215332343611092023123344.pdf</v>
      </c>
      <c r="F5115" s="5" t="str">
        <f>HYPERLINK("https://dpmzos25m8ivg.cloudfront.net/Documentos/631/12153323436/6311215332343611092023123352.pdf","https://dpmzos25m8ivg.cloudfront.net/Documentos/631/12153323436/6311215332343611092023123352.pdf")</f>
        <v>https://dpmzos25m8ivg.cloudfront.net/Documentos/631/12153323436/6311215332343611092023123352.pdf</v>
      </c>
      <c r="G5115" s="5" t="str">
        <f>HYPERLINK("https://dpmzos25m8ivg.cloudfront.net/Documentos/631/12153323436/6311215332343611092023123359.pdf","https://dpmzos25m8ivg.cloudfront.net/Documentos/631/12153323436/6311215332343611092023123359.pdf")</f>
        <v>https://dpmzos25m8ivg.cloudfront.net/Documentos/631/12153323436/6311215332343611092023123359.pdf</v>
      </c>
      <c r="H5115" s="5" t="s">
        <v>13688</v>
      </c>
    </row>
    <row r="5116" spans="1:8" x14ac:dyDescent="0.25">
      <c r="A5116" s="2" t="s">
        <v>5144</v>
      </c>
      <c r="B5116" s="3"/>
      <c r="C5116" s="3"/>
      <c r="D5116" s="3"/>
      <c r="E5116" s="5" t="str">
        <f>HYPERLINK("https://dpmzos25m8ivg.cloudfront.net/Documentos/631/12154766986/6311215476698611092023163224.jpeg","https://dpmzos25m8ivg.cloudfront.net/Documentos/631/12154766986/6311215476698611092023163224.jpeg")</f>
        <v>https://dpmzos25m8ivg.cloudfront.net/Documentos/631/12154766986/6311215476698611092023163224.jpeg</v>
      </c>
      <c r="F5116" s="5" t="str">
        <f>HYPERLINK("https://dpmzos25m8ivg.cloudfront.net/Documentos/631/12154766986/6311215476698611092023163231.jpeg","https://dpmzos25m8ivg.cloudfront.net/Documentos/631/12154766986/6311215476698611092023163231.jpeg")</f>
        <v>https://dpmzos25m8ivg.cloudfront.net/Documentos/631/12154766986/6311215476698611092023163231.jpeg</v>
      </c>
      <c r="G5116" s="5" t="str">
        <f>HYPERLINK("https://dpmzos25m8ivg.cloudfront.net/Documentos/631/12154766986/6311215476698611092023163240.jpeg","https://dpmzos25m8ivg.cloudfront.net/Documentos/631/12154766986/6311215476698611092023163240.jpeg")</f>
        <v>https://dpmzos25m8ivg.cloudfront.net/Documentos/631/12154766986/6311215476698611092023163240.jpeg</v>
      </c>
      <c r="H5116" s="5" t="s">
        <v>13689</v>
      </c>
    </row>
    <row r="5117" spans="1:8" x14ac:dyDescent="0.25">
      <c r="A5117" s="2" t="s">
        <v>5145</v>
      </c>
      <c r="B5117" s="3"/>
      <c r="C5117" s="3"/>
      <c r="D5117" s="3"/>
      <c r="E5117" s="5" t="str">
        <f>HYPERLINK("https://dpmzos25m8ivg.cloudfront.net/Documentos/631/12154909680/6311215490968006092023003943.jpg","https://dpmzos25m8ivg.cloudfront.net/Documentos/631/12154909680/6311215490968006092023003943.jpg")</f>
        <v>https://dpmzos25m8ivg.cloudfront.net/Documentos/631/12154909680/6311215490968006092023003943.jpg</v>
      </c>
      <c r="F5117" s="5" t="str">
        <f>HYPERLINK("https://dpmzos25m8ivg.cloudfront.net/Documentos/631/12154909680/6311215490968006092023004052.jpg","https://dpmzos25m8ivg.cloudfront.net/Documentos/631/12154909680/6311215490968006092023004052.jpg")</f>
        <v>https://dpmzos25m8ivg.cloudfront.net/Documentos/631/12154909680/6311215490968006092023004052.jpg</v>
      </c>
      <c r="G5117" s="5" t="str">
        <f>HYPERLINK("https://dpmzos25m8ivg.cloudfront.net/Documentos/631/12154909680/6311215490968006092023004103.jpg","https://dpmzos25m8ivg.cloudfront.net/Documentos/631/12154909680/6311215490968006092023004103.jpg")</f>
        <v>https://dpmzos25m8ivg.cloudfront.net/Documentos/631/12154909680/6311215490968006092023004103.jpg</v>
      </c>
      <c r="H5117" s="5" t="s">
        <v>13690</v>
      </c>
    </row>
    <row r="5118" spans="1:8" x14ac:dyDescent="0.25">
      <c r="A5118" s="2" t="s">
        <v>5146</v>
      </c>
      <c r="B5118" s="3"/>
      <c r="C5118" s="3"/>
      <c r="D5118" s="3"/>
      <c r="E5118" s="5" t="str">
        <f>HYPERLINK("https://dpmzos25m8ivg.cloudfront.net/Documentos/631/12155796404/6311215579640410092023200744.pdf","https://dpmzos25m8ivg.cloudfront.net/Documentos/631/12155796404/6311215579640410092023200744.pdf")</f>
        <v>https://dpmzos25m8ivg.cloudfront.net/Documentos/631/12155796404/6311215579640410092023200744.pdf</v>
      </c>
      <c r="F5118" s="5" t="str">
        <f>HYPERLINK("https://dpmzos25m8ivg.cloudfront.net/Documentos/631/12155796404/6311215579640410092023201704.pdf","https://dpmzos25m8ivg.cloudfront.net/Documentos/631/12155796404/6311215579640410092023201704.pdf")</f>
        <v>https://dpmzos25m8ivg.cloudfront.net/Documentos/631/12155796404/6311215579640410092023201704.pdf</v>
      </c>
      <c r="G5118" s="5" t="str">
        <f>HYPERLINK("https://dpmzos25m8ivg.cloudfront.net/Documentos/631/12155796404/6311215579640410092023201738.pdf","https://dpmzos25m8ivg.cloudfront.net/Documentos/631/12155796404/6311215579640410092023201738.pdf")</f>
        <v>https://dpmzos25m8ivg.cloudfront.net/Documentos/631/12155796404/6311215579640410092023201738.pdf</v>
      </c>
      <c r="H5118" s="5" t="s">
        <v>13691</v>
      </c>
    </row>
    <row r="5119" spans="1:8" x14ac:dyDescent="0.25">
      <c r="A5119" s="2" t="s">
        <v>5147</v>
      </c>
      <c r="B5119" s="3"/>
      <c r="C5119" s="3"/>
      <c r="D5119" s="3"/>
      <c r="E5119" s="5" t="str">
        <f>HYPERLINK("https://dpmzos25m8ivg.cloudfront.net/Documentos/631/12159040452/6311215904045211092023112428.pdf","https://dpmzos25m8ivg.cloudfront.net/Documentos/631/12159040452/6311215904045211092023112428.pdf")</f>
        <v>https://dpmzos25m8ivg.cloudfront.net/Documentos/631/12159040452/6311215904045211092023112428.pdf</v>
      </c>
      <c r="F5119" s="5" t="str">
        <f>HYPERLINK("https://dpmzos25m8ivg.cloudfront.net/Documentos/631/12159040452/6311215904045211092023112453.pdf","https://dpmzos25m8ivg.cloudfront.net/Documentos/631/12159040452/6311215904045211092023112453.pdf")</f>
        <v>https://dpmzos25m8ivg.cloudfront.net/Documentos/631/12159040452/6311215904045211092023112453.pdf</v>
      </c>
      <c r="G5119" s="5" t="str">
        <f>HYPERLINK("https://dpmzos25m8ivg.cloudfront.net/Documentos/631/12159040452/6311215904045211092023112500.pdf","https://dpmzos25m8ivg.cloudfront.net/Documentos/631/12159040452/6311215904045211092023112500.pdf")</f>
        <v>https://dpmzos25m8ivg.cloudfront.net/Documentos/631/12159040452/6311215904045211092023112500.pdf</v>
      </c>
      <c r="H5119" s="5" t="s">
        <v>13692</v>
      </c>
    </row>
    <row r="5120" spans="1:8" x14ac:dyDescent="0.25">
      <c r="A5120" s="2" t="s">
        <v>5148</v>
      </c>
      <c r="B5120" s="3"/>
      <c r="C5120" s="3"/>
      <c r="D5120" s="3"/>
      <c r="E5120" s="5" t="str">
        <f>HYPERLINK("https://dpmzos25m8ivg.cloudfront.net/Documentos/631/12159974692/6311215997469211092023151904.pdf","https://dpmzos25m8ivg.cloudfront.net/Documentos/631/12159974692/6311215997469211092023151904.pdf")</f>
        <v>https://dpmzos25m8ivg.cloudfront.net/Documentos/631/12159974692/6311215997469211092023151904.pdf</v>
      </c>
      <c r="F5120" s="5" t="str">
        <f>HYPERLINK("https://dpmzos25m8ivg.cloudfront.net/Documentos/631/12159974692/6311215997469211092023151926.pdf","https://dpmzos25m8ivg.cloudfront.net/Documentos/631/12159974692/6311215997469211092023151926.pdf")</f>
        <v>https://dpmzos25m8ivg.cloudfront.net/Documentos/631/12159974692/6311215997469211092023151926.pdf</v>
      </c>
      <c r="G5120" s="5" t="str">
        <f>HYPERLINK("https://dpmzos25m8ivg.cloudfront.net/Documentos/631/12159974692/6311215997469211092023151942.pdf","https://dpmzos25m8ivg.cloudfront.net/Documentos/631/12159974692/6311215997469211092023151942.pdf")</f>
        <v>https://dpmzos25m8ivg.cloudfront.net/Documentos/631/12159974692/6311215997469211092023151942.pdf</v>
      </c>
      <c r="H5120" s="5" t="s">
        <v>13693</v>
      </c>
    </row>
    <row r="5121" spans="1:8" x14ac:dyDescent="0.25">
      <c r="A5121" s="2" t="s">
        <v>5149</v>
      </c>
      <c r="B5121" s="3"/>
      <c r="C5121" s="3"/>
      <c r="D5121" s="3"/>
      <c r="E5121" s="5" t="str">
        <f>HYPERLINK("https://dpmzos25m8ivg.cloudfront.net/Documentos/631/12160671800/6311216067180010092023184015.pdf","https://dpmzos25m8ivg.cloudfront.net/Documentos/631/12160671800/6311216067180010092023184015.pdf")</f>
        <v>https://dpmzos25m8ivg.cloudfront.net/Documentos/631/12160671800/6311216067180010092023184015.pdf</v>
      </c>
      <c r="F5121" s="5" t="str">
        <f>HYPERLINK("https://dpmzos25m8ivg.cloudfront.net/Documentos/631/12160671800/6311216067180010092023184116.pdf","https://dpmzos25m8ivg.cloudfront.net/Documentos/631/12160671800/6311216067180010092023184116.pdf")</f>
        <v>https://dpmzos25m8ivg.cloudfront.net/Documentos/631/12160671800/6311216067180010092023184116.pdf</v>
      </c>
      <c r="G5121" s="5" t="str">
        <f>HYPERLINK("https://dpmzos25m8ivg.cloudfront.net/Documentos/631/12160671800/6311216067180010092023184141.pdf","https://dpmzos25m8ivg.cloudfront.net/Documentos/631/12160671800/6311216067180010092023184141.pdf")</f>
        <v>https://dpmzos25m8ivg.cloudfront.net/Documentos/631/12160671800/6311216067180010092023184141.pdf</v>
      </c>
      <c r="H5121" s="5" t="s">
        <v>13694</v>
      </c>
    </row>
    <row r="5122" spans="1:8" x14ac:dyDescent="0.25">
      <c r="A5122" s="2" t="s">
        <v>5150</v>
      </c>
      <c r="B5122" s="3"/>
      <c r="C5122" s="3"/>
      <c r="D5122" s="3"/>
      <c r="E5122" s="5" t="str">
        <f>HYPERLINK("https://dpmzos25m8ivg.cloudfront.net/Documentos/631/12164907400/6311216490740010092023155002.pdf","https://dpmzos25m8ivg.cloudfront.net/Documentos/631/12164907400/6311216490740010092023155002.pdf")</f>
        <v>https://dpmzos25m8ivg.cloudfront.net/Documentos/631/12164907400/6311216490740010092023155002.pdf</v>
      </c>
      <c r="F5122" s="5" t="str">
        <f>HYPERLINK("https://dpmzos25m8ivg.cloudfront.net/Documentos/631/12164907400/6311216490740010092023155019.pdf","https://dpmzos25m8ivg.cloudfront.net/Documentos/631/12164907400/6311216490740010092023155019.pdf")</f>
        <v>https://dpmzos25m8ivg.cloudfront.net/Documentos/631/12164907400/6311216490740010092023155019.pdf</v>
      </c>
      <c r="G5122" s="5" t="str">
        <f>HYPERLINK("https://dpmzos25m8ivg.cloudfront.net/Documentos/631/12164907400/6311216490740010092023155037.pdf","https://dpmzos25m8ivg.cloudfront.net/Documentos/631/12164907400/6311216490740010092023155037.pdf")</f>
        <v>https://dpmzos25m8ivg.cloudfront.net/Documentos/631/12164907400/6311216490740010092023155037.pdf</v>
      </c>
      <c r="H5122" s="5" t="s">
        <v>13695</v>
      </c>
    </row>
    <row r="5123" spans="1:8" x14ac:dyDescent="0.25">
      <c r="A5123" s="2" t="s">
        <v>5151</v>
      </c>
      <c r="B5123" s="3"/>
      <c r="C5123" s="3"/>
      <c r="D5123" s="3"/>
      <c r="E5123" s="5" t="str">
        <f>HYPERLINK("https://dpmzos25m8ivg.cloudfront.net/Documentos/631/12166905617/6311216690561706092023142311.pdf","https://dpmzos25m8ivg.cloudfront.net/Documentos/631/12166905617/6311216690561706092023142311.pdf")</f>
        <v>https://dpmzos25m8ivg.cloudfront.net/Documentos/631/12166905617/6311216690561706092023142311.pdf</v>
      </c>
      <c r="F5123" s="5" t="str">
        <f>HYPERLINK("https://dpmzos25m8ivg.cloudfront.net/Documentos/631/12166905617/6311216690561706092023142323.pdf","https://dpmzos25m8ivg.cloudfront.net/Documentos/631/12166905617/6311216690561706092023142323.pdf")</f>
        <v>https://dpmzos25m8ivg.cloudfront.net/Documentos/631/12166905617/6311216690561706092023142323.pdf</v>
      </c>
      <c r="G5123" s="5" t="str">
        <f>HYPERLINK("https://dpmzos25m8ivg.cloudfront.net/Documentos/631/12166905617/6311216690561706092023142337.pdf","https://dpmzos25m8ivg.cloudfront.net/Documentos/631/12166905617/6311216690561706092023142337.pdf")</f>
        <v>https://dpmzos25m8ivg.cloudfront.net/Documentos/631/12166905617/6311216690561706092023142337.pdf</v>
      </c>
      <c r="H5123" s="5" t="s">
        <v>13696</v>
      </c>
    </row>
    <row r="5124" spans="1:8" x14ac:dyDescent="0.25">
      <c r="A5124" s="2" t="s">
        <v>5152</v>
      </c>
      <c r="B5124" s="3"/>
      <c r="C5124" s="3"/>
      <c r="D5124" s="3"/>
      <c r="E5124" s="5" t="str">
        <f>HYPERLINK("https://dpmzos25m8ivg.cloudfront.net/Documentos/631/12167300409/6311216730040909092023131131.pdf","https://dpmzos25m8ivg.cloudfront.net/Documentos/631/12167300409/6311216730040909092023131131.pdf")</f>
        <v>https://dpmzos25m8ivg.cloudfront.net/Documentos/631/12167300409/6311216730040909092023131131.pdf</v>
      </c>
      <c r="F5124" s="5" t="str">
        <f>HYPERLINK("https://dpmzos25m8ivg.cloudfront.net/Documentos/631/12167300409/6311216730040909092023131142.pdf","https://dpmzos25m8ivg.cloudfront.net/Documentos/631/12167300409/6311216730040909092023131142.pdf")</f>
        <v>https://dpmzos25m8ivg.cloudfront.net/Documentos/631/12167300409/6311216730040909092023131142.pdf</v>
      </c>
      <c r="G5124" s="5" t="str">
        <f>HYPERLINK("https://dpmzos25m8ivg.cloudfront.net/Documentos/631/12167300409/6311216730040909092023131152.pdf","https://dpmzos25m8ivg.cloudfront.net/Documentos/631/12167300409/6311216730040909092023131152.pdf")</f>
        <v>https://dpmzos25m8ivg.cloudfront.net/Documentos/631/12167300409/6311216730040909092023131152.pdf</v>
      </c>
      <c r="H5124" s="5" t="s">
        <v>13697</v>
      </c>
    </row>
    <row r="5125" spans="1:8" x14ac:dyDescent="0.25">
      <c r="A5125" s="2" t="s">
        <v>5153</v>
      </c>
      <c r="B5125" s="3"/>
      <c r="C5125" s="3"/>
      <c r="D5125" s="3"/>
      <c r="E5125" s="5" t="str">
        <f>HYPERLINK("https://dpmzos25m8ivg.cloudfront.net/Documentos/631/12168205701/6311216820570111092023111218.jpg","https://dpmzos25m8ivg.cloudfront.net/Documentos/631/12168205701/6311216820570111092023111218.jpg")</f>
        <v>https://dpmzos25m8ivg.cloudfront.net/Documentos/631/12168205701/6311216820570111092023111218.jpg</v>
      </c>
      <c r="F5125" s="5" t="str">
        <f>HYPERLINK("https://dpmzos25m8ivg.cloudfront.net/Documentos/631/12168205701/6311216820570111092023111229.jpg","https://dpmzos25m8ivg.cloudfront.net/Documentos/631/12168205701/6311216820570111092023111229.jpg")</f>
        <v>https://dpmzos25m8ivg.cloudfront.net/Documentos/631/12168205701/6311216820570111092023111229.jpg</v>
      </c>
      <c r="G5125" s="5" t="str">
        <f>HYPERLINK("https://dpmzos25m8ivg.cloudfront.net/Documentos/631/12168205701/6311216820570111092023111244.jpg","https://dpmzos25m8ivg.cloudfront.net/Documentos/631/12168205701/6311216820570111092023111244.jpg")</f>
        <v>https://dpmzos25m8ivg.cloudfront.net/Documentos/631/12168205701/6311216820570111092023111244.jpg</v>
      </c>
      <c r="H5125" s="5" t="s">
        <v>13698</v>
      </c>
    </row>
    <row r="5126" spans="1:8" x14ac:dyDescent="0.25">
      <c r="A5126" s="2" t="s">
        <v>5154</v>
      </c>
      <c r="B5126" s="3"/>
      <c r="C5126" s="3"/>
      <c r="D5126" s="3"/>
      <c r="E5126" s="5" t="str">
        <f>HYPERLINK("https://dpmzos25m8ivg.cloudfront.net/Documentos/631/12175987400/6311217598740011092023165841.jpg","https://dpmzos25m8ivg.cloudfront.net/Documentos/631/12175987400/6311217598740011092023165841.jpg")</f>
        <v>https://dpmzos25m8ivg.cloudfront.net/Documentos/631/12175987400/6311217598740011092023165841.jpg</v>
      </c>
      <c r="F5126" s="5" t="str">
        <f>HYPERLINK("https://dpmzos25m8ivg.cloudfront.net/Documentos/631/12175987400/6311217598740011092023165849.jpg","https://dpmzos25m8ivg.cloudfront.net/Documentos/631/12175987400/6311217598740011092023165849.jpg")</f>
        <v>https://dpmzos25m8ivg.cloudfront.net/Documentos/631/12175987400/6311217598740011092023165849.jpg</v>
      </c>
      <c r="G5126" s="5" t="str">
        <f>HYPERLINK("https://dpmzos25m8ivg.cloudfront.net/Documentos/631/12175987400/6311217598740011092023165858.jpg","https://dpmzos25m8ivg.cloudfront.net/Documentos/631/12175987400/6311217598740011092023165858.jpg")</f>
        <v>https://dpmzos25m8ivg.cloudfront.net/Documentos/631/12175987400/6311217598740011092023165858.jpg</v>
      </c>
      <c r="H5126" s="5" t="s">
        <v>13699</v>
      </c>
    </row>
    <row r="5127" spans="1:8" x14ac:dyDescent="0.25">
      <c r="A5127" s="2" t="s">
        <v>5155</v>
      </c>
      <c r="B5127" s="16" t="s">
        <v>5069</v>
      </c>
      <c r="C5127" s="3"/>
      <c r="D5127" s="3"/>
      <c r="E5127" s="5" t="str">
        <f>HYPERLINK("https://dpmzos25m8ivg.cloudfront.net/Documentos/631/12181543739/6311218154373911092023111953.jpg","https://dpmzos25m8ivg.cloudfront.net/Documentos/631/12181543739/6311218154373911092023111953.jpg")</f>
        <v>https://dpmzos25m8ivg.cloudfront.net/Documentos/631/12181543739/6311218154373911092023111953.jpg</v>
      </c>
      <c r="F5127" s="5" t="str">
        <f>HYPERLINK("https://dpmzos25m8ivg.cloudfront.net/Documentos/631/12181543739/6311218154373911092023111942.jpg","https://dpmzos25m8ivg.cloudfront.net/Documentos/631/12181543739/6311218154373911092023111942.jpg")</f>
        <v>https://dpmzos25m8ivg.cloudfront.net/Documentos/631/12181543739/6311218154373911092023111942.jpg</v>
      </c>
      <c r="G5127" s="5" t="str">
        <f>HYPERLINK("https://dpmzos25m8ivg.cloudfront.net/Documentos/631/12181543739/6311218154373911092023111933.jpg","https://dpmzos25m8ivg.cloudfront.net/Documentos/631/12181543739/6311218154373911092023111933.jpg")</f>
        <v>https://dpmzos25m8ivg.cloudfront.net/Documentos/631/12181543739/6311218154373911092023111933.jpg</v>
      </c>
      <c r="H5127" s="5" t="s">
        <v>13700</v>
      </c>
    </row>
    <row r="5128" spans="1:8" x14ac:dyDescent="0.25">
      <c r="A5128" s="2" t="s">
        <v>5156</v>
      </c>
      <c r="B5128" s="3"/>
      <c r="C5128" s="3"/>
      <c r="D5128" s="3"/>
      <c r="E5128" s="5" t="str">
        <f>HYPERLINK("https://dpmzos25m8ivg.cloudfront.net/Documentos/631/12184172421/6311218417242104092023222513.jpg","https://dpmzos25m8ivg.cloudfront.net/Documentos/631/12184172421/6311218417242104092023222513.jpg")</f>
        <v>https://dpmzos25m8ivg.cloudfront.net/Documentos/631/12184172421/6311218417242104092023222513.jpg</v>
      </c>
      <c r="F5128" s="5" t="str">
        <f>HYPERLINK("https://dpmzos25m8ivg.cloudfront.net/Documentos/631/12184172421/6311218417242104092023214415.jpg","https://dpmzos25m8ivg.cloudfront.net/Documentos/631/12184172421/6311218417242104092023214415.jpg")</f>
        <v>https://dpmzos25m8ivg.cloudfront.net/Documentos/631/12184172421/6311218417242104092023214415.jpg</v>
      </c>
      <c r="G5128" s="5" t="str">
        <f>HYPERLINK("https://dpmzos25m8ivg.cloudfront.net/Documentos/631/12184172421/6311218417242104092023214641.jpg","https://dpmzos25m8ivg.cloudfront.net/Documentos/631/12184172421/6311218417242104092023214641.jpg")</f>
        <v>https://dpmzos25m8ivg.cloudfront.net/Documentos/631/12184172421/6311218417242104092023214641.jpg</v>
      </c>
      <c r="H5128" s="5" t="s">
        <v>13701</v>
      </c>
    </row>
    <row r="5129" spans="1:8" x14ac:dyDescent="0.25">
      <c r="A5129" s="2" t="s">
        <v>5157</v>
      </c>
      <c r="B5129" s="16" t="s">
        <v>5069</v>
      </c>
      <c r="C5129" s="3"/>
      <c r="D5129" s="3"/>
      <c r="E5129" s="5" t="str">
        <f>HYPERLINK("https://dpmzos25m8ivg.cloudfront.net/Documentos/631/12192493436/6311219249343611092023162518.pdf","https://dpmzos25m8ivg.cloudfront.net/Documentos/631/12192493436/6311219249343611092023162518.pdf")</f>
        <v>https://dpmzos25m8ivg.cloudfront.net/Documentos/631/12192493436/6311219249343611092023162518.pdf</v>
      </c>
      <c r="F5129" s="5" t="str">
        <f>HYPERLINK("https://dpmzos25m8ivg.cloudfront.net/Documentos/631/12192493436/6311219249343611092023162529.pdf","https://dpmzos25m8ivg.cloudfront.net/Documentos/631/12192493436/6311219249343611092023162529.pdf")</f>
        <v>https://dpmzos25m8ivg.cloudfront.net/Documentos/631/12192493436/6311219249343611092023162529.pdf</v>
      </c>
      <c r="G5129" s="5" t="str">
        <f>HYPERLINK("https://dpmzos25m8ivg.cloudfront.net/Documentos/631/12192493436/6311219249343611092023162536.pdf","https://dpmzos25m8ivg.cloudfront.net/Documentos/631/12192493436/6311219249343611092023162536.pdf")</f>
        <v>https://dpmzos25m8ivg.cloudfront.net/Documentos/631/12192493436/6311219249343611092023162536.pdf</v>
      </c>
      <c r="H5129" s="5" t="s">
        <v>13702</v>
      </c>
    </row>
    <row r="5130" spans="1:8" x14ac:dyDescent="0.25">
      <c r="A5130" s="2" t="s">
        <v>5158</v>
      </c>
      <c r="B5130" s="3"/>
      <c r="C5130" s="3"/>
      <c r="D5130" s="3"/>
      <c r="E5130" s="5" t="str">
        <f>HYPERLINK("https://dpmzos25m8ivg.cloudfront.net/Documentos/631/12201565740/6311220156574011092023145551.pdf","https://dpmzos25m8ivg.cloudfront.net/Documentos/631/12201565740/6311220156574011092023145551.pdf")</f>
        <v>https://dpmzos25m8ivg.cloudfront.net/Documentos/631/12201565740/6311220156574011092023145551.pdf</v>
      </c>
      <c r="F5130" s="5" t="str">
        <f>HYPERLINK("https://dpmzos25m8ivg.cloudfront.net/Documentos/631/12201565740/6311220156574011092023145606.pdf","https://dpmzos25m8ivg.cloudfront.net/Documentos/631/12201565740/6311220156574011092023145606.pdf")</f>
        <v>https://dpmzos25m8ivg.cloudfront.net/Documentos/631/12201565740/6311220156574011092023145606.pdf</v>
      </c>
      <c r="G5130" s="5" t="str">
        <f>HYPERLINK("https://dpmzos25m8ivg.cloudfront.net/Documentos/631/12201565740/6311220156574011092023145623.pdf","https://dpmzos25m8ivg.cloudfront.net/Documentos/631/12201565740/6311220156574011092023145623.pdf")</f>
        <v>https://dpmzos25m8ivg.cloudfront.net/Documentos/631/12201565740/6311220156574011092023145623.pdf</v>
      </c>
      <c r="H5130" s="5" t="s">
        <v>13703</v>
      </c>
    </row>
    <row r="5131" spans="1:8" x14ac:dyDescent="0.25">
      <c r="A5131" s="2" t="s">
        <v>5159</v>
      </c>
      <c r="B5131" s="3"/>
      <c r="C5131" s="3"/>
      <c r="D5131" s="3"/>
      <c r="E5131" s="5" t="str">
        <f>HYPERLINK("https://dpmzos25m8ivg.cloudfront.net/Documentos/631/12202092790/6311220209279014092023121432.pdf","https://dpmzos25m8ivg.cloudfront.net/Documentos/631/12202092790/6311220209279014092023121432.pdf")</f>
        <v>https://dpmzos25m8ivg.cloudfront.net/Documentos/631/12202092790/6311220209279014092023121432.pdf</v>
      </c>
      <c r="F5131" s="5" t="str">
        <f>HYPERLINK("https://dpmzos25m8ivg.cloudfront.net/Documentos/631/12202092790/6311220209279014092023121515.pdf","https://dpmzos25m8ivg.cloudfront.net/Documentos/631/12202092790/6311220209279014092023121515.pdf")</f>
        <v>https://dpmzos25m8ivg.cloudfront.net/Documentos/631/12202092790/6311220209279014092023121515.pdf</v>
      </c>
      <c r="G5131" s="5" t="str">
        <f>HYPERLINK("https://dpmzos25m8ivg.cloudfront.net/Documentos/631/12202092790/6311220209279014092023121630.pdf","https://dpmzos25m8ivg.cloudfront.net/Documentos/631/12202092790/6311220209279014092023121630.pdf")</f>
        <v>https://dpmzos25m8ivg.cloudfront.net/Documentos/631/12202092790/6311220209279014092023121630.pdf</v>
      </c>
      <c r="H5131" s="5" t="s">
        <v>13704</v>
      </c>
    </row>
    <row r="5132" spans="1:8" x14ac:dyDescent="0.25">
      <c r="A5132" s="2" t="s">
        <v>5160</v>
      </c>
      <c r="B5132" s="3"/>
      <c r="C5132" s="3"/>
      <c r="D5132" s="3"/>
      <c r="E5132" s="5" t="str">
        <f>HYPERLINK("https://dpmzos25m8ivg.cloudfront.net/Documentos/631/12202642617/6311220264261711092023113937.jpeg","https://dpmzos25m8ivg.cloudfront.net/Documentos/631/12202642617/6311220264261711092023113937.jpeg")</f>
        <v>https://dpmzos25m8ivg.cloudfront.net/Documentos/631/12202642617/6311220264261711092023113937.jpeg</v>
      </c>
      <c r="F5132" s="5" t="str">
        <f>HYPERLINK("https://dpmzos25m8ivg.cloudfront.net/Documentos/631/12202642617/6311220264261711092023113945.jpeg","https://dpmzos25m8ivg.cloudfront.net/Documentos/631/12202642617/6311220264261711092023113945.jpeg")</f>
        <v>https://dpmzos25m8ivg.cloudfront.net/Documentos/631/12202642617/6311220264261711092023113945.jpeg</v>
      </c>
      <c r="G5132" s="5" t="str">
        <f>HYPERLINK("https://dpmzos25m8ivg.cloudfront.net/Documentos/631/12202642617/6311220264261711092023113952.jpeg","https://dpmzos25m8ivg.cloudfront.net/Documentos/631/12202642617/6311220264261711092023113952.jpeg")</f>
        <v>https://dpmzos25m8ivg.cloudfront.net/Documentos/631/12202642617/6311220264261711092023113952.jpeg</v>
      </c>
      <c r="H5132" s="5" t="s">
        <v>13705</v>
      </c>
    </row>
    <row r="5133" spans="1:8" x14ac:dyDescent="0.25">
      <c r="A5133" s="2" t="s">
        <v>5161</v>
      </c>
      <c r="B5133" s="3"/>
      <c r="C5133" s="3"/>
      <c r="D5133" s="3"/>
      <c r="E5133" s="5" t="str">
        <f>HYPERLINK("https://dpmzos25m8ivg.cloudfront.net/Documentos/631/12203215674/6311220321567411092023134306.jpg","https://dpmzos25m8ivg.cloudfront.net/Documentos/631/12203215674/6311220321567411092023134306.jpg")</f>
        <v>https://dpmzos25m8ivg.cloudfront.net/Documentos/631/12203215674/6311220321567411092023134306.jpg</v>
      </c>
      <c r="F5133" s="5" t="str">
        <f>HYPERLINK("https://dpmzos25m8ivg.cloudfront.net/Documentos/631/12203215674/6311220321567411092023134311.jpg","https://dpmzos25m8ivg.cloudfront.net/Documentos/631/12203215674/6311220321567411092023134311.jpg")</f>
        <v>https://dpmzos25m8ivg.cloudfront.net/Documentos/631/12203215674/6311220321567411092023134311.jpg</v>
      </c>
      <c r="G5133" s="5" t="str">
        <f>HYPERLINK("https://dpmzos25m8ivg.cloudfront.net/Documentos/631/12203215674/6311220321567411092023134319.jpg","https://dpmzos25m8ivg.cloudfront.net/Documentos/631/12203215674/6311220321567411092023134319.jpg")</f>
        <v>https://dpmzos25m8ivg.cloudfront.net/Documentos/631/12203215674/6311220321567411092023134319.jpg</v>
      </c>
      <c r="H5133" s="5" t="s">
        <v>13706</v>
      </c>
    </row>
    <row r="5134" spans="1:8" x14ac:dyDescent="0.25">
      <c r="A5134" s="2" t="s">
        <v>5162</v>
      </c>
      <c r="B5134" s="3"/>
      <c r="C5134" s="3"/>
      <c r="D5134" s="3"/>
      <c r="E5134" s="5" t="str">
        <f>HYPERLINK("https://dpmzos25m8ivg.cloudfront.net/Documentos/631/12206179628/6311220617962810092023152232.pdf","https://dpmzos25m8ivg.cloudfront.net/Documentos/631/12206179628/6311220617962810092023152232.pdf")</f>
        <v>https://dpmzos25m8ivg.cloudfront.net/Documentos/631/12206179628/6311220617962810092023152232.pdf</v>
      </c>
      <c r="F5134" s="5" t="str">
        <f>HYPERLINK("https://dpmzos25m8ivg.cloudfront.net/Documentos/631/12206179628/6311220617962810092023152248.pdf","https://dpmzos25m8ivg.cloudfront.net/Documentos/631/12206179628/6311220617962810092023152248.pdf")</f>
        <v>https://dpmzos25m8ivg.cloudfront.net/Documentos/631/12206179628/6311220617962810092023152248.pdf</v>
      </c>
      <c r="G5134" s="5" t="str">
        <f>HYPERLINK("https://dpmzos25m8ivg.cloudfront.net/Documentos/631/12206179628/6311220617962810092023152305.pdf","https://dpmzos25m8ivg.cloudfront.net/Documentos/631/12206179628/6311220617962810092023152305.pdf")</f>
        <v>https://dpmzos25m8ivg.cloudfront.net/Documentos/631/12206179628/6311220617962810092023152305.pdf</v>
      </c>
      <c r="H5134" s="5" t="s">
        <v>13707</v>
      </c>
    </row>
    <row r="5135" spans="1:8" x14ac:dyDescent="0.25">
      <c r="A5135" s="2" t="s">
        <v>5163</v>
      </c>
      <c r="B5135" s="3"/>
      <c r="C5135" s="3"/>
      <c r="D5135" s="3"/>
      <c r="E5135" s="5" t="str">
        <f>HYPERLINK("https://dpmzos25m8ivg.cloudfront.net/Documentos/631/12206213400/6311220621340011092023110927.pdf","https://dpmzos25m8ivg.cloudfront.net/Documentos/631/12206213400/6311220621340011092023110927.pdf")</f>
        <v>https://dpmzos25m8ivg.cloudfront.net/Documentos/631/12206213400/6311220621340011092023110927.pdf</v>
      </c>
      <c r="F5135" s="5" t="str">
        <f>HYPERLINK("https://dpmzos25m8ivg.cloudfront.net/Documentos/631/12206213400/6311220621340011092023110937.pdf","https://dpmzos25m8ivg.cloudfront.net/Documentos/631/12206213400/6311220621340011092023110937.pdf")</f>
        <v>https://dpmzos25m8ivg.cloudfront.net/Documentos/631/12206213400/6311220621340011092023110937.pdf</v>
      </c>
      <c r="G5135" s="5" t="str">
        <f>HYPERLINK("https://dpmzos25m8ivg.cloudfront.net/Documentos/631/12206213400/6311220621340011092023110952.pdf","https://dpmzos25m8ivg.cloudfront.net/Documentos/631/12206213400/6311220621340011092023110952.pdf")</f>
        <v>https://dpmzos25m8ivg.cloudfront.net/Documentos/631/12206213400/6311220621340011092023110952.pdf</v>
      </c>
      <c r="H5135" s="5" t="s">
        <v>13708</v>
      </c>
    </row>
    <row r="5136" spans="1:8" x14ac:dyDescent="0.25">
      <c r="A5136" s="2" t="s">
        <v>5164</v>
      </c>
      <c r="B5136" s="3"/>
      <c r="C5136" s="3"/>
      <c r="D5136" s="3"/>
      <c r="E5136" s="5" t="str">
        <f>HYPERLINK("https://dpmzos25m8ivg.cloudfront.net/Documentos/631/12207786722/6311220778672214092023145214.jpg","https://dpmzos25m8ivg.cloudfront.net/Documentos/631/12207786722/6311220778672214092023145214.jpg")</f>
        <v>https://dpmzos25m8ivg.cloudfront.net/Documentos/631/12207786722/6311220778672214092023145214.jpg</v>
      </c>
      <c r="F5136" s="5" t="str">
        <f>HYPERLINK("https://dpmzos25m8ivg.cloudfront.net/Documentos/631/12207786722/6311220778672214092023145418.jpg","https://dpmzos25m8ivg.cloudfront.net/Documentos/631/12207786722/6311220778672214092023145418.jpg")</f>
        <v>https://dpmzos25m8ivg.cloudfront.net/Documentos/631/12207786722/6311220778672214092023145418.jpg</v>
      </c>
      <c r="G5136" s="5" t="str">
        <f>HYPERLINK("https://dpmzos25m8ivg.cloudfront.net/Documentos/631/12207786722/6311220778672214092023145612.jpg","https://dpmzos25m8ivg.cloudfront.net/Documentos/631/12207786722/6311220778672214092023145612.jpg")</f>
        <v>https://dpmzos25m8ivg.cloudfront.net/Documentos/631/12207786722/6311220778672214092023145612.jpg</v>
      </c>
      <c r="H5136" s="5" t="s">
        <v>13709</v>
      </c>
    </row>
    <row r="5137" spans="1:8" x14ac:dyDescent="0.25">
      <c r="A5137" s="2" t="s">
        <v>5165</v>
      </c>
      <c r="B5137" s="3"/>
      <c r="C5137" s="3"/>
      <c r="D5137" s="3"/>
      <c r="E5137" s="5" t="str">
        <f>HYPERLINK("https://dpmzos25m8ivg.cloudfront.net/Documentos/631/12209665841/6311220966584111092023170223.jpg","https://dpmzos25m8ivg.cloudfront.net/Documentos/631/12209665841/6311220966584111092023170223.jpg")</f>
        <v>https://dpmzos25m8ivg.cloudfront.net/Documentos/631/12209665841/6311220966584111092023170223.jpg</v>
      </c>
      <c r="F5137" s="5" t="str">
        <f>HYPERLINK("https://dpmzos25m8ivg.cloudfront.net/Documentos/631/12209665841/6311220966584111092023170643.jpg","https://dpmzos25m8ivg.cloudfront.net/Documentos/631/12209665841/6311220966584111092023170643.jpg")</f>
        <v>https://dpmzos25m8ivg.cloudfront.net/Documentos/631/12209665841/6311220966584111092023170643.jpg</v>
      </c>
      <c r="G5137" s="5" t="str">
        <f>HYPERLINK("https://dpmzos25m8ivg.cloudfront.net/Documentos/631/12209665841/6311220966584111092023170659.jpg","https://dpmzos25m8ivg.cloudfront.net/Documentos/631/12209665841/6311220966584111092023170659.jpg")</f>
        <v>https://dpmzos25m8ivg.cloudfront.net/Documentos/631/12209665841/6311220966584111092023170659.jpg</v>
      </c>
      <c r="H5137" s="5" t="s">
        <v>13710</v>
      </c>
    </row>
    <row r="5138" spans="1:8" x14ac:dyDescent="0.25">
      <c r="A5138" s="2" t="s">
        <v>5166</v>
      </c>
      <c r="B5138" s="3"/>
      <c r="C5138" s="3"/>
      <c r="D5138" s="3"/>
      <c r="E5138" s="5" t="str">
        <f>HYPERLINK("https://dpmzos25m8ivg.cloudfront.net/Documentos/631/12211057799/6311221105779910092023120045.pdf","https://dpmzos25m8ivg.cloudfront.net/Documentos/631/12211057799/6311221105779910092023120045.pdf")</f>
        <v>https://dpmzos25m8ivg.cloudfront.net/Documentos/631/12211057799/6311221105779910092023120045.pdf</v>
      </c>
      <c r="F5138" s="5" t="str">
        <f>HYPERLINK("https://dpmzos25m8ivg.cloudfront.net/Documentos/631/12211057799/6311221105779910092023120238.pdf","https://dpmzos25m8ivg.cloudfront.net/Documentos/631/12211057799/6311221105779910092023120238.pdf")</f>
        <v>https://dpmzos25m8ivg.cloudfront.net/Documentos/631/12211057799/6311221105779910092023120238.pdf</v>
      </c>
      <c r="G5138" s="5" t="str">
        <f>HYPERLINK("https://dpmzos25m8ivg.cloudfront.net/Documentos/631/12211057799/6311221105779910092023120252.pdf","https://dpmzos25m8ivg.cloudfront.net/Documentos/631/12211057799/6311221105779910092023120252.pdf")</f>
        <v>https://dpmzos25m8ivg.cloudfront.net/Documentos/631/12211057799/6311221105779910092023120252.pdf</v>
      </c>
      <c r="H5138" s="5" t="s">
        <v>13711</v>
      </c>
    </row>
    <row r="5139" spans="1:8" x14ac:dyDescent="0.25">
      <c r="A5139" s="2" t="s">
        <v>5167</v>
      </c>
      <c r="B5139" s="3"/>
      <c r="C5139" s="3"/>
      <c r="D5139" s="3"/>
      <c r="E5139" s="5" t="str">
        <f>HYPERLINK("https://dpmzos25m8ivg.cloudfront.net/Documentos/631/12218463709/6311221846370911092023101728.jpeg","https://dpmzos25m8ivg.cloudfront.net/Documentos/631/12218463709/6311221846370911092023101728.jpeg")</f>
        <v>https://dpmzos25m8ivg.cloudfront.net/Documentos/631/12218463709/6311221846370911092023101728.jpeg</v>
      </c>
      <c r="F5139" s="5" t="str">
        <f>HYPERLINK("https://dpmzos25m8ivg.cloudfront.net/Documentos/631/12218463709/6311221846370911092023101747.jpeg","https://dpmzos25m8ivg.cloudfront.net/Documentos/631/12218463709/6311221846370911092023101747.jpeg")</f>
        <v>https://dpmzos25m8ivg.cloudfront.net/Documentos/631/12218463709/6311221846370911092023101747.jpeg</v>
      </c>
      <c r="G5139" s="5" t="str">
        <f>HYPERLINK("https://dpmzos25m8ivg.cloudfront.net/Documentos/631/12218463709/6311221846370911092023101803.jpeg","https://dpmzos25m8ivg.cloudfront.net/Documentos/631/12218463709/6311221846370911092023101803.jpeg")</f>
        <v>https://dpmzos25m8ivg.cloudfront.net/Documentos/631/12218463709/6311221846370911092023101803.jpeg</v>
      </c>
      <c r="H5139" s="5" t="s">
        <v>13712</v>
      </c>
    </row>
    <row r="5140" spans="1:8" x14ac:dyDescent="0.25">
      <c r="A5140" s="2" t="s">
        <v>5168</v>
      </c>
      <c r="B5140" s="3"/>
      <c r="C5140" s="3"/>
      <c r="D5140" s="3"/>
      <c r="E5140" s="5" t="str">
        <f>HYPERLINK("https://dpmzos25m8ivg.cloudfront.net/Documentos/631/12222206448/6311222220644811092023102216.pdf","https://dpmzos25m8ivg.cloudfront.net/Documentos/631/12222206448/6311222220644811092023102216.pdf")</f>
        <v>https://dpmzos25m8ivg.cloudfront.net/Documentos/631/12222206448/6311222220644811092023102216.pdf</v>
      </c>
      <c r="F5140" s="5" t="str">
        <f>HYPERLINK("https://dpmzos25m8ivg.cloudfront.net/Documentos/631/12222206448/6311222220644811092023102311.pdf","https://dpmzos25m8ivg.cloudfront.net/Documentos/631/12222206448/6311222220644811092023102311.pdf")</f>
        <v>https://dpmzos25m8ivg.cloudfront.net/Documentos/631/12222206448/6311222220644811092023102311.pdf</v>
      </c>
      <c r="G5140" s="5" t="str">
        <f>HYPERLINK("https://dpmzos25m8ivg.cloudfront.net/Documentos/631/12222206448/6311222220644811092023102356.pdf","https://dpmzos25m8ivg.cloudfront.net/Documentos/631/12222206448/6311222220644811092023102356.pdf")</f>
        <v>https://dpmzos25m8ivg.cloudfront.net/Documentos/631/12222206448/6311222220644811092023102356.pdf</v>
      </c>
      <c r="H5140" s="5" t="s">
        <v>13713</v>
      </c>
    </row>
    <row r="5141" spans="1:8" x14ac:dyDescent="0.25">
      <c r="A5141" s="2" t="s">
        <v>5169</v>
      </c>
      <c r="B5141" s="3"/>
      <c r="C5141" s="3"/>
      <c r="D5141" s="3"/>
      <c r="E5141" s="5" t="str">
        <f>HYPERLINK("https://dpmzos25m8ivg.cloudfront.net/Documentos/631/12223766790/6311222376679011092023134141.jpeg","https://dpmzos25m8ivg.cloudfront.net/Documentos/631/12223766790/6311222376679011092023134141.jpeg")</f>
        <v>https://dpmzos25m8ivg.cloudfront.net/Documentos/631/12223766790/6311222376679011092023134141.jpeg</v>
      </c>
      <c r="F5141" s="5" t="str">
        <f>HYPERLINK("https://dpmzos25m8ivg.cloudfront.net/Documentos/631/12223766790/6311222376679011092023134154.jpeg","https://dpmzos25m8ivg.cloudfront.net/Documentos/631/12223766790/6311222376679011092023134154.jpeg")</f>
        <v>https://dpmzos25m8ivg.cloudfront.net/Documentos/631/12223766790/6311222376679011092023134154.jpeg</v>
      </c>
      <c r="G5141" s="5" t="str">
        <f>HYPERLINK("https://dpmzos25m8ivg.cloudfront.net/Documentos/631/12223766790/6311222376679011092023134205.jpeg","https://dpmzos25m8ivg.cloudfront.net/Documentos/631/12223766790/6311222376679011092023134205.jpeg")</f>
        <v>https://dpmzos25m8ivg.cloudfront.net/Documentos/631/12223766790/6311222376679011092023134205.jpeg</v>
      </c>
      <c r="H5141" s="5" t="s">
        <v>13714</v>
      </c>
    </row>
    <row r="5142" spans="1:8" x14ac:dyDescent="0.25">
      <c r="A5142" s="2" t="s">
        <v>5170</v>
      </c>
      <c r="B5142" s="3"/>
      <c r="C5142" s="3"/>
      <c r="D5142" s="3"/>
      <c r="E5142" s="5" t="str">
        <f>HYPERLINK("https://dpmzos25m8ivg.cloudfront.net/Documentos/631/12223929419/6311222392941908092023100804.pdf","https://dpmzos25m8ivg.cloudfront.net/Documentos/631/12223929419/6311222392941908092023100804.pdf")</f>
        <v>https://dpmzos25m8ivg.cloudfront.net/Documentos/631/12223929419/6311222392941908092023100804.pdf</v>
      </c>
      <c r="F5142" s="5" t="str">
        <f>HYPERLINK("https://dpmzos25m8ivg.cloudfront.net/Documentos/631/12223929419/6311222392941908092023100816.pdf","https://dpmzos25m8ivg.cloudfront.net/Documentos/631/12223929419/6311222392941908092023100816.pdf")</f>
        <v>https://dpmzos25m8ivg.cloudfront.net/Documentos/631/12223929419/6311222392941908092023100816.pdf</v>
      </c>
      <c r="G5142" s="5" t="str">
        <f>HYPERLINK("https://dpmzos25m8ivg.cloudfront.net/Documentos/631/12223929419/6311222392941908092023100826.pdf","https://dpmzos25m8ivg.cloudfront.net/Documentos/631/12223929419/6311222392941908092023100826.pdf")</f>
        <v>https://dpmzos25m8ivg.cloudfront.net/Documentos/631/12223929419/6311222392941908092023100826.pdf</v>
      </c>
      <c r="H5142" s="5" t="s">
        <v>13715</v>
      </c>
    </row>
    <row r="5143" spans="1:8" x14ac:dyDescent="0.25">
      <c r="A5143" s="2" t="s">
        <v>5171</v>
      </c>
      <c r="B5143" s="3"/>
      <c r="C5143" s="3"/>
      <c r="D5143" s="3"/>
      <c r="E5143" s="5" t="str">
        <f>HYPERLINK("https://dpmzos25m8ivg.cloudfront.net/Documentos/631/12224105673/6311222410567313092023094302.pdf","https://dpmzos25m8ivg.cloudfront.net/Documentos/631/12224105673/6311222410567313092023094302.pdf")</f>
        <v>https://dpmzos25m8ivg.cloudfront.net/Documentos/631/12224105673/6311222410567313092023094302.pdf</v>
      </c>
      <c r="F5143" s="5" t="str">
        <f>HYPERLINK("https://dpmzos25m8ivg.cloudfront.net/Documentos/631/12224105673/6311222410567313092023094324.pdf","https://dpmzos25m8ivg.cloudfront.net/Documentos/631/12224105673/6311222410567313092023094324.pdf")</f>
        <v>https://dpmzos25m8ivg.cloudfront.net/Documentos/631/12224105673/6311222410567313092023094324.pdf</v>
      </c>
      <c r="G5143" s="5" t="str">
        <f>HYPERLINK("https://dpmzos25m8ivg.cloudfront.net/Documentos/631/12224105673/6311222410567313092023094342.pdf","https://dpmzos25m8ivg.cloudfront.net/Documentos/631/12224105673/6311222410567313092023094342.pdf")</f>
        <v>https://dpmzos25m8ivg.cloudfront.net/Documentos/631/12224105673/6311222410567313092023094342.pdf</v>
      </c>
      <c r="H5143" s="5" t="s">
        <v>13716</v>
      </c>
    </row>
    <row r="5144" spans="1:8" x14ac:dyDescent="0.25">
      <c r="A5144" s="2" t="s">
        <v>5172</v>
      </c>
      <c r="B5144" s="3"/>
      <c r="C5144" s="3"/>
      <c r="D5144" s="3"/>
      <c r="E5144" s="5" t="str">
        <f>HYPERLINK("https://dpmzos25m8ivg.cloudfront.net/Documentos/631/12230621807/6311223062180705092023084916.jpg","https://dpmzos25m8ivg.cloudfront.net/Documentos/631/12230621807/6311223062180705092023084916.jpg")</f>
        <v>https://dpmzos25m8ivg.cloudfront.net/Documentos/631/12230621807/6311223062180705092023084916.jpg</v>
      </c>
      <c r="F5144" s="5" t="str">
        <f>HYPERLINK("https://dpmzos25m8ivg.cloudfront.net/Documentos/631/12230621807/6311223062180705092023085004.jpg","https://dpmzos25m8ivg.cloudfront.net/Documentos/631/12230621807/6311223062180705092023085004.jpg")</f>
        <v>https://dpmzos25m8ivg.cloudfront.net/Documentos/631/12230621807/6311223062180705092023085004.jpg</v>
      </c>
      <c r="G5144" s="5" t="str">
        <f>HYPERLINK("https://dpmzos25m8ivg.cloudfront.net/Documentos/631/12230621807/6311223062180705092023085025.jpg","https://dpmzos25m8ivg.cloudfront.net/Documentos/631/12230621807/6311223062180705092023085025.jpg")</f>
        <v>https://dpmzos25m8ivg.cloudfront.net/Documentos/631/12230621807/6311223062180705092023085025.jpg</v>
      </c>
      <c r="H5144" s="5" t="s">
        <v>13717</v>
      </c>
    </row>
    <row r="5145" spans="1:8" x14ac:dyDescent="0.25">
      <c r="A5145" s="2" t="s">
        <v>5173</v>
      </c>
      <c r="B5145" s="3"/>
      <c r="C5145" s="3"/>
      <c r="D5145" s="3"/>
      <c r="E5145" s="5" t="str">
        <f>HYPERLINK("https://dpmzos25m8ivg.cloudfront.net/Documentos/631/12232828727/6311223282872705092023143740.pdf","https://dpmzos25m8ivg.cloudfront.net/Documentos/631/12232828727/6311223282872705092023143740.pdf")</f>
        <v>https://dpmzos25m8ivg.cloudfront.net/Documentos/631/12232828727/6311223282872705092023143740.pdf</v>
      </c>
      <c r="F5145" s="5" t="str">
        <f>HYPERLINK("https://dpmzos25m8ivg.cloudfront.net/Documentos/631/12232828727/6311223282872705092023143756.pdf","https://dpmzos25m8ivg.cloudfront.net/Documentos/631/12232828727/6311223282872705092023143756.pdf")</f>
        <v>https://dpmzos25m8ivg.cloudfront.net/Documentos/631/12232828727/6311223282872705092023143756.pdf</v>
      </c>
      <c r="G5145" s="5" t="str">
        <f>HYPERLINK("https://dpmzos25m8ivg.cloudfront.net/Documentos/631/12232828727/6311223282872705092023143813.pdf","https://dpmzos25m8ivg.cloudfront.net/Documentos/631/12232828727/6311223282872705092023143813.pdf")</f>
        <v>https://dpmzos25m8ivg.cloudfront.net/Documentos/631/12232828727/6311223282872705092023143813.pdf</v>
      </c>
      <c r="H5145" s="5" t="s">
        <v>13718</v>
      </c>
    </row>
    <row r="5146" spans="1:8" x14ac:dyDescent="0.25">
      <c r="A5146" s="2" t="s">
        <v>5174</v>
      </c>
      <c r="B5146" s="3"/>
      <c r="C5146" s="3"/>
      <c r="D5146" s="3"/>
      <c r="E5146" s="5" t="str">
        <f>HYPERLINK("https://dpmzos25m8ivg.cloudfront.net/Documentos/631/12240173904/6311224017390411092023142045.pdf","https://dpmzos25m8ivg.cloudfront.net/Documentos/631/12240173904/6311224017390411092023142045.pdf")</f>
        <v>https://dpmzos25m8ivg.cloudfront.net/Documentos/631/12240173904/6311224017390411092023142045.pdf</v>
      </c>
      <c r="F5146" s="5" t="str">
        <f>HYPERLINK("https://dpmzos25m8ivg.cloudfront.net/Documentos/631/12240173904/6311224017390411092023142054.pdf","https://dpmzos25m8ivg.cloudfront.net/Documentos/631/12240173904/6311224017390411092023142054.pdf")</f>
        <v>https://dpmzos25m8ivg.cloudfront.net/Documentos/631/12240173904/6311224017390411092023142054.pdf</v>
      </c>
      <c r="G5146" s="5" t="str">
        <f>HYPERLINK("https://dpmzos25m8ivg.cloudfront.net/Documentos/631/12240173904/6311224017390411092023142100.pdf","https://dpmzos25m8ivg.cloudfront.net/Documentos/631/12240173904/6311224017390411092023142100.pdf")</f>
        <v>https://dpmzos25m8ivg.cloudfront.net/Documentos/631/12240173904/6311224017390411092023142100.pdf</v>
      </c>
      <c r="H5146" s="5" t="s">
        <v>13719</v>
      </c>
    </row>
    <row r="5147" spans="1:8" x14ac:dyDescent="0.25">
      <c r="A5147" s="2" t="s">
        <v>5175</v>
      </c>
      <c r="B5147" s="3"/>
      <c r="C5147" s="3"/>
      <c r="D5147" s="3"/>
      <c r="E5147" s="5" t="str">
        <f>HYPERLINK("https://dpmzos25m8ivg.cloudfront.net/Documentos/631/12240272481/6311224027248110092023120937.pdf","https://dpmzos25m8ivg.cloudfront.net/Documentos/631/12240272481/6311224027248110092023120937.pdf")</f>
        <v>https://dpmzos25m8ivg.cloudfront.net/Documentos/631/12240272481/6311224027248110092023120937.pdf</v>
      </c>
      <c r="F5147" s="5" t="str">
        <f>HYPERLINK("https://dpmzos25m8ivg.cloudfront.net/Documentos/631/12240272481/6311224027248110092023120951.pdf","https://dpmzos25m8ivg.cloudfront.net/Documentos/631/12240272481/6311224027248110092023120951.pdf")</f>
        <v>https://dpmzos25m8ivg.cloudfront.net/Documentos/631/12240272481/6311224027248110092023120951.pdf</v>
      </c>
      <c r="G5147" s="5" t="str">
        <f>HYPERLINK("https://dpmzos25m8ivg.cloudfront.net/Documentos/631/12240272481/6311224027248110092023121019.pdf","https://dpmzos25m8ivg.cloudfront.net/Documentos/631/12240272481/6311224027248110092023121019.pdf")</f>
        <v>https://dpmzos25m8ivg.cloudfront.net/Documentos/631/12240272481/6311224027248110092023121019.pdf</v>
      </c>
      <c r="H5147" s="5" t="s">
        <v>13720</v>
      </c>
    </row>
    <row r="5148" spans="1:8" x14ac:dyDescent="0.25">
      <c r="A5148" s="2" t="s">
        <v>5176</v>
      </c>
      <c r="B5148" s="3"/>
      <c r="C5148" s="3"/>
      <c r="D5148" s="3"/>
      <c r="E5148" s="5" t="str">
        <f>HYPERLINK("https://dpmzos25m8ivg.cloudfront.net/Documentos/631/12242485628/6311224248562811092023161344.pdf","https://dpmzos25m8ivg.cloudfront.net/Documentos/631/12242485628/6311224248562811092023161344.pdf")</f>
        <v>https://dpmzos25m8ivg.cloudfront.net/Documentos/631/12242485628/6311224248562811092023161344.pdf</v>
      </c>
      <c r="F5148" s="5" t="str">
        <f>HYPERLINK("https://dpmzos25m8ivg.cloudfront.net/Documentos/631/12242485628/6311224248562811092023161358.pdf","https://dpmzos25m8ivg.cloudfront.net/Documentos/631/12242485628/6311224248562811092023161358.pdf")</f>
        <v>https://dpmzos25m8ivg.cloudfront.net/Documentos/631/12242485628/6311224248562811092023161358.pdf</v>
      </c>
      <c r="G5148" s="5" t="str">
        <f>HYPERLINK("https://dpmzos25m8ivg.cloudfront.net/Documentos/631/12242485628/6311224248562811092023161409.pdf","https://dpmzos25m8ivg.cloudfront.net/Documentos/631/12242485628/6311224248562811092023161409.pdf")</f>
        <v>https://dpmzos25m8ivg.cloudfront.net/Documentos/631/12242485628/6311224248562811092023161409.pdf</v>
      </c>
      <c r="H5148" s="5" t="s">
        <v>13721</v>
      </c>
    </row>
    <row r="5149" spans="1:8" x14ac:dyDescent="0.25">
      <c r="A5149" s="2" t="s">
        <v>5177</v>
      </c>
      <c r="B5149" s="3"/>
      <c r="C5149" s="3"/>
      <c r="D5149" s="3"/>
      <c r="E5149" s="5" t="str">
        <f>HYPERLINK("https://dpmzos25m8ivg.cloudfront.net/Documentos/631/12252642602/6311225264260208092023182434.pdf","https://dpmzos25m8ivg.cloudfront.net/Documentos/631/12252642602/6311225264260208092023182434.pdf")</f>
        <v>https://dpmzos25m8ivg.cloudfront.net/Documentos/631/12252642602/6311225264260208092023182434.pdf</v>
      </c>
      <c r="F5149" s="5" t="str">
        <f>HYPERLINK("https://dpmzos25m8ivg.cloudfront.net/Documentos/631/12252642602/6311225264260208092023182456.pdf","https://dpmzos25m8ivg.cloudfront.net/Documentos/631/12252642602/6311225264260208092023182456.pdf")</f>
        <v>https://dpmzos25m8ivg.cloudfront.net/Documentos/631/12252642602/6311225264260208092023182456.pdf</v>
      </c>
      <c r="G5149" s="5" t="str">
        <f>HYPERLINK("https://dpmzos25m8ivg.cloudfront.net/Documentos/631/12252642602/6311225264260208092023182519.pdf","https://dpmzos25m8ivg.cloudfront.net/Documentos/631/12252642602/6311225264260208092023182519.pdf")</f>
        <v>https://dpmzos25m8ivg.cloudfront.net/Documentos/631/12252642602/6311225264260208092023182519.pdf</v>
      </c>
      <c r="H5149" s="5" t="s">
        <v>13722</v>
      </c>
    </row>
    <row r="5150" spans="1:8" x14ac:dyDescent="0.25">
      <c r="A5150" s="2" t="s">
        <v>5178</v>
      </c>
      <c r="B5150" s="3"/>
      <c r="C5150" s="3"/>
      <c r="D5150" s="3"/>
      <c r="E5150" s="5" t="str">
        <f>HYPERLINK("https://dpmzos25m8ivg.cloudfront.net/Documentos/631/12255685604/6311225568560411092023142614.pdf","https://dpmzos25m8ivg.cloudfront.net/Documentos/631/12255685604/6311225568560411092023142614.pdf")</f>
        <v>https://dpmzos25m8ivg.cloudfront.net/Documentos/631/12255685604/6311225568560411092023142614.pdf</v>
      </c>
      <c r="F5150" s="5" t="str">
        <f>HYPERLINK("https://dpmzos25m8ivg.cloudfront.net/Documentos/631/12255685604/6311225568560411092023142629.pdf","https://dpmzos25m8ivg.cloudfront.net/Documentos/631/12255685604/6311225568560411092023142629.pdf")</f>
        <v>https://dpmzos25m8ivg.cloudfront.net/Documentos/631/12255685604/6311225568560411092023142629.pdf</v>
      </c>
      <c r="G5150" s="5" t="str">
        <f>HYPERLINK("https://dpmzos25m8ivg.cloudfront.net/Documentos/631/12255685604/6311225568560411092023142650.pdf","https://dpmzos25m8ivg.cloudfront.net/Documentos/631/12255685604/6311225568560411092023142650.pdf")</f>
        <v>https://dpmzos25m8ivg.cloudfront.net/Documentos/631/12255685604/6311225568560411092023142650.pdf</v>
      </c>
      <c r="H5150" s="5" t="s">
        <v>13723</v>
      </c>
    </row>
    <row r="5151" spans="1:8" x14ac:dyDescent="0.25">
      <c r="A5151" s="2" t="s">
        <v>5179</v>
      </c>
      <c r="B5151" s="3"/>
      <c r="C5151" s="3"/>
      <c r="D5151" s="3"/>
      <c r="E5151" s="5" t="str">
        <f>HYPERLINK("https://dpmzos25m8ivg.cloudfront.net/Documentos/631/12273972679/6311227397267911092023152253.jpeg","https://dpmzos25m8ivg.cloudfront.net/Documentos/631/12273972679/6311227397267911092023152253.jpeg")</f>
        <v>https://dpmzos25m8ivg.cloudfront.net/Documentos/631/12273972679/6311227397267911092023152253.jpeg</v>
      </c>
      <c r="F5151" s="5" t="str">
        <f>HYPERLINK("https://dpmzos25m8ivg.cloudfront.net/Documentos/631/12273972679/6311227397267911092023152305.jpeg","https://dpmzos25m8ivg.cloudfront.net/Documentos/631/12273972679/6311227397267911092023152305.jpeg")</f>
        <v>https://dpmzos25m8ivg.cloudfront.net/Documentos/631/12273972679/6311227397267911092023152305.jpeg</v>
      </c>
      <c r="G5151" s="5" t="str">
        <f>HYPERLINK("https://dpmzos25m8ivg.cloudfront.net/Documentos/631/12273972679/6311227397267911092023152323.jpeg","https://dpmzos25m8ivg.cloudfront.net/Documentos/631/12273972679/6311227397267911092023152323.jpeg")</f>
        <v>https://dpmzos25m8ivg.cloudfront.net/Documentos/631/12273972679/6311227397267911092023152323.jpeg</v>
      </c>
      <c r="H5151" s="5" t="s">
        <v>13724</v>
      </c>
    </row>
    <row r="5152" spans="1:8" x14ac:dyDescent="0.25">
      <c r="A5152" s="2" t="s">
        <v>5180</v>
      </c>
      <c r="B5152" s="3"/>
      <c r="C5152" s="3"/>
      <c r="D5152" s="3"/>
      <c r="E5152" s="5" t="str">
        <f>HYPERLINK("https://dpmzos25m8ivg.cloudfront.net/Documentos/631/12274906904/6311227490690405092023124212.pdf","https://dpmzos25m8ivg.cloudfront.net/Documentos/631/12274906904/6311227490690405092023124212.pdf")</f>
        <v>https://dpmzos25m8ivg.cloudfront.net/Documentos/631/12274906904/6311227490690405092023124212.pdf</v>
      </c>
      <c r="F5152" s="5" t="str">
        <f>HYPERLINK("https://dpmzos25m8ivg.cloudfront.net/Documentos/631/12274906904/6311227490690405092023124922.pdf","https://dpmzos25m8ivg.cloudfront.net/Documentos/631/12274906904/6311227490690405092023124922.pdf")</f>
        <v>https://dpmzos25m8ivg.cloudfront.net/Documentos/631/12274906904/6311227490690405092023124922.pdf</v>
      </c>
      <c r="G5152" s="5" t="str">
        <f>HYPERLINK("https://dpmzos25m8ivg.cloudfront.net/Documentos/631/12274906904/6311227490690405092023125628.pdf","https://dpmzos25m8ivg.cloudfront.net/Documentos/631/12274906904/6311227490690405092023125628.pdf")</f>
        <v>https://dpmzos25m8ivg.cloudfront.net/Documentos/631/12274906904/6311227490690405092023125628.pdf</v>
      </c>
      <c r="H5152" s="5" t="s">
        <v>13725</v>
      </c>
    </row>
    <row r="5153" spans="1:8" x14ac:dyDescent="0.25">
      <c r="A5153" s="2" t="s">
        <v>5181</v>
      </c>
      <c r="B5153" s="3"/>
      <c r="C5153" s="3"/>
      <c r="D5153" s="3"/>
      <c r="E5153" s="5" t="str">
        <f>HYPERLINK("https://dpmzos25m8ivg.cloudfront.net/Documentos/631/12275629696/6311227562969605092023140013.pdf","https://dpmzos25m8ivg.cloudfront.net/Documentos/631/12275629696/6311227562969605092023140013.pdf")</f>
        <v>https://dpmzos25m8ivg.cloudfront.net/Documentos/631/12275629696/6311227562969605092023140013.pdf</v>
      </c>
      <c r="F5153" s="5" t="str">
        <f>HYPERLINK("https://dpmzos25m8ivg.cloudfront.net/Documentos/631/12275629696/6311227562969605092023140052.pdf","https://dpmzos25m8ivg.cloudfront.net/Documentos/631/12275629696/6311227562969605092023140052.pdf")</f>
        <v>https://dpmzos25m8ivg.cloudfront.net/Documentos/631/12275629696/6311227562969605092023140052.pdf</v>
      </c>
      <c r="G5153" s="5" t="str">
        <f>HYPERLINK("https://dpmzos25m8ivg.cloudfront.net/Documentos/631/12275629696/6311227562969605092023140115.pdf","https://dpmzos25m8ivg.cloudfront.net/Documentos/631/12275629696/6311227562969605092023140115.pdf")</f>
        <v>https://dpmzos25m8ivg.cloudfront.net/Documentos/631/12275629696/6311227562969605092023140115.pdf</v>
      </c>
      <c r="H5153" s="5" t="s">
        <v>13726</v>
      </c>
    </row>
    <row r="5154" spans="1:8" x14ac:dyDescent="0.25">
      <c r="A5154" s="2" t="s">
        <v>5182</v>
      </c>
      <c r="B5154" s="3"/>
      <c r="C5154" s="3"/>
      <c r="D5154" s="3"/>
      <c r="E5154" s="5" t="str">
        <f>HYPERLINK("https://dpmzos25m8ivg.cloudfront.net/Documentos/631/12282396499/6311228239649911092023162612.pdf","https://dpmzos25m8ivg.cloudfront.net/Documentos/631/12282396499/6311228239649911092023162612.pdf")</f>
        <v>https://dpmzos25m8ivg.cloudfront.net/Documentos/631/12282396499/6311228239649911092023162612.pdf</v>
      </c>
      <c r="F5154" s="5" t="str">
        <f>HYPERLINK("https://dpmzos25m8ivg.cloudfront.net/Documentos/631/12282396499/6311228239649911092023162641.pdf","https://dpmzos25m8ivg.cloudfront.net/Documentos/631/12282396499/6311228239649911092023162641.pdf")</f>
        <v>https://dpmzos25m8ivg.cloudfront.net/Documentos/631/12282396499/6311228239649911092023162641.pdf</v>
      </c>
      <c r="G5154" s="5" t="str">
        <f>HYPERLINK("https://dpmzos25m8ivg.cloudfront.net/Documentos/631/12282396499/6311228239649911092023162706.pdf","https://dpmzos25m8ivg.cloudfront.net/Documentos/631/12282396499/6311228239649911092023162706.pdf")</f>
        <v>https://dpmzos25m8ivg.cloudfront.net/Documentos/631/12282396499/6311228239649911092023162706.pdf</v>
      </c>
      <c r="H5154" s="5" t="s">
        <v>13727</v>
      </c>
    </row>
    <row r="5155" spans="1:8" x14ac:dyDescent="0.25">
      <c r="A5155" s="2" t="s">
        <v>5183</v>
      </c>
      <c r="B5155" s="3"/>
      <c r="C5155" s="3"/>
      <c r="D5155" s="3"/>
      <c r="E5155" s="5" t="str">
        <f>HYPERLINK("https://dpmzos25m8ivg.cloudfront.net/Documentos/631/12288883456/6311228888345611092023150114.pdf","https://dpmzos25m8ivg.cloudfront.net/Documentos/631/12288883456/6311228888345611092023150114.pdf")</f>
        <v>https://dpmzos25m8ivg.cloudfront.net/Documentos/631/12288883456/6311228888345611092023150114.pdf</v>
      </c>
      <c r="F5155" s="5" t="str">
        <f>HYPERLINK("https://dpmzos25m8ivg.cloudfront.net/Documentos/631/12288883456/6311228888345611092023150124.pdf","https://dpmzos25m8ivg.cloudfront.net/Documentos/631/12288883456/6311228888345611092023150124.pdf")</f>
        <v>https://dpmzos25m8ivg.cloudfront.net/Documentos/631/12288883456/6311228888345611092023150124.pdf</v>
      </c>
      <c r="G5155" s="5" t="str">
        <f>HYPERLINK("https://dpmzos25m8ivg.cloudfront.net/Documentos/631/12288883456/6311228888345611092023150136.pdf","https://dpmzos25m8ivg.cloudfront.net/Documentos/631/12288883456/6311228888345611092023150136.pdf")</f>
        <v>https://dpmzos25m8ivg.cloudfront.net/Documentos/631/12288883456/6311228888345611092023150136.pdf</v>
      </c>
      <c r="H5155" s="5" t="s">
        <v>13728</v>
      </c>
    </row>
    <row r="5156" spans="1:8" x14ac:dyDescent="0.25">
      <c r="A5156" s="2" t="s">
        <v>5184</v>
      </c>
      <c r="B5156" s="3"/>
      <c r="C5156" s="3"/>
      <c r="D5156" s="3"/>
      <c r="E5156" s="5" t="str">
        <f>HYPERLINK("https://dpmzos25m8ivg.cloudfront.net/Documentos/631/12294653408/6311229465340807092023080540.pdf","https://dpmzos25m8ivg.cloudfront.net/Documentos/631/12294653408/6311229465340807092023080540.pdf")</f>
        <v>https://dpmzos25m8ivg.cloudfront.net/Documentos/631/12294653408/6311229465340807092023080540.pdf</v>
      </c>
      <c r="F5156" s="5" t="str">
        <f>HYPERLINK("https://dpmzos25m8ivg.cloudfront.net/Documentos/631/12294653408/6311229465340807092023080645.pdf","https://dpmzos25m8ivg.cloudfront.net/Documentos/631/12294653408/6311229465340807092023080645.pdf")</f>
        <v>https://dpmzos25m8ivg.cloudfront.net/Documentos/631/12294653408/6311229465340807092023080645.pdf</v>
      </c>
      <c r="G5156" s="5" t="str">
        <f>HYPERLINK("https://dpmzos25m8ivg.cloudfront.net/Documentos/631/12294653408/6311229465340807092023080656.pdf","https://dpmzos25m8ivg.cloudfront.net/Documentos/631/12294653408/6311229465340807092023080656.pdf")</f>
        <v>https://dpmzos25m8ivg.cloudfront.net/Documentos/631/12294653408/6311229465340807092023080656.pdf</v>
      </c>
      <c r="H5156" s="5" t="s">
        <v>13729</v>
      </c>
    </row>
    <row r="5157" spans="1:8" x14ac:dyDescent="0.25">
      <c r="A5157" s="2" t="s">
        <v>5185</v>
      </c>
      <c r="B5157" s="3"/>
      <c r="C5157" s="3"/>
      <c r="D5157" s="3"/>
      <c r="E5157" s="5" t="str">
        <f>HYPERLINK("https://dpmzos25m8ivg.cloudfront.net/Documentos/631/12296080600/6311229608060006092023213009.pdf","https://dpmzos25m8ivg.cloudfront.net/Documentos/631/12296080600/6311229608060006092023213009.pdf")</f>
        <v>https://dpmzos25m8ivg.cloudfront.net/Documentos/631/12296080600/6311229608060006092023213009.pdf</v>
      </c>
      <c r="F5157" s="5" t="str">
        <f>HYPERLINK("https://dpmzos25m8ivg.cloudfront.net/Documentos/631/12296080600/6311229608060006092023213244.pdf","https://dpmzos25m8ivg.cloudfront.net/Documentos/631/12296080600/6311229608060006092023213244.pdf")</f>
        <v>https://dpmzos25m8ivg.cloudfront.net/Documentos/631/12296080600/6311229608060006092023213244.pdf</v>
      </c>
      <c r="G5157" s="5" t="str">
        <f>HYPERLINK("https://dpmzos25m8ivg.cloudfront.net/Documentos/631/12296080600/6311229608060006092023213703.pdf","https://dpmzos25m8ivg.cloudfront.net/Documentos/631/12296080600/6311229608060006092023213703.pdf")</f>
        <v>https://dpmzos25m8ivg.cloudfront.net/Documentos/631/12296080600/6311229608060006092023213703.pdf</v>
      </c>
      <c r="H5157" s="5" t="s">
        <v>13730</v>
      </c>
    </row>
    <row r="5158" spans="1:8" x14ac:dyDescent="0.25">
      <c r="A5158" s="2" t="s">
        <v>5186</v>
      </c>
      <c r="B5158" s="16" t="s">
        <v>5069</v>
      </c>
      <c r="C5158" s="3"/>
      <c r="D5158" s="3"/>
      <c r="E5158" s="5" t="str">
        <f>HYPERLINK("https://dpmzos25m8ivg.cloudfront.net/Documentos/631/12301355616/6311230135561610092023150032.jpg","https://dpmzos25m8ivg.cloudfront.net/Documentos/631/12301355616/6311230135561610092023150032.jpg")</f>
        <v>https://dpmzos25m8ivg.cloudfront.net/Documentos/631/12301355616/6311230135561610092023150032.jpg</v>
      </c>
      <c r="F5158" s="5" t="str">
        <f>HYPERLINK("https://dpmzos25m8ivg.cloudfront.net/Documentos/631/12301355616/6311230135561610092023150045.jpg","https://dpmzos25m8ivg.cloudfront.net/Documentos/631/12301355616/6311230135561610092023150045.jpg")</f>
        <v>https://dpmzos25m8ivg.cloudfront.net/Documentos/631/12301355616/6311230135561610092023150045.jpg</v>
      </c>
      <c r="G5158" s="5" t="str">
        <f>HYPERLINK("https://dpmzos25m8ivg.cloudfront.net/Documentos/631/12301355616/6311230135561610092023150056.jpg","https://dpmzos25m8ivg.cloudfront.net/Documentos/631/12301355616/6311230135561610092023150056.jpg")</f>
        <v>https://dpmzos25m8ivg.cloudfront.net/Documentos/631/12301355616/6311230135561610092023150056.jpg</v>
      </c>
      <c r="H5158" s="5" t="s">
        <v>13731</v>
      </c>
    </row>
    <row r="5159" spans="1:8" x14ac:dyDescent="0.25">
      <c r="A5159" s="2" t="s">
        <v>5187</v>
      </c>
      <c r="B5159" s="3"/>
      <c r="C5159" s="3"/>
      <c r="D5159" s="3"/>
      <c r="E5159" s="5" t="str">
        <f>HYPERLINK("https://dpmzos25m8ivg.cloudfront.net/Documentos/631/12303501440/6311230350144010092023111148.jpeg","https://dpmzos25m8ivg.cloudfront.net/Documentos/631/12303501440/6311230350144010092023111148.jpeg")</f>
        <v>https://dpmzos25m8ivg.cloudfront.net/Documentos/631/12303501440/6311230350144010092023111148.jpeg</v>
      </c>
      <c r="F5159" s="5" t="str">
        <f>HYPERLINK("https://dpmzos25m8ivg.cloudfront.net/Documentos/631/12303501440/6311230350144010092023111210.jpeg","https://dpmzos25m8ivg.cloudfront.net/Documentos/631/12303501440/6311230350144010092023111210.jpeg")</f>
        <v>https://dpmzos25m8ivg.cloudfront.net/Documentos/631/12303501440/6311230350144010092023111210.jpeg</v>
      </c>
      <c r="G5159" s="5" t="str">
        <f>HYPERLINK("https://dpmzos25m8ivg.cloudfront.net/Documentos/631/12303501440/6311230350144010092023111751.jpeg","https://dpmzos25m8ivg.cloudfront.net/Documentos/631/12303501440/6311230350144010092023111751.jpeg")</f>
        <v>https://dpmzos25m8ivg.cloudfront.net/Documentos/631/12303501440/6311230350144010092023111751.jpeg</v>
      </c>
      <c r="H5159" s="5" t="s">
        <v>13732</v>
      </c>
    </row>
    <row r="5160" spans="1:8" x14ac:dyDescent="0.25">
      <c r="A5160" s="2" t="s">
        <v>5188</v>
      </c>
      <c r="B5160" s="3"/>
      <c r="C5160" s="3"/>
      <c r="D5160" s="3"/>
      <c r="E5160" s="5" t="str">
        <f>HYPERLINK("https://dpmzos25m8ivg.cloudfront.net/Documentos/631/12303592909/6311230359290908092023200052.jpeg","https://dpmzos25m8ivg.cloudfront.net/Documentos/631/12303592909/6311230359290908092023200052.jpeg")</f>
        <v>https://dpmzos25m8ivg.cloudfront.net/Documentos/631/12303592909/6311230359290908092023200052.jpeg</v>
      </c>
      <c r="F5160" s="5" t="str">
        <f>HYPERLINK("https://dpmzos25m8ivg.cloudfront.net/Documentos/631/12303592909/6311230359290908092023200154.jpeg","https://dpmzos25m8ivg.cloudfront.net/Documentos/631/12303592909/6311230359290908092023200154.jpeg")</f>
        <v>https://dpmzos25m8ivg.cloudfront.net/Documentos/631/12303592909/6311230359290908092023200154.jpeg</v>
      </c>
      <c r="G5160" s="5" t="str">
        <f>HYPERLINK("https://dpmzos25m8ivg.cloudfront.net/Documentos/631/12303592909/6311230359290908092023200505.jpeg","https://dpmzos25m8ivg.cloudfront.net/Documentos/631/12303592909/6311230359290908092023200505.jpeg")</f>
        <v>https://dpmzos25m8ivg.cloudfront.net/Documentos/631/12303592909/6311230359290908092023200505.jpeg</v>
      </c>
      <c r="H5160" s="5" t="s">
        <v>13733</v>
      </c>
    </row>
    <row r="5161" spans="1:8" x14ac:dyDescent="0.25">
      <c r="A5161" s="2" t="s">
        <v>5189</v>
      </c>
      <c r="B5161" s="3"/>
      <c r="C5161" s="3"/>
      <c r="D5161" s="3"/>
      <c r="E5161" s="5" t="str">
        <f>HYPERLINK("https://dpmzos25m8ivg.cloudfront.net/Documentos/631/12304382622/6311230438262209092023114403.pdf","https://dpmzos25m8ivg.cloudfront.net/Documentos/631/12304382622/6311230438262209092023114403.pdf")</f>
        <v>https://dpmzos25m8ivg.cloudfront.net/Documentos/631/12304382622/6311230438262209092023114403.pdf</v>
      </c>
      <c r="F5161" s="5" t="str">
        <f>HYPERLINK("https://dpmzos25m8ivg.cloudfront.net/Documentos/631/12304382622/6311230438262209092023114447.pdf","https://dpmzos25m8ivg.cloudfront.net/Documentos/631/12304382622/6311230438262209092023114447.pdf")</f>
        <v>https://dpmzos25m8ivg.cloudfront.net/Documentos/631/12304382622/6311230438262209092023114447.pdf</v>
      </c>
      <c r="G5161" s="5" t="str">
        <f>HYPERLINK("https://dpmzos25m8ivg.cloudfront.net/Documentos/631/12304382622/6311230438262209092023114500.pdf","https://dpmzos25m8ivg.cloudfront.net/Documentos/631/12304382622/6311230438262209092023114500.pdf")</f>
        <v>https://dpmzos25m8ivg.cloudfront.net/Documentos/631/12304382622/6311230438262209092023114500.pdf</v>
      </c>
      <c r="H5161" s="5" t="s">
        <v>13734</v>
      </c>
    </row>
    <row r="5162" spans="1:8" x14ac:dyDescent="0.25">
      <c r="A5162" s="2" t="s">
        <v>5190</v>
      </c>
      <c r="B5162" s="3"/>
      <c r="C5162" s="3"/>
      <c r="D5162" s="3"/>
      <c r="E5162" s="5" t="str">
        <f>HYPERLINK("https://dpmzos25m8ivg.cloudfront.net/Documentos/631/12306005664/6311230600566411092023162229.pdf","https://dpmzos25m8ivg.cloudfront.net/Documentos/631/12306005664/6311230600566411092023162229.pdf")</f>
        <v>https://dpmzos25m8ivg.cloudfront.net/Documentos/631/12306005664/6311230600566411092023162229.pdf</v>
      </c>
      <c r="F5162" s="5" t="str">
        <f>HYPERLINK("https://dpmzos25m8ivg.cloudfront.net/Documentos/631/12306005664/6311230600566411092023162301.pdf","https://dpmzos25m8ivg.cloudfront.net/Documentos/631/12306005664/6311230600566411092023162301.pdf")</f>
        <v>https://dpmzos25m8ivg.cloudfront.net/Documentos/631/12306005664/6311230600566411092023162301.pdf</v>
      </c>
      <c r="G5162" s="5" t="str">
        <f>HYPERLINK("https://dpmzos25m8ivg.cloudfront.net/Documentos/631/12306005664/6311230600566411092023162315.pdf","https://dpmzos25m8ivg.cloudfront.net/Documentos/631/12306005664/6311230600566411092023162315.pdf")</f>
        <v>https://dpmzos25m8ivg.cloudfront.net/Documentos/631/12306005664/6311230600566411092023162315.pdf</v>
      </c>
      <c r="H5162" s="5" t="s">
        <v>13735</v>
      </c>
    </row>
    <row r="5163" spans="1:8" x14ac:dyDescent="0.25">
      <c r="A5163" s="2" t="s">
        <v>5191</v>
      </c>
      <c r="B5163" s="19" t="s">
        <v>4857</v>
      </c>
      <c r="C5163" s="3"/>
      <c r="D5163" s="3"/>
      <c r="E5163" s="5" t="str">
        <f>HYPERLINK("https://dpmzos25m8ivg.cloudfront.net/Documentos/631/12307214445/6311230721444514092023152436.pdf","https://dpmzos25m8ivg.cloudfront.net/Documentos/631/12307214445/6311230721444514092023152436.pdf")</f>
        <v>https://dpmzos25m8ivg.cloudfront.net/Documentos/631/12307214445/6311230721444514092023152436.pdf</v>
      </c>
      <c r="F5163" s="5" t="str">
        <f>HYPERLINK("https://dpmzos25m8ivg.cloudfront.net/Documentos/631/12307214445/6311230721444514092023152450.pdf","https://dpmzos25m8ivg.cloudfront.net/Documentos/631/12307214445/6311230721444514092023152450.pdf")</f>
        <v>https://dpmzos25m8ivg.cloudfront.net/Documentos/631/12307214445/6311230721444514092023152450.pdf</v>
      </c>
      <c r="G5163" s="5" t="str">
        <f>HYPERLINK("https://dpmzos25m8ivg.cloudfront.net/Documentos/631/12307214445/6311230721444514092023152506.pdf","https://dpmzos25m8ivg.cloudfront.net/Documentos/631/12307214445/6311230721444514092023152506.pdf")</f>
        <v>https://dpmzos25m8ivg.cloudfront.net/Documentos/631/12307214445/6311230721444514092023152506.pdf</v>
      </c>
      <c r="H5163" s="5" t="s">
        <v>13736</v>
      </c>
    </row>
    <row r="5164" spans="1:8" x14ac:dyDescent="0.25">
      <c r="A5164" s="2" t="s">
        <v>5192</v>
      </c>
      <c r="B5164" s="3"/>
      <c r="C5164" s="3"/>
      <c r="D5164" s="3"/>
      <c r="E5164" s="5" t="str">
        <f>HYPERLINK("https://dpmzos25m8ivg.cloudfront.net/Documentos/631/12310614483/6311231061448314092023141936.pdf","https://dpmzos25m8ivg.cloudfront.net/Documentos/631/12310614483/6311231061448314092023141936.pdf")</f>
        <v>https://dpmzos25m8ivg.cloudfront.net/Documentos/631/12310614483/6311231061448314092023141936.pdf</v>
      </c>
      <c r="F5164" s="5" t="str">
        <f>HYPERLINK("https://dpmzos25m8ivg.cloudfront.net/Documentos/631/12310614483/6311231061448314092023142025.pdf","https://dpmzos25m8ivg.cloudfront.net/Documentos/631/12310614483/6311231061448314092023142025.pdf")</f>
        <v>https://dpmzos25m8ivg.cloudfront.net/Documentos/631/12310614483/6311231061448314092023142025.pdf</v>
      </c>
      <c r="G5164" s="5" t="str">
        <f>HYPERLINK("https://dpmzos25m8ivg.cloudfront.net/Documentos/631/12310614483/6311231061448314092023142059.pdf","https://dpmzos25m8ivg.cloudfront.net/Documentos/631/12310614483/6311231061448314092023142059.pdf")</f>
        <v>https://dpmzos25m8ivg.cloudfront.net/Documentos/631/12310614483/6311231061448314092023142059.pdf</v>
      </c>
      <c r="H5164" s="5" t="s">
        <v>13737</v>
      </c>
    </row>
    <row r="5165" spans="1:8" x14ac:dyDescent="0.25">
      <c r="A5165" s="2" t="s">
        <v>5193</v>
      </c>
      <c r="B5165" s="3"/>
      <c r="C5165" s="3"/>
      <c r="D5165" s="3"/>
      <c r="E5165" s="5" t="str">
        <f>HYPERLINK("https://dpmzos25m8ivg.cloudfront.net/Documentos/631/12312641445/6311231264144506092023202043.pdf","https://dpmzos25m8ivg.cloudfront.net/Documentos/631/12312641445/6311231264144506092023202043.pdf")</f>
        <v>https://dpmzos25m8ivg.cloudfront.net/Documentos/631/12312641445/6311231264144506092023202043.pdf</v>
      </c>
      <c r="F5165" s="5" t="str">
        <f>HYPERLINK("https://dpmzos25m8ivg.cloudfront.net/Documentos/631/12312641445/6311231264144506092023202051.pdf","https://dpmzos25m8ivg.cloudfront.net/Documentos/631/12312641445/6311231264144506092023202051.pdf")</f>
        <v>https://dpmzos25m8ivg.cloudfront.net/Documentos/631/12312641445/6311231264144506092023202051.pdf</v>
      </c>
      <c r="G5165" s="5" t="str">
        <f>HYPERLINK("https://dpmzos25m8ivg.cloudfront.net/Documentos/631/12312641445/6311231264144506092023202058.pdf","https://dpmzos25m8ivg.cloudfront.net/Documentos/631/12312641445/6311231264144506092023202058.pdf")</f>
        <v>https://dpmzos25m8ivg.cloudfront.net/Documentos/631/12312641445/6311231264144506092023202058.pdf</v>
      </c>
      <c r="H5165" s="5" t="s">
        <v>13738</v>
      </c>
    </row>
    <row r="5166" spans="1:8" x14ac:dyDescent="0.25">
      <c r="A5166" s="2" t="s">
        <v>5194</v>
      </c>
      <c r="B5166" s="3"/>
      <c r="C5166" s="3"/>
      <c r="D5166" s="3"/>
      <c r="E5166" s="5" t="str">
        <f>HYPERLINK("https://dpmzos25m8ivg.cloudfront.net/Documentos/631/12313407624/6311231340762410092023223616.pdf","https://dpmzos25m8ivg.cloudfront.net/Documentos/631/12313407624/6311231340762410092023223616.pdf")</f>
        <v>https://dpmzos25m8ivg.cloudfront.net/Documentos/631/12313407624/6311231340762410092023223616.pdf</v>
      </c>
      <c r="F5166" s="5" t="str">
        <f>HYPERLINK("https://dpmzos25m8ivg.cloudfront.net/Documentos/631/12313407624/6311231340762410092023223629.pdf","https://dpmzos25m8ivg.cloudfront.net/Documentos/631/12313407624/6311231340762410092023223629.pdf")</f>
        <v>https://dpmzos25m8ivg.cloudfront.net/Documentos/631/12313407624/6311231340762410092023223629.pdf</v>
      </c>
      <c r="G5166" s="5" t="str">
        <f>HYPERLINK("https://dpmzos25m8ivg.cloudfront.net/Documentos/631/12313407624/6311231340762410092023223642.pdf","https://dpmzos25m8ivg.cloudfront.net/Documentos/631/12313407624/6311231340762410092023223642.pdf")</f>
        <v>https://dpmzos25m8ivg.cloudfront.net/Documentos/631/12313407624/6311231340762410092023223642.pdf</v>
      </c>
      <c r="H5166" s="5" t="s">
        <v>13739</v>
      </c>
    </row>
    <row r="5167" spans="1:8" x14ac:dyDescent="0.25">
      <c r="A5167" s="2" t="s">
        <v>5195</v>
      </c>
      <c r="B5167" s="16" t="s">
        <v>5069</v>
      </c>
      <c r="C5167" s="3"/>
      <c r="D5167" s="3"/>
      <c r="E5167" s="5" t="str">
        <f>HYPERLINK("https://dpmzos25m8ivg.cloudfront.net/Documentos/631/12314258495/6311231425849511092023142341.pdf","https://dpmzos25m8ivg.cloudfront.net/Documentos/631/12314258495/6311231425849511092023142341.pdf")</f>
        <v>https://dpmzos25m8ivg.cloudfront.net/Documentos/631/12314258495/6311231425849511092023142341.pdf</v>
      </c>
      <c r="F5167" s="5" t="str">
        <f>HYPERLINK("https://dpmzos25m8ivg.cloudfront.net/Documentos/631/12314258495/6311231425849511092023142659.pdf","https://dpmzos25m8ivg.cloudfront.net/Documentos/631/12314258495/6311231425849511092023142659.pdf")</f>
        <v>https://dpmzos25m8ivg.cloudfront.net/Documentos/631/12314258495/6311231425849511092023142659.pdf</v>
      </c>
      <c r="G5167" s="5" t="str">
        <f>HYPERLINK("https://dpmzos25m8ivg.cloudfront.net/Documentos/631/12314258495/6311231425849511092023143100.pdf","https://dpmzos25m8ivg.cloudfront.net/Documentos/631/12314258495/6311231425849511092023143100.pdf")</f>
        <v>https://dpmzos25m8ivg.cloudfront.net/Documentos/631/12314258495/6311231425849511092023143100.pdf</v>
      </c>
      <c r="H5167" s="5" t="s">
        <v>13740</v>
      </c>
    </row>
    <row r="5168" spans="1:8" x14ac:dyDescent="0.25">
      <c r="A5168" s="2" t="s">
        <v>5196</v>
      </c>
      <c r="B5168" s="3"/>
      <c r="C5168" s="3"/>
      <c r="D5168" s="3"/>
      <c r="E5168" s="5" t="str">
        <f>HYPERLINK("https://dpmzos25m8ivg.cloudfront.net/Documentos/631/12316258646/6311231625864610092023212537.jpg","https://dpmzos25m8ivg.cloudfront.net/Documentos/631/12316258646/6311231625864610092023212537.jpg")</f>
        <v>https://dpmzos25m8ivg.cloudfront.net/Documentos/631/12316258646/6311231625864610092023212537.jpg</v>
      </c>
      <c r="F5168" s="5" t="str">
        <f>HYPERLINK("https://dpmzos25m8ivg.cloudfront.net/Documentos/631/12316258646/6311231625864610092023212607.jpg","https://dpmzos25m8ivg.cloudfront.net/Documentos/631/12316258646/6311231625864610092023212607.jpg")</f>
        <v>https://dpmzos25m8ivg.cloudfront.net/Documentos/631/12316258646/6311231625864610092023212607.jpg</v>
      </c>
      <c r="G5168" s="5" t="str">
        <f>HYPERLINK("https://dpmzos25m8ivg.cloudfront.net/Documentos/631/12316258646/6311231625864610092023212638.jpg","https://dpmzos25m8ivg.cloudfront.net/Documentos/631/12316258646/6311231625864610092023212638.jpg")</f>
        <v>https://dpmzos25m8ivg.cloudfront.net/Documentos/631/12316258646/6311231625864610092023212638.jpg</v>
      </c>
      <c r="H5168" s="5" t="s">
        <v>13741</v>
      </c>
    </row>
    <row r="5169" spans="1:8" x14ac:dyDescent="0.25">
      <c r="A5169" s="2" t="s">
        <v>5197</v>
      </c>
      <c r="B5169" s="16" t="s">
        <v>2358</v>
      </c>
      <c r="C5169" s="3"/>
      <c r="D5169" s="3"/>
      <c r="E5169" s="5" t="str">
        <f>HYPERLINK("https://dpmzos25m8ivg.cloudfront.net/Documentos/631/12318301409/6311231830140911092023141624.pdf","https://dpmzos25m8ivg.cloudfront.net/Documentos/631/12318301409/6311231830140911092023141624.pdf")</f>
        <v>https://dpmzos25m8ivg.cloudfront.net/Documentos/631/12318301409/6311231830140911092023141624.pdf</v>
      </c>
      <c r="F5169" s="5" t="str">
        <f>HYPERLINK("https://dpmzos25m8ivg.cloudfront.net/Documentos/631/12318301409/6311231830140911092023141642.pdf","https://dpmzos25m8ivg.cloudfront.net/Documentos/631/12318301409/6311231830140911092023141642.pdf")</f>
        <v>https://dpmzos25m8ivg.cloudfront.net/Documentos/631/12318301409/6311231830140911092023141642.pdf</v>
      </c>
      <c r="G5169" s="5" t="str">
        <f>HYPERLINK("https://dpmzos25m8ivg.cloudfront.net/Documentos/631/12318301409/6311231830140911092023141659.pdf","https://dpmzos25m8ivg.cloudfront.net/Documentos/631/12318301409/6311231830140911092023141659.pdf")</f>
        <v>https://dpmzos25m8ivg.cloudfront.net/Documentos/631/12318301409/6311231830140911092023141659.pdf</v>
      </c>
      <c r="H5169" s="5" t="s">
        <v>13742</v>
      </c>
    </row>
    <row r="5170" spans="1:8" x14ac:dyDescent="0.25">
      <c r="A5170" s="2" t="s">
        <v>5198</v>
      </c>
      <c r="B5170" s="3"/>
      <c r="C5170" s="3"/>
      <c r="D5170" s="3"/>
      <c r="E5170" s="5" t="str">
        <f>HYPERLINK("https://dpmzos25m8ivg.cloudfront.net/Documentos/631/12318331650/6311231833165011092023123131.pdf","https://dpmzos25m8ivg.cloudfront.net/Documentos/631/12318331650/6311231833165011092023123131.pdf")</f>
        <v>https://dpmzos25m8ivg.cloudfront.net/Documentos/631/12318331650/6311231833165011092023123131.pdf</v>
      </c>
      <c r="F5170" s="5" t="str">
        <f>HYPERLINK("https://dpmzos25m8ivg.cloudfront.net/Documentos/631/12318331650/6311231833165011092023123148.pdf","https://dpmzos25m8ivg.cloudfront.net/Documentos/631/12318331650/6311231833165011092023123148.pdf")</f>
        <v>https://dpmzos25m8ivg.cloudfront.net/Documentos/631/12318331650/6311231833165011092023123148.pdf</v>
      </c>
      <c r="G5170" s="5" t="str">
        <f>HYPERLINK("https://dpmzos25m8ivg.cloudfront.net/Documentos/631/12318331650/6311231833165011092023123157.pdf","https://dpmzos25m8ivg.cloudfront.net/Documentos/631/12318331650/6311231833165011092023123157.pdf")</f>
        <v>https://dpmzos25m8ivg.cloudfront.net/Documentos/631/12318331650/6311231833165011092023123157.pdf</v>
      </c>
      <c r="H5170" s="5" t="s">
        <v>13743</v>
      </c>
    </row>
    <row r="5171" spans="1:8" x14ac:dyDescent="0.25">
      <c r="A5171" s="2" t="s">
        <v>5199</v>
      </c>
      <c r="B5171" s="3"/>
      <c r="C5171" s="3"/>
      <c r="D5171" s="3"/>
      <c r="E5171" s="5" t="str">
        <f>HYPERLINK("https://dpmzos25m8ivg.cloudfront.net/Documentos/631/12320624724/6311232062472410092023181837.pdf","https://dpmzos25m8ivg.cloudfront.net/Documentos/631/12320624724/6311232062472410092023181837.pdf")</f>
        <v>https://dpmzos25m8ivg.cloudfront.net/Documentos/631/12320624724/6311232062472410092023181837.pdf</v>
      </c>
      <c r="F5171" s="5" t="str">
        <f>HYPERLINK("https://dpmzos25m8ivg.cloudfront.net/Documentos/631/12320624724/AR22546311232062472410092023181938.jpg","https://dpmzos25m8ivg.cloudfront.net/Documentos/631/12320624724/6311232062472410092023181938.jpg")</f>
        <v>https://dpmzos25m8ivg.cloudfront.net/Documentos/631/12320624724/6311232062472410092023181938.jpg</v>
      </c>
      <c r="G5171" s="5" t="str">
        <f>HYPERLINK("https://dpmzos25m8ivg.cloudfront.net/Documentos/631/12320624724/6311232062472410092023181946.jpg","https://dpmzos25m8ivg.cloudfront.net/Documentos/631/12320624724/6311232062472410092023181946.jpg")</f>
        <v>https://dpmzos25m8ivg.cloudfront.net/Documentos/631/12320624724/6311232062472410092023181946.jpg</v>
      </c>
      <c r="H5171" s="5" t="s">
        <v>13744</v>
      </c>
    </row>
    <row r="5172" spans="1:8" x14ac:dyDescent="0.25">
      <c r="A5172" s="2" t="s">
        <v>5200</v>
      </c>
      <c r="B5172" s="3"/>
      <c r="C5172" s="3"/>
      <c r="D5172" s="3"/>
      <c r="E5172" s="5" t="str">
        <f>HYPERLINK("https://dpmzos25m8ivg.cloudfront.net/Documentos/631/12322146471/6311232214647108092023132751.pdf","https://dpmzos25m8ivg.cloudfront.net/Documentos/631/12322146471/6311232214647108092023132751.pdf")</f>
        <v>https://dpmzos25m8ivg.cloudfront.net/Documentos/631/12322146471/6311232214647108092023132751.pdf</v>
      </c>
      <c r="F5172" s="5" t="str">
        <f>HYPERLINK("https://dpmzos25m8ivg.cloudfront.net/Documentos/631/12322146471/6311232214647108092023132812.pdf","https://dpmzos25m8ivg.cloudfront.net/Documentos/631/12322146471/6311232214647108092023132812.pdf")</f>
        <v>https://dpmzos25m8ivg.cloudfront.net/Documentos/631/12322146471/6311232214647108092023132812.pdf</v>
      </c>
      <c r="G5172" s="5" t="str">
        <f>HYPERLINK("https://dpmzos25m8ivg.cloudfront.net/Documentos/631/12322146471/6311232214647108092023132836.pdf","https://dpmzos25m8ivg.cloudfront.net/Documentos/631/12322146471/6311232214647108092023132836.pdf")</f>
        <v>https://dpmzos25m8ivg.cloudfront.net/Documentos/631/12322146471/6311232214647108092023132836.pdf</v>
      </c>
      <c r="H5172" s="5" t="s">
        <v>13745</v>
      </c>
    </row>
    <row r="5173" spans="1:8" x14ac:dyDescent="0.25">
      <c r="A5173" s="2" t="s">
        <v>5201</v>
      </c>
      <c r="B5173" s="3"/>
      <c r="C5173" s="3"/>
      <c r="D5173" s="3"/>
      <c r="E5173" s="5" t="str">
        <f>HYPERLINK("https://dpmzos25m8ivg.cloudfront.net/Documentos/631/12327495679/6311232749567911092023114533.pdf","https://dpmzos25m8ivg.cloudfront.net/Documentos/631/12327495679/6311232749567911092023114533.pdf")</f>
        <v>https://dpmzos25m8ivg.cloudfront.net/Documentos/631/12327495679/6311232749567911092023114533.pdf</v>
      </c>
      <c r="F5173" s="5" t="str">
        <f>HYPERLINK("https://dpmzos25m8ivg.cloudfront.net/Documentos/631/12327495679/6311232749567911092023114542.pdf","https://dpmzos25m8ivg.cloudfront.net/Documentos/631/12327495679/6311232749567911092023114542.pdf")</f>
        <v>https://dpmzos25m8ivg.cloudfront.net/Documentos/631/12327495679/6311232749567911092023114542.pdf</v>
      </c>
      <c r="G5173" s="5" t="str">
        <f>HYPERLINK("https://dpmzos25m8ivg.cloudfront.net/Documentos/631/12327495679/6311232749567911092023114558.pdf","https://dpmzos25m8ivg.cloudfront.net/Documentos/631/12327495679/6311232749567911092023114558.pdf")</f>
        <v>https://dpmzos25m8ivg.cloudfront.net/Documentos/631/12327495679/6311232749567911092023114558.pdf</v>
      </c>
      <c r="H5173" s="5" t="s">
        <v>13746</v>
      </c>
    </row>
    <row r="5174" spans="1:8" x14ac:dyDescent="0.25">
      <c r="A5174" s="2" t="s">
        <v>5202</v>
      </c>
      <c r="B5174" s="3"/>
      <c r="C5174" s="3"/>
      <c r="D5174" s="3"/>
      <c r="E5174" s="5" t="str">
        <f>HYPERLINK("https://dpmzos25m8ivg.cloudfront.net/Documentos/631/12331808430/6311233180843011092023150038.jpeg","https://dpmzos25m8ivg.cloudfront.net/Documentos/631/12331808430/6311233180843011092023150038.jpeg")</f>
        <v>https://dpmzos25m8ivg.cloudfront.net/Documentos/631/12331808430/6311233180843011092023150038.jpeg</v>
      </c>
      <c r="F5174" s="5" t="str">
        <f>HYPERLINK("https://dpmzos25m8ivg.cloudfront.net/Documentos/631/12331808430/6311233180843011092023152208.jpeg","https://dpmzos25m8ivg.cloudfront.net/Documentos/631/12331808430/6311233180843011092023152208.jpeg")</f>
        <v>https://dpmzos25m8ivg.cloudfront.net/Documentos/631/12331808430/6311233180843011092023152208.jpeg</v>
      </c>
      <c r="G5174" s="5" t="str">
        <f>HYPERLINK("https://dpmzos25m8ivg.cloudfront.net/Documentos/631/12331808430/6311233180843011092023150144.jpeg","https://dpmzos25m8ivg.cloudfront.net/Documentos/631/12331808430/6311233180843011092023150144.jpeg")</f>
        <v>https://dpmzos25m8ivg.cloudfront.net/Documentos/631/12331808430/6311233180843011092023150144.jpeg</v>
      </c>
      <c r="H5174" s="5" t="s">
        <v>13747</v>
      </c>
    </row>
    <row r="5175" spans="1:8" x14ac:dyDescent="0.25">
      <c r="A5175" s="2" t="s">
        <v>5203</v>
      </c>
      <c r="B5175" s="3"/>
      <c r="C5175" s="3"/>
      <c r="D5175" s="3"/>
      <c r="E5175" s="5" t="str">
        <f>HYPERLINK("https://dpmzos25m8ivg.cloudfront.net/Documentos/631/12339111471/6311233911147110092023194245.pdf","https://dpmzos25m8ivg.cloudfront.net/Documentos/631/12339111471/6311233911147110092023194245.pdf")</f>
        <v>https://dpmzos25m8ivg.cloudfront.net/Documentos/631/12339111471/6311233911147110092023194245.pdf</v>
      </c>
      <c r="F5175" s="5" t="str">
        <f>HYPERLINK("https://dpmzos25m8ivg.cloudfront.net/Documentos/631/12339111471/6311233911147110092023194254.pdf","https://dpmzos25m8ivg.cloudfront.net/Documentos/631/12339111471/6311233911147110092023194254.pdf")</f>
        <v>https://dpmzos25m8ivg.cloudfront.net/Documentos/631/12339111471/6311233911147110092023194254.pdf</v>
      </c>
      <c r="G5175" s="5" t="str">
        <f>HYPERLINK("https://dpmzos25m8ivg.cloudfront.net/Documentos/631/12339111471/6311233911147110092023194222.pdf","https://dpmzos25m8ivg.cloudfront.net/Documentos/631/12339111471/6311233911147110092023194222.pdf")</f>
        <v>https://dpmzos25m8ivg.cloudfront.net/Documentos/631/12339111471/6311233911147110092023194222.pdf</v>
      </c>
      <c r="H5175" s="5" t="s">
        <v>13748</v>
      </c>
    </row>
    <row r="5176" spans="1:8" x14ac:dyDescent="0.25">
      <c r="A5176" s="2" t="s">
        <v>5204</v>
      </c>
      <c r="B5176" s="3"/>
      <c r="C5176" s="3"/>
      <c r="D5176" s="3"/>
      <c r="E5176" s="5" t="str">
        <f>HYPERLINK("https://dpmzos25m8ivg.cloudfront.net/Documentos/631/12343378606/6311234337860610092023200745.pdf","https://dpmzos25m8ivg.cloudfront.net/Documentos/631/12343378606/6311234337860610092023200745.pdf")</f>
        <v>https://dpmzos25m8ivg.cloudfront.net/Documentos/631/12343378606/6311234337860610092023200745.pdf</v>
      </c>
      <c r="F5176" s="5" t="str">
        <f>HYPERLINK("https://dpmzos25m8ivg.cloudfront.net/Documentos/631/12343378606/6311234337860610092023200754.pdf","https://dpmzos25m8ivg.cloudfront.net/Documentos/631/12343378606/6311234337860610092023200754.pdf")</f>
        <v>https://dpmzos25m8ivg.cloudfront.net/Documentos/631/12343378606/6311234337860610092023200754.pdf</v>
      </c>
      <c r="G5176" s="5" t="str">
        <f>HYPERLINK("https://dpmzos25m8ivg.cloudfront.net/Documentos/631/12343378606/6311234337860610092023200808.pdf","https://dpmzos25m8ivg.cloudfront.net/Documentos/631/12343378606/6311234337860610092023200808.pdf")</f>
        <v>https://dpmzos25m8ivg.cloudfront.net/Documentos/631/12343378606/6311234337860610092023200808.pdf</v>
      </c>
      <c r="H5176" s="5" t="s">
        <v>13749</v>
      </c>
    </row>
    <row r="5177" spans="1:8" x14ac:dyDescent="0.25">
      <c r="A5177" s="2" t="s">
        <v>5205</v>
      </c>
      <c r="B5177" s="3"/>
      <c r="C5177" s="3"/>
      <c r="D5177" s="3"/>
      <c r="E5177" s="5" t="str">
        <f>HYPERLINK("https://dpmzos25m8ivg.cloudfront.net/Documentos/631/12343648409/6311234364840910092023200806.jpeg","https://dpmzos25m8ivg.cloudfront.net/Documentos/631/12343648409/6311234364840910092023200806.jpeg")</f>
        <v>https://dpmzos25m8ivg.cloudfront.net/Documentos/631/12343648409/6311234364840910092023200806.jpeg</v>
      </c>
      <c r="F5177" s="5" t="str">
        <f>HYPERLINK("https://dpmzos25m8ivg.cloudfront.net/Documentos/631/12343648409/6311234364840910092023200830.jpeg","https://dpmzos25m8ivg.cloudfront.net/Documentos/631/12343648409/6311234364840910092023200830.jpeg")</f>
        <v>https://dpmzos25m8ivg.cloudfront.net/Documentos/631/12343648409/6311234364840910092023200830.jpeg</v>
      </c>
      <c r="G5177" s="5" t="str">
        <f>HYPERLINK("https://dpmzos25m8ivg.cloudfront.net/Documentos/631/12343648409/6311234364840910092023200841.jpeg","https://dpmzos25m8ivg.cloudfront.net/Documentos/631/12343648409/6311234364840910092023200841.jpeg")</f>
        <v>https://dpmzos25m8ivg.cloudfront.net/Documentos/631/12343648409/6311234364840910092023200841.jpeg</v>
      </c>
      <c r="H5177" s="5" t="s">
        <v>13750</v>
      </c>
    </row>
    <row r="5178" spans="1:8" x14ac:dyDescent="0.25">
      <c r="A5178" s="2" t="s">
        <v>5206</v>
      </c>
      <c r="B5178" s="3"/>
      <c r="C5178" s="3"/>
      <c r="D5178" s="3"/>
      <c r="E5178" s="5" t="str">
        <f>HYPERLINK("https://dpmzos25m8ivg.cloudfront.net/Documentos/631/12346643726/6311234664372605092023224812.pdf","https://dpmzos25m8ivg.cloudfront.net/Documentos/631/12346643726/6311234664372605092023224812.pdf")</f>
        <v>https://dpmzos25m8ivg.cloudfront.net/Documentos/631/12346643726/6311234664372605092023224812.pdf</v>
      </c>
      <c r="F5178" s="5" t="str">
        <f>HYPERLINK("https://dpmzos25m8ivg.cloudfront.net/Documentos/631/12346643726/6311234664372605092023224822.pdf","https://dpmzos25m8ivg.cloudfront.net/Documentos/631/12346643726/6311234664372605092023224822.pdf")</f>
        <v>https://dpmzos25m8ivg.cloudfront.net/Documentos/631/12346643726/6311234664372605092023224822.pdf</v>
      </c>
      <c r="G5178" s="5" t="str">
        <f>HYPERLINK("https://dpmzos25m8ivg.cloudfront.net/Documentos/631/12346643726/6311234664372605092023224830.pdf","https://dpmzos25m8ivg.cloudfront.net/Documentos/631/12346643726/6311234664372605092023224830.pdf")</f>
        <v>https://dpmzos25m8ivg.cloudfront.net/Documentos/631/12346643726/6311234664372605092023224830.pdf</v>
      </c>
      <c r="H5178" s="5" t="s">
        <v>13751</v>
      </c>
    </row>
    <row r="5179" spans="1:8" x14ac:dyDescent="0.25">
      <c r="A5179" s="2" t="s">
        <v>5207</v>
      </c>
      <c r="B5179" s="3"/>
      <c r="C5179" s="3"/>
      <c r="D5179" s="3"/>
      <c r="E5179" s="5" t="str">
        <f>HYPERLINK("https://dpmzos25m8ivg.cloudfront.net/Documentos/631/12346722430/6311234672243011092023152629.pdf","https://dpmzos25m8ivg.cloudfront.net/Documentos/631/12346722430/6311234672243011092023152629.pdf")</f>
        <v>https://dpmzos25m8ivg.cloudfront.net/Documentos/631/12346722430/6311234672243011092023152629.pdf</v>
      </c>
      <c r="F5179" s="5" t="str">
        <f>HYPERLINK("https://dpmzos25m8ivg.cloudfront.net/Documentos/631/12346722430/6311234672243011092023152741.pdf","https://dpmzos25m8ivg.cloudfront.net/Documentos/631/12346722430/6311234672243011092023152741.pdf")</f>
        <v>https://dpmzos25m8ivg.cloudfront.net/Documentos/631/12346722430/6311234672243011092023152741.pdf</v>
      </c>
      <c r="G5179" s="5" t="str">
        <f>HYPERLINK("https://dpmzos25m8ivg.cloudfront.net/Documentos/631/12346722430/6311234672243011092023152750.pdf","https://dpmzos25m8ivg.cloudfront.net/Documentos/631/12346722430/6311234672243011092023152750.pdf")</f>
        <v>https://dpmzos25m8ivg.cloudfront.net/Documentos/631/12346722430/6311234672243011092023152750.pdf</v>
      </c>
      <c r="H5179" s="5" t="s">
        <v>13752</v>
      </c>
    </row>
    <row r="5180" spans="1:8" x14ac:dyDescent="0.25">
      <c r="A5180" s="2" t="s">
        <v>5208</v>
      </c>
      <c r="B5180" s="3"/>
      <c r="C5180" s="3"/>
      <c r="D5180" s="3"/>
      <c r="E5180" s="5" t="str">
        <f>HYPERLINK("https://dpmzos25m8ivg.cloudfront.net/Documentos/631/12349155706/6311234915570614092023112755.pdf","https://dpmzos25m8ivg.cloudfront.net/Documentos/631/12349155706/6311234915570614092023112755.pdf")</f>
        <v>https://dpmzos25m8ivg.cloudfront.net/Documentos/631/12349155706/6311234915570614092023112755.pdf</v>
      </c>
      <c r="F5180" s="5" t="str">
        <f>HYPERLINK("https://dpmzos25m8ivg.cloudfront.net/Documentos/631/12349155706/6311234915570614092023112802.pdf","https://dpmzos25m8ivg.cloudfront.net/Documentos/631/12349155706/6311234915570614092023112802.pdf")</f>
        <v>https://dpmzos25m8ivg.cloudfront.net/Documentos/631/12349155706/6311234915570614092023112802.pdf</v>
      </c>
      <c r="G5180" s="5" t="str">
        <f>HYPERLINK("https://dpmzos25m8ivg.cloudfront.net/Documentos/631/12349155706/6311234915570614092023112824.pdf","https://dpmzos25m8ivg.cloudfront.net/Documentos/631/12349155706/6311234915570614092023112824.pdf")</f>
        <v>https://dpmzos25m8ivg.cloudfront.net/Documentos/631/12349155706/6311234915570614092023112824.pdf</v>
      </c>
      <c r="H5180" s="5" t="s">
        <v>13753</v>
      </c>
    </row>
    <row r="5181" spans="1:8" x14ac:dyDescent="0.25">
      <c r="A5181" s="2" t="s">
        <v>5209</v>
      </c>
      <c r="B5181" s="3"/>
      <c r="C5181" s="3"/>
      <c r="D5181" s="3"/>
      <c r="E5181" s="5" t="str">
        <f>HYPERLINK("https://dpmzos25m8ivg.cloudfront.net/Documentos/631/12350380769/6311235038076911092023161120.pdf","https://dpmzos25m8ivg.cloudfront.net/Documentos/631/12350380769/6311235038076911092023161120.pdf")</f>
        <v>https://dpmzos25m8ivg.cloudfront.net/Documentos/631/12350380769/6311235038076911092023161120.pdf</v>
      </c>
      <c r="F5181" s="5" t="str">
        <f>HYPERLINK("https://dpmzos25m8ivg.cloudfront.net/Documentos/631/12350380769/6311235038076911092023161252.pdf","https://dpmzos25m8ivg.cloudfront.net/Documentos/631/12350380769/6311235038076911092023161252.pdf")</f>
        <v>https://dpmzos25m8ivg.cloudfront.net/Documentos/631/12350380769/6311235038076911092023161252.pdf</v>
      </c>
      <c r="G5181" s="5" t="str">
        <f>HYPERLINK("https://dpmzos25m8ivg.cloudfront.net/Documentos/631/12350380769/6311235038076911092023161316.pdf","https://dpmzos25m8ivg.cloudfront.net/Documentos/631/12350380769/6311235038076911092023161316.pdf")</f>
        <v>https://dpmzos25m8ivg.cloudfront.net/Documentos/631/12350380769/6311235038076911092023161316.pdf</v>
      </c>
      <c r="H5181" s="5" t="s">
        <v>13754</v>
      </c>
    </row>
    <row r="5182" spans="1:8" x14ac:dyDescent="0.25">
      <c r="A5182" s="2" t="s">
        <v>5210</v>
      </c>
      <c r="B5182" s="3"/>
      <c r="C5182" s="3"/>
      <c r="D5182" s="3"/>
      <c r="E5182" s="5" t="str">
        <f>HYPERLINK("https://dpmzos25m8ivg.cloudfront.net/Documentos/631/12350571432/6311235057143210092023140103.pdf","https://dpmzos25m8ivg.cloudfront.net/Documentos/631/12350571432/6311235057143210092023140103.pdf")</f>
        <v>https://dpmzos25m8ivg.cloudfront.net/Documentos/631/12350571432/6311235057143210092023140103.pdf</v>
      </c>
      <c r="F5182" s="5" t="str">
        <f>HYPERLINK("https://dpmzos25m8ivg.cloudfront.net/Documentos/631/12350571432/6311235057143210092023140139.pdf","https://dpmzos25m8ivg.cloudfront.net/Documentos/631/12350571432/6311235057143210092023140139.pdf")</f>
        <v>https://dpmzos25m8ivg.cloudfront.net/Documentos/631/12350571432/6311235057143210092023140139.pdf</v>
      </c>
      <c r="G5182" s="5" t="str">
        <f>HYPERLINK("https://dpmzos25m8ivg.cloudfront.net/Documentos/631/12350571432/6311235057143210092023140123.pdf","https://dpmzos25m8ivg.cloudfront.net/Documentos/631/12350571432/6311235057143210092023140123.pdf")</f>
        <v>https://dpmzos25m8ivg.cloudfront.net/Documentos/631/12350571432/6311235057143210092023140123.pdf</v>
      </c>
      <c r="H5182" s="5" t="s">
        <v>13755</v>
      </c>
    </row>
    <row r="5183" spans="1:8" x14ac:dyDescent="0.25">
      <c r="A5183" s="2" t="s">
        <v>5211</v>
      </c>
      <c r="B5183" s="3"/>
      <c r="C5183" s="3"/>
      <c r="D5183" s="3"/>
      <c r="E5183" s="5" t="str">
        <f>HYPERLINK("https://dpmzos25m8ivg.cloudfront.net/Documentos/631/12351009606/6311235100960604092023215315.jpeg","https://dpmzos25m8ivg.cloudfront.net/Documentos/631/12351009606/6311235100960604092023215315.jpeg")</f>
        <v>https://dpmzos25m8ivg.cloudfront.net/Documentos/631/12351009606/6311235100960604092023215315.jpeg</v>
      </c>
      <c r="F5183" s="5" t="str">
        <f>HYPERLINK("https://dpmzos25m8ivg.cloudfront.net/Documentos/631/12351009606/6311235100960605092023134603.jpeg","https://dpmzos25m8ivg.cloudfront.net/Documentos/631/12351009606/6311235100960605092023134603.jpeg")</f>
        <v>https://dpmzos25m8ivg.cloudfront.net/Documentos/631/12351009606/6311235100960605092023134603.jpeg</v>
      </c>
      <c r="G5183" s="5" t="str">
        <f>HYPERLINK("https://dpmzos25m8ivg.cloudfront.net/Documentos/631/12351009606/6311235100960605092023134655.jpeg","https://dpmzos25m8ivg.cloudfront.net/Documentos/631/12351009606/6311235100960605092023134655.jpeg")</f>
        <v>https://dpmzos25m8ivg.cloudfront.net/Documentos/631/12351009606/6311235100960605092023134655.jpeg</v>
      </c>
      <c r="H5183" s="5" t="s">
        <v>13756</v>
      </c>
    </row>
    <row r="5184" spans="1:8" x14ac:dyDescent="0.25">
      <c r="A5184" s="2" t="s">
        <v>5212</v>
      </c>
      <c r="B5184" s="3"/>
      <c r="C5184" s="3"/>
      <c r="D5184" s="3"/>
      <c r="E5184" s="5" t="str">
        <f>HYPERLINK("https://dpmzos25m8ivg.cloudfront.net/Documentos/631/12355619760/6311235561976011092023114926.pdf","https://dpmzos25m8ivg.cloudfront.net/Documentos/631/12355619760/6311235561976011092023114926.pdf")</f>
        <v>https://dpmzos25m8ivg.cloudfront.net/Documentos/631/12355619760/6311235561976011092023114926.pdf</v>
      </c>
      <c r="F5184" s="5" t="str">
        <f>HYPERLINK("https://dpmzos25m8ivg.cloudfront.net/Documentos/631/12355619760/6311235561976011092023115214.pdf","https://dpmzos25m8ivg.cloudfront.net/Documentos/631/12355619760/6311235561976011092023115214.pdf")</f>
        <v>https://dpmzos25m8ivg.cloudfront.net/Documentos/631/12355619760/6311235561976011092023115214.pdf</v>
      </c>
      <c r="G5184" s="5" t="str">
        <f>HYPERLINK("https://dpmzos25m8ivg.cloudfront.net/Documentos/631/12355619760/6311235561976011092023114658.pdf","https://dpmzos25m8ivg.cloudfront.net/Documentos/631/12355619760/6311235561976011092023114658.pdf")</f>
        <v>https://dpmzos25m8ivg.cloudfront.net/Documentos/631/12355619760/6311235561976011092023114658.pdf</v>
      </c>
      <c r="H5184" s="5" t="s">
        <v>13757</v>
      </c>
    </row>
    <row r="5185" spans="1:8" x14ac:dyDescent="0.25">
      <c r="A5185" s="2" t="s">
        <v>5213</v>
      </c>
      <c r="B5185" s="3"/>
      <c r="C5185" s="3"/>
      <c r="D5185" s="3"/>
      <c r="E5185" s="5" t="str">
        <f>HYPERLINK("https://dpmzos25m8ivg.cloudfront.net/Documentos/631/12358583405/6311235858340510092023163847.jpeg","https://dpmzos25m8ivg.cloudfront.net/Documentos/631/12358583405/6311235858340510092023163847.jpeg")</f>
        <v>https://dpmzos25m8ivg.cloudfront.net/Documentos/631/12358583405/6311235858340510092023163847.jpeg</v>
      </c>
      <c r="F5185" s="5" t="str">
        <f>HYPERLINK("https://dpmzos25m8ivg.cloudfront.net/Documentos/631/12358583405/6311235858340510092023163856.jpeg","https://dpmzos25m8ivg.cloudfront.net/Documentos/631/12358583405/6311235858340510092023163856.jpeg")</f>
        <v>https://dpmzos25m8ivg.cloudfront.net/Documentos/631/12358583405/6311235858340510092023163856.jpeg</v>
      </c>
      <c r="G5185" s="5" t="str">
        <f>HYPERLINK("https://dpmzos25m8ivg.cloudfront.net/Documentos/631/12358583405/6311235858340510092023163906.jpeg","https://dpmzos25m8ivg.cloudfront.net/Documentos/631/12358583405/6311235858340510092023163906.jpeg")</f>
        <v>https://dpmzos25m8ivg.cloudfront.net/Documentos/631/12358583405/6311235858340510092023163906.jpeg</v>
      </c>
      <c r="H5185" s="5" t="s">
        <v>13758</v>
      </c>
    </row>
    <row r="5186" spans="1:8" x14ac:dyDescent="0.25">
      <c r="A5186" s="2" t="s">
        <v>5214</v>
      </c>
      <c r="B5186" s="3"/>
      <c r="C5186" s="3"/>
      <c r="D5186" s="3"/>
      <c r="E5186" s="5" t="str">
        <f>HYPERLINK("https://dpmzos25m8ivg.cloudfront.net/Documentos/631/12360557645/6311236055764506092023084542.pdf","https://dpmzos25m8ivg.cloudfront.net/Documentos/631/12360557645/6311236055764506092023084542.pdf")</f>
        <v>https://dpmzos25m8ivg.cloudfront.net/Documentos/631/12360557645/6311236055764506092023084542.pdf</v>
      </c>
      <c r="F5186" s="5" t="str">
        <f>HYPERLINK("https://dpmzos25m8ivg.cloudfront.net/Documentos/631/12360557645/6311236055764506092023084555.pdf","https://dpmzos25m8ivg.cloudfront.net/Documentos/631/12360557645/6311236055764506092023084555.pdf")</f>
        <v>https://dpmzos25m8ivg.cloudfront.net/Documentos/631/12360557645/6311236055764506092023084555.pdf</v>
      </c>
      <c r="G5186" s="5" t="str">
        <f>HYPERLINK("https://dpmzos25m8ivg.cloudfront.net/Documentos/631/12360557645/6311236055764506092023084602.pdf","https://dpmzos25m8ivg.cloudfront.net/Documentos/631/12360557645/6311236055764506092023084602.pdf")</f>
        <v>https://dpmzos25m8ivg.cloudfront.net/Documentos/631/12360557645/6311236055764506092023084602.pdf</v>
      </c>
      <c r="H5186" s="5" t="s">
        <v>13759</v>
      </c>
    </row>
    <row r="5187" spans="1:8" x14ac:dyDescent="0.25">
      <c r="A5187" s="2" t="s">
        <v>5215</v>
      </c>
      <c r="B5187" s="16" t="s">
        <v>2358</v>
      </c>
      <c r="C5187" s="3"/>
      <c r="D5187" s="3"/>
      <c r="E5187" s="5" t="str">
        <f>HYPERLINK("https://dpmzos25m8ivg.cloudfront.net/Documentos/631/12362340490/6311236234049011092023121028.pdf","https://dpmzos25m8ivg.cloudfront.net/Documentos/631/12362340490/6311236234049011092023121028.pdf")</f>
        <v>https://dpmzos25m8ivg.cloudfront.net/Documentos/631/12362340490/6311236234049011092023121028.pdf</v>
      </c>
      <c r="F5187" s="5" t="str">
        <f>HYPERLINK("https://dpmzos25m8ivg.cloudfront.net/Documentos/631/12362340490/6311236234049011092023121039.pdf","https://dpmzos25m8ivg.cloudfront.net/Documentos/631/12362340490/6311236234049011092023121039.pdf")</f>
        <v>https://dpmzos25m8ivg.cloudfront.net/Documentos/631/12362340490/6311236234049011092023121039.pdf</v>
      </c>
      <c r="G5187" s="5" t="str">
        <f>HYPERLINK("https://dpmzos25m8ivg.cloudfront.net/Documentos/631/12362340490/6311236234049011092023121051.pdf","https://dpmzos25m8ivg.cloudfront.net/Documentos/631/12362340490/6311236234049011092023121051.pdf")</f>
        <v>https://dpmzos25m8ivg.cloudfront.net/Documentos/631/12362340490/6311236234049011092023121051.pdf</v>
      </c>
      <c r="H5187" s="5" t="s">
        <v>13760</v>
      </c>
    </row>
    <row r="5188" spans="1:8" x14ac:dyDescent="0.25">
      <c r="A5188" s="2" t="s">
        <v>5216</v>
      </c>
      <c r="B5188" s="3"/>
      <c r="C5188" s="3"/>
      <c r="D5188" s="3"/>
      <c r="E5188" s="5" t="str">
        <f>HYPERLINK("https://dpmzos25m8ivg.cloudfront.net/Documentos/631/12363387406/6311236338740611092023123413.pdf","https://dpmzos25m8ivg.cloudfront.net/Documentos/631/12363387406/6311236338740611092023123413.pdf")</f>
        <v>https://dpmzos25m8ivg.cloudfront.net/Documentos/631/12363387406/6311236338740611092023123413.pdf</v>
      </c>
      <c r="F5188" s="5" t="str">
        <f>HYPERLINK("https://dpmzos25m8ivg.cloudfront.net/Documentos/631/12363387406/6311236338740611092023123455.pdf","https://dpmzos25m8ivg.cloudfront.net/Documentos/631/12363387406/6311236338740611092023123455.pdf")</f>
        <v>https://dpmzos25m8ivg.cloudfront.net/Documentos/631/12363387406/6311236338740611092023123455.pdf</v>
      </c>
      <c r="G5188" s="5" t="str">
        <f>HYPERLINK("https://dpmzos25m8ivg.cloudfront.net/Documentos/631/12363387406/6311236338740611092023123520.pdf","https://dpmzos25m8ivg.cloudfront.net/Documentos/631/12363387406/6311236338740611092023123520.pdf")</f>
        <v>https://dpmzos25m8ivg.cloudfront.net/Documentos/631/12363387406/6311236338740611092023123520.pdf</v>
      </c>
      <c r="H5188" s="5" t="s">
        <v>13761</v>
      </c>
    </row>
    <row r="5189" spans="1:8" x14ac:dyDescent="0.25">
      <c r="A5189" s="2" t="s">
        <v>5217</v>
      </c>
      <c r="B5189" s="3"/>
      <c r="C5189" s="3"/>
      <c r="D5189" s="3"/>
      <c r="E5189" s="5" t="str">
        <f>HYPERLINK("https://dpmzos25m8ivg.cloudfront.net/Documentos/631/12365294480/6311236529448011092023093828.jpeg","https://dpmzos25m8ivg.cloudfront.net/Documentos/631/12365294480/6311236529448011092023093828.jpeg")</f>
        <v>https://dpmzos25m8ivg.cloudfront.net/Documentos/631/12365294480/6311236529448011092023093828.jpeg</v>
      </c>
      <c r="F5189" s="5" t="str">
        <f>HYPERLINK("https://dpmzos25m8ivg.cloudfront.net/Documentos/631/12365294480/6311236529448011092023093843.jpeg","https://dpmzos25m8ivg.cloudfront.net/Documentos/631/12365294480/6311236529448011092023093843.jpeg")</f>
        <v>https://dpmzos25m8ivg.cloudfront.net/Documentos/631/12365294480/6311236529448011092023093843.jpeg</v>
      </c>
      <c r="G5189" s="5" t="str">
        <f>HYPERLINK("https://dpmzos25m8ivg.cloudfront.net/Documentos/631/12365294480/6311236529448011092023093858.jpeg","https://dpmzos25m8ivg.cloudfront.net/Documentos/631/12365294480/6311236529448011092023093858.jpeg")</f>
        <v>https://dpmzos25m8ivg.cloudfront.net/Documentos/631/12365294480/6311236529448011092023093858.jpeg</v>
      </c>
      <c r="H5189" s="5" t="s">
        <v>13762</v>
      </c>
    </row>
    <row r="5190" spans="1:8" x14ac:dyDescent="0.25">
      <c r="A5190" s="2" t="s">
        <v>5218</v>
      </c>
      <c r="B5190" s="3"/>
      <c r="C5190" s="3"/>
      <c r="D5190" s="3"/>
      <c r="E5190" s="5" t="str">
        <f>HYPERLINK("https://dpmzos25m8ivg.cloudfront.net/Documentos/631/12368004602/6311236800460208092023161119.pdf","https://dpmzos25m8ivg.cloudfront.net/Documentos/631/12368004602/6311236800460208092023161119.pdf")</f>
        <v>https://dpmzos25m8ivg.cloudfront.net/Documentos/631/12368004602/6311236800460208092023161119.pdf</v>
      </c>
      <c r="F5190" s="5" t="str">
        <f>HYPERLINK("https://dpmzos25m8ivg.cloudfront.net/Documentos/631/12368004602/6311236800460208092023161130.pdf","https://dpmzos25m8ivg.cloudfront.net/Documentos/631/12368004602/6311236800460208092023161130.pdf")</f>
        <v>https://dpmzos25m8ivg.cloudfront.net/Documentos/631/12368004602/6311236800460208092023161130.pdf</v>
      </c>
      <c r="G5190" s="5" t="str">
        <f>HYPERLINK("https://dpmzos25m8ivg.cloudfront.net/Documentos/631/12368004602/6311236800460208092023161141.pdf","https://dpmzos25m8ivg.cloudfront.net/Documentos/631/12368004602/6311236800460208092023161141.pdf")</f>
        <v>https://dpmzos25m8ivg.cloudfront.net/Documentos/631/12368004602/6311236800460208092023161141.pdf</v>
      </c>
      <c r="H5190" s="5" t="s">
        <v>13763</v>
      </c>
    </row>
    <row r="5191" spans="1:8" x14ac:dyDescent="0.25">
      <c r="A5191" s="2" t="s">
        <v>5219</v>
      </c>
      <c r="B5191" s="16" t="s">
        <v>2358</v>
      </c>
      <c r="C5191" s="3"/>
      <c r="D5191" s="3"/>
      <c r="E5191" s="5" t="str">
        <f>HYPERLINK("https://dpmzos25m8ivg.cloudfront.net/Documentos/631/12368796606/6311236879660607092023143050.pdf","https://dpmzos25m8ivg.cloudfront.net/Documentos/631/12368796606/6311236879660607092023143050.pdf")</f>
        <v>https://dpmzos25m8ivg.cloudfront.net/Documentos/631/12368796606/6311236879660607092023143050.pdf</v>
      </c>
      <c r="F5191" s="5" t="str">
        <f>HYPERLINK("https://dpmzos25m8ivg.cloudfront.net/Documentos/631/12368796606/6311236879660607092023143100.pdf","https://dpmzos25m8ivg.cloudfront.net/Documentos/631/12368796606/6311236879660607092023143100.pdf")</f>
        <v>https://dpmzos25m8ivg.cloudfront.net/Documentos/631/12368796606/6311236879660607092023143100.pdf</v>
      </c>
      <c r="G5191" s="5" t="str">
        <f>HYPERLINK("https://dpmzos25m8ivg.cloudfront.net/Documentos/631/12368796606/6311236879660607092023143111.pdf","https://dpmzos25m8ivg.cloudfront.net/Documentos/631/12368796606/6311236879660607092023143111.pdf")</f>
        <v>https://dpmzos25m8ivg.cloudfront.net/Documentos/631/12368796606/6311236879660607092023143111.pdf</v>
      </c>
      <c r="H5191" s="5" t="s">
        <v>13764</v>
      </c>
    </row>
    <row r="5192" spans="1:8" x14ac:dyDescent="0.25">
      <c r="A5192" s="2" t="s">
        <v>5220</v>
      </c>
      <c r="B5192" s="3"/>
      <c r="C5192" s="3"/>
      <c r="D5192" s="3"/>
      <c r="E5192" s="5" t="str">
        <f>HYPERLINK("https://dpmzos25m8ivg.cloudfront.net/Documentos/631/12371759414/6311237175941414092023105423.pdf","https://dpmzos25m8ivg.cloudfront.net/Documentos/631/12371759414/6311237175941414092023105423.pdf")</f>
        <v>https://dpmzos25m8ivg.cloudfront.net/Documentos/631/12371759414/6311237175941414092023105423.pdf</v>
      </c>
      <c r="F5192" s="5" t="str">
        <f>HYPERLINK("https://dpmzos25m8ivg.cloudfront.net/Documentos/631/12371759414/6311237175941414092023105455.pdf","https://dpmzos25m8ivg.cloudfront.net/Documentos/631/12371759414/6311237175941414092023105455.pdf")</f>
        <v>https://dpmzos25m8ivg.cloudfront.net/Documentos/631/12371759414/6311237175941414092023105455.pdf</v>
      </c>
      <c r="G5192" s="5" t="str">
        <f>HYPERLINK("https://dpmzos25m8ivg.cloudfront.net/Documentos/631/12371759414/6311237175941414092023105507.pdf","https://dpmzos25m8ivg.cloudfront.net/Documentos/631/12371759414/6311237175941414092023105507.pdf")</f>
        <v>https://dpmzos25m8ivg.cloudfront.net/Documentos/631/12371759414/6311237175941414092023105507.pdf</v>
      </c>
      <c r="H5192" s="5" t="s">
        <v>13765</v>
      </c>
    </row>
    <row r="5193" spans="1:8" x14ac:dyDescent="0.25">
      <c r="A5193" s="2" t="s">
        <v>5221</v>
      </c>
      <c r="B5193" s="3"/>
      <c r="C5193" s="3"/>
      <c r="D5193" s="3"/>
      <c r="E5193" s="5" t="str">
        <f>HYPERLINK("https://dpmzos25m8ivg.cloudfront.net/Documentos/631/12376074428/6311237607442811092023152137.pdf","https://dpmzos25m8ivg.cloudfront.net/Documentos/631/12376074428/6311237607442811092023152137.pdf")</f>
        <v>https://dpmzos25m8ivg.cloudfront.net/Documentos/631/12376074428/6311237607442811092023152137.pdf</v>
      </c>
      <c r="F5193" s="5" t="str">
        <f>HYPERLINK("https://dpmzos25m8ivg.cloudfront.net/Documentos/631/12376074428/6311237607442811092023152205.pdf","https://dpmzos25m8ivg.cloudfront.net/Documentos/631/12376074428/6311237607442811092023152205.pdf")</f>
        <v>https://dpmzos25m8ivg.cloudfront.net/Documentos/631/12376074428/6311237607442811092023152205.pdf</v>
      </c>
      <c r="G5193" s="5" t="str">
        <f>HYPERLINK("https://dpmzos25m8ivg.cloudfront.net/Documentos/631/12376074428/6311237607442811092023152220.pdf","https://dpmzos25m8ivg.cloudfront.net/Documentos/631/12376074428/6311237607442811092023152220.pdf")</f>
        <v>https://dpmzos25m8ivg.cloudfront.net/Documentos/631/12376074428/6311237607442811092023152220.pdf</v>
      </c>
      <c r="H5193" s="5" t="s">
        <v>13766</v>
      </c>
    </row>
    <row r="5194" spans="1:8" x14ac:dyDescent="0.25">
      <c r="A5194" s="2" t="s">
        <v>5222</v>
      </c>
      <c r="B5194" s="3"/>
      <c r="C5194" s="3"/>
      <c r="D5194" s="3"/>
      <c r="E5194" s="5" t="str">
        <f>HYPERLINK("https://dpmzos25m8ivg.cloudfront.net/Documentos/631/12378621400/6311237862140011092023110108.jpeg","https://dpmzos25m8ivg.cloudfront.net/Documentos/631/12378621400/6311237862140011092023110108.jpeg")</f>
        <v>https://dpmzos25m8ivg.cloudfront.net/Documentos/631/12378621400/6311237862140011092023110108.jpeg</v>
      </c>
      <c r="F5194" s="5" t="str">
        <f>HYPERLINK("https://dpmzos25m8ivg.cloudfront.net/Documentos/631/12378621400/6311237862140011092023110131.jpeg","https://dpmzos25m8ivg.cloudfront.net/Documentos/631/12378621400/6311237862140011092023110131.jpeg")</f>
        <v>https://dpmzos25m8ivg.cloudfront.net/Documentos/631/12378621400/6311237862140011092023110131.jpeg</v>
      </c>
      <c r="G5194" s="5" t="str">
        <f>HYPERLINK("https://dpmzos25m8ivg.cloudfront.net/Documentos/631/12378621400/6311237862140011092023110156.jpeg","https://dpmzos25m8ivg.cloudfront.net/Documentos/631/12378621400/6311237862140011092023110156.jpeg")</f>
        <v>https://dpmzos25m8ivg.cloudfront.net/Documentos/631/12378621400/6311237862140011092023110156.jpeg</v>
      </c>
      <c r="H5194" s="5" t="s">
        <v>13767</v>
      </c>
    </row>
    <row r="5195" spans="1:8" x14ac:dyDescent="0.25">
      <c r="A5195" s="2" t="s">
        <v>5223</v>
      </c>
      <c r="B5195" s="3"/>
      <c r="C5195" s="3"/>
      <c r="D5195" s="3"/>
      <c r="E5195" s="5" t="str">
        <f>HYPERLINK("https://dpmzos25m8ivg.cloudfront.net/Documentos/631/12388171490/6311238817149014092023164643.jpeg","https://dpmzos25m8ivg.cloudfront.net/Documentos/631/12388171490/6311238817149014092023164643.jpeg")</f>
        <v>https://dpmzos25m8ivg.cloudfront.net/Documentos/631/12388171490/6311238817149014092023164643.jpeg</v>
      </c>
      <c r="F5195" s="5" t="str">
        <f>HYPERLINK("https://dpmzos25m8ivg.cloudfront.net/Documentos/631/12388171490/6311238817149014092023164653.jpeg","https://dpmzos25m8ivg.cloudfront.net/Documentos/631/12388171490/6311238817149014092023164653.jpeg")</f>
        <v>https://dpmzos25m8ivg.cloudfront.net/Documentos/631/12388171490/6311238817149014092023164653.jpeg</v>
      </c>
      <c r="G5195" s="5" t="str">
        <f>HYPERLINK("https://dpmzos25m8ivg.cloudfront.net/Documentos/631/12388171490/6311238817149014092023164717.jpeg","https://dpmzos25m8ivg.cloudfront.net/Documentos/631/12388171490/6311238817149014092023164717.jpeg")</f>
        <v>https://dpmzos25m8ivg.cloudfront.net/Documentos/631/12388171490/6311238817149014092023164717.jpeg</v>
      </c>
      <c r="H5195" s="5" t="s">
        <v>13768</v>
      </c>
    </row>
    <row r="5196" spans="1:8" x14ac:dyDescent="0.25">
      <c r="A5196" s="2" t="s">
        <v>5224</v>
      </c>
      <c r="B5196" s="16" t="s">
        <v>2358</v>
      </c>
      <c r="C5196" s="3"/>
      <c r="D5196" s="3"/>
      <c r="E5196" s="5" t="str">
        <f>HYPERLINK("https://dpmzos25m8ivg.cloudfront.net/Documentos/631/12395541419/6311239554141911092023103317.pdf","https://dpmzos25m8ivg.cloudfront.net/Documentos/631/12395541419/6311239554141911092023103317.pdf")</f>
        <v>https://dpmzos25m8ivg.cloudfront.net/Documentos/631/12395541419/6311239554141911092023103317.pdf</v>
      </c>
      <c r="F5196" s="5" t="str">
        <f>HYPERLINK("https://dpmzos25m8ivg.cloudfront.net/Documentos/631/12395541419/6311239554141911092023103328.pdf","https://dpmzos25m8ivg.cloudfront.net/Documentos/631/12395541419/6311239554141911092023103328.pdf")</f>
        <v>https://dpmzos25m8ivg.cloudfront.net/Documentos/631/12395541419/6311239554141911092023103328.pdf</v>
      </c>
      <c r="G5196" s="5" t="str">
        <f>HYPERLINK("https://dpmzos25m8ivg.cloudfront.net/Documentos/631/12395541419/6311239554141911092023103340.pdf","https://dpmzos25m8ivg.cloudfront.net/Documentos/631/12395541419/6311239554141911092023103340.pdf")</f>
        <v>https://dpmzos25m8ivg.cloudfront.net/Documentos/631/12395541419/6311239554141911092023103340.pdf</v>
      </c>
      <c r="H5196" s="5" t="s">
        <v>13769</v>
      </c>
    </row>
    <row r="5197" spans="1:8" x14ac:dyDescent="0.25">
      <c r="A5197" s="2" t="s">
        <v>5225</v>
      </c>
      <c r="B5197" s="3"/>
      <c r="C5197" s="3"/>
      <c r="D5197" s="3"/>
      <c r="E5197" s="5" t="str">
        <f>HYPERLINK("https://dpmzos25m8ivg.cloudfront.net/Documentos/631/12401501215/6311240150121506092023113608.jpg","https://dpmzos25m8ivg.cloudfront.net/Documentos/631/12401501215/6311240150121506092023113608.jpg")</f>
        <v>https://dpmzos25m8ivg.cloudfront.net/Documentos/631/12401501215/6311240150121506092023113608.jpg</v>
      </c>
      <c r="F5197" s="5" t="str">
        <f>HYPERLINK("https://dpmzos25m8ivg.cloudfront.net/Documentos/631/12401501215/6311240150121506092023142913.pdf","https://dpmzos25m8ivg.cloudfront.net/Documentos/631/12401501215/6311240150121506092023142913.pdf")</f>
        <v>https://dpmzos25m8ivg.cloudfront.net/Documentos/631/12401501215/6311240150121506092023142913.pdf</v>
      </c>
      <c r="G5197" s="5" t="str">
        <f>HYPERLINK("https://dpmzos25m8ivg.cloudfront.net/Documentos/631/12401501215/6311240150121506092023141313.pdf","https://dpmzos25m8ivg.cloudfront.net/Documentos/631/12401501215/6311240150121506092023141313.pdf")</f>
        <v>https://dpmzos25m8ivg.cloudfront.net/Documentos/631/12401501215/6311240150121506092023141313.pdf</v>
      </c>
      <c r="H5197" s="5" t="s">
        <v>13770</v>
      </c>
    </row>
    <row r="5198" spans="1:8" x14ac:dyDescent="0.25">
      <c r="A5198" s="2" t="s">
        <v>5226</v>
      </c>
      <c r="B5198" s="3"/>
      <c r="C5198" s="3"/>
      <c r="D5198" s="3"/>
      <c r="E5198" s="5" t="str">
        <f>HYPERLINK("https://dpmzos25m8ivg.cloudfront.net/Documentos/631/12406664899/6311240666489911092023104013.pdf","https://dpmzos25m8ivg.cloudfront.net/Documentos/631/12406664899/6311240666489911092023104013.pdf")</f>
        <v>https://dpmzos25m8ivg.cloudfront.net/Documentos/631/12406664899/6311240666489911092023104013.pdf</v>
      </c>
      <c r="F5198" s="5" t="str">
        <f>HYPERLINK("https://dpmzos25m8ivg.cloudfront.net/Documentos/631/12406664899/6311240666489911092023104030.pdf","https://dpmzos25m8ivg.cloudfront.net/Documentos/631/12406664899/6311240666489911092023104030.pdf")</f>
        <v>https://dpmzos25m8ivg.cloudfront.net/Documentos/631/12406664899/6311240666489911092023104030.pdf</v>
      </c>
      <c r="G5198" s="5" t="str">
        <f>HYPERLINK("https://dpmzos25m8ivg.cloudfront.net/Documentos/631/12406664899/6311240666489911092023104046.pdf","https://dpmzos25m8ivg.cloudfront.net/Documentos/631/12406664899/6311240666489911092023104046.pdf")</f>
        <v>https://dpmzos25m8ivg.cloudfront.net/Documentos/631/12406664899/6311240666489911092023104046.pdf</v>
      </c>
      <c r="H5198" s="5" t="s">
        <v>13771</v>
      </c>
    </row>
    <row r="5199" spans="1:8" x14ac:dyDescent="0.25">
      <c r="A5199" s="2" t="s">
        <v>5227</v>
      </c>
      <c r="B5199" s="3"/>
      <c r="C5199" s="3"/>
      <c r="D5199" s="3"/>
      <c r="E5199" s="5" t="str">
        <f>HYPERLINK("https://dpmzos25m8ivg.cloudfront.net/Documentos/631/12406845680/6311240684568013092023123113.pdf","https://dpmzos25m8ivg.cloudfront.net/Documentos/631/12406845680/6311240684568013092023123113.pdf")</f>
        <v>https://dpmzos25m8ivg.cloudfront.net/Documentos/631/12406845680/6311240684568013092023123113.pdf</v>
      </c>
      <c r="F5199" s="5" t="str">
        <f>HYPERLINK("https://dpmzos25m8ivg.cloudfront.net/Documentos/631/12406845680/6311240684568013092023123127.pdf","https://dpmzos25m8ivg.cloudfront.net/Documentos/631/12406845680/6311240684568013092023123127.pdf")</f>
        <v>https://dpmzos25m8ivg.cloudfront.net/Documentos/631/12406845680/6311240684568013092023123127.pdf</v>
      </c>
      <c r="G5199" s="5" t="str">
        <f>HYPERLINK("https://dpmzos25m8ivg.cloudfront.net/Documentos/631/12406845680/6311240684568013092023123136.pdf","https://dpmzos25m8ivg.cloudfront.net/Documentos/631/12406845680/6311240684568013092023123136.pdf")</f>
        <v>https://dpmzos25m8ivg.cloudfront.net/Documentos/631/12406845680/6311240684568013092023123136.pdf</v>
      </c>
      <c r="H5199" s="5" t="s">
        <v>13772</v>
      </c>
    </row>
    <row r="5200" spans="1:8" x14ac:dyDescent="0.25">
      <c r="A5200" s="2" t="s">
        <v>5228</v>
      </c>
      <c r="B5200" s="3"/>
      <c r="C5200" s="3"/>
      <c r="D5200" s="3"/>
      <c r="E5200" s="5" t="str">
        <f>HYPERLINK("https://dpmzos25m8ivg.cloudfront.net/Documentos/631/12410854982/6311241085498212092023205631.pdf","https://dpmzos25m8ivg.cloudfront.net/Documentos/631/12410854982/6311241085498212092023205631.pdf")</f>
        <v>https://dpmzos25m8ivg.cloudfront.net/Documentos/631/12410854982/6311241085498212092023205631.pdf</v>
      </c>
      <c r="F5200" s="5" t="str">
        <f>HYPERLINK("https://dpmzos25m8ivg.cloudfront.net/Documentos/631/12410854982/6311241085498212092023205658.pdf","https://dpmzos25m8ivg.cloudfront.net/Documentos/631/12410854982/6311241085498212092023205658.pdf")</f>
        <v>https://dpmzos25m8ivg.cloudfront.net/Documentos/631/12410854982/6311241085498212092023205658.pdf</v>
      </c>
      <c r="G5200" s="5" t="str">
        <f>HYPERLINK("https://dpmzos25m8ivg.cloudfront.net/Documentos/631/12410854982/6311241085498212092023205724.pdf","https://dpmzos25m8ivg.cloudfront.net/Documentos/631/12410854982/6311241085498212092023205724.pdf")</f>
        <v>https://dpmzos25m8ivg.cloudfront.net/Documentos/631/12410854982/6311241085498212092023205724.pdf</v>
      </c>
      <c r="H5200" s="5" t="s">
        <v>13773</v>
      </c>
    </row>
    <row r="5201" spans="1:8" x14ac:dyDescent="0.25">
      <c r="A5201" s="2" t="s">
        <v>5229</v>
      </c>
      <c r="B5201" s="3"/>
      <c r="C5201" s="3"/>
      <c r="D5201" s="3"/>
      <c r="E5201" s="5" t="str">
        <f>HYPERLINK("https://dpmzos25m8ivg.cloudfront.net/Documentos/631/12418359425/6311241835942511092023161111.jpeg","https://dpmzos25m8ivg.cloudfront.net/Documentos/631/12418359425/6311241835942511092023161111.jpeg")</f>
        <v>https://dpmzos25m8ivg.cloudfront.net/Documentos/631/12418359425/6311241835942511092023161111.jpeg</v>
      </c>
      <c r="F5201" s="5" t="str">
        <f>HYPERLINK("https://dpmzos25m8ivg.cloudfront.net/Documentos/631/12418359425/6311241835942511092023161140.jpeg","https://dpmzos25m8ivg.cloudfront.net/Documentos/631/12418359425/6311241835942511092023161140.jpeg")</f>
        <v>https://dpmzos25m8ivg.cloudfront.net/Documentos/631/12418359425/6311241835942511092023161140.jpeg</v>
      </c>
      <c r="G5201" s="5" t="str">
        <f>HYPERLINK("https://dpmzos25m8ivg.cloudfront.net/Documentos/631/12418359425/6311241835942511092023161152.jpeg","https://dpmzos25m8ivg.cloudfront.net/Documentos/631/12418359425/6311241835942511092023161152.jpeg")</f>
        <v>https://dpmzos25m8ivg.cloudfront.net/Documentos/631/12418359425/6311241835942511092023161152.jpeg</v>
      </c>
      <c r="H5201" s="5" t="s">
        <v>13774</v>
      </c>
    </row>
    <row r="5202" spans="1:8" x14ac:dyDescent="0.25">
      <c r="A5202" s="2" t="s">
        <v>5230</v>
      </c>
      <c r="B5202" s="3"/>
      <c r="C5202" s="3"/>
      <c r="D5202" s="3"/>
      <c r="E5202" s="5" t="str">
        <f>HYPERLINK("https://dpmzos25m8ivg.cloudfront.net/Documentos/631/12424239401/6311242423940107092023155417.jpeg","https://dpmzos25m8ivg.cloudfront.net/Documentos/631/12424239401/6311242423940107092023155417.jpeg")</f>
        <v>https://dpmzos25m8ivg.cloudfront.net/Documentos/631/12424239401/6311242423940107092023155417.jpeg</v>
      </c>
      <c r="F5202" s="5" t="str">
        <f>HYPERLINK("https://dpmzos25m8ivg.cloudfront.net/Documentos/631/12424239401/6311242423940107092023155429.jpeg","https://dpmzos25m8ivg.cloudfront.net/Documentos/631/12424239401/6311242423940107092023155429.jpeg")</f>
        <v>https://dpmzos25m8ivg.cloudfront.net/Documentos/631/12424239401/6311242423940107092023155429.jpeg</v>
      </c>
      <c r="G5202" s="5" t="str">
        <f>HYPERLINK("https://dpmzos25m8ivg.cloudfront.net/Documentos/631/12424239401/6311242423940107092023155454.jpeg","https://dpmzos25m8ivg.cloudfront.net/Documentos/631/12424239401/6311242423940107092023155454.jpeg")</f>
        <v>https://dpmzos25m8ivg.cloudfront.net/Documentos/631/12424239401/6311242423940107092023155454.jpeg</v>
      </c>
      <c r="H5202" s="5" t="s">
        <v>13775</v>
      </c>
    </row>
    <row r="5203" spans="1:8" x14ac:dyDescent="0.25">
      <c r="A5203" s="2" t="s">
        <v>5231</v>
      </c>
      <c r="B5203" s="3"/>
      <c r="C5203" s="3"/>
      <c r="D5203" s="3"/>
      <c r="E5203" s="5" t="str">
        <f>HYPERLINK("https://dpmzos25m8ivg.cloudfront.net/Documentos/631/12426492473/6311242649247311092023125739.pdf","https://dpmzos25m8ivg.cloudfront.net/Documentos/631/12426492473/6311242649247311092023125739.pdf")</f>
        <v>https://dpmzos25m8ivg.cloudfront.net/Documentos/631/12426492473/6311242649247311092023125739.pdf</v>
      </c>
      <c r="F5203" s="5" t="str">
        <f>HYPERLINK("https://dpmzos25m8ivg.cloudfront.net/Documentos/631/12426492473/6311242649247311092023125803.pdf","https://dpmzos25m8ivg.cloudfront.net/Documentos/631/12426492473/6311242649247311092023125803.pdf")</f>
        <v>https://dpmzos25m8ivg.cloudfront.net/Documentos/631/12426492473/6311242649247311092023125803.pdf</v>
      </c>
      <c r="G5203" s="5" t="str">
        <f>HYPERLINK("https://dpmzos25m8ivg.cloudfront.net/Documentos/631/12426492473/6311242649247311092023125821.pdf","https://dpmzos25m8ivg.cloudfront.net/Documentos/631/12426492473/6311242649247311092023125821.pdf")</f>
        <v>https://dpmzos25m8ivg.cloudfront.net/Documentos/631/12426492473/6311242649247311092023125821.pdf</v>
      </c>
      <c r="H5203" s="5" t="s">
        <v>13776</v>
      </c>
    </row>
    <row r="5204" spans="1:8" x14ac:dyDescent="0.25">
      <c r="A5204" s="2" t="s">
        <v>5232</v>
      </c>
      <c r="B5204" s="16" t="s">
        <v>5069</v>
      </c>
      <c r="C5204" s="3"/>
      <c r="D5204" s="3"/>
      <c r="E5204" s="5" t="str">
        <f>HYPERLINK("https://dpmzos25m8ivg.cloudfront.net/Documentos/631/12434393942/6311243439394206092023140449.pdf","https://dpmzos25m8ivg.cloudfront.net/Documentos/631/12434393942/6311243439394206092023140449.pdf")</f>
        <v>https://dpmzos25m8ivg.cloudfront.net/Documentos/631/12434393942/6311243439394206092023140449.pdf</v>
      </c>
      <c r="F5204" s="5" t="str">
        <f>HYPERLINK("https://dpmzos25m8ivg.cloudfront.net/Documentos/631/12434393942/6311243439394206092023144938.pdf","https://dpmzos25m8ivg.cloudfront.net/Documentos/631/12434393942/6311243439394206092023144938.pdf")</f>
        <v>https://dpmzos25m8ivg.cloudfront.net/Documentos/631/12434393942/6311243439394206092023144938.pdf</v>
      </c>
      <c r="G5204" s="5" t="str">
        <f>HYPERLINK("https://dpmzos25m8ivg.cloudfront.net/Documentos/631/12434393942/6311243439394206092023144946.pdf","https://dpmzos25m8ivg.cloudfront.net/Documentos/631/12434393942/6311243439394206092023144946.pdf")</f>
        <v>https://dpmzos25m8ivg.cloudfront.net/Documentos/631/12434393942/6311243439394206092023144946.pdf</v>
      </c>
      <c r="H5204" s="5" t="s">
        <v>13777</v>
      </c>
    </row>
    <row r="5205" spans="1:8" x14ac:dyDescent="0.25">
      <c r="A5205" s="2" t="s">
        <v>5233</v>
      </c>
      <c r="B5205" s="3"/>
      <c r="C5205" s="3"/>
      <c r="D5205" s="3"/>
      <c r="E5205" s="5" t="str">
        <f>HYPERLINK("https://dpmzos25m8ivg.cloudfront.net/Documentos/631/12440513652/6311244051365206092023143700.pdf","https://dpmzos25m8ivg.cloudfront.net/Documentos/631/12440513652/6311244051365206092023143700.pdf")</f>
        <v>https://dpmzos25m8ivg.cloudfront.net/Documentos/631/12440513652/6311244051365206092023143700.pdf</v>
      </c>
      <c r="F5205" s="5" t="str">
        <f>HYPERLINK("https://dpmzos25m8ivg.cloudfront.net/Documentos/631/12440513652/6311244051365206092023143709.pdf","https://dpmzos25m8ivg.cloudfront.net/Documentos/631/12440513652/6311244051365206092023143709.pdf")</f>
        <v>https://dpmzos25m8ivg.cloudfront.net/Documentos/631/12440513652/6311244051365206092023143709.pdf</v>
      </c>
      <c r="G5205" s="5" t="str">
        <f>HYPERLINK("https://dpmzos25m8ivg.cloudfront.net/Documentos/631/12440513652/6311244051365206092023143717.pdf","https://dpmzos25m8ivg.cloudfront.net/Documentos/631/12440513652/6311244051365206092023143717.pdf")</f>
        <v>https://dpmzos25m8ivg.cloudfront.net/Documentos/631/12440513652/6311244051365206092023143717.pdf</v>
      </c>
      <c r="H5205" s="5" t="s">
        <v>13778</v>
      </c>
    </row>
    <row r="5206" spans="1:8" x14ac:dyDescent="0.25">
      <c r="A5206" s="2" t="s">
        <v>5234</v>
      </c>
      <c r="B5206" s="3"/>
      <c r="C5206" s="3"/>
      <c r="D5206" s="3"/>
      <c r="E5206" s="5" t="str">
        <f>HYPERLINK("https://dpmzos25m8ivg.cloudfront.net/Documentos/631/12445025613/6311244502561306092023192037.pdf","https://dpmzos25m8ivg.cloudfront.net/Documentos/631/12445025613/6311244502561306092023192037.pdf")</f>
        <v>https://dpmzos25m8ivg.cloudfront.net/Documentos/631/12445025613/6311244502561306092023192037.pdf</v>
      </c>
      <c r="F5206" s="5" t="str">
        <f>HYPERLINK("https://dpmzos25m8ivg.cloudfront.net/Documentos/631/12445025613/6311244502561306092023192053.pdf","https://dpmzos25m8ivg.cloudfront.net/Documentos/631/12445025613/6311244502561306092023192053.pdf")</f>
        <v>https://dpmzos25m8ivg.cloudfront.net/Documentos/631/12445025613/6311244502561306092023192053.pdf</v>
      </c>
      <c r="G5206" s="5" t="str">
        <f>HYPERLINK("https://dpmzos25m8ivg.cloudfront.net/Documentos/631/12445025613/6311244502561306092023192110.pdf","https://dpmzos25m8ivg.cloudfront.net/Documentos/631/12445025613/6311244502561306092023192110.pdf")</f>
        <v>https://dpmzos25m8ivg.cloudfront.net/Documentos/631/12445025613/6311244502561306092023192110.pdf</v>
      </c>
      <c r="H5206" s="5" t="s">
        <v>9010</v>
      </c>
    </row>
    <row r="5207" spans="1:8" x14ac:dyDescent="0.25">
      <c r="A5207" s="2" t="s">
        <v>5235</v>
      </c>
      <c r="B5207" s="16" t="s">
        <v>2358</v>
      </c>
      <c r="C5207" s="3"/>
      <c r="D5207" s="3"/>
      <c r="E5207" s="5" t="str">
        <f>HYPERLINK("https://dpmzos25m8ivg.cloudfront.net/Documentos/631/12445472636/6311244547263611092023140230.jpeg","https://dpmzos25m8ivg.cloudfront.net/Documentos/631/12445472636/6311244547263611092023140230.jpeg")</f>
        <v>https://dpmzos25m8ivg.cloudfront.net/Documentos/631/12445472636/6311244547263611092023140230.jpeg</v>
      </c>
      <c r="F5207" s="5" t="str">
        <f>HYPERLINK("https://dpmzos25m8ivg.cloudfront.net/Documentos/631/12445472636/6311244547263611092023140324.jpeg","https://dpmzos25m8ivg.cloudfront.net/Documentos/631/12445472636/6311244547263611092023140324.jpeg")</f>
        <v>https://dpmzos25m8ivg.cloudfront.net/Documentos/631/12445472636/6311244547263611092023140324.jpeg</v>
      </c>
      <c r="G5207" s="5" t="str">
        <f>HYPERLINK("https://dpmzos25m8ivg.cloudfront.net/Documentos/631/12445472636/6311244547263611092023141331.jpeg","https://dpmzos25m8ivg.cloudfront.net/Documentos/631/12445472636/6311244547263611092023141331.jpeg")</f>
        <v>https://dpmzos25m8ivg.cloudfront.net/Documentos/631/12445472636/6311244547263611092023141331.jpeg</v>
      </c>
      <c r="H5207" s="5" t="s">
        <v>13779</v>
      </c>
    </row>
    <row r="5208" spans="1:8" x14ac:dyDescent="0.25">
      <c r="A5208" s="2" t="s">
        <v>5236</v>
      </c>
      <c r="B5208" s="3"/>
      <c r="C5208" s="3"/>
      <c r="D5208" s="3"/>
      <c r="E5208" s="5" t="str">
        <f>HYPERLINK("https://dpmzos25m8ivg.cloudfront.net/Documentos/631/12447097433/6311244709743308092023195545.pdf","https://dpmzos25m8ivg.cloudfront.net/Documentos/631/12447097433/6311244709743308092023195545.pdf")</f>
        <v>https://dpmzos25m8ivg.cloudfront.net/Documentos/631/12447097433/6311244709743308092023195545.pdf</v>
      </c>
      <c r="F5208" s="5" t="str">
        <f>HYPERLINK("https://dpmzos25m8ivg.cloudfront.net/Documentos/631/12447097433/6311244709743308092023195334.pdf","https://dpmzos25m8ivg.cloudfront.net/Documentos/631/12447097433/6311244709743308092023195334.pdf")</f>
        <v>https://dpmzos25m8ivg.cloudfront.net/Documentos/631/12447097433/6311244709743308092023195334.pdf</v>
      </c>
      <c r="G5208" s="5" t="str">
        <f>HYPERLINK("https://dpmzos25m8ivg.cloudfront.net/Documentos/631/12447097433/6311244709743308092023195236.pdf","https://dpmzos25m8ivg.cloudfront.net/Documentos/631/12447097433/6311244709743308092023195236.pdf")</f>
        <v>https://dpmzos25m8ivg.cloudfront.net/Documentos/631/12447097433/6311244709743308092023195236.pdf</v>
      </c>
      <c r="H5208" s="5" t="s">
        <v>13780</v>
      </c>
    </row>
    <row r="5209" spans="1:8" x14ac:dyDescent="0.25">
      <c r="A5209" s="2" t="s">
        <v>5237</v>
      </c>
      <c r="B5209" s="3"/>
      <c r="C5209" s="3"/>
      <c r="D5209" s="3"/>
      <c r="E5209" s="5" t="str">
        <f>HYPERLINK("https://dpmzos25m8ivg.cloudfront.net/Documentos/631/12447591632/6311244759163210092023163438.pdf","https://dpmzos25m8ivg.cloudfront.net/Documentos/631/12447591632/6311244759163210092023163438.pdf")</f>
        <v>https://dpmzos25m8ivg.cloudfront.net/Documentos/631/12447591632/6311244759163210092023163438.pdf</v>
      </c>
      <c r="F5209" s="5" t="str">
        <f>HYPERLINK("https://dpmzos25m8ivg.cloudfront.net/Documentos/631/12447591632/6311244759163210092023163454.pdf","https://dpmzos25m8ivg.cloudfront.net/Documentos/631/12447591632/6311244759163210092023163454.pdf")</f>
        <v>https://dpmzos25m8ivg.cloudfront.net/Documentos/631/12447591632/6311244759163210092023163454.pdf</v>
      </c>
      <c r="G5209" s="5" t="str">
        <f>HYPERLINK("https://dpmzos25m8ivg.cloudfront.net/Documentos/631/12447591632/6311244759163210092023163508.pdf","https://dpmzos25m8ivg.cloudfront.net/Documentos/631/12447591632/6311244759163210092023163508.pdf")</f>
        <v>https://dpmzos25m8ivg.cloudfront.net/Documentos/631/12447591632/6311244759163210092023163508.pdf</v>
      </c>
      <c r="H5209" s="5" t="s">
        <v>13781</v>
      </c>
    </row>
    <row r="5210" spans="1:8" x14ac:dyDescent="0.25">
      <c r="A5210" s="2" t="s">
        <v>5238</v>
      </c>
      <c r="B5210" s="3"/>
      <c r="C5210" s="3"/>
      <c r="D5210" s="3"/>
      <c r="E5210" s="5" t="str">
        <f>HYPERLINK("https://dpmzos25m8ivg.cloudfront.net/Documentos/631/12447993609/6311244799360906092023202101.pdf","https://dpmzos25m8ivg.cloudfront.net/Documentos/631/12447993609/6311244799360906092023202101.pdf")</f>
        <v>https://dpmzos25m8ivg.cloudfront.net/Documentos/631/12447993609/6311244799360906092023202101.pdf</v>
      </c>
      <c r="F5210" s="5" t="str">
        <f>HYPERLINK("https://dpmzos25m8ivg.cloudfront.net/Documentos/631/12447993609/6311244799360906092023202138.pdf","https://dpmzos25m8ivg.cloudfront.net/Documentos/631/12447993609/6311244799360906092023202138.pdf")</f>
        <v>https://dpmzos25m8ivg.cloudfront.net/Documentos/631/12447993609/6311244799360906092023202138.pdf</v>
      </c>
      <c r="G5210" s="5" t="str">
        <f>HYPERLINK("https://dpmzos25m8ivg.cloudfront.net/Documentos/631/12447993609/6311244799360906092023202147.pdf","https://dpmzos25m8ivg.cloudfront.net/Documentos/631/12447993609/6311244799360906092023202147.pdf")</f>
        <v>https://dpmzos25m8ivg.cloudfront.net/Documentos/631/12447993609/6311244799360906092023202147.pdf</v>
      </c>
      <c r="H5210" s="5" t="s">
        <v>13782</v>
      </c>
    </row>
    <row r="5211" spans="1:8" x14ac:dyDescent="0.25">
      <c r="A5211" s="2" t="s">
        <v>5239</v>
      </c>
      <c r="B5211" s="3"/>
      <c r="C5211" s="3"/>
      <c r="D5211" s="3"/>
      <c r="E5211" s="5" t="str">
        <f>HYPERLINK("https://dpmzos25m8ivg.cloudfront.net/Documentos/631/12461710660/6311246171066005092023091950.pdf","https://dpmzos25m8ivg.cloudfront.net/Documentos/631/12461710660/6311246171066005092023091950.pdf")</f>
        <v>https://dpmzos25m8ivg.cloudfront.net/Documentos/631/12461710660/6311246171066005092023091950.pdf</v>
      </c>
      <c r="F5211" s="5" t="str">
        <f>HYPERLINK("https://dpmzos25m8ivg.cloudfront.net/Documentos/631/12461710660/6311246171066004092023194031.pdf","https://dpmzos25m8ivg.cloudfront.net/Documentos/631/12461710660/6311246171066004092023194031.pdf")</f>
        <v>https://dpmzos25m8ivg.cloudfront.net/Documentos/631/12461710660/6311246171066004092023194031.pdf</v>
      </c>
      <c r="G5211" s="5" t="str">
        <f>HYPERLINK("https://dpmzos25m8ivg.cloudfront.net/Documentos/631/12461710660/6311246171066005092023091939.pdf","https://dpmzos25m8ivg.cloudfront.net/Documentos/631/12461710660/6311246171066005092023091939.pdf")</f>
        <v>https://dpmzos25m8ivg.cloudfront.net/Documentos/631/12461710660/6311246171066005092023091939.pdf</v>
      </c>
      <c r="H5211" s="5" t="s">
        <v>13783</v>
      </c>
    </row>
    <row r="5212" spans="1:8" x14ac:dyDescent="0.25">
      <c r="A5212" s="2" t="s">
        <v>5240</v>
      </c>
      <c r="B5212" s="3"/>
      <c r="C5212" s="3"/>
      <c r="D5212" s="3"/>
      <c r="E5212" s="5" t="str">
        <f>HYPERLINK("https://dpmzos25m8ivg.cloudfront.net/Documentos/631/12462750401/6311246275040106092023154227.pdf","https://dpmzos25m8ivg.cloudfront.net/Documentos/631/12462750401/6311246275040106092023154227.pdf")</f>
        <v>https://dpmzos25m8ivg.cloudfront.net/Documentos/631/12462750401/6311246275040106092023154227.pdf</v>
      </c>
      <c r="F5212" s="5" t="str">
        <f>HYPERLINK("https://dpmzos25m8ivg.cloudfront.net/Documentos/631/12462750401/6311246275040106092023154238.pdf","https://dpmzos25m8ivg.cloudfront.net/Documentos/631/12462750401/6311246275040106092023154238.pdf")</f>
        <v>https://dpmzos25m8ivg.cloudfront.net/Documentos/631/12462750401/6311246275040106092023154238.pdf</v>
      </c>
      <c r="G5212" s="5" t="str">
        <f>HYPERLINK("https://dpmzos25m8ivg.cloudfront.net/Documentos/631/12462750401/6311246275040106092023154249.pdf","https://dpmzos25m8ivg.cloudfront.net/Documentos/631/12462750401/6311246275040106092023154249.pdf")</f>
        <v>https://dpmzos25m8ivg.cloudfront.net/Documentos/631/12462750401/6311246275040106092023154249.pdf</v>
      </c>
      <c r="H5212" s="5" t="s">
        <v>13784</v>
      </c>
    </row>
    <row r="5213" spans="1:8" x14ac:dyDescent="0.25">
      <c r="A5213" s="2" t="s">
        <v>5241</v>
      </c>
      <c r="B5213" s="3"/>
      <c r="C5213" s="3"/>
      <c r="D5213" s="3"/>
      <c r="E5213" s="5" t="str">
        <f>HYPERLINK("https://dpmzos25m8ivg.cloudfront.net/Documentos/631/12466802708/6311246680270813092023161305.pdf","https://dpmzos25m8ivg.cloudfront.net/Documentos/631/12466802708/6311246680270813092023161305.pdf")</f>
        <v>https://dpmzos25m8ivg.cloudfront.net/Documentos/631/12466802708/6311246680270813092023161305.pdf</v>
      </c>
      <c r="F5213" s="5" t="str">
        <f>HYPERLINK("https://dpmzos25m8ivg.cloudfront.net/Documentos/631/12466802708/6311246680270813092023161352.jpg","https://dpmzos25m8ivg.cloudfront.net/Documentos/631/12466802708/6311246680270813092023161352.jpg")</f>
        <v>https://dpmzos25m8ivg.cloudfront.net/Documentos/631/12466802708/6311246680270813092023161352.jpg</v>
      </c>
      <c r="G5213" s="5" t="str">
        <f>HYPERLINK("https://dpmzos25m8ivg.cloudfront.net/Documentos/631/12466802708/6311246680270813092023161411.jpg","https://dpmzos25m8ivg.cloudfront.net/Documentos/631/12466802708/6311246680270813092023161411.jpg")</f>
        <v>https://dpmzos25m8ivg.cloudfront.net/Documentos/631/12466802708/6311246680270813092023161411.jpg</v>
      </c>
      <c r="H5213" s="5" t="s">
        <v>13785</v>
      </c>
    </row>
    <row r="5214" spans="1:8" x14ac:dyDescent="0.25">
      <c r="A5214" s="2" t="s">
        <v>5242</v>
      </c>
      <c r="B5214" s="3"/>
      <c r="C5214" s="3"/>
      <c r="D5214" s="3"/>
      <c r="E5214" s="5" t="str">
        <f>HYPERLINK("https://dpmzos25m8ivg.cloudfront.net/Documentos/631/12470051436/6311247005143614092023131504.jpg","https://dpmzos25m8ivg.cloudfront.net/Documentos/631/12470051436/6311247005143614092023131504.jpg")</f>
        <v>https://dpmzos25m8ivg.cloudfront.net/Documentos/631/12470051436/6311247005143614092023131504.jpg</v>
      </c>
      <c r="F5214" s="5" t="str">
        <f>HYPERLINK("https://dpmzos25m8ivg.cloudfront.net/Documentos/631/12470051436/6311247005143614092023131544.jpg","https://dpmzos25m8ivg.cloudfront.net/Documentos/631/12470051436/6311247005143614092023131544.jpg")</f>
        <v>https://dpmzos25m8ivg.cloudfront.net/Documentos/631/12470051436/6311247005143614092023131544.jpg</v>
      </c>
      <c r="G5214" s="5" t="str">
        <f>HYPERLINK("https://dpmzos25m8ivg.cloudfront.net/Documentos/631/12470051436/AR24096311247005143614092023131615.jpg","https://dpmzos25m8ivg.cloudfront.net/Documentos/631/12470051436/6311247005143614092023131615.jpg")</f>
        <v>https://dpmzos25m8ivg.cloudfront.net/Documentos/631/12470051436/6311247005143614092023131615.jpg</v>
      </c>
      <c r="H5214" s="5" t="s">
        <v>13786</v>
      </c>
    </row>
    <row r="5215" spans="1:8" x14ac:dyDescent="0.25">
      <c r="A5215" s="2" t="s">
        <v>5243</v>
      </c>
      <c r="B5215" s="3"/>
      <c r="C5215" s="3"/>
      <c r="D5215" s="3"/>
      <c r="E5215" s="5" t="str">
        <f>HYPERLINK("https://dpmzos25m8ivg.cloudfront.net/Documentos/631/12479605604/6311247960560411092023125539.pdf","https://dpmzos25m8ivg.cloudfront.net/Documentos/631/12479605604/6311247960560411092023125539.pdf")</f>
        <v>https://dpmzos25m8ivg.cloudfront.net/Documentos/631/12479605604/6311247960560411092023125539.pdf</v>
      </c>
      <c r="F5215" s="5" t="str">
        <f>HYPERLINK("https://dpmzos25m8ivg.cloudfront.net/Documentos/631/12479605604/6311247960560411092023125548.pdf","https://dpmzos25m8ivg.cloudfront.net/Documentos/631/12479605604/6311247960560411092023125548.pdf")</f>
        <v>https://dpmzos25m8ivg.cloudfront.net/Documentos/631/12479605604/6311247960560411092023125548.pdf</v>
      </c>
      <c r="G5215" s="5" t="str">
        <f>HYPERLINK("https://dpmzos25m8ivg.cloudfront.net/Documentos/631/12479605604/6311247960560411092023125600.pdf","https://dpmzos25m8ivg.cloudfront.net/Documentos/631/12479605604/6311247960560411092023125600.pdf")</f>
        <v>https://dpmzos25m8ivg.cloudfront.net/Documentos/631/12479605604/6311247960560411092023125600.pdf</v>
      </c>
      <c r="H5215" s="5" t="s">
        <v>13787</v>
      </c>
    </row>
    <row r="5216" spans="1:8" x14ac:dyDescent="0.25">
      <c r="A5216" s="2" t="s">
        <v>5244</v>
      </c>
      <c r="B5216" s="3"/>
      <c r="C5216" s="3"/>
      <c r="D5216" s="3"/>
      <c r="E5216" s="5" t="str">
        <f>HYPERLINK("https://dpmzos25m8ivg.cloudfront.net/Documentos/631/12480130428/6311248013042811092023142005.pdf","https://dpmzos25m8ivg.cloudfront.net/Documentos/631/12480130428/6311248013042811092023142005.pdf")</f>
        <v>https://dpmzos25m8ivg.cloudfront.net/Documentos/631/12480130428/6311248013042811092023142005.pdf</v>
      </c>
      <c r="F5216" s="5" t="str">
        <f>HYPERLINK("https://dpmzos25m8ivg.cloudfront.net/Documentos/631/12480130428/6311248013042811092023142018.pdf","https://dpmzos25m8ivg.cloudfront.net/Documentos/631/12480130428/6311248013042811092023142018.pdf")</f>
        <v>https://dpmzos25m8ivg.cloudfront.net/Documentos/631/12480130428/6311248013042811092023142018.pdf</v>
      </c>
      <c r="G5216" s="5" t="str">
        <f>HYPERLINK("https://dpmzos25m8ivg.cloudfront.net/Documentos/631/12480130428/6311248013042811092023142028.pdf","https://dpmzos25m8ivg.cloudfront.net/Documentos/631/12480130428/6311248013042811092023142028.pdf")</f>
        <v>https://dpmzos25m8ivg.cloudfront.net/Documentos/631/12480130428/6311248013042811092023142028.pdf</v>
      </c>
      <c r="H5216" s="5" t="s">
        <v>13788</v>
      </c>
    </row>
    <row r="5217" spans="1:8" x14ac:dyDescent="0.25">
      <c r="A5217" s="2" t="s">
        <v>5245</v>
      </c>
      <c r="B5217" s="3"/>
      <c r="C5217" s="3"/>
      <c r="D5217" s="3"/>
      <c r="E5217" s="5" t="str">
        <f>HYPERLINK("https://dpmzos25m8ivg.cloudfront.net/Documentos/631/12482699428/6311248269942807092023235234.pdf","https://dpmzos25m8ivg.cloudfront.net/Documentos/631/12482699428/6311248269942807092023235234.pdf")</f>
        <v>https://dpmzos25m8ivg.cloudfront.net/Documentos/631/12482699428/6311248269942807092023235234.pdf</v>
      </c>
      <c r="F5217" s="5" t="str">
        <f>HYPERLINK("https://dpmzos25m8ivg.cloudfront.net/Documentos/631/12482699428/6311248269942807092023235248.pdf","https://dpmzos25m8ivg.cloudfront.net/Documentos/631/12482699428/6311248269942807092023235248.pdf")</f>
        <v>https://dpmzos25m8ivg.cloudfront.net/Documentos/631/12482699428/6311248269942807092023235248.pdf</v>
      </c>
      <c r="G5217" s="5" t="str">
        <f>HYPERLINK("https://dpmzos25m8ivg.cloudfront.net/Documentos/631/12482699428/6311248269942807092023235300.pdf","https://dpmzos25m8ivg.cloudfront.net/Documentos/631/12482699428/6311248269942807092023235300.pdf")</f>
        <v>https://dpmzos25m8ivg.cloudfront.net/Documentos/631/12482699428/6311248269942807092023235300.pdf</v>
      </c>
      <c r="H5217" s="5" t="s">
        <v>13789</v>
      </c>
    </row>
    <row r="5218" spans="1:8" x14ac:dyDescent="0.25">
      <c r="A5218" s="2" t="s">
        <v>5246</v>
      </c>
      <c r="B5218" s="3"/>
      <c r="C5218" s="3"/>
      <c r="D5218" s="3"/>
      <c r="E5218" s="5" t="str">
        <f>HYPERLINK("https://dpmzos25m8ivg.cloudfront.net/Documentos/631/12482810710/6311248281071011092023124707.pdf","https://dpmzos25m8ivg.cloudfront.net/Documentos/631/12482810710/6311248281071011092023124707.pdf")</f>
        <v>https://dpmzos25m8ivg.cloudfront.net/Documentos/631/12482810710/6311248281071011092023124707.pdf</v>
      </c>
      <c r="F5218" s="5" t="str">
        <f>HYPERLINK("https://dpmzos25m8ivg.cloudfront.net/Documentos/631/12482810710/6311248281071011092023124727.pdf","https://dpmzos25m8ivg.cloudfront.net/Documentos/631/12482810710/6311248281071011092023124727.pdf")</f>
        <v>https://dpmzos25m8ivg.cloudfront.net/Documentos/631/12482810710/6311248281071011092023124727.pdf</v>
      </c>
      <c r="G5218" s="5" t="str">
        <f>HYPERLINK("https://dpmzos25m8ivg.cloudfront.net/Documentos/631/12482810710/6311248281071011092023124736.pdf","https://dpmzos25m8ivg.cloudfront.net/Documentos/631/12482810710/6311248281071011092023124736.pdf")</f>
        <v>https://dpmzos25m8ivg.cloudfront.net/Documentos/631/12482810710/6311248281071011092023124736.pdf</v>
      </c>
      <c r="H5218" s="5" t="s">
        <v>13790</v>
      </c>
    </row>
    <row r="5219" spans="1:8" x14ac:dyDescent="0.25">
      <c r="A5219" s="2" t="s">
        <v>5247</v>
      </c>
      <c r="B5219" s="3"/>
      <c r="C5219" s="3"/>
      <c r="D5219" s="3"/>
      <c r="E5219" s="5" t="str">
        <f>HYPERLINK("https://dpmzos25m8ivg.cloudfront.net/Documentos/631/12484329407/6311248432940711092023142453.jpg","https://dpmzos25m8ivg.cloudfront.net/Documentos/631/12484329407/6311248432940711092023142453.jpg")</f>
        <v>https://dpmzos25m8ivg.cloudfront.net/Documentos/631/12484329407/6311248432940711092023142453.jpg</v>
      </c>
      <c r="F5219" s="5" t="str">
        <f>HYPERLINK("https://dpmzos25m8ivg.cloudfront.net/Documentos/631/12484329407/6311248432940711092023142503.jpg","https://dpmzos25m8ivg.cloudfront.net/Documentos/631/12484329407/6311248432940711092023142503.jpg")</f>
        <v>https://dpmzos25m8ivg.cloudfront.net/Documentos/631/12484329407/6311248432940711092023142503.jpg</v>
      </c>
      <c r="G5219" s="5" t="str">
        <f>HYPERLINK("https://dpmzos25m8ivg.cloudfront.net/Documentos/631/12484329407/6311248432940711092023142512.jpg","https://dpmzos25m8ivg.cloudfront.net/Documentos/631/12484329407/6311248432940711092023142512.jpg")</f>
        <v>https://dpmzos25m8ivg.cloudfront.net/Documentos/631/12484329407/6311248432940711092023142512.jpg</v>
      </c>
      <c r="H5219" s="5" t="s">
        <v>13791</v>
      </c>
    </row>
    <row r="5220" spans="1:8" x14ac:dyDescent="0.25">
      <c r="A5220" s="2" t="s">
        <v>5248</v>
      </c>
      <c r="B5220" s="19" t="s">
        <v>4857</v>
      </c>
      <c r="C5220" s="3"/>
      <c r="D5220" s="3"/>
      <c r="E5220" s="5" t="str">
        <f>HYPERLINK("https://dpmzos25m8ivg.cloudfront.net/Documentos/631/12486048650/6311248604865014092023124643.pdf","https://dpmzos25m8ivg.cloudfront.net/Documentos/631/12486048650/6311248604865014092023124643.pdf")</f>
        <v>https://dpmzos25m8ivg.cloudfront.net/Documentos/631/12486048650/6311248604865014092023124643.pdf</v>
      </c>
      <c r="F5220" s="5" t="str">
        <f>HYPERLINK("https://dpmzos25m8ivg.cloudfront.net/Documentos/631/12486048650/6311248604865014092023124653.pdf","https://dpmzos25m8ivg.cloudfront.net/Documentos/631/12486048650/6311248604865014092023124653.pdf")</f>
        <v>https://dpmzos25m8ivg.cloudfront.net/Documentos/631/12486048650/6311248604865014092023124653.pdf</v>
      </c>
      <c r="G5220" s="5" t="str">
        <f>HYPERLINK("https://dpmzos25m8ivg.cloudfront.net/Documentos/631/12486048650/6311248604865014092023124702.pdf","https://dpmzos25m8ivg.cloudfront.net/Documentos/631/12486048650/6311248604865014092023124702.pdf")</f>
        <v>https://dpmzos25m8ivg.cloudfront.net/Documentos/631/12486048650/6311248604865014092023124702.pdf</v>
      </c>
      <c r="H5220" s="5" t="s">
        <v>13792</v>
      </c>
    </row>
    <row r="5221" spans="1:8" x14ac:dyDescent="0.25">
      <c r="A5221" s="2" t="s">
        <v>5249</v>
      </c>
      <c r="B5221" s="16" t="s">
        <v>2358</v>
      </c>
      <c r="C5221" s="3"/>
      <c r="D5221" s="3"/>
      <c r="E5221" s="5" t="str">
        <f>HYPERLINK("https://dpmzos25m8ivg.cloudfront.net/Documentos/631/12487324643/6311248732464314092023145218.jpg","https://dpmzos25m8ivg.cloudfront.net/Documentos/631/12487324643/6311248732464314092023145218.jpg")</f>
        <v>https://dpmzos25m8ivg.cloudfront.net/Documentos/631/12487324643/6311248732464314092023145218.jpg</v>
      </c>
      <c r="F5221" s="5" t="str">
        <f>HYPERLINK("https://dpmzos25m8ivg.cloudfront.net/Documentos/631/12487324643/6311248732464314092023145256.jpg","https://dpmzos25m8ivg.cloudfront.net/Documentos/631/12487324643/6311248732464314092023145256.jpg")</f>
        <v>https://dpmzos25m8ivg.cloudfront.net/Documentos/631/12487324643/6311248732464314092023145256.jpg</v>
      </c>
      <c r="G5221" s="5" t="str">
        <f>HYPERLINK("https://dpmzos25m8ivg.cloudfront.net/Documentos/631/12487324643/6311248732464314092023145318.jpg","https://dpmzos25m8ivg.cloudfront.net/Documentos/631/12487324643/6311248732464314092023145318.jpg")</f>
        <v>https://dpmzos25m8ivg.cloudfront.net/Documentos/631/12487324643/6311248732464314092023145318.jpg</v>
      </c>
      <c r="H5221" s="5" t="s">
        <v>13793</v>
      </c>
    </row>
    <row r="5222" spans="1:8" x14ac:dyDescent="0.25">
      <c r="A5222" s="2" t="s">
        <v>5250</v>
      </c>
      <c r="B5222" s="16" t="s">
        <v>2358</v>
      </c>
      <c r="C5222" s="3"/>
      <c r="D5222" s="3"/>
      <c r="E5222" s="5" t="str">
        <f>HYPERLINK("https://dpmzos25m8ivg.cloudfront.net/Documentos/631/12490855433/6311249085543311092023112528.pdf","https://dpmzos25m8ivg.cloudfront.net/Documentos/631/12490855433/6311249085543311092023112528.pdf")</f>
        <v>https://dpmzos25m8ivg.cloudfront.net/Documentos/631/12490855433/6311249085543311092023112528.pdf</v>
      </c>
      <c r="F5222" s="5" t="str">
        <f>HYPERLINK("https://dpmzos25m8ivg.cloudfront.net/Documentos/631/12490855433/6311249085543311092023112548.pdf","https://dpmzos25m8ivg.cloudfront.net/Documentos/631/12490855433/6311249085543311092023112548.pdf")</f>
        <v>https://dpmzos25m8ivg.cloudfront.net/Documentos/631/12490855433/6311249085543311092023112548.pdf</v>
      </c>
      <c r="G5222" s="5" t="str">
        <f>HYPERLINK("https://dpmzos25m8ivg.cloudfront.net/Documentos/631/12490855433/6311249085543311092023112608.pdf","https://dpmzos25m8ivg.cloudfront.net/Documentos/631/12490855433/6311249085543311092023112608.pdf")</f>
        <v>https://dpmzos25m8ivg.cloudfront.net/Documentos/631/12490855433/6311249085543311092023112608.pdf</v>
      </c>
      <c r="H5222" s="5" t="s">
        <v>13794</v>
      </c>
    </row>
    <row r="5223" spans="1:8" x14ac:dyDescent="0.25">
      <c r="A5223" s="2" t="s">
        <v>5251</v>
      </c>
      <c r="B5223" s="3"/>
      <c r="C5223" s="3"/>
      <c r="D5223" s="3"/>
      <c r="E5223" s="5" t="str">
        <f>HYPERLINK("https://dpmzos25m8ivg.cloudfront.net/Documentos/631/12500595935/6311250059593505092023100052.pdf","https://dpmzos25m8ivg.cloudfront.net/Documentos/631/12500595935/6311250059593505092023100052.pdf")</f>
        <v>https://dpmzos25m8ivg.cloudfront.net/Documentos/631/12500595935/6311250059593505092023100052.pdf</v>
      </c>
      <c r="F5223" s="5" t="str">
        <f>HYPERLINK("https://dpmzos25m8ivg.cloudfront.net/Documentos/631/12500595935/6311250059593505092023100101.pdf","https://dpmzos25m8ivg.cloudfront.net/Documentos/631/12500595935/6311250059593505092023100101.pdf")</f>
        <v>https://dpmzos25m8ivg.cloudfront.net/Documentos/631/12500595935/6311250059593505092023100101.pdf</v>
      </c>
      <c r="G5223" s="5" t="str">
        <f>HYPERLINK("https://dpmzos25m8ivg.cloudfront.net/Documentos/631/12500595935/6311250059593505092023100120.pdf","https://dpmzos25m8ivg.cloudfront.net/Documentos/631/12500595935/6311250059593505092023100120.pdf")</f>
        <v>https://dpmzos25m8ivg.cloudfront.net/Documentos/631/12500595935/6311250059593505092023100120.pdf</v>
      </c>
      <c r="H5223" s="5" t="s">
        <v>13795</v>
      </c>
    </row>
    <row r="5224" spans="1:8" x14ac:dyDescent="0.25">
      <c r="A5224" s="2" t="s">
        <v>5252</v>
      </c>
      <c r="B5224" s="3"/>
      <c r="C5224" s="3"/>
      <c r="D5224" s="3"/>
      <c r="E5224" s="5" t="str">
        <f>HYPERLINK("https://dpmzos25m8ivg.cloudfront.net/Documentos/631/12504352425/6311250435242514092023151410.jpeg","https://dpmzos25m8ivg.cloudfront.net/Documentos/631/12504352425/6311250435242514092023151410.jpeg")</f>
        <v>https://dpmzos25m8ivg.cloudfront.net/Documentos/631/12504352425/6311250435242514092023151410.jpeg</v>
      </c>
      <c r="F5224" s="5" t="str">
        <f>HYPERLINK("https://dpmzos25m8ivg.cloudfront.net/Documentos/631/12504352425/6311250435242514092023151419.jpeg","https://dpmzos25m8ivg.cloudfront.net/Documentos/631/12504352425/6311250435242514092023151419.jpeg")</f>
        <v>https://dpmzos25m8ivg.cloudfront.net/Documentos/631/12504352425/6311250435242514092023151419.jpeg</v>
      </c>
      <c r="G5224" s="5" t="str">
        <f>HYPERLINK("https://dpmzos25m8ivg.cloudfront.net/Documentos/631/12504352425/6311250435242514092023151426.jpeg","https://dpmzos25m8ivg.cloudfront.net/Documentos/631/12504352425/6311250435242514092023151426.jpeg")</f>
        <v>https://dpmzos25m8ivg.cloudfront.net/Documentos/631/12504352425/6311250435242514092023151426.jpeg</v>
      </c>
      <c r="H5224" s="5" t="s">
        <v>13796</v>
      </c>
    </row>
    <row r="5225" spans="1:8" x14ac:dyDescent="0.25">
      <c r="A5225" s="2" t="s">
        <v>5253</v>
      </c>
      <c r="B5225" s="3"/>
      <c r="C5225" s="3"/>
      <c r="D5225" s="3"/>
      <c r="E5225" s="5" t="str">
        <f>HYPERLINK("https://dpmzos25m8ivg.cloudfront.net/Documentos/631/12505284458/6311250528445811092023130401.pdf","https://dpmzos25m8ivg.cloudfront.net/Documentos/631/12505284458/6311250528445811092023130401.pdf")</f>
        <v>https://dpmzos25m8ivg.cloudfront.net/Documentos/631/12505284458/6311250528445811092023130401.pdf</v>
      </c>
      <c r="F5225" s="5" t="str">
        <f>HYPERLINK("https://dpmzos25m8ivg.cloudfront.net/Documentos/631/12505284458/6311250528445811092023130419.pdf","https://dpmzos25m8ivg.cloudfront.net/Documentos/631/12505284458/6311250528445811092023130419.pdf")</f>
        <v>https://dpmzos25m8ivg.cloudfront.net/Documentos/631/12505284458/6311250528445811092023130419.pdf</v>
      </c>
      <c r="G5225" s="5" t="str">
        <f>HYPERLINK("https://dpmzos25m8ivg.cloudfront.net/Documentos/631/12505284458/6311250528445811092023130431.pdf","https://dpmzos25m8ivg.cloudfront.net/Documentos/631/12505284458/6311250528445811092023130431.pdf")</f>
        <v>https://dpmzos25m8ivg.cloudfront.net/Documentos/631/12505284458/6311250528445811092023130431.pdf</v>
      </c>
      <c r="H5225" s="5" t="s">
        <v>13797</v>
      </c>
    </row>
    <row r="5226" spans="1:8" x14ac:dyDescent="0.25">
      <c r="A5226" s="2" t="s">
        <v>5254</v>
      </c>
      <c r="B5226" s="3"/>
      <c r="C5226" s="3"/>
      <c r="D5226" s="3"/>
      <c r="E5226" s="5" t="str">
        <f>HYPERLINK("https://dpmzos25m8ivg.cloudfront.net/Documentos/631/12507885440/6311250788544006092023160610.pdf","https://dpmzos25m8ivg.cloudfront.net/Documentos/631/12507885440/6311250788544006092023160610.pdf")</f>
        <v>https://dpmzos25m8ivg.cloudfront.net/Documentos/631/12507885440/6311250788544006092023160610.pdf</v>
      </c>
      <c r="F5226" s="5" t="str">
        <f>HYPERLINK("https://dpmzos25m8ivg.cloudfront.net/Documentos/631/12507885440/6311250788544006092023160625.pdf","https://dpmzos25m8ivg.cloudfront.net/Documentos/631/12507885440/6311250788544006092023160625.pdf")</f>
        <v>https://dpmzos25m8ivg.cloudfront.net/Documentos/631/12507885440/6311250788544006092023160625.pdf</v>
      </c>
      <c r="G5226" s="5" t="str">
        <f>HYPERLINK("https://dpmzos25m8ivg.cloudfront.net/Documentos/631/12507885440/6311250788544006092023160631.pdf","https://dpmzos25m8ivg.cloudfront.net/Documentos/631/12507885440/6311250788544006092023160631.pdf")</f>
        <v>https://dpmzos25m8ivg.cloudfront.net/Documentos/631/12507885440/6311250788544006092023160631.pdf</v>
      </c>
      <c r="H5226" s="5" t="s">
        <v>13798</v>
      </c>
    </row>
    <row r="5227" spans="1:8" x14ac:dyDescent="0.25">
      <c r="A5227" s="2" t="s">
        <v>5255</v>
      </c>
      <c r="B5227" s="3"/>
      <c r="C5227" s="3"/>
      <c r="D5227" s="3"/>
      <c r="E5227" s="5" t="str">
        <f>HYPERLINK("https://dpmzos25m8ivg.cloudfront.net/Documentos/631/12510357441/6311251035744111092023123404.pdf","https://dpmzos25m8ivg.cloudfront.net/Documentos/631/12510357441/6311251035744111092023123404.pdf")</f>
        <v>https://dpmzos25m8ivg.cloudfront.net/Documentos/631/12510357441/6311251035744111092023123404.pdf</v>
      </c>
      <c r="F5227" s="5" t="str">
        <f>HYPERLINK("https://dpmzos25m8ivg.cloudfront.net/Documentos/631/12510357441/6311251035744111092023123555.pdf","https://dpmzos25m8ivg.cloudfront.net/Documentos/631/12510357441/6311251035744111092023123555.pdf")</f>
        <v>https://dpmzos25m8ivg.cloudfront.net/Documentos/631/12510357441/6311251035744111092023123555.pdf</v>
      </c>
      <c r="G5227" s="5" t="str">
        <f>HYPERLINK("https://dpmzos25m8ivg.cloudfront.net/Documentos/631/12510357441/6311251035744111092023123712.pdf","https://dpmzos25m8ivg.cloudfront.net/Documentos/631/12510357441/6311251035744111092023123712.pdf")</f>
        <v>https://dpmzos25m8ivg.cloudfront.net/Documentos/631/12510357441/6311251035744111092023123712.pdf</v>
      </c>
      <c r="H5227" s="5" t="s">
        <v>13799</v>
      </c>
    </row>
    <row r="5228" spans="1:8" x14ac:dyDescent="0.25">
      <c r="A5228" s="2" t="s">
        <v>5256</v>
      </c>
      <c r="B5228" s="16" t="s">
        <v>2358</v>
      </c>
      <c r="C5228" s="3"/>
      <c r="D5228" s="3"/>
      <c r="E5228" s="5" t="str">
        <f>HYPERLINK("https://dpmzos25m8ivg.cloudfront.net/Documentos/631/12511386755/6311251138675505092023114736.pdf","https://dpmzos25m8ivg.cloudfront.net/Documentos/631/12511386755/6311251138675505092023114736.pdf")</f>
        <v>https://dpmzos25m8ivg.cloudfront.net/Documentos/631/12511386755/6311251138675505092023114736.pdf</v>
      </c>
      <c r="F5228" s="5" t="str">
        <f>HYPERLINK("https://dpmzos25m8ivg.cloudfront.net/Documentos/631/12511386755/6311251138675505092023114747.pdf","https://dpmzos25m8ivg.cloudfront.net/Documentos/631/12511386755/6311251138675505092023114747.pdf")</f>
        <v>https://dpmzos25m8ivg.cloudfront.net/Documentos/631/12511386755/6311251138675505092023114747.pdf</v>
      </c>
      <c r="G5228" s="5" t="str">
        <f>HYPERLINK("https://dpmzos25m8ivg.cloudfront.net/Documentos/631/12511386755/6311251138675505092023114813.pdf","https://dpmzos25m8ivg.cloudfront.net/Documentos/631/12511386755/6311251138675505092023114813.pdf")</f>
        <v>https://dpmzos25m8ivg.cloudfront.net/Documentos/631/12511386755/6311251138675505092023114813.pdf</v>
      </c>
      <c r="H5228" s="5" t="s">
        <v>13800</v>
      </c>
    </row>
    <row r="5229" spans="1:8" x14ac:dyDescent="0.25">
      <c r="A5229" s="2" t="s">
        <v>5257</v>
      </c>
      <c r="B5229" s="16" t="s">
        <v>5069</v>
      </c>
      <c r="C5229" s="3"/>
      <c r="D5229" s="3"/>
      <c r="E5229" s="5" t="str">
        <f>HYPERLINK("https://dpmzos25m8ivg.cloudfront.net/Documentos/631/12515820441/6311251582044106092023094528.pdf","https://dpmzos25m8ivg.cloudfront.net/Documentos/631/12515820441/6311251582044106092023094528.pdf")</f>
        <v>https://dpmzos25m8ivg.cloudfront.net/Documentos/631/12515820441/6311251582044106092023094528.pdf</v>
      </c>
      <c r="F5229" s="5" t="str">
        <f>HYPERLINK("https://dpmzos25m8ivg.cloudfront.net/Documentos/631/12515820441/6311251582044106092023094535.pdf","https://dpmzos25m8ivg.cloudfront.net/Documentos/631/12515820441/6311251582044106092023094535.pdf")</f>
        <v>https://dpmzos25m8ivg.cloudfront.net/Documentos/631/12515820441/6311251582044106092023094535.pdf</v>
      </c>
      <c r="G5229" s="5" t="str">
        <f>HYPERLINK("https://dpmzos25m8ivg.cloudfront.net/Documentos/631/12515820441/6311251582044106092023094543.pdf","https://dpmzos25m8ivg.cloudfront.net/Documentos/631/12515820441/6311251582044106092023094543.pdf")</f>
        <v>https://dpmzos25m8ivg.cloudfront.net/Documentos/631/12515820441/6311251582044106092023094543.pdf</v>
      </c>
      <c r="H5229" s="5" t="s">
        <v>13801</v>
      </c>
    </row>
    <row r="5230" spans="1:8" x14ac:dyDescent="0.25">
      <c r="A5230" s="2" t="s">
        <v>5258</v>
      </c>
      <c r="B5230" s="3"/>
      <c r="C5230" s="3"/>
      <c r="D5230" s="3"/>
      <c r="E5230" s="5" t="str">
        <f>HYPERLINK("https://dpmzos25m8ivg.cloudfront.net/Documentos/631/12515961428/6311251596142805092023085137.jpg","https://dpmzos25m8ivg.cloudfront.net/Documentos/631/12515961428/6311251596142805092023085137.jpg")</f>
        <v>https://dpmzos25m8ivg.cloudfront.net/Documentos/631/12515961428/6311251596142805092023085137.jpg</v>
      </c>
      <c r="F5230" s="5" t="str">
        <f>HYPERLINK("https://dpmzos25m8ivg.cloudfront.net/Documentos/631/12515961428/6311251596142805092023085157.jpg","https://dpmzos25m8ivg.cloudfront.net/Documentos/631/12515961428/6311251596142805092023085157.jpg")</f>
        <v>https://dpmzos25m8ivg.cloudfront.net/Documentos/631/12515961428/6311251596142805092023085157.jpg</v>
      </c>
      <c r="G5230" s="5" t="str">
        <f>HYPERLINK("https://dpmzos25m8ivg.cloudfront.net/Documentos/631/12515961428/6311251596142805092023085216.jpg","https://dpmzos25m8ivg.cloudfront.net/Documentos/631/12515961428/6311251596142805092023085216.jpg")</f>
        <v>https://dpmzos25m8ivg.cloudfront.net/Documentos/631/12515961428/6311251596142805092023085216.jpg</v>
      </c>
      <c r="H5230" s="5" t="s">
        <v>13802</v>
      </c>
    </row>
    <row r="5231" spans="1:8" x14ac:dyDescent="0.25">
      <c r="A5231" s="2" t="s">
        <v>5259</v>
      </c>
      <c r="B5231" s="19" t="s">
        <v>4857</v>
      </c>
      <c r="C5231" s="3"/>
      <c r="D5231" s="3"/>
      <c r="E5231" s="5" t="str">
        <f>HYPERLINK("https://dpmzos25m8ivg.cloudfront.net/Documentos/631/12523688603/6311252368860314092023100140.pdf","https://dpmzos25m8ivg.cloudfront.net/Documentos/631/12523688603/6311252368860314092023100140.pdf")</f>
        <v>https://dpmzos25m8ivg.cloudfront.net/Documentos/631/12523688603/6311252368860314092023100140.pdf</v>
      </c>
      <c r="F5231" s="5" t="str">
        <f>HYPERLINK("https://dpmzos25m8ivg.cloudfront.net/Documentos/631/12523688603/6311252368860314092023100148.pdf","https://dpmzos25m8ivg.cloudfront.net/Documentos/631/12523688603/6311252368860314092023100148.pdf")</f>
        <v>https://dpmzos25m8ivg.cloudfront.net/Documentos/631/12523688603/6311252368860314092023100148.pdf</v>
      </c>
      <c r="G5231" s="5" t="str">
        <f>HYPERLINK("https://dpmzos25m8ivg.cloudfront.net/Documentos/631/12523688603/6311252368860314092023100156.pdf","https://dpmzos25m8ivg.cloudfront.net/Documentos/631/12523688603/6311252368860314092023100156.pdf")</f>
        <v>https://dpmzos25m8ivg.cloudfront.net/Documentos/631/12523688603/6311252368860314092023100156.pdf</v>
      </c>
      <c r="H5231" s="5" t="s">
        <v>13803</v>
      </c>
    </row>
    <row r="5232" spans="1:8" x14ac:dyDescent="0.25">
      <c r="A5232" s="2" t="s">
        <v>5260</v>
      </c>
      <c r="B5232" s="3"/>
      <c r="C5232" s="3"/>
      <c r="D5232" s="3"/>
      <c r="E5232" s="5" t="str">
        <f>HYPERLINK("https://dpmzos25m8ivg.cloudfront.net/Documentos/631/12524109640/6311252410964005092023104416.pdf","https://dpmzos25m8ivg.cloudfront.net/Documentos/631/12524109640/6311252410964005092023104416.pdf")</f>
        <v>https://dpmzos25m8ivg.cloudfront.net/Documentos/631/12524109640/6311252410964005092023104416.pdf</v>
      </c>
      <c r="F5232" s="5" t="str">
        <f>HYPERLINK("https://dpmzos25m8ivg.cloudfront.net/Documentos/631/12524109640/6311252410964005092023104428.pdf","https://dpmzos25m8ivg.cloudfront.net/Documentos/631/12524109640/6311252410964005092023104428.pdf")</f>
        <v>https://dpmzos25m8ivg.cloudfront.net/Documentos/631/12524109640/6311252410964005092023104428.pdf</v>
      </c>
      <c r="G5232" s="5" t="str">
        <f>HYPERLINK("https://dpmzos25m8ivg.cloudfront.net/Documentos/631/12524109640/6311252410964005092023104438.pdf","https://dpmzos25m8ivg.cloudfront.net/Documentos/631/12524109640/6311252410964005092023104438.pdf")</f>
        <v>https://dpmzos25m8ivg.cloudfront.net/Documentos/631/12524109640/6311252410964005092023104438.pdf</v>
      </c>
      <c r="H5232" s="5" t="s">
        <v>13804</v>
      </c>
    </row>
    <row r="5233" spans="1:8" x14ac:dyDescent="0.25">
      <c r="A5233" s="2" t="s">
        <v>5261</v>
      </c>
      <c r="B5233" s="3"/>
      <c r="C5233" s="3"/>
      <c r="D5233" s="3"/>
      <c r="E5233" s="5" t="str">
        <f>HYPERLINK("https://dpmzos25m8ivg.cloudfront.net/Documentos/631/12524896412/6311252489641206092023160514.jpeg","https://dpmzos25m8ivg.cloudfront.net/Documentos/631/12524896412/6311252489641206092023160514.jpeg")</f>
        <v>https://dpmzos25m8ivg.cloudfront.net/Documentos/631/12524896412/6311252489641206092023160514.jpeg</v>
      </c>
      <c r="F5233" s="5" t="str">
        <f>HYPERLINK("https://dpmzos25m8ivg.cloudfront.net/Documentos/631/12524896412/6311252489641206092023160524.jpeg","https://dpmzos25m8ivg.cloudfront.net/Documentos/631/12524896412/6311252489641206092023160524.jpeg")</f>
        <v>https://dpmzos25m8ivg.cloudfront.net/Documentos/631/12524896412/6311252489641206092023160524.jpeg</v>
      </c>
      <c r="G5233" s="5" t="str">
        <f>HYPERLINK("https://dpmzos25m8ivg.cloudfront.net/Documentos/631/12524896412/6311252489641206092023160534.jpeg","https://dpmzos25m8ivg.cloudfront.net/Documentos/631/12524896412/6311252489641206092023160534.jpeg")</f>
        <v>https://dpmzos25m8ivg.cloudfront.net/Documentos/631/12524896412/6311252489641206092023160534.jpeg</v>
      </c>
      <c r="H5233" s="5" t="s">
        <v>13805</v>
      </c>
    </row>
    <row r="5234" spans="1:8" x14ac:dyDescent="0.25">
      <c r="A5234" s="2" t="s">
        <v>5262</v>
      </c>
      <c r="B5234" s="3"/>
      <c r="C5234" s="3"/>
      <c r="D5234" s="3"/>
      <c r="E5234" s="5" t="str">
        <f>HYPERLINK("https://dpmzos25m8ivg.cloudfront.net/Documentos/631/12530201676/6311253020167611092023151423.pdf","https://dpmzos25m8ivg.cloudfront.net/Documentos/631/12530201676/6311253020167611092023151423.pdf")</f>
        <v>https://dpmzos25m8ivg.cloudfront.net/Documentos/631/12530201676/6311253020167611092023151423.pdf</v>
      </c>
      <c r="F5234" s="5" t="str">
        <f>HYPERLINK("https://dpmzos25m8ivg.cloudfront.net/Documentos/631/12530201676/6311253020167611092023151436.pdf","https://dpmzos25m8ivg.cloudfront.net/Documentos/631/12530201676/6311253020167611092023151436.pdf")</f>
        <v>https://dpmzos25m8ivg.cloudfront.net/Documentos/631/12530201676/6311253020167611092023151436.pdf</v>
      </c>
      <c r="G5234" s="5" t="str">
        <f>HYPERLINK("https://dpmzos25m8ivg.cloudfront.net/Documentos/631/12530201676/6311253020167611092023151445.pdf","https://dpmzos25m8ivg.cloudfront.net/Documentos/631/12530201676/6311253020167611092023151445.pdf")</f>
        <v>https://dpmzos25m8ivg.cloudfront.net/Documentos/631/12530201676/6311253020167611092023151445.pdf</v>
      </c>
      <c r="H5234" s="5" t="s">
        <v>13806</v>
      </c>
    </row>
    <row r="5235" spans="1:8" x14ac:dyDescent="0.25">
      <c r="A5235" s="2" t="s">
        <v>5263</v>
      </c>
      <c r="B5235" s="3"/>
      <c r="C5235" s="3"/>
      <c r="D5235" s="3"/>
      <c r="E5235" s="5" t="str">
        <f>HYPERLINK("https://dpmzos25m8ivg.cloudfront.net/Documentos/631/12532737743/6311253273774306092023122416.pdf","https://dpmzos25m8ivg.cloudfront.net/Documentos/631/12532737743/6311253273774306092023122416.pdf")</f>
        <v>https://dpmzos25m8ivg.cloudfront.net/Documentos/631/12532737743/6311253273774306092023122416.pdf</v>
      </c>
      <c r="F5235" s="5" t="str">
        <f>HYPERLINK("https://dpmzos25m8ivg.cloudfront.net/Documentos/631/12532737743/6311253273774306092023122440.pdf","https://dpmzos25m8ivg.cloudfront.net/Documentos/631/12532737743/6311253273774306092023122440.pdf")</f>
        <v>https://dpmzos25m8ivg.cloudfront.net/Documentos/631/12532737743/6311253273774306092023122440.pdf</v>
      </c>
      <c r="G5235" s="5" t="str">
        <f>HYPERLINK("https://dpmzos25m8ivg.cloudfront.net/Documentos/631/12532737743/6311253273774306092023122451.pdf","https://dpmzos25m8ivg.cloudfront.net/Documentos/631/12532737743/6311253273774306092023122451.pdf")</f>
        <v>https://dpmzos25m8ivg.cloudfront.net/Documentos/631/12532737743/6311253273774306092023122451.pdf</v>
      </c>
      <c r="H5235" s="5" t="s">
        <v>13807</v>
      </c>
    </row>
    <row r="5236" spans="1:8" x14ac:dyDescent="0.25">
      <c r="A5236" s="2" t="s">
        <v>5264</v>
      </c>
      <c r="B5236" s="3"/>
      <c r="C5236" s="3"/>
      <c r="D5236" s="3"/>
      <c r="E5236" s="5" t="str">
        <f>HYPERLINK("https://dpmzos25m8ivg.cloudfront.net/Documentos/631/12535967430/6311253596743008092023221312.pdf","https://dpmzos25m8ivg.cloudfront.net/Documentos/631/12535967430/6311253596743008092023221312.pdf")</f>
        <v>https://dpmzos25m8ivg.cloudfront.net/Documentos/631/12535967430/6311253596743008092023221312.pdf</v>
      </c>
      <c r="F5236" s="5" t="str">
        <f>HYPERLINK("https://dpmzos25m8ivg.cloudfront.net/Documentos/631/12535967430/6311253596743008092023221332.pdf","https://dpmzos25m8ivg.cloudfront.net/Documentos/631/12535967430/6311253596743008092023221332.pdf")</f>
        <v>https://dpmzos25m8ivg.cloudfront.net/Documentos/631/12535967430/6311253596743008092023221332.pdf</v>
      </c>
      <c r="G5236" s="5" t="str">
        <f>HYPERLINK("https://dpmzos25m8ivg.cloudfront.net/Documentos/631/12535967430/6311253596743008092023221355.pdf","https://dpmzos25m8ivg.cloudfront.net/Documentos/631/12535967430/6311253596743008092023221355.pdf")</f>
        <v>https://dpmzos25m8ivg.cloudfront.net/Documentos/631/12535967430/6311253596743008092023221355.pdf</v>
      </c>
      <c r="H5236" s="5" t="s">
        <v>13808</v>
      </c>
    </row>
    <row r="5237" spans="1:8" x14ac:dyDescent="0.25">
      <c r="A5237" s="2" t="s">
        <v>5265</v>
      </c>
      <c r="B5237" s="3"/>
      <c r="C5237" s="3"/>
      <c r="D5237" s="3"/>
      <c r="E5237" s="5" t="str">
        <f>HYPERLINK("https://dpmzos25m8ivg.cloudfront.net/Documentos/631/12545006424/6311254500642409092023181532.jpeg","https://dpmzos25m8ivg.cloudfront.net/Documentos/631/12545006424/6311254500642409092023181532.jpeg")</f>
        <v>https://dpmzos25m8ivg.cloudfront.net/Documentos/631/12545006424/6311254500642409092023181532.jpeg</v>
      </c>
      <c r="F5237" s="5" t="str">
        <f>HYPERLINK("https://dpmzos25m8ivg.cloudfront.net/Documentos/631/12545006424/6311254500642409092023181552.jpeg","https://dpmzos25m8ivg.cloudfront.net/Documentos/631/12545006424/6311254500642409092023181552.jpeg")</f>
        <v>https://dpmzos25m8ivg.cloudfront.net/Documentos/631/12545006424/6311254500642409092023181552.jpeg</v>
      </c>
      <c r="G5237" s="5" t="str">
        <f>HYPERLINK("https://dpmzos25m8ivg.cloudfront.net/Documentos/631/12545006424/6311254500642409092023181605.jpeg","https://dpmzos25m8ivg.cloudfront.net/Documentos/631/12545006424/6311254500642409092023181605.jpeg")</f>
        <v>https://dpmzos25m8ivg.cloudfront.net/Documentos/631/12545006424/6311254500642409092023181605.jpeg</v>
      </c>
      <c r="H5237" s="5" t="s">
        <v>13809</v>
      </c>
    </row>
    <row r="5238" spans="1:8" x14ac:dyDescent="0.25">
      <c r="A5238" s="2" t="s">
        <v>5266</v>
      </c>
      <c r="B5238" s="16" t="s">
        <v>2358</v>
      </c>
      <c r="C5238" s="3"/>
      <c r="D5238" s="3"/>
      <c r="E5238" s="5" t="str">
        <f>HYPERLINK("https://dpmzos25m8ivg.cloudfront.net/Documentos/631/12545964611/6311254596461105092023210752.pdf","https://dpmzos25m8ivg.cloudfront.net/Documentos/631/12545964611/6311254596461105092023210752.pdf")</f>
        <v>https://dpmzos25m8ivg.cloudfront.net/Documentos/631/12545964611/6311254596461105092023210752.pdf</v>
      </c>
      <c r="F5238" s="5" t="str">
        <f>HYPERLINK("https://dpmzos25m8ivg.cloudfront.net/Documentos/631/12545964611/6311254596461105092023210800.pdf","https://dpmzos25m8ivg.cloudfront.net/Documentos/631/12545964611/6311254596461105092023210800.pdf")</f>
        <v>https://dpmzos25m8ivg.cloudfront.net/Documentos/631/12545964611/6311254596461105092023210800.pdf</v>
      </c>
      <c r="G5238" s="5" t="str">
        <f>HYPERLINK("https://dpmzos25m8ivg.cloudfront.net/Documentos/631/12545964611/6311254596461105092023210808.pdf","https://dpmzos25m8ivg.cloudfront.net/Documentos/631/12545964611/6311254596461105092023210808.pdf")</f>
        <v>https://dpmzos25m8ivg.cloudfront.net/Documentos/631/12545964611/6311254596461105092023210808.pdf</v>
      </c>
      <c r="H5238" s="5" t="s">
        <v>13810</v>
      </c>
    </row>
    <row r="5239" spans="1:8" x14ac:dyDescent="0.25">
      <c r="A5239" s="2" t="s">
        <v>5267</v>
      </c>
      <c r="B5239" s="3"/>
      <c r="C5239" s="3"/>
      <c r="D5239" s="3"/>
      <c r="E5239" s="5" t="str">
        <f>HYPERLINK("https://dpmzos25m8ivg.cloudfront.net/Documentos/631/12572338408/6311257233840814092023144854.jpg","https://dpmzos25m8ivg.cloudfront.net/Documentos/631/12572338408/6311257233840814092023144854.jpg")</f>
        <v>https://dpmzos25m8ivg.cloudfront.net/Documentos/631/12572338408/6311257233840814092023144854.jpg</v>
      </c>
      <c r="F5239" s="5" t="str">
        <f>HYPERLINK("https://dpmzos25m8ivg.cloudfront.net/Documentos/631/12572338408/6311257233840814092023144908.jpg","https://dpmzos25m8ivg.cloudfront.net/Documentos/631/12572338408/6311257233840814092023144908.jpg")</f>
        <v>https://dpmzos25m8ivg.cloudfront.net/Documentos/631/12572338408/6311257233840814092023144908.jpg</v>
      </c>
      <c r="G5239" s="5" t="str">
        <f>HYPERLINK("https://dpmzos25m8ivg.cloudfront.net/Documentos/631/12572338408/6311257233840814092023144926.jpg","https://dpmzos25m8ivg.cloudfront.net/Documentos/631/12572338408/6311257233840814092023144926.jpg")</f>
        <v>https://dpmzos25m8ivg.cloudfront.net/Documentos/631/12572338408/6311257233840814092023144926.jpg</v>
      </c>
      <c r="H5239" s="5" t="s">
        <v>13811</v>
      </c>
    </row>
    <row r="5240" spans="1:8" x14ac:dyDescent="0.25">
      <c r="A5240" s="2" t="s">
        <v>5268</v>
      </c>
      <c r="B5240" s="3"/>
      <c r="C5240" s="3"/>
      <c r="D5240" s="3"/>
      <c r="E5240" s="5" t="str">
        <f>HYPERLINK("https://dpmzos25m8ivg.cloudfront.net/Documentos/631/12574873882/6311257487388205092023092523.jpeg","https://dpmzos25m8ivg.cloudfront.net/Documentos/631/12574873882/6311257487388205092023092523.jpeg")</f>
        <v>https://dpmzos25m8ivg.cloudfront.net/Documentos/631/12574873882/6311257487388205092023092523.jpeg</v>
      </c>
      <c r="F5240" s="5" t="str">
        <f>HYPERLINK("https://dpmzos25m8ivg.cloudfront.net/Documentos/631/12574873882/6311257487388205092023092545.jpeg","https://dpmzos25m8ivg.cloudfront.net/Documentos/631/12574873882/6311257487388205092023092545.jpeg")</f>
        <v>https://dpmzos25m8ivg.cloudfront.net/Documentos/631/12574873882/6311257487388205092023092545.jpeg</v>
      </c>
      <c r="G5240" s="5" t="str">
        <f>HYPERLINK("https://dpmzos25m8ivg.cloudfront.net/Documentos/631/12574873882/6311257487388205092023092554.jpeg","https://dpmzos25m8ivg.cloudfront.net/Documentos/631/12574873882/6311257487388205092023092554.jpeg")</f>
        <v>https://dpmzos25m8ivg.cloudfront.net/Documentos/631/12574873882/6311257487388205092023092554.jpeg</v>
      </c>
      <c r="H5240" s="5" t="s">
        <v>13812</v>
      </c>
    </row>
    <row r="5241" spans="1:8" x14ac:dyDescent="0.25">
      <c r="A5241" s="2" t="s">
        <v>5269</v>
      </c>
      <c r="B5241" s="3"/>
      <c r="C5241" s="3"/>
      <c r="D5241" s="3"/>
      <c r="E5241" s="5" t="str">
        <f>HYPERLINK("https://dpmzos25m8ivg.cloudfront.net/Documentos/631/12575179459/6311257517945911092023153908.jpg","https://dpmzos25m8ivg.cloudfront.net/Documentos/631/12575179459/6311257517945911092023153908.jpg")</f>
        <v>https://dpmzos25m8ivg.cloudfront.net/Documentos/631/12575179459/6311257517945911092023153908.jpg</v>
      </c>
      <c r="F5241" s="5" t="str">
        <f>HYPERLINK("https://dpmzos25m8ivg.cloudfront.net/Documentos/631/12575179459/6311257517945911092023153924.jpg","https://dpmzos25m8ivg.cloudfront.net/Documentos/631/12575179459/6311257517945911092023153924.jpg")</f>
        <v>https://dpmzos25m8ivg.cloudfront.net/Documentos/631/12575179459/6311257517945911092023153924.jpg</v>
      </c>
      <c r="G5241" s="5" t="str">
        <f>HYPERLINK("https://dpmzos25m8ivg.cloudfront.net/Documentos/631/12575179459/6311257517945911092023153939.jpg","https://dpmzos25m8ivg.cloudfront.net/Documentos/631/12575179459/6311257517945911092023153939.jpg")</f>
        <v>https://dpmzos25m8ivg.cloudfront.net/Documentos/631/12575179459/6311257517945911092023153939.jpg</v>
      </c>
      <c r="H5241" s="5" t="s">
        <v>13813</v>
      </c>
    </row>
    <row r="5242" spans="1:8" x14ac:dyDescent="0.25">
      <c r="A5242" s="2" t="s">
        <v>5270</v>
      </c>
      <c r="B5242" s="19" t="s">
        <v>4857</v>
      </c>
      <c r="C5242" s="3"/>
      <c r="D5242" s="3"/>
      <c r="E5242" s="5" t="str">
        <f>HYPERLINK("https://dpmzos25m8ivg.cloudfront.net/Documentos/631/12578197717/6311257819771711092023122719.pdf","https://dpmzos25m8ivg.cloudfront.net/Documentos/631/12578197717/6311257819771711092023122719.pdf")</f>
        <v>https://dpmzos25m8ivg.cloudfront.net/Documentos/631/12578197717/6311257819771711092023122719.pdf</v>
      </c>
      <c r="F5242" s="5" t="str">
        <f>HYPERLINK("https://dpmzos25m8ivg.cloudfront.net/Documentos/631/12578197717/6311257819771711092023122838.pdf","https://dpmzos25m8ivg.cloudfront.net/Documentos/631/12578197717/6311257819771711092023122838.pdf")</f>
        <v>https://dpmzos25m8ivg.cloudfront.net/Documentos/631/12578197717/6311257819771711092023122838.pdf</v>
      </c>
      <c r="G5242" s="5" t="str">
        <f>HYPERLINK("https://dpmzos25m8ivg.cloudfront.net/Documentos/631/12578197717/6311257819771711092023122845.pdf","https://dpmzos25m8ivg.cloudfront.net/Documentos/631/12578197717/6311257819771711092023122845.pdf")</f>
        <v>https://dpmzos25m8ivg.cloudfront.net/Documentos/631/12578197717/6311257819771711092023122845.pdf</v>
      </c>
      <c r="H5242" s="5" t="s">
        <v>13814</v>
      </c>
    </row>
    <row r="5243" spans="1:8" x14ac:dyDescent="0.25">
      <c r="A5243" s="2" t="s">
        <v>5271</v>
      </c>
      <c r="B5243" s="3"/>
      <c r="C5243" s="3"/>
      <c r="D5243" s="3"/>
      <c r="E5243" s="5" t="str">
        <f>HYPERLINK("https://dpmzos25m8ivg.cloudfront.net/Documentos/631/12579612416/6311257961241611092023163316.pdf","https://dpmzos25m8ivg.cloudfront.net/Documentos/631/12579612416/6311257961241611092023163316.pdf")</f>
        <v>https://dpmzos25m8ivg.cloudfront.net/Documentos/631/12579612416/6311257961241611092023163316.pdf</v>
      </c>
      <c r="F5243" s="5" t="str">
        <f>HYPERLINK("https://dpmzos25m8ivg.cloudfront.net/Documentos/631/12579612416/6311257961241611092023163329.pdf","https://dpmzos25m8ivg.cloudfront.net/Documentos/631/12579612416/6311257961241611092023163329.pdf")</f>
        <v>https://dpmzos25m8ivg.cloudfront.net/Documentos/631/12579612416/6311257961241611092023163329.pdf</v>
      </c>
      <c r="G5243" s="5" t="str">
        <f>HYPERLINK("https://dpmzos25m8ivg.cloudfront.net/Documentos/631/12579612416/6311257961241611092023163343.pdf","https://dpmzos25m8ivg.cloudfront.net/Documentos/631/12579612416/6311257961241611092023163343.pdf")</f>
        <v>https://dpmzos25m8ivg.cloudfront.net/Documentos/631/12579612416/6311257961241611092023163343.pdf</v>
      </c>
      <c r="H5243" s="5" t="s">
        <v>13815</v>
      </c>
    </row>
    <row r="5244" spans="1:8" x14ac:dyDescent="0.25">
      <c r="A5244" s="2" t="s">
        <v>5272</v>
      </c>
      <c r="B5244" s="3"/>
      <c r="C5244" s="3"/>
      <c r="D5244" s="3"/>
      <c r="E5244" s="5" t="str">
        <f>HYPERLINK("https://dpmzos25m8ivg.cloudfront.net/Documentos/631/12583032801/6311258303280111092023105811.pdf","https://dpmzos25m8ivg.cloudfront.net/Documentos/631/12583032801/6311258303280111092023105811.pdf")</f>
        <v>https://dpmzos25m8ivg.cloudfront.net/Documentos/631/12583032801/6311258303280111092023105811.pdf</v>
      </c>
      <c r="F5244" s="5" t="str">
        <f>HYPERLINK("https://dpmzos25m8ivg.cloudfront.net/Documentos/631/12583032801/6311258303280111092023105835.pdf","https://dpmzos25m8ivg.cloudfront.net/Documentos/631/12583032801/6311258303280111092023105835.pdf")</f>
        <v>https://dpmzos25m8ivg.cloudfront.net/Documentos/631/12583032801/6311258303280111092023105835.pdf</v>
      </c>
      <c r="G5244" s="5" t="str">
        <f>HYPERLINK("https://dpmzos25m8ivg.cloudfront.net/Documentos/631/12583032801/6311258303280111092023105936.pdf","https://dpmzos25m8ivg.cloudfront.net/Documentos/631/12583032801/6311258303280111092023105936.pdf")</f>
        <v>https://dpmzos25m8ivg.cloudfront.net/Documentos/631/12583032801/6311258303280111092023105936.pdf</v>
      </c>
      <c r="H5244" s="5" t="s">
        <v>13816</v>
      </c>
    </row>
    <row r="5245" spans="1:8" x14ac:dyDescent="0.25">
      <c r="A5245" s="2" t="s">
        <v>5273</v>
      </c>
      <c r="B5245" s="3"/>
      <c r="C5245" s="3"/>
      <c r="D5245" s="3"/>
      <c r="E5245" s="5" t="str">
        <f>HYPERLINK("https://dpmzos25m8ivg.cloudfront.net/Documentos/631/12583666657/6311258366665706092023094322.pdf","https://dpmzos25m8ivg.cloudfront.net/Documentos/631/12583666657/6311258366665706092023094322.pdf")</f>
        <v>https://dpmzos25m8ivg.cloudfront.net/Documentos/631/12583666657/6311258366665706092023094322.pdf</v>
      </c>
      <c r="F5245" s="5" t="str">
        <f>HYPERLINK("https://dpmzos25m8ivg.cloudfront.net/Documentos/631/12583666657/6311258366665705092023085034.pdf","https://dpmzos25m8ivg.cloudfront.net/Documentos/631/12583666657/6311258366665705092023085034.pdf")</f>
        <v>https://dpmzos25m8ivg.cloudfront.net/Documentos/631/12583666657/6311258366665705092023085034.pdf</v>
      </c>
      <c r="G5245" s="5" t="str">
        <f>HYPERLINK("https://dpmzos25m8ivg.cloudfront.net/Documentos/631/12583666657/6311258366665705092023084936.pdf","https://dpmzos25m8ivg.cloudfront.net/Documentos/631/12583666657/6311258366665705092023084936.pdf")</f>
        <v>https://dpmzos25m8ivg.cloudfront.net/Documentos/631/12583666657/6311258366665705092023084936.pdf</v>
      </c>
      <c r="H5245" s="5" t="s">
        <v>13817</v>
      </c>
    </row>
    <row r="5246" spans="1:8" x14ac:dyDescent="0.25">
      <c r="A5246" s="2" t="s">
        <v>5274</v>
      </c>
      <c r="B5246" s="3" t="s">
        <v>23</v>
      </c>
      <c r="C5246" s="3"/>
      <c r="D5246" s="3"/>
      <c r="E5246" s="5" t="str">
        <f>HYPERLINK("https://dpmzos25m8ivg.cloudfront.net/Documentos/631/12593179430/6311259317943010092023220021.jpg","https://dpmzos25m8ivg.cloudfront.net/Documentos/631/12593179430/6311259317943010092023220021.jpg")</f>
        <v>https://dpmzos25m8ivg.cloudfront.net/Documentos/631/12593179430/6311259317943010092023220021.jpg</v>
      </c>
      <c r="F5246" s="5" t="str">
        <f>HYPERLINK("https://dpmzos25m8ivg.cloudfront.net/Documentos/631/12593179430/6311259317943010092023220037.jpg","https://dpmzos25m8ivg.cloudfront.net/Documentos/631/12593179430/6311259317943010092023220037.jpg")</f>
        <v>https://dpmzos25m8ivg.cloudfront.net/Documentos/631/12593179430/6311259317943010092023220037.jpg</v>
      </c>
      <c r="G5246" s="5" t="str">
        <f>HYPERLINK("https://dpmzos25m8ivg.cloudfront.net/Documentos/631/12593179430/6311259317943010092023220104.jpg","https://dpmzos25m8ivg.cloudfront.net/Documentos/631/12593179430/6311259317943010092023220104.jpg")</f>
        <v>https://dpmzos25m8ivg.cloudfront.net/Documentos/631/12593179430/6311259317943010092023220104.jpg</v>
      </c>
      <c r="H5246" s="5" t="s">
        <v>13818</v>
      </c>
    </row>
    <row r="5247" spans="1:8" x14ac:dyDescent="0.25">
      <c r="A5247" s="2" t="s">
        <v>5275</v>
      </c>
      <c r="B5247" s="16" t="s">
        <v>5069</v>
      </c>
      <c r="C5247" s="3"/>
      <c r="D5247" s="3"/>
      <c r="E5247" s="5" t="str">
        <f>HYPERLINK("https://dpmzos25m8ivg.cloudfront.net/Documentos/631/12599717671/6311259971767105092023112035.pdf","https://dpmzos25m8ivg.cloudfront.net/Documentos/631/12599717671/6311259971767105092023112035.pdf")</f>
        <v>https://dpmzos25m8ivg.cloudfront.net/Documentos/631/12599717671/6311259971767105092023112035.pdf</v>
      </c>
      <c r="F5247" s="5" t="str">
        <f>HYPERLINK("https://dpmzos25m8ivg.cloudfront.net/Documentos/631/12599717671/6311259971767105092023112046.pdf","https://dpmzos25m8ivg.cloudfront.net/Documentos/631/12599717671/6311259971767105092023112046.pdf")</f>
        <v>https://dpmzos25m8ivg.cloudfront.net/Documentos/631/12599717671/6311259971767105092023112046.pdf</v>
      </c>
      <c r="G5247" s="5" t="str">
        <f>HYPERLINK("https://dpmzos25m8ivg.cloudfront.net/Documentos/631/12599717671/6311259971767105092023112058.pdf","https://dpmzos25m8ivg.cloudfront.net/Documentos/631/12599717671/6311259971767105092023112058.pdf")</f>
        <v>https://dpmzos25m8ivg.cloudfront.net/Documentos/631/12599717671/6311259971767105092023112058.pdf</v>
      </c>
      <c r="H5247" s="5" t="s">
        <v>13819</v>
      </c>
    </row>
    <row r="5248" spans="1:8" x14ac:dyDescent="0.25">
      <c r="A5248" s="2" t="s">
        <v>5276</v>
      </c>
      <c r="B5248" s="3"/>
      <c r="C5248" s="3"/>
      <c r="D5248" s="3"/>
      <c r="E5248" s="5" t="str">
        <f>HYPERLINK("https://dpmzos25m8ivg.cloudfront.net/Documentos/631/12614062650/6311261406265013092023152235.pdf","https://dpmzos25m8ivg.cloudfront.net/Documentos/631/12614062650/6311261406265013092023152235.pdf")</f>
        <v>https://dpmzos25m8ivg.cloudfront.net/Documentos/631/12614062650/6311261406265013092023152235.pdf</v>
      </c>
      <c r="F5248" s="5" t="str">
        <f>HYPERLINK("https://dpmzos25m8ivg.cloudfront.net/Documentos/631/12614062650/6311261406265013092023152423.pdf","https://dpmzos25m8ivg.cloudfront.net/Documentos/631/12614062650/6311261406265013092023152423.pdf")</f>
        <v>https://dpmzos25m8ivg.cloudfront.net/Documentos/631/12614062650/6311261406265013092023152423.pdf</v>
      </c>
      <c r="G5248" s="5" t="str">
        <f>HYPERLINK("https://dpmzos25m8ivg.cloudfront.net/Documentos/631/12614062650/6311261406265013092023152714.pdf","https://dpmzos25m8ivg.cloudfront.net/Documentos/631/12614062650/6311261406265013092023152714.pdf")</f>
        <v>https://dpmzos25m8ivg.cloudfront.net/Documentos/631/12614062650/6311261406265013092023152714.pdf</v>
      </c>
      <c r="H5248" s="5" t="s">
        <v>13820</v>
      </c>
    </row>
    <row r="5249" spans="1:8" x14ac:dyDescent="0.25">
      <c r="A5249" s="2" t="s">
        <v>5277</v>
      </c>
      <c r="B5249" s="3"/>
      <c r="C5249" s="3"/>
      <c r="D5249" s="3"/>
      <c r="E5249" s="5" t="str">
        <f>HYPERLINK("https://dpmzos25m8ivg.cloudfront.net/Documentos/631/12625812737/6311262581273711092023155722.pdf","https://dpmzos25m8ivg.cloudfront.net/Documentos/631/12625812737/6311262581273711092023155722.pdf")</f>
        <v>https://dpmzos25m8ivg.cloudfront.net/Documentos/631/12625812737/6311262581273711092023155722.pdf</v>
      </c>
      <c r="F5249" s="5" t="str">
        <f>HYPERLINK("https://dpmzos25m8ivg.cloudfront.net/Documentos/631/12625812737/6311262581273711092023155852.pdf","https://dpmzos25m8ivg.cloudfront.net/Documentos/631/12625812737/6311262581273711092023155852.pdf")</f>
        <v>https://dpmzos25m8ivg.cloudfront.net/Documentos/631/12625812737/6311262581273711092023155852.pdf</v>
      </c>
      <c r="G5249" s="5" t="str">
        <f>HYPERLINK("https://dpmzos25m8ivg.cloudfront.net/Documentos/631/12625812737/6311262581273711092023155811.pdf","https://dpmzos25m8ivg.cloudfront.net/Documentos/631/12625812737/6311262581273711092023155811.pdf")</f>
        <v>https://dpmzos25m8ivg.cloudfront.net/Documentos/631/12625812737/6311262581273711092023155811.pdf</v>
      </c>
      <c r="H5249" s="5" t="s">
        <v>13821</v>
      </c>
    </row>
    <row r="5250" spans="1:8" x14ac:dyDescent="0.25">
      <c r="A5250" s="2" t="s">
        <v>5278</v>
      </c>
      <c r="B5250" s="3"/>
      <c r="C5250" s="3"/>
      <c r="D5250" s="3"/>
      <c r="E5250" s="5" t="str">
        <f>HYPERLINK("https://dpmzos25m8ivg.cloudfront.net/Documentos/631/12630404625/6311263040462506092023092506.pdf","https://dpmzos25m8ivg.cloudfront.net/Documentos/631/12630404625/6311263040462506092023092506.pdf")</f>
        <v>https://dpmzos25m8ivg.cloudfront.net/Documentos/631/12630404625/6311263040462506092023092506.pdf</v>
      </c>
      <c r="F5250" s="5" t="str">
        <f>HYPERLINK("https://dpmzos25m8ivg.cloudfront.net/Documentos/631/12630404625/6311263040462506092023092535.pdf","https://dpmzos25m8ivg.cloudfront.net/Documentos/631/12630404625/6311263040462506092023092535.pdf")</f>
        <v>https://dpmzos25m8ivg.cloudfront.net/Documentos/631/12630404625/6311263040462506092023092535.pdf</v>
      </c>
      <c r="G5250" s="5" t="str">
        <f>HYPERLINK("https://dpmzos25m8ivg.cloudfront.net/Documentos/631/12630404625/6311263040462506092023092606.pdf","https://dpmzos25m8ivg.cloudfront.net/Documentos/631/12630404625/6311263040462506092023092606.pdf")</f>
        <v>https://dpmzos25m8ivg.cloudfront.net/Documentos/631/12630404625/6311263040462506092023092606.pdf</v>
      </c>
      <c r="H5250" s="5" t="s">
        <v>13822</v>
      </c>
    </row>
    <row r="5251" spans="1:8" x14ac:dyDescent="0.25">
      <c r="A5251" s="2" t="s">
        <v>5279</v>
      </c>
      <c r="B5251" s="3"/>
      <c r="C5251" s="3"/>
      <c r="D5251" s="3"/>
      <c r="E5251" s="5" t="str">
        <f>HYPERLINK("https://dpmzos25m8ivg.cloudfront.net/Documentos/631/12633169724/6311263316972407092023140448.pdf","https://dpmzos25m8ivg.cloudfront.net/Documentos/631/12633169724/6311263316972407092023140448.pdf")</f>
        <v>https://dpmzos25m8ivg.cloudfront.net/Documentos/631/12633169724/6311263316972407092023140448.pdf</v>
      </c>
      <c r="F5251" s="5" t="str">
        <f>HYPERLINK("https://dpmzos25m8ivg.cloudfront.net/Documentos/631/12633169724/6311263316972407092023140521.pdf","https://dpmzos25m8ivg.cloudfront.net/Documentos/631/12633169724/6311263316972407092023140521.pdf")</f>
        <v>https://dpmzos25m8ivg.cloudfront.net/Documentos/631/12633169724/6311263316972407092023140521.pdf</v>
      </c>
      <c r="G5251" s="5" t="str">
        <f>HYPERLINK("https://dpmzos25m8ivg.cloudfront.net/Documentos/631/12633169724/6311263316972407092023140545.pdf","https://dpmzos25m8ivg.cloudfront.net/Documentos/631/12633169724/6311263316972407092023140545.pdf")</f>
        <v>https://dpmzos25m8ivg.cloudfront.net/Documentos/631/12633169724/6311263316972407092023140545.pdf</v>
      </c>
      <c r="H5251" s="5" t="s">
        <v>13823</v>
      </c>
    </row>
    <row r="5252" spans="1:8" x14ac:dyDescent="0.25">
      <c r="A5252" s="2" t="s">
        <v>5280</v>
      </c>
      <c r="B5252" s="3"/>
      <c r="C5252" s="3"/>
      <c r="D5252" s="3"/>
      <c r="E5252" s="5" t="str">
        <f>HYPERLINK("https://dpmzos25m8ivg.cloudfront.net/Documentos/631/12637074833/6311263707483307092023211559.pdf","https://dpmzos25m8ivg.cloudfront.net/Documentos/631/12637074833/6311263707483307092023211559.pdf")</f>
        <v>https://dpmzos25m8ivg.cloudfront.net/Documentos/631/12637074833/6311263707483307092023211559.pdf</v>
      </c>
      <c r="F5252" s="5" t="str">
        <f>HYPERLINK("https://dpmzos25m8ivg.cloudfront.net/Documentos/631/12637074833/6311263707483307092023211607.pdf","https://dpmzos25m8ivg.cloudfront.net/Documentos/631/12637074833/6311263707483307092023211607.pdf")</f>
        <v>https://dpmzos25m8ivg.cloudfront.net/Documentos/631/12637074833/6311263707483307092023211607.pdf</v>
      </c>
      <c r="G5252" s="5" t="str">
        <f>HYPERLINK("https://dpmzos25m8ivg.cloudfront.net/Documentos/631/12637074833/6311263707483307092023211614.pdf","https://dpmzos25m8ivg.cloudfront.net/Documentos/631/12637074833/6311263707483307092023211614.pdf")</f>
        <v>https://dpmzos25m8ivg.cloudfront.net/Documentos/631/12637074833/6311263707483307092023211614.pdf</v>
      </c>
      <c r="H5252" s="5" t="s">
        <v>13824</v>
      </c>
    </row>
    <row r="5253" spans="1:8" x14ac:dyDescent="0.25">
      <c r="A5253" s="2" t="s">
        <v>5281</v>
      </c>
      <c r="B5253" s="3"/>
      <c r="C5253" s="3"/>
      <c r="D5253" s="3"/>
      <c r="E5253" s="5" t="str">
        <f>HYPERLINK("https://dpmzos25m8ivg.cloudfront.net/Documentos/631/12638451690/6311263845169011092023162715.pdf","https://dpmzos25m8ivg.cloudfront.net/Documentos/631/12638451690/6311263845169011092023162715.pdf")</f>
        <v>https://dpmzos25m8ivg.cloudfront.net/Documentos/631/12638451690/6311263845169011092023162715.pdf</v>
      </c>
      <c r="F5253" s="5" t="str">
        <f>HYPERLINK("https://dpmzos25m8ivg.cloudfront.net/Documentos/631/12638451690/6311263845169011092023162738.pdf","https://dpmzos25m8ivg.cloudfront.net/Documentos/631/12638451690/6311263845169011092023162738.pdf")</f>
        <v>https://dpmzos25m8ivg.cloudfront.net/Documentos/631/12638451690/6311263845169011092023162738.pdf</v>
      </c>
      <c r="G5253" s="5" t="str">
        <f>HYPERLINK("https://dpmzos25m8ivg.cloudfront.net/Documentos/631/12638451690/6311263845169011092023162808.pdf","https://dpmzos25m8ivg.cloudfront.net/Documentos/631/12638451690/6311263845169011092023162808.pdf")</f>
        <v>https://dpmzos25m8ivg.cloudfront.net/Documentos/631/12638451690/6311263845169011092023162808.pdf</v>
      </c>
      <c r="H5253" s="5" t="s">
        <v>13825</v>
      </c>
    </row>
    <row r="5254" spans="1:8" x14ac:dyDescent="0.25">
      <c r="A5254" s="2" t="s">
        <v>5282</v>
      </c>
      <c r="B5254" s="16" t="s">
        <v>5069</v>
      </c>
      <c r="C5254" s="3"/>
      <c r="D5254" s="3"/>
      <c r="E5254" s="5" t="str">
        <f>HYPERLINK("https://dpmzos25m8ivg.cloudfront.net/Documentos/631/12638868680/6311263886868011092023164831.pdf","https://dpmzos25m8ivg.cloudfront.net/Documentos/631/12638868680/6311263886868011092023164831.pdf")</f>
        <v>https://dpmzos25m8ivg.cloudfront.net/Documentos/631/12638868680/6311263886868011092023164831.pdf</v>
      </c>
      <c r="F5254" s="5" t="str">
        <f>HYPERLINK("https://dpmzos25m8ivg.cloudfront.net/Documentos/631/12638868680/6311263886868011092023164841.pdf","https://dpmzos25m8ivg.cloudfront.net/Documentos/631/12638868680/6311263886868011092023164841.pdf")</f>
        <v>https://dpmzos25m8ivg.cloudfront.net/Documentos/631/12638868680/6311263886868011092023164841.pdf</v>
      </c>
      <c r="G5254" s="5" t="str">
        <f>HYPERLINK("https://dpmzos25m8ivg.cloudfront.net/Documentos/631/12638868680/6311263886868011092023164854.pdf","https://dpmzos25m8ivg.cloudfront.net/Documentos/631/12638868680/6311263886868011092023164854.pdf")</f>
        <v>https://dpmzos25m8ivg.cloudfront.net/Documentos/631/12638868680/6311263886868011092023164854.pdf</v>
      </c>
      <c r="H5254" s="5" t="s">
        <v>13826</v>
      </c>
    </row>
    <row r="5255" spans="1:8" x14ac:dyDescent="0.25">
      <c r="A5255" s="2" t="s">
        <v>5283</v>
      </c>
      <c r="B5255" s="3"/>
      <c r="C5255" s="3"/>
      <c r="D5255" s="3"/>
      <c r="E5255" s="5" t="str">
        <f>HYPERLINK("https://dpmzos25m8ivg.cloudfront.net/Documentos/631/12652816616/6311265281661611092023143322.jpg","https://dpmzos25m8ivg.cloudfront.net/Documentos/631/12652816616/6311265281661611092023143322.jpg")</f>
        <v>https://dpmzos25m8ivg.cloudfront.net/Documentos/631/12652816616/6311265281661611092023143322.jpg</v>
      </c>
      <c r="F5255" s="5" t="str">
        <f>HYPERLINK("https://dpmzos25m8ivg.cloudfront.net/Documentos/631/12652816616/6311265281661611092023143334.jpg","https://dpmzos25m8ivg.cloudfront.net/Documentos/631/12652816616/6311265281661611092023143334.jpg")</f>
        <v>https://dpmzos25m8ivg.cloudfront.net/Documentos/631/12652816616/6311265281661611092023143334.jpg</v>
      </c>
      <c r="G5255" s="5" t="str">
        <f>HYPERLINK("https://dpmzos25m8ivg.cloudfront.net/Documentos/631/12652816616/6311265281661611092023143342.jpg","https://dpmzos25m8ivg.cloudfront.net/Documentos/631/12652816616/6311265281661611092023143342.jpg")</f>
        <v>https://dpmzos25m8ivg.cloudfront.net/Documentos/631/12652816616/6311265281661611092023143342.jpg</v>
      </c>
      <c r="H5255" s="5" t="s">
        <v>13827</v>
      </c>
    </row>
    <row r="5256" spans="1:8" x14ac:dyDescent="0.25">
      <c r="A5256" s="2" t="s">
        <v>5284</v>
      </c>
      <c r="B5256" s="19" t="s">
        <v>4857</v>
      </c>
      <c r="C5256" s="3"/>
      <c r="D5256" s="3"/>
      <c r="E5256" s="5" t="str">
        <f>HYPERLINK("https://dpmzos25m8ivg.cloudfront.net/Documentos/631/12659595445/6311265959544511092023163729.pdf","https://dpmzos25m8ivg.cloudfront.net/Documentos/631/12659595445/6311265959544511092023163729.pdf")</f>
        <v>https://dpmzos25m8ivg.cloudfront.net/Documentos/631/12659595445/6311265959544511092023163729.pdf</v>
      </c>
      <c r="F5256" s="5" t="str">
        <f>HYPERLINK("https://dpmzos25m8ivg.cloudfront.net/Documentos/631/12659595445/6311265959544511092023163742.pdf","https://dpmzos25m8ivg.cloudfront.net/Documentos/631/12659595445/6311265959544511092023163742.pdf")</f>
        <v>https://dpmzos25m8ivg.cloudfront.net/Documentos/631/12659595445/6311265959544511092023163742.pdf</v>
      </c>
      <c r="G5256" s="5" t="str">
        <f>HYPERLINK("https://dpmzos25m8ivg.cloudfront.net/Documentos/631/12659595445/6311265959544511092023163754.pdf","https://dpmzos25m8ivg.cloudfront.net/Documentos/631/12659595445/6311265959544511092023163754.pdf")</f>
        <v>https://dpmzos25m8ivg.cloudfront.net/Documentos/631/12659595445/6311265959544511092023163754.pdf</v>
      </c>
      <c r="H5256" s="5" t="s">
        <v>13828</v>
      </c>
    </row>
    <row r="5257" spans="1:8" x14ac:dyDescent="0.25">
      <c r="A5257" s="2" t="s">
        <v>5285</v>
      </c>
      <c r="B5257" s="3" t="s">
        <v>23</v>
      </c>
      <c r="C5257" s="3"/>
      <c r="D5257" s="3"/>
      <c r="E5257" s="5" t="str">
        <f>HYPERLINK("https://dpmzos25m8ivg.cloudfront.net/Documentos/631/12662990414/6311266299041409092023235551.pdf","https://dpmzos25m8ivg.cloudfront.net/Documentos/631/12662990414/6311266299041409092023235551.pdf")</f>
        <v>https://dpmzos25m8ivg.cloudfront.net/Documentos/631/12662990414/6311266299041409092023235551.pdf</v>
      </c>
      <c r="F5257" s="5" t="str">
        <f>HYPERLINK("https://dpmzos25m8ivg.cloudfront.net/Documentos/631/12662990414/6311266299041409092023235615.pdf","https://dpmzos25m8ivg.cloudfront.net/Documentos/631/12662990414/6311266299041409092023235615.pdf")</f>
        <v>https://dpmzos25m8ivg.cloudfront.net/Documentos/631/12662990414/6311266299041409092023235615.pdf</v>
      </c>
      <c r="G5257" s="5" t="str">
        <f>HYPERLINK("https://dpmzos25m8ivg.cloudfront.net/Documentos/631/12662990414/6311266299041409092023234851.pdf","https://dpmzos25m8ivg.cloudfront.net/Documentos/631/12662990414/6311266299041409092023234851.pdf")</f>
        <v>https://dpmzos25m8ivg.cloudfront.net/Documentos/631/12662990414/6311266299041409092023234851.pdf</v>
      </c>
      <c r="H5257" s="5" t="s">
        <v>13829</v>
      </c>
    </row>
    <row r="5258" spans="1:8" x14ac:dyDescent="0.25">
      <c r="A5258" s="2" t="s">
        <v>5286</v>
      </c>
      <c r="B5258" s="3"/>
      <c r="C5258" s="3"/>
      <c r="D5258" s="3"/>
      <c r="E5258" s="5" t="str">
        <f>HYPERLINK("https://dpmzos25m8ivg.cloudfront.net/Documentos/631/12666746755/6311266674675511092023152031.pdf","https://dpmzos25m8ivg.cloudfront.net/Documentos/631/12666746755/6311266674675511092023152031.pdf")</f>
        <v>https://dpmzos25m8ivg.cloudfront.net/Documentos/631/12666746755/6311266674675511092023152031.pdf</v>
      </c>
      <c r="F5258" s="5" t="str">
        <f>HYPERLINK("https://dpmzos25m8ivg.cloudfront.net/Documentos/631/12666746755/6311266674675511092023152056.pdf","https://dpmzos25m8ivg.cloudfront.net/Documentos/631/12666746755/6311266674675511092023152056.pdf")</f>
        <v>https://dpmzos25m8ivg.cloudfront.net/Documentos/631/12666746755/6311266674675511092023152056.pdf</v>
      </c>
      <c r="G5258" s="5" t="str">
        <f>HYPERLINK("https://dpmzos25m8ivg.cloudfront.net/Documentos/631/12666746755/6311266674675511092023152108.pdf","https://dpmzos25m8ivg.cloudfront.net/Documentos/631/12666746755/6311266674675511092023152108.pdf")</f>
        <v>https://dpmzos25m8ivg.cloudfront.net/Documentos/631/12666746755/6311266674675511092023152108.pdf</v>
      </c>
      <c r="H5258" s="5" t="s">
        <v>13830</v>
      </c>
    </row>
    <row r="5259" spans="1:8" x14ac:dyDescent="0.25">
      <c r="A5259" s="2" t="s">
        <v>5287</v>
      </c>
      <c r="B5259" s="3"/>
      <c r="C5259" s="3"/>
      <c r="D5259" s="3"/>
      <c r="E5259" s="5" t="str">
        <f>HYPERLINK("https://dpmzos25m8ivg.cloudfront.net/Documentos/631/12669612679/6311266961267906092023144405.jpeg","https://dpmzos25m8ivg.cloudfront.net/Documentos/631/12669612679/6311266961267906092023144405.jpeg")</f>
        <v>https://dpmzos25m8ivg.cloudfront.net/Documentos/631/12669612679/6311266961267906092023144405.jpeg</v>
      </c>
      <c r="F5259" s="5" t="str">
        <f>HYPERLINK("https://dpmzos25m8ivg.cloudfront.net/Documentos/631/12669612679/6311266961267906092023144434.jpeg","https://dpmzos25m8ivg.cloudfront.net/Documentos/631/12669612679/6311266961267906092023144434.jpeg")</f>
        <v>https://dpmzos25m8ivg.cloudfront.net/Documentos/631/12669612679/6311266961267906092023144434.jpeg</v>
      </c>
      <c r="G5259" s="5" t="str">
        <f>HYPERLINK("https://dpmzos25m8ivg.cloudfront.net/Documentos/631/12669612679/6311266961267906092023144450.jpeg","https://dpmzos25m8ivg.cloudfront.net/Documentos/631/12669612679/6311266961267906092023144450.jpeg")</f>
        <v>https://dpmzos25m8ivg.cloudfront.net/Documentos/631/12669612679/6311266961267906092023144450.jpeg</v>
      </c>
      <c r="H5259" s="5" t="s">
        <v>13831</v>
      </c>
    </row>
    <row r="5260" spans="1:8" x14ac:dyDescent="0.25">
      <c r="A5260" s="2" t="s">
        <v>5288</v>
      </c>
      <c r="B5260" s="3"/>
      <c r="C5260" s="3"/>
      <c r="D5260" s="3"/>
      <c r="E5260" s="5" t="str">
        <f>HYPERLINK("https://dpmzos25m8ivg.cloudfront.net/Documentos/631/12669802451/6311266980245107092023173820.pdf","https://dpmzos25m8ivg.cloudfront.net/Documentos/631/12669802451/6311266980245107092023173820.pdf")</f>
        <v>https://dpmzos25m8ivg.cloudfront.net/Documentos/631/12669802451/6311266980245107092023173820.pdf</v>
      </c>
      <c r="F5260" s="5" t="str">
        <f>HYPERLINK("https://dpmzos25m8ivg.cloudfront.net/Documentos/631/12669802451/6311266980245108092023141142.pdf","https://dpmzos25m8ivg.cloudfront.net/Documentos/631/12669802451/6311266980245108092023141142.pdf")</f>
        <v>https://dpmzos25m8ivg.cloudfront.net/Documentos/631/12669802451/6311266980245108092023141142.pdf</v>
      </c>
      <c r="G5260" s="5" t="str">
        <f>HYPERLINK("https://dpmzos25m8ivg.cloudfront.net/Documentos/631/12669802451/6311266980245108092023141155.pdf","https://dpmzos25m8ivg.cloudfront.net/Documentos/631/12669802451/6311266980245108092023141155.pdf")</f>
        <v>https://dpmzos25m8ivg.cloudfront.net/Documentos/631/12669802451/6311266980245108092023141155.pdf</v>
      </c>
      <c r="H5260" s="5" t="s">
        <v>13832</v>
      </c>
    </row>
    <row r="5261" spans="1:8" x14ac:dyDescent="0.25">
      <c r="A5261" s="2" t="s">
        <v>5289</v>
      </c>
      <c r="B5261" s="3"/>
      <c r="C5261" s="3"/>
      <c r="D5261" s="3"/>
      <c r="E5261" s="5" t="str">
        <f>HYPERLINK("https://dpmzos25m8ivg.cloudfront.net/Documentos/631/12678048403/6311267804840311092023140933.pdf","https://dpmzos25m8ivg.cloudfront.net/Documentos/631/12678048403/6311267804840311092023140933.pdf")</f>
        <v>https://dpmzos25m8ivg.cloudfront.net/Documentos/631/12678048403/6311267804840311092023140933.pdf</v>
      </c>
      <c r="F5261" s="5" t="str">
        <f>HYPERLINK("https://dpmzos25m8ivg.cloudfront.net/Documentos/631/12678048403/6311267804840311092023140959.pdf","https://dpmzos25m8ivg.cloudfront.net/Documentos/631/12678048403/6311267804840311092023140959.pdf")</f>
        <v>https://dpmzos25m8ivg.cloudfront.net/Documentos/631/12678048403/6311267804840311092023140959.pdf</v>
      </c>
      <c r="G5261" s="5" t="str">
        <f>HYPERLINK("https://dpmzos25m8ivg.cloudfront.net/Documentos/631/12678048403/6311267804840311092023141015.pdf","https://dpmzos25m8ivg.cloudfront.net/Documentos/631/12678048403/6311267804840311092023141015.pdf")</f>
        <v>https://dpmzos25m8ivg.cloudfront.net/Documentos/631/12678048403/6311267804840311092023141015.pdf</v>
      </c>
      <c r="H5261" s="5" t="s">
        <v>13833</v>
      </c>
    </row>
    <row r="5262" spans="1:8" x14ac:dyDescent="0.25">
      <c r="A5262" s="2" t="s">
        <v>5290</v>
      </c>
      <c r="B5262" s="3"/>
      <c r="C5262" s="3"/>
      <c r="D5262" s="3"/>
      <c r="E5262" s="5" t="str">
        <f>HYPERLINK("https://dpmzos25m8ivg.cloudfront.net/Documentos/631/12679516486/6311267951648611092023151030.pdf","https://dpmzos25m8ivg.cloudfront.net/Documentos/631/12679516486/6311267951648611092023151030.pdf")</f>
        <v>https://dpmzos25m8ivg.cloudfront.net/Documentos/631/12679516486/6311267951648611092023151030.pdf</v>
      </c>
      <c r="F5262" s="5" t="str">
        <f>HYPERLINK("https://dpmzos25m8ivg.cloudfront.net/Documentos/631/12679516486/6311267951648611092023151041.pdf","https://dpmzos25m8ivg.cloudfront.net/Documentos/631/12679516486/6311267951648611092023151041.pdf")</f>
        <v>https://dpmzos25m8ivg.cloudfront.net/Documentos/631/12679516486/6311267951648611092023151041.pdf</v>
      </c>
      <c r="G5262" s="5" t="str">
        <f>HYPERLINK("https://dpmzos25m8ivg.cloudfront.net/Documentos/631/12679516486/6311267951648611092023151048.pdf","https://dpmzos25m8ivg.cloudfront.net/Documentos/631/12679516486/6311267951648611092023151048.pdf")</f>
        <v>https://dpmzos25m8ivg.cloudfront.net/Documentos/631/12679516486/6311267951648611092023151048.pdf</v>
      </c>
      <c r="H5262" s="5" t="s">
        <v>13834</v>
      </c>
    </row>
    <row r="5263" spans="1:8" x14ac:dyDescent="0.25">
      <c r="A5263" s="2" t="s">
        <v>5291</v>
      </c>
      <c r="B5263" s="3"/>
      <c r="C5263" s="3"/>
      <c r="D5263" s="3"/>
      <c r="E5263" s="5" t="str">
        <f>HYPERLINK("https://dpmzos25m8ivg.cloudfront.net/Documentos/631/12687300683/6311268730068309092023010134.pdf","https://dpmzos25m8ivg.cloudfront.net/Documentos/631/12687300683/6311268730068309092023010134.pdf")</f>
        <v>https://dpmzos25m8ivg.cloudfront.net/Documentos/631/12687300683/6311268730068309092023010134.pdf</v>
      </c>
      <c r="F5263" s="5" t="str">
        <f>HYPERLINK("https://dpmzos25m8ivg.cloudfront.net/Documentos/631/12687300683/6311268730068309092023010145.pdf","https://dpmzos25m8ivg.cloudfront.net/Documentos/631/12687300683/6311268730068309092023010145.pdf")</f>
        <v>https://dpmzos25m8ivg.cloudfront.net/Documentos/631/12687300683/6311268730068309092023010145.pdf</v>
      </c>
      <c r="G5263" s="5" t="str">
        <f>HYPERLINK("https://dpmzos25m8ivg.cloudfront.net/Documentos/631/12687300683/6311268730068309092023010159.pdf","https://dpmzos25m8ivg.cloudfront.net/Documentos/631/12687300683/6311268730068309092023010159.pdf")</f>
        <v>https://dpmzos25m8ivg.cloudfront.net/Documentos/631/12687300683/6311268730068309092023010159.pdf</v>
      </c>
      <c r="H5263" s="5" t="s">
        <v>13835</v>
      </c>
    </row>
    <row r="5264" spans="1:8" x14ac:dyDescent="0.25">
      <c r="A5264" s="2" t="s">
        <v>5292</v>
      </c>
      <c r="B5264" s="3"/>
      <c r="C5264" s="3"/>
      <c r="D5264" s="3"/>
      <c r="E5264" s="5" t="str">
        <f>HYPERLINK("https://dpmzos25m8ivg.cloudfront.net/Documentos/631/12688043471/6311268804347105092023220926.pdf","https://dpmzos25m8ivg.cloudfront.net/Documentos/631/12688043471/6311268804347105092023220926.pdf")</f>
        <v>https://dpmzos25m8ivg.cloudfront.net/Documentos/631/12688043471/6311268804347105092023220926.pdf</v>
      </c>
      <c r="F5264" s="5" t="str">
        <f>HYPERLINK("https://dpmzos25m8ivg.cloudfront.net/Documentos/631/12688043471/6311268804347105092023220952.pdf","https://dpmzos25m8ivg.cloudfront.net/Documentos/631/12688043471/6311268804347105092023220952.pdf")</f>
        <v>https://dpmzos25m8ivg.cloudfront.net/Documentos/631/12688043471/6311268804347105092023220952.pdf</v>
      </c>
      <c r="G5264" s="5" t="str">
        <f>HYPERLINK("https://dpmzos25m8ivg.cloudfront.net/Documentos/631/12688043471/6311268804347105092023221019.pdf","https://dpmzos25m8ivg.cloudfront.net/Documentos/631/12688043471/6311268804347105092023221019.pdf")</f>
        <v>https://dpmzos25m8ivg.cloudfront.net/Documentos/631/12688043471/6311268804347105092023221019.pdf</v>
      </c>
      <c r="H5264" s="5" t="s">
        <v>13836</v>
      </c>
    </row>
    <row r="5265" spans="1:8" x14ac:dyDescent="0.25">
      <c r="A5265" s="2" t="s">
        <v>5293</v>
      </c>
      <c r="B5265" s="3"/>
      <c r="C5265" s="3"/>
      <c r="D5265" s="3"/>
      <c r="E5265" s="5" t="str">
        <f>HYPERLINK("https://dpmzos25m8ivg.cloudfront.net/Documentos/631/12690336626/6311269033662607092023211720.pdf","https://dpmzos25m8ivg.cloudfront.net/Documentos/631/12690336626/6311269033662607092023211720.pdf")</f>
        <v>https://dpmzos25m8ivg.cloudfront.net/Documentos/631/12690336626/6311269033662607092023211720.pdf</v>
      </c>
      <c r="F5265" s="5" t="str">
        <f>HYPERLINK("https://dpmzos25m8ivg.cloudfront.net/Documentos/631/12690336626/6311269033662607092023211732.pdf","https://dpmzos25m8ivg.cloudfront.net/Documentos/631/12690336626/6311269033662607092023211732.pdf")</f>
        <v>https://dpmzos25m8ivg.cloudfront.net/Documentos/631/12690336626/6311269033662607092023211732.pdf</v>
      </c>
      <c r="G5265" s="5" t="str">
        <f>HYPERLINK("https://dpmzos25m8ivg.cloudfront.net/Documentos/631/12690336626/6311269033662607092023211739.pdf","https://dpmzos25m8ivg.cloudfront.net/Documentos/631/12690336626/6311269033662607092023211739.pdf")</f>
        <v>https://dpmzos25m8ivg.cloudfront.net/Documentos/631/12690336626/6311269033662607092023211739.pdf</v>
      </c>
      <c r="H5265" s="5" t="s">
        <v>13837</v>
      </c>
    </row>
    <row r="5266" spans="1:8" x14ac:dyDescent="0.25">
      <c r="A5266" s="2" t="s">
        <v>5294</v>
      </c>
      <c r="B5266" s="3"/>
      <c r="C5266" s="3"/>
      <c r="D5266" s="3"/>
      <c r="E5266" s="5" t="str">
        <f>HYPERLINK("https://dpmzos25m8ivg.cloudfront.net/Documentos/631/12695754493/6311269575449309092023111416.pdf","https://dpmzos25m8ivg.cloudfront.net/Documentos/631/12695754493/6311269575449309092023111416.pdf")</f>
        <v>https://dpmzos25m8ivg.cloudfront.net/Documentos/631/12695754493/6311269575449309092023111416.pdf</v>
      </c>
      <c r="F5266" s="5" t="str">
        <f>HYPERLINK("https://dpmzos25m8ivg.cloudfront.net/Documentos/631/12695754493/6311269575449309092023111426.pdf","https://dpmzos25m8ivg.cloudfront.net/Documentos/631/12695754493/6311269575449309092023111426.pdf")</f>
        <v>https://dpmzos25m8ivg.cloudfront.net/Documentos/631/12695754493/6311269575449309092023111426.pdf</v>
      </c>
      <c r="G5266" s="5" t="str">
        <f>HYPERLINK("https://dpmzos25m8ivg.cloudfront.net/Documentos/631/12695754493/6311269575449309092023111434.pdf","https://dpmzos25m8ivg.cloudfront.net/Documentos/631/12695754493/6311269575449309092023111434.pdf")</f>
        <v>https://dpmzos25m8ivg.cloudfront.net/Documentos/631/12695754493/6311269575449309092023111434.pdf</v>
      </c>
      <c r="H5266" s="5" t="s">
        <v>13838</v>
      </c>
    </row>
    <row r="5267" spans="1:8" x14ac:dyDescent="0.25">
      <c r="A5267" s="2" t="s">
        <v>5295</v>
      </c>
      <c r="B5267" s="3"/>
      <c r="C5267" s="3"/>
      <c r="D5267" s="3"/>
      <c r="E5267" s="5" t="str">
        <f>HYPERLINK("https://dpmzos25m8ivg.cloudfront.net/Documentos/631/12698424630/6311269842463013092023001534.jpg","https://dpmzos25m8ivg.cloudfront.net/Documentos/631/12698424630/6311269842463013092023001534.jpg")</f>
        <v>https://dpmzos25m8ivg.cloudfront.net/Documentos/631/12698424630/6311269842463013092023001534.jpg</v>
      </c>
      <c r="F5267" s="5" t="str">
        <f>HYPERLINK("https://dpmzos25m8ivg.cloudfront.net/Documentos/631/12698424630/6311269842463013092023001545.jpg","https://dpmzos25m8ivg.cloudfront.net/Documentos/631/12698424630/6311269842463013092023001545.jpg")</f>
        <v>https://dpmzos25m8ivg.cloudfront.net/Documentos/631/12698424630/6311269842463013092023001545.jpg</v>
      </c>
      <c r="G5267" s="5" t="str">
        <f>HYPERLINK("https://dpmzos25m8ivg.cloudfront.net/Documentos/631/12698424630/6311269842463013092023001555.jpg","https://dpmzos25m8ivg.cloudfront.net/Documentos/631/12698424630/6311269842463013092023001555.jpg")</f>
        <v>https://dpmzos25m8ivg.cloudfront.net/Documentos/631/12698424630/6311269842463013092023001555.jpg</v>
      </c>
      <c r="H5267" s="5" t="s">
        <v>13839</v>
      </c>
    </row>
    <row r="5268" spans="1:8" x14ac:dyDescent="0.25">
      <c r="A5268" s="2" t="s">
        <v>5296</v>
      </c>
      <c r="B5268" s="3"/>
      <c r="C5268" s="3"/>
      <c r="D5268" s="3"/>
      <c r="E5268" s="5" t="str">
        <f>HYPERLINK("https://dpmzos25m8ivg.cloudfront.net/Documentos/631/12711398714/6311271139871405092023131859.jpg","https://dpmzos25m8ivg.cloudfront.net/Documentos/631/12711398714/6311271139871405092023131859.jpg")</f>
        <v>https://dpmzos25m8ivg.cloudfront.net/Documentos/631/12711398714/6311271139871405092023131859.jpg</v>
      </c>
      <c r="F5268" s="5" t="str">
        <f>HYPERLINK("https://dpmzos25m8ivg.cloudfront.net/Documentos/631/12711398714/6311271139871405092023131911.pdf","https://dpmzos25m8ivg.cloudfront.net/Documentos/631/12711398714/6311271139871405092023131911.pdf")</f>
        <v>https://dpmzos25m8ivg.cloudfront.net/Documentos/631/12711398714/6311271139871405092023131911.pdf</v>
      </c>
      <c r="G5268" s="5" t="str">
        <f>HYPERLINK("https://dpmzos25m8ivg.cloudfront.net/Documentos/631/12711398714/6311271139871405092023131923.jpg","https://dpmzos25m8ivg.cloudfront.net/Documentos/631/12711398714/6311271139871405092023131923.jpg")</f>
        <v>https://dpmzos25m8ivg.cloudfront.net/Documentos/631/12711398714/6311271139871405092023131923.jpg</v>
      </c>
      <c r="H5268" s="5" t="s">
        <v>13840</v>
      </c>
    </row>
    <row r="5269" spans="1:8" x14ac:dyDescent="0.25">
      <c r="A5269" s="2" t="s">
        <v>5297</v>
      </c>
      <c r="B5269" s="3"/>
      <c r="C5269" s="3"/>
      <c r="D5269" s="3"/>
      <c r="E5269" s="5" t="str">
        <f>HYPERLINK("https://dpmzos25m8ivg.cloudfront.net/Documentos/631/12719087866/6311271908786611092023162743.pdf","https://dpmzos25m8ivg.cloudfront.net/Documentos/631/12719087866/6311271908786611092023162743.pdf")</f>
        <v>https://dpmzos25m8ivg.cloudfront.net/Documentos/631/12719087866/6311271908786611092023162743.pdf</v>
      </c>
      <c r="F5269" s="5" t="str">
        <f>HYPERLINK("https://dpmzos25m8ivg.cloudfront.net/Documentos/631/12719087866/6311271908786611092023162759.pdf","https://dpmzos25m8ivg.cloudfront.net/Documentos/631/12719087866/6311271908786611092023162759.pdf")</f>
        <v>https://dpmzos25m8ivg.cloudfront.net/Documentos/631/12719087866/6311271908786611092023162759.pdf</v>
      </c>
      <c r="G5269" s="5" t="str">
        <f>HYPERLINK("https://dpmzos25m8ivg.cloudfront.net/Documentos/631/12719087866/6311271908786611092023162815.pdf","https://dpmzos25m8ivg.cloudfront.net/Documentos/631/12719087866/6311271908786611092023162815.pdf")</f>
        <v>https://dpmzos25m8ivg.cloudfront.net/Documentos/631/12719087866/6311271908786611092023162815.pdf</v>
      </c>
      <c r="H5269" s="5" t="s">
        <v>13841</v>
      </c>
    </row>
    <row r="5270" spans="1:8" x14ac:dyDescent="0.25">
      <c r="A5270" s="2" t="s">
        <v>5298</v>
      </c>
      <c r="B5270" s="3"/>
      <c r="C5270" s="3"/>
      <c r="D5270" s="3"/>
      <c r="E5270" s="5" t="str">
        <f>HYPERLINK("https://dpmzos25m8ivg.cloudfront.net/Documentos/631/12719864692/6311271986469210092023131046.pdf","https://dpmzos25m8ivg.cloudfront.net/Documentos/631/12719864692/6311271986469210092023131046.pdf")</f>
        <v>https://dpmzos25m8ivg.cloudfront.net/Documentos/631/12719864692/6311271986469210092023131046.pdf</v>
      </c>
      <c r="F5270" s="5" t="str">
        <f>HYPERLINK("https://dpmzos25m8ivg.cloudfront.net/Documentos/631/12719864692/6311271986469210092023131059.pdf","https://dpmzos25m8ivg.cloudfront.net/Documentos/631/12719864692/6311271986469210092023131059.pdf")</f>
        <v>https://dpmzos25m8ivg.cloudfront.net/Documentos/631/12719864692/6311271986469210092023131059.pdf</v>
      </c>
      <c r="G5270" s="5" t="str">
        <f>HYPERLINK("https://dpmzos25m8ivg.cloudfront.net/Documentos/631/12719864692/6311271986469210092023131109.pdf","https://dpmzos25m8ivg.cloudfront.net/Documentos/631/12719864692/6311271986469210092023131109.pdf")</f>
        <v>https://dpmzos25m8ivg.cloudfront.net/Documentos/631/12719864692/6311271986469210092023131109.pdf</v>
      </c>
      <c r="H5270" s="5" t="s">
        <v>13842</v>
      </c>
    </row>
    <row r="5271" spans="1:8" x14ac:dyDescent="0.25">
      <c r="A5271" s="2" t="s">
        <v>5299</v>
      </c>
      <c r="B5271" s="3"/>
      <c r="C5271" s="3"/>
      <c r="D5271" s="3"/>
      <c r="E5271" s="5" t="str">
        <f>HYPERLINK("https://dpmzos25m8ivg.cloudfront.net/Documentos/631/12722930684/6311272293068411092023112253.pdf","https://dpmzos25m8ivg.cloudfront.net/Documentos/631/12722930684/6311272293068411092023112253.pdf")</f>
        <v>https://dpmzos25m8ivg.cloudfront.net/Documentos/631/12722930684/6311272293068411092023112253.pdf</v>
      </c>
      <c r="F5271" s="5" t="str">
        <f>HYPERLINK("https://dpmzos25m8ivg.cloudfront.net/Documentos/631/12722930684/6311272293068411092023112302.pdf","https://dpmzos25m8ivg.cloudfront.net/Documentos/631/12722930684/6311272293068411092023112302.pdf")</f>
        <v>https://dpmzos25m8ivg.cloudfront.net/Documentos/631/12722930684/6311272293068411092023112302.pdf</v>
      </c>
      <c r="G5271" s="5" t="str">
        <f>HYPERLINK("https://dpmzos25m8ivg.cloudfront.net/Documentos/631/12722930684/6311272293068411092023112309.pdf","https://dpmzos25m8ivg.cloudfront.net/Documentos/631/12722930684/6311272293068411092023112309.pdf")</f>
        <v>https://dpmzos25m8ivg.cloudfront.net/Documentos/631/12722930684/6311272293068411092023112309.pdf</v>
      </c>
      <c r="H5271" s="5" t="s">
        <v>13843</v>
      </c>
    </row>
    <row r="5272" spans="1:8" x14ac:dyDescent="0.25">
      <c r="A5272" s="2" t="s">
        <v>5300</v>
      </c>
      <c r="B5272" s="3"/>
      <c r="C5272" s="3"/>
      <c r="D5272" s="3"/>
      <c r="E5272" s="5" t="str">
        <f>HYPERLINK("https://dpmzos25m8ivg.cloudfront.net/Documentos/631/12723345467/6311272334546711092023162640.pdf","https://dpmzos25m8ivg.cloudfront.net/Documentos/631/12723345467/6311272334546711092023162640.pdf")</f>
        <v>https://dpmzos25m8ivg.cloudfront.net/Documentos/631/12723345467/6311272334546711092023162640.pdf</v>
      </c>
      <c r="F5272" s="5" t="str">
        <f>HYPERLINK("https://dpmzos25m8ivg.cloudfront.net/Documentos/631/12723345467/6311272334546711092023162729.pdf","https://dpmzos25m8ivg.cloudfront.net/Documentos/631/12723345467/6311272334546711092023162729.pdf")</f>
        <v>https://dpmzos25m8ivg.cloudfront.net/Documentos/631/12723345467/6311272334546711092023162729.pdf</v>
      </c>
      <c r="G5272" s="5" t="str">
        <f>HYPERLINK("https://dpmzos25m8ivg.cloudfront.net/Documentos/631/12723345467/6311272334546711092023162819.pdf","https://dpmzos25m8ivg.cloudfront.net/Documentos/631/12723345467/6311272334546711092023162819.pdf")</f>
        <v>https://dpmzos25m8ivg.cloudfront.net/Documentos/631/12723345467/6311272334546711092023162819.pdf</v>
      </c>
      <c r="H5272" s="5" t="s">
        <v>13844</v>
      </c>
    </row>
    <row r="5273" spans="1:8" x14ac:dyDescent="0.25">
      <c r="A5273" s="2" t="s">
        <v>5301</v>
      </c>
      <c r="B5273" s="3"/>
      <c r="C5273" s="3"/>
      <c r="D5273" s="3"/>
      <c r="E5273" s="5" t="str">
        <f>HYPERLINK("https://dpmzos25m8ivg.cloudfront.net/Documentos/631/12728155607/6311272815560708092023084909.pdf","https://dpmzos25m8ivg.cloudfront.net/Documentos/631/12728155607/6311272815560708092023084909.pdf")</f>
        <v>https://dpmzos25m8ivg.cloudfront.net/Documentos/631/12728155607/6311272815560708092023084909.pdf</v>
      </c>
      <c r="F5273" s="5" t="str">
        <f>HYPERLINK("https://dpmzos25m8ivg.cloudfront.net/Documentos/631/12728155607/6311272815560707092023091928.pdf","https://dpmzos25m8ivg.cloudfront.net/Documentos/631/12728155607/6311272815560707092023091928.pdf")</f>
        <v>https://dpmzos25m8ivg.cloudfront.net/Documentos/631/12728155607/6311272815560707092023091928.pdf</v>
      </c>
      <c r="G5273" s="5" t="str">
        <f>HYPERLINK("https://dpmzos25m8ivg.cloudfront.net/Documentos/631/12728155607/6311272815560707092023092239.pdf","https://dpmzos25m8ivg.cloudfront.net/Documentos/631/12728155607/6311272815560707092023092239.pdf")</f>
        <v>https://dpmzos25m8ivg.cloudfront.net/Documentos/631/12728155607/6311272815560707092023092239.pdf</v>
      </c>
      <c r="H5273" s="5" t="s">
        <v>13845</v>
      </c>
    </row>
    <row r="5274" spans="1:8" x14ac:dyDescent="0.25">
      <c r="A5274" s="2" t="s">
        <v>5302</v>
      </c>
      <c r="B5274" s="3"/>
      <c r="C5274" s="3"/>
      <c r="D5274" s="3"/>
      <c r="E5274" s="5" t="str">
        <f>HYPERLINK("https://dpmzos25m8ivg.cloudfront.net/Documentos/631/12728991790/6311272899179014092023141533.pdf","https://dpmzos25m8ivg.cloudfront.net/Documentos/631/12728991790/6311272899179014092023141533.pdf")</f>
        <v>https://dpmzos25m8ivg.cloudfront.net/Documentos/631/12728991790/6311272899179014092023141533.pdf</v>
      </c>
      <c r="F5274" s="5" t="str">
        <f>HYPERLINK("https://dpmzos25m8ivg.cloudfront.net/Documentos/631/12728991790/6311272899179014092023141541.pdf","https://dpmzos25m8ivg.cloudfront.net/Documentos/631/12728991790/6311272899179014092023141541.pdf")</f>
        <v>https://dpmzos25m8ivg.cloudfront.net/Documentos/631/12728991790/6311272899179014092023141541.pdf</v>
      </c>
      <c r="G5274" s="5" t="str">
        <f>HYPERLINK("https://dpmzos25m8ivg.cloudfront.net/Documentos/631/12728991790/6311272899179014092023141550.pdf","https://dpmzos25m8ivg.cloudfront.net/Documentos/631/12728991790/6311272899179014092023141550.pdf")</f>
        <v>https://dpmzos25m8ivg.cloudfront.net/Documentos/631/12728991790/6311272899179014092023141550.pdf</v>
      </c>
      <c r="H5274" s="5" t="s">
        <v>13846</v>
      </c>
    </row>
    <row r="5275" spans="1:8" x14ac:dyDescent="0.25">
      <c r="A5275" s="2" t="s">
        <v>5303</v>
      </c>
      <c r="B5275" s="3"/>
      <c r="C5275" s="3"/>
      <c r="D5275" s="3"/>
      <c r="E5275" s="5" t="str">
        <f>HYPERLINK("https://dpmzos25m8ivg.cloudfront.net/Documentos/631/12729208950/6311272920895011092023104514.pdf","https://dpmzos25m8ivg.cloudfront.net/Documentos/631/12729208950/6311272920895011092023104514.pdf")</f>
        <v>https://dpmzos25m8ivg.cloudfront.net/Documentos/631/12729208950/6311272920895011092023104514.pdf</v>
      </c>
      <c r="F5275" s="5" t="str">
        <f>HYPERLINK("https://dpmzos25m8ivg.cloudfront.net/Documentos/631/12729208950/6311272920895011092023104623.pdf","https://dpmzos25m8ivg.cloudfront.net/Documentos/631/12729208950/6311272920895011092023104623.pdf")</f>
        <v>https://dpmzos25m8ivg.cloudfront.net/Documentos/631/12729208950/6311272920895011092023104623.pdf</v>
      </c>
      <c r="G5275" s="5" t="str">
        <f>HYPERLINK("https://dpmzos25m8ivg.cloudfront.net/Documentos/631/12729208950/6311272920895011092023104916.pdf","https://dpmzos25m8ivg.cloudfront.net/Documentos/631/12729208950/6311272920895011092023104916.pdf")</f>
        <v>https://dpmzos25m8ivg.cloudfront.net/Documentos/631/12729208950/6311272920895011092023104916.pdf</v>
      </c>
      <c r="H5275" s="5" t="s">
        <v>13847</v>
      </c>
    </row>
    <row r="5276" spans="1:8" x14ac:dyDescent="0.25">
      <c r="A5276" s="2" t="s">
        <v>5304</v>
      </c>
      <c r="B5276" s="3"/>
      <c r="C5276" s="3"/>
      <c r="D5276" s="3"/>
      <c r="E5276" s="5" t="str">
        <f>HYPERLINK("https://dpmzos25m8ivg.cloudfront.net/Documentos/631/12747143627/6311274714362706092023174708.jpg","https://dpmzos25m8ivg.cloudfront.net/Documentos/631/12747143627/6311274714362706092023174708.jpg")</f>
        <v>https://dpmzos25m8ivg.cloudfront.net/Documentos/631/12747143627/6311274714362706092023174708.jpg</v>
      </c>
      <c r="F5276" s="5" t="str">
        <f>HYPERLINK("https://dpmzos25m8ivg.cloudfront.net/Documentos/631/12747143627/6311274714362706092023174739.jpg","https://dpmzos25m8ivg.cloudfront.net/Documentos/631/12747143627/6311274714362706092023174739.jpg")</f>
        <v>https://dpmzos25m8ivg.cloudfront.net/Documentos/631/12747143627/6311274714362706092023174739.jpg</v>
      </c>
      <c r="G5276" s="5" t="str">
        <f>HYPERLINK("https://dpmzos25m8ivg.cloudfront.net/Documentos/631/12747143627/6311274714362706092023174721.jpg","https://dpmzos25m8ivg.cloudfront.net/Documentos/631/12747143627/6311274714362706092023174721.jpg")</f>
        <v>https://dpmzos25m8ivg.cloudfront.net/Documentos/631/12747143627/6311274714362706092023174721.jpg</v>
      </c>
      <c r="H5276" s="5" t="s">
        <v>13848</v>
      </c>
    </row>
    <row r="5277" spans="1:8" x14ac:dyDescent="0.25">
      <c r="A5277" s="2" t="s">
        <v>5305</v>
      </c>
      <c r="B5277" s="3"/>
      <c r="C5277" s="3"/>
      <c r="D5277" s="3"/>
      <c r="E5277" s="5" t="str">
        <f>HYPERLINK("https://dpmzos25m8ivg.cloudfront.net/Documentos/631/12751869637/6311275186963711092023141246.pdf","https://dpmzos25m8ivg.cloudfront.net/Documentos/631/12751869637/6311275186963711092023141246.pdf")</f>
        <v>https://dpmzos25m8ivg.cloudfront.net/Documentos/631/12751869637/6311275186963711092023141246.pdf</v>
      </c>
      <c r="F5277" s="5" t="str">
        <f>HYPERLINK("https://dpmzos25m8ivg.cloudfront.net/Documentos/631/12751869637/6311275186963711092023141255.pdf","https://dpmzos25m8ivg.cloudfront.net/Documentos/631/12751869637/6311275186963711092023141255.pdf")</f>
        <v>https://dpmzos25m8ivg.cloudfront.net/Documentos/631/12751869637/6311275186963711092023141255.pdf</v>
      </c>
      <c r="G5277" s="5" t="str">
        <f>HYPERLINK("https://dpmzos25m8ivg.cloudfront.net/Documentos/631/12751869637/6311275186963711092023141303.pdf","https://dpmzos25m8ivg.cloudfront.net/Documentos/631/12751869637/6311275186963711092023141303.pdf")</f>
        <v>https://dpmzos25m8ivg.cloudfront.net/Documentos/631/12751869637/6311275186963711092023141303.pdf</v>
      </c>
      <c r="H5277" s="5" t="s">
        <v>13849</v>
      </c>
    </row>
    <row r="5278" spans="1:8" x14ac:dyDescent="0.25">
      <c r="A5278" s="2" t="s">
        <v>5306</v>
      </c>
      <c r="B5278" s="3"/>
      <c r="C5278" s="3"/>
      <c r="D5278" s="3"/>
      <c r="E5278" s="5" t="str">
        <f>HYPERLINK("https://dpmzos25m8ivg.cloudfront.net/Documentos/631/12752577478/6311275257747810092023111922.pdf","https://dpmzos25m8ivg.cloudfront.net/Documentos/631/12752577478/6311275257747810092023111922.pdf")</f>
        <v>https://dpmzos25m8ivg.cloudfront.net/Documentos/631/12752577478/6311275257747810092023111922.pdf</v>
      </c>
      <c r="F5278" s="5" t="str">
        <f>HYPERLINK("https://dpmzos25m8ivg.cloudfront.net/Documentos/631/12752577478/6311275257747810092023111944.pdf","https://dpmzos25m8ivg.cloudfront.net/Documentos/631/12752577478/6311275257747810092023111944.pdf")</f>
        <v>https://dpmzos25m8ivg.cloudfront.net/Documentos/631/12752577478/6311275257747810092023111944.pdf</v>
      </c>
      <c r="G5278" s="5" t="str">
        <f>HYPERLINK("https://dpmzos25m8ivg.cloudfront.net/Documentos/631/12752577478/6311275257747810092023112006.pdf","https://dpmzos25m8ivg.cloudfront.net/Documentos/631/12752577478/6311275257747810092023112006.pdf")</f>
        <v>https://dpmzos25m8ivg.cloudfront.net/Documentos/631/12752577478/6311275257747810092023112006.pdf</v>
      </c>
      <c r="H5278" s="5" t="s">
        <v>13850</v>
      </c>
    </row>
    <row r="5279" spans="1:8" x14ac:dyDescent="0.25">
      <c r="A5279" s="2" t="s">
        <v>5307</v>
      </c>
      <c r="B5279" s="3"/>
      <c r="C5279" s="3"/>
      <c r="D5279" s="3"/>
      <c r="E5279" s="5" t="str">
        <f>HYPERLINK("https://dpmzos25m8ivg.cloudfront.net/Documentos/631/12758709619/6311275870961905092023161302.jpeg","https://dpmzos25m8ivg.cloudfront.net/Documentos/631/12758709619/6311275870961905092023161302.jpeg")</f>
        <v>https://dpmzos25m8ivg.cloudfront.net/Documentos/631/12758709619/6311275870961905092023161302.jpeg</v>
      </c>
      <c r="F5279" s="5" t="str">
        <f>HYPERLINK("https://dpmzos25m8ivg.cloudfront.net/Documentos/631/12758709619/6311275870961905092023161309.jpeg","https://dpmzos25m8ivg.cloudfront.net/Documentos/631/12758709619/6311275870961905092023161309.jpeg")</f>
        <v>https://dpmzos25m8ivg.cloudfront.net/Documentos/631/12758709619/6311275870961905092023161309.jpeg</v>
      </c>
      <c r="G5279" s="5" t="str">
        <f>HYPERLINK("https://dpmzos25m8ivg.cloudfront.net/Documentos/631/12758709619/6311275870961905092023161317.jpeg","https://dpmzos25m8ivg.cloudfront.net/Documentos/631/12758709619/6311275870961905092023161317.jpeg")</f>
        <v>https://dpmzos25m8ivg.cloudfront.net/Documentos/631/12758709619/6311275870961905092023161317.jpeg</v>
      </c>
      <c r="H5279" s="5" t="s">
        <v>13851</v>
      </c>
    </row>
    <row r="5280" spans="1:8" x14ac:dyDescent="0.25">
      <c r="A5280" s="2" t="s">
        <v>5308</v>
      </c>
      <c r="B5280" s="3"/>
      <c r="C5280" s="3"/>
      <c r="D5280" s="3"/>
      <c r="E5280" s="5" t="str">
        <f>HYPERLINK("https://dpmzos25m8ivg.cloudfront.net/Documentos/631/12760121607/6311276012160711092023150548.jpg","https://dpmzos25m8ivg.cloudfront.net/Documentos/631/12760121607/6311276012160711092023150548.jpg")</f>
        <v>https://dpmzos25m8ivg.cloudfront.net/Documentos/631/12760121607/6311276012160711092023150548.jpg</v>
      </c>
      <c r="F5280" s="5" t="str">
        <f>HYPERLINK("https://dpmzos25m8ivg.cloudfront.net/Documentos/631/12760121607/6311276012160711092023150603.jpg","https://dpmzos25m8ivg.cloudfront.net/Documentos/631/12760121607/6311276012160711092023150603.jpg")</f>
        <v>https://dpmzos25m8ivg.cloudfront.net/Documentos/631/12760121607/6311276012160711092023150603.jpg</v>
      </c>
      <c r="G5280" s="5" t="str">
        <f>HYPERLINK("https://dpmzos25m8ivg.cloudfront.net/Documentos/631/12760121607/6311276012160711092023150615.jpg","https://dpmzos25m8ivg.cloudfront.net/Documentos/631/12760121607/6311276012160711092023150615.jpg")</f>
        <v>https://dpmzos25m8ivg.cloudfront.net/Documentos/631/12760121607/6311276012160711092023150615.jpg</v>
      </c>
      <c r="H5280" s="5" t="s">
        <v>13852</v>
      </c>
    </row>
    <row r="5281" spans="1:8" x14ac:dyDescent="0.25">
      <c r="A5281" s="2" t="s">
        <v>5309</v>
      </c>
      <c r="B5281" s="3"/>
      <c r="C5281" s="3"/>
      <c r="D5281" s="3"/>
      <c r="E5281" s="5" t="str">
        <f>HYPERLINK("https://dpmzos25m8ivg.cloudfront.net/Documentos/631/12760982602/6311276098260204092023221725.pdf","https://dpmzos25m8ivg.cloudfront.net/Documentos/631/12760982602/6311276098260204092023221725.pdf")</f>
        <v>https://dpmzos25m8ivg.cloudfront.net/Documentos/631/12760982602/6311276098260204092023221725.pdf</v>
      </c>
      <c r="F5281" s="5" t="str">
        <f>HYPERLINK("https://dpmzos25m8ivg.cloudfront.net/Documentos/631/12760982602/6311276098260204092023220824.pdf","https://dpmzos25m8ivg.cloudfront.net/Documentos/631/12760982602/6311276098260204092023220824.pdf")</f>
        <v>https://dpmzos25m8ivg.cloudfront.net/Documentos/631/12760982602/6311276098260204092023220824.pdf</v>
      </c>
      <c r="G5281" s="5" t="str">
        <f>HYPERLINK("https://dpmzos25m8ivg.cloudfront.net/Documentos/631/12760982602/6311276098260204092023211742.pdf","https://dpmzos25m8ivg.cloudfront.net/Documentos/631/12760982602/6311276098260204092023211742.pdf")</f>
        <v>https://dpmzos25m8ivg.cloudfront.net/Documentos/631/12760982602/6311276098260204092023211742.pdf</v>
      </c>
      <c r="H5281" s="5" t="s">
        <v>13853</v>
      </c>
    </row>
    <row r="5282" spans="1:8" x14ac:dyDescent="0.25">
      <c r="A5282" s="2" t="s">
        <v>5310</v>
      </c>
      <c r="B5282" s="3"/>
      <c r="C5282" s="3"/>
      <c r="D5282" s="3"/>
      <c r="E5282" s="5" t="str">
        <f>HYPERLINK("https://dpmzos25m8ivg.cloudfront.net/Documentos/631/12762864909/6311276286490911092023095004.pdf","https://dpmzos25m8ivg.cloudfront.net/Documentos/631/12762864909/6311276286490911092023095004.pdf")</f>
        <v>https://dpmzos25m8ivg.cloudfront.net/Documentos/631/12762864909/6311276286490911092023095004.pdf</v>
      </c>
      <c r="F5282" s="5" t="str">
        <f>HYPERLINK("https://dpmzos25m8ivg.cloudfront.net/Documentos/631/12762864909/6311276286490911092023095022.pdf","https://dpmzos25m8ivg.cloudfront.net/Documentos/631/12762864909/6311276286490911092023095022.pdf")</f>
        <v>https://dpmzos25m8ivg.cloudfront.net/Documentos/631/12762864909/6311276286490911092023095022.pdf</v>
      </c>
      <c r="G5282" s="5" t="str">
        <f>HYPERLINK("https://dpmzos25m8ivg.cloudfront.net/Documentos/631/12762864909/6311276286490911092023095033.pdf","https://dpmzos25m8ivg.cloudfront.net/Documentos/631/12762864909/6311276286490911092023095033.pdf")</f>
        <v>https://dpmzos25m8ivg.cloudfront.net/Documentos/631/12762864909/6311276286490911092023095033.pdf</v>
      </c>
      <c r="H5282" s="5" t="s">
        <v>13854</v>
      </c>
    </row>
    <row r="5283" spans="1:8" x14ac:dyDescent="0.25">
      <c r="A5283" s="2" t="s">
        <v>5311</v>
      </c>
      <c r="B5283" s="19" t="s">
        <v>4857</v>
      </c>
      <c r="C5283" s="3"/>
      <c r="D5283" s="3"/>
      <c r="E5283" s="5" t="str">
        <f>HYPERLINK("https://dpmzos25m8ivg.cloudfront.net/Documentos/631/12764056427/6311276405642705092023060957.pdf","https://dpmzos25m8ivg.cloudfront.net/Documentos/631/12764056427/6311276405642705092023060957.pdf")</f>
        <v>https://dpmzos25m8ivg.cloudfront.net/Documentos/631/12764056427/6311276405642705092023060957.pdf</v>
      </c>
      <c r="F5283" s="5" t="str">
        <f>HYPERLINK("https://dpmzos25m8ivg.cloudfront.net/Documentos/631/12764056427/6311276405642705092023070050.pdf","https://dpmzos25m8ivg.cloudfront.net/Documentos/631/12764056427/6311276405642705092023070050.pdf")</f>
        <v>https://dpmzos25m8ivg.cloudfront.net/Documentos/631/12764056427/6311276405642705092023070050.pdf</v>
      </c>
      <c r="G5283" s="5" t="str">
        <f>HYPERLINK("https://dpmzos25m8ivg.cloudfront.net/Documentos/631/12764056427/6311276405642705092023065114.pdf","https://dpmzos25m8ivg.cloudfront.net/Documentos/631/12764056427/6311276405642705092023065114.pdf")</f>
        <v>https://dpmzos25m8ivg.cloudfront.net/Documentos/631/12764056427/6311276405642705092023065114.pdf</v>
      </c>
      <c r="H5283" s="5" t="s">
        <v>13855</v>
      </c>
    </row>
    <row r="5284" spans="1:8" x14ac:dyDescent="0.25">
      <c r="A5284" s="2" t="s">
        <v>5312</v>
      </c>
      <c r="B5284" s="16" t="s">
        <v>5069</v>
      </c>
      <c r="C5284" s="3"/>
      <c r="D5284" s="3"/>
      <c r="E5284" s="5" t="str">
        <f>HYPERLINK("https://dpmzos25m8ivg.cloudfront.net/Documentos/631/12769288407/6311276928840711092023125131.pdf","https://dpmzos25m8ivg.cloudfront.net/Documentos/631/12769288407/6311276928840711092023125131.pdf")</f>
        <v>https://dpmzos25m8ivg.cloudfront.net/Documentos/631/12769288407/6311276928840711092023125131.pdf</v>
      </c>
      <c r="F5284" s="5" t="str">
        <f>HYPERLINK("https://dpmzos25m8ivg.cloudfront.net/Documentos/631/12769288407/6311276928840711092023125143.pdf","https://dpmzos25m8ivg.cloudfront.net/Documentos/631/12769288407/6311276928840711092023125143.pdf")</f>
        <v>https://dpmzos25m8ivg.cloudfront.net/Documentos/631/12769288407/6311276928840711092023125143.pdf</v>
      </c>
      <c r="G5284" s="5" t="str">
        <f>HYPERLINK("https://dpmzos25m8ivg.cloudfront.net/Documentos/631/12769288407/6311276928840711092023125154.pdf","https://dpmzos25m8ivg.cloudfront.net/Documentos/631/12769288407/6311276928840711092023125154.pdf")</f>
        <v>https://dpmzos25m8ivg.cloudfront.net/Documentos/631/12769288407/6311276928840711092023125154.pdf</v>
      </c>
      <c r="H5284" s="5" t="s">
        <v>13856</v>
      </c>
    </row>
    <row r="5285" spans="1:8" x14ac:dyDescent="0.25">
      <c r="A5285" s="2" t="s">
        <v>5313</v>
      </c>
      <c r="B5285" s="3"/>
      <c r="C5285" s="3"/>
      <c r="D5285" s="3"/>
      <c r="E5285" s="5" t="str">
        <f>HYPERLINK("https://dpmzos25m8ivg.cloudfront.net/Documentos/631/12770633465/6311277063346507092023161254.jpeg","https://dpmzos25m8ivg.cloudfront.net/Documentos/631/12770633465/6311277063346507092023161254.jpeg")</f>
        <v>https://dpmzos25m8ivg.cloudfront.net/Documentos/631/12770633465/6311277063346507092023161254.jpeg</v>
      </c>
      <c r="F5285" s="5" t="str">
        <f>HYPERLINK("https://dpmzos25m8ivg.cloudfront.net/Documentos/631/12770633465/6311277063346507092023161315.jpeg","https://dpmzos25m8ivg.cloudfront.net/Documentos/631/12770633465/6311277063346507092023161315.jpeg")</f>
        <v>https://dpmzos25m8ivg.cloudfront.net/Documentos/631/12770633465/6311277063346507092023161315.jpeg</v>
      </c>
      <c r="G5285" s="5" t="str">
        <f>HYPERLINK("https://dpmzos25m8ivg.cloudfront.net/Documentos/631/12770633465/6311277063346507092023161331.jpeg","https://dpmzos25m8ivg.cloudfront.net/Documentos/631/12770633465/6311277063346507092023161331.jpeg")</f>
        <v>https://dpmzos25m8ivg.cloudfront.net/Documentos/631/12770633465/6311277063346507092023161331.jpeg</v>
      </c>
      <c r="H5285" s="5" t="s">
        <v>13857</v>
      </c>
    </row>
    <row r="5286" spans="1:8" x14ac:dyDescent="0.25">
      <c r="A5286" s="2" t="s">
        <v>5314</v>
      </c>
      <c r="B5286" s="3"/>
      <c r="C5286" s="3"/>
      <c r="D5286" s="3"/>
      <c r="E5286" s="5" t="str">
        <f>HYPERLINK("https://dpmzos25m8ivg.cloudfront.net/Documentos/631/12771070685/6311277107068510092023002257.pdf","https://dpmzos25m8ivg.cloudfront.net/Documentos/631/12771070685/6311277107068510092023002257.pdf")</f>
        <v>https://dpmzos25m8ivg.cloudfront.net/Documentos/631/12771070685/6311277107068510092023002257.pdf</v>
      </c>
      <c r="F5286" s="5" t="str">
        <f>HYPERLINK("https://dpmzos25m8ivg.cloudfront.net/Documentos/631/12771070685/6311277107068510092023002901.pdf","https://dpmzos25m8ivg.cloudfront.net/Documentos/631/12771070685/6311277107068510092023002901.pdf")</f>
        <v>https://dpmzos25m8ivg.cloudfront.net/Documentos/631/12771070685/6311277107068510092023002901.pdf</v>
      </c>
      <c r="G5286" s="5" t="str">
        <f>HYPERLINK("https://dpmzos25m8ivg.cloudfront.net/Documentos/631/12771070685/6311277107068510092023002953.pdf","https://dpmzos25m8ivg.cloudfront.net/Documentos/631/12771070685/6311277107068510092023002953.pdf")</f>
        <v>https://dpmzos25m8ivg.cloudfront.net/Documentos/631/12771070685/6311277107068510092023002953.pdf</v>
      </c>
      <c r="H5286" s="5" t="s">
        <v>13858</v>
      </c>
    </row>
    <row r="5287" spans="1:8" x14ac:dyDescent="0.25">
      <c r="A5287" s="2" t="s">
        <v>5315</v>
      </c>
      <c r="B5287" s="3"/>
      <c r="C5287" s="3"/>
      <c r="D5287" s="3"/>
      <c r="E5287" s="5" t="str">
        <f>HYPERLINK("https://dpmzos25m8ivg.cloudfront.net/Documentos/631/12773676475/6311277367647509092023003958.pdf","https://dpmzos25m8ivg.cloudfront.net/Documentos/631/12773676475/6311277367647509092023003958.pdf")</f>
        <v>https://dpmzos25m8ivg.cloudfront.net/Documentos/631/12773676475/6311277367647509092023003958.pdf</v>
      </c>
      <c r="F5287" s="5" t="str">
        <f>HYPERLINK("https://dpmzos25m8ivg.cloudfront.net/Documentos/631/12773676475/6311277367647509092023004015.pdf","https://dpmzos25m8ivg.cloudfront.net/Documentos/631/12773676475/6311277367647509092023004015.pdf")</f>
        <v>https://dpmzos25m8ivg.cloudfront.net/Documentos/631/12773676475/6311277367647509092023004015.pdf</v>
      </c>
      <c r="G5287" s="5" t="str">
        <f>HYPERLINK("https://dpmzos25m8ivg.cloudfront.net/Documentos/631/12773676475/6311277367647509092023004030.pdf","https://dpmzos25m8ivg.cloudfront.net/Documentos/631/12773676475/6311277367647509092023004030.pdf")</f>
        <v>https://dpmzos25m8ivg.cloudfront.net/Documentos/631/12773676475/6311277367647509092023004030.pdf</v>
      </c>
      <c r="H5287" s="5" t="s">
        <v>13859</v>
      </c>
    </row>
    <row r="5288" spans="1:8" x14ac:dyDescent="0.25">
      <c r="A5288" s="2" t="s">
        <v>5316</v>
      </c>
      <c r="B5288" s="3"/>
      <c r="C5288" s="3"/>
      <c r="D5288" s="3"/>
      <c r="E5288" s="5" t="str">
        <f>HYPERLINK("https://dpmzos25m8ivg.cloudfront.net/Documentos/631/12776859406/6311277685940614092023134822.jpg","https://dpmzos25m8ivg.cloudfront.net/Documentos/631/12776859406/6311277685940614092023134822.jpg")</f>
        <v>https://dpmzos25m8ivg.cloudfront.net/Documentos/631/12776859406/6311277685940614092023134822.jpg</v>
      </c>
      <c r="F5288" s="5" t="str">
        <f>HYPERLINK("https://dpmzos25m8ivg.cloudfront.net/Documentos/631/12776859406/6311277685940614092023134907.jpg","https://dpmzos25m8ivg.cloudfront.net/Documentos/631/12776859406/6311277685940614092023134907.jpg")</f>
        <v>https://dpmzos25m8ivg.cloudfront.net/Documentos/631/12776859406/6311277685940614092023134907.jpg</v>
      </c>
      <c r="G5288" s="5" t="str">
        <f>HYPERLINK("https://dpmzos25m8ivg.cloudfront.net/Documentos/631/12776859406/6311277685940614092023134934.jpg","https://dpmzos25m8ivg.cloudfront.net/Documentos/631/12776859406/6311277685940614092023134934.jpg")</f>
        <v>https://dpmzos25m8ivg.cloudfront.net/Documentos/631/12776859406/6311277685940614092023134934.jpg</v>
      </c>
      <c r="H5288" s="5" t="s">
        <v>13860</v>
      </c>
    </row>
    <row r="5289" spans="1:8" x14ac:dyDescent="0.25">
      <c r="A5289" s="2" t="s">
        <v>5317</v>
      </c>
      <c r="B5289" s="3"/>
      <c r="C5289" s="3"/>
      <c r="D5289" s="3"/>
      <c r="E5289" s="5" t="str">
        <f>HYPERLINK("https://dpmzos25m8ivg.cloudfront.net/Documentos/631/12778374493/6311277837449313092023111410.pdf","https://dpmzos25m8ivg.cloudfront.net/Documentos/631/12778374493/6311277837449313092023111410.pdf")</f>
        <v>https://dpmzos25m8ivg.cloudfront.net/Documentos/631/12778374493/6311277837449313092023111410.pdf</v>
      </c>
      <c r="F5289" s="5" t="str">
        <f>HYPERLINK("https://dpmzos25m8ivg.cloudfront.net/Documentos/631/12778374493/6311277837449313092023111430.pdf","https://dpmzos25m8ivg.cloudfront.net/Documentos/631/12778374493/6311277837449313092023111430.pdf")</f>
        <v>https://dpmzos25m8ivg.cloudfront.net/Documentos/631/12778374493/6311277837449313092023111430.pdf</v>
      </c>
      <c r="G5289" s="5" t="str">
        <f>HYPERLINK("https://dpmzos25m8ivg.cloudfront.net/Documentos/631/12778374493/6311277837449313092023111442.pdf","https://dpmzos25m8ivg.cloudfront.net/Documentos/631/12778374493/6311277837449313092023111442.pdf")</f>
        <v>https://dpmzos25m8ivg.cloudfront.net/Documentos/631/12778374493/6311277837449313092023111442.pdf</v>
      </c>
      <c r="H5289" s="5" t="s">
        <v>13861</v>
      </c>
    </row>
    <row r="5290" spans="1:8" x14ac:dyDescent="0.25">
      <c r="A5290" s="2" t="s">
        <v>5318</v>
      </c>
      <c r="B5290" s="3"/>
      <c r="C5290" s="3"/>
      <c r="D5290" s="3"/>
      <c r="E5290" s="5" t="str">
        <f>HYPERLINK("https://dpmzos25m8ivg.cloudfront.net/Documentos/631/12784004430/6311278400443011092023145213.pdf","https://dpmzos25m8ivg.cloudfront.net/Documentos/631/12784004430/6311278400443011092023145213.pdf")</f>
        <v>https://dpmzos25m8ivg.cloudfront.net/Documentos/631/12784004430/6311278400443011092023145213.pdf</v>
      </c>
      <c r="F5290" s="5" t="str">
        <f>HYPERLINK("https://dpmzos25m8ivg.cloudfront.net/Documentos/631/12784004430/6311278400443011092023145229.pdf","https://dpmzos25m8ivg.cloudfront.net/Documentos/631/12784004430/6311278400443011092023145229.pdf")</f>
        <v>https://dpmzos25m8ivg.cloudfront.net/Documentos/631/12784004430/6311278400443011092023145229.pdf</v>
      </c>
      <c r="G5290" s="5" t="str">
        <f>HYPERLINK("https://dpmzos25m8ivg.cloudfront.net/Documentos/631/12784004430/6311278400443011092023145244.pdf","https://dpmzos25m8ivg.cloudfront.net/Documentos/631/12784004430/6311278400443011092023145244.pdf")</f>
        <v>https://dpmzos25m8ivg.cloudfront.net/Documentos/631/12784004430/6311278400443011092023145244.pdf</v>
      </c>
      <c r="H5290" s="5" t="s">
        <v>13862</v>
      </c>
    </row>
    <row r="5291" spans="1:8" x14ac:dyDescent="0.25">
      <c r="A5291" s="2" t="s">
        <v>5319</v>
      </c>
      <c r="B5291" s="3"/>
      <c r="C5291" s="3"/>
      <c r="D5291" s="3"/>
      <c r="E5291" s="5" t="str">
        <f>HYPERLINK("https://dpmzos25m8ivg.cloudfront.net/Documentos/631/12788028601/6311278802860107092023220559.pdf","https://dpmzos25m8ivg.cloudfront.net/Documentos/631/12788028601/6311278802860107092023220559.pdf")</f>
        <v>https://dpmzos25m8ivg.cloudfront.net/Documentos/631/12788028601/6311278802860107092023220559.pdf</v>
      </c>
      <c r="F5291" s="5" t="str">
        <f>HYPERLINK("https://dpmzos25m8ivg.cloudfront.net/Documentos/631/12788028601/6311278802860107092023221104.pdf","https://dpmzos25m8ivg.cloudfront.net/Documentos/631/12788028601/6311278802860107092023221104.pdf")</f>
        <v>https://dpmzos25m8ivg.cloudfront.net/Documentos/631/12788028601/6311278802860107092023221104.pdf</v>
      </c>
      <c r="G5291" s="5" t="str">
        <f>HYPERLINK("https://dpmzos25m8ivg.cloudfront.net/Documentos/631/12788028601/6311278802860107092023221329.pdf","https://dpmzos25m8ivg.cloudfront.net/Documentos/631/12788028601/6311278802860107092023221329.pdf")</f>
        <v>https://dpmzos25m8ivg.cloudfront.net/Documentos/631/12788028601/6311278802860107092023221329.pdf</v>
      </c>
      <c r="H5291" s="5" t="s">
        <v>13863</v>
      </c>
    </row>
    <row r="5292" spans="1:8" x14ac:dyDescent="0.25">
      <c r="A5292" s="2" t="s">
        <v>5320</v>
      </c>
      <c r="B5292" s="3"/>
      <c r="C5292" s="3"/>
      <c r="D5292" s="3"/>
      <c r="E5292" s="5" t="str">
        <f>HYPERLINK("https://dpmzos25m8ivg.cloudfront.net/Documentos/631/12797355628/6311279735562805092023152250.pdf","https://dpmzos25m8ivg.cloudfront.net/Documentos/631/12797355628/6311279735562805092023152250.pdf")</f>
        <v>https://dpmzos25m8ivg.cloudfront.net/Documentos/631/12797355628/6311279735562805092023152250.pdf</v>
      </c>
      <c r="F5292" s="5" t="str">
        <f>HYPERLINK("https://dpmzos25m8ivg.cloudfront.net/Documentos/631/12797355628/6311279735562805092023152258.pdf","https://dpmzos25m8ivg.cloudfront.net/Documentos/631/12797355628/6311279735562805092023152258.pdf")</f>
        <v>https://dpmzos25m8ivg.cloudfront.net/Documentos/631/12797355628/6311279735562805092023152258.pdf</v>
      </c>
      <c r="G5292" s="5" t="str">
        <f>HYPERLINK("https://dpmzos25m8ivg.cloudfront.net/Documentos/631/12797355628/6311279735562805092023152305.pdf","https://dpmzos25m8ivg.cloudfront.net/Documentos/631/12797355628/6311279735562805092023152305.pdf")</f>
        <v>https://dpmzos25m8ivg.cloudfront.net/Documentos/631/12797355628/6311279735562805092023152305.pdf</v>
      </c>
      <c r="H5292" s="5" t="s">
        <v>13864</v>
      </c>
    </row>
    <row r="5293" spans="1:8" x14ac:dyDescent="0.25">
      <c r="A5293" s="2" t="s">
        <v>5321</v>
      </c>
      <c r="B5293" s="3"/>
      <c r="C5293" s="3"/>
      <c r="D5293" s="3"/>
      <c r="E5293" s="5" t="str">
        <f>HYPERLINK("https://dpmzos25m8ivg.cloudfront.net/Documentos/631/12798629632/6311279862963211092023160300.pdf","https://dpmzos25m8ivg.cloudfront.net/Documentos/631/12798629632/6311279862963211092023160300.pdf")</f>
        <v>https://dpmzos25m8ivg.cloudfront.net/Documentos/631/12798629632/6311279862963211092023160300.pdf</v>
      </c>
      <c r="F5293" s="5" t="str">
        <f>HYPERLINK("https://dpmzos25m8ivg.cloudfront.net/Documentos/631/12798629632/6311279862963211092023160319.pdf","https://dpmzos25m8ivg.cloudfront.net/Documentos/631/12798629632/6311279862963211092023160319.pdf")</f>
        <v>https://dpmzos25m8ivg.cloudfront.net/Documentos/631/12798629632/6311279862963211092023160319.pdf</v>
      </c>
      <c r="G5293" s="5" t="str">
        <f>HYPERLINK("https://dpmzos25m8ivg.cloudfront.net/Documentos/631/12798629632/6311279862963211092023160333.pdf","https://dpmzos25m8ivg.cloudfront.net/Documentos/631/12798629632/6311279862963211092023160333.pdf")</f>
        <v>https://dpmzos25m8ivg.cloudfront.net/Documentos/631/12798629632/6311279862963211092023160333.pdf</v>
      </c>
      <c r="H5293" s="5" t="s">
        <v>13865</v>
      </c>
    </row>
    <row r="5294" spans="1:8" x14ac:dyDescent="0.25">
      <c r="A5294" s="2" t="s">
        <v>5322</v>
      </c>
      <c r="B5294" s="3"/>
      <c r="C5294" s="3"/>
      <c r="D5294" s="3"/>
      <c r="E5294" s="5" t="str">
        <f>HYPERLINK("https://dpmzos25m8ivg.cloudfront.net/Documentos/631/12800119632/6311280011963211092023150515.jpeg","https://dpmzos25m8ivg.cloudfront.net/Documentos/631/12800119632/6311280011963211092023150515.jpeg")</f>
        <v>https://dpmzos25m8ivg.cloudfront.net/Documentos/631/12800119632/6311280011963211092023150515.jpeg</v>
      </c>
      <c r="F5294" s="5" t="str">
        <f>HYPERLINK("https://dpmzos25m8ivg.cloudfront.net/Documentos/631/12800119632/6311280011963211092023150646.jpeg","https://dpmzos25m8ivg.cloudfront.net/Documentos/631/12800119632/6311280011963211092023150646.jpeg")</f>
        <v>https://dpmzos25m8ivg.cloudfront.net/Documentos/631/12800119632/6311280011963211092023150646.jpeg</v>
      </c>
      <c r="G5294" s="5" t="str">
        <f>HYPERLINK("https://dpmzos25m8ivg.cloudfront.net/Documentos/631/12800119632/6311280011963211092023150707.jpeg","https://dpmzos25m8ivg.cloudfront.net/Documentos/631/12800119632/6311280011963211092023150707.jpeg")</f>
        <v>https://dpmzos25m8ivg.cloudfront.net/Documentos/631/12800119632/6311280011963211092023150707.jpeg</v>
      </c>
      <c r="H5294" s="5" t="s">
        <v>13866</v>
      </c>
    </row>
    <row r="5295" spans="1:8" x14ac:dyDescent="0.25">
      <c r="A5295" s="2" t="s">
        <v>5323</v>
      </c>
      <c r="B5295" s="3"/>
      <c r="C5295" s="3"/>
      <c r="D5295" s="3"/>
      <c r="E5295" s="5" t="str">
        <f>HYPERLINK("https://dpmzos25m8ivg.cloudfront.net/Documentos/631/12801319775/6311280131977509092023103901.pdf","https://dpmzos25m8ivg.cloudfront.net/Documentos/631/12801319775/6311280131977509092023103901.pdf")</f>
        <v>https://dpmzos25m8ivg.cloudfront.net/Documentos/631/12801319775/6311280131977509092023103901.pdf</v>
      </c>
      <c r="F5295" s="5" t="str">
        <f>HYPERLINK("https://dpmzos25m8ivg.cloudfront.net/Documentos/631/12801319775/6311280131977509092023103917.pdf","https://dpmzos25m8ivg.cloudfront.net/Documentos/631/12801319775/6311280131977509092023103917.pdf")</f>
        <v>https://dpmzos25m8ivg.cloudfront.net/Documentos/631/12801319775/6311280131977509092023103917.pdf</v>
      </c>
      <c r="G5295" s="5" t="str">
        <f>HYPERLINK("https://dpmzos25m8ivg.cloudfront.net/Documentos/631/12801319775/6311280131977509092023103939.pdf","https://dpmzos25m8ivg.cloudfront.net/Documentos/631/12801319775/6311280131977509092023103939.pdf")</f>
        <v>https://dpmzos25m8ivg.cloudfront.net/Documentos/631/12801319775/6311280131977509092023103939.pdf</v>
      </c>
      <c r="H5295" s="5" t="s">
        <v>13867</v>
      </c>
    </row>
    <row r="5296" spans="1:8" x14ac:dyDescent="0.25">
      <c r="A5296" s="2" t="s">
        <v>5324</v>
      </c>
      <c r="B5296" s="16" t="s">
        <v>2358</v>
      </c>
      <c r="C5296" s="3"/>
      <c r="D5296" s="3"/>
      <c r="E5296" s="5" t="str">
        <f>HYPERLINK("https://dpmzos25m8ivg.cloudfront.net/Documentos/631/12802106996/6311280210699605092023084434.pdf","https://dpmzos25m8ivg.cloudfront.net/Documentos/631/12802106996/6311280210699605092023084434.pdf")</f>
        <v>https://dpmzos25m8ivg.cloudfront.net/Documentos/631/12802106996/6311280210699605092023084434.pdf</v>
      </c>
      <c r="F5296" s="5" t="str">
        <f>HYPERLINK("https://dpmzos25m8ivg.cloudfront.net/Documentos/631/12802106996/6311280210699605092023084444.pdf","https://dpmzos25m8ivg.cloudfront.net/Documentos/631/12802106996/6311280210699605092023084444.pdf")</f>
        <v>https://dpmzos25m8ivg.cloudfront.net/Documentos/631/12802106996/6311280210699605092023084444.pdf</v>
      </c>
      <c r="G5296" s="5" t="str">
        <f>HYPERLINK("https://dpmzos25m8ivg.cloudfront.net/Documentos/631/12802106996/6311280210699605092023084455.pdf","https://dpmzos25m8ivg.cloudfront.net/Documentos/631/12802106996/6311280210699605092023084455.pdf")</f>
        <v>https://dpmzos25m8ivg.cloudfront.net/Documentos/631/12802106996/6311280210699605092023084455.pdf</v>
      </c>
      <c r="H5296" s="5" t="s">
        <v>13868</v>
      </c>
    </row>
    <row r="5297" spans="1:8" x14ac:dyDescent="0.25">
      <c r="A5297" s="2" t="s">
        <v>5325</v>
      </c>
      <c r="B5297" s="16" t="s">
        <v>5069</v>
      </c>
      <c r="C5297" s="3"/>
      <c r="D5297" s="3"/>
      <c r="E5297" s="5" t="str">
        <f>HYPERLINK("https://dpmzos25m8ivg.cloudfront.net/Documentos/631/12805999797/6311280599979710092023223717.pdf","https://dpmzos25m8ivg.cloudfront.net/Documentos/631/12805999797/6311280599979710092023223717.pdf")</f>
        <v>https://dpmzos25m8ivg.cloudfront.net/Documentos/631/12805999797/6311280599979710092023223717.pdf</v>
      </c>
      <c r="F5297" s="5" t="str">
        <f>HYPERLINK("https://dpmzos25m8ivg.cloudfront.net/Documentos/631/12805999797/6311280599979710092023223731.pdf","https://dpmzos25m8ivg.cloudfront.net/Documentos/631/12805999797/6311280599979710092023223731.pdf")</f>
        <v>https://dpmzos25m8ivg.cloudfront.net/Documentos/631/12805999797/6311280599979710092023223731.pdf</v>
      </c>
      <c r="G5297" s="5" t="str">
        <f>HYPERLINK("https://dpmzos25m8ivg.cloudfront.net/Documentos/631/12805999797/6311280599979710092023223747.pdf","https://dpmzos25m8ivg.cloudfront.net/Documentos/631/12805999797/6311280599979710092023223747.pdf")</f>
        <v>https://dpmzos25m8ivg.cloudfront.net/Documentos/631/12805999797/6311280599979710092023223747.pdf</v>
      </c>
      <c r="H5297" s="5" t="s">
        <v>13869</v>
      </c>
    </row>
    <row r="5298" spans="1:8" x14ac:dyDescent="0.25">
      <c r="A5298" s="2" t="s">
        <v>5326</v>
      </c>
      <c r="B5298" s="3"/>
      <c r="C5298" s="3"/>
      <c r="D5298" s="3"/>
      <c r="E5298" s="5" t="str">
        <f>HYPERLINK("https://dpmzos25m8ivg.cloudfront.net/Documentos/631/12806020743/6311280602074314092023163252.jpeg","https://dpmzos25m8ivg.cloudfront.net/Documentos/631/12806020743/6311280602074314092023163252.jpeg")</f>
        <v>https://dpmzos25m8ivg.cloudfront.net/Documentos/631/12806020743/6311280602074314092023163252.jpeg</v>
      </c>
      <c r="F5298" s="5" t="str">
        <f>HYPERLINK("https://dpmzos25m8ivg.cloudfront.net/Documentos/631/12806020743/6311280602074314092023163310.jpeg","https://dpmzos25m8ivg.cloudfront.net/Documentos/631/12806020743/6311280602074314092023163310.jpeg")</f>
        <v>https://dpmzos25m8ivg.cloudfront.net/Documentos/631/12806020743/6311280602074314092023163310.jpeg</v>
      </c>
      <c r="G5298" s="5" t="str">
        <f>HYPERLINK("https://dpmzos25m8ivg.cloudfront.net/Documentos/631/12806020743/6311280602074314092023163421.jpeg","https://dpmzos25m8ivg.cloudfront.net/Documentos/631/12806020743/6311280602074314092023163421.jpeg")</f>
        <v>https://dpmzos25m8ivg.cloudfront.net/Documentos/631/12806020743/6311280602074314092023163421.jpeg</v>
      </c>
      <c r="H5298" s="5" t="s">
        <v>13870</v>
      </c>
    </row>
    <row r="5299" spans="1:8" x14ac:dyDescent="0.25">
      <c r="A5299" s="2" t="s">
        <v>5327</v>
      </c>
      <c r="B5299" s="16" t="s">
        <v>5069</v>
      </c>
      <c r="C5299" s="3"/>
      <c r="D5299" s="3"/>
      <c r="E5299" s="5" t="str">
        <f>HYPERLINK("https://dpmzos25m8ivg.cloudfront.net/Documentos/631/12812231823/6311281223182306092023100946.jpg","https://dpmzos25m8ivg.cloudfront.net/Documentos/631/12812231823/6311281223182306092023100946.jpg")</f>
        <v>https://dpmzos25m8ivg.cloudfront.net/Documentos/631/12812231823/6311281223182306092023100946.jpg</v>
      </c>
      <c r="F5299" s="5" t="str">
        <f>HYPERLINK("https://dpmzos25m8ivg.cloudfront.net/Documentos/631/12812231823/6311281223182306092023101000.jpg","https://dpmzos25m8ivg.cloudfront.net/Documentos/631/12812231823/6311281223182306092023101000.jpg")</f>
        <v>https://dpmzos25m8ivg.cloudfront.net/Documentos/631/12812231823/6311281223182306092023101000.jpg</v>
      </c>
      <c r="G5299" s="5" t="str">
        <f>HYPERLINK("https://dpmzos25m8ivg.cloudfront.net/Documentos/631/12812231823/6311281223182306092023101012.jpg","https://dpmzos25m8ivg.cloudfront.net/Documentos/631/12812231823/6311281223182306092023101012.jpg")</f>
        <v>https://dpmzos25m8ivg.cloudfront.net/Documentos/631/12812231823/6311281223182306092023101012.jpg</v>
      </c>
      <c r="H5299" s="5" t="s">
        <v>13871</v>
      </c>
    </row>
    <row r="5300" spans="1:8" x14ac:dyDescent="0.25">
      <c r="A5300" s="2" t="s">
        <v>5328</v>
      </c>
      <c r="B5300" s="3"/>
      <c r="C5300" s="3"/>
      <c r="D5300" s="3"/>
      <c r="E5300" s="5" t="str">
        <f>HYPERLINK("https://dpmzos25m8ivg.cloudfront.net/Documentos/631/12815363690/6311281536369005092023084419.pdf","https://dpmzos25m8ivg.cloudfront.net/Documentos/631/12815363690/6311281536369005092023084419.pdf")</f>
        <v>https://dpmzos25m8ivg.cloudfront.net/Documentos/631/12815363690/6311281536369005092023084419.pdf</v>
      </c>
      <c r="F5300" s="5" t="str">
        <f>HYPERLINK("https://dpmzos25m8ivg.cloudfront.net/Documentos/631/12815363690/6311281536369005092023084433.pdf","https://dpmzos25m8ivg.cloudfront.net/Documentos/631/12815363690/6311281536369005092023084433.pdf")</f>
        <v>https://dpmzos25m8ivg.cloudfront.net/Documentos/631/12815363690/6311281536369005092023084433.pdf</v>
      </c>
      <c r="G5300" s="5" t="str">
        <f>HYPERLINK("https://dpmzos25m8ivg.cloudfront.net/Documentos/631/12815363690/6311281536369005092023084447.pdf","https://dpmzos25m8ivg.cloudfront.net/Documentos/631/12815363690/6311281536369005092023084447.pdf")</f>
        <v>https://dpmzos25m8ivg.cloudfront.net/Documentos/631/12815363690/6311281536369005092023084447.pdf</v>
      </c>
      <c r="H5300" s="5" t="s">
        <v>13872</v>
      </c>
    </row>
    <row r="5301" spans="1:8" x14ac:dyDescent="0.25">
      <c r="A5301" s="2" t="s">
        <v>5329</v>
      </c>
      <c r="B5301" s="3"/>
      <c r="C5301" s="3"/>
      <c r="D5301" s="3"/>
      <c r="E5301" s="5" t="str">
        <f>HYPERLINK("https://dpmzos25m8ivg.cloudfront.net/Documentos/631/12817895690/6311281789569006092023094233.pdf","https://dpmzos25m8ivg.cloudfront.net/Documentos/631/12817895690/6311281789569006092023094233.pdf")</f>
        <v>https://dpmzos25m8ivg.cloudfront.net/Documentos/631/12817895690/6311281789569006092023094233.pdf</v>
      </c>
      <c r="F5301" s="5" t="str">
        <f>HYPERLINK("https://dpmzos25m8ivg.cloudfront.net/Documentos/631/12817895690/6311281789569006092023094315.pdf","https://dpmzos25m8ivg.cloudfront.net/Documentos/631/12817895690/6311281789569006092023094315.pdf")</f>
        <v>https://dpmzos25m8ivg.cloudfront.net/Documentos/631/12817895690/6311281789569006092023094315.pdf</v>
      </c>
      <c r="G5301" s="5" t="str">
        <f>HYPERLINK("https://dpmzos25m8ivg.cloudfront.net/Documentos/631/12817895690/6311281789569006092023094329.pdf","https://dpmzos25m8ivg.cloudfront.net/Documentos/631/12817895690/6311281789569006092023094329.pdf")</f>
        <v>https://dpmzos25m8ivg.cloudfront.net/Documentos/631/12817895690/6311281789569006092023094329.pdf</v>
      </c>
      <c r="H5301" s="5" t="s">
        <v>13873</v>
      </c>
    </row>
    <row r="5302" spans="1:8" x14ac:dyDescent="0.25">
      <c r="A5302" s="2" t="s">
        <v>5330</v>
      </c>
      <c r="B5302" s="19" t="s">
        <v>4857</v>
      </c>
      <c r="C5302" s="3"/>
      <c r="D5302" s="3"/>
      <c r="E5302" s="5" t="str">
        <f>HYPERLINK("https://dpmzos25m8ivg.cloudfront.net/Documentos/631/12823581979/6311282358197911092023152846.pdf","https://dpmzos25m8ivg.cloudfront.net/Documentos/631/12823581979/6311282358197911092023152846.pdf")</f>
        <v>https://dpmzos25m8ivg.cloudfront.net/Documentos/631/12823581979/6311282358197911092023152846.pdf</v>
      </c>
      <c r="F5302" s="5" t="str">
        <f>HYPERLINK("https://dpmzos25m8ivg.cloudfront.net/Documentos/631/12823581979/6311282358197911092023153035.pdf","https://dpmzos25m8ivg.cloudfront.net/Documentos/631/12823581979/6311282358197911092023153035.pdf")</f>
        <v>https://dpmzos25m8ivg.cloudfront.net/Documentos/631/12823581979/6311282358197911092023153035.pdf</v>
      </c>
      <c r="G5302" s="5" t="str">
        <f>HYPERLINK("https://dpmzos25m8ivg.cloudfront.net/Documentos/631/12823581979/6311282358197911092023153048.pdf","https://dpmzos25m8ivg.cloudfront.net/Documentos/631/12823581979/6311282358197911092023153048.pdf")</f>
        <v>https://dpmzos25m8ivg.cloudfront.net/Documentos/631/12823581979/6311282358197911092023153048.pdf</v>
      </c>
      <c r="H5302" s="5" t="s">
        <v>13874</v>
      </c>
    </row>
    <row r="5303" spans="1:8" x14ac:dyDescent="0.25">
      <c r="A5303" s="2" t="s">
        <v>5331</v>
      </c>
      <c r="B5303" s="3" t="s">
        <v>23</v>
      </c>
      <c r="C5303" s="3"/>
      <c r="D5303" s="3"/>
      <c r="E5303" s="5" t="str">
        <f>HYPERLINK("https://dpmzos25m8ivg.cloudfront.net/Documentos/631/12831791642/6311283179164211092023152613.pdf","https://dpmzos25m8ivg.cloudfront.net/Documentos/631/12831791642/6311283179164211092023152613.pdf")</f>
        <v>https://dpmzos25m8ivg.cloudfront.net/Documentos/631/12831791642/6311283179164211092023152613.pdf</v>
      </c>
      <c r="F5303" s="5" t="str">
        <f>HYPERLINK("https://dpmzos25m8ivg.cloudfront.net/Documentos/631/12831791642/6311283179164211092023152623.pdf","https://dpmzos25m8ivg.cloudfront.net/Documentos/631/12831791642/6311283179164211092023152623.pdf")</f>
        <v>https://dpmzos25m8ivg.cloudfront.net/Documentos/631/12831791642/6311283179164211092023152623.pdf</v>
      </c>
      <c r="G5303" s="5" t="str">
        <f>HYPERLINK("https://dpmzos25m8ivg.cloudfront.net/Documentos/631/12831791642/AR27996311283179164211092023152634.pdf","https://dpmzos25m8ivg.cloudfront.net/Documentos/631/12831791642/6311283179164211092023152634.pdf")</f>
        <v>https://dpmzos25m8ivg.cloudfront.net/Documentos/631/12831791642/6311283179164211092023152634.pdf</v>
      </c>
      <c r="H5303" s="5" t="s">
        <v>13875</v>
      </c>
    </row>
    <row r="5304" spans="1:8" x14ac:dyDescent="0.25">
      <c r="A5304" s="2" t="s">
        <v>5332</v>
      </c>
      <c r="B5304" s="3"/>
      <c r="C5304" s="3"/>
      <c r="D5304" s="3"/>
      <c r="E5304" s="5" t="str">
        <f>HYPERLINK("https://dpmzos25m8ivg.cloudfront.net/Documentos/631/12839099870/6311283909987005092023112036.jpg","https://dpmzos25m8ivg.cloudfront.net/Documentos/631/12839099870/6311283909987005092023112036.jpg")</f>
        <v>https://dpmzos25m8ivg.cloudfront.net/Documentos/631/12839099870/6311283909987005092023112036.jpg</v>
      </c>
      <c r="F5304" s="5" t="str">
        <f>HYPERLINK("https://dpmzos25m8ivg.cloudfront.net/Documentos/631/12839099870/6311283909987005092023112051.jpg","https://dpmzos25m8ivg.cloudfront.net/Documentos/631/12839099870/6311283909987005092023112051.jpg")</f>
        <v>https://dpmzos25m8ivg.cloudfront.net/Documentos/631/12839099870/6311283909987005092023112051.jpg</v>
      </c>
      <c r="G5304" s="5" t="str">
        <f>HYPERLINK("https://dpmzos25m8ivg.cloudfront.net/Documentos/631/12839099870/6311283909987005092023112106.jpg","https://dpmzos25m8ivg.cloudfront.net/Documentos/631/12839099870/6311283909987005092023112106.jpg")</f>
        <v>https://dpmzos25m8ivg.cloudfront.net/Documentos/631/12839099870/6311283909987005092023112106.jpg</v>
      </c>
      <c r="H5304" s="5" t="s">
        <v>13876</v>
      </c>
    </row>
    <row r="5305" spans="1:8" x14ac:dyDescent="0.25">
      <c r="A5305" s="2" t="s">
        <v>5333</v>
      </c>
      <c r="B5305" s="3"/>
      <c r="C5305" s="3"/>
      <c r="D5305" s="3"/>
      <c r="E5305" s="5" t="str">
        <f>HYPERLINK("https://dpmzos25m8ivg.cloudfront.net/Documentos/631/12841270602/6311284127060211092023155237.jpeg","https://dpmzos25m8ivg.cloudfront.net/Documentos/631/12841270602/6311284127060211092023155237.jpeg")</f>
        <v>https://dpmzos25m8ivg.cloudfront.net/Documentos/631/12841270602/6311284127060211092023155237.jpeg</v>
      </c>
      <c r="F5305" s="5" t="str">
        <f>HYPERLINK("https://dpmzos25m8ivg.cloudfront.net/Documentos/631/12841270602/6311284127060211092023155243.jpeg","https://dpmzos25m8ivg.cloudfront.net/Documentos/631/12841270602/6311284127060211092023155243.jpeg")</f>
        <v>https://dpmzos25m8ivg.cloudfront.net/Documentos/631/12841270602/6311284127060211092023155243.jpeg</v>
      </c>
      <c r="G5305" s="5" t="str">
        <f>HYPERLINK("https://dpmzos25m8ivg.cloudfront.net/Documentos/631/12841270602/6311284127060211092023155250.jpeg","https://dpmzos25m8ivg.cloudfront.net/Documentos/631/12841270602/6311284127060211092023155250.jpeg")</f>
        <v>https://dpmzos25m8ivg.cloudfront.net/Documentos/631/12841270602/6311284127060211092023155250.jpeg</v>
      </c>
      <c r="H5305" s="5" t="s">
        <v>13877</v>
      </c>
    </row>
    <row r="5306" spans="1:8" x14ac:dyDescent="0.25">
      <c r="A5306" s="2" t="s">
        <v>5334</v>
      </c>
      <c r="B5306" s="3"/>
      <c r="C5306" s="3"/>
      <c r="D5306" s="3"/>
      <c r="E5306" s="5" t="str">
        <f>HYPERLINK("https://dpmzos25m8ivg.cloudfront.net/Documentos/631/12843719640/6311284371964006092023180543.pdf","https://dpmzos25m8ivg.cloudfront.net/Documentos/631/12843719640/6311284371964006092023180543.pdf")</f>
        <v>https://dpmzos25m8ivg.cloudfront.net/Documentos/631/12843719640/6311284371964006092023180543.pdf</v>
      </c>
      <c r="F5306" s="5" t="str">
        <f>HYPERLINK("https://dpmzos25m8ivg.cloudfront.net/Documentos/631/12843719640/6311284371964006092023180555.pdf","https://dpmzos25m8ivg.cloudfront.net/Documentos/631/12843719640/6311284371964006092023180555.pdf")</f>
        <v>https://dpmzos25m8ivg.cloudfront.net/Documentos/631/12843719640/6311284371964006092023180555.pdf</v>
      </c>
      <c r="G5306" s="5" t="str">
        <f>HYPERLINK("https://dpmzos25m8ivg.cloudfront.net/Documentos/631/12843719640/6311284371964006092023180617.pdf","https://dpmzos25m8ivg.cloudfront.net/Documentos/631/12843719640/6311284371964006092023180617.pdf")</f>
        <v>https://dpmzos25m8ivg.cloudfront.net/Documentos/631/12843719640/6311284371964006092023180617.pdf</v>
      </c>
      <c r="H5306" s="5" t="s">
        <v>13878</v>
      </c>
    </row>
    <row r="5307" spans="1:8" x14ac:dyDescent="0.25">
      <c r="A5307" s="2" t="s">
        <v>5335</v>
      </c>
      <c r="B5307" s="3"/>
      <c r="C5307" s="3"/>
      <c r="D5307" s="3"/>
      <c r="E5307" s="5" t="str">
        <f>HYPERLINK("https://dpmzos25m8ivg.cloudfront.net/Documentos/631/12848814403/6311284881440307092023231007.jpeg","https://dpmzos25m8ivg.cloudfront.net/Documentos/631/12848814403/6311284881440307092023231007.jpeg")</f>
        <v>https://dpmzos25m8ivg.cloudfront.net/Documentos/631/12848814403/6311284881440307092023231007.jpeg</v>
      </c>
      <c r="F5307" s="5" t="str">
        <f>HYPERLINK("https://dpmzos25m8ivg.cloudfront.net/Documentos/631/12848814403/6311284881440307092023231017.jpeg","https://dpmzos25m8ivg.cloudfront.net/Documentos/631/12848814403/6311284881440307092023231017.jpeg")</f>
        <v>https://dpmzos25m8ivg.cloudfront.net/Documentos/631/12848814403/6311284881440307092023231017.jpeg</v>
      </c>
      <c r="G5307" s="5" t="str">
        <f>HYPERLINK("https://dpmzos25m8ivg.cloudfront.net/Documentos/631/12848814403/6311284881440307092023231031.jpeg","https://dpmzos25m8ivg.cloudfront.net/Documentos/631/12848814403/6311284881440307092023231031.jpeg")</f>
        <v>https://dpmzos25m8ivg.cloudfront.net/Documentos/631/12848814403/6311284881440307092023231031.jpeg</v>
      </c>
      <c r="H5307" s="5" t="s">
        <v>13879</v>
      </c>
    </row>
    <row r="5308" spans="1:8" x14ac:dyDescent="0.25">
      <c r="A5308" s="2" t="s">
        <v>5336</v>
      </c>
      <c r="B5308" s="3"/>
      <c r="C5308" s="3"/>
      <c r="D5308" s="3"/>
      <c r="E5308" s="5" t="str">
        <f>HYPERLINK("https://dpmzos25m8ivg.cloudfront.net/Documentos/631/12859521461/6311285952146114092023152825.pdf","https://dpmzos25m8ivg.cloudfront.net/Documentos/631/12859521461/6311285952146114092023152825.pdf")</f>
        <v>https://dpmzos25m8ivg.cloudfront.net/Documentos/631/12859521461/6311285952146114092023152825.pdf</v>
      </c>
      <c r="F5308" s="5" t="str">
        <f>HYPERLINK("https://dpmzos25m8ivg.cloudfront.net/Documentos/631/12859521461/6311285952146114092023152857.pdf","https://dpmzos25m8ivg.cloudfront.net/Documentos/631/12859521461/6311285952146114092023152857.pdf")</f>
        <v>https://dpmzos25m8ivg.cloudfront.net/Documentos/631/12859521461/6311285952146114092023152857.pdf</v>
      </c>
      <c r="G5308" s="5" t="str">
        <f>HYPERLINK("https://dpmzos25m8ivg.cloudfront.net/Documentos/631/12859521461/6311285952146114092023152953.pdf","https://dpmzos25m8ivg.cloudfront.net/Documentos/631/12859521461/6311285952146114092023152953.pdf")</f>
        <v>https://dpmzos25m8ivg.cloudfront.net/Documentos/631/12859521461/6311285952146114092023152953.pdf</v>
      </c>
      <c r="H5308" s="5" t="s">
        <v>13880</v>
      </c>
    </row>
    <row r="5309" spans="1:8" x14ac:dyDescent="0.25">
      <c r="A5309" s="2" t="s">
        <v>5337</v>
      </c>
      <c r="B5309" s="16" t="s">
        <v>2358</v>
      </c>
      <c r="C5309" s="3"/>
      <c r="D5309" s="3"/>
      <c r="E5309" s="5" t="str">
        <f>HYPERLINK("https://dpmzos25m8ivg.cloudfront.net/Documentos/631/12861637730/6311286163773011092023154656.jpg","https://dpmzos25m8ivg.cloudfront.net/Documentos/631/12861637730/6311286163773011092023154656.jpg")</f>
        <v>https://dpmzos25m8ivg.cloudfront.net/Documentos/631/12861637730/6311286163773011092023154656.jpg</v>
      </c>
      <c r="F5309" s="5" t="str">
        <f>HYPERLINK("https://dpmzos25m8ivg.cloudfront.net/Documentos/631/12861637730/6311286163773011092023154716.jpg","https://dpmzos25m8ivg.cloudfront.net/Documentos/631/12861637730/6311286163773011092023154716.jpg")</f>
        <v>https://dpmzos25m8ivg.cloudfront.net/Documentos/631/12861637730/6311286163773011092023154716.jpg</v>
      </c>
      <c r="G5309" s="5" t="str">
        <f>HYPERLINK("https://dpmzos25m8ivg.cloudfront.net/Documentos/631/12861637730/6311286163773011092023154732.jpg","https://dpmzos25m8ivg.cloudfront.net/Documentos/631/12861637730/6311286163773011092023154732.jpg")</f>
        <v>https://dpmzos25m8ivg.cloudfront.net/Documentos/631/12861637730/6311286163773011092023154732.jpg</v>
      </c>
      <c r="H5309" s="5" t="s">
        <v>13881</v>
      </c>
    </row>
    <row r="5310" spans="1:8" x14ac:dyDescent="0.25">
      <c r="A5310" s="2" t="s">
        <v>5338</v>
      </c>
      <c r="B5310" s="3"/>
      <c r="C5310" s="3"/>
      <c r="D5310" s="3"/>
      <c r="E5310" s="5" t="str">
        <f>HYPERLINK("https://dpmzos25m8ivg.cloudfront.net/Documentos/631/12862216763/6311286221676313092023232723.pdf","https://dpmzos25m8ivg.cloudfront.net/Documentos/631/12862216763/6311286221676313092023232723.pdf")</f>
        <v>https://dpmzos25m8ivg.cloudfront.net/Documentos/631/12862216763/6311286221676313092023232723.pdf</v>
      </c>
      <c r="F5310" s="5" t="str">
        <f>HYPERLINK("https://dpmzos25m8ivg.cloudfront.net/Documentos/631/12862216763/6311286221676313092023232730.pdf","https://dpmzos25m8ivg.cloudfront.net/Documentos/631/12862216763/6311286221676313092023232730.pdf")</f>
        <v>https://dpmzos25m8ivg.cloudfront.net/Documentos/631/12862216763/6311286221676313092023232730.pdf</v>
      </c>
      <c r="G5310" s="5" t="str">
        <f>HYPERLINK("https://dpmzos25m8ivg.cloudfront.net/Documentos/631/12862216763/6311286221676313092023232736.pdf","https://dpmzos25m8ivg.cloudfront.net/Documentos/631/12862216763/6311286221676313092023232736.pdf")</f>
        <v>https://dpmzos25m8ivg.cloudfront.net/Documentos/631/12862216763/6311286221676313092023232736.pdf</v>
      </c>
      <c r="H5310" s="5" t="s">
        <v>13882</v>
      </c>
    </row>
    <row r="5311" spans="1:8" x14ac:dyDescent="0.25">
      <c r="A5311" s="2" t="s">
        <v>5339</v>
      </c>
      <c r="B5311" s="3"/>
      <c r="C5311" s="3"/>
      <c r="D5311" s="3"/>
      <c r="E5311" s="5" t="str">
        <f>HYPERLINK("https://dpmzos25m8ivg.cloudfront.net/Documentos/631/12863702726/6311286370272614092023143749.pdf","https://dpmzos25m8ivg.cloudfront.net/Documentos/631/12863702726/6311286370272614092023143749.pdf")</f>
        <v>https://dpmzos25m8ivg.cloudfront.net/Documentos/631/12863702726/6311286370272614092023143749.pdf</v>
      </c>
      <c r="F5311" s="5" t="str">
        <f>HYPERLINK("https://dpmzos25m8ivg.cloudfront.net/Documentos/631/12863702726/6311286370272614092023143857.pdf","https://dpmzos25m8ivg.cloudfront.net/Documentos/631/12863702726/6311286370272614092023143857.pdf")</f>
        <v>https://dpmzos25m8ivg.cloudfront.net/Documentos/631/12863702726/6311286370272614092023143857.pdf</v>
      </c>
      <c r="G5311" s="5" t="str">
        <f>HYPERLINK("https://dpmzos25m8ivg.cloudfront.net/Documentos/631/12863702726/6311286370272614092023143917.pdf","https://dpmzos25m8ivg.cloudfront.net/Documentos/631/12863702726/6311286370272614092023143917.pdf")</f>
        <v>https://dpmzos25m8ivg.cloudfront.net/Documentos/631/12863702726/6311286370272614092023143917.pdf</v>
      </c>
      <c r="H5311" s="5" t="s">
        <v>13883</v>
      </c>
    </row>
    <row r="5312" spans="1:8" x14ac:dyDescent="0.25">
      <c r="A5312" s="2" t="s">
        <v>5340</v>
      </c>
      <c r="B5312" s="3"/>
      <c r="C5312" s="3"/>
      <c r="D5312" s="3"/>
      <c r="E5312" s="5" t="str">
        <f>HYPERLINK("https://dpmzos25m8ivg.cloudfront.net/Documentos/631/12868606440/6311286860644011092023124736.jpg","https://dpmzos25m8ivg.cloudfront.net/Documentos/631/12868606440/6311286860644011092023124736.jpg")</f>
        <v>https://dpmzos25m8ivg.cloudfront.net/Documentos/631/12868606440/6311286860644011092023124736.jpg</v>
      </c>
      <c r="F5312" s="5" t="str">
        <f>HYPERLINK("https://dpmzos25m8ivg.cloudfront.net/Documentos/631/12868606440/6311286860644011092023124750.jpg","https://dpmzos25m8ivg.cloudfront.net/Documentos/631/12868606440/6311286860644011092023124750.jpg")</f>
        <v>https://dpmzos25m8ivg.cloudfront.net/Documentos/631/12868606440/6311286860644011092023124750.jpg</v>
      </c>
      <c r="G5312" s="5" t="str">
        <f>HYPERLINK("https://dpmzos25m8ivg.cloudfront.net/Documentos/631/12868606440/6311286860644011092023124802.jpg","https://dpmzos25m8ivg.cloudfront.net/Documentos/631/12868606440/6311286860644011092023124802.jpg")</f>
        <v>https://dpmzos25m8ivg.cloudfront.net/Documentos/631/12868606440/6311286860644011092023124802.jpg</v>
      </c>
      <c r="H5312" s="5" t="s">
        <v>13884</v>
      </c>
    </row>
    <row r="5313" spans="1:8" x14ac:dyDescent="0.25">
      <c r="A5313" s="2" t="s">
        <v>5341</v>
      </c>
      <c r="B5313" s="3"/>
      <c r="C5313" s="3"/>
      <c r="D5313" s="3"/>
      <c r="E5313" s="5" t="str">
        <f>HYPERLINK("https://dpmzos25m8ivg.cloudfront.net/Documentos/631/12870748710/6311287074871008092023173625.pdf","https://dpmzos25m8ivg.cloudfront.net/Documentos/631/12870748710/6311287074871008092023173625.pdf")</f>
        <v>https://dpmzos25m8ivg.cloudfront.net/Documentos/631/12870748710/6311287074871008092023173625.pdf</v>
      </c>
      <c r="F5313" s="5" t="str">
        <f>HYPERLINK("https://dpmzos25m8ivg.cloudfront.net/Documentos/631/12870748710/6311287074871008092023173639.pdf","https://dpmzos25m8ivg.cloudfront.net/Documentos/631/12870748710/6311287074871008092023173639.pdf")</f>
        <v>https://dpmzos25m8ivg.cloudfront.net/Documentos/631/12870748710/6311287074871008092023173639.pdf</v>
      </c>
      <c r="G5313" s="5" t="str">
        <f>HYPERLINK("https://dpmzos25m8ivg.cloudfront.net/Documentos/631/12870748710/6311287074871008092023173653.pdf","https://dpmzos25m8ivg.cloudfront.net/Documentos/631/12870748710/6311287074871008092023173653.pdf")</f>
        <v>https://dpmzos25m8ivg.cloudfront.net/Documentos/631/12870748710/6311287074871008092023173653.pdf</v>
      </c>
      <c r="H5313" s="5" t="s">
        <v>13885</v>
      </c>
    </row>
    <row r="5314" spans="1:8" x14ac:dyDescent="0.25">
      <c r="A5314" s="2" t="s">
        <v>5342</v>
      </c>
      <c r="B5314" s="3"/>
      <c r="C5314" s="3"/>
      <c r="D5314" s="3"/>
      <c r="E5314" s="5" t="str">
        <f>HYPERLINK("https://dpmzos25m8ivg.cloudfront.net/Documentos/631/12872785663/6311287278566309092023131728.jpg","https://dpmzos25m8ivg.cloudfront.net/Documentos/631/12872785663/6311287278566309092023131728.jpg")</f>
        <v>https://dpmzos25m8ivg.cloudfront.net/Documentos/631/12872785663/6311287278566309092023131728.jpg</v>
      </c>
      <c r="F5314" s="5" t="str">
        <f>HYPERLINK("https://dpmzos25m8ivg.cloudfront.net/Documentos/631/12872785663/6311287278566309092023131739.jpg","https://dpmzos25m8ivg.cloudfront.net/Documentos/631/12872785663/6311287278566309092023131739.jpg")</f>
        <v>https://dpmzos25m8ivg.cloudfront.net/Documentos/631/12872785663/6311287278566309092023131739.jpg</v>
      </c>
      <c r="G5314" s="5" t="str">
        <f>HYPERLINK("https://dpmzos25m8ivg.cloudfront.net/Documentos/631/12872785663/6311287278566309092023131752.jpg","https://dpmzos25m8ivg.cloudfront.net/Documentos/631/12872785663/6311287278566309092023131752.jpg")</f>
        <v>https://dpmzos25m8ivg.cloudfront.net/Documentos/631/12872785663/6311287278566309092023131752.jpg</v>
      </c>
      <c r="H5314" s="5" t="s">
        <v>13886</v>
      </c>
    </row>
    <row r="5315" spans="1:8" x14ac:dyDescent="0.25">
      <c r="A5315" s="2" t="s">
        <v>5343</v>
      </c>
      <c r="B5315" s="3"/>
      <c r="C5315" s="3"/>
      <c r="D5315" s="3"/>
      <c r="E5315" s="5" t="str">
        <f>HYPERLINK("https://dpmzos25m8ivg.cloudfront.net/Documentos/631/12878075692/6311287807569211092023093044.pdf","https://dpmzos25m8ivg.cloudfront.net/Documentos/631/12878075692/6311287807569211092023093044.pdf")</f>
        <v>https://dpmzos25m8ivg.cloudfront.net/Documentos/631/12878075692/6311287807569211092023093044.pdf</v>
      </c>
      <c r="F5315" s="5" t="str">
        <f>HYPERLINK("https://dpmzos25m8ivg.cloudfront.net/Documentos/631/12878075692/6311287807569211092023093115.pdf","https://dpmzos25m8ivg.cloudfront.net/Documentos/631/12878075692/6311287807569211092023093115.pdf")</f>
        <v>https://dpmzos25m8ivg.cloudfront.net/Documentos/631/12878075692/6311287807569211092023093115.pdf</v>
      </c>
      <c r="G5315" s="5" t="str">
        <f>HYPERLINK("https://dpmzos25m8ivg.cloudfront.net/Documentos/631/12878075692/6311287807569211092023093132.pdf","https://dpmzos25m8ivg.cloudfront.net/Documentos/631/12878075692/6311287807569211092023093132.pdf")</f>
        <v>https://dpmzos25m8ivg.cloudfront.net/Documentos/631/12878075692/6311287807569211092023093132.pdf</v>
      </c>
      <c r="H5315" s="5" t="s">
        <v>13887</v>
      </c>
    </row>
    <row r="5316" spans="1:8" x14ac:dyDescent="0.25">
      <c r="A5316" s="2" t="s">
        <v>5344</v>
      </c>
      <c r="B5316" s="3"/>
      <c r="C5316" s="3"/>
      <c r="D5316" s="3"/>
      <c r="E5316" s="5" t="str">
        <f>HYPERLINK("https://dpmzos25m8ivg.cloudfront.net/Documentos/631/12886976784/6311288697678410092023231057.jpg","https://dpmzos25m8ivg.cloudfront.net/Documentos/631/12886976784/6311288697678410092023231057.jpg")</f>
        <v>https://dpmzos25m8ivg.cloudfront.net/Documentos/631/12886976784/6311288697678410092023231057.jpg</v>
      </c>
      <c r="F5316" s="5" t="str">
        <f>HYPERLINK("https://dpmzos25m8ivg.cloudfront.net/Documentos/631/12886976784/6311288697678410092023231111.jpg","https://dpmzos25m8ivg.cloudfront.net/Documentos/631/12886976784/6311288697678410092023231111.jpg")</f>
        <v>https://dpmzos25m8ivg.cloudfront.net/Documentos/631/12886976784/6311288697678410092023231111.jpg</v>
      </c>
      <c r="G5316" s="5" t="str">
        <f>HYPERLINK("https://dpmzos25m8ivg.cloudfront.net/Documentos/631/12886976784/6311288697678410092023231126.jpg","https://dpmzos25m8ivg.cloudfront.net/Documentos/631/12886976784/6311288697678410092023231126.jpg")</f>
        <v>https://dpmzos25m8ivg.cloudfront.net/Documentos/631/12886976784/6311288697678410092023231126.jpg</v>
      </c>
      <c r="H5316" s="5" t="s">
        <v>13888</v>
      </c>
    </row>
    <row r="5317" spans="1:8" x14ac:dyDescent="0.25">
      <c r="A5317" s="2" t="s">
        <v>5345</v>
      </c>
      <c r="B5317" s="16" t="s">
        <v>5069</v>
      </c>
      <c r="C5317" s="3"/>
      <c r="D5317" s="3"/>
      <c r="E5317" s="5" t="str">
        <f>HYPERLINK("https://dpmzos25m8ivg.cloudfront.net/Documentos/631/12887177761/6311288717776111092023144624.jpg","https://dpmzos25m8ivg.cloudfront.net/Documentos/631/12887177761/6311288717776111092023144624.jpg")</f>
        <v>https://dpmzos25m8ivg.cloudfront.net/Documentos/631/12887177761/6311288717776111092023144624.jpg</v>
      </c>
      <c r="F5317" s="5" t="str">
        <f>HYPERLINK("https://dpmzos25m8ivg.cloudfront.net/Documentos/631/12887177761/6311288717776111092023144700.jpg","https://dpmzos25m8ivg.cloudfront.net/Documentos/631/12887177761/6311288717776111092023144700.jpg")</f>
        <v>https://dpmzos25m8ivg.cloudfront.net/Documentos/631/12887177761/6311288717776111092023144700.jpg</v>
      </c>
      <c r="G5317" s="5" t="str">
        <f>HYPERLINK("https://dpmzos25m8ivg.cloudfront.net/Documentos/631/12887177761/6311288717776111092023144729.jpg","https://dpmzos25m8ivg.cloudfront.net/Documentos/631/12887177761/6311288717776111092023144729.jpg")</f>
        <v>https://dpmzos25m8ivg.cloudfront.net/Documentos/631/12887177761/6311288717776111092023144729.jpg</v>
      </c>
      <c r="H5317" s="5" t="s">
        <v>13889</v>
      </c>
    </row>
    <row r="5318" spans="1:8" x14ac:dyDescent="0.25">
      <c r="A5318" s="2" t="s">
        <v>5346</v>
      </c>
      <c r="B5318" s="3"/>
      <c r="C5318" s="3"/>
      <c r="D5318" s="3"/>
      <c r="E5318" s="5" t="str">
        <f>HYPERLINK("https://dpmzos25m8ivg.cloudfront.net/Documentos/631/12889039790/6311288903979011092023144944.pdf","https://dpmzos25m8ivg.cloudfront.net/Documentos/631/12889039790/6311288903979011092023144944.pdf")</f>
        <v>https://dpmzos25m8ivg.cloudfront.net/Documentos/631/12889039790/6311288903979011092023144944.pdf</v>
      </c>
      <c r="F5318" s="5" t="str">
        <f>HYPERLINK("https://dpmzos25m8ivg.cloudfront.net/Documentos/631/12889039790/6311288903979011092023144956.pdf","https://dpmzos25m8ivg.cloudfront.net/Documentos/631/12889039790/6311288903979011092023144956.pdf")</f>
        <v>https://dpmzos25m8ivg.cloudfront.net/Documentos/631/12889039790/6311288903979011092023144956.pdf</v>
      </c>
      <c r="G5318" s="5" t="str">
        <f>HYPERLINK("https://dpmzos25m8ivg.cloudfront.net/Documentos/631/12889039790/6311288903979011092023145006.pdf","https://dpmzos25m8ivg.cloudfront.net/Documentos/631/12889039790/6311288903979011092023145006.pdf")</f>
        <v>https://dpmzos25m8ivg.cloudfront.net/Documentos/631/12889039790/6311288903979011092023145006.pdf</v>
      </c>
      <c r="H5318" s="5" t="s">
        <v>13890</v>
      </c>
    </row>
    <row r="5319" spans="1:8" x14ac:dyDescent="0.25">
      <c r="A5319" s="2" t="s">
        <v>5347</v>
      </c>
      <c r="B5319" s="16" t="s">
        <v>5069</v>
      </c>
      <c r="C5319" s="3"/>
      <c r="D5319" s="3"/>
      <c r="E5319" s="5" t="str">
        <f>HYPERLINK("https://dpmzos25m8ivg.cloudfront.net/Documentos/631/12894665644/6311289466564406092023093418.jpg","https://dpmzos25m8ivg.cloudfront.net/Documentos/631/12894665644/6311289466564406092023093418.jpg")</f>
        <v>https://dpmzos25m8ivg.cloudfront.net/Documentos/631/12894665644/6311289466564406092023093418.jpg</v>
      </c>
      <c r="F5319" s="5" t="str">
        <f>HYPERLINK("https://dpmzos25m8ivg.cloudfront.net/Documentos/631/12894665644/6311289466564406092023093436.jpg","https://dpmzos25m8ivg.cloudfront.net/Documentos/631/12894665644/6311289466564406092023093436.jpg")</f>
        <v>https://dpmzos25m8ivg.cloudfront.net/Documentos/631/12894665644/6311289466564406092023093436.jpg</v>
      </c>
      <c r="G5319" s="5" t="str">
        <f>HYPERLINK("https://dpmzos25m8ivg.cloudfront.net/Documentos/631/12894665644/6311289466564406092023093450.jpg","https://dpmzos25m8ivg.cloudfront.net/Documentos/631/12894665644/6311289466564406092023093450.jpg")</f>
        <v>https://dpmzos25m8ivg.cloudfront.net/Documentos/631/12894665644/6311289466564406092023093450.jpg</v>
      </c>
      <c r="H5319" s="5" t="s">
        <v>13891</v>
      </c>
    </row>
    <row r="5320" spans="1:8" x14ac:dyDescent="0.25">
      <c r="A5320" s="2" t="s">
        <v>5348</v>
      </c>
      <c r="B5320" s="3"/>
      <c r="C5320" s="3"/>
      <c r="D5320" s="3"/>
      <c r="E5320" s="5" t="str">
        <f>HYPERLINK("https://dpmzos25m8ivg.cloudfront.net/Documentos/631/12895454647/6311289545464705092023115618.pdf","https://dpmzos25m8ivg.cloudfront.net/Documentos/631/12895454647/6311289545464705092023115618.pdf")</f>
        <v>https://dpmzos25m8ivg.cloudfront.net/Documentos/631/12895454647/6311289545464705092023115618.pdf</v>
      </c>
      <c r="F5320" s="5" t="str">
        <f>HYPERLINK("https://dpmzos25m8ivg.cloudfront.net/Documentos/631/12895454647/6311289545464705092023115632.pdf","https://dpmzos25m8ivg.cloudfront.net/Documentos/631/12895454647/6311289545464705092023115632.pdf")</f>
        <v>https://dpmzos25m8ivg.cloudfront.net/Documentos/631/12895454647/6311289545464705092023115632.pdf</v>
      </c>
      <c r="G5320" s="5" t="str">
        <f>HYPERLINK("https://dpmzos25m8ivg.cloudfront.net/Documentos/631/12895454647/6311289545464705092023115706.pdf","https://dpmzos25m8ivg.cloudfront.net/Documentos/631/12895454647/6311289545464705092023115706.pdf")</f>
        <v>https://dpmzos25m8ivg.cloudfront.net/Documentos/631/12895454647/6311289545464705092023115706.pdf</v>
      </c>
      <c r="H5320" s="5" t="s">
        <v>13892</v>
      </c>
    </row>
    <row r="5321" spans="1:8" x14ac:dyDescent="0.25">
      <c r="A5321" s="2" t="s">
        <v>5349</v>
      </c>
      <c r="B5321" s="3"/>
      <c r="C5321" s="3"/>
      <c r="D5321" s="3"/>
      <c r="E5321" s="5" t="str">
        <f>HYPERLINK("https://dpmzos25m8ivg.cloudfront.net/Documentos/631/12896716645/6311289671664505092023173357.jpg","https://dpmzos25m8ivg.cloudfront.net/Documentos/631/12896716645/6311289671664505092023173357.jpg")</f>
        <v>https://dpmzos25m8ivg.cloudfront.net/Documentos/631/12896716645/6311289671664505092023173357.jpg</v>
      </c>
      <c r="F5321" s="5" t="str">
        <f>HYPERLINK("https://dpmzos25m8ivg.cloudfront.net/Documentos/631/12896716645/6311289671664505092023173525.jpg","https://dpmzos25m8ivg.cloudfront.net/Documentos/631/12896716645/6311289671664505092023173525.jpg")</f>
        <v>https://dpmzos25m8ivg.cloudfront.net/Documentos/631/12896716645/6311289671664505092023173525.jpg</v>
      </c>
      <c r="G5321" s="5" t="str">
        <f>HYPERLINK("https://dpmzos25m8ivg.cloudfront.net/Documentos/631/12896716645/6311289671664505092023173636.jpg","https://dpmzos25m8ivg.cloudfront.net/Documentos/631/12896716645/6311289671664505092023173636.jpg")</f>
        <v>https://dpmzos25m8ivg.cloudfront.net/Documentos/631/12896716645/6311289671664505092023173636.jpg</v>
      </c>
      <c r="H5321" s="5" t="s">
        <v>13893</v>
      </c>
    </row>
    <row r="5322" spans="1:8" x14ac:dyDescent="0.25">
      <c r="A5322" s="2" t="s">
        <v>5350</v>
      </c>
      <c r="B5322" s="3"/>
      <c r="C5322" s="3"/>
      <c r="D5322" s="3"/>
      <c r="E5322" s="5" t="str">
        <f>HYPERLINK("https://dpmzos25m8ivg.cloudfront.net/Documentos/631/12897740647/6311289774064706092023211710.jpeg","https://dpmzos25m8ivg.cloudfront.net/Documentos/631/12897740647/6311289774064706092023211710.jpeg")</f>
        <v>https://dpmzos25m8ivg.cloudfront.net/Documentos/631/12897740647/6311289774064706092023211710.jpeg</v>
      </c>
      <c r="F5322" s="5" t="str">
        <f>HYPERLINK("https://dpmzos25m8ivg.cloudfront.net/Documentos/631/12897740647/6311289774064706092023211722.jpeg","https://dpmzos25m8ivg.cloudfront.net/Documentos/631/12897740647/6311289774064706092023211722.jpeg")</f>
        <v>https://dpmzos25m8ivg.cloudfront.net/Documentos/631/12897740647/6311289774064706092023211722.jpeg</v>
      </c>
      <c r="G5322" s="5" t="str">
        <f>HYPERLINK("https://dpmzos25m8ivg.cloudfront.net/Documentos/631/12897740647/6311289774064706092023211736.jpeg","https://dpmzos25m8ivg.cloudfront.net/Documentos/631/12897740647/6311289774064706092023211736.jpeg")</f>
        <v>https://dpmzos25m8ivg.cloudfront.net/Documentos/631/12897740647/6311289774064706092023211736.jpeg</v>
      </c>
      <c r="H5322" s="5" t="s">
        <v>13894</v>
      </c>
    </row>
    <row r="5323" spans="1:8" x14ac:dyDescent="0.25">
      <c r="A5323" s="2" t="s">
        <v>5351</v>
      </c>
      <c r="B5323" s="16" t="s">
        <v>5069</v>
      </c>
      <c r="C5323" s="3"/>
      <c r="D5323" s="3"/>
      <c r="E5323" s="5" t="str">
        <f>HYPERLINK("https://dpmzos25m8ivg.cloudfront.net/Documentos/631/12904999698/6311290499969806092023120550.pdf","https://dpmzos25m8ivg.cloudfront.net/Documentos/631/12904999698/6311290499969806092023120550.pdf")</f>
        <v>https://dpmzos25m8ivg.cloudfront.net/Documentos/631/12904999698/6311290499969806092023120550.pdf</v>
      </c>
      <c r="F5323" s="5" t="str">
        <f>HYPERLINK("https://dpmzos25m8ivg.cloudfront.net/Documentos/631/12904999698/6311290499969806092023120605.pdf","https://dpmzos25m8ivg.cloudfront.net/Documentos/631/12904999698/6311290499969806092023120605.pdf")</f>
        <v>https://dpmzos25m8ivg.cloudfront.net/Documentos/631/12904999698/6311290499969806092023120605.pdf</v>
      </c>
      <c r="G5323" s="5" t="str">
        <f>HYPERLINK("https://dpmzos25m8ivg.cloudfront.net/Documentos/631/12904999698/6311290499969806092023120618.pdf","https://dpmzos25m8ivg.cloudfront.net/Documentos/631/12904999698/6311290499969806092023120618.pdf")</f>
        <v>https://dpmzos25m8ivg.cloudfront.net/Documentos/631/12904999698/6311290499969806092023120618.pdf</v>
      </c>
      <c r="H5323" s="5" t="s">
        <v>13895</v>
      </c>
    </row>
    <row r="5324" spans="1:8" x14ac:dyDescent="0.25">
      <c r="A5324" s="2" t="s">
        <v>5352</v>
      </c>
      <c r="B5324" s="3"/>
      <c r="C5324" s="3"/>
      <c r="D5324" s="3"/>
      <c r="E5324" s="5" t="str">
        <f>HYPERLINK("https://dpmzos25m8ivg.cloudfront.net/Documentos/631/12905837810/6311290583781011092023141323.pdf","https://dpmzos25m8ivg.cloudfront.net/Documentos/631/12905837810/6311290583781011092023141323.pdf")</f>
        <v>https://dpmzos25m8ivg.cloudfront.net/Documentos/631/12905837810/6311290583781011092023141323.pdf</v>
      </c>
      <c r="F5324" s="5" t="str">
        <f>HYPERLINK("https://dpmzos25m8ivg.cloudfront.net/Documentos/631/12905837810/6311290583781011092023141341.pdf","https://dpmzos25m8ivg.cloudfront.net/Documentos/631/12905837810/6311290583781011092023141341.pdf")</f>
        <v>https://dpmzos25m8ivg.cloudfront.net/Documentos/631/12905837810/6311290583781011092023141341.pdf</v>
      </c>
      <c r="G5324" s="5" t="str">
        <f>HYPERLINK("https://dpmzos25m8ivg.cloudfront.net/Documentos/631/12905837810/6311290583781011092023141404.pdf","https://dpmzos25m8ivg.cloudfront.net/Documentos/631/12905837810/6311290583781011092023141404.pdf")</f>
        <v>https://dpmzos25m8ivg.cloudfront.net/Documentos/631/12905837810/6311290583781011092023141404.pdf</v>
      </c>
      <c r="H5324" s="5" t="s">
        <v>13896</v>
      </c>
    </row>
    <row r="5325" spans="1:8" x14ac:dyDescent="0.25">
      <c r="A5325" s="2" t="s">
        <v>5353</v>
      </c>
      <c r="B5325" s="3"/>
      <c r="C5325" s="3"/>
      <c r="D5325" s="3"/>
      <c r="E5325" s="5" t="str">
        <f>HYPERLINK("https://dpmzos25m8ivg.cloudfront.net/Documentos/631/12906826740/6311290682674011092023094009.pdf","https://dpmzos25m8ivg.cloudfront.net/Documentos/631/12906826740/6311290682674011092023094009.pdf")</f>
        <v>https://dpmzos25m8ivg.cloudfront.net/Documentos/631/12906826740/6311290682674011092023094009.pdf</v>
      </c>
      <c r="F5325" s="5" t="str">
        <f>HYPERLINK("https://dpmzos25m8ivg.cloudfront.net/Documentos/631/12906826740/6311290682674011092023094028.pdf","https://dpmzos25m8ivg.cloudfront.net/Documentos/631/12906826740/6311290682674011092023094028.pdf")</f>
        <v>https://dpmzos25m8ivg.cloudfront.net/Documentos/631/12906826740/6311290682674011092023094028.pdf</v>
      </c>
      <c r="G5325" s="5" t="str">
        <f>HYPERLINK("https://dpmzos25m8ivg.cloudfront.net/Documentos/631/12906826740/6311290682674011092023094041.pdf","https://dpmzos25m8ivg.cloudfront.net/Documentos/631/12906826740/6311290682674011092023094041.pdf")</f>
        <v>https://dpmzos25m8ivg.cloudfront.net/Documentos/631/12906826740/6311290682674011092023094041.pdf</v>
      </c>
      <c r="H5325" s="5" t="s">
        <v>13897</v>
      </c>
    </row>
    <row r="5326" spans="1:8" x14ac:dyDescent="0.25">
      <c r="A5326" s="2" t="s">
        <v>5354</v>
      </c>
      <c r="B5326" s="3"/>
      <c r="C5326" s="3"/>
      <c r="D5326" s="3"/>
      <c r="E5326" s="5" t="str">
        <f>HYPERLINK("https://dpmzos25m8ivg.cloudfront.net/Documentos/631/12907792601/6311290779260105092023101842.pdf","https://dpmzos25m8ivg.cloudfront.net/Documentos/631/12907792601/6311290779260105092023101842.pdf")</f>
        <v>https://dpmzos25m8ivg.cloudfront.net/Documentos/631/12907792601/6311290779260105092023101842.pdf</v>
      </c>
      <c r="F5326" s="5" t="str">
        <f>HYPERLINK("https://dpmzos25m8ivg.cloudfront.net/Documentos/631/12907792601/6311290779260105092023101904.pdf","https://dpmzos25m8ivg.cloudfront.net/Documentos/631/12907792601/6311290779260105092023101904.pdf")</f>
        <v>https://dpmzos25m8ivg.cloudfront.net/Documentos/631/12907792601/6311290779260105092023101904.pdf</v>
      </c>
      <c r="G5326" s="5" t="str">
        <f>HYPERLINK("https://dpmzos25m8ivg.cloudfront.net/Documentos/631/12907792601/6311290779260105092023101930.pdf","https://dpmzos25m8ivg.cloudfront.net/Documentos/631/12907792601/6311290779260105092023101930.pdf")</f>
        <v>https://dpmzos25m8ivg.cloudfront.net/Documentos/631/12907792601/6311290779260105092023101930.pdf</v>
      </c>
      <c r="H5326" s="5" t="s">
        <v>13898</v>
      </c>
    </row>
    <row r="5327" spans="1:8" x14ac:dyDescent="0.25">
      <c r="A5327" s="2" t="s">
        <v>5355</v>
      </c>
      <c r="B5327" s="3"/>
      <c r="C5327" s="3"/>
      <c r="D5327" s="3"/>
      <c r="E5327" s="5" t="str">
        <f>HYPERLINK("https://dpmzos25m8ivg.cloudfront.net/Documentos/631/12909435407/6311290943540705092023090259.pdf","https://dpmzos25m8ivg.cloudfront.net/Documentos/631/12909435407/6311290943540705092023090259.pdf")</f>
        <v>https://dpmzos25m8ivg.cloudfront.net/Documentos/631/12909435407/6311290943540705092023090259.pdf</v>
      </c>
      <c r="F5327" s="5" t="str">
        <f>HYPERLINK("https://dpmzos25m8ivg.cloudfront.net/Documentos/631/12909435407/6311290943540705092023090311.pdf","https://dpmzos25m8ivg.cloudfront.net/Documentos/631/12909435407/6311290943540705092023090311.pdf")</f>
        <v>https://dpmzos25m8ivg.cloudfront.net/Documentos/631/12909435407/6311290943540705092023090311.pdf</v>
      </c>
      <c r="G5327" s="5" t="str">
        <f>HYPERLINK("https://dpmzos25m8ivg.cloudfront.net/Documentos/631/12909435407/6311290943540705092023090356.pdf","https://dpmzos25m8ivg.cloudfront.net/Documentos/631/12909435407/6311290943540705092023090356.pdf")</f>
        <v>https://dpmzos25m8ivg.cloudfront.net/Documentos/631/12909435407/6311290943540705092023090356.pdf</v>
      </c>
      <c r="H5327" s="5" t="s">
        <v>13899</v>
      </c>
    </row>
    <row r="5328" spans="1:8" x14ac:dyDescent="0.25">
      <c r="A5328" s="2" t="s">
        <v>5356</v>
      </c>
      <c r="B5328" s="3"/>
      <c r="C5328" s="3"/>
      <c r="D5328" s="3"/>
      <c r="E5328" s="5" t="str">
        <f>HYPERLINK("https://dpmzos25m8ivg.cloudfront.net/Documentos/631/12909550699/6311290955069906092023082525.pdf","https://dpmzos25m8ivg.cloudfront.net/Documentos/631/12909550699/6311290955069906092023082525.pdf")</f>
        <v>https://dpmzos25m8ivg.cloudfront.net/Documentos/631/12909550699/6311290955069906092023082525.pdf</v>
      </c>
      <c r="F5328" s="5" t="str">
        <f>HYPERLINK("https://dpmzos25m8ivg.cloudfront.net/Documentos/631/12909550699/6311290955069906092023082539.pdf","https://dpmzos25m8ivg.cloudfront.net/Documentos/631/12909550699/6311290955069906092023082539.pdf")</f>
        <v>https://dpmzos25m8ivg.cloudfront.net/Documentos/631/12909550699/6311290955069906092023082539.pdf</v>
      </c>
      <c r="G5328" s="5" t="str">
        <f>HYPERLINK("https://dpmzos25m8ivg.cloudfront.net/Documentos/631/12909550699/6311290955069906092023082547.pdf","https://dpmzos25m8ivg.cloudfront.net/Documentos/631/12909550699/6311290955069906092023082547.pdf")</f>
        <v>https://dpmzos25m8ivg.cloudfront.net/Documentos/631/12909550699/6311290955069906092023082547.pdf</v>
      </c>
      <c r="H5328" s="5" t="s">
        <v>13900</v>
      </c>
    </row>
    <row r="5329" spans="1:8" x14ac:dyDescent="0.25">
      <c r="A5329" s="2" t="s">
        <v>5357</v>
      </c>
      <c r="B5329" s="16" t="s">
        <v>5069</v>
      </c>
      <c r="C5329" s="3"/>
      <c r="D5329" s="3"/>
      <c r="E5329" s="5" t="str">
        <f>HYPERLINK("https://dpmzos25m8ivg.cloudfront.net/Documentos/631/12910386716/6311291038671611092023165044.jpg","https://dpmzos25m8ivg.cloudfront.net/Documentos/631/12910386716/6311291038671611092023165044.jpg")</f>
        <v>https://dpmzos25m8ivg.cloudfront.net/Documentos/631/12910386716/6311291038671611092023165044.jpg</v>
      </c>
      <c r="F5329" s="5" t="str">
        <f>HYPERLINK("https://dpmzos25m8ivg.cloudfront.net/Documentos/631/12910386716/6311291038671611092023165103.jpg","https://dpmzos25m8ivg.cloudfront.net/Documentos/631/12910386716/6311291038671611092023165103.jpg")</f>
        <v>https://dpmzos25m8ivg.cloudfront.net/Documentos/631/12910386716/6311291038671611092023165103.jpg</v>
      </c>
      <c r="G5329" s="5" t="str">
        <f>HYPERLINK("https://dpmzos25m8ivg.cloudfront.net/Documentos/631/12910386716/6311291038671611092023165141.jpg","https://dpmzos25m8ivg.cloudfront.net/Documentos/631/12910386716/6311291038671611092023165141.jpg")</f>
        <v>https://dpmzos25m8ivg.cloudfront.net/Documentos/631/12910386716/6311291038671611092023165141.jpg</v>
      </c>
      <c r="H5329" s="5" t="s">
        <v>13901</v>
      </c>
    </row>
    <row r="5330" spans="1:8" x14ac:dyDescent="0.25">
      <c r="A5330" s="2" t="s">
        <v>5358</v>
      </c>
      <c r="B5330" s="3"/>
      <c r="C5330" s="3"/>
      <c r="D5330" s="3"/>
      <c r="E5330" s="5" t="str">
        <f>HYPERLINK("https://dpmzos25m8ivg.cloudfront.net/Documentos/631/12919574728/6311291957472808092023163500.jpg","https://dpmzos25m8ivg.cloudfront.net/Documentos/631/12919574728/6311291957472808092023163500.jpg")</f>
        <v>https://dpmzos25m8ivg.cloudfront.net/Documentos/631/12919574728/6311291957472808092023163500.jpg</v>
      </c>
      <c r="F5330" s="5" t="str">
        <f>HYPERLINK("https://dpmzos25m8ivg.cloudfront.net/Documentos/631/12919574728/6311291957472808092023163542.jpg","https://dpmzos25m8ivg.cloudfront.net/Documentos/631/12919574728/6311291957472808092023163542.jpg")</f>
        <v>https://dpmzos25m8ivg.cloudfront.net/Documentos/631/12919574728/6311291957472808092023163542.jpg</v>
      </c>
      <c r="G5330" s="5" t="str">
        <f>HYPERLINK("https://dpmzos25m8ivg.cloudfront.net/Documentos/631/12919574728/6311291957472808092023163609.jpg","https://dpmzos25m8ivg.cloudfront.net/Documentos/631/12919574728/6311291957472808092023163609.jpg")</f>
        <v>https://dpmzos25m8ivg.cloudfront.net/Documentos/631/12919574728/6311291957472808092023163609.jpg</v>
      </c>
      <c r="H5330" s="5" t="s">
        <v>13902</v>
      </c>
    </row>
    <row r="5331" spans="1:8" x14ac:dyDescent="0.25">
      <c r="A5331" s="2" t="s">
        <v>5359</v>
      </c>
      <c r="B5331" s="3"/>
      <c r="C5331" s="3"/>
      <c r="D5331" s="3"/>
      <c r="E5331" s="5" t="str">
        <f>HYPERLINK("https://dpmzos25m8ivg.cloudfront.net/Documentos/631/12922434656/6311292243465610092023222932.pdf","https://dpmzos25m8ivg.cloudfront.net/Documentos/631/12922434656/6311292243465610092023222932.pdf")</f>
        <v>https://dpmzos25m8ivg.cloudfront.net/Documentos/631/12922434656/6311292243465610092023222932.pdf</v>
      </c>
      <c r="F5331" s="5" t="str">
        <f>HYPERLINK("https://dpmzos25m8ivg.cloudfront.net/Documentos/631/12922434656/6311292243465610092023222944.pdf","https://dpmzos25m8ivg.cloudfront.net/Documentos/631/12922434656/6311292243465610092023222944.pdf")</f>
        <v>https://dpmzos25m8ivg.cloudfront.net/Documentos/631/12922434656/6311292243465610092023222944.pdf</v>
      </c>
      <c r="G5331" s="5" t="str">
        <f>HYPERLINK("https://dpmzos25m8ivg.cloudfront.net/Documentos/631/12922434656/6311292243465610092023222956.pdf","https://dpmzos25m8ivg.cloudfront.net/Documentos/631/12922434656/6311292243465610092023222956.pdf")</f>
        <v>https://dpmzos25m8ivg.cloudfront.net/Documentos/631/12922434656/6311292243465610092023222956.pdf</v>
      </c>
      <c r="H5331" s="5" t="s">
        <v>13903</v>
      </c>
    </row>
    <row r="5332" spans="1:8" x14ac:dyDescent="0.25">
      <c r="A5332" s="2" t="s">
        <v>5360</v>
      </c>
      <c r="B5332" s="3"/>
      <c r="C5332" s="3"/>
      <c r="D5332" s="3"/>
      <c r="E5332" s="5" t="str">
        <f>HYPERLINK("https://dpmzos25m8ivg.cloudfront.net/Documentos/631/12923394704/6311292339470405092023091213.pdf","https://dpmzos25m8ivg.cloudfront.net/Documentos/631/12923394704/6311292339470405092023091213.pdf")</f>
        <v>https://dpmzos25m8ivg.cloudfront.net/Documentos/631/12923394704/6311292339470405092023091213.pdf</v>
      </c>
      <c r="F5332" s="5" t="str">
        <f>HYPERLINK("https://dpmzos25m8ivg.cloudfront.net/Documentos/631/12923394704/6311292339470405092023091234.pdf","https://dpmzos25m8ivg.cloudfront.net/Documentos/631/12923394704/6311292339470405092023091234.pdf")</f>
        <v>https://dpmzos25m8ivg.cloudfront.net/Documentos/631/12923394704/6311292339470405092023091234.pdf</v>
      </c>
      <c r="G5332" s="5" t="str">
        <f>HYPERLINK("https://dpmzos25m8ivg.cloudfront.net/Documentos/631/12923394704/6311292339470405092023091245.pdf","https://dpmzos25m8ivg.cloudfront.net/Documentos/631/12923394704/6311292339470405092023091245.pdf")</f>
        <v>https://dpmzos25m8ivg.cloudfront.net/Documentos/631/12923394704/6311292339470405092023091245.pdf</v>
      </c>
      <c r="H5332" s="5" t="s">
        <v>13904</v>
      </c>
    </row>
    <row r="5333" spans="1:8" x14ac:dyDescent="0.25">
      <c r="A5333" s="2" t="s">
        <v>5361</v>
      </c>
      <c r="B5333" s="3"/>
      <c r="C5333" s="3"/>
      <c r="D5333" s="3"/>
      <c r="E5333" s="5" t="str">
        <f>HYPERLINK("https://dpmzos25m8ivg.cloudfront.net/Documentos/631/12927035636/6311292703563606092023143448.pdf","https://dpmzos25m8ivg.cloudfront.net/Documentos/631/12927035636/6311292703563606092023143448.pdf")</f>
        <v>https://dpmzos25m8ivg.cloudfront.net/Documentos/631/12927035636/6311292703563606092023143448.pdf</v>
      </c>
      <c r="F5333" s="5" t="str">
        <f>HYPERLINK("https://dpmzos25m8ivg.cloudfront.net/Documentos/631/12927035636/6311292703563606092023143457.pdf","https://dpmzos25m8ivg.cloudfront.net/Documentos/631/12927035636/6311292703563606092023143457.pdf")</f>
        <v>https://dpmzos25m8ivg.cloudfront.net/Documentos/631/12927035636/6311292703563606092023143457.pdf</v>
      </c>
      <c r="G5333" s="5" t="str">
        <f>HYPERLINK("https://dpmzos25m8ivg.cloudfront.net/Documentos/631/12927035636/6311292703563606092023143505.pdf","https://dpmzos25m8ivg.cloudfront.net/Documentos/631/12927035636/6311292703563606092023143505.pdf")</f>
        <v>https://dpmzos25m8ivg.cloudfront.net/Documentos/631/12927035636/6311292703563606092023143505.pdf</v>
      </c>
      <c r="H5333" s="5" t="s">
        <v>13905</v>
      </c>
    </row>
    <row r="5334" spans="1:8" x14ac:dyDescent="0.25">
      <c r="A5334" s="2" t="s">
        <v>5362</v>
      </c>
      <c r="B5334" s="3"/>
      <c r="C5334" s="3"/>
      <c r="D5334" s="3"/>
      <c r="E5334" s="5" t="str">
        <f>HYPERLINK("https://dpmzos25m8ivg.cloudfront.net/Documentos/631/12928524452/6311292852445214092023165446.jpeg","https://dpmzos25m8ivg.cloudfront.net/Documentos/631/12928524452/6311292852445214092023165446.jpeg")</f>
        <v>https://dpmzos25m8ivg.cloudfront.net/Documentos/631/12928524452/6311292852445214092023165446.jpeg</v>
      </c>
      <c r="F5334" s="5" t="str">
        <f>HYPERLINK("https://dpmzos25m8ivg.cloudfront.net/Documentos/631/12928524452/6311292852445214092023165454.jpeg","https://dpmzos25m8ivg.cloudfront.net/Documentos/631/12928524452/6311292852445214092023165454.jpeg")</f>
        <v>https://dpmzos25m8ivg.cloudfront.net/Documentos/631/12928524452/6311292852445214092023165454.jpeg</v>
      </c>
      <c r="G5334" s="5" t="str">
        <f>HYPERLINK("https://dpmzos25m8ivg.cloudfront.net/Documentos/631/12928524452/6311292852445214092023165505.jpeg","https://dpmzos25m8ivg.cloudfront.net/Documentos/631/12928524452/6311292852445214092023165505.jpeg")</f>
        <v>https://dpmzos25m8ivg.cloudfront.net/Documentos/631/12928524452/6311292852445214092023165505.jpeg</v>
      </c>
      <c r="H5334" s="5" t="s">
        <v>13906</v>
      </c>
    </row>
    <row r="5335" spans="1:8" x14ac:dyDescent="0.25">
      <c r="A5335" s="2" t="s">
        <v>5363</v>
      </c>
      <c r="B5335" s="16" t="s">
        <v>5069</v>
      </c>
      <c r="C5335" s="3"/>
      <c r="D5335" s="3"/>
      <c r="E5335" s="5" t="str">
        <f>HYPERLINK("https://dpmzos25m8ivg.cloudfront.net/Documentos/631/12928566619/6311292856661911092023160801.pdf","https://dpmzos25m8ivg.cloudfront.net/Documentos/631/12928566619/6311292856661911092023160801.pdf")</f>
        <v>https://dpmzos25m8ivg.cloudfront.net/Documentos/631/12928566619/6311292856661911092023160801.pdf</v>
      </c>
      <c r="F5335" s="5" t="str">
        <f>HYPERLINK("https://dpmzos25m8ivg.cloudfront.net/Documentos/631/12928566619/6311292856661911092023160923.pdf","https://dpmzos25m8ivg.cloudfront.net/Documentos/631/12928566619/6311292856661911092023160923.pdf")</f>
        <v>https://dpmzos25m8ivg.cloudfront.net/Documentos/631/12928566619/6311292856661911092023160923.pdf</v>
      </c>
      <c r="G5335" s="5" t="str">
        <f>HYPERLINK("https://dpmzos25m8ivg.cloudfront.net/Documentos/631/12928566619/6311292856661911092023160957.pdf","https://dpmzos25m8ivg.cloudfront.net/Documentos/631/12928566619/6311292856661911092023160957.pdf")</f>
        <v>https://dpmzos25m8ivg.cloudfront.net/Documentos/631/12928566619/6311292856661911092023160957.pdf</v>
      </c>
      <c r="H5335" s="5" t="s">
        <v>13907</v>
      </c>
    </row>
    <row r="5336" spans="1:8" x14ac:dyDescent="0.25">
      <c r="A5336" s="2" t="s">
        <v>5364</v>
      </c>
      <c r="B5336" s="3"/>
      <c r="C5336" s="3"/>
      <c r="D5336" s="3"/>
      <c r="E5336" s="5" t="str">
        <f>HYPERLINK("https://dpmzos25m8ivg.cloudfront.net/Documentos/631/12935677870/6311293567787010092023142953.pdf","https://dpmzos25m8ivg.cloudfront.net/Documentos/631/12935677870/6311293567787010092023142953.pdf")</f>
        <v>https://dpmzos25m8ivg.cloudfront.net/Documentos/631/12935677870/6311293567787010092023142953.pdf</v>
      </c>
      <c r="F5336" s="5" t="str">
        <f>HYPERLINK("https://dpmzos25m8ivg.cloudfront.net/Documentos/631/12935677870/6311293567787010092023143023.pdf","https://dpmzos25m8ivg.cloudfront.net/Documentos/631/12935677870/6311293567787010092023143023.pdf")</f>
        <v>https://dpmzos25m8ivg.cloudfront.net/Documentos/631/12935677870/6311293567787010092023143023.pdf</v>
      </c>
      <c r="G5336" s="5" t="str">
        <f>HYPERLINK("https://dpmzos25m8ivg.cloudfront.net/Documentos/631/12935677870/6311293567787010092023143039.pdf","https://dpmzos25m8ivg.cloudfront.net/Documentos/631/12935677870/6311293567787010092023143039.pdf")</f>
        <v>https://dpmzos25m8ivg.cloudfront.net/Documentos/631/12935677870/6311293567787010092023143039.pdf</v>
      </c>
      <c r="H5336" s="5" t="s">
        <v>13908</v>
      </c>
    </row>
    <row r="5337" spans="1:8" x14ac:dyDescent="0.25">
      <c r="A5337" s="2" t="s">
        <v>5365</v>
      </c>
      <c r="B5337" s="3"/>
      <c r="C5337" s="3"/>
      <c r="D5337" s="3"/>
      <c r="E5337" s="5" t="str">
        <f>HYPERLINK("https://dpmzos25m8ivg.cloudfront.net/Documentos/631/12935835450/6311293583545010092023191339.pdf","https://dpmzos25m8ivg.cloudfront.net/Documentos/631/12935835450/6311293583545010092023191339.pdf")</f>
        <v>https://dpmzos25m8ivg.cloudfront.net/Documentos/631/12935835450/6311293583545010092023191339.pdf</v>
      </c>
      <c r="F5337" s="5" t="str">
        <f>HYPERLINK("https://dpmzos25m8ivg.cloudfront.net/Documentos/631/12935835450/6311293583545010092023191404.pdf","https://dpmzos25m8ivg.cloudfront.net/Documentos/631/12935835450/6311293583545010092023191404.pdf")</f>
        <v>https://dpmzos25m8ivg.cloudfront.net/Documentos/631/12935835450/6311293583545010092023191404.pdf</v>
      </c>
      <c r="G5337" s="5" t="str">
        <f>HYPERLINK("https://dpmzos25m8ivg.cloudfront.net/Documentos/631/12935835450/6311293583545010092023191530.pdf","https://dpmzos25m8ivg.cloudfront.net/Documentos/631/12935835450/6311293583545010092023191530.pdf")</f>
        <v>https://dpmzos25m8ivg.cloudfront.net/Documentos/631/12935835450/6311293583545010092023191530.pdf</v>
      </c>
      <c r="H5337" s="5" t="s">
        <v>13909</v>
      </c>
    </row>
    <row r="5338" spans="1:8" x14ac:dyDescent="0.25">
      <c r="A5338" s="2" t="s">
        <v>5366</v>
      </c>
      <c r="B5338" s="3"/>
      <c r="C5338" s="3"/>
      <c r="D5338" s="3"/>
      <c r="E5338" s="5" t="str">
        <f>HYPERLINK("https://dpmzos25m8ivg.cloudfront.net/Documentos/631/12937468608/6311293746860811092023125816.pdf","https://dpmzos25m8ivg.cloudfront.net/Documentos/631/12937468608/6311293746860811092023125816.pdf")</f>
        <v>https://dpmzos25m8ivg.cloudfront.net/Documentos/631/12937468608/6311293746860811092023125816.pdf</v>
      </c>
      <c r="F5338" s="5" t="str">
        <f>HYPERLINK("https://dpmzos25m8ivg.cloudfront.net/Documentos/631/12937468608/6311293746860811092023125824.pdf","https://dpmzos25m8ivg.cloudfront.net/Documentos/631/12937468608/6311293746860811092023125824.pdf")</f>
        <v>https://dpmzos25m8ivg.cloudfront.net/Documentos/631/12937468608/6311293746860811092023125824.pdf</v>
      </c>
      <c r="G5338" s="5" t="str">
        <f>HYPERLINK("https://dpmzos25m8ivg.cloudfront.net/Documentos/631/12937468608/6311293746860811092023125833.pdf","https://dpmzos25m8ivg.cloudfront.net/Documentos/631/12937468608/6311293746860811092023125833.pdf")</f>
        <v>https://dpmzos25m8ivg.cloudfront.net/Documentos/631/12937468608/6311293746860811092023125833.pdf</v>
      </c>
      <c r="H5338" s="5" t="s">
        <v>13910</v>
      </c>
    </row>
    <row r="5339" spans="1:8" x14ac:dyDescent="0.25">
      <c r="A5339" s="2" t="s">
        <v>5367</v>
      </c>
      <c r="B5339" s="3"/>
      <c r="C5339" s="3"/>
      <c r="D5339" s="3"/>
      <c r="E5339" s="5" t="str">
        <f>HYPERLINK("https://dpmzos25m8ivg.cloudfront.net/Documentos/631/12949759602/6311294975960207092023180359.pdf","https://dpmzos25m8ivg.cloudfront.net/Documentos/631/12949759602/6311294975960207092023180359.pdf")</f>
        <v>https://dpmzos25m8ivg.cloudfront.net/Documentos/631/12949759602/6311294975960207092023180359.pdf</v>
      </c>
      <c r="F5339" s="5" t="str">
        <f>HYPERLINK("https://dpmzos25m8ivg.cloudfront.net/Documentos/631/12949759602/6311294975960207092023180440.pdf","https://dpmzos25m8ivg.cloudfront.net/Documentos/631/12949759602/6311294975960207092023180440.pdf")</f>
        <v>https://dpmzos25m8ivg.cloudfront.net/Documentos/631/12949759602/6311294975960207092023180440.pdf</v>
      </c>
      <c r="G5339" s="5" t="str">
        <f>HYPERLINK("https://dpmzos25m8ivg.cloudfront.net/Documentos/631/12949759602/6311294975960207092023180515.pdf","https://dpmzos25m8ivg.cloudfront.net/Documentos/631/12949759602/6311294975960207092023180515.pdf")</f>
        <v>https://dpmzos25m8ivg.cloudfront.net/Documentos/631/12949759602/6311294975960207092023180515.pdf</v>
      </c>
      <c r="H5339" s="5" t="s">
        <v>13911</v>
      </c>
    </row>
    <row r="5340" spans="1:8" x14ac:dyDescent="0.25">
      <c r="A5340" s="2" t="s">
        <v>5368</v>
      </c>
      <c r="B5340" s="3"/>
      <c r="C5340" s="3"/>
      <c r="D5340" s="3"/>
      <c r="E5340" s="5" t="str">
        <f>HYPERLINK("https://dpmzos25m8ivg.cloudfront.net/Documentos/631/12950463690/6311295046369009092023233528.pdf","https://dpmzos25m8ivg.cloudfront.net/Documentos/631/12950463690/6311295046369009092023233528.pdf")</f>
        <v>https://dpmzos25m8ivg.cloudfront.net/Documentos/631/12950463690/6311295046369009092023233528.pdf</v>
      </c>
      <c r="F5340" s="5" t="str">
        <f>HYPERLINK("https://dpmzos25m8ivg.cloudfront.net/Documentos/631/12950463690/6311295046369009092023233538.pdf","https://dpmzos25m8ivg.cloudfront.net/Documentos/631/12950463690/6311295046369009092023233538.pdf")</f>
        <v>https://dpmzos25m8ivg.cloudfront.net/Documentos/631/12950463690/6311295046369009092023233538.pdf</v>
      </c>
      <c r="G5340" s="5" t="str">
        <f>HYPERLINK("https://dpmzos25m8ivg.cloudfront.net/Documentos/631/12950463690/6311295046369009092023233547.pdf","https://dpmzos25m8ivg.cloudfront.net/Documentos/631/12950463690/6311295046369009092023233547.pdf")</f>
        <v>https://dpmzos25m8ivg.cloudfront.net/Documentos/631/12950463690/6311295046369009092023233547.pdf</v>
      </c>
      <c r="H5340" s="5" t="s">
        <v>13912</v>
      </c>
    </row>
    <row r="5341" spans="1:8" x14ac:dyDescent="0.25">
      <c r="A5341" s="2" t="s">
        <v>5369</v>
      </c>
      <c r="B5341" s="3"/>
      <c r="C5341" s="3"/>
      <c r="D5341" s="3"/>
      <c r="E5341" s="5" t="str">
        <f>HYPERLINK("https://dpmzos25m8ivg.cloudfront.net/Documentos/631/12959341678/6311295934167805092023115631.pdf","https://dpmzos25m8ivg.cloudfront.net/Documentos/631/12959341678/6311295934167805092023115631.pdf")</f>
        <v>https://dpmzos25m8ivg.cloudfront.net/Documentos/631/12959341678/6311295934167805092023115631.pdf</v>
      </c>
      <c r="F5341" s="5" t="str">
        <f>HYPERLINK("https://dpmzos25m8ivg.cloudfront.net/Documentos/631/12959341678/6311295934167805092023115646.pdf","https://dpmzos25m8ivg.cloudfront.net/Documentos/631/12959341678/6311295934167805092023115646.pdf")</f>
        <v>https://dpmzos25m8ivg.cloudfront.net/Documentos/631/12959341678/6311295934167805092023115646.pdf</v>
      </c>
      <c r="G5341" s="5" t="str">
        <f>HYPERLINK("https://dpmzos25m8ivg.cloudfront.net/Documentos/631/12959341678/6311295934167805092023115656.pdf","https://dpmzos25m8ivg.cloudfront.net/Documentos/631/12959341678/6311295934167805092023115656.pdf")</f>
        <v>https://dpmzos25m8ivg.cloudfront.net/Documentos/631/12959341678/6311295934167805092023115656.pdf</v>
      </c>
      <c r="H5341" s="5" t="s">
        <v>13913</v>
      </c>
    </row>
    <row r="5342" spans="1:8" x14ac:dyDescent="0.25">
      <c r="A5342" s="2" t="s">
        <v>5370</v>
      </c>
      <c r="B5342" s="16" t="s">
        <v>2358</v>
      </c>
      <c r="C5342" s="3"/>
      <c r="D5342" s="3"/>
      <c r="E5342" s="5" t="str">
        <f>HYPERLINK("https://dpmzos25m8ivg.cloudfront.net/Documentos/631/12981070835/6311298107083505092023135439.pdf","https://dpmzos25m8ivg.cloudfront.net/Documentos/631/12981070835/6311298107083505092023135439.pdf")</f>
        <v>https://dpmzos25m8ivg.cloudfront.net/Documentos/631/12981070835/6311298107083505092023135439.pdf</v>
      </c>
      <c r="F5342" s="5" t="str">
        <f>HYPERLINK("https://dpmzos25m8ivg.cloudfront.net/Documentos/631/12981070835/6311298107083505092023135519.pdf","https://dpmzos25m8ivg.cloudfront.net/Documentos/631/12981070835/6311298107083505092023135519.pdf")</f>
        <v>https://dpmzos25m8ivg.cloudfront.net/Documentos/631/12981070835/6311298107083505092023135519.pdf</v>
      </c>
      <c r="G5342" s="5" t="str">
        <f>HYPERLINK("https://dpmzos25m8ivg.cloudfront.net/Documentos/631/12981070835/6311298107083505092023135546.pdf","https://dpmzos25m8ivg.cloudfront.net/Documentos/631/12981070835/6311298107083505092023135546.pdf")</f>
        <v>https://dpmzos25m8ivg.cloudfront.net/Documentos/631/12981070835/6311298107083505092023135546.pdf</v>
      </c>
      <c r="H5342" s="5" t="s">
        <v>13914</v>
      </c>
    </row>
    <row r="5343" spans="1:8" x14ac:dyDescent="0.25">
      <c r="A5343" s="2" t="s">
        <v>5371</v>
      </c>
      <c r="B5343" s="16" t="s">
        <v>2358</v>
      </c>
      <c r="C5343" s="3"/>
      <c r="D5343" s="3"/>
      <c r="E5343" s="5" t="str">
        <f>HYPERLINK("https://dpmzos25m8ivg.cloudfront.net/Documentos/631/12983100677/6311298310067711092023111642.pdf","https://dpmzos25m8ivg.cloudfront.net/Documentos/631/12983100677/6311298310067711092023111642.pdf")</f>
        <v>https://dpmzos25m8ivg.cloudfront.net/Documentos/631/12983100677/6311298310067711092023111642.pdf</v>
      </c>
      <c r="F5343" s="5" t="str">
        <f>HYPERLINK("https://dpmzos25m8ivg.cloudfront.net/Documentos/631/12983100677/6311298310067711092023111702.pdf","https://dpmzos25m8ivg.cloudfront.net/Documentos/631/12983100677/6311298310067711092023111702.pdf")</f>
        <v>https://dpmzos25m8ivg.cloudfront.net/Documentos/631/12983100677/6311298310067711092023111702.pdf</v>
      </c>
      <c r="G5343" s="5" t="str">
        <f>HYPERLINK("https://dpmzos25m8ivg.cloudfront.net/Documentos/631/12983100677/6311298310067711092023111719.pdf","https://dpmzos25m8ivg.cloudfront.net/Documentos/631/12983100677/6311298310067711092023111719.pdf")</f>
        <v>https://dpmzos25m8ivg.cloudfront.net/Documentos/631/12983100677/6311298310067711092023111719.pdf</v>
      </c>
      <c r="H5343" s="5" t="s">
        <v>13915</v>
      </c>
    </row>
    <row r="5344" spans="1:8" x14ac:dyDescent="0.25">
      <c r="A5344" s="2" t="s">
        <v>5372</v>
      </c>
      <c r="B5344" s="19" t="s">
        <v>4857</v>
      </c>
      <c r="C5344" s="3"/>
      <c r="D5344" s="3"/>
      <c r="E5344" s="5" t="str">
        <f>HYPERLINK("https://dpmzos25m8ivg.cloudfront.net/Documentos/631/12985662826/6311298566282613092023103652.pdf","https://dpmzos25m8ivg.cloudfront.net/Documentos/631/12985662826/6311298566282613092023103652.pdf")</f>
        <v>https://dpmzos25m8ivg.cloudfront.net/Documentos/631/12985662826/6311298566282613092023103652.pdf</v>
      </c>
      <c r="F5344" s="5" t="str">
        <f>HYPERLINK("https://dpmzos25m8ivg.cloudfront.net/Documentos/631/12985662826/6311298566282613092023103702.pdf","https://dpmzos25m8ivg.cloudfront.net/Documentos/631/12985662826/6311298566282613092023103702.pdf")</f>
        <v>https://dpmzos25m8ivg.cloudfront.net/Documentos/631/12985662826/6311298566282613092023103702.pdf</v>
      </c>
      <c r="G5344" s="5" t="str">
        <f>HYPERLINK("https://dpmzos25m8ivg.cloudfront.net/Documentos/631/12985662826/6311298566282613092023103733.pdf","https://dpmzos25m8ivg.cloudfront.net/Documentos/631/12985662826/6311298566282613092023103733.pdf")</f>
        <v>https://dpmzos25m8ivg.cloudfront.net/Documentos/631/12985662826/6311298566282613092023103733.pdf</v>
      </c>
      <c r="H5344" s="5" t="s">
        <v>13916</v>
      </c>
    </row>
    <row r="5345" spans="1:8" x14ac:dyDescent="0.25">
      <c r="A5345" s="2" t="s">
        <v>5373</v>
      </c>
      <c r="B5345" s="3"/>
      <c r="C5345" s="3"/>
      <c r="D5345" s="3"/>
      <c r="E5345" s="5" t="str">
        <f>HYPERLINK("https://dpmzos25m8ivg.cloudfront.net/Documentos/631/12996650638/6311299665063808092023150349.pdf","https://dpmzos25m8ivg.cloudfront.net/Documentos/631/12996650638/6311299665063808092023150349.pdf")</f>
        <v>https://dpmzos25m8ivg.cloudfront.net/Documentos/631/12996650638/6311299665063808092023150349.pdf</v>
      </c>
      <c r="F5345" s="5" t="str">
        <f>HYPERLINK("https://dpmzos25m8ivg.cloudfront.net/Documentos/631/12996650638/6311299665063808092023150355.pdf","https://dpmzos25m8ivg.cloudfront.net/Documentos/631/12996650638/6311299665063808092023150355.pdf")</f>
        <v>https://dpmzos25m8ivg.cloudfront.net/Documentos/631/12996650638/6311299665063808092023150355.pdf</v>
      </c>
      <c r="G5345" s="5" t="str">
        <f>HYPERLINK("https://dpmzos25m8ivg.cloudfront.net/Documentos/631/12996650638/6311299665063808092023150401.pdf","https://dpmzos25m8ivg.cloudfront.net/Documentos/631/12996650638/6311299665063808092023150401.pdf")</f>
        <v>https://dpmzos25m8ivg.cloudfront.net/Documentos/631/12996650638/6311299665063808092023150401.pdf</v>
      </c>
      <c r="H5345" s="5" t="s">
        <v>13917</v>
      </c>
    </row>
    <row r="5346" spans="1:8" x14ac:dyDescent="0.25">
      <c r="A5346" s="2" t="s">
        <v>5374</v>
      </c>
      <c r="B5346" s="3"/>
      <c r="C5346" s="3"/>
      <c r="D5346" s="3"/>
      <c r="E5346" s="5" t="str">
        <f>HYPERLINK("https://dpmzos25m8ivg.cloudfront.net/Documentos/631/13000643664/6311300064366411092023105738.pdf","https://dpmzos25m8ivg.cloudfront.net/Documentos/631/13000643664/6311300064366411092023105738.pdf")</f>
        <v>https://dpmzos25m8ivg.cloudfront.net/Documentos/631/13000643664/6311300064366411092023105738.pdf</v>
      </c>
      <c r="F5346" s="5" t="str">
        <f>HYPERLINK("https://dpmzos25m8ivg.cloudfront.net/Documentos/631/13000643664/6311300064366411092023105748.pdf","https://dpmzos25m8ivg.cloudfront.net/Documentos/631/13000643664/6311300064366411092023105748.pdf")</f>
        <v>https://dpmzos25m8ivg.cloudfront.net/Documentos/631/13000643664/6311300064366411092023105748.pdf</v>
      </c>
      <c r="G5346" s="5" t="str">
        <f>HYPERLINK("https://dpmzos25m8ivg.cloudfront.net/Documentos/631/13000643664/6311300064366411092023105757.pdf","https://dpmzos25m8ivg.cloudfront.net/Documentos/631/13000643664/6311300064366411092023105757.pdf")</f>
        <v>https://dpmzos25m8ivg.cloudfront.net/Documentos/631/13000643664/6311300064366411092023105757.pdf</v>
      </c>
      <c r="H5346" s="5" t="s">
        <v>13918</v>
      </c>
    </row>
    <row r="5347" spans="1:8" x14ac:dyDescent="0.25">
      <c r="A5347" s="2" t="s">
        <v>5375</v>
      </c>
      <c r="B5347" s="3"/>
      <c r="C5347" s="3"/>
      <c r="D5347" s="3"/>
      <c r="E5347" s="5" t="str">
        <f>HYPERLINK("https://dpmzos25m8ivg.cloudfront.net/Documentos/631/13003474650/6311300347465006092023120719.pdf","https://dpmzos25m8ivg.cloudfront.net/Documentos/631/13003474650/6311300347465006092023120719.pdf")</f>
        <v>https://dpmzos25m8ivg.cloudfront.net/Documentos/631/13003474650/6311300347465006092023120719.pdf</v>
      </c>
      <c r="F5347" s="5" t="str">
        <f>HYPERLINK("https://dpmzos25m8ivg.cloudfront.net/Documentos/631/13003474650/6311300347465006092023120729.pdf","https://dpmzos25m8ivg.cloudfront.net/Documentos/631/13003474650/6311300347465006092023120729.pdf")</f>
        <v>https://dpmzos25m8ivg.cloudfront.net/Documentos/631/13003474650/6311300347465006092023120729.pdf</v>
      </c>
      <c r="G5347" s="5" t="str">
        <f>HYPERLINK("https://dpmzos25m8ivg.cloudfront.net/Documentos/631/13003474650/6311300347465006092023120738.pdf","https://dpmzos25m8ivg.cloudfront.net/Documentos/631/13003474650/6311300347465006092023120738.pdf")</f>
        <v>https://dpmzos25m8ivg.cloudfront.net/Documentos/631/13003474650/6311300347465006092023120738.pdf</v>
      </c>
      <c r="H5347" s="5" t="s">
        <v>13919</v>
      </c>
    </row>
    <row r="5348" spans="1:8" x14ac:dyDescent="0.25">
      <c r="A5348" s="2" t="s">
        <v>5376</v>
      </c>
      <c r="B5348" s="3"/>
      <c r="C5348" s="3"/>
      <c r="D5348" s="3"/>
      <c r="E5348" s="5" t="str">
        <f>HYPERLINK("https://dpmzos25m8ivg.cloudfront.net/Documentos/631/13008278663/6311300827866306092023155256.pdf","https://dpmzos25m8ivg.cloudfront.net/Documentos/631/13008278663/6311300827866306092023155256.pdf")</f>
        <v>https://dpmzos25m8ivg.cloudfront.net/Documentos/631/13008278663/6311300827866306092023155256.pdf</v>
      </c>
      <c r="F5348" s="5" t="str">
        <f>HYPERLINK("https://dpmzos25m8ivg.cloudfront.net/Documentos/631/13008278663/6311300827866306092023155314.pdf","https://dpmzos25m8ivg.cloudfront.net/Documentos/631/13008278663/6311300827866306092023155314.pdf")</f>
        <v>https://dpmzos25m8ivg.cloudfront.net/Documentos/631/13008278663/6311300827866306092023155314.pdf</v>
      </c>
      <c r="G5348" s="5" t="str">
        <f>HYPERLINK("https://dpmzos25m8ivg.cloudfront.net/Documentos/631/13008278663/6311300827866306092023155305.pdf","https://dpmzos25m8ivg.cloudfront.net/Documentos/631/13008278663/6311300827866306092023155305.pdf")</f>
        <v>https://dpmzos25m8ivg.cloudfront.net/Documentos/631/13008278663/6311300827866306092023155305.pdf</v>
      </c>
      <c r="H5348" s="5" t="s">
        <v>13920</v>
      </c>
    </row>
    <row r="5349" spans="1:8" x14ac:dyDescent="0.25">
      <c r="A5349" s="2" t="s">
        <v>5377</v>
      </c>
      <c r="B5349" s="3"/>
      <c r="C5349" s="3"/>
      <c r="D5349" s="3"/>
      <c r="E5349" s="5" t="str">
        <f>HYPERLINK("https://dpmzos25m8ivg.cloudfront.net/Documentos/631/13009899637/6311300989963705092023121810.pdf","https://dpmzos25m8ivg.cloudfront.net/Documentos/631/13009899637/6311300989963705092023121810.pdf")</f>
        <v>https://dpmzos25m8ivg.cloudfront.net/Documentos/631/13009899637/6311300989963705092023121810.pdf</v>
      </c>
      <c r="F5349" s="5" t="str">
        <f>HYPERLINK("https://dpmzos25m8ivg.cloudfront.net/Documentos/631/13009899637/6311300989963705092023121833.pdf","https://dpmzos25m8ivg.cloudfront.net/Documentos/631/13009899637/6311300989963705092023121833.pdf")</f>
        <v>https://dpmzos25m8ivg.cloudfront.net/Documentos/631/13009899637/6311300989963705092023121833.pdf</v>
      </c>
      <c r="G5349" s="5" t="str">
        <f>HYPERLINK("https://dpmzos25m8ivg.cloudfront.net/Documentos/631/13009899637/AR29856311300989963705092023121851.pdf","https://dpmzos25m8ivg.cloudfront.net/Documentos/631/13009899637/6311300989963705092023121851.pdf")</f>
        <v>https://dpmzos25m8ivg.cloudfront.net/Documentos/631/13009899637/6311300989963705092023121851.pdf</v>
      </c>
      <c r="H5349" s="5" t="s">
        <v>13921</v>
      </c>
    </row>
    <row r="5350" spans="1:8" x14ac:dyDescent="0.25">
      <c r="A5350" s="2" t="s">
        <v>5378</v>
      </c>
      <c r="B5350" s="3"/>
      <c r="C5350" s="3"/>
      <c r="D5350" s="3"/>
      <c r="E5350" s="5" t="str">
        <f>HYPERLINK("https://dpmzos25m8ivg.cloudfront.net/Documentos/631/13021601685/6311302160168510092023195102.pdf","https://dpmzos25m8ivg.cloudfront.net/Documentos/631/13021601685/6311302160168510092023195102.pdf")</f>
        <v>https://dpmzos25m8ivg.cloudfront.net/Documentos/631/13021601685/6311302160168510092023195102.pdf</v>
      </c>
      <c r="F5350" s="5" t="str">
        <f>HYPERLINK("https://dpmzos25m8ivg.cloudfront.net/Documentos/631/13021601685/6311302160168510092023195110.pdf","https://dpmzos25m8ivg.cloudfront.net/Documentos/631/13021601685/6311302160168510092023195110.pdf")</f>
        <v>https://dpmzos25m8ivg.cloudfront.net/Documentos/631/13021601685/6311302160168510092023195110.pdf</v>
      </c>
      <c r="G5350" s="5" t="str">
        <f>HYPERLINK("https://dpmzos25m8ivg.cloudfront.net/Documentos/631/13021601685/6311302160168510092023195116.pdf","https://dpmzos25m8ivg.cloudfront.net/Documentos/631/13021601685/6311302160168510092023195116.pdf")</f>
        <v>https://dpmzos25m8ivg.cloudfront.net/Documentos/631/13021601685/6311302160168510092023195116.pdf</v>
      </c>
      <c r="H5350" s="5" t="s">
        <v>13922</v>
      </c>
    </row>
    <row r="5351" spans="1:8" x14ac:dyDescent="0.25">
      <c r="A5351" s="2" t="s">
        <v>5379</v>
      </c>
      <c r="B5351" s="3"/>
      <c r="C5351" s="3"/>
      <c r="D5351" s="3"/>
      <c r="E5351" s="5" t="str">
        <f>HYPERLINK("https://dpmzos25m8ivg.cloudfront.net/Documentos/631/13023751480/6311302375148011092023080806.pdf","https://dpmzos25m8ivg.cloudfront.net/Documentos/631/13023751480/6311302375148011092023080806.pdf")</f>
        <v>https://dpmzos25m8ivg.cloudfront.net/Documentos/631/13023751480/6311302375148011092023080806.pdf</v>
      </c>
      <c r="F5351" s="5" t="str">
        <f>HYPERLINK("https://dpmzos25m8ivg.cloudfront.net/Documentos/631/13023751480/6311302375148011092023080816.pdf","https://dpmzos25m8ivg.cloudfront.net/Documentos/631/13023751480/6311302375148011092023080816.pdf")</f>
        <v>https://dpmzos25m8ivg.cloudfront.net/Documentos/631/13023751480/6311302375148011092023080816.pdf</v>
      </c>
      <c r="G5351" s="5" t="str">
        <f>HYPERLINK("https://dpmzos25m8ivg.cloudfront.net/Documentos/631/13023751480/6311302375148011092023080826.pdf","https://dpmzos25m8ivg.cloudfront.net/Documentos/631/13023751480/6311302375148011092023080826.pdf")</f>
        <v>https://dpmzos25m8ivg.cloudfront.net/Documentos/631/13023751480/6311302375148011092023080826.pdf</v>
      </c>
      <c r="H5351" s="5" t="s">
        <v>13923</v>
      </c>
    </row>
    <row r="5352" spans="1:8" x14ac:dyDescent="0.25">
      <c r="A5352" s="2" t="s">
        <v>5380</v>
      </c>
      <c r="B5352" s="3"/>
      <c r="C5352" s="3"/>
      <c r="D5352" s="3"/>
      <c r="E5352" s="5" t="str">
        <f>HYPERLINK("https://dpmzos25m8ivg.cloudfront.net/Documentos/631/13027211439/6311302721143911092023162251.jpeg","https://dpmzos25m8ivg.cloudfront.net/Documentos/631/13027211439/6311302721143911092023162251.jpeg")</f>
        <v>https://dpmzos25m8ivg.cloudfront.net/Documentos/631/13027211439/6311302721143911092023162251.jpeg</v>
      </c>
      <c r="F5352" s="5" t="str">
        <f>HYPERLINK("https://dpmzos25m8ivg.cloudfront.net/Documentos/631/13027211439/6311302721143911092023162301.jpeg","https://dpmzos25m8ivg.cloudfront.net/Documentos/631/13027211439/6311302721143911092023162301.jpeg")</f>
        <v>https://dpmzos25m8ivg.cloudfront.net/Documentos/631/13027211439/6311302721143911092023162301.jpeg</v>
      </c>
      <c r="G5352" s="5" t="str">
        <f>HYPERLINK("https://dpmzos25m8ivg.cloudfront.net/Documentos/631/13027211439/6311302721143911092023162529.jpeg","https://dpmzos25m8ivg.cloudfront.net/Documentos/631/13027211439/6311302721143911092023162529.jpeg")</f>
        <v>https://dpmzos25m8ivg.cloudfront.net/Documentos/631/13027211439/6311302721143911092023162529.jpeg</v>
      </c>
      <c r="H5352" s="5" t="s">
        <v>13924</v>
      </c>
    </row>
    <row r="5353" spans="1:8" x14ac:dyDescent="0.25">
      <c r="A5353" s="2" t="s">
        <v>5381</v>
      </c>
      <c r="B5353" s="3"/>
      <c r="C5353" s="3"/>
      <c r="D5353" s="3"/>
      <c r="E5353" s="5" t="str">
        <f>HYPERLINK("https://dpmzos25m8ivg.cloudfront.net/Documentos/631/13028904683/6311302890468311092023133329.pdf","https://dpmzos25m8ivg.cloudfront.net/Documentos/631/13028904683/6311302890468311092023133329.pdf")</f>
        <v>https://dpmzos25m8ivg.cloudfront.net/Documentos/631/13028904683/6311302890468311092023133329.pdf</v>
      </c>
      <c r="F5353" s="5" t="str">
        <f>HYPERLINK("https://dpmzos25m8ivg.cloudfront.net/Documentos/631/13028904683/6311302890468311092023133340.pdf","https://dpmzos25m8ivg.cloudfront.net/Documentos/631/13028904683/6311302890468311092023133340.pdf")</f>
        <v>https://dpmzos25m8ivg.cloudfront.net/Documentos/631/13028904683/6311302890468311092023133340.pdf</v>
      </c>
      <c r="G5353" s="5" t="str">
        <f>HYPERLINK("https://dpmzos25m8ivg.cloudfront.net/Documentos/631/13028904683/6311302890468311092023133351.pdf","https://dpmzos25m8ivg.cloudfront.net/Documentos/631/13028904683/6311302890468311092023133351.pdf")</f>
        <v>https://dpmzos25m8ivg.cloudfront.net/Documentos/631/13028904683/6311302890468311092023133351.pdf</v>
      </c>
      <c r="H5353" s="5" t="s">
        <v>13925</v>
      </c>
    </row>
    <row r="5354" spans="1:8" x14ac:dyDescent="0.25">
      <c r="A5354" s="2" t="s">
        <v>5382</v>
      </c>
      <c r="B5354" s="3"/>
      <c r="C5354" s="3"/>
      <c r="D5354" s="3"/>
      <c r="E5354" s="5" t="str">
        <f>HYPERLINK("https://dpmzos25m8ivg.cloudfront.net/Documentos/631/13030180808/6311303018080811092023092339.pdf","https://dpmzos25m8ivg.cloudfront.net/Documentos/631/13030180808/6311303018080811092023092339.pdf")</f>
        <v>https://dpmzos25m8ivg.cloudfront.net/Documentos/631/13030180808/6311303018080811092023092339.pdf</v>
      </c>
      <c r="F5354" s="5" t="str">
        <f>HYPERLINK("https://dpmzos25m8ivg.cloudfront.net/Documentos/631/13030180808/6311303018080811092023092409.pdf","https://dpmzos25m8ivg.cloudfront.net/Documentos/631/13030180808/6311303018080811092023092409.pdf")</f>
        <v>https://dpmzos25m8ivg.cloudfront.net/Documentos/631/13030180808/6311303018080811092023092409.pdf</v>
      </c>
      <c r="G5354" s="5" t="str">
        <f>HYPERLINK("https://dpmzos25m8ivg.cloudfront.net/Documentos/631/13030180808/6311303018080811092023092427.pdf","https://dpmzos25m8ivg.cloudfront.net/Documentos/631/13030180808/6311303018080811092023092427.pdf")</f>
        <v>https://dpmzos25m8ivg.cloudfront.net/Documentos/631/13030180808/6311303018080811092023092427.pdf</v>
      </c>
      <c r="H5354" s="5" t="s">
        <v>13926</v>
      </c>
    </row>
    <row r="5355" spans="1:8" x14ac:dyDescent="0.25">
      <c r="A5355" s="2" t="s">
        <v>5383</v>
      </c>
      <c r="B5355" s="3"/>
      <c r="C5355" s="3"/>
      <c r="D5355" s="3"/>
      <c r="E5355" s="5" t="str">
        <f>HYPERLINK("https://dpmzos25m8ivg.cloudfront.net/Documentos/631/13043909852/6311304390985206092023141011.pdf","https://dpmzos25m8ivg.cloudfront.net/Documentos/631/13043909852/6311304390985206092023141011.pdf")</f>
        <v>https://dpmzos25m8ivg.cloudfront.net/Documentos/631/13043909852/6311304390985206092023141011.pdf</v>
      </c>
      <c r="F5355" s="5" t="str">
        <f>HYPERLINK("https://dpmzos25m8ivg.cloudfront.net/Documentos/631/13043909852/6311304390985206092023141102.pdf","https://dpmzos25m8ivg.cloudfront.net/Documentos/631/13043909852/6311304390985206092023141102.pdf")</f>
        <v>https://dpmzos25m8ivg.cloudfront.net/Documentos/631/13043909852/6311304390985206092023141102.pdf</v>
      </c>
      <c r="G5355" s="5" t="str">
        <f>HYPERLINK("https://dpmzos25m8ivg.cloudfront.net/Documentos/631/13043909852/6311304390985206092023141131.pdf","https://dpmzos25m8ivg.cloudfront.net/Documentos/631/13043909852/6311304390985206092023141131.pdf")</f>
        <v>https://dpmzos25m8ivg.cloudfront.net/Documentos/631/13043909852/6311304390985206092023141131.pdf</v>
      </c>
      <c r="H5355" s="5" t="s">
        <v>13927</v>
      </c>
    </row>
    <row r="5356" spans="1:8" x14ac:dyDescent="0.25">
      <c r="A5356" s="2" t="s">
        <v>5384</v>
      </c>
      <c r="B5356" s="3"/>
      <c r="C5356" s="3"/>
      <c r="D5356" s="3"/>
      <c r="E5356" s="5" t="str">
        <f>HYPERLINK("https://dpmzos25m8ivg.cloudfront.net/Documentos/631/13045201709/6311304520170906092023163041.jpeg","https://dpmzos25m8ivg.cloudfront.net/Documentos/631/13045201709/6311304520170906092023163041.jpeg")</f>
        <v>https://dpmzos25m8ivg.cloudfront.net/Documentos/631/13045201709/6311304520170906092023163041.jpeg</v>
      </c>
      <c r="F5356" s="5" t="str">
        <f>HYPERLINK("https://dpmzos25m8ivg.cloudfront.net/Documentos/631/13045201709/6311304520170906092023163054.jpeg","https://dpmzos25m8ivg.cloudfront.net/Documentos/631/13045201709/6311304520170906092023163054.jpeg")</f>
        <v>https://dpmzos25m8ivg.cloudfront.net/Documentos/631/13045201709/6311304520170906092023163054.jpeg</v>
      </c>
      <c r="G5356" s="5" t="str">
        <f>HYPERLINK("https://dpmzos25m8ivg.cloudfront.net/Documentos/631/13045201709/6311304520170906092023163110.jpeg","https://dpmzos25m8ivg.cloudfront.net/Documentos/631/13045201709/6311304520170906092023163110.jpeg")</f>
        <v>https://dpmzos25m8ivg.cloudfront.net/Documentos/631/13045201709/6311304520170906092023163110.jpeg</v>
      </c>
      <c r="H5356" s="5" t="s">
        <v>13928</v>
      </c>
    </row>
    <row r="5357" spans="1:8" x14ac:dyDescent="0.25">
      <c r="A5357" s="2" t="s">
        <v>5385</v>
      </c>
      <c r="B5357" s="3"/>
      <c r="C5357" s="3"/>
      <c r="D5357" s="3"/>
      <c r="E5357" s="5" t="str">
        <f>HYPERLINK("https://dpmzos25m8ivg.cloudfront.net/Documentos/631/13045391486/6311304539148611092023155008.jpeg","https://dpmzos25m8ivg.cloudfront.net/Documentos/631/13045391486/6311304539148611092023155008.jpeg")</f>
        <v>https://dpmzos25m8ivg.cloudfront.net/Documentos/631/13045391486/6311304539148611092023155008.jpeg</v>
      </c>
      <c r="F5357" s="5" t="str">
        <f>HYPERLINK("https://dpmzos25m8ivg.cloudfront.net/Documentos/631/13045391486/6311304539148611092023155016.jpeg","https://dpmzos25m8ivg.cloudfront.net/Documentos/631/13045391486/6311304539148611092023155016.jpeg")</f>
        <v>https://dpmzos25m8ivg.cloudfront.net/Documentos/631/13045391486/6311304539148611092023155016.jpeg</v>
      </c>
      <c r="G5357" s="5" t="str">
        <f>HYPERLINK("https://dpmzos25m8ivg.cloudfront.net/Documentos/631/13045391486/6311304539148611092023155027.jpeg","https://dpmzos25m8ivg.cloudfront.net/Documentos/631/13045391486/6311304539148611092023155027.jpeg")</f>
        <v>https://dpmzos25m8ivg.cloudfront.net/Documentos/631/13045391486/6311304539148611092023155027.jpeg</v>
      </c>
      <c r="H5357" s="5" t="s">
        <v>13929</v>
      </c>
    </row>
    <row r="5358" spans="1:8" x14ac:dyDescent="0.25">
      <c r="A5358" s="2" t="s">
        <v>5386</v>
      </c>
      <c r="B5358" s="16" t="s">
        <v>5069</v>
      </c>
      <c r="C5358" s="3"/>
      <c r="D5358" s="3"/>
      <c r="E5358" s="5" t="str">
        <f>HYPERLINK("https://dpmzos25m8ivg.cloudfront.net/Documentos/631/13048932607/6311304893260705092023163100.jpg","https://dpmzos25m8ivg.cloudfront.net/Documentos/631/13048932607/6311304893260705092023163100.jpg")</f>
        <v>https://dpmzos25m8ivg.cloudfront.net/Documentos/631/13048932607/6311304893260705092023163100.jpg</v>
      </c>
      <c r="F5358" s="5" t="str">
        <f>HYPERLINK("https://dpmzos25m8ivg.cloudfront.net/Documentos/631/13048932607/6311304893260705092023163127.jpg","https://dpmzos25m8ivg.cloudfront.net/Documentos/631/13048932607/6311304893260705092023163127.jpg")</f>
        <v>https://dpmzos25m8ivg.cloudfront.net/Documentos/631/13048932607/6311304893260705092023163127.jpg</v>
      </c>
      <c r="G5358" s="5" t="str">
        <f>HYPERLINK("https://dpmzos25m8ivg.cloudfront.net/Documentos/631/13048932607/6311304893260705092023163431.jpg","https://dpmzos25m8ivg.cloudfront.net/Documentos/631/13048932607/6311304893260705092023163431.jpg")</f>
        <v>https://dpmzos25m8ivg.cloudfront.net/Documentos/631/13048932607/6311304893260705092023163431.jpg</v>
      </c>
      <c r="H5358" s="5" t="s">
        <v>13930</v>
      </c>
    </row>
    <row r="5359" spans="1:8" x14ac:dyDescent="0.25">
      <c r="A5359" s="2" t="s">
        <v>5387</v>
      </c>
      <c r="B5359" s="3"/>
      <c r="C5359" s="3"/>
      <c r="D5359" s="3"/>
      <c r="E5359" s="5" t="str">
        <f>HYPERLINK("https://dpmzos25m8ivg.cloudfront.net/Documentos/631/13050545470/6311305054547009092023230443.pdf","https://dpmzos25m8ivg.cloudfront.net/Documentos/631/13050545470/6311305054547009092023230443.pdf")</f>
        <v>https://dpmzos25m8ivg.cloudfront.net/Documentos/631/13050545470/6311305054547009092023230443.pdf</v>
      </c>
      <c r="F5359" s="5" t="str">
        <f>HYPERLINK("https://dpmzos25m8ivg.cloudfront.net/Documentos/631/13050545470/6311305054547009092023230502.pdf","https://dpmzos25m8ivg.cloudfront.net/Documentos/631/13050545470/6311305054547009092023230502.pdf")</f>
        <v>https://dpmzos25m8ivg.cloudfront.net/Documentos/631/13050545470/6311305054547009092023230502.pdf</v>
      </c>
      <c r="G5359" s="5" t="str">
        <f>HYPERLINK("https://dpmzos25m8ivg.cloudfront.net/Documentos/631/13050545470/6311305054547009092023232005.pdf","https://dpmzos25m8ivg.cloudfront.net/Documentos/631/13050545470/6311305054547009092023232005.pdf")</f>
        <v>https://dpmzos25m8ivg.cloudfront.net/Documentos/631/13050545470/6311305054547009092023232005.pdf</v>
      </c>
      <c r="H5359" s="5" t="s">
        <v>13931</v>
      </c>
    </row>
    <row r="5360" spans="1:8" x14ac:dyDescent="0.25">
      <c r="A5360" s="2" t="s">
        <v>5388</v>
      </c>
      <c r="B5360" s="3"/>
      <c r="C5360" s="3"/>
      <c r="D5360" s="3"/>
      <c r="E5360" s="5" t="str">
        <f>HYPERLINK("https://dpmzos25m8ivg.cloudfront.net/Documentos/631/13054441679/6311305444167911092023162942.jpg","https://dpmzos25m8ivg.cloudfront.net/Documentos/631/13054441679/6311305444167911092023162942.jpg")</f>
        <v>https://dpmzos25m8ivg.cloudfront.net/Documentos/631/13054441679/6311305444167911092023162942.jpg</v>
      </c>
      <c r="F5360" s="5" t="str">
        <f>HYPERLINK("https://dpmzos25m8ivg.cloudfront.net/Documentos/631/13054441679/6311305444167911092023163004.jpg","https://dpmzos25m8ivg.cloudfront.net/Documentos/631/13054441679/6311305444167911092023163004.jpg")</f>
        <v>https://dpmzos25m8ivg.cloudfront.net/Documentos/631/13054441679/6311305444167911092023163004.jpg</v>
      </c>
      <c r="G5360" s="5" t="str">
        <f>HYPERLINK("https://dpmzos25m8ivg.cloudfront.net/Documentos/631/13054441679/6311305444167911092023163046.jpg","https://dpmzos25m8ivg.cloudfront.net/Documentos/631/13054441679/6311305444167911092023163046.jpg")</f>
        <v>https://dpmzos25m8ivg.cloudfront.net/Documentos/631/13054441679/6311305444167911092023163046.jpg</v>
      </c>
      <c r="H5360" s="5" t="s">
        <v>13932</v>
      </c>
    </row>
    <row r="5361" spans="1:8" x14ac:dyDescent="0.25">
      <c r="A5361" s="2" t="s">
        <v>5389</v>
      </c>
      <c r="B5361" s="3"/>
      <c r="C5361" s="3"/>
      <c r="D5361" s="3"/>
      <c r="E5361" s="5" t="str">
        <f>HYPERLINK("https://dpmzos25m8ivg.cloudfront.net/Documentos/631/13058993773/6311305899377311092023110200.pdf","https://dpmzos25m8ivg.cloudfront.net/Documentos/631/13058993773/6311305899377311092023110200.pdf")</f>
        <v>https://dpmzos25m8ivg.cloudfront.net/Documentos/631/13058993773/6311305899377311092023110200.pdf</v>
      </c>
      <c r="F5361" s="5" t="str">
        <f>HYPERLINK("https://dpmzos25m8ivg.cloudfront.net/Documentos/631/13058993773/6311305899377311092023110215.pdf","https://dpmzos25m8ivg.cloudfront.net/Documentos/631/13058993773/6311305899377311092023110215.pdf")</f>
        <v>https://dpmzos25m8ivg.cloudfront.net/Documentos/631/13058993773/6311305899377311092023110215.pdf</v>
      </c>
      <c r="G5361" s="5" t="str">
        <f>HYPERLINK("https://dpmzos25m8ivg.cloudfront.net/Documentos/631/13058993773/6311305899377311092023110227.pdf","https://dpmzos25m8ivg.cloudfront.net/Documentos/631/13058993773/6311305899377311092023110227.pdf")</f>
        <v>https://dpmzos25m8ivg.cloudfront.net/Documentos/631/13058993773/6311305899377311092023110227.pdf</v>
      </c>
      <c r="H5361" s="5" t="s">
        <v>13933</v>
      </c>
    </row>
    <row r="5362" spans="1:8" x14ac:dyDescent="0.25">
      <c r="A5362" s="2" t="s">
        <v>5390</v>
      </c>
      <c r="B5362" s="3" t="s">
        <v>23</v>
      </c>
      <c r="C5362" s="3"/>
      <c r="D5362" s="3"/>
      <c r="E5362" s="5" t="str">
        <f>HYPERLINK("https://dpmzos25m8ivg.cloudfront.net/Documentos/631/13065701405/6311306570140511092023135659.pdf","https://dpmzos25m8ivg.cloudfront.net/Documentos/631/13065701405/6311306570140511092023135659.pdf")</f>
        <v>https://dpmzos25m8ivg.cloudfront.net/Documentos/631/13065701405/6311306570140511092023135659.pdf</v>
      </c>
      <c r="F5362" s="5" t="str">
        <f>HYPERLINK("https://dpmzos25m8ivg.cloudfront.net/Documentos/631/13065701405/6311306570140511092023135745.pdf","https://dpmzos25m8ivg.cloudfront.net/Documentos/631/13065701405/6311306570140511092023135745.pdf")</f>
        <v>https://dpmzos25m8ivg.cloudfront.net/Documentos/631/13065701405/6311306570140511092023135745.pdf</v>
      </c>
      <c r="G5362" s="5" t="str">
        <f>HYPERLINK("https://dpmzos25m8ivg.cloudfront.net/Documentos/631/13065701405/6311306570140511092023135758.pdf","https://dpmzos25m8ivg.cloudfront.net/Documentos/631/13065701405/6311306570140511092023135758.pdf")</f>
        <v>https://dpmzos25m8ivg.cloudfront.net/Documentos/631/13065701405/6311306570140511092023135758.pdf</v>
      </c>
      <c r="H5362" s="5" t="s">
        <v>13934</v>
      </c>
    </row>
    <row r="5363" spans="1:8" x14ac:dyDescent="0.25">
      <c r="A5363" s="2" t="s">
        <v>5391</v>
      </c>
      <c r="B5363" s="3"/>
      <c r="C5363" s="3"/>
      <c r="D5363" s="3"/>
      <c r="E5363" s="5" t="str">
        <f>HYPERLINK("https://dpmzos25m8ivg.cloudfront.net/Documentos/631/13066288650/6311306628865011092023145254.jpeg","https://dpmzos25m8ivg.cloudfront.net/Documentos/631/13066288650/6311306628865011092023145254.jpeg")</f>
        <v>https://dpmzos25m8ivg.cloudfront.net/Documentos/631/13066288650/6311306628865011092023145254.jpeg</v>
      </c>
      <c r="F5363" s="5" t="str">
        <f>HYPERLINK("https://dpmzos25m8ivg.cloudfront.net/Documentos/631/13066288650/6311306628865011092023145304.jpeg","https://dpmzos25m8ivg.cloudfront.net/Documentos/631/13066288650/6311306628865011092023145304.jpeg")</f>
        <v>https://dpmzos25m8ivg.cloudfront.net/Documentos/631/13066288650/6311306628865011092023145304.jpeg</v>
      </c>
      <c r="G5363" s="5" t="str">
        <f>HYPERLINK("https://dpmzos25m8ivg.cloudfront.net/Documentos/631/13066288650/6311306628865011092023145313.jpeg","https://dpmzos25m8ivg.cloudfront.net/Documentos/631/13066288650/6311306628865011092023145313.jpeg")</f>
        <v>https://dpmzos25m8ivg.cloudfront.net/Documentos/631/13066288650/6311306628865011092023145313.jpeg</v>
      </c>
      <c r="H5363" s="5" t="s">
        <v>13935</v>
      </c>
    </row>
    <row r="5364" spans="1:8" x14ac:dyDescent="0.25">
      <c r="A5364" s="2" t="s">
        <v>5392</v>
      </c>
      <c r="B5364" s="3"/>
      <c r="C5364" s="3"/>
      <c r="D5364" s="3"/>
      <c r="E5364" s="5" t="str">
        <f>HYPERLINK("https://dpmzos25m8ivg.cloudfront.net/Documentos/631/13066911683/6311306691168311092023110756.pdf","https://dpmzos25m8ivg.cloudfront.net/Documentos/631/13066911683/6311306691168311092023110756.pdf")</f>
        <v>https://dpmzos25m8ivg.cloudfront.net/Documentos/631/13066911683/6311306691168311092023110756.pdf</v>
      </c>
      <c r="F5364" s="5" t="str">
        <f>HYPERLINK("https://dpmzos25m8ivg.cloudfront.net/Documentos/631/13066911683/6311306691168311092023110809.pdf","https://dpmzos25m8ivg.cloudfront.net/Documentos/631/13066911683/6311306691168311092023110809.pdf")</f>
        <v>https://dpmzos25m8ivg.cloudfront.net/Documentos/631/13066911683/6311306691168311092023110809.pdf</v>
      </c>
      <c r="G5364" s="5" t="str">
        <f>HYPERLINK("https://dpmzos25m8ivg.cloudfront.net/Documentos/631/13066911683/6311306691168311092023110947.pdf","https://dpmzos25m8ivg.cloudfront.net/Documentos/631/13066911683/6311306691168311092023110947.pdf")</f>
        <v>https://dpmzos25m8ivg.cloudfront.net/Documentos/631/13066911683/6311306691168311092023110947.pdf</v>
      </c>
      <c r="H5364" s="5" t="s">
        <v>13936</v>
      </c>
    </row>
    <row r="5365" spans="1:8" x14ac:dyDescent="0.25">
      <c r="A5365" s="2" t="s">
        <v>5393</v>
      </c>
      <c r="B5365" s="3"/>
      <c r="C5365" s="3"/>
      <c r="D5365" s="3"/>
      <c r="E5365" s="5" t="str">
        <f>HYPERLINK("https://dpmzos25m8ivg.cloudfront.net/Documentos/631/13070872484/6311307087248411092023145932.pdf","https://dpmzos25m8ivg.cloudfront.net/Documentos/631/13070872484/6311307087248411092023145932.pdf")</f>
        <v>https://dpmzos25m8ivg.cloudfront.net/Documentos/631/13070872484/6311307087248411092023145932.pdf</v>
      </c>
      <c r="F5365" s="5" t="str">
        <f>HYPERLINK("https://dpmzos25m8ivg.cloudfront.net/Documentos/631/13070872484/6311307087248411092023150444.pdf","https://dpmzos25m8ivg.cloudfront.net/Documentos/631/13070872484/6311307087248411092023150444.pdf")</f>
        <v>https://dpmzos25m8ivg.cloudfront.net/Documentos/631/13070872484/6311307087248411092023150444.pdf</v>
      </c>
      <c r="G5365" s="5" t="str">
        <f>HYPERLINK("https://dpmzos25m8ivg.cloudfront.net/Documentos/631/13070872484/6311307087248411092023150633.pdf","https://dpmzos25m8ivg.cloudfront.net/Documentos/631/13070872484/6311307087248411092023150633.pdf")</f>
        <v>https://dpmzos25m8ivg.cloudfront.net/Documentos/631/13070872484/6311307087248411092023150633.pdf</v>
      </c>
      <c r="H5365" s="5" t="s">
        <v>13937</v>
      </c>
    </row>
    <row r="5366" spans="1:8" x14ac:dyDescent="0.25">
      <c r="A5366" s="2" t="s">
        <v>5394</v>
      </c>
      <c r="B5366" s="3"/>
      <c r="C5366" s="3"/>
      <c r="D5366" s="3"/>
      <c r="E5366" s="5" t="str">
        <f>HYPERLINK("https://dpmzos25m8ivg.cloudfront.net/Documentos/631/13072748624/6311307274862411092023170131.jpeg","https://dpmzos25m8ivg.cloudfront.net/Documentos/631/13072748624/6311307274862411092023170131.jpeg")</f>
        <v>https://dpmzos25m8ivg.cloudfront.net/Documentos/631/13072748624/6311307274862411092023170131.jpeg</v>
      </c>
      <c r="F5366" s="5" t="str">
        <f>HYPERLINK("https://dpmzos25m8ivg.cloudfront.net/Documentos/631/13072748624/6311307274862411092023170140.jpeg","https://dpmzos25m8ivg.cloudfront.net/Documentos/631/13072748624/6311307274862411092023170140.jpeg")</f>
        <v>https://dpmzos25m8ivg.cloudfront.net/Documentos/631/13072748624/6311307274862411092023170140.jpeg</v>
      </c>
      <c r="G5366" s="5" t="str">
        <f>HYPERLINK("https://dpmzos25m8ivg.cloudfront.net/Documentos/631/13072748624/6311307274862411092023170150.jpeg","https://dpmzos25m8ivg.cloudfront.net/Documentos/631/13072748624/6311307274862411092023170150.jpeg")</f>
        <v>https://dpmzos25m8ivg.cloudfront.net/Documentos/631/13072748624/6311307274862411092023170150.jpeg</v>
      </c>
      <c r="H5366" s="5" t="s">
        <v>13938</v>
      </c>
    </row>
    <row r="5367" spans="1:8" x14ac:dyDescent="0.25">
      <c r="A5367" s="2" t="s">
        <v>5395</v>
      </c>
      <c r="B5367" s="16" t="s">
        <v>5069</v>
      </c>
      <c r="C5367" s="3"/>
      <c r="D5367" s="3"/>
      <c r="E5367" s="5" t="str">
        <f>HYPERLINK("https://dpmzos25m8ivg.cloudfront.net/Documentos/631/13072861439/6311307286143910092023171037.pdf","https://dpmzos25m8ivg.cloudfront.net/Documentos/631/13072861439/6311307286143910092023171037.pdf")</f>
        <v>https://dpmzos25m8ivg.cloudfront.net/Documentos/631/13072861439/6311307286143910092023171037.pdf</v>
      </c>
      <c r="F5367" s="5" t="str">
        <f>HYPERLINK("https://dpmzos25m8ivg.cloudfront.net/Documentos/631/13072861439/6311307286143910092023171051.pdf","https://dpmzos25m8ivg.cloudfront.net/Documentos/631/13072861439/6311307286143910092023171051.pdf")</f>
        <v>https://dpmzos25m8ivg.cloudfront.net/Documentos/631/13072861439/6311307286143910092023171051.pdf</v>
      </c>
      <c r="G5367" s="5" t="str">
        <f>HYPERLINK("https://dpmzos25m8ivg.cloudfront.net/Documentos/631/13072861439/6311307286143910092023171117.pdf","https://dpmzos25m8ivg.cloudfront.net/Documentos/631/13072861439/6311307286143910092023171117.pdf")</f>
        <v>https://dpmzos25m8ivg.cloudfront.net/Documentos/631/13072861439/6311307286143910092023171117.pdf</v>
      </c>
      <c r="H5367" s="5" t="s">
        <v>13939</v>
      </c>
    </row>
    <row r="5368" spans="1:8" x14ac:dyDescent="0.25">
      <c r="A5368" s="2" t="s">
        <v>5396</v>
      </c>
      <c r="B5368" s="3"/>
      <c r="C5368" s="3"/>
      <c r="D5368" s="3"/>
      <c r="E5368" s="5" t="str">
        <f>HYPERLINK("https://dpmzos25m8ivg.cloudfront.net/Documentos/631/13073870989/6311307387098914092023155447.jpg","https://dpmzos25m8ivg.cloudfront.net/Documentos/631/13073870989/6311307387098914092023155447.jpg")</f>
        <v>https://dpmzos25m8ivg.cloudfront.net/Documentos/631/13073870989/6311307387098914092023155447.jpg</v>
      </c>
      <c r="F5368" s="5" t="str">
        <f>HYPERLINK("https://dpmzos25m8ivg.cloudfront.net/Documentos/631/13073870989/6311307387098914092023155533.jpg","https://dpmzos25m8ivg.cloudfront.net/Documentos/631/13073870989/6311307387098914092023155533.jpg")</f>
        <v>https://dpmzos25m8ivg.cloudfront.net/Documentos/631/13073870989/6311307387098914092023155533.jpg</v>
      </c>
      <c r="G5368" s="5" t="str">
        <f>HYPERLINK("https://dpmzos25m8ivg.cloudfront.net/Documentos/631/13073870989/6311307387098914092023155600.jpg","https://dpmzos25m8ivg.cloudfront.net/Documentos/631/13073870989/6311307387098914092023155600.jpg")</f>
        <v>https://dpmzos25m8ivg.cloudfront.net/Documentos/631/13073870989/6311307387098914092023155600.jpg</v>
      </c>
      <c r="H5368" s="5" t="s">
        <v>13940</v>
      </c>
    </row>
    <row r="5369" spans="1:8" x14ac:dyDescent="0.25">
      <c r="A5369" s="2" t="s">
        <v>5397</v>
      </c>
      <c r="B5369" s="16" t="s">
        <v>5069</v>
      </c>
      <c r="C5369" s="3"/>
      <c r="D5369" s="3"/>
      <c r="E5369" s="5" t="str">
        <f>HYPERLINK("https://dpmzos25m8ivg.cloudfront.net/Documentos/631/13077183617/6311307718361708092023144419.pdf","https://dpmzos25m8ivg.cloudfront.net/Documentos/631/13077183617/6311307718361708092023144419.pdf")</f>
        <v>https://dpmzos25m8ivg.cloudfront.net/Documentos/631/13077183617/6311307718361708092023144419.pdf</v>
      </c>
      <c r="F5369" s="5" t="str">
        <f>HYPERLINK("https://dpmzos25m8ivg.cloudfront.net/Documentos/631/13077183617/6311307718361708092023144516.pdf","https://dpmzos25m8ivg.cloudfront.net/Documentos/631/13077183617/6311307718361708092023144516.pdf")</f>
        <v>https://dpmzos25m8ivg.cloudfront.net/Documentos/631/13077183617/6311307718361708092023144516.pdf</v>
      </c>
      <c r="G5369" s="5" t="str">
        <f>HYPERLINK("https://dpmzos25m8ivg.cloudfront.net/Documentos/631/13077183617/6311307718361708092023144537.pdf","https://dpmzos25m8ivg.cloudfront.net/Documentos/631/13077183617/6311307718361708092023144537.pdf")</f>
        <v>https://dpmzos25m8ivg.cloudfront.net/Documentos/631/13077183617/6311307718361708092023144537.pdf</v>
      </c>
      <c r="H5369" s="5" t="s">
        <v>13941</v>
      </c>
    </row>
    <row r="5370" spans="1:8" x14ac:dyDescent="0.25">
      <c r="A5370" s="2" t="s">
        <v>5398</v>
      </c>
      <c r="B5370" s="16" t="s">
        <v>2358</v>
      </c>
      <c r="C5370" s="3"/>
      <c r="D5370" s="3"/>
      <c r="E5370" s="5" t="str">
        <f>HYPERLINK("https://dpmzos25m8ivg.cloudfront.net/Documentos/631/13079970748/6311307997074811092023161054.jpg","https://dpmzos25m8ivg.cloudfront.net/Documentos/631/13079970748/6311307997074811092023161054.jpg")</f>
        <v>https://dpmzos25m8ivg.cloudfront.net/Documentos/631/13079970748/6311307997074811092023161054.jpg</v>
      </c>
      <c r="F5370" s="5" t="str">
        <f>HYPERLINK("https://dpmzos25m8ivg.cloudfront.net/Documentos/631/13079970748/6311307997074811092023161101.jpg","https://dpmzos25m8ivg.cloudfront.net/Documentos/631/13079970748/6311307997074811092023161101.jpg")</f>
        <v>https://dpmzos25m8ivg.cloudfront.net/Documentos/631/13079970748/6311307997074811092023161101.jpg</v>
      </c>
      <c r="G5370" s="5" t="str">
        <f>HYPERLINK("https://dpmzos25m8ivg.cloudfront.net/Documentos/631/13079970748/6311307997074811092023161118.jpg","https://dpmzos25m8ivg.cloudfront.net/Documentos/631/13079970748/6311307997074811092023161118.jpg")</f>
        <v>https://dpmzos25m8ivg.cloudfront.net/Documentos/631/13079970748/6311307997074811092023161118.jpg</v>
      </c>
      <c r="H5370" s="5" t="s">
        <v>13942</v>
      </c>
    </row>
    <row r="5371" spans="1:8" x14ac:dyDescent="0.25">
      <c r="A5371" s="2" t="s">
        <v>5399</v>
      </c>
      <c r="B5371" s="3"/>
      <c r="C5371" s="3"/>
      <c r="D5371" s="3"/>
      <c r="E5371" s="5" t="str">
        <f>HYPERLINK("https://dpmzos25m8ivg.cloudfront.net/Documentos/631/13081693705/6311308169370510092023001651.jpg","https://dpmzos25m8ivg.cloudfront.net/Documentos/631/13081693705/6311308169370510092023001651.jpg")</f>
        <v>https://dpmzos25m8ivg.cloudfront.net/Documentos/631/13081693705/6311308169370510092023001651.jpg</v>
      </c>
      <c r="F5371" s="5" t="str">
        <f>HYPERLINK("https://dpmzos25m8ivg.cloudfront.net/Documentos/631/13081693705/6311308169370510092023001719.jpg","https://dpmzos25m8ivg.cloudfront.net/Documentos/631/13081693705/6311308169370510092023001719.jpg")</f>
        <v>https://dpmzos25m8ivg.cloudfront.net/Documentos/631/13081693705/6311308169370510092023001719.jpg</v>
      </c>
      <c r="G5371" s="5" t="str">
        <f>HYPERLINK("https://dpmzos25m8ivg.cloudfront.net/Documentos/631/13081693705/6311308169370510092023001739.jpg","https://dpmzos25m8ivg.cloudfront.net/Documentos/631/13081693705/6311308169370510092023001739.jpg")</f>
        <v>https://dpmzos25m8ivg.cloudfront.net/Documentos/631/13081693705/6311308169370510092023001739.jpg</v>
      </c>
      <c r="H5371" s="5" t="s">
        <v>13943</v>
      </c>
    </row>
    <row r="5372" spans="1:8" x14ac:dyDescent="0.25">
      <c r="A5372" s="2" t="s">
        <v>5400</v>
      </c>
      <c r="B5372" s="3"/>
      <c r="C5372" s="3"/>
      <c r="D5372" s="3"/>
      <c r="E5372" s="5" t="str">
        <f>HYPERLINK("https://dpmzos25m8ivg.cloudfront.net/Documentos/631/13086284471/6311308628447111092023160531.pdf","https://dpmzos25m8ivg.cloudfront.net/Documentos/631/13086284471/6311308628447111092023160531.pdf")</f>
        <v>https://dpmzos25m8ivg.cloudfront.net/Documentos/631/13086284471/6311308628447111092023160531.pdf</v>
      </c>
      <c r="F5372" s="5" t="str">
        <f>HYPERLINK("https://dpmzos25m8ivg.cloudfront.net/Documentos/631/13086284471/6311308628447111092023160542.pdf","https://dpmzos25m8ivg.cloudfront.net/Documentos/631/13086284471/6311308628447111092023160542.pdf")</f>
        <v>https://dpmzos25m8ivg.cloudfront.net/Documentos/631/13086284471/6311308628447111092023160542.pdf</v>
      </c>
      <c r="G5372" s="5" t="str">
        <f>HYPERLINK("https://dpmzos25m8ivg.cloudfront.net/Documentos/631/13086284471/6311308628447111092023160554.pdf","https://dpmzos25m8ivg.cloudfront.net/Documentos/631/13086284471/6311308628447111092023160554.pdf")</f>
        <v>https://dpmzos25m8ivg.cloudfront.net/Documentos/631/13086284471/6311308628447111092023160554.pdf</v>
      </c>
      <c r="H5372" s="5" t="s">
        <v>13944</v>
      </c>
    </row>
    <row r="5373" spans="1:8" x14ac:dyDescent="0.25">
      <c r="A5373" s="2" t="s">
        <v>5401</v>
      </c>
      <c r="B5373" s="3"/>
      <c r="C5373" s="3"/>
      <c r="D5373" s="3"/>
      <c r="E5373" s="5" t="str">
        <f>HYPERLINK("https://dpmzos25m8ivg.cloudfront.net/Documentos/631/13092795431/6311309279543111092023102940.pdf","https://dpmzos25m8ivg.cloudfront.net/Documentos/631/13092795431/6311309279543111092023102940.pdf")</f>
        <v>https://dpmzos25m8ivg.cloudfront.net/Documentos/631/13092795431/6311309279543111092023102940.pdf</v>
      </c>
      <c r="F5373" s="5" t="str">
        <f>HYPERLINK("https://dpmzos25m8ivg.cloudfront.net/Documentos/631/13092795431/6311309279543111092023102948.pdf","https://dpmzos25m8ivg.cloudfront.net/Documentos/631/13092795431/6311309279543111092023102948.pdf")</f>
        <v>https://dpmzos25m8ivg.cloudfront.net/Documentos/631/13092795431/6311309279543111092023102948.pdf</v>
      </c>
      <c r="G5373" s="5" t="str">
        <f>HYPERLINK("https://dpmzos25m8ivg.cloudfront.net/Documentos/631/13092795431/6311309279543111092023102956.pdf","https://dpmzos25m8ivg.cloudfront.net/Documentos/631/13092795431/6311309279543111092023102956.pdf")</f>
        <v>https://dpmzos25m8ivg.cloudfront.net/Documentos/631/13092795431/6311309279543111092023102956.pdf</v>
      </c>
      <c r="H5373" s="5" t="s">
        <v>13945</v>
      </c>
    </row>
    <row r="5374" spans="1:8" x14ac:dyDescent="0.25">
      <c r="A5374" s="2" t="s">
        <v>5402</v>
      </c>
      <c r="B5374" s="3"/>
      <c r="C5374" s="3"/>
      <c r="D5374" s="3"/>
      <c r="E5374" s="5" t="str">
        <f>HYPERLINK("https://dpmzos25m8ivg.cloudfront.net/Documentos/631/13093230624/6311309323062409092023192927.pdf","https://dpmzos25m8ivg.cloudfront.net/Documentos/631/13093230624/6311309323062409092023192927.pdf")</f>
        <v>https://dpmzos25m8ivg.cloudfront.net/Documentos/631/13093230624/6311309323062409092023192927.pdf</v>
      </c>
      <c r="F5374" s="5" t="str">
        <f>HYPERLINK("https://dpmzos25m8ivg.cloudfront.net/Documentos/631/13093230624/6311309323062409092023192943.pdf","https://dpmzos25m8ivg.cloudfront.net/Documentos/631/13093230624/6311309323062409092023192943.pdf")</f>
        <v>https://dpmzos25m8ivg.cloudfront.net/Documentos/631/13093230624/6311309323062409092023192943.pdf</v>
      </c>
      <c r="G5374" s="5" t="str">
        <f>HYPERLINK("https://dpmzos25m8ivg.cloudfront.net/Documentos/631/13093230624/6311309323062409092023192955.pdf","https://dpmzos25m8ivg.cloudfront.net/Documentos/631/13093230624/6311309323062409092023192955.pdf")</f>
        <v>https://dpmzos25m8ivg.cloudfront.net/Documentos/631/13093230624/6311309323062409092023192955.pdf</v>
      </c>
      <c r="H5374" s="5" t="s">
        <v>13946</v>
      </c>
    </row>
    <row r="5375" spans="1:8" x14ac:dyDescent="0.25">
      <c r="A5375" s="2" t="s">
        <v>5403</v>
      </c>
      <c r="B5375" s="3"/>
      <c r="C5375" s="3"/>
      <c r="D5375" s="3"/>
      <c r="E5375" s="5" t="str">
        <f>HYPERLINK("https://dpmzos25m8ivg.cloudfront.net/Documentos/631/13108049747/6311310804974706092023085047.pdf","https://dpmzos25m8ivg.cloudfront.net/Documentos/631/13108049747/6311310804974706092023085047.pdf")</f>
        <v>https://dpmzos25m8ivg.cloudfront.net/Documentos/631/13108049747/6311310804974706092023085047.pdf</v>
      </c>
      <c r="F5375" s="5" t="str">
        <f>HYPERLINK("https://dpmzos25m8ivg.cloudfront.net/Documentos/631/13108049747/6311310804974706092023085058.pdf","https://dpmzos25m8ivg.cloudfront.net/Documentos/631/13108049747/6311310804974706092023085058.pdf")</f>
        <v>https://dpmzos25m8ivg.cloudfront.net/Documentos/631/13108049747/6311310804974706092023085058.pdf</v>
      </c>
      <c r="G5375" s="5" t="str">
        <f>HYPERLINK("https://dpmzos25m8ivg.cloudfront.net/Documentos/631/13108049747/6311310804974706092023085103.pdf","https://dpmzos25m8ivg.cloudfront.net/Documentos/631/13108049747/6311310804974706092023085103.pdf")</f>
        <v>https://dpmzos25m8ivg.cloudfront.net/Documentos/631/13108049747/6311310804974706092023085103.pdf</v>
      </c>
      <c r="H5375" s="5" t="s">
        <v>13947</v>
      </c>
    </row>
    <row r="5376" spans="1:8" x14ac:dyDescent="0.25">
      <c r="A5376" s="2" t="s">
        <v>5404</v>
      </c>
      <c r="B5376" s="3"/>
      <c r="C5376" s="3"/>
      <c r="D5376" s="3"/>
      <c r="E5376" s="5" t="str">
        <f>HYPERLINK("https://dpmzos25m8ivg.cloudfront.net/Documentos/631/13109156601/6311310915660109092023154518.pdf","https://dpmzos25m8ivg.cloudfront.net/Documentos/631/13109156601/6311310915660109092023154518.pdf")</f>
        <v>https://dpmzos25m8ivg.cloudfront.net/Documentos/631/13109156601/6311310915660109092023154518.pdf</v>
      </c>
      <c r="F5376" s="5" t="str">
        <f>HYPERLINK("https://dpmzos25m8ivg.cloudfront.net/Documentos/631/13109156601/6311310915660109092023154536.pdf","https://dpmzos25m8ivg.cloudfront.net/Documentos/631/13109156601/6311310915660109092023154536.pdf")</f>
        <v>https://dpmzos25m8ivg.cloudfront.net/Documentos/631/13109156601/6311310915660109092023154536.pdf</v>
      </c>
      <c r="G5376" s="5" t="str">
        <f>HYPERLINK("https://dpmzos25m8ivg.cloudfront.net/Documentos/631/13109156601/6311310915660109092023154550.pdf","https://dpmzos25m8ivg.cloudfront.net/Documentos/631/13109156601/6311310915660109092023154550.pdf")</f>
        <v>https://dpmzos25m8ivg.cloudfront.net/Documentos/631/13109156601/6311310915660109092023154550.pdf</v>
      </c>
      <c r="H5376" s="5" t="s">
        <v>13948</v>
      </c>
    </row>
    <row r="5377" spans="1:8" x14ac:dyDescent="0.25">
      <c r="A5377" s="2" t="s">
        <v>5405</v>
      </c>
      <c r="B5377" s="19" t="s">
        <v>4857</v>
      </c>
      <c r="C5377" s="3"/>
      <c r="D5377" s="3"/>
      <c r="E5377" s="5" t="str">
        <f>HYPERLINK("https://dpmzos25m8ivg.cloudfront.net/Documentos/631/13110506475/6311311050647510092023112544.pdf","https://dpmzos25m8ivg.cloudfront.net/Documentos/631/13110506475/6311311050647510092023112544.pdf")</f>
        <v>https://dpmzos25m8ivg.cloudfront.net/Documentos/631/13110506475/6311311050647510092023112544.pdf</v>
      </c>
      <c r="F5377" s="5" t="str">
        <f>HYPERLINK("https://dpmzos25m8ivg.cloudfront.net/Documentos/631/13110506475/6311311050647510092023112558.pdf","https://dpmzos25m8ivg.cloudfront.net/Documentos/631/13110506475/6311311050647510092023112558.pdf")</f>
        <v>https://dpmzos25m8ivg.cloudfront.net/Documentos/631/13110506475/6311311050647510092023112558.pdf</v>
      </c>
      <c r="G5377" s="5" t="str">
        <f>HYPERLINK("https://dpmzos25m8ivg.cloudfront.net/Documentos/631/13110506475/6311311050647510092023112607.pdf","https://dpmzos25m8ivg.cloudfront.net/Documentos/631/13110506475/6311311050647510092023112607.pdf")</f>
        <v>https://dpmzos25m8ivg.cloudfront.net/Documentos/631/13110506475/6311311050647510092023112607.pdf</v>
      </c>
      <c r="H5377" s="5" t="s">
        <v>13949</v>
      </c>
    </row>
    <row r="5378" spans="1:8" x14ac:dyDescent="0.25">
      <c r="A5378" s="2" t="s">
        <v>5406</v>
      </c>
      <c r="B5378" s="3"/>
      <c r="C5378" s="3"/>
      <c r="D5378" s="3"/>
      <c r="E5378" s="5" t="str">
        <f>HYPERLINK("https://dpmzos25m8ivg.cloudfront.net/Documentos/631/13116439745/6311311643974513092023170708.jpg","https://dpmzos25m8ivg.cloudfront.net/Documentos/631/13116439745/6311311643974513092023170708.jpg")</f>
        <v>https://dpmzos25m8ivg.cloudfront.net/Documentos/631/13116439745/6311311643974513092023170708.jpg</v>
      </c>
      <c r="F5378" s="5" t="str">
        <f>HYPERLINK("https://dpmzos25m8ivg.cloudfront.net/Documentos/631/13116439745/6311311643974513092023170806.jpg","https://dpmzos25m8ivg.cloudfront.net/Documentos/631/13116439745/6311311643974513092023170806.jpg")</f>
        <v>https://dpmzos25m8ivg.cloudfront.net/Documentos/631/13116439745/6311311643974513092023170806.jpg</v>
      </c>
      <c r="G5378" s="5" t="str">
        <f>HYPERLINK("https://dpmzos25m8ivg.cloudfront.net/Documentos/631/13116439745/6311311643974513092023170834.jpg","https://dpmzos25m8ivg.cloudfront.net/Documentos/631/13116439745/6311311643974513092023170834.jpg")</f>
        <v>https://dpmzos25m8ivg.cloudfront.net/Documentos/631/13116439745/6311311643974513092023170834.jpg</v>
      </c>
      <c r="H5378" s="5" t="s">
        <v>13950</v>
      </c>
    </row>
    <row r="5379" spans="1:8" x14ac:dyDescent="0.25">
      <c r="A5379" s="2" t="s">
        <v>5407</v>
      </c>
      <c r="B5379" s="3"/>
      <c r="C5379" s="3"/>
      <c r="D5379" s="3"/>
      <c r="E5379" s="5" t="str">
        <f>HYPERLINK("https://dpmzos25m8ivg.cloudfront.net/Documentos/631/13117465600/6311311746560010092023211945.pdf","https://dpmzos25m8ivg.cloudfront.net/Documentos/631/13117465600/6311311746560010092023211945.pdf")</f>
        <v>https://dpmzos25m8ivg.cloudfront.net/Documentos/631/13117465600/6311311746560010092023211945.pdf</v>
      </c>
      <c r="F5379" s="5" t="str">
        <f>HYPERLINK("https://dpmzos25m8ivg.cloudfront.net/Documentos/631/13117465600/6311311746560010092023212013.pdf","https://dpmzos25m8ivg.cloudfront.net/Documentos/631/13117465600/6311311746560010092023212013.pdf")</f>
        <v>https://dpmzos25m8ivg.cloudfront.net/Documentos/631/13117465600/6311311746560010092023212013.pdf</v>
      </c>
      <c r="G5379" s="5" t="str">
        <f>HYPERLINK("https://dpmzos25m8ivg.cloudfront.net/Documentos/631/13117465600/6311311746560010092023212046.pdf","https://dpmzos25m8ivg.cloudfront.net/Documentos/631/13117465600/6311311746560010092023212046.pdf")</f>
        <v>https://dpmzos25m8ivg.cloudfront.net/Documentos/631/13117465600/6311311746560010092023212046.pdf</v>
      </c>
      <c r="H5379" s="5" t="s">
        <v>13951</v>
      </c>
    </row>
    <row r="5380" spans="1:8" x14ac:dyDescent="0.25">
      <c r="A5380" s="2" t="s">
        <v>5408</v>
      </c>
      <c r="B5380" s="3"/>
      <c r="C5380" s="3"/>
      <c r="D5380" s="3"/>
      <c r="E5380" s="5" t="str">
        <f>HYPERLINK("https://dpmzos25m8ivg.cloudfront.net/Documentos/631/13117937633/6311311793763305092023161322.pdf","https://dpmzos25m8ivg.cloudfront.net/Documentos/631/13117937633/6311311793763305092023161322.pdf")</f>
        <v>https://dpmzos25m8ivg.cloudfront.net/Documentos/631/13117937633/6311311793763305092023161322.pdf</v>
      </c>
      <c r="F5380" s="5" t="str">
        <f>HYPERLINK("https://dpmzos25m8ivg.cloudfront.net/Documentos/631/13117937633/6311311793763305092023161334.pdf","https://dpmzos25m8ivg.cloudfront.net/Documentos/631/13117937633/6311311793763305092023161334.pdf")</f>
        <v>https://dpmzos25m8ivg.cloudfront.net/Documentos/631/13117937633/6311311793763305092023161334.pdf</v>
      </c>
      <c r="G5380" s="5" t="str">
        <f>HYPERLINK("https://dpmzos25m8ivg.cloudfront.net/Documentos/631/13117937633/6311311793763305092023161344.pdf","https://dpmzos25m8ivg.cloudfront.net/Documentos/631/13117937633/6311311793763305092023161344.pdf")</f>
        <v>https://dpmzos25m8ivg.cloudfront.net/Documentos/631/13117937633/6311311793763305092023161344.pdf</v>
      </c>
      <c r="H5380" s="5" t="s">
        <v>13952</v>
      </c>
    </row>
    <row r="5381" spans="1:8" x14ac:dyDescent="0.25">
      <c r="A5381" s="2" t="s">
        <v>5409</v>
      </c>
      <c r="B5381" s="3"/>
      <c r="C5381" s="3"/>
      <c r="D5381" s="3"/>
      <c r="E5381" s="5" t="str">
        <f>HYPERLINK("https://dpmzos25m8ivg.cloudfront.net/Documentos/631/13132963763/6311313296376310092023191046.jpg","https://dpmzos25m8ivg.cloudfront.net/Documentos/631/13132963763/6311313296376310092023191046.jpg")</f>
        <v>https://dpmzos25m8ivg.cloudfront.net/Documentos/631/13132963763/6311313296376310092023191046.jpg</v>
      </c>
      <c r="F5381" s="5" t="str">
        <f>HYPERLINK("https://dpmzos25m8ivg.cloudfront.net/Documentos/631/13132963763/6311313296376310092023191059.jpg","https://dpmzos25m8ivg.cloudfront.net/Documentos/631/13132963763/6311313296376310092023191059.jpg")</f>
        <v>https://dpmzos25m8ivg.cloudfront.net/Documentos/631/13132963763/6311313296376310092023191059.jpg</v>
      </c>
      <c r="G5381" s="5" t="str">
        <f>HYPERLINK("https://dpmzos25m8ivg.cloudfront.net/Documentos/631/13132963763/6311313296376310092023191112.jpg","https://dpmzos25m8ivg.cloudfront.net/Documentos/631/13132963763/6311313296376310092023191112.jpg")</f>
        <v>https://dpmzos25m8ivg.cloudfront.net/Documentos/631/13132963763/6311313296376310092023191112.jpg</v>
      </c>
      <c r="H5381" s="5" t="s">
        <v>13953</v>
      </c>
    </row>
    <row r="5382" spans="1:8" x14ac:dyDescent="0.25">
      <c r="A5382" s="2" t="s">
        <v>5410</v>
      </c>
      <c r="B5382" s="3"/>
      <c r="C5382" s="3"/>
      <c r="D5382" s="3"/>
      <c r="E5382" s="5" t="str">
        <f>HYPERLINK("https://dpmzos25m8ivg.cloudfront.net/Documentos/631/13135079627/6311313507962706092023173801.jpg","https://dpmzos25m8ivg.cloudfront.net/Documentos/631/13135079627/6311313507962706092023173801.jpg")</f>
        <v>https://dpmzos25m8ivg.cloudfront.net/Documentos/631/13135079627/6311313507962706092023173801.jpg</v>
      </c>
      <c r="F5382" s="5" t="str">
        <f>HYPERLINK("https://dpmzos25m8ivg.cloudfront.net/Documentos/631/13135079627/6311313507962706092023173819.jpg","https://dpmzos25m8ivg.cloudfront.net/Documentos/631/13135079627/6311313507962706092023173819.jpg")</f>
        <v>https://dpmzos25m8ivg.cloudfront.net/Documentos/631/13135079627/6311313507962706092023173819.jpg</v>
      </c>
      <c r="G5382" s="5" t="str">
        <f>HYPERLINK("https://dpmzos25m8ivg.cloudfront.net/Documentos/631/13135079627/6311313507962706092023173833.jpg","https://dpmzos25m8ivg.cloudfront.net/Documentos/631/13135079627/6311313507962706092023173833.jpg")</f>
        <v>https://dpmzos25m8ivg.cloudfront.net/Documentos/631/13135079627/6311313507962706092023173833.jpg</v>
      </c>
      <c r="H5382" s="5" t="s">
        <v>13954</v>
      </c>
    </row>
    <row r="5383" spans="1:8" x14ac:dyDescent="0.25">
      <c r="A5383" s="2" t="s">
        <v>5411</v>
      </c>
      <c r="B5383" s="3"/>
      <c r="C5383" s="3"/>
      <c r="D5383" s="3"/>
      <c r="E5383" s="5" t="str">
        <f>HYPERLINK("https://dpmzos25m8ivg.cloudfront.net/Documentos/631/13138468721/6311313846872111092023120830.pdf","https://dpmzos25m8ivg.cloudfront.net/Documentos/631/13138468721/6311313846872111092023120830.pdf")</f>
        <v>https://dpmzos25m8ivg.cloudfront.net/Documentos/631/13138468721/6311313846872111092023120830.pdf</v>
      </c>
      <c r="F5383" s="5" t="str">
        <f>HYPERLINK("https://dpmzos25m8ivg.cloudfront.net/Documentos/631/13138468721/6311313846872111092023120851.pdf","https://dpmzos25m8ivg.cloudfront.net/Documentos/631/13138468721/6311313846872111092023120851.pdf")</f>
        <v>https://dpmzos25m8ivg.cloudfront.net/Documentos/631/13138468721/6311313846872111092023120851.pdf</v>
      </c>
      <c r="G5383" s="5" t="str">
        <f>HYPERLINK("https://dpmzos25m8ivg.cloudfront.net/Documentos/631/13138468721/6311313846872111092023120909.pdf","https://dpmzos25m8ivg.cloudfront.net/Documentos/631/13138468721/6311313846872111092023120909.pdf")</f>
        <v>https://dpmzos25m8ivg.cloudfront.net/Documentos/631/13138468721/6311313846872111092023120909.pdf</v>
      </c>
      <c r="H5383" s="5" t="s">
        <v>13955</v>
      </c>
    </row>
    <row r="5384" spans="1:8" x14ac:dyDescent="0.25">
      <c r="A5384" s="2" t="s">
        <v>5412</v>
      </c>
      <c r="B5384" s="3"/>
      <c r="C5384" s="3"/>
      <c r="D5384" s="3"/>
      <c r="E5384" s="5" t="str">
        <f>HYPERLINK("https://dpmzos25m8ivg.cloudfront.net/Documentos/631/13147146782/6311314714678210092023102603.pdf","https://dpmzos25m8ivg.cloudfront.net/Documentos/631/13147146782/6311314714678210092023102603.pdf")</f>
        <v>https://dpmzos25m8ivg.cloudfront.net/Documentos/631/13147146782/6311314714678210092023102603.pdf</v>
      </c>
      <c r="F5384" s="5" t="str">
        <f>HYPERLINK("https://dpmzos25m8ivg.cloudfront.net/Documentos/631/13147146782/6311314714678210092023102619.pdf","https://dpmzos25m8ivg.cloudfront.net/Documentos/631/13147146782/6311314714678210092023102619.pdf")</f>
        <v>https://dpmzos25m8ivg.cloudfront.net/Documentos/631/13147146782/6311314714678210092023102619.pdf</v>
      </c>
      <c r="G5384" s="5" t="str">
        <f>HYPERLINK("https://dpmzos25m8ivg.cloudfront.net/Documentos/631/13147146782/6311314714678210092023102639.pdf","https://dpmzos25m8ivg.cloudfront.net/Documentos/631/13147146782/6311314714678210092023102639.pdf")</f>
        <v>https://dpmzos25m8ivg.cloudfront.net/Documentos/631/13147146782/6311314714678210092023102639.pdf</v>
      </c>
      <c r="H5384" s="5" t="s">
        <v>13956</v>
      </c>
    </row>
    <row r="5385" spans="1:8" x14ac:dyDescent="0.25">
      <c r="A5385" s="2" t="s">
        <v>5413</v>
      </c>
      <c r="B5385" s="16" t="s">
        <v>2358</v>
      </c>
      <c r="C5385" s="3"/>
      <c r="D5385" s="3"/>
      <c r="E5385" s="5" t="str">
        <f>HYPERLINK("https://dpmzos25m8ivg.cloudfront.net/Documentos/631/13159612708/6311315961270810092023200313.jpeg","https://dpmzos25m8ivg.cloudfront.net/Documentos/631/13159612708/6311315961270810092023200313.jpeg")</f>
        <v>https://dpmzos25m8ivg.cloudfront.net/Documentos/631/13159612708/6311315961270810092023200313.jpeg</v>
      </c>
      <c r="F5385" s="5" t="str">
        <f>HYPERLINK("https://dpmzos25m8ivg.cloudfront.net/Documentos/631/13159612708/6311315961270810092023200328.jpeg","https://dpmzos25m8ivg.cloudfront.net/Documentos/631/13159612708/6311315961270810092023200328.jpeg")</f>
        <v>https://dpmzos25m8ivg.cloudfront.net/Documentos/631/13159612708/6311315961270810092023200328.jpeg</v>
      </c>
      <c r="G5385" s="5" t="str">
        <f>HYPERLINK("https://dpmzos25m8ivg.cloudfront.net/Documentos/631/13159612708/6311315961270810092023200344.jpeg","https://dpmzos25m8ivg.cloudfront.net/Documentos/631/13159612708/6311315961270810092023200344.jpeg")</f>
        <v>https://dpmzos25m8ivg.cloudfront.net/Documentos/631/13159612708/6311315961270810092023200344.jpeg</v>
      </c>
      <c r="H5385" s="5" t="s">
        <v>13957</v>
      </c>
    </row>
    <row r="5386" spans="1:8" x14ac:dyDescent="0.25">
      <c r="A5386" s="2" t="s">
        <v>5414</v>
      </c>
      <c r="B5386" s="3"/>
      <c r="C5386" s="3"/>
      <c r="D5386" s="3"/>
      <c r="E5386" s="5" t="str">
        <f>HYPERLINK("https://dpmzos25m8ivg.cloudfront.net/Documentos/631/13160417603/6311316041760309092023134118.pdf","https://dpmzos25m8ivg.cloudfront.net/Documentos/631/13160417603/6311316041760309092023134118.pdf")</f>
        <v>https://dpmzos25m8ivg.cloudfront.net/Documentos/631/13160417603/6311316041760309092023134118.pdf</v>
      </c>
      <c r="F5386" s="5" t="str">
        <f>HYPERLINK("https://dpmzos25m8ivg.cloudfront.net/Documentos/631/13160417603/6311316041760309092023134128.pdf","https://dpmzos25m8ivg.cloudfront.net/Documentos/631/13160417603/6311316041760309092023134128.pdf")</f>
        <v>https://dpmzos25m8ivg.cloudfront.net/Documentos/631/13160417603/6311316041760309092023134128.pdf</v>
      </c>
      <c r="G5386" s="5" t="str">
        <f>HYPERLINK("https://dpmzos25m8ivg.cloudfront.net/Documentos/631/13160417603/6311316041760309092023134135.pdf","https://dpmzos25m8ivg.cloudfront.net/Documentos/631/13160417603/6311316041760309092023134135.pdf")</f>
        <v>https://dpmzos25m8ivg.cloudfront.net/Documentos/631/13160417603/6311316041760309092023134135.pdf</v>
      </c>
      <c r="H5386" s="5" t="s">
        <v>13958</v>
      </c>
    </row>
    <row r="5387" spans="1:8" x14ac:dyDescent="0.25">
      <c r="A5387" s="2" t="s">
        <v>2563</v>
      </c>
      <c r="B5387" s="3"/>
      <c r="C5387" s="3"/>
      <c r="D5387" s="3"/>
      <c r="E5387" s="5" t="str">
        <f>HYPERLINK("https://dpmzos25m8ivg.cloudfront.net/Documentos/631/13165256780/6311316525678005092023151302.jpeg","https://dpmzos25m8ivg.cloudfront.net/Documentos/631/13165256780/6311316525678005092023151302.jpeg")</f>
        <v>https://dpmzos25m8ivg.cloudfront.net/Documentos/631/13165256780/6311316525678005092023151302.jpeg</v>
      </c>
      <c r="F5387" s="5" t="str">
        <f>HYPERLINK("https://dpmzos25m8ivg.cloudfront.net/Documentos/631/13165256780/6311316525678005092023151358.jpeg","https://dpmzos25m8ivg.cloudfront.net/Documentos/631/13165256780/6311316525678005092023151358.jpeg")</f>
        <v>https://dpmzos25m8ivg.cloudfront.net/Documentos/631/13165256780/6311316525678005092023151358.jpeg</v>
      </c>
      <c r="G5387" s="5" t="str">
        <f>HYPERLINK("https://dpmzos25m8ivg.cloudfront.net/Documentos/631/13165256780/6311316525678005092023151415.jpeg","https://dpmzos25m8ivg.cloudfront.net/Documentos/631/13165256780/6311316525678005092023151415.jpeg")</f>
        <v>https://dpmzos25m8ivg.cloudfront.net/Documentos/631/13165256780/6311316525678005092023151415.jpeg</v>
      </c>
      <c r="H5387" s="5" t="s">
        <v>13959</v>
      </c>
    </row>
    <row r="5388" spans="1:8" x14ac:dyDescent="0.25">
      <c r="A5388" s="2" t="s">
        <v>5415</v>
      </c>
      <c r="B5388" s="3"/>
      <c r="C5388" s="3"/>
      <c r="D5388" s="3"/>
      <c r="E5388" s="5" t="str">
        <f>HYPERLINK("https://dpmzos25m8ivg.cloudfront.net/Documentos/631/13168980757/6311316898075706092023004420.jpg","https://dpmzos25m8ivg.cloudfront.net/Documentos/631/13168980757/6311316898075706092023004420.jpg")</f>
        <v>https://dpmzos25m8ivg.cloudfront.net/Documentos/631/13168980757/6311316898075706092023004420.jpg</v>
      </c>
      <c r="F5388" s="5" t="str">
        <f>HYPERLINK("https://dpmzos25m8ivg.cloudfront.net/Documentos/631/13168980757/6311316898075706092023004430.jpg","https://dpmzos25m8ivg.cloudfront.net/Documentos/631/13168980757/6311316898075706092023004430.jpg")</f>
        <v>https://dpmzos25m8ivg.cloudfront.net/Documentos/631/13168980757/6311316898075706092023004430.jpg</v>
      </c>
      <c r="G5388" s="5" t="str">
        <f>HYPERLINK("https://dpmzos25m8ivg.cloudfront.net/Documentos/631/13168980757/6311316898075706092023004439.jpg","https://dpmzos25m8ivg.cloudfront.net/Documentos/631/13168980757/6311316898075706092023004439.jpg")</f>
        <v>https://dpmzos25m8ivg.cloudfront.net/Documentos/631/13168980757/6311316898075706092023004439.jpg</v>
      </c>
      <c r="H5388" s="5" t="s">
        <v>13960</v>
      </c>
    </row>
    <row r="5389" spans="1:8" x14ac:dyDescent="0.25">
      <c r="A5389" s="2" t="s">
        <v>5416</v>
      </c>
      <c r="B5389" s="3"/>
      <c r="C5389" s="3"/>
      <c r="D5389" s="3"/>
      <c r="E5389" s="5" t="str">
        <f>HYPERLINK("https://dpmzos25m8ivg.cloudfront.net/Documentos/631/13171501635/6311317150163507092023142330.jpg","https://dpmzos25m8ivg.cloudfront.net/Documentos/631/13171501635/6311317150163507092023142330.jpg")</f>
        <v>https://dpmzos25m8ivg.cloudfront.net/Documentos/631/13171501635/6311317150163507092023142330.jpg</v>
      </c>
      <c r="F5389" s="5" t="str">
        <f>HYPERLINK("https://dpmzos25m8ivg.cloudfront.net/Documentos/631/13171501635/6311317150163507092023142338.jpg","https://dpmzos25m8ivg.cloudfront.net/Documentos/631/13171501635/6311317150163507092023142338.jpg")</f>
        <v>https://dpmzos25m8ivg.cloudfront.net/Documentos/631/13171501635/6311317150163507092023142338.jpg</v>
      </c>
      <c r="G5389" s="5" t="str">
        <f>HYPERLINK("https://dpmzos25m8ivg.cloudfront.net/Documentos/631/13171501635/6311317150163507092023142344.jpg","https://dpmzos25m8ivg.cloudfront.net/Documentos/631/13171501635/6311317150163507092023142344.jpg")</f>
        <v>https://dpmzos25m8ivg.cloudfront.net/Documentos/631/13171501635/6311317150163507092023142344.jpg</v>
      </c>
      <c r="H5389" s="5" t="s">
        <v>13961</v>
      </c>
    </row>
    <row r="5390" spans="1:8" x14ac:dyDescent="0.25">
      <c r="A5390" s="2" t="s">
        <v>5417</v>
      </c>
      <c r="B5390" s="16" t="s">
        <v>2358</v>
      </c>
      <c r="C5390" s="3"/>
      <c r="D5390" s="3"/>
      <c r="E5390" s="5" t="str">
        <f>HYPERLINK("https://dpmzos25m8ivg.cloudfront.net/Documentos/631/13171684705/6311317168470507092023165734.pdf","https://dpmzos25m8ivg.cloudfront.net/Documentos/631/13171684705/6311317168470507092023165734.pdf")</f>
        <v>https://dpmzos25m8ivg.cloudfront.net/Documentos/631/13171684705/6311317168470507092023165734.pdf</v>
      </c>
      <c r="F5390" s="5" t="str">
        <f>HYPERLINK("https://dpmzos25m8ivg.cloudfront.net/Documentos/631/13171684705/6311317168470507092023165745.pdf","https://dpmzos25m8ivg.cloudfront.net/Documentos/631/13171684705/6311317168470507092023165745.pdf")</f>
        <v>https://dpmzos25m8ivg.cloudfront.net/Documentos/631/13171684705/6311317168470507092023165745.pdf</v>
      </c>
      <c r="G5390" s="5" t="str">
        <f>HYPERLINK("https://dpmzos25m8ivg.cloudfront.net/Documentos/631/13171684705/6311317168470507092023165757.pdf","https://dpmzos25m8ivg.cloudfront.net/Documentos/631/13171684705/6311317168470507092023165757.pdf")</f>
        <v>https://dpmzos25m8ivg.cloudfront.net/Documentos/631/13171684705/6311317168470507092023165757.pdf</v>
      </c>
      <c r="H5390" s="5" t="s">
        <v>13962</v>
      </c>
    </row>
    <row r="5391" spans="1:8" x14ac:dyDescent="0.25">
      <c r="A5391" s="2" t="s">
        <v>5418</v>
      </c>
      <c r="B5391" s="3"/>
      <c r="C5391" s="3"/>
      <c r="D5391" s="3"/>
      <c r="E5391" s="5" t="str">
        <f>HYPERLINK("https://dpmzos25m8ivg.cloudfront.net/Documentos/631/13172655806/6311317265580607092023105235.pdf","https://dpmzos25m8ivg.cloudfront.net/Documentos/631/13172655806/6311317265580607092023105235.pdf")</f>
        <v>https://dpmzos25m8ivg.cloudfront.net/Documentos/631/13172655806/6311317265580607092023105235.pdf</v>
      </c>
      <c r="F5391" s="5" t="str">
        <f>HYPERLINK("https://dpmzos25m8ivg.cloudfront.net/Documentos/631/13172655806/6311317265580607092023105300.pdf","https://dpmzos25m8ivg.cloudfront.net/Documentos/631/13172655806/6311317265580607092023105300.pdf")</f>
        <v>https://dpmzos25m8ivg.cloudfront.net/Documentos/631/13172655806/6311317265580607092023105300.pdf</v>
      </c>
      <c r="G5391" s="5" t="str">
        <f>HYPERLINK("https://dpmzos25m8ivg.cloudfront.net/Documentos/631/13172655806/6311317265580607092023105316.pdf","https://dpmzos25m8ivg.cloudfront.net/Documentos/631/13172655806/6311317265580607092023105316.pdf")</f>
        <v>https://dpmzos25m8ivg.cloudfront.net/Documentos/631/13172655806/6311317265580607092023105316.pdf</v>
      </c>
      <c r="H5391" s="5" t="s">
        <v>13963</v>
      </c>
    </row>
    <row r="5392" spans="1:8" x14ac:dyDescent="0.25">
      <c r="A5392" s="2" t="s">
        <v>5419</v>
      </c>
      <c r="B5392" s="16" t="s">
        <v>5069</v>
      </c>
      <c r="C5392" s="3"/>
      <c r="D5392" s="3"/>
      <c r="E5392" s="5" t="str">
        <f>HYPERLINK("https://dpmzos25m8ivg.cloudfront.net/Documentos/631/13173961463/6311317396146306092023183305.pdf","https://dpmzos25m8ivg.cloudfront.net/Documentos/631/13173961463/6311317396146306092023183305.pdf")</f>
        <v>https://dpmzos25m8ivg.cloudfront.net/Documentos/631/13173961463/6311317396146306092023183305.pdf</v>
      </c>
      <c r="F5392" s="5" t="str">
        <f>HYPERLINK("https://dpmzos25m8ivg.cloudfront.net/Documentos/631/13173961463/6311317396146306092023183253.pdf","https://dpmzos25m8ivg.cloudfront.net/Documentos/631/13173961463/6311317396146306092023183253.pdf")</f>
        <v>https://dpmzos25m8ivg.cloudfront.net/Documentos/631/13173961463/6311317396146306092023183253.pdf</v>
      </c>
      <c r="G5392" s="5" t="str">
        <f>HYPERLINK("https://dpmzos25m8ivg.cloudfront.net/Documentos/631/13173961463/6311317396146306092023183234.pdf","https://dpmzos25m8ivg.cloudfront.net/Documentos/631/13173961463/6311317396146306092023183234.pdf")</f>
        <v>https://dpmzos25m8ivg.cloudfront.net/Documentos/631/13173961463/6311317396146306092023183234.pdf</v>
      </c>
      <c r="H5392" s="5" t="s">
        <v>13964</v>
      </c>
    </row>
    <row r="5393" spans="1:8" x14ac:dyDescent="0.25">
      <c r="A5393" s="2" t="s">
        <v>5420</v>
      </c>
      <c r="B5393" s="3"/>
      <c r="C5393" s="3"/>
      <c r="D5393" s="3"/>
      <c r="E5393" s="5" t="str">
        <f>HYPERLINK("https://dpmzos25m8ivg.cloudfront.net/Documentos/631/13181484482/6311318148448214092023105411.pdf","https://dpmzos25m8ivg.cloudfront.net/Documentos/631/13181484482/6311318148448214092023105411.pdf")</f>
        <v>https://dpmzos25m8ivg.cloudfront.net/Documentos/631/13181484482/6311318148448214092023105411.pdf</v>
      </c>
      <c r="F5393" s="5" t="str">
        <f>HYPERLINK("https://dpmzos25m8ivg.cloudfront.net/Documentos/631/13181484482/6311318148448214092023105425.pdf","https://dpmzos25m8ivg.cloudfront.net/Documentos/631/13181484482/6311318148448214092023105425.pdf")</f>
        <v>https://dpmzos25m8ivg.cloudfront.net/Documentos/631/13181484482/6311318148448214092023105425.pdf</v>
      </c>
      <c r="G5393" s="5" t="str">
        <f>HYPERLINK("https://dpmzos25m8ivg.cloudfront.net/Documentos/631/13181484482/6311318148448214092023105437.pdf","https://dpmzos25m8ivg.cloudfront.net/Documentos/631/13181484482/6311318148448214092023105437.pdf")</f>
        <v>https://dpmzos25m8ivg.cloudfront.net/Documentos/631/13181484482/6311318148448214092023105437.pdf</v>
      </c>
      <c r="H5393" s="5" t="s">
        <v>13965</v>
      </c>
    </row>
    <row r="5394" spans="1:8" x14ac:dyDescent="0.25">
      <c r="A5394" s="2" t="s">
        <v>5421</v>
      </c>
      <c r="B5394" s="3"/>
      <c r="C5394" s="3"/>
      <c r="D5394" s="3"/>
      <c r="E5394" s="5" t="str">
        <f>HYPERLINK("https://dpmzos25m8ivg.cloudfront.net/Documentos/631/13182549499/6311318254949911092023155931.jpeg","https://dpmzos25m8ivg.cloudfront.net/Documentos/631/13182549499/6311318254949911092023155931.jpeg")</f>
        <v>https://dpmzos25m8ivg.cloudfront.net/Documentos/631/13182549499/6311318254949911092023155931.jpeg</v>
      </c>
      <c r="F5394" s="5" t="str">
        <f>HYPERLINK("https://dpmzos25m8ivg.cloudfront.net/Documentos/631/13182549499/6311318254949911092023160003.jpeg","https://dpmzos25m8ivg.cloudfront.net/Documentos/631/13182549499/6311318254949911092023160003.jpeg")</f>
        <v>https://dpmzos25m8ivg.cloudfront.net/Documentos/631/13182549499/6311318254949911092023160003.jpeg</v>
      </c>
      <c r="G5394" s="5" t="str">
        <f>HYPERLINK("https://dpmzos25m8ivg.cloudfront.net/Documentos/631/13182549499/6311318254949911092023160022.jpeg","https://dpmzos25m8ivg.cloudfront.net/Documentos/631/13182549499/6311318254949911092023160022.jpeg")</f>
        <v>https://dpmzos25m8ivg.cloudfront.net/Documentos/631/13182549499/6311318254949911092023160022.jpeg</v>
      </c>
      <c r="H5394" s="5" t="s">
        <v>13966</v>
      </c>
    </row>
    <row r="5395" spans="1:8" x14ac:dyDescent="0.25">
      <c r="A5395" s="2" t="s">
        <v>5422</v>
      </c>
      <c r="B5395" s="3"/>
      <c r="C5395" s="3"/>
      <c r="D5395" s="3"/>
      <c r="E5395" s="5" t="str">
        <f>HYPERLINK("https://dpmzos25m8ivg.cloudfront.net/Documentos/631/13188430655/6311318843065505092023121032.pdf","https://dpmzos25m8ivg.cloudfront.net/Documentos/631/13188430655/6311318843065505092023121032.pdf")</f>
        <v>https://dpmzos25m8ivg.cloudfront.net/Documentos/631/13188430655/6311318843065505092023121032.pdf</v>
      </c>
      <c r="F5395" s="5" t="str">
        <f>HYPERLINK("https://dpmzos25m8ivg.cloudfront.net/Documentos/631/13188430655/6311318843065505092023121055.pdf","https://dpmzos25m8ivg.cloudfront.net/Documentos/631/13188430655/6311318843065505092023121055.pdf")</f>
        <v>https://dpmzos25m8ivg.cloudfront.net/Documentos/631/13188430655/6311318843065505092023121055.pdf</v>
      </c>
      <c r="G5395" s="5" t="str">
        <f>HYPERLINK("https://dpmzos25m8ivg.cloudfront.net/Documentos/631/13188430655/6311318843065505092023121119.pdf","https://dpmzos25m8ivg.cloudfront.net/Documentos/631/13188430655/6311318843065505092023121119.pdf")</f>
        <v>https://dpmzos25m8ivg.cloudfront.net/Documentos/631/13188430655/6311318843065505092023121119.pdf</v>
      </c>
      <c r="H5395" s="5" t="s">
        <v>13967</v>
      </c>
    </row>
    <row r="5396" spans="1:8" x14ac:dyDescent="0.25">
      <c r="A5396" s="2" t="s">
        <v>5423</v>
      </c>
      <c r="B5396" s="3"/>
      <c r="C5396" s="3"/>
      <c r="D5396" s="3"/>
      <c r="E5396" s="5" t="str">
        <f>HYPERLINK("https://dpmzos25m8ivg.cloudfront.net/Documentos/631/13194734741/6311319473474111092023151953.pdf","https://dpmzos25m8ivg.cloudfront.net/Documentos/631/13194734741/6311319473474111092023151953.pdf")</f>
        <v>https://dpmzos25m8ivg.cloudfront.net/Documentos/631/13194734741/6311319473474111092023151953.pdf</v>
      </c>
      <c r="F5396" s="5" t="str">
        <f>HYPERLINK("https://dpmzos25m8ivg.cloudfront.net/Documentos/631/13194734741/6311319473474111092023152017.pdf","https://dpmzos25m8ivg.cloudfront.net/Documentos/631/13194734741/6311319473474111092023152017.pdf")</f>
        <v>https://dpmzos25m8ivg.cloudfront.net/Documentos/631/13194734741/6311319473474111092023152017.pdf</v>
      </c>
      <c r="G5396" s="5" t="str">
        <f>HYPERLINK("https://dpmzos25m8ivg.cloudfront.net/Documentos/631/13194734741/6311319473474111092023152005.pdf","https://dpmzos25m8ivg.cloudfront.net/Documentos/631/13194734741/6311319473474111092023152005.pdf")</f>
        <v>https://dpmzos25m8ivg.cloudfront.net/Documentos/631/13194734741/6311319473474111092023152005.pdf</v>
      </c>
      <c r="H5396" s="5" t="s">
        <v>13968</v>
      </c>
    </row>
    <row r="5397" spans="1:8" x14ac:dyDescent="0.25">
      <c r="A5397" s="2" t="s">
        <v>5424</v>
      </c>
      <c r="B5397" s="3"/>
      <c r="C5397" s="3"/>
      <c r="D5397" s="3"/>
      <c r="E5397" s="5" t="str">
        <f>HYPERLINK("https://dpmzos25m8ivg.cloudfront.net/Documentos/631/13201793477/6311320179347711092023130842.pdf","https://dpmzos25m8ivg.cloudfront.net/Documentos/631/13201793477/6311320179347711092023130842.pdf")</f>
        <v>https://dpmzos25m8ivg.cloudfront.net/Documentos/631/13201793477/6311320179347711092023130842.pdf</v>
      </c>
      <c r="F5397" s="5" t="str">
        <f>HYPERLINK("https://dpmzos25m8ivg.cloudfront.net/Documentos/631/13201793477/6311320179347711092023130857.pdf","https://dpmzos25m8ivg.cloudfront.net/Documentos/631/13201793477/6311320179347711092023130857.pdf")</f>
        <v>https://dpmzos25m8ivg.cloudfront.net/Documentos/631/13201793477/6311320179347711092023130857.pdf</v>
      </c>
      <c r="G5397" s="5" t="str">
        <f>HYPERLINK("https://dpmzos25m8ivg.cloudfront.net/Documentos/631/13201793477/6311320179347711092023130914.pdf","https://dpmzos25m8ivg.cloudfront.net/Documentos/631/13201793477/6311320179347711092023130914.pdf")</f>
        <v>https://dpmzos25m8ivg.cloudfront.net/Documentos/631/13201793477/6311320179347711092023130914.pdf</v>
      </c>
      <c r="H5397" s="5" t="s">
        <v>13969</v>
      </c>
    </row>
    <row r="5398" spans="1:8" x14ac:dyDescent="0.25">
      <c r="A5398" s="2" t="s">
        <v>5425</v>
      </c>
      <c r="B5398" s="3"/>
      <c r="C5398" s="3"/>
      <c r="D5398" s="3"/>
      <c r="E5398" s="5" t="str">
        <f>HYPERLINK("https://dpmzos25m8ivg.cloudfront.net/Documentos/631/13203693674/6311320369367414092023141109.jpg","https://dpmzos25m8ivg.cloudfront.net/Documentos/631/13203693674/6311320369367414092023141109.jpg")</f>
        <v>https://dpmzos25m8ivg.cloudfront.net/Documentos/631/13203693674/6311320369367414092023141109.jpg</v>
      </c>
      <c r="F5398" s="5" t="str">
        <f>HYPERLINK("https://dpmzos25m8ivg.cloudfront.net/Documentos/631/13203693674/6311320369367414092023141128.jpg","https://dpmzos25m8ivg.cloudfront.net/Documentos/631/13203693674/6311320369367414092023141128.jpg")</f>
        <v>https://dpmzos25m8ivg.cloudfront.net/Documentos/631/13203693674/6311320369367414092023141128.jpg</v>
      </c>
      <c r="G5398" s="5" t="str">
        <f>HYPERLINK("https://dpmzos25m8ivg.cloudfront.net/Documentos/631/13203693674/6311320369367414092023141143.jpg","https://dpmzos25m8ivg.cloudfront.net/Documentos/631/13203693674/6311320369367414092023141143.jpg")</f>
        <v>https://dpmzos25m8ivg.cloudfront.net/Documentos/631/13203693674/6311320369367414092023141143.jpg</v>
      </c>
      <c r="H5398" s="5" t="s">
        <v>13970</v>
      </c>
    </row>
    <row r="5399" spans="1:8" x14ac:dyDescent="0.25">
      <c r="A5399" s="2" t="s">
        <v>5426</v>
      </c>
      <c r="B5399" s="3"/>
      <c r="C5399" s="3"/>
      <c r="D5399" s="3"/>
      <c r="E5399" s="5" t="str">
        <f>HYPERLINK("https://dpmzos25m8ivg.cloudfront.net/Documentos/631/13208362676/6311320836267610092023173440.pdf","https://dpmzos25m8ivg.cloudfront.net/Documentos/631/13208362676/6311320836267610092023173440.pdf")</f>
        <v>https://dpmzos25m8ivg.cloudfront.net/Documentos/631/13208362676/6311320836267610092023173440.pdf</v>
      </c>
      <c r="F5399" s="5" t="str">
        <f>HYPERLINK("https://dpmzos25m8ivg.cloudfront.net/Documentos/631/13208362676/6311320836267610092023173451.pdf","https://dpmzos25m8ivg.cloudfront.net/Documentos/631/13208362676/6311320836267610092023173451.pdf")</f>
        <v>https://dpmzos25m8ivg.cloudfront.net/Documentos/631/13208362676/6311320836267610092023173451.pdf</v>
      </c>
      <c r="G5399" s="5" t="str">
        <f>HYPERLINK("https://dpmzos25m8ivg.cloudfront.net/Documentos/631/13208362676/6311320836267610092023173459.pdf","https://dpmzos25m8ivg.cloudfront.net/Documentos/631/13208362676/6311320836267610092023173459.pdf")</f>
        <v>https://dpmzos25m8ivg.cloudfront.net/Documentos/631/13208362676/6311320836267610092023173459.pdf</v>
      </c>
      <c r="H5399" s="5" t="s">
        <v>13971</v>
      </c>
    </row>
    <row r="5400" spans="1:8" x14ac:dyDescent="0.25">
      <c r="A5400" s="2" t="s">
        <v>5427</v>
      </c>
      <c r="B5400" s="3"/>
      <c r="C5400" s="3"/>
      <c r="D5400" s="3"/>
      <c r="E5400" s="5" t="str">
        <f>HYPERLINK("https://dpmzos25m8ivg.cloudfront.net/Documentos/631/13213223646/6311321322364605092023101732.pdf","https://dpmzos25m8ivg.cloudfront.net/Documentos/631/13213223646/6311321322364605092023101732.pdf")</f>
        <v>https://dpmzos25m8ivg.cloudfront.net/Documentos/631/13213223646/6311321322364605092023101732.pdf</v>
      </c>
      <c r="F5400" s="5" t="str">
        <f>HYPERLINK("https://dpmzos25m8ivg.cloudfront.net/Documentos/631/13213223646/6311321322364605092023101740.pdf","https://dpmzos25m8ivg.cloudfront.net/Documentos/631/13213223646/6311321322364605092023101740.pdf")</f>
        <v>https://dpmzos25m8ivg.cloudfront.net/Documentos/631/13213223646/6311321322364605092023101740.pdf</v>
      </c>
      <c r="G5400" s="5" t="str">
        <f>HYPERLINK("https://dpmzos25m8ivg.cloudfront.net/Documentos/631/13213223646/6311321322364605092023101750.pdf","https://dpmzos25m8ivg.cloudfront.net/Documentos/631/13213223646/6311321322364605092023101750.pdf")</f>
        <v>https://dpmzos25m8ivg.cloudfront.net/Documentos/631/13213223646/6311321322364605092023101750.pdf</v>
      </c>
      <c r="H5400" s="5" t="s">
        <v>13972</v>
      </c>
    </row>
    <row r="5401" spans="1:8" x14ac:dyDescent="0.25">
      <c r="A5401" s="2" t="s">
        <v>5428</v>
      </c>
      <c r="B5401" s="3"/>
      <c r="C5401" s="3"/>
      <c r="D5401" s="3"/>
      <c r="E5401" s="5" t="str">
        <f>HYPERLINK("https://dpmzos25m8ivg.cloudfront.net/Documentos/631/13222748608/6311322274860811092023142810.pdf","https://dpmzos25m8ivg.cloudfront.net/Documentos/631/13222748608/6311322274860811092023142810.pdf")</f>
        <v>https://dpmzos25m8ivg.cloudfront.net/Documentos/631/13222748608/6311322274860811092023142810.pdf</v>
      </c>
      <c r="F5401" s="5" t="str">
        <f>HYPERLINK("https://dpmzos25m8ivg.cloudfront.net/Documentos/631/13222748608/6311322274860811092023142822.pdf","https://dpmzos25m8ivg.cloudfront.net/Documentos/631/13222748608/6311322274860811092023142822.pdf")</f>
        <v>https://dpmzos25m8ivg.cloudfront.net/Documentos/631/13222748608/6311322274860811092023142822.pdf</v>
      </c>
      <c r="G5401" s="5" t="str">
        <f>HYPERLINK("https://dpmzos25m8ivg.cloudfront.net/Documentos/631/13222748608/6311322274860811092023142831.pdf","https://dpmzos25m8ivg.cloudfront.net/Documentos/631/13222748608/6311322274860811092023142831.pdf")</f>
        <v>https://dpmzos25m8ivg.cloudfront.net/Documentos/631/13222748608/6311322274860811092023142831.pdf</v>
      </c>
      <c r="H5401" s="5" t="s">
        <v>13973</v>
      </c>
    </row>
    <row r="5402" spans="1:8" x14ac:dyDescent="0.25">
      <c r="A5402" s="2" t="s">
        <v>5429</v>
      </c>
      <c r="B5402" s="3"/>
      <c r="C5402" s="3"/>
      <c r="D5402" s="3"/>
      <c r="E5402" s="5" t="str">
        <f>HYPERLINK("https://dpmzos25m8ivg.cloudfront.net/Documentos/631/13225941638/6311322594163814092023142353.pdf","https://dpmzos25m8ivg.cloudfront.net/Documentos/631/13225941638/6311322594163814092023142353.pdf")</f>
        <v>https://dpmzos25m8ivg.cloudfront.net/Documentos/631/13225941638/6311322594163814092023142353.pdf</v>
      </c>
      <c r="F5402" s="5" t="str">
        <f>HYPERLINK("https://dpmzos25m8ivg.cloudfront.net/Documentos/631/13225941638/6311322594163814092023142400.pdf","https://dpmzos25m8ivg.cloudfront.net/Documentos/631/13225941638/6311322594163814092023142400.pdf")</f>
        <v>https://dpmzos25m8ivg.cloudfront.net/Documentos/631/13225941638/6311322594163814092023142400.pdf</v>
      </c>
      <c r="G5402" s="5" t="str">
        <f>HYPERLINK("https://dpmzos25m8ivg.cloudfront.net/Documentos/631/13225941638/6311322594163814092023142411.pdf","https://dpmzos25m8ivg.cloudfront.net/Documentos/631/13225941638/6311322594163814092023142411.pdf")</f>
        <v>https://dpmzos25m8ivg.cloudfront.net/Documentos/631/13225941638/6311322594163814092023142411.pdf</v>
      </c>
      <c r="H5402" s="5" t="s">
        <v>13974</v>
      </c>
    </row>
    <row r="5403" spans="1:8" x14ac:dyDescent="0.25">
      <c r="A5403" s="2" t="s">
        <v>5430</v>
      </c>
      <c r="B5403" s="3"/>
      <c r="C5403" s="3"/>
      <c r="D5403" s="3"/>
      <c r="E5403" s="5" t="str">
        <f>HYPERLINK("https://dpmzos25m8ivg.cloudfront.net/Documentos/631/13231558646/6311323155864610092023134919.pdf","https://dpmzos25m8ivg.cloudfront.net/Documentos/631/13231558646/6311323155864610092023134919.pdf")</f>
        <v>https://dpmzos25m8ivg.cloudfront.net/Documentos/631/13231558646/6311323155864610092023134919.pdf</v>
      </c>
      <c r="F5403" s="5" t="str">
        <f>HYPERLINK("https://dpmzos25m8ivg.cloudfront.net/Documentos/631/13231558646/6311323155864610092023134929.pdf","https://dpmzos25m8ivg.cloudfront.net/Documentos/631/13231558646/6311323155864610092023134929.pdf")</f>
        <v>https://dpmzos25m8ivg.cloudfront.net/Documentos/631/13231558646/6311323155864610092023134929.pdf</v>
      </c>
      <c r="G5403" s="5" t="str">
        <f>HYPERLINK("https://dpmzos25m8ivg.cloudfront.net/Documentos/631/13231558646/6311323155864610092023134938.pdf","https://dpmzos25m8ivg.cloudfront.net/Documentos/631/13231558646/6311323155864610092023134938.pdf")</f>
        <v>https://dpmzos25m8ivg.cloudfront.net/Documentos/631/13231558646/6311323155864610092023134938.pdf</v>
      </c>
      <c r="H5403" s="5" t="s">
        <v>13975</v>
      </c>
    </row>
    <row r="5404" spans="1:8" x14ac:dyDescent="0.25">
      <c r="A5404" s="2" t="s">
        <v>5431</v>
      </c>
      <c r="B5404" s="19" t="s">
        <v>4857</v>
      </c>
      <c r="C5404" s="3"/>
      <c r="D5404" s="3"/>
      <c r="E5404" s="5" t="str">
        <f>HYPERLINK("https://dpmzos25m8ivg.cloudfront.net/Documentos/631/13231727774/6311323172777405092023190559.pdf","https://dpmzos25m8ivg.cloudfront.net/Documentos/631/13231727774/6311323172777405092023190559.pdf")</f>
        <v>https://dpmzos25m8ivg.cloudfront.net/Documentos/631/13231727774/6311323172777405092023190559.pdf</v>
      </c>
      <c r="F5404" s="5" t="str">
        <f>HYPERLINK("https://dpmzos25m8ivg.cloudfront.net/Documentos/631/13231727774/6311323172777405092023190638.pdf","https://dpmzos25m8ivg.cloudfront.net/Documentos/631/13231727774/6311323172777405092023190638.pdf")</f>
        <v>https://dpmzos25m8ivg.cloudfront.net/Documentos/631/13231727774/6311323172777405092023190638.pdf</v>
      </c>
      <c r="G5404" s="5" t="str">
        <f>HYPERLINK("https://dpmzos25m8ivg.cloudfront.net/Documentos/631/13231727774/6311323172777405092023190656.pdf","https://dpmzos25m8ivg.cloudfront.net/Documentos/631/13231727774/6311323172777405092023190656.pdf")</f>
        <v>https://dpmzos25m8ivg.cloudfront.net/Documentos/631/13231727774/6311323172777405092023190656.pdf</v>
      </c>
      <c r="H5404" s="5" t="s">
        <v>13976</v>
      </c>
    </row>
    <row r="5405" spans="1:8" x14ac:dyDescent="0.25">
      <c r="A5405" s="2" t="s">
        <v>5432</v>
      </c>
      <c r="B5405" s="3"/>
      <c r="C5405" s="3"/>
      <c r="D5405" s="3"/>
      <c r="E5405" s="5" t="str">
        <f>HYPERLINK("https://dpmzos25m8ivg.cloudfront.net/Documentos/631/13233504624/6311323350462405092023154906.pdf","https://dpmzos25m8ivg.cloudfront.net/Documentos/631/13233504624/6311323350462405092023154906.pdf")</f>
        <v>https://dpmzos25m8ivg.cloudfront.net/Documentos/631/13233504624/6311323350462405092023154906.pdf</v>
      </c>
      <c r="F5405" s="5" t="str">
        <f>HYPERLINK("https://dpmzos25m8ivg.cloudfront.net/Documentos/631/13233504624/6311323350462405092023154922.pdf","https://dpmzos25m8ivg.cloudfront.net/Documentos/631/13233504624/6311323350462405092023154922.pdf")</f>
        <v>https://dpmzos25m8ivg.cloudfront.net/Documentos/631/13233504624/6311323350462405092023154922.pdf</v>
      </c>
      <c r="G5405" s="5" t="str">
        <f>HYPERLINK("https://dpmzos25m8ivg.cloudfront.net/Documentos/631/13233504624/6311323350462405092023154940.pdf","https://dpmzos25m8ivg.cloudfront.net/Documentos/631/13233504624/6311323350462405092023154940.pdf")</f>
        <v>https://dpmzos25m8ivg.cloudfront.net/Documentos/631/13233504624/6311323350462405092023154940.pdf</v>
      </c>
      <c r="H5405" s="5" t="s">
        <v>13977</v>
      </c>
    </row>
    <row r="5406" spans="1:8" x14ac:dyDescent="0.25">
      <c r="A5406" s="2" t="s">
        <v>5433</v>
      </c>
      <c r="B5406" s="3"/>
      <c r="C5406" s="3"/>
      <c r="D5406" s="3"/>
      <c r="E5406" s="5" t="str">
        <f>HYPERLINK("https://dpmzos25m8ivg.cloudfront.net/Documentos/631/13234204608/6311323420460809092023124921.pdf","https://dpmzos25m8ivg.cloudfront.net/Documentos/631/13234204608/6311323420460809092023124921.pdf")</f>
        <v>https://dpmzos25m8ivg.cloudfront.net/Documentos/631/13234204608/6311323420460809092023124921.pdf</v>
      </c>
      <c r="F5406" s="5" t="str">
        <f>HYPERLINK("https://dpmzos25m8ivg.cloudfront.net/Documentos/631/13234204608/6311323420460809092023124948.pdf","https://dpmzos25m8ivg.cloudfront.net/Documentos/631/13234204608/6311323420460809092023124948.pdf")</f>
        <v>https://dpmzos25m8ivg.cloudfront.net/Documentos/631/13234204608/6311323420460809092023124948.pdf</v>
      </c>
      <c r="G5406" s="5" t="str">
        <f>HYPERLINK("https://dpmzos25m8ivg.cloudfront.net/Documentos/631/13234204608/6311323420460809092023125004.pdf","https://dpmzos25m8ivg.cloudfront.net/Documentos/631/13234204608/6311323420460809092023125004.pdf")</f>
        <v>https://dpmzos25m8ivg.cloudfront.net/Documentos/631/13234204608/6311323420460809092023125004.pdf</v>
      </c>
      <c r="H5406" s="5" t="s">
        <v>13978</v>
      </c>
    </row>
    <row r="5407" spans="1:8" x14ac:dyDescent="0.25">
      <c r="A5407" s="2" t="s">
        <v>5434</v>
      </c>
      <c r="B5407" s="3"/>
      <c r="C5407" s="3"/>
      <c r="D5407" s="3"/>
      <c r="E5407" s="5" t="str">
        <f>HYPERLINK("https://dpmzos25m8ivg.cloudfront.net/Documentos/631/13234836671/6311323483667106092023164614.pdf","https://dpmzos25m8ivg.cloudfront.net/Documentos/631/13234836671/6311323483667106092023164614.pdf")</f>
        <v>https://dpmzos25m8ivg.cloudfront.net/Documentos/631/13234836671/6311323483667106092023164614.pdf</v>
      </c>
      <c r="F5407" s="5" t="str">
        <f>HYPERLINK("https://dpmzos25m8ivg.cloudfront.net/Documentos/631/13234836671/6311323483667106092023164620.pdf","https://dpmzos25m8ivg.cloudfront.net/Documentos/631/13234836671/6311323483667106092023164620.pdf")</f>
        <v>https://dpmzos25m8ivg.cloudfront.net/Documentos/631/13234836671/6311323483667106092023164620.pdf</v>
      </c>
      <c r="G5407" s="5" t="str">
        <f>HYPERLINK("https://dpmzos25m8ivg.cloudfront.net/Documentos/631/13234836671/6311323483667106092023164628.pdf","https://dpmzos25m8ivg.cloudfront.net/Documentos/631/13234836671/6311323483667106092023164628.pdf")</f>
        <v>https://dpmzos25m8ivg.cloudfront.net/Documentos/631/13234836671/6311323483667106092023164628.pdf</v>
      </c>
      <c r="H5407" s="5" t="s">
        <v>13979</v>
      </c>
    </row>
    <row r="5408" spans="1:8" x14ac:dyDescent="0.25">
      <c r="A5408" s="2" t="s">
        <v>5435</v>
      </c>
      <c r="B5408" s="3"/>
      <c r="C5408" s="3"/>
      <c r="D5408" s="3"/>
      <c r="E5408" s="5" t="str">
        <f>HYPERLINK("https://dpmzos25m8ivg.cloudfront.net/Documentos/631/13241128679/6311324112867911092023083058.pdf","https://dpmzos25m8ivg.cloudfront.net/Documentos/631/13241128679/6311324112867911092023083058.pdf")</f>
        <v>https://dpmzos25m8ivg.cloudfront.net/Documentos/631/13241128679/6311324112867911092023083058.pdf</v>
      </c>
      <c r="F5408" s="5" t="str">
        <f>HYPERLINK("https://dpmzos25m8ivg.cloudfront.net/Documentos/631/13241128679/6311324112867911092023083934.pdf","https://dpmzos25m8ivg.cloudfront.net/Documentos/631/13241128679/6311324112867911092023083934.pdf")</f>
        <v>https://dpmzos25m8ivg.cloudfront.net/Documentos/631/13241128679/6311324112867911092023083934.pdf</v>
      </c>
      <c r="G5408" s="5" t="str">
        <f>HYPERLINK("https://dpmzos25m8ivg.cloudfront.net/Documentos/631/13241128679/6311324112867911092023084055.pdf","https://dpmzos25m8ivg.cloudfront.net/Documentos/631/13241128679/6311324112867911092023084055.pdf")</f>
        <v>https://dpmzos25m8ivg.cloudfront.net/Documentos/631/13241128679/6311324112867911092023084055.pdf</v>
      </c>
      <c r="H5408" s="5" t="s">
        <v>13980</v>
      </c>
    </row>
    <row r="5409" spans="1:8" x14ac:dyDescent="0.25">
      <c r="A5409" s="2" t="s">
        <v>5436</v>
      </c>
      <c r="B5409" s="3"/>
      <c r="C5409" s="3"/>
      <c r="D5409" s="3"/>
      <c r="E5409" s="5" t="str">
        <f>HYPERLINK("https://dpmzos25m8ivg.cloudfront.net/Documentos/631/13244943608/6311324494360807092023113838.pdf","https://dpmzos25m8ivg.cloudfront.net/Documentos/631/13244943608/6311324494360807092023113838.pdf")</f>
        <v>https://dpmzos25m8ivg.cloudfront.net/Documentos/631/13244943608/6311324494360807092023113838.pdf</v>
      </c>
      <c r="F5409" s="5" t="str">
        <f>HYPERLINK("https://dpmzos25m8ivg.cloudfront.net/Documentos/631/13244943608/6311324494360807092023113853.pdf","https://dpmzos25m8ivg.cloudfront.net/Documentos/631/13244943608/6311324494360807092023113853.pdf")</f>
        <v>https://dpmzos25m8ivg.cloudfront.net/Documentos/631/13244943608/6311324494360807092023113853.pdf</v>
      </c>
      <c r="G5409" s="5" t="str">
        <f>HYPERLINK("https://dpmzos25m8ivg.cloudfront.net/Documentos/631/13244943608/6311324494360807092023113904.pdf","https://dpmzos25m8ivg.cloudfront.net/Documentos/631/13244943608/6311324494360807092023113904.pdf")</f>
        <v>https://dpmzos25m8ivg.cloudfront.net/Documentos/631/13244943608/6311324494360807092023113904.pdf</v>
      </c>
      <c r="H5409" s="5" t="s">
        <v>13981</v>
      </c>
    </row>
    <row r="5410" spans="1:8" x14ac:dyDescent="0.25">
      <c r="A5410" s="2" t="s">
        <v>5437</v>
      </c>
      <c r="B5410" s="16" t="s">
        <v>2358</v>
      </c>
      <c r="C5410" s="3"/>
      <c r="D5410" s="3"/>
      <c r="E5410" s="5" t="str">
        <f>HYPERLINK("https://dpmzos25m8ivg.cloudfront.net/Documentos/631/13247861750/6311324786175011092023165002.jpeg","https://dpmzos25m8ivg.cloudfront.net/Documentos/631/13247861750/6311324786175011092023165002.jpeg")</f>
        <v>https://dpmzos25m8ivg.cloudfront.net/Documentos/631/13247861750/6311324786175011092023165002.jpeg</v>
      </c>
      <c r="F5410" s="5" t="str">
        <f>HYPERLINK("https://dpmzos25m8ivg.cloudfront.net/Documentos/631/13247861750/6311324786175011092023165015.jpeg","https://dpmzos25m8ivg.cloudfront.net/Documentos/631/13247861750/6311324786175011092023165015.jpeg")</f>
        <v>https://dpmzos25m8ivg.cloudfront.net/Documentos/631/13247861750/6311324786175011092023165015.jpeg</v>
      </c>
      <c r="G5410" s="5" t="str">
        <f>HYPERLINK("https://dpmzos25m8ivg.cloudfront.net/Documentos/631/13247861750/6311324786175011092023165102.jpeg","https://dpmzos25m8ivg.cloudfront.net/Documentos/631/13247861750/6311324786175011092023165102.jpeg")</f>
        <v>https://dpmzos25m8ivg.cloudfront.net/Documentos/631/13247861750/6311324786175011092023165102.jpeg</v>
      </c>
      <c r="H5410" s="5" t="s">
        <v>13982</v>
      </c>
    </row>
    <row r="5411" spans="1:8" x14ac:dyDescent="0.25">
      <c r="A5411" s="2" t="s">
        <v>5438</v>
      </c>
      <c r="B5411" s="3"/>
      <c r="C5411" s="3"/>
      <c r="D5411" s="3"/>
      <c r="E5411" s="5" t="str">
        <f>HYPERLINK("https://dpmzos25m8ivg.cloudfront.net/Documentos/631/13248647701/6311324864770113092023134515.pdf","https://dpmzos25m8ivg.cloudfront.net/Documentos/631/13248647701/6311324864770113092023134515.pdf")</f>
        <v>https://dpmzos25m8ivg.cloudfront.net/Documentos/631/13248647701/6311324864770113092023134515.pdf</v>
      </c>
      <c r="F5411" s="5" t="str">
        <f>HYPERLINK("https://dpmzos25m8ivg.cloudfront.net/Documentos/631/13248647701/6311324864770113092023134528.pdf","https://dpmzos25m8ivg.cloudfront.net/Documentos/631/13248647701/6311324864770113092023134528.pdf")</f>
        <v>https://dpmzos25m8ivg.cloudfront.net/Documentos/631/13248647701/6311324864770113092023134528.pdf</v>
      </c>
      <c r="G5411" s="5" t="str">
        <f>HYPERLINK("https://dpmzos25m8ivg.cloudfront.net/Documentos/631/13248647701/6311324864770113092023134647.pdf","https://dpmzos25m8ivg.cloudfront.net/Documentos/631/13248647701/6311324864770113092023134647.pdf")</f>
        <v>https://dpmzos25m8ivg.cloudfront.net/Documentos/631/13248647701/6311324864770113092023134647.pdf</v>
      </c>
      <c r="H5411" s="5" t="s">
        <v>13983</v>
      </c>
    </row>
    <row r="5412" spans="1:8" x14ac:dyDescent="0.25">
      <c r="A5412" s="2" t="s">
        <v>5439</v>
      </c>
      <c r="B5412" s="3"/>
      <c r="C5412" s="3"/>
      <c r="D5412" s="3"/>
      <c r="E5412" s="5" t="str">
        <f>HYPERLINK("https://dpmzos25m8ivg.cloudfront.net/Documentos/631/13254760727/6311325476072710092023231335.pdf","https://dpmzos25m8ivg.cloudfront.net/Documentos/631/13254760727/6311325476072710092023231335.pdf")</f>
        <v>https://dpmzos25m8ivg.cloudfront.net/Documentos/631/13254760727/6311325476072710092023231335.pdf</v>
      </c>
      <c r="F5412" s="5" t="str">
        <f>HYPERLINK("https://dpmzos25m8ivg.cloudfront.net/Documentos/631/13254760727/6311325476072710092023231433.pdf","https://dpmzos25m8ivg.cloudfront.net/Documentos/631/13254760727/6311325476072710092023231433.pdf")</f>
        <v>https://dpmzos25m8ivg.cloudfront.net/Documentos/631/13254760727/6311325476072710092023231433.pdf</v>
      </c>
      <c r="G5412" s="5" t="str">
        <f>HYPERLINK("https://dpmzos25m8ivg.cloudfront.net/Documentos/631/13254760727/6311325476072710092023231519.pdf","https://dpmzos25m8ivg.cloudfront.net/Documentos/631/13254760727/6311325476072710092023231519.pdf")</f>
        <v>https://dpmzos25m8ivg.cloudfront.net/Documentos/631/13254760727/6311325476072710092023231519.pdf</v>
      </c>
      <c r="H5412" s="5" t="s">
        <v>13984</v>
      </c>
    </row>
    <row r="5413" spans="1:8" x14ac:dyDescent="0.25">
      <c r="A5413" s="2" t="s">
        <v>5440</v>
      </c>
      <c r="B5413" s="3"/>
      <c r="C5413" s="3"/>
      <c r="D5413" s="3"/>
      <c r="E5413" s="5" t="str">
        <f>HYPERLINK("https://dpmzos25m8ivg.cloudfront.net/Documentos/631/13257372671/6311325737267111092023140943.jpg","https://dpmzos25m8ivg.cloudfront.net/Documentos/631/13257372671/6311325737267111092023140943.jpg")</f>
        <v>https://dpmzos25m8ivg.cloudfront.net/Documentos/631/13257372671/6311325737267111092023140943.jpg</v>
      </c>
      <c r="F5413" s="5" t="str">
        <f>HYPERLINK("https://dpmzos25m8ivg.cloudfront.net/Documentos/631/13257372671/6311325737267111092023140959.jpg","https://dpmzos25m8ivg.cloudfront.net/Documentos/631/13257372671/6311325737267111092023140959.jpg")</f>
        <v>https://dpmzos25m8ivg.cloudfront.net/Documentos/631/13257372671/6311325737267111092023140959.jpg</v>
      </c>
      <c r="G5413" s="5" t="str">
        <f>HYPERLINK("https://dpmzos25m8ivg.cloudfront.net/Documentos/631/13257372671/6311325737267111092023141009.jpg","https://dpmzos25m8ivg.cloudfront.net/Documentos/631/13257372671/6311325737267111092023141009.jpg")</f>
        <v>https://dpmzos25m8ivg.cloudfront.net/Documentos/631/13257372671/6311325737267111092023141009.jpg</v>
      </c>
      <c r="H5413" s="5" t="s">
        <v>13985</v>
      </c>
    </row>
    <row r="5414" spans="1:8" x14ac:dyDescent="0.25">
      <c r="A5414" s="2" t="s">
        <v>5441</v>
      </c>
      <c r="B5414" s="3"/>
      <c r="C5414" s="3"/>
      <c r="D5414" s="3"/>
      <c r="E5414" s="5" t="str">
        <f>HYPERLINK("https://dpmzos25m8ivg.cloudfront.net/Documentos/631/13262252603/6311326225260311092023163807.pdf","https://dpmzos25m8ivg.cloudfront.net/Documentos/631/13262252603/6311326225260311092023163807.pdf")</f>
        <v>https://dpmzos25m8ivg.cloudfront.net/Documentos/631/13262252603/6311326225260311092023163807.pdf</v>
      </c>
      <c r="F5414" s="5" t="str">
        <f>HYPERLINK("https://dpmzos25m8ivg.cloudfront.net/Documentos/631/13262252603/6311326225260311092023163820.pdf","https://dpmzos25m8ivg.cloudfront.net/Documentos/631/13262252603/6311326225260311092023163820.pdf")</f>
        <v>https://dpmzos25m8ivg.cloudfront.net/Documentos/631/13262252603/6311326225260311092023163820.pdf</v>
      </c>
      <c r="G5414" s="5" t="str">
        <f>HYPERLINK("https://dpmzos25m8ivg.cloudfront.net/Documentos/631/13262252603/6311326225260311092023163832.pdf","https://dpmzos25m8ivg.cloudfront.net/Documentos/631/13262252603/6311326225260311092023163832.pdf")</f>
        <v>https://dpmzos25m8ivg.cloudfront.net/Documentos/631/13262252603/6311326225260311092023163832.pdf</v>
      </c>
      <c r="H5414" s="5" t="s">
        <v>13986</v>
      </c>
    </row>
    <row r="5415" spans="1:8" x14ac:dyDescent="0.25">
      <c r="A5415" s="2" t="s">
        <v>5442</v>
      </c>
      <c r="B5415" s="19" t="s">
        <v>4857</v>
      </c>
      <c r="C5415" s="3"/>
      <c r="D5415" s="3"/>
      <c r="E5415" s="5" t="str">
        <f>HYPERLINK("https://dpmzos25m8ivg.cloudfront.net/Documentos/631/13265956792/6311326595679208092023150853.pdf","https://dpmzos25m8ivg.cloudfront.net/Documentos/631/13265956792/6311326595679208092023150853.pdf")</f>
        <v>https://dpmzos25m8ivg.cloudfront.net/Documentos/631/13265956792/6311326595679208092023150853.pdf</v>
      </c>
      <c r="F5415" s="5" t="str">
        <f>HYPERLINK("https://dpmzos25m8ivg.cloudfront.net/Documentos/631/13265956792/6311326595679208092023150950.pdf","https://dpmzos25m8ivg.cloudfront.net/Documentos/631/13265956792/6311326595679208092023150950.pdf")</f>
        <v>https://dpmzos25m8ivg.cloudfront.net/Documentos/631/13265956792/6311326595679208092023150950.pdf</v>
      </c>
      <c r="G5415" s="5" t="str">
        <f>HYPERLINK("https://dpmzos25m8ivg.cloudfront.net/Documentos/631/13265956792/6311326595679208092023151030.pdf","https://dpmzos25m8ivg.cloudfront.net/Documentos/631/13265956792/6311326595679208092023151030.pdf")</f>
        <v>https://dpmzos25m8ivg.cloudfront.net/Documentos/631/13265956792/6311326595679208092023151030.pdf</v>
      </c>
      <c r="H5415" s="5" t="s">
        <v>13987</v>
      </c>
    </row>
    <row r="5416" spans="1:8" x14ac:dyDescent="0.25">
      <c r="A5416" s="2" t="s">
        <v>5443</v>
      </c>
      <c r="B5416" s="3"/>
      <c r="C5416" s="3"/>
      <c r="D5416" s="3"/>
      <c r="E5416" s="5" t="str">
        <f>HYPERLINK("https://dpmzos25m8ivg.cloudfront.net/Documentos/631/13272981470/6311327298147007092023141352.pdf","https://dpmzos25m8ivg.cloudfront.net/Documentos/631/13272981470/6311327298147007092023141352.pdf")</f>
        <v>https://dpmzos25m8ivg.cloudfront.net/Documentos/631/13272981470/6311327298147007092023141352.pdf</v>
      </c>
      <c r="F5416" s="5" t="str">
        <f>HYPERLINK("https://dpmzos25m8ivg.cloudfront.net/Documentos/631/13272981470/6311327298147007092023141403.pdf","https://dpmzos25m8ivg.cloudfront.net/Documentos/631/13272981470/6311327298147007092023141403.pdf")</f>
        <v>https://dpmzos25m8ivg.cloudfront.net/Documentos/631/13272981470/6311327298147007092023141403.pdf</v>
      </c>
      <c r="G5416" s="5" t="str">
        <f>HYPERLINK("https://dpmzos25m8ivg.cloudfront.net/Documentos/631/13272981470/6311327298147007092023141420.pdf","https://dpmzos25m8ivg.cloudfront.net/Documentos/631/13272981470/6311327298147007092023141420.pdf")</f>
        <v>https://dpmzos25m8ivg.cloudfront.net/Documentos/631/13272981470/6311327298147007092023141420.pdf</v>
      </c>
      <c r="H5416" s="5" t="s">
        <v>13988</v>
      </c>
    </row>
    <row r="5417" spans="1:8" x14ac:dyDescent="0.25">
      <c r="A5417" s="2" t="s">
        <v>5444</v>
      </c>
      <c r="B5417" s="3"/>
      <c r="C5417" s="3"/>
      <c r="D5417" s="3"/>
      <c r="E5417" s="5" t="str">
        <f>HYPERLINK("https://dpmzos25m8ivg.cloudfront.net/Documentos/631/13282291655/6311328229165514092023141707.pdf","https://dpmzos25m8ivg.cloudfront.net/Documentos/631/13282291655/6311328229165514092023141707.pdf")</f>
        <v>https://dpmzos25m8ivg.cloudfront.net/Documentos/631/13282291655/6311328229165514092023141707.pdf</v>
      </c>
      <c r="F5417" s="5" t="str">
        <f>HYPERLINK("https://dpmzos25m8ivg.cloudfront.net/Documentos/631/13282291655/6311328229165514092023141714.pdf","https://dpmzos25m8ivg.cloudfront.net/Documentos/631/13282291655/6311328229165514092023141714.pdf")</f>
        <v>https://dpmzos25m8ivg.cloudfront.net/Documentos/631/13282291655/6311328229165514092023141714.pdf</v>
      </c>
      <c r="G5417" s="5" t="str">
        <f>HYPERLINK("https://dpmzos25m8ivg.cloudfront.net/Documentos/631/13282291655/6311328229165514092023141723.pdf","https://dpmzos25m8ivg.cloudfront.net/Documentos/631/13282291655/6311328229165514092023141723.pdf")</f>
        <v>https://dpmzos25m8ivg.cloudfront.net/Documentos/631/13282291655/6311328229165514092023141723.pdf</v>
      </c>
      <c r="H5417" s="5" t="s">
        <v>13989</v>
      </c>
    </row>
    <row r="5418" spans="1:8" x14ac:dyDescent="0.25">
      <c r="A5418" s="2" t="s">
        <v>5445</v>
      </c>
      <c r="B5418" s="3"/>
      <c r="C5418" s="3"/>
      <c r="D5418" s="3"/>
      <c r="E5418" s="5" t="str">
        <f>HYPERLINK("https://dpmzos25m8ivg.cloudfront.net/Documentos/631/13285409797/6311328540979707092023171707.pdf","https://dpmzos25m8ivg.cloudfront.net/Documentos/631/13285409797/6311328540979707092023171707.pdf")</f>
        <v>https://dpmzos25m8ivg.cloudfront.net/Documentos/631/13285409797/6311328540979707092023171707.pdf</v>
      </c>
      <c r="F5418" s="5" t="str">
        <f>HYPERLINK("https://dpmzos25m8ivg.cloudfront.net/Documentos/631/13285409797/6311328540979707092023171721.pdf","https://dpmzos25m8ivg.cloudfront.net/Documentos/631/13285409797/6311328540979707092023171721.pdf")</f>
        <v>https://dpmzos25m8ivg.cloudfront.net/Documentos/631/13285409797/6311328540979707092023171721.pdf</v>
      </c>
      <c r="G5418" s="5" t="str">
        <f>HYPERLINK("https://dpmzos25m8ivg.cloudfront.net/Documentos/631/13285409797/6311328540979707092023171735.pdf","https://dpmzos25m8ivg.cloudfront.net/Documentos/631/13285409797/6311328540979707092023171735.pdf")</f>
        <v>https://dpmzos25m8ivg.cloudfront.net/Documentos/631/13285409797/6311328540979707092023171735.pdf</v>
      </c>
      <c r="H5418" s="5" t="s">
        <v>13990</v>
      </c>
    </row>
    <row r="5419" spans="1:8" x14ac:dyDescent="0.25">
      <c r="A5419" s="2" t="s">
        <v>5446</v>
      </c>
      <c r="B5419" s="3"/>
      <c r="C5419" s="3"/>
      <c r="D5419" s="3"/>
      <c r="E5419" s="5" t="str">
        <f>HYPERLINK("https://dpmzos25m8ivg.cloudfront.net/Documentos/631/13287565648/6311328756564811092023005635.pdf","https://dpmzos25m8ivg.cloudfront.net/Documentos/631/13287565648/6311328756564811092023005635.pdf")</f>
        <v>https://dpmzos25m8ivg.cloudfront.net/Documentos/631/13287565648/6311328756564811092023005635.pdf</v>
      </c>
      <c r="F5419" s="5" t="str">
        <f>HYPERLINK("https://dpmzos25m8ivg.cloudfront.net/Documentos/631/13287565648/6311328756564811092023005718.pdf","https://dpmzos25m8ivg.cloudfront.net/Documentos/631/13287565648/6311328756564811092023005718.pdf")</f>
        <v>https://dpmzos25m8ivg.cloudfront.net/Documentos/631/13287565648/6311328756564811092023005718.pdf</v>
      </c>
      <c r="G5419" s="5" t="str">
        <f>HYPERLINK("https://dpmzos25m8ivg.cloudfront.net/Documentos/631/13287565648/6311328756564811092023005727.pdf","https://dpmzos25m8ivg.cloudfront.net/Documentos/631/13287565648/6311328756564811092023005727.pdf")</f>
        <v>https://dpmzos25m8ivg.cloudfront.net/Documentos/631/13287565648/6311328756564811092023005727.pdf</v>
      </c>
      <c r="H5419" s="5" t="s">
        <v>13991</v>
      </c>
    </row>
    <row r="5420" spans="1:8" x14ac:dyDescent="0.25">
      <c r="A5420" s="2" t="s">
        <v>5447</v>
      </c>
      <c r="B5420" s="3"/>
      <c r="C5420" s="3"/>
      <c r="D5420" s="3"/>
      <c r="E5420" s="5" t="str">
        <f>HYPERLINK("https://dpmzos25m8ivg.cloudfront.net/Documentos/631/13288478617/6311328847861711092023144402.jpg","https://dpmzos25m8ivg.cloudfront.net/Documentos/631/13288478617/6311328847861711092023144402.jpg")</f>
        <v>https://dpmzos25m8ivg.cloudfront.net/Documentos/631/13288478617/6311328847861711092023144402.jpg</v>
      </c>
      <c r="F5420" s="5" t="str">
        <f>HYPERLINK("https://dpmzos25m8ivg.cloudfront.net/Documentos/631/13288478617/6311328847861711092023144422.jpg","https://dpmzos25m8ivg.cloudfront.net/Documentos/631/13288478617/6311328847861711092023144422.jpg")</f>
        <v>https://dpmzos25m8ivg.cloudfront.net/Documentos/631/13288478617/6311328847861711092023144422.jpg</v>
      </c>
      <c r="G5420" s="5" t="str">
        <f>HYPERLINK("https://dpmzos25m8ivg.cloudfront.net/Documentos/631/13288478617/6311328847861711092023144504.jpg","https://dpmzos25m8ivg.cloudfront.net/Documentos/631/13288478617/6311328847861711092023144504.jpg")</f>
        <v>https://dpmzos25m8ivg.cloudfront.net/Documentos/631/13288478617/6311328847861711092023144504.jpg</v>
      </c>
      <c r="H5420" s="5" t="s">
        <v>13992</v>
      </c>
    </row>
    <row r="5421" spans="1:8" x14ac:dyDescent="0.25">
      <c r="A5421" s="2" t="s">
        <v>5448</v>
      </c>
      <c r="B5421" s="19" t="s">
        <v>4857</v>
      </c>
      <c r="C5421" s="3"/>
      <c r="D5421" s="3"/>
      <c r="E5421" s="5" t="str">
        <f>HYPERLINK("https://dpmzos25m8ivg.cloudfront.net/Documentos/631/13288522705/6311328852270511092023160937.pdf","https://dpmzos25m8ivg.cloudfront.net/Documentos/631/13288522705/6311328852270511092023160937.pdf")</f>
        <v>https://dpmzos25m8ivg.cloudfront.net/Documentos/631/13288522705/6311328852270511092023160937.pdf</v>
      </c>
      <c r="F5421" s="5" t="str">
        <f>HYPERLINK("https://dpmzos25m8ivg.cloudfront.net/Documentos/631/13288522705/6311328852270511092023160946.pdf","https://dpmzos25m8ivg.cloudfront.net/Documentos/631/13288522705/6311328852270511092023160946.pdf")</f>
        <v>https://dpmzos25m8ivg.cloudfront.net/Documentos/631/13288522705/6311328852270511092023160946.pdf</v>
      </c>
      <c r="G5421" s="5" t="str">
        <f>HYPERLINK("https://dpmzos25m8ivg.cloudfront.net/Documentos/631/13288522705/6311328852270511092023160959.pdf","https://dpmzos25m8ivg.cloudfront.net/Documentos/631/13288522705/6311328852270511092023160959.pdf")</f>
        <v>https://dpmzos25m8ivg.cloudfront.net/Documentos/631/13288522705/6311328852270511092023160959.pdf</v>
      </c>
      <c r="H5421" s="5" t="s">
        <v>13993</v>
      </c>
    </row>
    <row r="5422" spans="1:8" x14ac:dyDescent="0.25">
      <c r="A5422" s="2" t="s">
        <v>5449</v>
      </c>
      <c r="B5422" s="3"/>
      <c r="C5422" s="3"/>
      <c r="D5422" s="3"/>
      <c r="E5422" s="5" t="str">
        <f>HYPERLINK("https://dpmzos25m8ivg.cloudfront.net/Documentos/631/13289511707/6311328951170706092023203414.jpg","https://dpmzos25m8ivg.cloudfront.net/Documentos/631/13289511707/6311328951170706092023203414.jpg")</f>
        <v>https://dpmzos25m8ivg.cloudfront.net/Documentos/631/13289511707/6311328951170706092023203414.jpg</v>
      </c>
      <c r="F5422" s="5" t="str">
        <f>HYPERLINK("https://dpmzos25m8ivg.cloudfront.net/Documentos/631/13289511707/6311328951170706092023203448.jpg","https://dpmzos25m8ivg.cloudfront.net/Documentos/631/13289511707/6311328951170706092023203448.jpg")</f>
        <v>https://dpmzos25m8ivg.cloudfront.net/Documentos/631/13289511707/6311328951170706092023203448.jpg</v>
      </c>
      <c r="G5422" s="5" t="str">
        <f>HYPERLINK("https://dpmzos25m8ivg.cloudfront.net/Documentos/631/13289511707/6311328951170706092023203517.jpg","https://dpmzos25m8ivg.cloudfront.net/Documentos/631/13289511707/6311328951170706092023203517.jpg")</f>
        <v>https://dpmzos25m8ivg.cloudfront.net/Documentos/631/13289511707/6311328951170706092023203517.jpg</v>
      </c>
      <c r="H5422" s="5" t="s">
        <v>13994</v>
      </c>
    </row>
    <row r="5423" spans="1:8" x14ac:dyDescent="0.25">
      <c r="A5423" s="2" t="s">
        <v>5450</v>
      </c>
      <c r="B5423" s="16" t="s">
        <v>2358</v>
      </c>
      <c r="C5423" s="3"/>
      <c r="D5423" s="3"/>
      <c r="E5423" s="5" t="str">
        <f>HYPERLINK("https://dpmzos25m8ivg.cloudfront.net/Documentos/631/13293814670/6311329381467011092023114612.pdf","https://dpmzos25m8ivg.cloudfront.net/Documentos/631/13293814670/6311329381467011092023114612.pdf")</f>
        <v>https://dpmzos25m8ivg.cloudfront.net/Documentos/631/13293814670/6311329381467011092023114612.pdf</v>
      </c>
      <c r="F5423" s="5" t="str">
        <f>HYPERLINK("https://dpmzos25m8ivg.cloudfront.net/Documentos/631/13293814670/6311329381467011092023114617.pdf","https://dpmzos25m8ivg.cloudfront.net/Documentos/631/13293814670/6311329381467011092023114617.pdf")</f>
        <v>https://dpmzos25m8ivg.cloudfront.net/Documentos/631/13293814670/6311329381467011092023114617.pdf</v>
      </c>
      <c r="G5423" s="5" t="str">
        <f>HYPERLINK("https://dpmzos25m8ivg.cloudfront.net/Documentos/631/13293814670/6311329381467011092023114623.pdf","https://dpmzos25m8ivg.cloudfront.net/Documentos/631/13293814670/6311329381467011092023114623.pdf")</f>
        <v>https://dpmzos25m8ivg.cloudfront.net/Documentos/631/13293814670/6311329381467011092023114623.pdf</v>
      </c>
      <c r="H5423" s="5" t="s">
        <v>13995</v>
      </c>
    </row>
    <row r="5424" spans="1:8" x14ac:dyDescent="0.25">
      <c r="A5424" s="2" t="s">
        <v>5451</v>
      </c>
      <c r="B5424" s="19" t="s">
        <v>4857</v>
      </c>
      <c r="C5424" s="3"/>
      <c r="D5424" s="3"/>
      <c r="E5424" s="5" t="str">
        <f>HYPERLINK("https://dpmzos25m8ivg.cloudfront.net/Documentos/631/13297018798/6311329701879809092023220536.pdf","https://dpmzos25m8ivg.cloudfront.net/Documentos/631/13297018798/6311329701879809092023220536.pdf")</f>
        <v>https://dpmzos25m8ivg.cloudfront.net/Documentos/631/13297018798/6311329701879809092023220536.pdf</v>
      </c>
      <c r="F5424" s="5" t="str">
        <f>HYPERLINK("https://dpmzos25m8ivg.cloudfront.net/Documentos/631/13297018798/6311329701879809092023220548.pdf","https://dpmzos25m8ivg.cloudfront.net/Documentos/631/13297018798/6311329701879809092023220548.pdf")</f>
        <v>https://dpmzos25m8ivg.cloudfront.net/Documentos/631/13297018798/6311329701879809092023220548.pdf</v>
      </c>
      <c r="G5424" s="5" t="str">
        <f>HYPERLINK("https://dpmzos25m8ivg.cloudfront.net/Documentos/631/13297018798/6311329701879809092023220604.pdf","https://dpmzos25m8ivg.cloudfront.net/Documentos/631/13297018798/6311329701879809092023220604.pdf")</f>
        <v>https://dpmzos25m8ivg.cloudfront.net/Documentos/631/13297018798/6311329701879809092023220604.pdf</v>
      </c>
      <c r="H5424" s="5" t="s">
        <v>13996</v>
      </c>
    </row>
    <row r="5425" spans="1:8" x14ac:dyDescent="0.25">
      <c r="A5425" s="2" t="s">
        <v>5452</v>
      </c>
      <c r="B5425" s="3"/>
      <c r="C5425" s="3"/>
      <c r="D5425" s="3"/>
      <c r="E5425" s="5" t="str">
        <f>HYPERLINK("https://dpmzos25m8ivg.cloudfront.net/Documentos/631/13300145619/6311330014561914092023102129.pdf","https://dpmzos25m8ivg.cloudfront.net/Documentos/631/13300145619/6311330014561914092023102129.pdf")</f>
        <v>https://dpmzos25m8ivg.cloudfront.net/Documentos/631/13300145619/6311330014561914092023102129.pdf</v>
      </c>
      <c r="F5425" s="5" t="str">
        <f>HYPERLINK("https://dpmzos25m8ivg.cloudfront.net/Documentos/631/13300145619/6311330014561914092023102139.pdf","https://dpmzos25m8ivg.cloudfront.net/Documentos/631/13300145619/6311330014561914092023102139.pdf")</f>
        <v>https://dpmzos25m8ivg.cloudfront.net/Documentos/631/13300145619/6311330014561914092023102139.pdf</v>
      </c>
      <c r="G5425" s="5" t="str">
        <f>HYPERLINK("https://dpmzos25m8ivg.cloudfront.net/Documentos/631/13300145619/6311330014561914092023102150.pdf","https://dpmzos25m8ivg.cloudfront.net/Documentos/631/13300145619/6311330014561914092023102150.pdf")</f>
        <v>https://dpmzos25m8ivg.cloudfront.net/Documentos/631/13300145619/6311330014561914092023102150.pdf</v>
      </c>
      <c r="H5425" s="5" t="s">
        <v>13997</v>
      </c>
    </row>
    <row r="5426" spans="1:8" x14ac:dyDescent="0.25">
      <c r="A5426" s="2" t="s">
        <v>5453</v>
      </c>
      <c r="B5426" s="3"/>
      <c r="C5426" s="3"/>
      <c r="D5426" s="3"/>
      <c r="E5426" s="5" t="str">
        <f>HYPERLINK("https://dpmzos25m8ivg.cloudfront.net/Documentos/631/13305390875/6311330539087511092023110659.pdf","https://dpmzos25m8ivg.cloudfront.net/Documentos/631/13305390875/6311330539087511092023110659.pdf")</f>
        <v>https://dpmzos25m8ivg.cloudfront.net/Documentos/631/13305390875/6311330539087511092023110659.pdf</v>
      </c>
      <c r="F5426" s="5" t="str">
        <f>HYPERLINK("https://dpmzos25m8ivg.cloudfront.net/Documentos/631/13305390875/6311330539087511092023110709.pdf","https://dpmzos25m8ivg.cloudfront.net/Documentos/631/13305390875/6311330539087511092023110709.pdf")</f>
        <v>https://dpmzos25m8ivg.cloudfront.net/Documentos/631/13305390875/6311330539087511092023110709.pdf</v>
      </c>
      <c r="G5426" s="5" t="str">
        <f>HYPERLINK("https://dpmzos25m8ivg.cloudfront.net/Documentos/631/13305390875/6311330539087511092023110726.pdf","https://dpmzos25m8ivg.cloudfront.net/Documentos/631/13305390875/6311330539087511092023110726.pdf")</f>
        <v>https://dpmzos25m8ivg.cloudfront.net/Documentos/631/13305390875/6311330539087511092023110726.pdf</v>
      </c>
      <c r="H5426" s="5" t="s">
        <v>13998</v>
      </c>
    </row>
    <row r="5427" spans="1:8" x14ac:dyDescent="0.25">
      <c r="A5427" s="2" t="s">
        <v>5454</v>
      </c>
      <c r="B5427" s="3"/>
      <c r="C5427" s="3"/>
      <c r="D5427" s="3"/>
      <c r="E5427" s="5" t="str">
        <f>HYPERLINK("https://dpmzos25m8ivg.cloudfront.net/Documentos/631/13309426637/6311330942663707092023191058.pdf","https://dpmzos25m8ivg.cloudfront.net/Documentos/631/13309426637/6311330942663707092023191058.pdf")</f>
        <v>https://dpmzos25m8ivg.cloudfront.net/Documentos/631/13309426637/6311330942663707092023191058.pdf</v>
      </c>
      <c r="F5427" s="5" t="str">
        <f>HYPERLINK("https://dpmzos25m8ivg.cloudfront.net/Documentos/631/13309426637/6311330942663707092023191109.pdf","https://dpmzos25m8ivg.cloudfront.net/Documentos/631/13309426637/6311330942663707092023191109.pdf")</f>
        <v>https://dpmzos25m8ivg.cloudfront.net/Documentos/631/13309426637/6311330942663707092023191109.pdf</v>
      </c>
      <c r="G5427" s="5" t="str">
        <f>HYPERLINK("https://dpmzos25m8ivg.cloudfront.net/Documentos/631/13309426637/6311330942663707092023191120.pdf","https://dpmzos25m8ivg.cloudfront.net/Documentos/631/13309426637/6311330942663707092023191120.pdf")</f>
        <v>https://dpmzos25m8ivg.cloudfront.net/Documentos/631/13309426637/6311330942663707092023191120.pdf</v>
      </c>
      <c r="H5427" s="5" t="s">
        <v>13999</v>
      </c>
    </row>
    <row r="5428" spans="1:8" x14ac:dyDescent="0.25">
      <c r="A5428" s="2" t="s">
        <v>5455</v>
      </c>
      <c r="B5428" s="19" t="s">
        <v>4857</v>
      </c>
      <c r="C5428" s="3"/>
      <c r="D5428" s="3"/>
      <c r="E5428" s="5" t="str">
        <f>HYPERLINK("https://dpmzos25m8ivg.cloudfront.net/Documentos/631/13313108652/6311331310865206092023163128.pdf","https://dpmzos25m8ivg.cloudfront.net/Documentos/631/13313108652/6311331310865206092023163128.pdf")</f>
        <v>https://dpmzos25m8ivg.cloudfront.net/Documentos/631/13313108652/6311331310865206092023163128.pdf</v>
      </c>
      <c r="F5428" s="5" t="str">
        <f>HYPERLINK("https://dpmzos25m8ivg.cloudfront.net/Documentos/631/13313108652/6311331310865206092023163136.pdf","https://dpmzos25m8ivg.cloudfront.net/Documentos/631/13313108652/6311331310865206092023163136.pdf")</f>
        <v>https://dpmzos25m8ivg.cloudfront.net/Documentos/631/13313108652/6311331310865206092023163136.pdf</v>
      </c>
      <c r="G5428" s="5" t="str">
        <f>HYPERLINK("https://dpmzos25m8ivg.cloudfront.net/Documentos/631/13313108652/6311331310865206092023163144.pdf","https://dpmzos25m8ivg.cloudfront.net/Documentos/631/13313108652/6311331310865206092023163144.pdf")</f>
        <v>https://dpmzos25m8ivg.cloudfront.net/Documentos/631/13313108652/6311331310865206092023163144.pdf</v>
      </c>
      <c r="H5428" s="5" t="s">
        <v>14000</v>
      </c>
    </row>
    <row r="5429" spans="1:8" x14ac:dyDescent="0.25">
      <c r="A5429" s="2" t="s">
        <v>5456</v>
      </c>
      <c r="B5429" s="3"/>
      <c r="C5429" s="3"/>
      <c r="D5429" s="3"/>
      <c r="E5429" s="5" t="str">
        <f>HYPERLINK("https://dpmzos25m8ivg.cloudfront.net/Documentos/631/13316860673/6311331686067311092023145437.pdf","https://dpmzos25m8ivg.cloudfront.net/Documentos/631/13316860673/6311331686067311092023145437.pdf")</f>
        <v>https://dpmzos25m8ivg.cloudfront.net/Documentos/631/13316860673/6311331686067311092023145437.pdf</v>
      </c>
      <c r="F5429" s="5" t="str">
        <f>HYPERLINK("https://dpmzos25m8ivg.cloudfront.net/Documentos/631/13316860673/6311331686067311092023145449.pdf","https://dpmzos25m8ivg.cloudfront.net/Documentos/631/13316860673/6311331686067311092023145449.pdf")</f>
        <v>https://dpmzos25m8ivg.cloudfront.net/Documentos/631/13316860673/6311331686067311092023145449.pdf</v>
      </c>
      <c r="G5429" s="5" t="str">
        <f>HYPERLINK("https://dpmzos25m8ivg.cloudfront.net/Documentos/631/13316860673/6311331686067311092023145500.pdf","https://dpmzos25m8ivg.cloudfront.net/Documentos/631/13316860673/6311331686067311092023145500.pdf")</f>
        <v>https://dpmzos25m8ivg.cloudfront.net/Documentos/631/13316860673/6311331686067311092023145500.pdf</v>
      </c>
      <c r="H5429" s="5" t="s">
        <v>14001</v>
      </c>
    </row>
    <row r="5430" spans="1:8" x14ac:dyDescent="0.25">
      <c r="A5430" s="2" t="s">
        <v>5457</v>
      </c>
      <c r="B5430" s="3"/>
      <c r="C5430" s="3"/>
      <c r="D5430" s="3"/>
      <c r="E5430" s="5" t="str">
        <f>HYPERLINK("https://dpmzos25m8ivg.cloudfront.net/Documentos/631/13319586793/6311331958679307092023143020.jpg","https://dpmzos25m8ivg.cloudfront.net/Documentos/631/13319586793/6311331958679307092023143020.jpg")</f>
        <v>https://dpmzos25m8ivg.cloudfront.net/Documentos/631/13319586793/6311331958679307092023143020.jpg</v>
      </c>
      <c r="F5430" s="5" t="str">
        <f>HYPERLINK("https://dpmzos25m8ivg.cloudfront.net/Documentos/631/13319586793/6311331958679307092023143050.jpg","https://dpmzos25m8ivg.cloudfront.net/Documentos/631/13319586793/6311331958679307092023143050.jpg")</f>
        <v>https://dpmzos25m8ivg.cloudfront.net/Documentos/631/13319586793/6311331958679307092023143050.jpg</v>
      </c>
      <c r="G5430" s="5" t="str">
        <f>HYPERLINK("https://dpmzos25m8ivg.cloudfront.net/Documentos/631/13319586793/6311331958679307092023143110.jpg","https://dpmzos25m8ivg.cloudfront.net/Documentos/631/13319586793/6311331958679307092023143110.jpg")</f>
        <v>https://dpmzos25m8ivg.cloudfront.net/Documentos/631/13319586793/6311331958679307092023143110.jpg</v>
      </c>
      <c r="H5430" s="5" t="s">
        <v>14002</v>
      </c>
    </row>
    <row r="5431" spans="1:8" x14ac:dyDescent="0.25">
      <c r="A5431" s="2" t="s">
        <v>5458</v>
      </c>
      <c r="B5431" s="16" t="s">
        <v>5069</v>
      </c>
      <c r="C5431" s="3"/>
      <c r="D5431" s="3"/>
      <c r="E5431" s="5" t="str">
        <f>HYPERLINK("https://dpmzos25m8ivg.cloudfront.net/Documentos/631/13328510966/6311332851096605092023123912.jpg","https://dpmzos25m8ivg.cloudfront.net/Documentos/631/13328510966/6311332851096605092023123912.jpg")</f>
        <v>https://dpmzos25m8ivg.cloudfront.net/Documentos/631/13328510966/6311332851096605092023123912.jpg</v>
      </c>
      <c r="F5431" s="5" t="str">
        <f>HYPERLINK("https://dpmzos25m8ivg.cloudfront.net/Documentos/631/13328510966/6311332851096605092023124133.jpg","https://dpmzos25m8ivg.cloudfront.net/Documentos/631/13328510966/6311332851096605092023124133.jpg")</f>
        <v>https://dpmzos25m8ivg.cloudfront.net/Documentos/631/13328510966/6311332851096605092023124133.jpg</v>
      </c>
      <c r="G5431" s="5" t="str">
        <f>HYPERLINK("https://dpmzos25m8ivg.cloudfront.net/Documentos/631/13328510966/6311332851096605092023124400.jpg","https://dpmzos25m8ivg.cloudfront.net/Documentos/631/13328510966/6311332851096605092023124400.jpg")</f>
        <v>https://dpmzos25m8ivg.cloudfront.net/Documentos/631/13328510966/6311332851096605092023124400.jpg</v>
      </c>
      <c r="H5431" s="5" t="s">
        <v>14003</v>
      </c>
    </row>
    <row r="5432" spans="1:8" x14ac:dyDescent="0.25">
      <c r="A5432" s="2" t="s">
        <v>5459</v>
      </c>
      <c r="B5432" s="19" t="s">
        <v>4857</v>
      </c>
      <c r="C5432" s="3"/>
      <c r="D5432" s="3"/>
      <c r="E5432" s="5" t="str">
        <f>HYPERLINK("https://dpmzos25m8ivg.cloudfront.net/Documentos/631/13330296674/6311333029667412092023205322.pdf","https://dpmzos25m8ivg.cloudfront.net/Documentos/631/13330296674/6311333029667412092023205322.pdf")</f>
        <v>https://dpmzos25m8ivg.cloudfront.net/Documentos/631/13330296674/6311333029667412092023205322.pdf</v>
      </c>
      <c r="F5432" s="5" t="str">
        <f>HYPERLINK("https://dpmzos25m8ivg.cloudfront.net/Documentos/631/13330296674/6311333029667412092023205334.pdf","https://dpmzos25m8ivg.cloudfront.net/Documentos/631/13330296674/6311333029667412092023205334.pdf")</f>
        <v>https://dpmzos25m8ivg.cloudfront.net/Documentos/631/13330296674/6311333029667412092023205334.pdf</v>
      </c>
      <c r="G5432" s="5" t="str">
        <f>HYPERLINK("https://dpmzos25m8ivg.cloudfront.net/Documentos/631/13330296674/6311333029667412092023205343.pdf","https://dpmzos25m8ivg.cloudfront.net/Documentos/631/13330296674/6311333029667412092023205343.pdf")</f>
        <v>https://dpmzos25m8ivg.cloudfront.net/Documentos/631/13330296674/6311333029667412092023205343.pdf</v>
      </c>
      <c r="H5432" s="5" t="s">
        <v>14004</v>
      </c>
    </row>
    <row r="5433" spans="1:8" x14ac:dyDescent="0.25">
      <c r="A5433" s="2" t="s">
        <v>5460</v>
      </c>
      <c r="B5433" s="3"/>
      <c r="C5433" s="3"/>
      <c r="D5433" s="3"/>
      <c r="E5433" s="5" t="str">
        <f>HYPERLINK("https://dpmzos25m8ivg.cloudfront.net/Documentos/631/13334072622/6311333407262213092023161030.jpg","https://dpmzos25m8ivg.cloudfront.net/Documentos/631/13334072622/6311333407262213092023161030.jpg")</f>
        <v>https://dpmzos25m8ivg.cloudfront.net/Documentos/631/13334072622/6311333407262213092023161030.jpg</v>
      </c>
      <c r="F5433" s="5" t="str">
        <f>HYPERLINK("https://dpmzos25m8ivg.cloudfront.net/Documentos/631/13334072622/6311333407262213092023161041.jpg","https://dpmzos25m8ivg.cloudfront.net/Documentos/631/13334072622/6311333407262213092023161041.jpg")</f>
        <v>https://dpmzos25m8ivg.cloudfront.net/Documentos/631/13334072622/6311333407262213092023161041.jpg</v>
      </c>
      <c r="G5433" s="5" t="str">
        <f>HYPERLINK("https://dpmzos25m8ivg.cloudfront.net/Documentos/631/13334072622/6311333407262213092023161055.jpg","https://dpmzos25m8ivg.cloudfront.net/Documentos/631/13334072622/6311333407262213092023161055.jpg")</f>
        <v>https://dpmzos25m8ivg.cloudfront.net/Documentos/631/13334072622/6311333407262213092023161055.jpg</v>
      </c>
      <c r="H5433" s="5" t="s">
        <v>14005</v>
      </c>
    </row>
    <row r="5434" spans="1:8" x14ac:dyDescent="0.25">
      <c r="A5434" s="2" t="s">
        <v>5461</v>
      </c>
      <c r="B5434" s="3"/>
      <c r="C5434" s="3"/>
      <c r="D5434" s="3"/>
      <c r="E5434" s="5" t="str">
        <f>HYPERLINK("https://dpmzos25m8ivg.cloudfront.net/Documentos/631/13336778476/6311333677847608092023194308.pdf","https://dpmzos25m8ivg.cloudfront.net/Documentos/631/13336778476/6311333677847608092023194308.pdf")</f>
        <v>https://dpmzos25m8ivg.cloudfront.net/Documentos/631/13336778476/6311333677847608092023194308.pdf</v>
      </c>
      <c r="F5434" s="5" t="str">
        <f>HYPERLINK("https://dpmzos25m8ivg.cloudfront.net/Documentos/631/13336778476/6311333677847608092023194320.pdf","https://dpmzos25m8ivg.cloudfront.net/Documentos/631/13336778476/6311333677847608092023194320.pdf")</f>
        <v>https://dpmzos25m8ivg.cloudfront.net/Documentos/631/13336778476/6311333677847608092023194320.pdf</v>
      </c>
      <c r="G5434" s="5" t="str">
        <f>HYPERLINK("https://dpmzos25m8ivg.cloudfront.net/Documentos/631/13336778476/6311333677847608092023194333.pdf","https://dpmzos25m8ivg.cloudfront.net/Documentos/631/13336778476/6311333677847608092023194333.pdf")</f>
        <v>https://dpmzos25m8ivg.cloudfront.net/Documentos/631/13336778476/6311333677847608092023194333.pdf</v>
      </c>
      <c r="H5434" s="5" t="s">
        <v>14006</v>
      </c>
    </row>
    <row r="5435" spans="1:8" x14ac:dyDescent="0.25">
      <c r="A5435" s="2" t="s">
        <v>5462</v>
      </c>
      <c r="B5435" s="3"/>
      <c r="C5435" s="3"/>
      <c r="D5435" s="3"/>
      <c r="E5435" s="5" t="str">
        <f>HYPERLINK("https://dpmzos25m8ivg.cloudfront.net/Documentos/631/13340853401/6311334085340111092023140841.pdf","https://dpmzos25m8ivg.cloudfront.net/Documentos/631/13340853401/6311334085340111092023140841.pdf")</f>
        <v>https://dpmzos25m8ivg.cloudfront.net/Documentos/631/13340853401/6311334085340111092023140841.pdf</v>
      </c>
      <c r="F5435" s="5" t="str">
        <f>HYPERLINK("https://dpmzos25m8ivg.cloudfront.net/Documentos/631/13340853401/6311334085340111092023140852.pdf","https://dpmzos25m8ivg.cloudfront.net/Documentos/631/13340853401/6311334085340111092023140852.pdf")</f>
        <v>https://dpmzos25m8ivg.cloudfront.net/Documentos/631/13340853401/6311334085340111092023140852.pdf</v>
      </c>
      <c r="G5435" s="5" t="str">
        <f>HYPERLINK("https://dpmzos25m8ivg.cloudfront.net/Documentos/631/13340853401/6311334085340111092023140903.pdf","https://dpmzos25m8ivg.cloudfront.net/Documentos/631/13340853401/6311334085340111092023140903.pdf")</f>
        <v>https://dpmzos25m8ivg.cloudfront.net/Documentos/631/13340853401/6311334085340111092023140903.pdf</v>
      </c>
      <c r="H5435" s="5" t="s">
        <v>14007</v>
      </c>
    </row>
    <row r="5436" spans="1:8" x14ac:dyDescent="0.25">
      <c r="A5436" s="2" t="s">
        <v>5463</v>
      </c>
      <c r="B5436" s="3"/>
      <c r="C5436" s="3"/>
      <c r="D5436" s="3"/>
      <c r="E5436" s="5" t="str">
        <f>HYPERLINK("https://dpmzos25m8ivg.cloudfront.net/Documentos/631/13346992756/6311334699275611092023165804.pdf","https://dpmzos25m8ivg.cloudfront.net/Documentos/631/13346992756/6311334699275611092023165804.pdf")</f>
        <v>https://dpmzos25m8ivg.cloudfront.net/Documentos/631/13346992756/6311334699275611092023165804.pdf</v>
      </c>
      <c r="F5436" s="5" t="str">
        <f>HYPERLINK("https://dpmzos25m8ivg.cloudfront.net/Documentos/631/13346992756/6311334699275611092023165820.pdf","https://dpmzos25m8ivg.cloudfront.net/Documentos/631/13346992756/6311334699275611092023165820.pdf")</f>
        <v>https://dpmzos25m8ivg.cloudfront.net/Documentos/631/13346992756/6311334699275611092023165820.pdf</v>
      </c>
      <c r="G5436" s="5" t="str">
        <f>HYPERLINK("https://dpmzos25m8ivg.cloudfront.net/Documentos/631/13346992756/6311334699275611092023165837.pdf","https://dpmzos25m8ivg.cloudfront.net/Documentos/631/13346992756/6311334699275611092023165837.pdf")</f>
        <v>https://dpmzos25m8ivg.cloudfront.net/Documentos/631/13346992756/6311334699275611092023165837.pdf</v>
      </c>
      <c r="H5436" s="5" t="s">
        <v>14008</v>
      </c>
    </row>
    <row r="5437" spans="1:8" x14ac:dyDescent="0.25">
      <c r="A5437" s="2" t="s">
        <v>5464</v>
      </c>
      <c r="B5437" s="3"/>
      <c r="C5437" s="3"/>
      <c r="D5437" s="3"/>
      <c r="E5437" s="5" t="str">
        <f>HYPERLINK("https://dpmzos25m8ivg.cloudfront.net/Documentos/631/13347433475/6311334743347511092023143728.pdf","https://dpmzos25m8ivg.cloudfront.net/Documentos/631/13347433475/6311334743347511092023143728.pdf")</f>
        <v>https://dpmzos25m8ivg.cloudfront.net/Documentos/631/13347433475/6311334743347511092023143728.pdf</v>
      </c>
      <c r="F5437" s="5" t="str">
        <f>HYPERLINK("https://dpmzos25m8ivg.cloudfront.net/Documentos/631/13347433475/6311334743347511092023143832.pdf","https://dpmzos25m8ivg.cloudfront.net/Documentos/631/13347433475/6311334743347511092023143832.pdf")</f>
        <v>https://dpmzos25m8ivg.cloudfront.net/Documentos/631/13347433475/6311334743347511092023143832.pdf</v>
      </c>
      <c r="G5437" s="5" t="str">
        <f>HYPERLINK("https://dpmzos25m8ivg.cloudfront.net/Documentos/631/13347433475/6311334743347511092023143847.pdf","https://dpmzos25m8ivg.cloudfront.net/Documentos/631/13347433475/6311334743347511092023143847.pdf")</f>
        <v>https://dpmzos25m8ivg.cloudfront.net/Documentos/631/13347433475/6311334743347511092023143847.pdf</v>
      </c>
      <c r="H5437" s="5" t="s">
        <v>14009</v>
      </c>
    </row>
    <row r="5438" spans="1:8" x14ac:dyDescent="0.25">
      <c r="A5438" s="2" t="s">
        <v>5465</v>
      </c>
      <c r="B5438" s="3"/>
      <c r="C5438" s="3"/>
      <c r="D5438" s="3"/>
      <c r="E5438" s="5" t="str">
        <f>HYPERLINK("https://dpmzos25m8ivg.cloudfront.net/Documentos/631/13348363454/6311334836345410092023202407.pdf","https://dpmzos25m8ivg.cloudfront.net/Documentos/631/13348363454/6311334836345410092023202407.pdf")</f>
        <v>https://dpmzos25m8ivg.cloudfront.net/Documentos/631/13348363454/6311334836345410092023202407.pdf</v>
      </c>
      <c r="F5438" s="5" t="str">
        <f>HYPERLINK("https://dpmzos25m8ivg.cloudfront.net/Documentos/631/13348363454/6311334836345410092023202433.pdf","https://dpmzos25m8ivg.cloudfront.net/Documentos/631/13348363454/6311334836345410092023202433.pdf")</f>
        <v>https://dpmzos25m8ivg.cloudfront.net/Documentos/631/13348363454/6311334836345410092023202433.pdf</v>
      </c>
      <c r="G5438" s="5" t="str">
        <f>HYPERLINK("https://dpmzos25m8ivg.cloudfront.net/Documentos/631/13348363454/6311334836345410092023202449.pdf","https://dpmzos25m8ivg.cloudfront.net/Documentos/631/13348363454/6311334836345410092023202449.pdf")</f>
        <v>https://dpmzos25m8ivg.cloudfront.net/Documentos/631/13348363454/6311334836345410092023202449.pdf</v>
      </c>
      <c r="H5438" s="5" t="s">
        <v>14010</v>
      </c>
    </row>
    <row r="5439" spans="1:8" x14ac:dyDescent="0.25">
      <c r="A5439" s="2" t="s">
        <v>5466</v>
      </c>
      <c r="B5439" s="3"/>
      <c r="C5439" s="3"/>
      <c r="D5439" s="3"/>
      <c r="E5439" s="5" t="str">
        <f>HYPERLINK("https://dpmzos25m8ivg.cloudfront.net/Documentos/631/13349344607/6311334934460711092023164725.pdf","https://dpmzos25m8ivg.cloudfront.net/Documentos/631/13349344607/6311334934460711092023164725.pdf")</f>
        <v>https://dpmzos25m8ivg.cloudfront.net/Documentos/631/13349344607/6311334934460711092023164725.pdf</v>
      </c>
      <c r="F5439" s="5" t="str">
        <f>HYPERLINK("https://dpmzos25m8ivg.cloudfront.net/Documentos/631/13349344607/6311334934460711092023164743.pdf","https://dpmzos25m8ivg.cloudfront.net/Documentos/631/13349344607/6311334934460711092023164743.pdf")</f>
        <v>https://dpmzos25m8ivg.cloudfront.net/Documentos/631/13349344607/6311334934460711092023164743.pdf</v>
      </c>
      <c r="G5439" s="5" t="str">
        <f>HYPERLINK("https://dpmzos25m8ivg.cloudfront.net/Documentos/631/13349344607/6311334934460711092023164755.pdf","https://dpmzos25m8ivg.cloudfront.net/Documentos/631/13349344607/6311334934460711092023164755.pdf")</f>
        <v>https://dpmzos25m8ivg.cloudfront.net/Documentos/631/13349344607/6311334934460711092023164755.pdf</v>
      </c>
      <c r="H5439" s="5" t="s">
        <v>14011</v>
      </c>
    </row>
    <row r="5440" spans="1:8" x14ac:dyDescent="0.25">
      <c r="A5440" s="2" t="s">
        <v>5467</v>
      </c>
      <c r="B5440" s="3"/>
      <c r="C5440" s="3"/>
      <c r="D5440" s="3"/>
      <c r="E5440" s="5" t="str">
        <f>HYPERLINK("https://dpmzos25m8ivg.cloudfront.net/Documentos/631/13352242461/6311335224246106092023220749.pdf","https://dpmzos25m8ivg.cloudfront.net/Documentos/631/13352242461/6311335224246106092023220749.pdf")</f>
        <v>https://dpmzos25m8ivg.cloudfront.net/Documentos/631/13352242461/6311335224246106092023220749.pdf</v>
      </c>
      <c r="F5440" s="5" t="str">
        <f>HYPERLINK("https://dpmzos25m8ivg.cloudfront.net/Documentos/631/13352242461/6311335224246106092023220834.pdf","https://dpmzos25m8ivg.cloudfront.net/Documentos/631/13352242461/6311335224246106092023220834.pdf")</f>
        <v>https://dpmzos25m8ivg.cloudfront.net/Documentos/631/13352242461/6311335224246106092023220834.pdf</v>
      </c>
      <c r="G5440" s="5" t="str">
        <f>HYPERLINK("https://dpmzos25m8ivg.cloudfront.net/Documentos/631/13352242461/6311335224246106092023220903.pdf","https://dpmzos25m8ivg.cloudfront.net/Documentos/631/13352242461/6311335224246106092023220903.pdf")</f>
        <v>https://dpmzos25m8ivg.cloudfront.net/Documentos/631/13352242461/6311335224246106092023220903.pdf</v>
      </c>
      <c r="H5440" s="5" t="s">
        <v>14012</v>
      </c>
    </row>
    <row r="5441" spans="1:8" x14ac:dyDescent="0.25">
      <c r="A5441" s="2" t="s">
        <v>5468</v>
      </c>
      <c r="B5441" s="3"/>
      <c r="C5441" s="3"/>
      <c r="D5441" s="3"/>
      <c r="E5441" s="5" t="str">
        <f>HYPERLINK("https://dpmzos25m8ivg.cloudfront.net/Documentos/631/13366286695/6311336628669510092023200556.pdf","https://dpmzos25m8ivg.cloudfront.net/Documentos/631/13366286695/6311336628669510092023200556.pdf")</f>
        <v>https://dpmzos25m8ivg.cloudfront.net/Documentos/631/13366286695/6311336628669510092023200556.pdf</v>
      </c>
      <c r="F5441" s="5" t="str">
        <f>HYPERLINK("https://dpmzos25m8ivg.cloudfront.net/Documentos/631/13366286695/6311336628669510092023200626.pdf","https://dpmzos25m8ivg.cloudfront.net/Documentos/631/13366286695/6311336628669510092023200626.pdf")</f>
        <v>https://dpmzos25m8ivg.cloudfront.net/Documentos/631/13366286695/6311336628669510092023200626.pdf</v>
      </c>
      <c r="G5441" s="5" t="str">
        <f>HYPERLINK("https://dpmzos25m8ivg.cloudfront.net/Documentos/631/13366286695/6311336628669510092023200644.pdf","https://dpmzos25m8ivg.cloudfront.net/Documentos/631/13366286695/6311336628669510092023200644.pdf")</f>
        <v>https://dpmzos25m8ivg.cloudfront.net/Documentos/631/13366286695/6311336628669510092023200644.pdf</v>
      </c>
      <c r="H5441" s="5" t="s">
        <v>14013</v>
      </c>
    </row>
    <row r="5442" spans="1:8" x14ac:dyDescent="0.25">
      <c r="A5442" s="2" t="s">
        <v>5469</v>
      </c>
      <c r="B5442" s="16" t="s">
        <v>2358</v>
      </c>
      <c r="C5442" s="3"/>
      <c r="D5442" s="3"/>
      <c r="E5442" s="5" t="str">
        <f>HYPERLINK("https://dpmzos25m8ivg.cloudfront.net/Documentos/631/13367074616/6311336707461606092023095445.jpeg","https://dpmzos25m8ivg.cloudfront.net/Documentos/631/13367074616/6311336707461606092023095445.jpeg")</f>
        <v>https://dpmzos25m8ivg.cloudfront.net/Documentos/631/13367074616/6311336707461606092023095445.jpeg</v>
      </c>
      <c r="F5442" s="5" t="str">
        <f>HYPERLINK("https://dpmzos25m8ivg.cloudfront.net/Documentos/631/13367074616/6311336707461606092023095458.jpeg","https://dpmzos25m8ivg.cloudfront.net/Documentos/631/13367074616/6311336707461606092023095458.jpeg")</f>
        <v>https://dpmzos25m8ivg.cloudfront.net/Documentos/631/13367074616/6311336707461606092023095458.jpeg</v>
      </c>
      <c r="G5442" s="5" t="str">
        <f>HYPERLINK("https://dpmzos25m8ivg.cloudfront.net/Documentos/631/13367074616/6311336707461606092023095516.jpeg","https://dpmzos25m8ivg.cloudfront.net/Documentos/631/13367074616/6311336707461606092023095516.jpeg")</f>
        <v>https://dpmzos25m8ivg.cloudfront.net/Documentos/631/13367074616/6311336707461606092023095516.jpeg</v>
      </c>
      <c r="H5442" s="5" t="s">
        <v>14014</v>
      </c>
    </row>
    <row r="5443" spans="1:8" x14ac:dyDescent="0.25">
      <c r="A5443" s="2" t="s">
        <v>5470</v>
      </c>
      <c r="B5443" s="3"/>
      <c r="C5443" s="3"/>
      <c r="D5443" s="3"/>
      <c r="E5443" s="5" t="str">
        <f>HYPERLINK("https://dpmzos25m8ivg.cloudfront.net/Documentos/631/13370663465/6311337066346511092023094224.pdf","https://dpmzos25m8ivg.cloudfront.net/Documentos/631/13370663465/6311337066346511092023094224.pdf")</f>
        <v>https://dpmzos25m8ivg.cloudfront.net/Documentos/631/13370663465/6311337066346511092023094224.pdf</v>
      </c>
      <c r="F5443" s="5" t="str">
        <f>HYPERLINK("https://dpmzos25m8ivg.cloudfront.net/Documentos/631/13370663465/6311337066346511092023094621.pdf","https://dpmzos25m8ivg.cloudfront.net/Documentos/631/13370663465/6311337066346511092023094621.pdf")</f>
        <v>https://dpmzos25m8ivg.cloudfront.net/Documentos/631/13370663465/6311337066346511092023094621.pdf</v>
      </c>
      <c r="G5443" s="5" t="str">
        <f>HYPERLINK("https://dpmzos25m8ivg.cloudfront.net/Documentos/631/13370663465/6311337066346511092023094632.pdf","https://dpmzos25m8ivg.cloudfront.net/Documentos/631/13370663465/6311337066346511092023094632.pdf")</f>
        <v>https://dpmzos25m8ivg.cloudfront.net/Documentos/631/13370663465/6311337066346511092023094632.pdf</v>
      </c>
      <c r="H5443" s="5" t="s">
        <v>14015</v>
      </c>
    </row>
    <row r="5444" spans="1:8" x14ac:dyDescent="0.25">
      <c r="A5444" s="2" t="s">
        <v>5471</v>
      </c>
      <c r="B5444" s="3"/>
      <c r="C5444" s="3"/>
      <c r="D5444" s="3"/>
      <c r="E5444" s="5" t="str">
        <f>HYPERLINK("https://dpmzos25m8ivg.cloudfront.net/Documentos/631/13371565408/6311337156540805092023105011.pdf","https://dpmzos25m8ivg.cloudfront.net/Documentos/631/13371565408/6311337156540805092023105011.pdf")</f>
        <v>https://dpmzos25m8ivg.cloudfront.net/Documentos/631/13371565408/6311337156540805092023105011.pdf</v>
      </c>
      <c r="F5444" s="5" t="str">
        <f>HYPERLINK("https://dpmzos25m8ivg.cloudfront.net/Documentos/631/13371565408/6311337156540805092023105037.pdf","https://dpmzos25m8ivg.cloudfront.net/Documentos/631/13371565408/6311337156540805092023105037.pdf")</f>
        <v>https://dpmzos25m8ivg.cloudfront.net/Documentos/631/13371565408/6311337156540805092023105037.pdf</v>
      </c>
      <c r="G5444" s="5" t="str">
        <f>HYPERLINK("https://dpmzos25m8ivg.cloudfront.net/Documentos/631/13371565408/6311337156540805092023105105.pdf","https://dpmzos25m8ivg.cloudfront.net/Documentos/631/13371565408/6311337156540805092023105105.pdf")</f>
        <v>https://dpmzos25m8ivg.cloudfront.net/Documentos/631/13371565408/6311337156540805092023105105.pdf</v>
      </c>
      <c r="H5444" s="5" t="s">
        <v>14016</v>
      </c>
    </row>
    <row r="5445" spans="1:8" x14ac:dyDescent="0.25">
      <c r="A5445" s="2" t="s">
        <v>5472</v>
      </c>
      <c r="B5445" s="19" t="s">
        <v>4857</v>
      </c>
      <c r="C5445" s="3"/>
      <c r="D5445" s="3"/>
      <c r="E5445" s="5" t="str">
        <f>HYPERLINK("https://dpmzos25m8ivg.cloudfront.net/Documentos/631/13377033700/6311337703370008092023215918.pdf","https://dpmzos25m8ivg.cloudfront.net/Documentos/631/13377033700/6311337703370008092023215918.pdf")</f>
        <v>https://dpmzos25m8ivg.cloudfront.net/Documentos/631/13377033700/6311337703370008092023215918.pdf</v>
      </c>
      <c r="F5445" s="5" t="str">
        <f>HYPERLINK("https://dpmzos25m8ivg.cloudfront.net/Documentos/631/13377033700/6311337703370008092023215938.pdf","https://dpmzos25m8ivg.cloudfront.net/Documentos/631/13377033700/6311337703370008092023215938.pdf")</f>
        <v>https://dpmzos25m8ivg.cloudfront.net/Documentos/631/13377033700/6311337703370008092023215938.pdf</v>
      </c>
      <c r="G5445" s="5" t="str">
        <f>HYPERLINK("https://dpmzos25m8ivg.cloudfront.net/Documentos/631/13377033700/6311337703370008092023215956.pdf","https://dpmzos25m8ivg.cloudfront.net/Documentos/631/13377033700/6311337703370008092023215956.pdf")</f>
        <v>https://dpmzos25m8ivg.cloudfront.net/Documentos/631/13377033700/6311337703370008092023215956.pdf</v>
      </c>
      <c r="H5445" s="5" t="s">
        <v>14017</v>
      </c>
    </row>
    <row r="5446" spans="1:8" x14ac:dyDescent="0.25">
      <c r="A5446" s="2" t="s">
        <v>5473</v>
      </c>
      <c r="B5446" s="3"/>
      <c r="C5446" s="3"/>
      <c r="D5446" s="3"/>
      <c r="E5446" s="5" t="str">
        <f>HYPERLINK("https://dpmzos25m8ivg.cloudfront.net/Documentos/631/13381815644/6311338181564411092023143544.pdf","https://dpmzos25m8ivg.cloudfront.net/Documentos/631/13381815644/6311338181564411092023143544.pdf")</f>
        <v>https://dpmzos25m8ivg.cloudfront.net/Documentos/631/13381815644/6311338181564411092023143544.pdf</v>
      </c>
      <c r="F5446" s="5" t="str">
        <f>HYPERLINK("https://dpmzos25m8ivg.cloudfront.net/Documentos/631/13381815644/6311338181564411092023143549.pdf","https://dpmzos25m8ivg.cloudfront.net/Documentos/631/13381815644/6311338181564411092023143549.pdf")</f>
        <v>https://dpmzos25m8ivg.cloudfront.net/Documentos/631/13381815644/6311338181564411092023143549.pdf</v>
      </c>
      <c r="G5446" s="5" t="str">
        <f>HYPERLINK("https://dpmzos25m8ivg.cloudfront.net/Documentos/631/13381815644/6311338181564411092023143555.pdf","https://dpmzos25m8ivg.cloudfront.net/Documentos/631/13381815644/6311338181564411092023143555.pdf")</f>
        <v>https://dpmzos25m8ivg.cloudfront.net/Documentos/631/13381815644/6311338181564411092023143555.pdf</v>
      </c>
      <c r="H5446" s="5" t="s">
        <v>14018</v>
      </c>
    </row>
    <row r="5447" spans="1:8" x14ac:dyDescent="0.25">
      <c r="A5447" s="2" t="s">
        <v>5474</v>
      </c>
      <c r="B5447" s="3"/>
      <c r="C5447" s="3"/>
      <c r="D5447" s="3"/>
      <c r="E5447" s="5" t="str">
        <f>HYPERLINK("https://dpmzos25m8ivg.cloudfront.net/Documentos/631/13387370407/6311338737040711092023154145.pdf","https://dpmzos25m8ivg.cloudfront.net/Documentos/631/13387370407/6311338737040711092023154145.pdf")</f>
        <v>https://dpmzos25m8ivg.cloudfront.net/Documentos/631/13387370407/6311338737040711092023154145.pdf</v>
      </c>
      <c r="F5447" s="5" t="str">
        <f>HYPERLINK("https://dpmzos25m8ivg.cloudfront.net/Documentos/631/13387370407/6311338737040711092023154157.pdf","https://dpmzos25m8ivg.cloudfront.net/Documentos/631/13387370407/6311338737040711092023154157.pdf")</f>
        <v>https://dpmzos25m8ivg.cloudfront.net/Documentos/631/13387370407/6311338737040711092023154157.pdf</v>
      </c>
      <c r="G5447" s="5" t="str">
        <f>HYPERLINK("https://dpmzos25m8ivg.cloudfront.net/Documentos/631/13387370407/6311338737040711092023154206.pdf","https://dpmzos25m8ivg.cloudfront.net/Documentos/631/13387370407/6311338737040711092023154206.pdf")</f>
        <v>https://dpmzos25m8ivg.cloudfront.net/Documentos/631/13387370407/6311338737040711092023154206.pdf</v>
      </c>
      <c r="H5447" s="5" t="s">
        <v>14019</v>
      </c>
    </row>
    <row r="5448" spans="1:8" x14ac:dyDescent="0.25">
      <c r="A5448" s="2" t="s">
        <v>5475</v>
      </c>
      <c r="B5448" s="3"/>
      <c r="C5448" s="3"/>
      <c r="D5448" s="3"/>
      <c r="E5448" s="5" t="str">
        <f>HYPERLINK("https://dpmzos25m8ivg.cloudfront.net/Documentos/631/13388102600/6311338810260008092023032124.pdf","https://dpmzos25m8ivg.cloudfront.net/Documentos/631/13388102600/6311338810260008092023032124.pdf")</f>
        <v>https://dpmzos25m8ivg.cloudfront.net/Documentos/631/13388102600/6311338810260008092023032124.pdf</v>
      </c>
      <c r="F5448" s="5" t="str">
        <f>HYPERLINK("https://dpmzos25m8ivg.cloudfront.net/Documentos/631/13388102600/6311338810260008092023032137.pdf","https://dpmzos25m8ivg.cloudfront.net/Documentos/631/13388102600/6311338810260008092023032137.pdf")</f>
        <v>https://dpmzos25m8ivg.cloudfront.net/Documentos/631/13388102600/6311338810260008092023032137.pdf</v>
      </c>
      <c r="G5448" s="5" t="str">
        <f>HYPERLINK("https://dpmzos25m8ivg.cloudfront.net/Documentos/631/13388102600/6311338810260008092023032148.pdf","https://dpmzos25m8ivg.cloudfront.net/Documentos/631/13388102600/6311338810260008092023032148.pdf")</f>
        <v>https://dpmzos25m8ivg.cloudfront.net/Documentos/631/13388102600/6311338810260008092023032148.pdf</v>
      </c>
      <c r="H5448" s="5" t="s">
        <v>14020</v>
      </c>
    </row>
    <row r="5449" spans="1:8" x14ac:dyDescent="0.25">
      <c r="A5449" s="2" t="s">
        <v>5476</v>
      </c>
      <c r="B5449" s="3"/>
      <c r="C5449" s="3"/>
      <c r="D5449" s="3"/>
      <c r="E5449" s="5" t="str">
        <f>HYPERLINK("https://dpmzos25m8ivg.cloudfront.net/Documentos/631/13390184465/6311339018446513092023141239.pdf","https://dpmzos25m8ivg.cloudfront.net/Documentos/631/13390184465/6311339018446513092023141239.pdf")</f>
        <v>https://dpmzos25m8ivg.cloudfront.net/Documentos/631/13390184465/6311339018446513092023141239.pdf</v>
      </c>
      <c r="F5449" s="5" t="str">
        <f>HYPERLINK("https://dpmzos25m8ivg.cloudfront.net/Documentos/631/13390184465/6311339018446513092023141256.pdf","https://dpmzos25m8ivg.cloudfront.net/Documentos/631/13390184465/6311339018446513092023141256.pdf")</f>
        <v>https://dpmzos25m8ivg.cloudfront.net/Documentos/631/13390184465/6311339018446513092023141256.pdf</v>
      </c>
      <c r="G5449" s="5" t="str">
        <f>HYPERLINK("https://dpmzos25m8ivg.cloudfront.net/Documentos/631/13390184465/6311339018446513092023141311.pdf","https://dpmzos25m8ivg.cloudfront.net/Documentos/631/13390184465/6311339018446513092023141311.pdf")</f>
        <v>https://dpmzos25m8ivg.cloudfront.net/Documentos/631/13390184465/6311339018446513092023141311.pdf</v>
      </c>
      <c r="H5449" s="5" t="s">
        <v>14021</v>
      </c>
    </row>
    <row r="5450" spans="1:8" x14ac:dyDescent="0.25">
      <c r="A5450" s="2" t="s">
        <v>5477</v>
      </c>
      <c r="B5450" s="3"/>
      <c r="C5450" s="3"/>
      <c r="D5450" s="3"/>
      <c r="E5450" s="5" t="str">
        <f>HYPERLINK("https://dpmzos25m8ivg.cloudfront.net/Documentos/631/13394464489/6311339446448906092023143236.pdf","https://dpmzos25m8ivg.cloudfront.net/Documentos/631/13394464489/6311339446448906092023143236.pdf")</f>
        <v>https://dpmzos25m8ivg.cloudfront.net/Documentos/631/13394464489/6311339446448906092023143236.pdf</v>
      </c>
      <c r="F5450" s="5" t="str">
        <f>HYPERLINK("https://dpmzos25m8ivg.cloudfront.net/Documentos/631/13394464489/6311339446448906092023143219.pdf","https://dpmzos25m8ivg.cloudfront.net/Documentos/631/13394464489/6311339446448906092023143219.pdf")</f>
        <v>https://dpmzos25m8ivg.cloudfront.net/Documentos/631/13394464489/6311339446448906092023143219.pdf</v>
      </c>
      <c r="G5450" s="5" t="str">
        <f>HYPERLINK("https://dpmzos25m8ivg.cloudfront.net/Documentos/631/13394464489/6311339446448906092023143144.pdf","https://dpmzos25m8ivg.cloudfront.net/Documentos/631/13394464489/6311339446448906092023143144.pdf")</f>
        <v>https://dpmzos25m8ivg.cloudfront.net/Documentos/631/13394464489/6311339446448906092023143144.pdf</v>
      </c>
      <c r="H5450" s="5" t="s">
        <v>14022</v>
      </c>
    </row>
    <row r="5451" spans="1:8" x14ac:dyDescent="0.25">
      <c r="A5451" s="2" t="s">
        <v>5478</v>
      </c>
      <c r="B5451" s="3"/>
      <c r="C5451" s="3"/>
      <c r="D5451" s="3"/>
      <c r="E5451" s="5" t="str">
        <f>HYPERLINK("https://dpmzos25m8ivg.cloudfront.net/Documentos/631/13400516724/6311340051672413092023194440.pdf","https://dpmzos25m8ivg.cloudfront.net/Documentos/631/13400516724/6311340051672413092023194440.pdf")</f>
        <v>https://dpmzos25m8ivg.cloudfront.net/Documentos/631/13400516724/6311340051672413092023194440.pdf</v>
      </c>
      <c r="F5451" s="5" t="str">
        <f>HYPERLINK("https://dpmzos25m8ivg.cloudfront.net/Documentos/631/13400516724/6311340051672413092023194501.pdf","https://dpmzos25m8ivg.cloudfront.net/Documentos/631/13400516724/6311340051672413092023194501.pdf")</f>
        <v>https://dpmzos25m8ivg.cloudfront.net/Documentos/631/13400516724/6311340051672413092023194501.pdf</v>
      </c>
      <c r="G5451" s="5" t="str">
        <f>HYPERLINK("https://dpmzos25m8ivg.cloudfront.net/Documentos/631/13400516724/6311340051672413092023194528.pdf","https://dpmzos25m8ivg.cloudfront.net/Documentos/631/13400516724/6311340051672413092023194528.pdf")</f>
        <v>https://dpmzos25m8ivg.cloudfront.net/Documentos/631/13400516724/6311340051672413092023194528.pdf</v>
      </c>
      <c r="H5451" s="5" t="s">
        <v>14023</v>
      </c>
    </row>
    <row r="5452" spans="1:8" x14ac:dyDescent="0.25">
      <c r="A5452" s="2" t="s">
        <v>5479</v>
      </c>
      <c r="B5452" s="3"/>
      <c r="C5452" s="3"/>
      <c r="D5452" s="3"/>
      <c r="E5452" s="5" t="str">
        <f>HYPERLINK("https://dpmzos25m8ivg.cloudfront.net/Documentos/631/13403136698/6311340313669809092023145645.pdf","https://dpmzos25m8ivg.cloudfront.net/Documentos/631/13403136698/6311340313669809092023145645.pdf")</f>
        <v>https://dpmzos25m8ivg.cloudfront.net/Documentos/631/13403136698/6311340313669809092023145645.pdf</v>
      </c>
      <c r="F5452" s="5" t="str">
        <f>HYPERLINK("https://dpmzos25m8ivg.cloudfront.net/Documentos/631/13403136698/6311340313669809092023145653.pdf","https://dpmzos25m8ivg.cloudfront.net/Documentos/631/13403136698/6311340313669809092023145653.pdf")</f>
        <v>https://dpmzos25m8ivg.cloudfront.net/Documentos/631/13403136698/6311340313669809092023145653.pdf</v>
      </c>
      <c r="G5452" s="5" t="str">
        <f>HYPERLINK("https://dpmzos25m8ivg.cloudfront.net/Documentos/631/13403136698/6311340313669809092023145700.pdf","https://dpmzos25m8ivg.cloudfront.net/Documentos/631/13403136698/6311340313669809092023145700.pdf")</f>
        <v>https://dpmzos25m8ivg.cloudfront.net/Documentos/631/13403136698/6311340313669809092023145700.pdf</v>
      </c>
      <c r="H5452" s="5" t="s">
        <v>14024</v>
      </c>
    </row>
    <row r="5453" spans="1:8" x14ac:dyDescent="0.25">
      <c r="A5453" s="2" t="s">
        <v>5480</v>
      </c>
      <c r="B5453" s="3"/>
      <c r="C5453" s="3"/>
      <c r="D5453" s="3"/>
      <c r="E5453" s="5" t="str">
        <f>HYPERLINK("https://dpmzos25m8ivg.cloudfront.net/Documentos/631/13403258459/6311340325845906092023224534.pdf","https://dpmzos25m8ivg.cloudfront.net/Documentos/631/13403258459/6311340325845906092023224534.pdf")</f>
        <v>https://dpmzos25m8ivg.cloudfront.net/Documentos/631/13403258459/6311340325845906092023224534.pdf</v>
      </c>
      <c r="F5453" s="5" t="str">
        <f>HYPERLINK("https://dpmzos25m8ivg.cloudfront.net/Documentos/631/13403258459/6311340325845906092023224548.pdf","https://dpmzos25m8ivg.cloudfront.net/Documentos/631/13403258459/6311340325845906092023224548.pdf")</f>
        <v>https://dpmzos25m8ivg.cloudfront.net/Documentos/631/13403258459/6311340325845906092023224548.pdf</v>
      </c>
      <c r="G5453" s="5" t="str">
        <f>HYPERLINK("https://dpmzos25m8ivg.cloudfront.net/Documentos/631/13403258459/6311340325845906092023224559.pdf","https://dpmzos25m8ivg.cloudfront.net/Documentos/631/13403258459/6311340325845906092023224559.pdf")</f>
        <v>https://dpmzos25m8ivg.cloudfront.net/Documentos/631/13403258459/6311340325845906092023224559.pdf</v>
      </c>
      <c r="H5453" s="5" t="s">
        <v>14025</v>
      </c>
    </row>
    <row r="5454" spans="1:8" x14ac:dyDescent="0.25">
      <c r="A5454" s="22" t="s">
        <v>5481</v>
      </c>
      <c r="B5454" s="23"/>
      <c r="C5454" s="3"/>
      <c r="D5454" s="3"/>
      <c r="E5454" s="5" t="str">
        <f>HYPERLINK("https://dpmzos25m8ivg.cloudfront.net/Documentos/631/13407948700/6311340794870005092023113218.jpeg","https://dpmzos25m8ivg.cloudfront.net/Documentos/631/13407948700/6311340794870005092023113218.jpeg")</f>
        <v>https://dpmzos25m8ivg.cloudfront.net/Documentos/631/13407948700/6311340794870005092023113218.jpeg</v>
      </c>
      <c r="F5454" s="5" t="str">
        <f>HYPERLINK("https://dpmzos25m8ivg.cloudfront.net/Documentos/631/13407948700/6311340794870005092023113232.jpeg","https://dpmzos25m8ivg.cloudfront.net/Documentos/631/13407948700/6311340794870005092023113232.jpeg")</f>
        <v>https://dpmzos25m8ivg.cloudfront.net/Documentos/631/13407948700/6311340794870005092023113232.jpeg</v>
      </c>
      <c r="G5454" s="5" t="str">
        <f>HYPERLINK("https://dpmzos25m8ivg.cloudfront.net/Documentos/631/13407948700/6311340794870010092023121114.jpeg","https://dpmzos25m8ivg.cloudfront.net/Documentos/631/13407948700/6311340794870010092023121114.jpeg")</f>
        <v>https://dpmzos25m8ivg.cloudfront.net/Documentos/631/13407948700/6311340794870010092023121114.jpeg</v>
      </c>
      <c r="H5454" s="27" t="s">
        <v>14026</v>
      </c>
    </row>
    <row r="5455" spans="1:8" x14ac:dyDescent="0.25">
      <c r="A5455" s="2" t="s">
        <v>5482</v>
      </c>
      <c r="B5455" s="19" t="s">
        <v>5483</v>
      </c>
      <c r="C5455" s="3"/>
      <c r="D5455" s="3"/>
      <c r="E5455" s="5" t="str">
        <f>HYPERLINK("https://dpmzos25m8ivg.cloudfront.net/Documentos/631/13408794766/6311340879476611092023132824.pdf","https://dpmzos25m8ivg.cloudfront.net/Documentos/631/13408794766/6311340879476611092023132824.pdf")</f>
        <v>https://dpmzos25m8ivg.cloudfront.net/Documentos/631/13408794766/6311340879476611092023132824.pdf</v>
      </c>
      <c r="F5455" s="5" t="str">
        <f>HYPERLINK("https://dpmzos25m8ivg.cloudfront.net/Documentos/631/13408794766/6311340879476611092023132711.pdf","https://dpmzos25m8ivg.cloudfront.net/Documentos/631/13408794766/6311340879476611092023132711.pdf")</f>
        <v>https://dpmzos25m8ivg.cloudfront.net/Documentos/631/13408794766/6311340879476611092023132711.pdf</v>
      </c>
      <c r="G5455" s="5" t="str">
        <f>HYPERLINK("https://dpmzos25m8ivg.cloudfront.net/Documentos/631/13408794766/6311340879476611092023132642.pdf","https://dpmzos25m8ivg.cloudfront.net/Documentos/631/13408794766/6311340879476611092023132642.pdf")</f>
        <v>https://dpmzos25m8ivg.cloudfront.net/Documentos/631/13408794766/6311340879476611092023132642.pdf</v>
      </c>
      <c r="H5455" s="4" t="s">
        <v>14027</v>
      </c>
    </row>
    <row r="5456" spans="1:8" x14ac:dyDescent="0.25">
      <c r="A5456" s="2" t="s">
        <v>5484</v>
      </c>
      <c r="B5456" s="3"/>
      <c r="C5456" s="3"/>
      <c r="D5456" s="3"/>
      <c r="E5456" s="5" t="str">
        <f>HYPERLINK("https://dpmzos25m8ivg.cloudfront.net/Documentos/631/13410255605/6311341025560511092023082046.pdf","https://dpmzos25m8ivg.cloudfront.net/Documentos/631/13410255605/6311341025560511092023082046.pdf")</f>
        <v>https://dpmzos25m8ivg.cloudfront.net/Documentos/631/13410255605/6311341025560511092023082046.pdf</v>
      </c>
      <c r="F5456" s="5" t="str">
        <f>HYPERLINK("https://dpmzos25m8ivg.cloudfront.net/Documentos/631/13410255605/6311341025560511092023082231.pdf","https://dpmzos25m8ivg.cloudfront.net/Documentos/631/13410255605/6311341025560511092023082231.pdf")</f>
        <v>https://dpmzos25m8ivg.cloudfront.net/Documentos/631/13410255605/6311341025560511092023082231.pdf</v>
      </c>
      <c r="G5456" s="5" t="str">
        <f>HYPERLINK("https://dpmzos25m8ivg.cloudfront.net/Documentos/631/13410255605/6311341025560511092023082238.pdf","https://dpmzos25m8ivg.cloudfront.net/Documentos/631/13410255605/6311341025560511092023082238.pdf")</f>
        <v>https://dpmzos25m8ivg.cloudfront.net/Documentos/631/13410255605/6311341025560511092023082238.pdf</v>
      </c>
      <c r="H5456" s="4" t="s">
        <v>14028</v>
      </c>
    </row>
    <row r="5457" spans="1:8" x14ac:dyDescent="0.25">
      <c r="A5457" s="2" t="s">
        <v>5485</v>
      </c>
      <c r="B5457" s="3"/>
      <c r="C5457" s="3"/>
      <c r="D5457" s="3"/>
      <c r="E5457" s="5" t="str">
        <f>HYPERLINK("https://dpmzos25m8ivg.cloudfront.net/Documentos/631/13413969676/6311341396967609092023213257.pdf","https://dpmzos25m8ivg.cloudfront.net/Documentos/631/13413969676/6311341396967609092023213257.pdf")</f>
        <v>https://dpmzos25m8ivg.cloudfront.net/Documentos/631/13413969676/6311341396967609092023213257.pdf</v>
      </c>
      <c r="F5457" s="5" t="str">
        <f>HYPERLINK("https://dpmzos25m8ivg.cloudfront.net/Documentos/631/13413969676/6311341396967609092023212052.pdf","https://dpmzos25m8ivg.cloudfront.net/Documentos/631/13413969676/6311341396967609092023212052.pdf")</f>
        <v>https://dpmzos25m8ivg.cloudfront.net/Documentos/631/13413969676/6311341396967609092023212052.pdf</v>
      </c>
      <c r="G5457" s="5" t="str">
        <f>HYPERLINK("https://dpmzos25m8ivg.cloudfront.net/Documentos/631/13413969676/6311341396967609092023212102.pdf","https://dpmzos25m8ivg.cloudfront.net/Documentos/631/13413969676/6311341396967609092023212102.pdf")</f>
        <v>https://dpmzos25m8ivg.cloudfront.net/Documentos/631/13413969676/6311341396967609092023212102.pdf</v>
      </c>
      <c r="H5457" s="4" t="s">
        <v>14029</v>
      </c>
    </row>
    <row r="5458" spans="1:8" x14ac:dyDescent="0.25">
      <c r="A5458" s="2" t="s">
        <v>5486</v>
      </c>
      <c r="B5458" s="3"/>
      <c r="C5458" s="3"/>
      <c r="D5458" s="3"/>
      <c r="E5458" s="5" t="str">
        <f>HYPERLINK("https://dpmzos25m8ivg.cloudfront.net/Documentos/631/13430293413/6311343029341311092023150432.pdf","https://dpmzos25m8ivg.cloudfront.net/Documentos/631/13430293413/6311343029341311092023150432.pdf")</f>
        <v>https://dpmzos25m8ivg.cloudfront.net/Documentos/631/13430293413/6311343029341311092023150432.pdf</v>
      </c>
      <c r="F5458" s="5" t="str">
        <f>HYPERLINK("https://dpmzos25m8ivg.cloudfront.net/Documentos/631/13430293413/6311343029341311092023150447.pdf","https://dpmzos25m8ivg.cloudfront.net/Documentos/631/13430293413/6311343029341311092023150447.pdf")</f>
        <v>https://dpmzos25m8ivg.cloudfront.net/Documentos/631/13430293413/6311343029341311092023150447.pdf</v>
      </c>
      <c r="G5458" s="5" t="str">
        <f>HYPERLINK("https://dpmzos25m8ivg.cloudfront.net/Documentos/631/13430293413/6311343029341311092023150456.pdf","https://dpmzos25m8ivg.cloudfront.net/Documentos/631/13430293413/6311343029341311092023150456.pdf")</f>
        <v>https://dpmzos25m8ivg.cloudfront.net/Documentos/631/13430293413/6311343029341311092023150456.pdf</v>
      </c>
      <c r="H5458" s="4" t="s">
        <v>14030</v>
      </c>
    </row>
    <row r="5459" spans="1:8" x14ac:dyDescent="0.25">
      <c r="A5459" s="2" t="s">
        <v>5487</v>
      </c>
      <c r="B5459" s="3"/>
      <c r="C5459" s="3"/>
      <c r="D5459" s="3"/>
      <c r="E5459" s="5" t="str">
        <f>HYPERLINK("https://dpmzos25m8ivg.cloudfront.net/Documentos/631/13430516498/6311343051649806092023221856.pdf","https://dpmzos25m8ivg.cloudfront.net/Documentos/631/13430516498/6311343051649806092023221856.pdf")</f>
        <v>https://dpmzos25m8ivg.cloudfront.net/Documentos/631/13430516498/6311343051649806092023221856.pdf</v>
      </c>
      <c r="F5459" s="5" t="str">
        <f>HYPERLINK("https://dpmzos25m8ivg.cloudfront.net/Documentos/631/13430516498/6311343051649806092023221909.pdf","https://dpmzos25m8ivg.cloudfront.net/Documentos/631/13430516498/6311343051649806092023221909.pdf")</f>
        <v>https://dpmzos25m8ivg.cloudfront.net/Documentos/631/13430516498/6311343051649806092023221909.pdf</v>
      </c>
      <c r="G5459" s="5" t="str">
        <f>HYPERLINK("https://dpmzos25m8ivg.cloudfront.net/Documentos/631/13430516498/6311343051649806092023221919.pdf","https://dpmzos25m8ivg.cloudfront.net/Documentos/631/13430516498/6311343051649806092023221919.pdf")</f>
        <v>https://dpmzos25m8ivg.cloudfront.net/Documentos/631/13430516498/6311343051649806092023221919.pdf</v>
      </c>
      <c r="H5459" s="4" t="s">
        <v>14031</v>
      </c>
    </row>
    <row r="5460" spans="1:8" x14ac:dyDescent="0.25">
      <c r="A5460" s="2" t="s">
        <v>5488</v>
      </c>
      <c r="B5460" s="3"/>
      <c r="C5460" s="3"/>
      <c r="D5460" s="3"/>
      <c r="E5460" s="5" t="str">
        <f>HYPERLINK("https://dpmzos25m8ivg.cloudfront.net/Documentos/631/13437999613/6311343799961311092023143822.pdf","https://dpmzos25m8ivg.cloudfront.net/Documentos/631/13437999613/6311343799961311092023143822.pdf")</f>
        <v>https://dpmzos25m8ivg.cloudfront.net/Documentos/631/13437999613/6311343799961311092023143822.pdf</v>
      </c>
      <c r="F5460" s="5" t="str">
        <f>HYPERLINK("https://dpmzos25m8ivg.cloudfront.net/Documentos/631/13437999613/6311343799961311092023143830.pdf","https://dpmzos25m8ivg.cloudfront.net/Documentos/631/13437999613/6311343799961311092023143830.pdf")</f>
        <v>https://dpmzos25m8ivg.cloudfront.net/Documentos/631/13437999613/6311343799961311092023143830.pdf</v>
      </c>
      <c r="G5460" s="5" t="str">
        <f>HYPERLINK("https://dpmzos25m8ivg.cloudfront.net/Documentos/631/13437999613/6311343799961311092023143839.pdf","https://dpmzos25m8ivg.cloudfront.net/Documentos/631/13437999613/6311343799961311092023143839.pdf")</f>
        <v>https://dpmzos25m8ivg.cloudfront.net/Documentos/631/13437999613/6311343799961311092023143839.pdf</v>
      </c>
      <c r="H5460" s="4" t="s">
        <v>14032</v>
      </c>
    </row>
    <row r="5461" spans="1:8" x14ac:dyDescent="0.25">
      <c r="A5461" s="2" t="s">
        <v>5489</v>
      </c>
      <c r="B5461" s="3"/>
      <c r="C5461" s="3"/>
      <c r="D5461" s="3"/>
      <c r="E5461" s="5" t="str">
        <f>HYPERLINK("https://dpmzos25m8ivg.cloudfront.net/Documentos/631/13444486405/6311344448640511092023135242.pdf","https://dpmzos25m8ivg.cloudfront.net/Documentos/631/13444486405/6311344448640511092023135242.pdf")</f>
        <v>https://dpmzos25m8ivg.cloudfront.net/Documentos/631/13444486405/6311344448640511092023135242.pdf</v>
      </c>
      <c r="F5461" s="5" t="str">
        <f>HYPERLINK("https://dpmzos25m8ivg.cloudfront.net/Documentos/631/13444486405/6311344448640511092023135420.pdf","https://dpmzos25m8ivg.cloudfront.net/Documentos/631/13444486405/6311344448640511092023135420.pdf")</f>
        <v>https://dpmzos25m8ivg.cloudfront.net/Documentos/631/13444486405/6311344448640511092023135420.pdf</v>
      </c>
      <c r="G5461" s="5" t="str">
        <f>HYPERLINK("https://dpmzos25m8ivg.cloudfront.net/Documentos/631/13444486405/6311344448640511092023135500.pdf","https://dpmzos25m8ivg.cloudfront.net/Documentos/631/13444486405/6311344448640511092023135500.pdf")</f>
        <v>https://dpmzos25m8ivg.cloudfront.net/Documentos/631/13444486405/6311344448640511092023135500.pdf</v>
      </c>
      <c r="H5461" s="4" t="s">
        <v>14033</v>
      </c>
    </row>
    <row r="5462" spans="1:8" x14ac:dyDescent="0.25">
      <c r="A5462" s="2" t="s">
        <v>5490</v>
      </c>
      <c r="B5462" s="3"/>
      <c r="C5462" s="3"/>
      <c r="D5462" s="3"/>
      <c r="E5462" s="5" t="str">
        <f>HYPERLINK("https://dpmzos25m8ivg.cloudfront.net/Documentos/631/13445155844/6311344515584406092023124028.pdf","https://dpmzos25m8ivg.cloudfront.net/Documentos/631/13445155844/6311344515584406092023124028.pdf")</f>
        <v>https://dpmzos25m8ivg.cloudfront.net/Documentos/631/13445155844/6311344515584406092023124028.pdf</v>
      </c>
      <c r="F5462" s="5" t="str">
        <f>HYPERLINK("https://dpmzos25m8ivg.cloudfront.net/Documentos/631/13445155844/6311344515584406092023124104.pdf","https://dpmzos25m8ivg.cloudfront.net/Documentos/631/13445155844/6311344515584406092023124104.pdf")</f>
        <v>https://dpmzos25m8ivg.cloudfront.net/Documentos/631/13445155844/6311344515584406092023124104.pdf</v>
      </c>
      <c r="G5462" s="5" t="str">
        <f>HYPERLINK("https://dpmzos25m8ivg.cloudfront.net/Documentos/631/13445155844/6311344515584406092023124119.pdf","https://dpmzos25m8ivg.cloudfront.net/Documentos/631/13445155844/6311344515584406092023124119.pdf")</f>
        <v>https://dpmzos25m8ivg.cloudfront.net/Documentos/631/13445155844/6311344515584406092023124119.pdf</v>
      </c>
      <c r="H5462" s="4" t="s">
        <v>14034</v>
      </c>
    </row>
    <row r="5463" spans="1:8" x14ac:dyDescent="0.25">
      <c r="A5463" s="2" t="s">
        <v>5491</v>
      </c>
      <c r="B5463" s="3"/>
      <c r="C5463" s="3"/>
      <c r="D5463" s="3"/>
      <c r="E5463" s="5" t="str">
        <f>HYPERLINK("https://dpmzos25m8ivg.cloudfront.net/Documentos/631/13445250758/6311344525075812092023225242.jpeg","https://dpmzos25m8ivg.cloudfront.net/Documentos/631/13445250758/6311344525075812092023225242.jpeg")</f>
        <v>https://dpmzos25m8ivg.cloudfront.net/Documentos/631/13445250758/6311344525075812092023225242.jpeg</v>
      </c>
      <c r="F5463" s="5" t="str">
        <f>HYPERLINK("https://dpmzos25m8ivg.cloudfront.net/Documentos/631/13445250758/6311344525075812092023225257.jpeg","https://dpmzos25m8ivg.cloudfront.net/Documentos/631/13445250758/6311344525075812092023225257.jpeg")</f>
        <v>https://dpmzos25m8ivg.cloudfront.net/Documentos/631/13445250758/6311344525075812092023225257.jpeg</v>
      </c>
      <c r="G5463" s="5" t="str">
        <f>HYPERLINK("https://dpmzos25m8ivg.cloudfront.net/Documentos/631/13445250758/6311344525075812092023225331.jpeg","https://dpmzos25m8ivg.cloudfront.net/Documentos/631/13445250758/6311344525075812092023225331.jpeg")</f>
        <v>https://dpmzos25m8ivg.cloudfront.net/Documentos/631/13445250758/6311344525075812092023225331.jpeg</v>
      </c>
      <c r="H5463" s="4" t="s">
        <v>14035</v>
      </c>
    </row>
    <row r="5464" spans="1:8" x14ac:dyDescent="0.25">
      <c r="A5464" s="2" t="s">
        <v>5492</v>
      </c>
      <c r="B5464" s="3"/>
      <c r="C5464" s="3"/>
      <c r="D5464" s="3"/>
      <c r="E5464" s="5" t="str">
        <f>HYPERLINK("https://dpmzos25m8ivg.cloudfront.net/Documentos/631/13450067648/6311345006764807092023093412.jpg","https://dpmzos25m8ivg.cloudfront.net/Documentos/631/13450067648/6311345006764807092023093412.jpg")</f>
        <v>https://dpmzos25m8ivg.cloudfront.net/Documentos/631/13450067648/6311345006764807092023093412.jpg</v>
      </c>
      <c r="F5464" s="5" t="str">
        <f>HYPERLINK("https://dpmzos25m8ivg.cloudfront.net/Documentos/631/13450067648/6311345006764807092023093423.jpg","https://dpmzos25m8ivg.cloudfront.net/Documentos/631/13450067648/6311345006764807092023093423.jpg")</f>
        <v>https://dpmzos25m8ivg.cloudfront.net/Documentos/631/13450067648/6311345006764807092023093423.jpg</v>
      </c>
      <c r="G5464" s="5" t="str">
        <f>HYPERLINK("https://dpmzos25m8ivg.cloudfront.net/Documentos/631/13450067648/6311345006764807092023093433.jpg","https://dpmzos25m8ivg.cloudfront.net/Documentos/631/13450067648/6311345006764807092023093433.jpg")</f>
        <v>https://dpmzos25m8ivg.cloudfront.net/Documentos/631/13450067648/6311345006764807092023093433.jpg</v>
      </c>
      <c r="H5464" s="4" t="s">
        <v>14036</v>
      </c>
    </row>
    <row r="5465" spans="1:8" x14ac:dyDescent="0.25">
      <c r="A5465" s="2" t="s">
        <v>5493</v>
      </c>
      <c r="B5465" s="3"/>
      <c r="C5465" s="3"/>
      <c r="D5465" s="3"/>
      <c r="E5465" s="5" t="str">
        <f>HYPERLINK("https://dpmzos25m8ivg.cloudfront.net/Documentos/631/13455104460/6311345510446011092023141641.jpg","https://dpmzos25m8ivg.cloudfront.net/Documentos/631/13455104460/6311345510446011092023141641.jpg")</f>
        <v>https://dpmzos25m8ivg.cloudfront.net/Documentos/631/13455104460/6311345510446011092023141641.jpg</v>
      </c>
      <c r="F5465" s="5" t="str">
        <f>HYPERLINK("https://dpmzos25m8ivg.cloudfront.net/Documentos/631/13455104460/6311345510446011092023141712.jpg","https://dpmzos25m8ivg.cloudfront.net/Documentos/631/13455104460/6311345510446011092023141712.jpg")</f>
        <v>https://dpmzos25m8ivg.cloudfront.net/Documentos/631/13455104460/6311345510446011092023141712.jpg</v>
      </c>
      <c r="G5465" s="5" t="str">
        <f>HYPERLINK("https://dpmzos25m8ivg.cloudfront.net/Documentos/631/13455104460/6311345510446011092023141728.jpg","https://dpmzos25m8ivg.cloudfront.net/Documentos/631/13455104460/6311345510446011092023141728.jpg")</f>
        <v>https://dpmzos25m8ivg.cloudfront.net/Documentos/631/13455104460/6311345510446011092023141728.jpg</v>
      </c>
      <c r="H5465" s="4" t="s">
        <v>14037</v>
      </c>
    </row>
    <row r="5466" spans="1:8" x14ac:dyDescent="0.25">
      <c r="A5466" s="2" t="s">
        <v>5494</v>
      </c>
      <c r="B5466" s="3"/>
      <c r="C5466" s="3"/>
      <c r="D5466" s="3"/>
      <c r="E5466" s="5" t="str">
        <f>HYPERLINK("https://dpmzos25m8ivg.cloudfront.net/Documentos/631/13455708722/6311345570872209092023204733.pdf","https://dpmzos25m8ivg.cloudfront.net/Documentos/631/13455708722/6311345570872209092023204733.pdf")</f>
        <v>https://dpmzos25m8ivg.cloudfront.net/Documentos/631/13455708722/6311345570872209092023204733.pdf</v>
      </c>
      <c r="F5466" s="5" t="str">
        <f>HYPERLINK("https://dpmzos25m8ivg.cloudfront.net/Documentos/631/13455708722/6311345570872209092023204754.pdf","https://dpmzos25m8ivg.cloudfront.net/Documentos/631/13455708722/6311345570872209092023204754.pdf")</f>
        <v>https://dpmzos25m8ivg.cloudfront.net/Documentos/631/13455708722/6311345570872209092023204754.pdf</v>
      </c>
      <c r="G5466" s="5" t="str">
        <f>HYPERLINK("https://dpmzos25m8ivg.cloudfront.net/Documentos/631/13455708722/6311345570872209092023204819.pdf","https://dpmzos25m8ivg.cloudfront.net/Documentos/631/13455708722/6311345570872209092023204819.pdf")</f>
        <v>https://dpmzos25m8ivg.cloudfront.net/Documentos/631/13455708722/6311345570872209092023204819.pdf</v>
      </c>
      <c r="H5466" s="4" t="s">
        <v>14038</v>
      </c>
    </row>
    <row r="5467" spans="1:8" x14ac:dyDescent="0.25">
      <c r="A5467" s="2" t="s">
        <v>5495</v>
      </c>
      <c r="B5467" s="3"/>
      <c r="C5467" s="3"/>
      <c r="D5467" s="3"/>
      <c r="E5467" s="5" t="str">
        <f>HYPERLINK("https://dpmzos25m8ivg.cloudfront.net/Documentos/631/13462467930/6311346246793011092023164711.pdf","https://dpmzos25m8ivg.cloudfront.net/Documentos/631/13462467930/6311346246793011092023164711.pdf")</f>
        <v>https://dpmzos25m8ivg.cloudfront.net/Documentos/631/13462467930/6311346246793011092023164711.pdf</v>
      </c>
      <c r="F5467" s="5" t="str">
        <f>HYPERLINK("https://dpmzos25m8ivg.cloudfront.net/Documentos/631/13462467930/6311346246793011092023164738.pdf","https://dpmzos25m8ivg.cloudfront.net/Documentos/631/13462467930/6311346246793011092023164738.pdf")</f>
        <v>https://dpmzos25m8ivg.cloudfront.net/Documentos/631/13462467930/6311346246793011092023164738.pdf</v>
      </c>
      <c r="G5467" s="5" t="str">
        <f>HYPERLINK("https://dpmzos25m8ivg.cloudfront.net/Documentos/631/13462467930/6311346246793011092023164749.pdf","https://dpmzos25m8ivg.cloudfront.net/Documentos/631/13462467930/6311346246793011092023164749.pdf")</f>
        <v>https://dpmzos25m8ivg.cloudfront.net/Documentos/631/13462467930/6311346246793011092023164749.pdf</v>
      </c>
      <c r="H5467" s="4" t="s">
        <v>14039</v>
      </c>
    </row>
    <row r="5468" spans="1:8" x14ac:dyDescent="0.25">
      <c r="A5468" s="2" t="s">
        <v>5496</v>
      </c>
      <c r="B5468" s="16" t="s">
        <v>2358</v>
      </c>
      <c r="C5468" s="3"/>
      <c r="D5468" s="3"/>
      <c r="E5468" s="5" t="str">
        <f>HYPERLINK("https://dpmzos25m8ivg.cloudfront.net/Documentos/631/13485589624/6311348558962414092023143658.pdf","https://dpmzos25m8ivg.cloudfront.net/Documentos/631/13485589624/6311348558962414092023143658.pdf")</f>
        <v>https://dpmzos25m8ivg.cloudfront.net/Documentos/631/13485589624/6311348558962414092023143658.pdf</v>
      </c>
      <c r="F5468" s="5" t="str">
        <f>HYPERLINK("https://dpmzos25m8ivg.cloudfront.net/Documentos/631/13485589624/6311348558962414092023143732.pdf","https://dpmzos25m8ivg.cloudfront.net/Documentos/631/13485589624/6311348558962414092023143732.pdf")</f>
        <v>https://dpmzos25m8ivg.cloudfront.net/Documentos/631/13485589624/6311348558962414092023143732.pdf</v>
      </c>
      <c r="G5468" s="5" t="str">
        <f>HYPERLINK("https://dpmzos25m8ivg.cloudfront.net/Documentos/631/13485589624/6311348558962414092023143750.pdf","https://dpmzos25m8ivg.cloudfront.net/Documentos/631/13485589624/6311348558962414092023143750.pdf")</f>
        <v>https://dpmzos25m8ivg.cloudfront.net/Documentos/631/13485589624/6311348558962414092023143750.pdf</v>
      </c>
      <c r="H5468" s="5" t="s">
        <v>14040</v>
      </c>
    </row>
    <row r="5469" spans="1:8" x14ac:dyDescent="0.25">
      <c r="A5469" s="2" t="s">
        <v>5497</v>
      </c>
      <c r="B5469" s="16" t="s">
        <v>2358</v>
      </c>
      <c r="C5469" s="3"/>
      <c r="D5469" s="3"/>
      <c r="E5469" s="5" t="str">
        <f>HYPERLINK("https://dpmzos25m8ivg.cloudfront.net/Documentos/631/13497142670/6311349714267011092023133056.pdf","https://dpmzos25m8ivg.cloudfront.net/Documentos/631/13497142670/6311349714267011092023133056.pdf")</f>
        <v>https://dpmzos25m8ivg.cloudfront.net/Documentos/631/13497142670/6311349714267011092023133056.pdf</v>
      </c>
      <c r="F5469" s="5" t="str">
        <f>HYPERLINK("https://dpmzos25m8ivg.cloudfront.net/Documentos/631/13497142670/6311349714267011092023133104.pdf","https://dpmzos25m8ivg.cloudfront.net/Documentos/631/13497142670/6311349714267011092023133104.pdf")</f>
        <v>https://dpmzos25m8ivg.cloudfront.net/Documentos/631/13497142670/6311349714267011092023133104.pdf</v>
      </c>
      <c r="G5469" s="5" t="str">
        <f>HYPERLINK("https://dpmzos25m8ivg.cloudfront.net/Documentos/631/13497142670/6311349714267011092023133113.pdf","https://dpmzos25m8ivg.cloudfront.net/Documentos/631/13497142670/6311349714267011092023133113.pdf")</f>
        <v>https://dpmzos25m8ivg.cloudfront.net/Documentos/631/13497142670/6311349714267011092023133113.pdf</v>
      </c>
      <c r="H5469" s="5" t="s">
        <v>14041</v>
      </c>
    </row>
    <row r="5470" spans="1:8" x14ac:dyDescent="0.25">
      <c r="A5470" s="2" t="s">
        <v>5498</v>
      </c>
      <c r="B5470" s="3"/>
      <c r="C5470" s="3"/>
      <c r="D5470" s="3"/>
      <c r="E5470" s="5" t="str">
        <f>HYPERLINK("https://dpmzos25m8ivg.cloudfront.net/Documentos/631/13498796810/6311349879681005092023143126.pdf","https://dpmzos25m8ivg.cloudfront.net/Documentos/631/13498796810/6311349879681005092023143126.pdf")</f>
        <v>https://dpmzos25m8ivg.cloudfront.net/Documentos/631/13498796810/6311349879681005092023143126.pdf</v>
      </c>
      <c r="F5470" s="5" t="str">
        <f>HYPERLINK("https://dpmzos25m8ivg.cloudfront.net/Documentos/631/13498796810/6311349879681005092023143149.pdf","https://dpmzos25m8ivg.cloudfront.net/Documentos/631/13498796810/6311349879681005092023143149.pdf")</f>
        <v>https://dpmzos25m8ivg.cloudfront.net/Documentos/631/13498796810/6311349879681005092023143149.pdf</v>
      </c>
      <c r="G5470" s="5" t="str">
        <f>HYPERLINK("https://dpmzos25m8ivg.cloudfront.net/Documentos/631/13498796810/6311349879681005092023143208.pdf","https://dpmzos25m8ivg.cloudfront.net/Documentos/631/13498796810/6311349879681005092023143208.pdf")</f>
        <v>https://dpmzos25m8ivg.cloudfront.net/Documentos/631/13498796810/6311349879681005092023143208.pdf</v>
      </c>
      <c r="H5470" s="4" t="s">
        <v>14042</v>
      </c>
    </row>
    <row r="5471" spans="1:8" x14ac:dyDescent="0.25">
      <c r="A5471" s="2" t="s">
        <v>5499</v>
      </c>
      <c r="B5471" s="3"/>
      <c r="C5471" s="3"/>
      <c r="D5471" s="3"/>
      <c r="E5471" s="5" t="str">
        <f>HYPERLINK("https://dpmzos25m8ivg.cloudfront.net/Documentos/631/13503998411/6311350399841111092023135030.pdf","https://dpmzos25m8ivg.cloudfront.net/Documentos/631/13503998411/6311350399841111092023135030.pdf")</f>
        <v>https://dpmzos25m8ivg.cloudfront.net/Documentos/631/13503998411/6311350399841111092023135030.pdf</v>
      </c>
      <c r="F5471" s="5" t="str">
        <f>HYPERLINK("https://dpmzos25m8ivg.cloudfront.net/Documentos/631/13503998411/6311350399841111092023135046.pdf","https://dpmzos25m8ivg.cloudfront.net/Documentos/631/13503998411/6311350399841111092023135046.pdf")</f>
        <v>https://dpmzos25m8ivg.cloudfront.net/Documentos/631/13503998411/6311350399841111092023135046.pdf</v>
      </c>
      <c r="G5471" s="5" t="str">
        <f>HYPERLINK("https://dpmzos25m8ivg.cloudfront.net/Documentos/631/13503998411/6311350399841111092023135058.pdf","https://dpmzos25m8ivg.cloudfront.net/Documentos/631/13503998411/6311350399841111092023135058.pdf")</f>
        <v>https://dpmzos25m8ivg.cloudfront.net/Documentos/631/13503998411/6311350399841111092023135058.pdf</v>
      </c>
      <c r="H5471" s="4" t="s">
        <v>14043</v>
      </c>
    </row>
    <row r="5472" spans="1:8" x14ac:dyDescent="0.25">
      <c r="A5472" s="2" t="s">
        <v>5500</v>
      </c>
      <c r="B5472" s="3"/>
      <c r="C5472" s="3"/>
      <c r="D5472" s="3"/>
      <c r="E5472" s="5" t="str">
        <f>HYPERLINK("https://dpmzos25m8ivg.cloudfront.net/Documentos/631/13505839604/6311350583960411092023160544.pdf","https://dpmzos25m8ivg.cloudfront.net/Documentos/631/13505839604/6311350583960411092023160544.pdf")</f>
        <v>https://dpmzos25m8ivg.cloudfront.net/Documentos/631/13505839604/6311350583960411092023160544.pdf</v>
      </c>
      <c r="F5472" s="5" t="str">
        <f>HYPERLINK("https://dpmzos25m8ivg.cloudfront.net/Documentos/631/13505839604/6311350583960411092023160556.pdf","https://dpmzos25m8ivg.cloudfront.net/Documentos/631/13505839604/6311350583960411092023160556.pdf")</f>
        <v>https://dpmzos25m8ivg.cloudfront.net/Documentos/631/13505839604/6311350583960411092023160556.pdf</v>
      </c>
      <c r="G5472" s="5" t="str">
        <f>HYPERLINK("https://dpmzos25m8ivg.cloudfront.net/Documentos/631/13505839604/6311350583960411092023160609.pdf","https://dpmzos25m8ivg.cloudfront.net/Documentos/631/13505839604/6311350583960411092023160609.pdf")</f>
        <v>https://dpmzos25m8ivg.cloudfront.net/Documentos/631/13505839604/6311350583960411092023160609.pdf</v>
      </c>
      <c r="H5472" s="4" t="s">
        <v>14044</v>
      </c>
    </row>
    <row r="5473" spans="1:8" x14ac:dyDescent="0.25">
      <c r="A5473" s="2" t="s">
        <v>5501</v>
      </c>
      <c r="B5473" s="3"/>
      <c r="C5473" s="3"/>
      <c r="D5473" s="3"/>
      <c r="E5473" s="5" t="str">
        <f>HYPERLINK("https://dpmzos25m8ivg.cloudfront.net/Documentos/631/13507033704/6311350703370411092023130456.jpeg","https://dpmzos25m8ivg.cloudfront.net/Documentos/631/13507033704/6311350703370411092023130456.jpeg")</f>
        <v>https://dpmzos25m8ivg.cloudfront.net/Documentos/631/13507033704/6311350703370411092023130456.jpeg</v>
      </c>
      <c r="F5473" s="5" t="str">
        <f>HYPERLINK("https://dpmzos25m8ivg.cloudfront.net/Documentos/631/13507033704/6311350703370411092023130510.jpeg","https://dpmzos25m8ivg.cloudfront.net/Documentos/631/13507033704/6311350703370411092023130510.jpeg")</f>
        <v>https://dpmzos25m8ivg.cloudfront.net/Documentos/631/13507033704/6311350703370411092023130510.jpeg</v>
      </c>
      <c r="G5473" s="5" t="str">
        <f>HYPERLINK("https://dpmzos25m8ivg.cloudfront.net/Documentos/631/13507033704/6311350703370411092023130524.jpeg","https://dpmzos25m8ivg.cloudfront.net/Documentos/631/13507033704/6311350703370411092023130524.jpeg")</f>
        <v>https://dpmzos25m8ivg.cloudfront.net/Documentos/631/13507033704/6311350703370411092023130524.jpeg</v>
      </c>
      <c r="H5473" s="4" t="s">
        <v>14045</v>
      </c>
    </row>
    <row r="5474" spans="1:8" x14ac:dyDescent="0.25">
      <c r="A5474" s="2" t="s">
        <v>5502</v>
      </c>
      <c r="B5474" s="3"/>
      <c r="C5474" s="3"/>
      <c r="D5474" s="3"/>
      <c r="E5474" s="5" t="str">
        <f>HYPERLINK("https://dpmzos25m8ivg.cloudfront.net/Documentos/631/13514441740/6311351444174013092023193208.jpg","https://dpmzos25m8ivg.cloudfront.net/Documentos/631/13514441740/6311351444174013092023193208.jpg")</f>
        <v>https://dpmzos25m8ivg.cloudfront.net/Documentos/631/13514441740/6311351444174013092023193208.jpg</v>
      </c>
      <c r="F5474" s="5" t="str">
        <f>HYPERLINK("https://dpmzos25m8ivg.cloudfront.net/Documentos/631/13514441740/6311351444174013092023193540.jpg","https://dpmzos25m8ivg.cloudfront.net/Documentos/631/13514441740/6311351444174013092023193540.jpg")</f>
        <v>https://dpmzos25m8ivg.cloudfront.net/Documentos/631/13514441740/6311351444174013092023193540.jpg</v>
      </c>
      <c r="G5474" s="5" t="str">
        <f>HYPERLINK("https://dpmzos25m8ivg.cloudfront.net/Documentos/631/13514441740/6311351444174013092023193822.jpg","https://dpmzos25m8ivg.cloudfront.net/Documentos/631/13514441740/6311351444174013092023193822.jpg")</f>
        <v>https://dpmzos25m8ivg.cloudfront.net/Documentos/631/13514441740/6311351444174013092023193822.jpg</v>
      </c>
      <c r="H5474" s="4" t="s">
        <v>14046</v>
      </c>
    </row>
    <row r="5475" spans="1:8" x14ac:dyDescent="0.25">
      <c r="A5475" s="2" t="s">
        <v>5503</v>
      </c>
      <c r="B5475" s="3"/>
      <c r="C5475" s="3"/>
      <c r="D5475" s="3"/>
      <c r="E5475" s="5" t="str">
        <f>HYPERLINK("https://dpmzos25m8ivg.cloudfront.net/Documentos/631/13519394758/6311351939475806092023101816.pdf","https://dpmzos25m8ivg.cloudfront.net/Documentos/631/13519394758/6311351939475806092023101816.pdf")</f>
        <v>https://dpmzos25m8ivg.cloudfront.net/Documentos/631/13519394758/6311351939475806092023101816.pdf</v>
      </c>
      <c r="F5475" s="5" t="str">
        <f>HYPERLINK("https://dpmzos25m8ivg.cloudfront.net/Documentos/631/13519394758/6311351939475806092023101823.pdf","https://dpmzos25m8ivg.cloudfront.net/Documentos/631/13519394758/6311351939475806092023101823.pdf")</f>
        <v>https://dpmzos25m8ivg.cloudfront.net/Documentos/631/13519394758/6311351939475806092023101823.pdf</v>
      </c>
      <c r="G5475" s="5" t="str">
        <f>HYPERLINK("https://dpmzos25m8ivg.cloudfront.net/Documentos/631/13519394758/6311351939475806092023101830.pdf","https://dpmzos25m8ivg.cloudfront.net/Documentos/631/13519394758/6311351939475806092023101830.pdf")</f>
        <v>https://dpmzos25m8ivg.cloudfront.net/Documentos/631/13519394758/6311351939475806092023101830.pdf</v>
      </c>
      <c r="H5475" s="4" t="s">
        <v>14047</v>
      </c>
    </row>
    <row r="5476" spans="1:8" x14ac:dyDescent="0.25">
      <c r="A5476" s="2" t="s">
        <v>5504</v>
      </c>
      <c r="B5476" s="3"/>
      <c r="C5476" s="3"/>
      <c r="D5476" s="3"/>
      <c r="E5476" s="5" t="str">
        <f>HYPERLINK("https://dpmzos25m8ivg.cloudfront.net/Documentos/631/13519442663/6311351944266306092023165636.pdf","https://dpmzos25m8ivg.cloudfront.net/Documentos/631/13519442663/6311351944266306092023165636.pdf")</f>
        <v>https://dpmzos25m8ivg.cloudfront.net/Documentos/631/13519442663/6311351944266306092023165636.pdf</v>
      </c>
      <c r="F5476" s="5" t="str">
        <f>HYPERLINK("https://dpmzos25m8ivg.cloudfront.net/Documentos/631/13519442663/6311351944266306092023165657.pdf","https://dpmzos25m8ivg.cloudfront.net/Documentos/631/13519442663/6311351944266306092023165657.pdf")</f>
        <v>https://dpmzos25m8ivg.cloudfront.net/Documentos/631/13519442663/6311351944266306092023165657.pdf</v>
      </c>
      <c r="G5476" s="5" t="str">
        <f>HYPERLINK("https://dpmzos25m8ivg.cloudfront.net/Documentos/631/13519442663/6311351944266306092023165748.pdf","https://dpmzos25m8ivg.cloudfront.net/Documentos/631/13519442663/6311351944266306092023165748.pdf")</f>
        <v>https://dpmzos25m8ivg.cloudfront.net/Documentos/631/13519442663/6311351944266306092023165748.pdf</v>
      </c>
      <c r="H5476" s="4" t="s">
        <v>14048</v>
      </c>
    </row>
    <row r="5477" spans="1:8" x14ac:dyDescent="0.25">
      <c r="A5477" s="2" t="s">
        <v>5505</v>
      </c>
      <c r="B5477" s="3"/>
      <c r="C5477" s="3"/>
      <c r="D5477" s="3"/>
      <c r="E5477" s="5" t="str">
        <f>HYPERLINK("https://dpmzos25m8ivg.cloudfront.net/Documentos/631/13521693635/6311352169363510092023235724.pdf","https://dpmzos25m8ivg.cloudfront.net/Documentos/631/13521693635/6311352169363510092023235724.pdf")</f>
        <v>https://dpmzos25m8ivg.cloudfront.net/Documentos/631/13521693635/6311352169363510092023235724.pdf</v>
      </c>
      <c r="F5477" s="5" t="str">
        <f>HYPERLINK("https://dpmzos25m8ivg.cloudfront.net/Documentos/631/13521693635/6311352169363510092023235804.pdf","https://dpmzos25m8ivg.cloudfront.net/Documentos/631/13521693635/6311352169363510092023235804.pdf")</f>
        <v>https://dpmzos25m8ivg.cloudfront.net/Documentos/631/13521693635/6311352169363510092023235804.pdf</v>
      </c>
      <c r="G5477" s="5" t="str">
        <f>HYPERLINK("https://dpmzos25m8ivg.cloudfront.net/Documentos/631/13521693635/6311352169363510092023235851.pdf","https://dpmzos25m8ivg.cloudfront.net/Documentos/631/13521693635/6311352169363510092023235851.pdf")</f>
        <v>https://dpmzos25m8ivg.cloudfront.net/Documentos/631/13521693635/6311352169363510092023235851.pdf</v>
      </c>
      <c r="H5477" s="4" t="s">
        <v>14049</v>
      </c>
    </row>
    <row r="5478" spans="1:8" x14ac:dyDescent="0.25">
      <c r="A5478" s="2" t="s">
        <v>5506</v>
      </c>
      <c r="B5478" s="3"/>
      <c r="C5478" s="3"/>
      <c r="D5478" s="3"/>
      <c r="E5478" s="5" t="str">
        <f>HYPERLINK("https://dpmzos25m8ivg.cloudfront.net/Documentos/631/13524850790/6311352485079009092023175930.pdf","https://dpmzos25m8ivg.cloudfront.net/Documentos/631/13524850790/6311352485079009092023175930.pdf")</f>
        <v>https://dpmzos25m8ivg.cloudfront.net/Documentos/631/13524850790/6311352485079009092023175930.pdf</v>
      </c>
      <c r="F5478" s="5" t="str">
        <f>HYPERLINK("https://dpmzos25m8ivg.cloudfront.net/Documentos/631/13524850790/6311352485079011092023143915.pdf","https://dpmzos25m8ivg.cloudfront.net/Documentos/631/13524850790/6311352485079011092023143915.pdf")</f>
        <v>https://dpmzos25m8ivg.cloudfront.net/Documentos/631/13524850790/6311352485079011092023143915.pdf</v>
      </c>
      <c r="G5478" s="5" t="str">
        <f>HYPERLINK("https://dpmzos25m8ivg.cloudfront.net/Documentos/631/13524850790/6311352485079009092023120640.pdf","https://dpmzos25m8ivg.cloudfront.net/Documentos/631/13524850790/6311352485079009092023120640.pdf")</f>
        <v>https://dpmzos25m8ivg.cloudfront.net/Documentos/631/13524850790/6311352485079009092023120640.pdf</v>
      </c>
      <c r="H5478" s="4" t="s">
        <v>14050</v>
      </c>
    </row>
    <row r="5479" spans="1:8" x14ac:dyDescent="0.25">
      <c r="A5479" s="2" t="s">
        <v>5507</v>
      </c>
      <c r="B5479" s="16" t="s">
        <v>2358</v>
      </c>
      <c r="C5479" s="3"/>
      <c r="D5479" s="3"/>
      <c r="E5479" s="5" t="str">
        <f>HYPERLINK("https://dpmzos25m8ivg.cloudfront.net/Documentos/631/13525056737/6311352505673711092023115534.pdf","https://dpmzos25m8ivg.cloudfront.net/Documentos/631/13525056737/6311352505673711092023115534.pdf")</f>
        <v>https://dpmzos25m8ivg.cloudfront.net/Documentos/631/13525056737/6311352505673711092023115534.pdf</v>
      </c>
      <c r="F5479" s="5" t="str">
        <f>HYPERLINK("https://dpmzos25m8ivg.cloudfront.net/Documentos/631/13525056737/6311352505673711092023115552.pdf","https://dpmzos25m8ivg.cloudfront.net/Documentos/631/13525056737/6311352505673711092023115552.pdf")</f>
        <v>https://dpmzos25m8ivg.cloudfront.net/Documentos/631/13525056737/6311352505673711092023115552.pdf</v>
      </c>
      <c r="G5479" s="5" t="str">
        <f>HYPERLINK("https://dpmzos25m8ivg.cloudfront.net/Documentos/631/13525056737/6311352505673711092023115610.pdf","https://dpmzos25m8ivg.cloudfront.net/Documentos/631/13525056737/6311352505673711092023115610.pdf")</f>
        <v>https://dpmzos25m8ivg.cloudfront.net/Documentos/631/13525056737/6311352505673711092023115610.pdf</v>
      </c>
      <c r="H5479" s="5" t="s">
        <v>14051</v>
      </c>
    </row>
    <row r="5480" spans="1:8" x14ac:dyDescent="0.25">
      <c r="A5480" s="2" t="s">
        <v>5508</v>
      </c>
      <c r="B5480" s="3"/>
      <c r="C5480" s="3"/>
      <c r="D5480" s="3"/>
      <c r="E5480" s="5" t="str">
        <f>HYPERLINK("https://dpmzos25m8ivg.cloudfront.net/Documentos/631/13525715609/6311352571560906092023095618.pdf","https://dpmzos25m8ivg.cloudfront.net/Documentos/631/13525715609/6311352571560906092023095618.pdf")</f>
        <v>https://dpmzos25m8ivg.cloudfront.net/Documentos/631/13525715609/6311352571560906092023095618.pdf</v>
      </c>
      <c r="F5480" s="5" t="str">
        <f>HYPERLINK("https://dpmzos25m8ivg.cloudfront.net/Documentos/631/13525715609/6311352571560906092023095631.pdf","https://dpmzos25m8ivg.cloudfront.net/Documentos/631/13525715609/6311352571560906092023095631.pdf")</f>
        <v>https://dpmzos25m8ivg.cloudfront.net/Documentos/631/13525715609/6311352571560906092023095631.pdf</v>
      </c>
      <c r="G5480" s="5" t="str">
        <f>HYPERLINK("https://dpmzos25m8ivg.cloudfront.net/Documentos/631/13525715609/6311352571560906092023095641.pdf","https://dpmzos25m8ivg.cloudfront.net/Documentos/631/13525715609/6311352571560906092023095641.pdf")</f>
        <v>https://dpmzos25m8ivg.cloudfront.net/Documentos/631/13525715609/6311352571560906092023095641.pdf</v>
      </c>
      <c r="H5480" s="4" t="s">
        <v>14052</v>
      </c>
    </row>
    <row r="5481" spans="1:8" x14ac:dyDescent="0.25">
      <c r="A5481" s="2" t="s">
        <v>5509</v>
      </c>
      <c r="B5481" s="3"/>
      <c r="C5481" s="3"/>
      <c r="D5481" s="3"/>
      <c r="E5481" s="5" t="str">
        <f>HYPERLINK("https://dpmzos25m8ivg.cloudfront.net/Documentos/631/13532100657/6311353210065706092023115406.pdf","https://dpmzos25m8ivg.cloudfront.net/Documentos/631/13532100657/6311353210065706092023115406.pdf")</f>
        <v>https://dpmzos25m8ivg.cloudfront.net/Documentos/631/13532100657/6311353210065706092023115406.pdf</v>
      </c>
      <c r="F5481" s="5" t="str">
        <f>HYPERLINK("https://dpmzos25m8ivg.cloudfront.net/Documentos/631/13532100657/6311353210065706092023115428.pdf","https://dpmzos25m8ivg.cloudfront.net/Documentos/631/13532100657/6311353210065706092023115428.pdf")</f>
        <v>https://dpmzos25m8ivg.cloudfront.net/Documentos/631/13532100657/6311353210065706092023115428.pdf</v>
      </c>
      <c r="G5481" s="5" t="str">
        <f>HYPERLINK("https://dpmzos25m8ivg.cloudfront.net/Documentos/631/13532100657/6311353210065706092023115445.pdf","https://dpmzos25m8ivg.cloudfront.net/Documentos/631/13532100657/6311353210065706092023115445.pdf")</f>
        <v>https://dpmzos25m8ivg.cloudfront.net/Documentos/631/13532100657/6311353210065706092023115445.pdf</v>
      </c>
      <c r="H5481" s="4" t="s">
        <v>14053</v>
      </c>
    </row>
    <row r="5482" spans="1:8" x14ac:dyDescent="0.25">
      <c r="A5482" s="2" t="s">
        <v>5510</v>
      </c>
      <c r="B5482" s="3"/>
      <c r="C5482" s="3"/>
      <c r="D5482" s="3"/>
      <c r="E5482" s="5" t="str">
        <f>HYPERLINK("https://dpmzos25m8ivg.cloudfront.net/Documentos/631/13539670424/6311353967042407092023181537.pdf","https://dpmzos25m8ivg.cloudfront.net/Documentos/631/13539670424/6311353967042407092023181537.pdf")</f>
        <v>https://dpmzos25m8ivg.cloudfront.net/Documentos/631/13539670424/6311353967042407092023181537.pdf</v>
      </c>
      <c r="F5482" s="5" t="str">
        <f>HYPERLINK("https://dpmzos25m8ivg.cloudfront.net/Documentos/631/13539670424/6311353967042407092023181546.pdf","https://dpmzos25m8ivg.cloudfront.net/Documentos/631/13539670424/6311353967042407092023181546.pdf")</f>
        <v>https://dpmzos25m8ivg.cloudfront.net/Documentos/631/13539670424/6311353967042407092023181546.pdf</v>
      </c>
      <c r="G5482" s="5" t="str">
        <f>HYPERLINK("https://dpmzos25m8ivg.cloudfront.net/Documentos/631/13539670424/6311353967042407092023181554.pdf","https://dpmzos25m8ivg.cloudfront.net/Documentos/631/13539670424/6311353967042407092023181554.pdf")</f>
        <v>https://dpmzos25m8ivg.cloudfront.net/Documentos/631/13539670424/6311353967042407092023181554.pdf</v>
      </c>
      <c r="H5482" s="4" t="s">
        <v>14054</v>
      </c>
    </row>
    <row r="5483" spans="1:8" x14ac:dyDescent="0.25">
      <c r="A5483" s="2" t="s">
        <v>5511</v>
      </c>
      <c r="B5483" s="16" t="s">
        <v>2358</v>
      </c>
      <c r="C5483" s="3"/>
      <c r="D5483" s="3"/>
      <c r="E5483" s="5" t="str">
        <f>HYPERLINK("https://dpmzos25m8ivg.cloudfront.net/Documentos/631/13546461770/6311354646177013092023210311.pdf","https://dpmzos25m8ivg.cloudfront.net/Documentos/631/13546461770/6311354646177013092023210311.pdf")</f>
        <v>https://dpmzos25m8ivg.cloudfront.net/Documentos/631/13546461770/6311354646177013092023210311.pdf</v>
      </c>
      <c r="F5483" s="5" t="str">
        <f>HYPERLINK("https://dpmzos25m8ivg.cloudfront.net/Documentos/631/13546461770/6311354646177013092023210318.pdf","https://dpmzos25m8ivg.cloudfront.net/Documentos/631/13546461770/6311354646177013092023210318.pdf")</f>
        <v>https://dpmzos25m8ivg.cloudfront.net/Documentos/631/13546461770/6311354646177013092023210318.pdf</v>
      </c>
      <c r="G5483" s="5" t="str">
        <f>HYPERLINK("https://dpmzos25m8ivg.cloudfront.net/Documentos/631/13546461770/6311354646177013092023210333.pdf","https://dpmzos25m8ivg.cloudfront.net/Documentos/631/13546461770/6311354646177013092023210333.pdf")</f>
        <v>https://dpmzos25m8ivg.cloudfront.net/Documentos/631/13546461770/6311354646177013092023210333.pdf</v>
      </c>
      <c r="H5483" s="5" t="s">
        <v>14055</v>
      </c>
    </row>
    <row r="5484" spans="1:8" x14ac:dyDescent="0.25">
      <c r="A5484" s="2" t="s">
        <v>5512</v>
      </c>
      <c r="B5484" s="3"/>
      <c r="C5484" s="3"/>
      <c r="D5484" s="3"/>
      <c r="E5484" s="5" t="str">
        <f>HYPERLINK("https://dpmzos25m8ivg.cloudfront.net/Documentos/631/13554981478/6311355498147805092023135331.pdf","https://dpmzos25m8ivg.cloudfront.net/Documentos/631/13554981478/6311355498147805092023135331.pdf")</f>
        <v>https://dpmzos25m8ivg.cloudfront.net/Documentos/631/13554981478/6311355498147805092023135331.pdf</v>
      </c>
      <c r="F5484" s="5" t="str">
        <f>HYPERLINK("https://dpmzos25m8ivg.cloudfront.net/Documentos/631/13554981478/6311355498147805092023135337.pdf","https://dpmzos25m8ivg.cloudfront.net/Documentos/631/13554981478/6311355498147805092023135337.pdf")</f>
        <v>https://dpmzos25m8ivg.cloudfront.net/Documentos/631/13554981478/6311355498147805092023135337.pdf</v>
      </c>
      <c r="G5484" s="5" t="str">
        <f>HYPERLINK("https://dpmzos25m8ivg.cloudfront.net/Documentos/631/13554981478/6311355498147805092023135348.pdf","https://dpmzos25m8ivg.cloudfront.net/Documentos/631/13554981478/6311355498147805092023135348.pdf")</f>
        <v>https://dpmzos25m8ivg.cloudfront.net/Documentos/631/13554981478/6311355498147805092023135348.pdf</v>
      </c>
      <c r="H5484" s="4" t="s">
        <v>14056</v>
      </c>
    </row>
    <row r="5485" spans="1:8" x14ac:dyDescent="0.25">
      <c r="A5485" s="2" t="s">
        <v>5513</v>
      </c>
      <c r="B5485" s="16" t="s">
        <v>2358</v>
      </c>
      <c r="C5485" s="3"/>
      <c r="D5485" s="3"/>
      <c r="E5485" s="5" t="str">
        <f>HYPERLINK("https://dpmzos25m8ivg.cloudfront.net/Documentos/631/13555733869/6311355573386911092023161123.jpeg","https://dpmzos25m8ivg.cloudfront.net/Documentos/631/13555733869/6311355573386911092023161123.jpeg")</f>
        <v>https://dpmzos25m8ivg.cloudfront.net/Documentos/631/13555733869/6311355573386911092023161123.jpeg</v>
      </c>
      <c r="F5485" s="5" t="str">
        <f>HYPERLINK("https://dpmzos25m8ivg.cloudfront.net/Documentos/631/13555733869/6311355573386911092023161143.jpeg","https://dpmzos25m8ivg.cloudfront.net/Documentos/631/13555733869/6311355573386911092023161143.jpeg")</f>
        <v>https://dpmzos25m8ivg.cloudfront.net/Documentos/631/13555733869/6311355573386911092023161143.jpeg</v>
      </c>
      <c r="G5485" s="5" t="str">
        <f>HYPERLINK("https://dpmzos25m8ivg.cloudfront.net/Documentos/631/13555733869/6311355573386911092023161221.jpeg","https://dpmzos25m8ivg.cloudfront.net/Documentos/631/13555733869/6311355573386911092023161221.jpeg")</f>
        <v>https://dpmzos25m8ivg.cloudfront.net/Documentos/631/13555733869/6311355573386911092023161221.jpeg</v>
      </c>
      <c r="H5485" s="5" t="s">
        <v>14057</v>
      </c>
    </row>
    <row r="5486" spans="1:8" x14ac:dyDescent="0.25">
      <c r="A5486" s="2" t="s">
        <v>5514</v>
      </c>
      <c r="B5486" s="3"/>
      <c r="C5486" s="3"/>
      <c r="D5486" s="3"/>
      <c r="E5486" s="5" t="str">
        <f>HYPERLINK("https://dpmzos25m8ivg.cloudfront.net/Documentos/631/13556335670/6311355633567011092023073531.pdf","https://dpmzos25m8ivg.cloudfront.net/Documentos/631/13556335670/6311355633567011092023073531.pdf")</f>
        <v>https://dpmzos25m8ivg.cloudfront.net/Documentos/631/13556335670/6311355633567011092023073531.pdf</v>
      </c>
      <c r="F5486" s="5" t="str">
        <f>HYPERLINK("https://dpmzos25m8ivg.cloudfront.net/Documentos/631/13556335670/6311355633567011092023073545.pdf","https://dpmzos25m8ivg.cloudfront.net/Documentos/631/13556335670/6311355633567011092023073545.pdf")</f>
        <v>https://dpmzos25m8ivg.cloudfront.net/Documentos/631/13556335670/6311355633567011092023073545.pdf</v>
      </c>
      <c r="G5486" s="5" t="str">
        <f>HYPERLINK("https://dpmzos25m8ivg.cloudfront.net/Documentos/631/13556335670/6311355633567011092023073553.pdf","https://dpmzos25m8ivg.cloudfront.net/Documentos/631/13556335670/6311355633567011092023073553.pdf")</f>
        <v>https://dpmzos25m8ivg.cloudfront.net/Documentos/631/13556335670/6311355633567011092023073553.pdf</v>
      </c>
      <c r="H5486" s="4" t="s">
        <v>14058</v>
      </c>
    </row>
    <row r="5487" spans="1:8" x14ac:dyDescent="0.25">
      <c r="A5487" s="2" t="s">
        <v>5515</v>
      </c>
      <c r="B5487" s="3"/>
      <c r="C5487" s="3"/>
      <c r="D5487" s="3"/>
      <c r="E5487" s="5" t="str">
        <f>HYPERLINK("https://dpmzos25m8ivg.cloudfront.net/Documentos/631/13557843602/6311355784360208092023145622.jpeg","https://dpmzos25m8ivg.cloudfront.net/Documentos/631/13557843602/6311355784360208092023145622.jpeg")</f>
        <v>https://dpmzos25m8ivg.cloudfront.net/Documentos/631/13557843602/6311355784360208092023145622.jpeg</v>
      </c>
      <c r="F5487" s="5" t="str">
        <f>HYPERLINK("https://dpmzos25m8ivg.cloudfront.net/Documentos/631/13557843602/6311355784360208092023145630.jpeg","https://dpmzos25m8ivg.cloudfront.net/Documentos/631/13557843602/6311355784360208092023145630.jpeg")</f>
        <v>https://dpmzos25m8ivg.cloudfront.net/Documentos/631/13557843602/6311355784360208092023145630.jpeg</v>
      </c>
      <c r="G5487" s="5" t="str">
        <f>HYPERLINK("https://dpmzos25m8ivg.cloudfront.net/Documentos/631/13557843602/6311355784360208092023145643.jpeg","https://dpmzos25m8ivg.cloudfront.net/Documentos/631/13557843602/6311355784360208092023145643.jpeg")</f>
        <v>https://dpmzos25m8ivg.cloudfront.net/Documentos/631/13557843602/6311355784360208092023145643.jpeg</v>
      </c>
      <c r="H5487" s="4" t="s">
        <v>14059</v>
      </c>
    </row>
    <row r="5488" spans="1:8" x14ac:dyDescent="0.25">
      <c r="A5488" s="2" t="s">
        <v>5516</v>
      </c>
      <c r="B5488" s="3"/>
      <c r="C5488" s="3"/>
      <c r="D5488" s="3"/>
      <c r="E5488" s="5" t="str">
        <f>HYPERLINK("https://dpmzos25m8ivg.cloudfront.net/Documentos/631/13572390680/6311357239068010092023133432.jpg","https://dpmzos25m8ivg.cloudfront.net/Documentos/631/13572390680/6311357239068010092023133432.jpg")</f>
        <v>https://dpmzos25m8ivg.cloudfront.net/Documentos/631/13572390680/6311357239068010092023133432.jpg</v>
      </c>
      <c r="F5488" s="5" t="str">
        <f>HYPERLINK("https://dpmzos25m8ivg.cloudfront.net/Documentos/631/13572390680/6311357239068010092023133452.jpg","https://dpmzos25m8ivg.cloudfront.net/Documentos/631/13572390680/6311357239068010092023133452.jpg")</f>
        <v>https://dpmzos25m8ivg.cloudfront.net/Documentos/631/13572390680/6311357239068010092023133452.jpg</v>
      </c>
      <c r="G5488" s="5" t="str">
        <f>HYPERLINK("https://dpmzos25m8ivg.cloudfront.net/Documentos/631/13572390680/6311357239068010092023133508.jpg","https://dpmzos25m8ivg.cloudfront.net/Documentos/631/13572390680/6311357239068010092023133508.jpg")</f>
        <v>https://dpmzos25m8ivg.cloudfront.net/Documentos/631/13572390680/6311357239068010092023133508.jpg</v>
      </c>
      <c r="H5488" s="4" t="s">
        <v>14060</v>
      </c>
    </row>
    <row r="5489" spans="1:8" x14ac:dyDescent="0.25">
      <c r="A5489" s="2" t="s">
        <v>5517</v>
      </c>
      <c r="B5489" s="3"/>
      <c r="C5489" s="3"/>
      <c r="D5489" s="3"/>
      <c r="E5489" s="5" t="str">
        <f>HYPERLINK("https://dpmzos25m8ivg.cloudfront.net/Documentos/631/13573132413/6311357313241309092023164539.pdf","https://dpmzos25m8ivg.cloudfront.net/Documentos/631/13573132413/6311357313241309092023164539.pdf")</f>
        <v>https://dpmzos25m8ivg.cloudfront.net/Documentos/631/13573132413/6311357313241309092023164539.pdf</v>
      </c>
      <c r="F5489" s="5" t="str">
        <f>HYPERLINK("https://dpmzos25m8ivg.cloudfront.net/Documentos/631/13573132413/6311357313241309092023164550.pdf","https://dpmzos25m8ivg.cloudfront.net/Documentos/631/13573132413/6311357313241309092023164550.pdf")</f>
        <v>https://dpmzos25m8ivg.cloudfront.net/Documentos/631/13573132413/6311357313241309092023164550.pdf</v>
      </c>
      <c r="G5489" s="5" t="str">
        <f>HYPERLINK("https://dpmzos25m8ivg.cloudfront.net/Documentos/631/13573132413/6311357313241309092023164612.pdf","https://dpmzos25m8ivg.cloudfront.net/Documentos/631/13573132413/6311357313241309092023164612.pdf")</f>
        <v>https://dpmzos25m8ivg.cloudfront.net/Documentos/631/13573132413/6311357313241309092023164612.pdf</v>
      </c>
      <c r="H5489" s="4" t="s">
        <v>14061</v>
      </c>
    </row>
    <row r="5490" spans="1:8" x14ac:dyDescent="0.25">
      <c r="A5490" s="2" t="s">
        <v>5518</v>
      </c>
      <c r="B5490" s="3"/>
      <c r="C5490" s="3"/>
      <c r="D5490" s="3"/>
      <c r="E5490" s="5" t="str">
        <f>HYPERLINK("https://dpmzos25m8ivg.cloudfront.net/Documentos/631/13577535601/6311357753560108092023195326.jpeg","https://dpmzos25m8ivg.cloudfront.net/Documentos/631/13577535601/6311357753560108092023195326.jpeg")</f>
        <v>https://dpmzos25m8ivg.cloudfront.net/Documentos/631/13577535601/6311357753560108092023195326.jpeg</v>
      </c>
      <c r="F5490" s="5" t="str">
        <f>HYPERLINK("https://dpmzos25m8ivg.cloudfront.net/Documentos/631/13577535601/6311357753560108092023195350.jpeg","https://dpmzos25m8ivg.cloudfront.net/Documentos/631/13577535601/6311357753560108092023195350.jpeg")</f>
        <v>https://dpmzos25m8ivg.cloudfront.net/Documentos/631/13577535601/6311357753560108092023195350.jpeg</v>
      </c>
      <c r="G5490" s="5" t="str">
        <f>HYPERLINK("https://dpmzos25m8ivg.cloudfront.net/Documentos/631/13577535601/6311357753560108092023195403.jpeg","https://dpmzos25m8ivg.cloudfront.net/Documentos/631/13577535601/6311357753560108092023195403.jpeg")</f>
        <v>https://dpmzos25m8ivg.cloudfront.net/Documentos/631/13577535601/6311357753560108092023195403.jpeg</v>
      </c>
      <c r="H5490" s="4" t="s">
        <v>14062</v>
      </c>
    </row>
    <row r="5491" spans="1:8" x14ac:dyDescent="0.25">
      <c r="A5491" s="2" t="s">
        <v>5519</v>
      </c>
      <c r="B5491" s="3"/>
      <c r="C5491" s="3"/>
      <c r="D5491" s="3"/>
      <c r="E5491" s="5" t="str">
        <f>HYPERLINK("https://dpmzos25m8ivg.cloudfront.net/Documentos/631/13579913476/6311357991347611092023130452.pdf","https://dpmzos25m8ivg.cloudfront.net/Documentos/631/13579913476/6311357991347611092023130452.pdf")</f>
        <v>https://dpmzos25m8ivg.cloudfront.net/Documentos/631/13579913476/6311357991347611092023130452.pdf</v>
      </c>
      <c r="F5491" s="5" t="str">
        <f>HYPERLINK("https://dpmzos25m8ivg.cloudfront.net/Documentos/631/13579913476/6311357991347611092023130458.pdf","https://dpmzos25m8ivg.cloudfront.net/Documentos/631/13579913476/6311357991347611092023130458.pdf")</f>
        <v>https://dpmzos25m8ivg.cloudfront.net/Documentos/631/13579913476/6311357991347611092023130458.pdf</v>
      </c>
      <c r="G5491" s="5" t="str">
        <f>HYPERLINK("https://dpmzos25m8ivg.cloudfront.net/Documentos/631/13579913476/6311357991347611092023130506.pdf","https://dpmzos25m8ivg.cloudfront.net/Documentos/631/13579913476/6311357991347611092023130506.pdf")</f>
        <v>https://dpmzos25m8ivg.cloudfront.net/Documentos/631/13579913476/6311357991347611092023130506.pdf</v>
      </c>
      <c r="H5491" s="4" t="s">
        <v>14063</v>
      </c>
    </row>
    <row r="5492" spans="1:8" x14ac:dyDescent="0.25">
      <c r="A5492" s="2" t="s">
        <v>5520</v>
      </c>
      <c r="B5492" s="3"/>
      <c r="C5492" s="3"/>
      <c r="D5492" s="3"/>
      <c r="E5492" s="5" t="str">
        <f>HYPERLINK("https://dpmzos25m8ivg.cloudfront.net/Documentos/631/13583281454/6311358328145409092023183732.pdf","https://dpmzos25m8ivg.cloudfront.net/Documentos/631/13583281454/6311358328145409092023183732.pdf")</f>
        <v>https://dpmzos25m8ivg.cloudfront.net/Documentos/631/13583281454/6311358328145409092023183732.pdf</v>
      </c>
      <c r="F5492" s="5" t="str">
        <f>HYPERLINK("https://dpmzos25m8ivg.cloudfront.net/Documentos/631/13583281454/6311358328145409092023183744.pdf","https://dpmzos25m8ivg.cloudfront.net/Documentos/631/13583281454/6311358328145409092023183744.pdf")</f>
        <v>https://dpmzos25m8ivg.cloudfront.net/Documentos/631/13583281454/6311358328145409092023183744.pdf</v>
      </c>
      <c r="G5492" s="5" t="str">
        <f>HYPERLINK("https://dpmzos25m8ivg.cloudfront.net/Documentos/631/13583281454/6311358328145409092023183753.pdf","https://dpmzos25m8ivg.cloudfront.net/Documentos/631/13583281454/6311358328145409092023183753.pdf")</f>
        <v>https://dpmzos25m8ivg.cloudfront.net/Documentos/631/13583281454/6311358328145409092023183753.pdf</v>
      </c>
      <c r="H5492" s="4" t="s">
        <v>14064</v>
      </c>
    </row>
    <row r="5493" spans="1:8" x14ac:dyDescent="0.25">
      <c r="A5493" s="2" t="s">
        <v>5521</v>
      </c>
      <c r="B5493" s="3"/>
      <c r="C5493" s="3"/>
      <c r="D5493" s="3"/>
      <c r="E5493" s="5" t="str">
        <f>HYPERLINK("https://dpmzos25m8ivg.cloudfront.net/Documentos/631/13584187729/6311358418772911092023132211.pdf","https://dpmzos25m8ivg.cloudfront.net/Documentos/631/13584187729/6311358418772911092023132211.pdf")</f>
        <v>https://dpmzos25m8ivg.cloudfront.net/Documentos/631/13584187729/6311358418772911092023132211.pdf</v>
      </c>
      <c r="F5493" s="5" t="str">
        <f>HYPERLINK("https://dpmzos25m8ivg.cloudfront.net/Documentos/631/13584187729/6311358418772911092023132250.pdf","https://dpmzos25m8ivg.cloudfront.net/Documentos/631/13584187729/6311358418772911092023132250.pdf")</f>
        <v>https://dpmzos25m8ivg.cloudfront.net/Documentos/631/13584187729/6311358418772911092023132250.pdf</v>
      </c>
      <c r="G5493" s="5" t="str">
        <f>HYPERLINK("https://dpmzos25m8ivg.cloudfront.net/Documentos/631/13584187729/6311358418772911092023132306.pdf","https://dpmzos25m8ivg.cloudfront.net/Documentos/631/13584187729/6311358418772911092023132306.pdf")</f>
        <v>https://dpmzos25m8ivg.cloudfront.net/Documentos/631/13584187729/6311358418772911092023132306.pdf</v>
      </c>
      <c r="H5493" s="4" t="s">
        <v>14065</v>
      </c>
    </row>
    <row r="5494" spans="1:8" x14ac:dyDescent="0.25">
      <c r="A5494" s="2" t="s">
        <v>5522</v>
      </c>
      <c r="B5494" s="3"/>
      <c r="C5494" s="3"/>
      <c r="D5494" s="3"/>
      <c r="E5494" s="5" t="str">
        <f>HYPERLINK("https://dpmzos25m8ivg.cloudfront.net/Documentos/631/13585360408/6311358536040812092023172626.pdf","https://dpmzos25m8ivg.cloudfront.net/Documentos/631/13585360408/6311358536040812092023172626.pdf")</f>
        <v>https://dpmzos25m8ivg.cloudfront.net/Documentos/631/13585360408/6311358536040812092023172626.pdf</v>
      </c>
      <c r="F5494" s="5" t="str">
        <f>HYPERLINK("https://dpmzos25m8ivg.cloudfront.net/Documentos/631/13585360408/6311358536040812092023172634.pdf","https://dpmzos25m8ivg.cloudfront.net/Documentos/631/13585360408/6311358536040812092023172634.pdf")</f>
        <v>https://dpmzos25m8ivg.cloudfront.net/Documentos/631/13585360408/6311358536040812092023172634.pdf</v>
      </c>
      <c r="G5494" s="5" t="str">
        <f>HYPERLINK("https://dpmzos25m8ivg.cloudfront.net/Documentos/631/13585360408/6311358536040812092023172642.pdf","https://dpmzos25m8ivg.cloudfront.net/Documentos/631/13585360408/6311358536040812092023172642.pdf")</f>
        <v>https://dpmzos25m8ivg.cloudfront.net/Documentos/631/13585360408/6311358536040812092023172642.pdf</v>
      </c>
      <c r="H5494" s="4" t="s">
        <v>14066</v>
      </c>
    </row>
    <row r="5495" spans="1:8" x14ac:dyDescent="0.25">
      <c r="A5495" s="2" t="s">
        <v>5523</v>
      </c>
      <c r="B5495" s="3"/>
      <c r="C5495" s="3"/>
      <c r="D5495" s="3"/>
      <c r="E5495" s="5" t="str">
        <f>HYPERLINK("https://dpmzos25m8ivg.cloudfront.net/Documentos/631/13585748635/6311358574863511092023135048.pdf","https://dpmzos25m8ivg.cloudfront.net/Documentos/631/13585748635/6311358574863511092023135048.pdf")</f>
        <v>https://dpmzos25m8ivg.cloudfront.net/Documentos/631/13585748635/6311358574863511092023135048.pdf</v>
      </c>
      <c r="F5495" s="5" t="str">
        <f>HYPERLINK("https://dpmzos25m8ivg.cloudfront.net/Documentos/631/13585748635/6311358574863511092023135103.pdf","https://dpmzos25m8ivg.cloudfront.net/Documentos/631/13585748635/6311358574863511092023135103.pdf")</f>
        <v>https://dpmzos25m8ivg.cloudfront.net/Documentos/631/13585748635/6311358574863511092023135103.pdf</v>
      </c>
      <c r="G5495" s="5" t="str">
        <f>HYPERLINK("https://dpmzos25m8ivg.cloudfront.net/Documentos/631/13585748635/6311358574863511092023135122.pdf","https://dpmzos25m8ivg.cloudfront.net/Documentos/631/13585748635/6311358574863511092023135122.pdf")</f>
        <v>https://dpmzos25m8ivg.cloudfront.net/Documentos/631/13585748635/6311358574863511092023135122.pdf</v>
      </c>
      <c r="H5495" s="4" t="s">
        <v>14067</v>
      </c>
    </row>
    <row r="5496" spans="1:8" x14ac:dyDescent="0.25">
      <c r="A5496" s="2" t="s">
        <v>5524</v>
      </c>
      <c r="B5496" s="3"/>
      <c r="C5496" s="3"/>
      <c r="D5496" s="3"/>
      <c r="E5496" s="5" t="str">
        <f>HYPERLINK("https://dpmzos25m8ivg.cloudfront.net/Documentos/631/13586810660/6311358681066007092023120740.pdf","https://dpmzos25m8ivg.cloudfront.net/Documentos/631/13586810660/6311358681066007092023120740.pdf")</f>
        <v>https://dpmzos25m8ivg.cloudfront.net/Documentos/631/13586810660/6311358681066007092023120740.pdf</v>
      </c>
      <c r="F5496" s="5" t="str">
        <f>HYPERLINK("https://dpmzos25m8ivg.cloudfront.net/Documentos/631/13586810660/6311358681066007092023120756.pdf","https://dpmzos25m8ivg.cloudfront.net/Documentos/631/13586810660/6311358681066007092023120756.pdf")</f>
        <v>https://dpmzos25m8ivg.cloudfront.net/Documentos/631/13586810660/6311358681066007092023120756.pdf</v>
      </c>
      <c r="G5496" s="5" t="str">
        <f>HYPERLINK("https://dpmzos25m8ivg.cloudfront.net/Documentos/631/13586810660/6311358681066007092023120818.pdf","https://dpmzos25m8ivg.cloudfront.net/Documentos/631/13586810660/6311358681066007092023120818.pdf")</f>
        <v>https://dpmzos25m8ivg.cloudfront.net/Documentos/631/13586810660/6311358681066007092023120818.pdf</v>
      </c>
      <c r="H5496" s="4" t="s">
        <v>14068</v>
      </c>
    </row>
    <row r="5497" spans="1:8" x14ac:dyDescent="0.25">
      <c r="A5497" s="2" t="s">
        <v>5525</v>
      </c>
      <c r="B5497" s="3"/>
      <c r="C5497" s="3"/>
      <c r="D5497" s="3"/>
      <c r="E5497" s="5" t="str">
        <f>HYPERLINK("https://dpmzos25m8ivg.cloudfront.net/Documentos/631/13590028718/6311359002871805092023203728.jpg","https://dpmzos25m8ivg.cloudfront.net/Documentos/631/13590028718/6311359002871805092023203728.jpg")</f>
        <v>https://dpmzos25m8ivg.cloudfront.net/Documentos/631/13590028718/6311359002871805092023203728.jpg</v>
      </c>
      <c r="F5497" s="5" t="str">
        <f>HYPERLINK("https://dpmzos25m8ivg.cloudfront.net/Documentos/631/13590028718/6311359002871805092023203747.jpg","https://dpmzos25m8ivg.cloudfront.net/Documentos/631/13590028718/6311359002871805092023203747.jpg")</f>
        <v>https://dpmzos25m8ivg.cloudfront.net/Documentos/631/13590028718/6311359002871805092023203747.jpg</v>
      </c>
      <c r="G5497" s="5" t="str">
        <f>HYPERLINK("https://dpmzos25m8ivg.cloudfront.net/Documentos/631/13590028718/6311359002871805092023203758.jpg","https://dpmzos25m8ivg.cloudfront.net/Documentos/631/13590028718/6311359002871805092023203758.jpg")</f>
        <v>https://dpmzos25m8ivg.cloudfront.net/Documentos/631/13590028718/6311359002871805092023203758.jpg</v>
      </c>
      <c r="H5497" s="4" t="s">
        <v>14069</v>
      </c>
    </row>
    <row r="5498" spans="1:8" x14ac:dyDescent="0.25">
      <c r="A5498" s="2" t="s">
        <v>5526</v>
      </c>
      <c r="B5498" s="3"/>
      <c r="C5498" s="3"/>
      <c r="D5498" s="3"/>
      <c r="E5498" s="5" t="str">
        <f>HYPERLINK("https://dpmzos25m8ivg.cloudfront.net/Documentos/631/13594533697/6311359453369708092023140127.pdf","https://dpmzos25m8ivg.cloudfront.net/Documentos/631/13594533697/6311359453369708092023140127.pdf")</f>
        <v>https://dpmzos25m8ivg.cloudfront.net/Documentos/631/13594533697/6311359453369708092023140127.pdf</v>
      </c>
      <c r="F5498" s="5" t="str">
        <f>HYPERLINK("https://dpmzos25m8ivg.cloudfront.net/Documentos/631/13594533697/6311359453369708092023140151.pdf","https://dpmzos25m8ivg.cloudfront.net/Documentos/631/13594533697/6311359453369708092023140151.pdf")</f>
        <v>https://dpmzos25m8ivg.cloudfront.net/Documentos/631/13594533697/6311359453369708092023140151.pdf</v>
      </c>
      <c r="G5498" s="5" t="str">
        <f>HYPERLINK("https://dpmzos25m8ivg.cloudfront.net/Documentos/631/13594533697/6311359453369708092023140200.pdf","https://dpmzos25m8ivg.cloudfront.net/Documentos/631/13594533697/6311359453369708092023140200.pdf")</f>
        <v>https://dpmzos25m8ivg.cloudfront.net/Documentos/631/13594533697/6311359453369708092023140200.pdf</v>
      </c>
      <c r="H5498" s="4" t="s">
        <v>14070</v>
      </c>
    </row>
    <row r="5499" spans="1:8" x14ac:dyDescent="0.25">
      <c r="A5499" s="21" t="s">
        <v>5527</v>
      </c>
      <c r="B5499" s="3"/>
      <c r="C5499" s="3"/>
      <c r="D5499" s="3"/>
      <c r="E5499" s="5" t="str">
        <f>HYPERLINK("https://dpmzos25m8ivg.cloudfront.net/Documentos/631/13597218865/6311359721886511092023155240.pdf","https://dpmzos25m8ivg.cloudfront.net/Documentos/631/13597218865/6311359721886511092023155240.pdf")</f>
        <v>https://dpmzos25m8ivg.cloudfront.net/Documentos/631/13597218865/6311359721886511092023155240.pdf</v>
      </c>
      <c r="F5499" s="5" t="str">
        <f>HYPERLINK("https://dpmzos25m8ivg.cloudfront.net/Documentos/631/13597218865/6311359721886511092023161801.jpg","https://dpmzos25m8ivg.cloudfront.net/Documentos/631/13597218865/6311359721886511092023161801.jpg")</f>
        <v>https://dpmzos25m8ivg.cloudfront.net/Documentos/631/13597218865/6311359721886511092023161801.jpg</v>
      </c>
      <c r="G5499" s="5" t="str">
        <f>HYPERLINK("https://dpmzos25m8ivg.cloudfront.net/Documentos/631/13597218865/6311359721886511092023161818.jpg","https://dpmzos25m8ivg.cloudfront.net/Documentos/631/13597218865/6311359721886511092023161818.jpg")</f>
        <v>https://dpmzos25m8ivg.cloudfront.net/Documentos/631/13597218865/6311359721886511092023161818.jpg</v>
      </c>
      <c r="H5499" s="4" t="s">
        <v>14071</v>
      </c>
    </row>
    <row r="5500" spans="1:8" x14ac:dyDescent="0.25">
      <c r="A5500" s="2" t="s">
        <v>5528</v>
      </c>
      <c r="B5500" s="3"/>
      <c r="C5500" s="3"/>
      <c r="D5500" s="3"/>
      <c r="E5500" s="5" t="str">
        <f>HYPERLINK("https://dpmzos25m8ivg.cloudfront.net/Documentos/631/13604577632/6311360457763209092023165634.pdf","https://dpmzos25m8ivg.cloudfront.net/Documentos/631/13604577632/6311360457763209092023165634.pdf")</f>
        <v>https://dpmzos25m8ivg.cloudfront.net/Documentos/631/13604577632/6311360457763209092023165634.pdf</v>
      </c>
      <c r="F5500" s="5" t="str">
        <f>HYPERLINK("https://dpmzos25m8ivg.cloudfront.net/Documentos/631/13604577632/6311360457763209092023165650.pdf","https://dpmzos25m8ivg.cloudfront.net/Documentos/631/13604577632/6311360457763209092023165650.pdf")</f>
        <v>https://dpmzos25m8ivg.cloudfront.net/Documentos/631/13604577632/6311360457763209092023165650.pdf</v>
      </c>
      <c r="G5500" s="5" t="str">
        <f>HYPERLINK("https://dpmzos25m8ivg.cloudfront.net/Documentos/631/13604577632/6311360457763209092023165708.pdf","https://dpmzos25m8ivg.cloudfront.net/Documentos/631/13604577632/6311360457763209092023165708.pdf")</f>
        <v>https://dpmzos25m8ivg.cloudfront.net/Documentos/631/13604577632/6311360457763209092023165708.pdf</v>
      </c>
      <c r="H5500" s="4" t="s">
        <v>14072</v>
      </c>
    </row>
    <row r="5501" spans="1:8" x14ac:dyDescent="0.25">
      <c r="A5501" s="2" t="s">
        <v>5529</v>
      </c>
      <c r="B5501" s="3"/>
      <c r="C5501" s="3"/>
      <c r="D5501" s="3"/>
      <c r="E5501" s="5" t="str">
        <f>HYPERLINK("https://dpmzos25m8ivg.cloudfront.net/Documentos/631/13605639704/6311360563970405092023101429.jpg","https://dpmzos25m8ivg.cloudfront.net/Documentos/631/13605639704/6311360563970405092023101429.jpg")</f>
        <v>https://dpmzos25m8ivg.cloudfront.net/Documentos/631/13605639704/6311360563970405092023101429.jpg</v>
      </c>
      <c r="F5501" s="5" t="str">
        <f>HYPERLINK("https://dpmzos25m8ivg.cloudfront.net/Documentos/631/13605639704/6311360563970405092023101323.jpg","https://dpmzos25m8ivg.cloudfront.net/Documentos/631/13605639704/6311360563970405092023101323.jpg")</f>
        <v>https://dpmzos25m8ivg.cloudfront.net/Documentos/631/13605639704/6311360563970405092023101323.jpg</v>
      </c>
      <c r="G5501" s="5" t="str">
        <f>HYPERLINK("https://dpmzos25m8ivg.cloudfront.net/Documentos/631/13605639704/6311360563970405092023101316.jpg","https://dpmzos25m8ivg.cloudfront.net/Documentos/631/13605639704/6311360563970405092023101316.jpg")</f>
        <v>https://dpmzos25m8ivg.cloudfront.net/Documentos/631/13605639704/6311360563970405092023101316.jpg</v>
      </c>
      <c r="H5501" s="4" t="s">
        <v>14073</v>
      </c>
    </row>
    <row r="5502" spans="1:8" x14ac:dyDescent="0.25">
      <c r="A5502" s="2" t="s">
        <v>5530</v>
      </c>
      <c r="B5502" s="3" t="s">
        <v>308</v>
      </c>
      <c r="C5502" s="3"/>
      <c r="D5502" s="3"/>
      <c r="E5502" s="5" t="str">
        <f>HYPERLINK("https://dpmzos25m8ivg.cloudfront.net/Documentos/631/13606170602/6311360617060211092023122232.pdf","https://dpmzos25m8ivg.cloudfront.net/Documentos/631/13606170602/6311360617060211092023122232.pdf")</f>
        <v>https://dpmzos25m8ivg.cloudfront.net/Documentos/631/13606170602/6311360617060211092023122232.pdf</v>
      </c>
      <c r="F5502" s="5" t="str">
        <f>HYPERLINK("https://dpmzos25m8ivg.cloudfront.net/Documentos/631/13606170602/6311360617060211092023122244.pdf","https://dpmzos25m8ivg.cloudfront.net/Documentos/631/13606170602/6311360617060211092023122244.pdf")</f>
        <v>https://dpmzos25m8ivg.cloudfront.net/Documentos/631/13606170602/6311360617060211092023122244.pdf</v>
      </c>
      <c r="G5502" s="5" t="str">
        <f>HYPERLINK("https://dpmzos25m8ivg.cloudfront.net/Documentos/631/13606170602/6311360617060211092023122253.pdf","https://dpmzos25m8ivg.cloudfront.net/Documentos/631/13606170602/6311360617060211092023122253.pdf")</f>
        <v>https://dpmzos25m8ivg.cloudfront.net/Documentos/631/13606170602/6311360617060211092023122253.pdf</v>
      </c>
      <c r="H5502" s="4" t="s">
        <v>14074</v>
      </c>
    </row>
    <row r="5503" spans="1:8" x14ac:dyDescent="0.25">
      <c r="A5503" s="2" t="s">
        <v>5531</v>
      </c>
      <c r="B5503" s="3"/>
      <c r="C5503" s="3"/>
      <c r="D5503" s="3"/>
      <c r="E5503" s="5" t="str">
        <f>HYPERLINK("https://dpmzos25m8ivg.cloudfront.net/Documentos/631/13608492895/6311360849289511092023163113.pdf","https://dpmzos25m8ivg.cloudfront.net/Documentos/631/13608492895/6311360849289511092023163113.pdf")</f>
        <v>https://dpmzos25m8ivg.cloudfront.net/Documentos/631/13608492895/6311360849289511092023163113.pdf</v>
      </c>
      <c r="F5503" s="5" t="str">
        <f>HYPERLINK("https://dpmzos25m8ivg.cloudfront.net/Documentos/631/13608492895/6311360849289511092023163139.pdf","https://dpmzos25m8ivg.cloudfront.net/Documentos/631/13608492895/6311360849289511092023163139.pdf")</f>
        <v>https://dpmzos25m8ivg.cloudfront.net/Documentos/631/13608492895/6311360849289511092023163139.pdf</v>
      </c>
      <c r="G5503" s="5" t="str">
        <f>HYPERLINK("https://dpmzos25m8ivg.cloudfront.net/Documentos/631/13608492895/6311360849289511092023163201.pdf","https://dpmzos25m8ivg.cloudfront.net/Documentos/631/13608492895/6311360849289511092023163201.pdf")</f>
        <v>https://dpmzos25m8ivg.cloudfront.net/Documentos/631/13608492895/6311360849289511092023163201.pdf</v>
      </c>
      <c r="H5503" s="4" t="s">
        <v>14075</v>
      </c>
    </row>
    <row r="5504" spans="1:8" x14ac:dyDescent="0.25">
      <c r="A5504" s="2" t="s">
        <v>5532</v>
      </c>
      <c r="B5504" s="3"/>
      <c r="C5504" s="3"/>
      <c r="D5504" s="3"/>
      <c r="E5504" s="5" t="str">
        <f>HYPERLINK("https://dpmzos25m8ivg.cloudfront.net/Documentos/631/13614009785/6311361400978506092023212423.pdf","https://dpmzos25m8ivg.cloudfront.net/Documentos/631/13614009785/6311361400978506092023212423.pdf")</f>
        <v>https://dpmzos25m8ivg.cloudfront.net/Documentos/631/13614009785/6311361400978506092023212423.pdf</v>
      </c>
      <c r="F5504" s="5" t="str">
        <f>HYPERLINK("https://dpmzos25m8ivg.cloudfront.net/Documentos/631/13614009785/6311361400978506092023212433.pdf","https://dpmzos25m8ivg.cloudfront.net/Documentos/631/13614009785/6311361400978506092023212433.pdf")</f>
        <v>https://dpmzos25m8ivg.cloudfront.net/Documentos/631/13614009785/6311361400978506092023212433.pdf</v>
      </c>
      <c r="G5504" s="5" t="str">
        <f>HYPERLINK("https://dpmzos25m8ivg.cloudfront.net/Documentos/631/13614009785/6311361400978506092023212444.pdf","https://dpmzos25m8ivg.cloudfront.net/Documentos/631/13614009785/6311361400978506092023212444.pdf")</f>
        <v>https://dpmzos25m8ivg.cloudfront.net/Documentos/631/13614009785/6311361400978506092023212444.pdf</v>
      </c>
      <c r="H5504" s="4" t="s">
        <v>14076</v>
      </c>
    </row>
    <row r="5505" spans="1:8" x14ac:dyDescent="0.25">
      <c r="A5505" s="2" t="s">
        <v>5533</v>
      </c>
      <c r="B5505" s="3"/>
      <c r="C5505" s="3"/>
      <c r="D5505" s="3"/>
      <c r="E5505" s="5" t="str">
        <f>HYPERLINK("https://dpmzos25m8ivg.cloudfront.net/Documentos/631/13614712710/6311361471271008092023144017.jpg","https://dpmzos25m8ivg.cloudfront.net/Documentos/631/13614712710/6311361471271008092023144017.jpg")</f>
        <v>https://dpmzos25m8ivg.cloudfront.net/Documentos/631/13614712710/6311361471271008092023144017.jpg</v>
      </c>
      <c r="F5505" s="5" t="str">
        <f>HYPERLINK("https://dpmzos25m8ivg.cloudfront.net/Documentos/631/13614712710/6311361471271008092023144044.jpg","https://dpmzos25m8ivg.cloudfront.net/Documentos/631/13614712710/6311361471271008092023144044.jpg")</f>
        <v>https://dpmzos25m8ivg.cloudfront.net/Documentos/631/13614712710/6311361471271008092023144044.jpg</v>
      </c>
      <c r="G5505" s="5" t="str">
        <f>HYPERLINK("https://dpmzos25m8ivg.cloudfront.net/Documentos/631/13614712710/6311361471271008092023144118.jpg","https://dpmzos25m8ivg.cloudfront.net/Documentos/631/13614712710/6311361471271008092023144118.jpg")</f>
        <v>https://dpmzos25m8ivg.cloudfront.net/Documentos/631/13614712710/6311361471271008092023144118.jpg</v>
      </c>
      <c r="H5505" s="4" t="s">
        <v>14077</v>
      </c>
    </row>
    <row r="5506" spans="1:8" x14ac:dyDescent="0.25">
      <c r="A5506" s="2" t="s">
        <v>5534</v>
      </c>
      <c r="B5506" s="3"/>
      <c r="C5506" s="3"/>
      <c r="D5506" s="3"/>
      <c r="E5506" s="5" t="str">
        <f>HYPERLINK("https://dpmzos25m8ivg.cloudfront.net/Documentos/631/13619693773/6311361969377311092023150021.pdf","https://dpmzos25m8ivg.cloudfront.net/Documentos/631/13619693773/6311361969377311092023150021.pdf")</f>
        <v>https://dpmzos25m8ivg.cloudfront.net/Documentos/631/13619693773/6311361969377311092023150021.pdf</v>
      </c>
      <c r="F5506" s="5" t="str">
        <f>HYPERLINK("https://dpmzos25m8ivg.cloudfront.net/Documentos/631/13619693773/6311361969377311092023150030.pdf","https://dpmzos25m8ivg.cloudfront.net/Documentos/631/13619693773/6311361969377311092023150030.pdf")</f>
        <v>https://dpmzos25m8ivg.cloudfront.net/Documentos/631/13619693773/6311361969377311092023150030.pdf</v>
      </c>
      <c r="G5506" s="5" t="str">
        <f>HYPERLINK("https://dpmzos25m8ivg.cloudfront.net/Documentos/631/13619693773/6311361969377311092023150047.pdf","https://dpmzos25m8ivg.cloudfront.net/Documentos/631/13619693773/6311361969377311092023150047.pdf")</f>
        <v>https://dpmzos25m8ivg.cloudfront.net/Documentos/631/13619693773/6311361969377311092023150047.pdf</v>
      </c>
      <c r="H5506" s="4" t="s">
        <v>14078</v>
      </c>
    </row>
    <row r="5507" spans="1:8" x14ac:dyDescent="0.25">
      <c r="A5507" s="2" t="s">
        <v>5535</v>
      </c>
      <c r="B5507" s="3" t="s">
        <v>308</v>
      </c>
      <c r="C5507" s="3"/>
      <c r="D5507" s="3"/>
      <c r="E5507" s="5" t="str">
        <f>HYPERLINK("https://dpmzos25m8ivg.cloudfront.net/Documentos/631/13625649403/6311362564940314092023132139.pdf","https://dpmzos25m8ivg.cloudfront.net/Documentos/631/13625649403/6311362564940314092023132139.pdf")</f>
        <v>https://dpmzos25m8ivg.cloudfront.net/Documentos/631/13625649403/6311362564940314092023132139.pdf</v>
      </c>
      <c r="F5507" s="5" t="str">
        <f>HYPERLINK("https://dpmzos25m8ivg.cloudfront.net/Documentos/631/13625649403/6311362564940314092023132145.pdf","https://dpmzos25m8ivg.cloudfront.net/Documentos/631/13625649403/6311362564940314092023132145.pdf")</f>
        <v>https://dpmzos25m8ivg.cloudfront.net/Documentos/631/13625649403/6311362564940314092023132145.pdf</v>
      </c>
      <c r="G5507" s="5" t="str">
        <f>HYPERLINK("https://dpmzos25m8ivg.cloudfront.net/Documentos/631/13625649403/6311362564940314092023132152.pdf","https://dpmzos25m8ivg.cloudfront.net/Documentos/631/13625649403/6311362564940314092023132152.pdf")</f>
        <v>https://dpmzos25m8ivg.cloudfront.net/Documentos/631/13625649403/6311362564940314092023132152.pdf</v>
      </c>
      <c r="H5507" s="4" t="s">
        <v>14079</v>
      </c>
    </row>
    <row r="5508" spans="1:8" x14ac:dyDescent="0.25">
      <c r="A5508" s="2" t="s">
        <v>5536</v>
      </c>
      <c r="B5508" s="3"/>
      <c r="C5508" s="3"/>
      <c r="D5508" s="3"/>
      <c r="E5508" s="5" t="str">
        <f>HYPERLINK("https://dpmzos25m8ivg.cloudfront.net/Documentos/631/13627337689/6311362733768905092023094914.pdf","https://dpmzos25m8ivg.cloudfront.net/Documentos/631/13627337689/6311362733768905092023094914.pdf")</f>
        <v>https://dpmzos25m8ivg.cloudfront.net/Documentos/631/13627337689/6311362733768905092023094914.pdf</v>
      </c>
      <c r="F5508" s="5" t="str">
        <f>HYPERLINK("https://dpmzos25m8ivg.cloudfront.net/Documentos/631/13627337689/6311362733768905092023094924.pdf","https://dpmzos25m8ivg.cloudfront.net/Documentos/631/13627337689/6311362733768905092023094924.pdf")</f>
        <v>https://dpmzos25m8ivg.cloudfront.net/Documentos/631/13627337689/6311362733768905092023094924.pdf</v>
      </c>
      <c r="G5508" s="5" t="str">
        <f>HYPERLINK("https://dpmzos25m8ivg.cloudfront.net/Documentos/631/13627337689/6311362733768905092023094932.pdf","https://dpmzos25m8ivg.cloudfront.net/Documentos/631/13627337689/6311362733768905092023094932.pdf")</f>
        <v>https://dpmzos25m8ivg.cloudfront.net/Documentos/631/13627337689/6311362733768905092023094932.pdf</v>
      </c>
      <c r="H5508" s="4" t="s">
        <v>14080</v>
      </c>
    </row>
    <row r="5509" spans="1:8" x14ac:dyDescent="0.25">
      <c r="A5509" s="2" t="s">
        <v>5537</v>
      </c>
      <c r="B5509" s="3"/>
      <c r="C5509" s="3"/>
      <c r="D5509" s="3"/>
      <c r="E5509" s="5" t="str">
        <f>HYPERLINK("https://dpmzos25m8ivg.cloudfront.net/Documentos/631/13638439666/6311363843966612092023174123.pdf","https://dpmzos25m8ivg.cloudfront.net/Documentos/631/13638439666/6311363843966612092023174123.pdf")</f>
        <v>https://dpmzos25m8ivg.cloudfront.net/Documentos/631/13638439666/6311363843966612092023174123.pdf</v>
      </c>
      <c r="F5509" s="5" t="str">
        <f>HYPERLINK("https://dpmzos25m8ivg.cloudfront.net/Documentos/631/13638439666/6311363843966612092023174131.pdf","https://dpmzos25m8ivg.cloudfront.net/Documentos/631/13638439666/6311363843966612092023174131.pdf")</f>
        <v>https://dpmzos25m8ivg.cloudfront.net/Documentos/631/13638439666/6311363843966612092023174131.pdf</v>
      </c>
      <c r="G5509" s="5" t="str">
        <f>HYPERLINK("https://dpmzos25m8ivg.cloudfront.net/Documentos/631/13638439666/6311363843966612092023174140.pdf","https://dpmzos25m8ivg.cloudfront.net/Documentos/631/13638439666/6311363843966612092023174140.pdf")</f>
        <v>https://dpmzos25m8ivg.cloudfront.net/Documentos/631/13638439666/6311363843966612092023174140.pdf</v>
      </c>
      <c r="H5509" s="4" t="s">
        <v>14081</v>
      </c>
    </row>
    <row r="5510" spans="1:8" x14ac:dyDescent="0.25">
      <c r="A5510" s="2" t="s">
        <v>5538</v>
      </c>
      <c r="B5510" s="3"/>
      <c r="C5510" s="3"/>
      <c r="D5510" s="3"/>
      <c r="E5510" s="5" t="str">
        <f>HYPERLINK("https://dpmzos25m8ivg.cloudfront.net/Documentos/631/13643691769/6311364369176907092023095545.pdf","https://dpmzos25m8ivg.cloudfront.net/Documentos/631/13643691769/6311364369176907092023095545.pdf")</f>
        <v>https://dpmzos25m8ivg.cloudfront.net/Documentos/631/13643691769/6311364369176907092023095545.pdf</v>
      </c>
      <c r="F5510" s="5" t="str">
        <f>HYPERLINK("https://dpmzos25m8ivg.cloudfront.net/Documentos/631/13643691769/6311364369176907092023095607.pdf","https://dpmzos25m8ivg.cloudfront.net/Documentos/631/13643691769/6311364369176907092023095607.pdf")</f>
        <v>https://dpmzos25m8ivg.cloudfront.net/Documentos/631/13643691769/6311364369176907092023095607.pdf</v>
      </c>
      <c r="G5510" s="5" t="str">
        <f>HYPERLINK("https://dpmzos25m8ivg.cloudfront.net/Documentos/631/13643691769/6311364369176907092023095625.pdf","https://dpmzos25m8ivg.cloudfront.net/Documentos/631/13643691769/6311364369176907092023095625.pdf")</f>
        <v>https://dpmzos25m8ivg.cloudfront.net/Documentos/631/13643691769/6311364369176907092023095625.pdf</v>
      </c>
      <c r="H5510" s="4" t="s">
        <v>14082</v>
      </c>
    </row>
    <row r="5511" spans="1:8" x14ac:dyDescent="0.25">
      <c r="A5511" s="2" t="s">
        <v>5539</v>
      </c>
      <c r="B5511" s="3"/>
      <c r="C5511" s="3"/>
      <c r="D5511" s="3"/>
      <c r="E5511" s="5" t="str">
        <f>HYPERLINK("https://dpmzos25m8ivg.cloudfront.net/Documentos/631/13648200801/6311364820080109092023204204.pdf","https://dpmzos25m8ivg.cloudfront.net/Documentos/631/13648200801/6311364820080109092023204204.pdf")</f>
        <v>https://dpmzos25m8ivg.cloudfront.net/Documentos/631/13648200801/6311364820080109092023204204.pdf</v>
      </c>
      <c r="F5511" s="5" t="str">
        <f>HYPERLINK("https://dpmzos25m8ivg.cloudfront.net/Documentos/631/13648200801/6311364820080109092023204222.pdf","https://dpmzos25m8ivg.cloudfront.net/Documentos/631/13648200801/6311364820080109092023204222.pdf")</f>
        <v>https://dpmzos25m8ivg.cloudfront.net/Documentos/631/13648200801/6311364820080109092023204222.pdf</v>
      </c>
      <c r="G5511" s="5" t="str">
        <f>HYPERLINK("https://dpmzos25m8ivg.cloudfront.net/Documentos/631/13648200801/6311364820080109092023204237.pdf","https://dpmzos25m8ivg.cloudfront.net/Documentos/631/13648200801/6311364820080109092023204237.pdf")</f>
        <v>https://dpmzos25m8ivg.cloudfront.net/Documentos/631/13648200801/6311364820080109092023204237.pdf</v>
      </c>
      <c r="H5511" s="4" t="s">
        <v>14083</v>
      </c>
    </row>
    <row r="5512" spans="1:8" x14ac:dyDescent="0.25">
      <c r="A5512" s="2" t="s">
        <v>5540</v>
      </c>
      <c r="B5512" s="16" t="s">
        <v>2358</v>
      </c>
      <c r="C5512" s="3"/>
      <c r="D5512" s="3"/>
      <c r="E5512" s="5" t="str">
        <f>HYPERLINK("https://dpmzos25m8ivg.cloudfront.net/Documentos/631/13649763664/6311364976366405092023104115.pdf","https://dpmzos25m8ivg.cloudfront.net/Documentos/631/13649763664/6311364976366405092023104115.pdf")</f>
        <v>https://dpmzos25m8ivg.cloudfront.net/Documentos/631/13649763664/6311364976366405092023104115.pdf</v>
      </c>
      <c r="F5512" s="5" t="str">
        <f>HYPERLINK("https://dpmzos25m8ivg.cloudfront.net/Documentos/631/13649763664/6311364976366405092023104146.pdf","https://dpmzos25m8ivg.cloudfront.net/Documentos/631/13649763664/6311364976366405092023104146.pdf")</f>
        <v>https://dpmzos25m8ivg.cloudfront.net/Documentos/631/13649763664/6311364976366405092023104146.pdf</v>
      </c>
      <c r="G5512" s="5" t="str">
        <f>HYPERLINK("https://dpmzos25m8ivg.cloudfront.net/Documentos/631/13649763664/6311364976366405092023104207.pdf","https://dpmzos25m8ivg.cloudfront.net/Documentos/631/13649763664/6311364976366405092023104207.pdf")</f>
        <v>https://dpmzos25m8ivg.cloudfront.net/Documentos/631/13649763664/6311364976366405092023104207.pdf</v>
      </c>
      <c r="H5512" s="5" t="s">
        <v>14084</v>
      </c>
    </row>
    <row r="5513" spans="1:8" x14ac:dyDescent="0.25">
      <c r="A5513" s="2" t="s">
        <v>5541</v>
      </c>
      <c r="B5513" s="16" t="s">
        <v>2358</v>
      </c>
      <c r="C5513" s="3"/>
      <c r="D5513" s="3"/>
      <c r="E5513" s="5" t="str">
        <f>HYPERLINK("https://dpmzos25m8ivg.cloudfront.net/Documentos/631/13650647869/6311365064786911092023140057.pdf","https://dpmzos25m8ivg.cloudfront.net/Documentos/631/13650647869/6311365064786911092023140057.pdf")</f>
        <v>https://dpmzos25m8ivg.cloudfront.net/Documentos/631/13650647869/6311365064786911092023140057.pdf</v>
      </c>
      <c r="F5513" s="5" t="str">
        <f>HYPERLINK("https://dpmzos25m8ivg.cloudfront.net/Documentos/631/13650647869/6311365064786911092023140108.pdf","https://dpmzos25m8ivg.cloudfront.net/Documentos/631/13650647869/6311365064786911092023140108.pdf")</f>
        <v>https://dpmzos25m8ivg.cloudfront.net/Documentos/631/13650647869/6311365064786911092023140108.pdf</v>
      </c>
      <c r="G5513" s="5" t="str">
        <f>HYPERLINK("https://dpmzos25m8ivg.cloudfront.net/Documentos/631/13650647869/6311365064786911092023140116.pdf","https://dpmzos25m8ivg.cloudfront.net/Documentos/631/13650647869/6311365064786911092023140116.pdf")</f>
        <v>https://dpmzos25m8ivg.cloudfront.net/Documentos/631/13650647869/6311365064786911092023140116.pdf</v>
      </c>
      <c r="H5513" s="5" t="s">
        <v>14085</v>
      </c>
    </row>
    <row r="5514" spans="1:8" x14ac:dyDescent="0.25">
      <c r="A5514" s="21" t="s">
        <v>5542</v>
      </c>
      <c r="B5514" s="16" t="s">
        <v>2358</v>
      </c>
      <c r="C5514" s="3"/>
      <c r="D5514" s="3"/>
      <c r="E5514" s="5" t="str">
        <f>HYPERLINK("https://dpmzos25m8ivg.cloudfront.net/Documentos/631/13651109666/6311365110966611092023123246.jpg","https://dpmzos25m8ivg.cloudfront.net/Documentos/631/13651109666/6311365110966611092023123246.jpg")</f>
        <v>https://dpmzos25m8ivg.cloudfront.net/Documentos/631/13651109666/6311365110966611092023123246.jpg</v>
      </c>
      <c r="F5514" s="5" t="str">
        <f>HYPERLINK("https://dpmzos25m8ivg.cloudfront.net/Documentos/631/13651109666/6311365110966611092023123322.jpg","https://dpmzos25m8ivg.cloudfront.net/Documentos/631/13651109666/6311365110966611092023123322.jpg")</f>
        <v>https://dpmzos25m8ivg.cloudfront.net/Documentos/631/13651109666/6311365110966611092023123322.jpg</v>
      </c>
      <c r="G5514" s="5" t="str">
        <f>HYPERLINK("https://dpmzos25m8ivg.cloudfront.net/Documentos/631/13651109666/6311365110966611092023123340.jpg","https://dpmzos25m8ivg.cloudfront.net/Documentos/631/13651109666/6311365110966611092023123340.jpg")</f>
        <v>https://dpmzos25m8ivg.cloudfront.net/Documentos/631/13651109666/6311365110966611092023123340.jpg</v>
      </c>
      <c r="H5514" s="5" t="s">
        <v>14086</v>
      </c>
    </row>
    <row r="5515" spans="1:8" x14ac:dyDescent="0.25">
      <c r="A5515" s="2" t="s">
        <v>5543</v>
      </c>
      <c r="B5515" s="3"/>
      <c r="C5515" s="3"/>
      <c r="D5515" s="3"/>
      <c r="E5515" s="5" t="str">
        <f>HYPERLINK("https://dpmzos25m8ivg.cloudfront.net/Documentos/631/13657035761/6311365703576111092023150925.pdf","https://dpmzos25m8ivg.cloudfront.net/Documentos/631/13657035761/6311365703576111092023150925.pdf")</f>
        <v>https://dpmzos25m8ivg.cloudfront.net/Documentos/631/13657035761/6311365703576111092023150925.pdf</v>
      </c>
      <c r="F5515" s="5" t="str">
        <f>HYPERLINK("https://dpmzos25m8ivg.cloudfront.net/Documentos/631/13657035761/6311365703576111092023150934.pdf","https://dpmzos25m8ivg.cloudfront.net/Documentos/631/13657035761/6311365703576111092023150934.pdf")</f>
        <v>https://dpmzos25m8ivg.cloudfront.net/Documentos/631/13657035761/6311365703576111092023150934.pdf</v>
      </c>
      <c r="G5515" s="5" t="str">
        <f>HYPERLINK("https://dpmzos25m8ivg.cloudfront.net/Documentos/631/13657035761/6311365703576111092023150945.pdf","https://dpmzos25m8ivg.cloudfront.net/Documentos/631/13657035761/6311365703576111092023150945.pdf")</f>
        <v>https://dpmzos25m8ivg.cloudfront.net/Documentos/631/13657035761/6311365703576111092023150945.pdf</v>
      </c>
      <c r="H5515" s="4" t="s">
        <v>14087</v>
      </c>
    </row>
    <row r="5516" spans="1:8" x14ac:dyDescent="0.25">
      <c r="A5516" s="2" t="s">
        <v>5544</v>
      </c>
      <c r="B5516" s="3"/>
      <c r="C5516" s="3"/>
      <c r="D5516" s="3"/>
      <c r="E5516" s="5" t="str">
        <f>HYPERLINK("https://dpmzos25m8ivg.cloudfront.net/Documentos/631/13659906727/6311365990672711092023163543.pdf","https://dpmzos25m8ivg.cloudfront.net/Documentos/631/13659906727/6311365990672711092023163543.pdf")</f>
        <v>https://dpmzos25m8ivg.cloudfront.net/Documentos/631/13659906727/6311365990672711092023163543.pdf</v>
      </c>
      <c r="F5516" s="5" t="str">
        <f>HYPERLINK("https://dpmzos25m8ivg.cloudfront.net/Documentos/631/13659906727/6311365990672711092023163552.pdf","https://dpmzos25m8ivg.cloudfront.net/Documentos/631/13659906727/6311365990672711092023163552.pdf")</f>
        <v>https://dpmzos25m8ivg.cloudfront.net/Documentos/631/13659906727/6311365990672711092023163552.pdf</v>
      </c>
      <c r="G5516" s="5" t="str">
        <f>HYPERLINK("https://dpmzos25m8ivg.cloudfront.net/Documentos/631/13659906727/6311365990672711092023163603.pdf","https://dpmzos25m8ivg.cloudfront.net/Documentos/631/13659906727/6311365990672711092023163603.pdf")</f>
        <v>https://dpmzos25m8ivg.cloudfront.net/Documentos/631/13659906727/6311365990672711092023163603.pdf</v>
      </c>
      <c r="H5516" s="4" t="s">
        <v>14088</v>
      </c>
    </row>
    <row r="5517" spans="1:8" x14ac:dyDescent="0.25">
      <c r="A5517" s="2" t="s">
        <v>5545</v>
      </c>
      <c r="B5517" s="3"/>
      <c r="C5517" s="3"/>
      <c r="D5517" s="3"/>
      <c r="E5517" s="5" t="str">
        <f>HYPERLINK("https://dpmzos25m8ivg.cloudfront.net/Documentos/631/13660282600/6311366028260006092023194900.pdf","https://dpmzos25m8ivg.cloudfront.net/Documentos/631/13660282600/6311366028260006092023194900.pdf")</f>
        <v>https://dpmzos25m8ivg.cloudfront.net/Documentos/631/13660282600/6311366028260006092023194900.pdf</v>
      </c>
      <c r="F5517" s="5" t="str">
        <f>HYPERLINK("https://dpmzos25m8ivg.cloudfront.net/Documentos/631/13660282600/6311366028260006092023194907.pdf","https://dpmzos25m8ivg.cloudfront.net/Documentos/631/13660282600/6311366028260006092023194907.pdf")</f>
        <v>https://dpmzos25m8ivg.cloudfront.net/Documentos/631/13660282600/6311366028260006092023194907.pdf</v>
      </c>
      <c r="G5517" s="5" t="str">
        <f>HYPERLINK("https://dpmzos25m8ivg.cloudfront.net/Documentos/631/13660282600/6311366028260006092023194914.pdf","https://dpmzos25m8ivg.cloudfront.net/Documentos/631/13660282600/6311366028260006092023194914.pdf")</f>
        <v>https://dpmzos25m8ivg.cloudfront.net/Documentos/631/13660282600/6311366028260006092023194914.pdf</v>
      </c>
      <c r="H5517" s="4" t="s">
        <v>14089</v>
      </c>
    </row>
    <row r="5518" spans="1:8" x14ac:dyDescent="0.25">
      <c r="A5518" s="2" t="s">
        <v>5546</v>
      </c>
      <c r="B5518" s="16" t="s">
        <v>2358</v>
      </c>
      <c r="C5518" s="3"/>
      <c r="D5518" s="3"/>
      <c r="E5518" s="5" t="str">
        <f>HYPERLINK("https://dpmzos25m8ivg.cloudfront.net/Documentos/631/13672643831/6311367264383109092023005031.pdf","https://dpmzos25m8ivg.cloudfront.net/Documentos/631/13672643831/6311367264383109092023005031.pdf")</f>
        <v>https://dpmzos25m8ivg.cloudfront.net/Documentos/631/13672643831/6311367264383109092023005031.pdf</v>
      </c>
      <c r="F5518" s="5" t="str">
        <f>HYPERLINK("https://dpmzos25m8ivg.cloudfront.net/Documentos/631/13672643831/6311367264383109092023005045.pdf","https://dpmzos25m8ivg.cloudfront.net/Documentos/631/13672643831/6311367264383109092023005045.pdf")</f>
        <v>https://dpmzos25m8ivg.cloudfront.net/Documentos/631/13672643831/6311367264383109092023005045.pdf</v>
      </c>
      <c r="G5518" s="5" t="str">
        <f>HYPERLINK("https://dpmzos25m8ivg.cloudfront.net/Documentos/631/13672643831/6311367264383109092023005103.pdf","https://dpmzos25m8ivg.cloudfront.net/Documentos/631/13672643831/6311367264383109092023005103.pdf")</f>
        <v>https://dpmzos25m8ivg.cloudfront.net/Documentos/631/13672643831/6311367264383109092023005103.pdf</v>
      </c>
      <c r="H5518" s="5" t="s">
        <v>14090</v>
      </c>
    </row>
    <row r="5519" spans="1:8" x14ac:dyDescent="0.25">
      <c r="A5519" s="2" t="s">
        <v>5547</v>
      </c>
      <c r="B5519" s="3"/>
      <c r="C5519" s="3"/>
      <c r="D5519" s="3"/>
      <c r="E5519" s="5" t="str">
        <f>HYPERLINK("https://dpmzos25m8ivg.cloudfront.net/Documentos/631/13673245481/6311367324548108092023104623.jpeg","https://dpmzos25m8ivg.cloudfront.net/Documentos/631/13673245481/6311367324548108092023104623.jpeg")</f>
        <v>https://dpmzos25m8ivg.cloudfront.net/Documentos/631/13673245481/6311367324548108092023104623.jpeg</v>
      </c>
      <c r="F5519" s="5" t="str">
        <f>HYPERLINK("https://dpmzos25m8ivg.cloudfront.net/Documentos/631/13673245481/6311367324548108092023104635.jpeg","https://dpmzos25m8ivg.cloudfront.net/Documentos/631/13673245481/6311367324548108092023104635.jpeg")</f>
        <v>https://dpmzos25m8ivg.cloudfront.net/Documentos/631/13673245481/6311367324548108092023104635.jpeg</v>
      </c>
      <c r="G5519" s="5" t="str">
        <f>HYPERLINK("https://dpmzos25m8ivg.cloudfront.net/Documentos/631/13673245481/6311367324548108092023104654.jpeg","https://dpmzos25m8ivg.cloudfront.net/Documentos/631/13673245481/6311367324548108092023104654.jpeg")</f>
        <v>https://dpmzos25m8ivg.cloudfront.net/Documentos/631/13673245481/6311367324548108092023104654.jpeg</v>
      </c>
      <c r="H5519" s="4" t="s">
        <v>14091</v>
      </c>
    </row>
    <row r="5520" spans="1:8" x14ac:dyDescent="0.25">
      <c r="A5520" s="2" t="s">
        <v>5548</v>
      </c>
      <c r="B5520" s="3" t="s">
        <v>308</v>
      </c>
      <c r="C5520" s="3"/>
      <c r="D5520" s="3"/>
      <c r="E5520" s="5" t="str">
        <f>HYPERLINK("https://dpmzos25m8ivg.cloudfront.net/Documentos/631/13675327604/6311367532760411092023093954.pdf","https://dpmzos25m8ivg.cloudfront.net/Documentos/631/13675327604/6311367532760411092023093954.pdf")</f>
        <v>https://dpmzos25m8ivg.cloudfront.net/Documentos/631/13675327604/6311367532760411092023093954.pdf</v>
      </c>
      <c r="F5520" s="5" t="str">
        <f>HYPERLINK("https://dpmzos25m8ivg.cloudfront.net/Documentos/631/13675327604/6311367532760411092023094045.pdf","https://dpmzos25m8ivg.cloudfront.net/Documentos/631/13675327604/6311367532760411092023094045.pdf")</f>
        <v>https://dpmzos25m8ivg.cloudfront.net/Documentos/631/13675327604/6311367532760411092023094045.pdf</v>
      </c>
      <c r="G5520" s="5" t="str">
        <f>HYPERLINK("https://dpmzos25m8ivg.cloudfront.net/Documentos/631/13675327604/6311367532760411092023094052.pdf","https://dpmzos25m8ivg.cloudfront.net/Documentos/631/13675327604/6311367532760411092023094052.pdf")</f>
        <v>https://dpmzos25m8ivg.cloudfront.net/Documentos/631/13675327604/6311367532760411092023094052.pdf</v>
      </c>
      <c r="H5520" s="4" t="s">
        <v>14092</v>
      </c>
    </row>
    <row r="5521" spans="1:8" x14ac:dyDescent="0.25">
      <c r="A5521" s="2" t="s">
        <v>5549</v>
      </c>
      <c r="B5521" s="3"/>
      <c r="C5521" s="3"/>
      <c r="D5521" s="3"/>
      <c r="E5521" s="5" t="str">
        <f>HYPERLINK("https://dpmzos25m8ivg.cloudfront.net/Documentos/631/13677154669/6311367715466914092023165517.pdf","https://dpmzos25m8ivg.cloudfront.net/Documentos/631/13677154669/6311367715466914092023165517.pdf")</f>
        <v>https://dpmzos25m8ivg.cloudfront.net/Documentos/631/13677154669/6311367715466914092023165517.pdf</v>
      </c>
      <c r="F5521" s="5" t="str">
        <f>HYPERLINK("https://dpmzos25m8ivg.cloudfront.net/Documentos/631/13677154669/6311367715466914092023165528.pdf","https://dpmzos25m8ivg.cloudfront.net/Documentos/631/13677154669/6311367715466914092023165528.pdf")</f>
        <v>https://dpmzos25m8ivg.cloudfront.net/Documentos/631/13677154669/6311367715466914092023165528.pdf</v>
      </c>
      <c r="G5521" s="5" t="str">
        <f>HYPERLINK("https://dpmzos25m8ivg.cloudfront.net/Documentos/631/13677154669/6311367715466914092023165539.pdf","https://dpmzos25m8ivg.cloudfront.net/Documentos/631/13677154669/6311367715466914092023165539.pdf")</f>
        <v>https://dpmzos25m8ivg.cloudfront.net/Documentos/631/13677154669/6311367715466914092023165539.pdf</v>
      </c>
      <c r="H5521" s="4" t="s">
        <v>14093</v>
      </c>
    </row>
    <row r="5522" spans="1:8" x14ac:dyDescent="0.25">
      <c r="A5522" s="2" t="s">
        <v>5550</v>
      </c>
      <c r="B5522" s="16" t="s">
        <v>2358</v>
      </c>
      <c r="C5522" s="3"/>
      <c r="D5522" s="3"/>
      <c r="E5522" s="5" t="str">
        <f>HYPERLINK("https://dpmzos25m8ivg.cloudfront.net/Documentos/631/13681793638/6311368179363809092023103514.jpeg","https://dpmzos25m8ivg.cloudfront.net/Documentos/631/13681793638/6311368179363809092023103514.jpeg")</f>
        <v>https://dpmzos25m8ivg.cloudfront.net/Documentos/631/13681793638/6311368179363809092023103514.jpeg</v>
      </c>
      <c r="F5522" s="5" t="str">
        <f>HYPERLINK("https://dpmzos25m8ivg.cloudfront.net/Documentos/631/13681793638/6311368179363809092023103503.jpeg","https://dpmzos25m8ivg.cloudfront.net/Documentos/631/13681793638/6311368179363809092023103503.jpeg")</f>
        <v>https://dpmzos25m8ivg.cloudfront.net/Documentos/631/13681793638/6311368179363809092023103503.jpeg</v>
      </c>
      <c r="G5522" s="5" t="str">
        <f>HYPERLINK("https://dpmzos25m8ivg.cloudfront.net/Documentos/631/13681793638/6311368179363809092023103449.jpeg","https://dpmzos25m8ivg.cloudfront.net/Documentos/631/13681793638/6311368179363809092023103449.jpeg")</f>
        <v>https://dpmzos25m8ivg.cloudfront.net/Documentos/631/13681793638/6311368179363809092023103449.jpeg</v>
      </c>
      <c r="H5522" s="5" t="s">
        <v>14094</v>
      </c>
    </row>
    <row r="5523" spans="1:8" x14ac:dyDescent="0.25">
      <c r="A5523" s="2" t="s">
        <v>5551</v>
      </c>
      <c r="B5523" s="16" t="s">
        <v>2358</v>
      </c>
      <c r="C5523" s="3"/>
      <c r="D5523" s="3"/>
      <c r="E5523" s="5" t="str">
        <f>HYPERLINK("https://dpmzos25m8ivg.cloudfront.net/Documentos/631/13684137650/6311368413765008092023215002.pdf","https://dpmzos25m8ivg.cloudfront.net/Documentos/631/13684137650/6311368413765008092023215002.pdf")</f>
        <v>https://dpmzos25m8ivg.cloudfront.net/Documentos/631/13684137650/6311368413765008092023215002.pdf</v>
      </c>
      <c r="F5523" s="5" t="str">
        <f>HYPERLINK("https://dpmzos25m8ivg.cloudfront.net/Documentos/631/13684137650/6311368413765008092023215012.pdf","https://dpmzos25m8ivg.cloudfront.net/Documentos/631/13684137650/6311368413765008092023215012.pdf")</f>
        <v>https://dpmzos25m8ivg.cloudfront.net/Documentos/631/13684137650/6311368413765008092023215012.pdf</v>
      </c>
      <c r="G5523" s="5" t="str">
        <f>HYPERLINK("https://dpmzos25m8ivg.cloudfront.net/Documentos/631/13684137650/6311368413765008092023215022.pdf","https://dpmzos25m8ivg.cloudfront.net/Documentos/631/13684137650/6311368413765008092023215022.pdf")</f>
        <v>https://dpmzos25m8ivg.cloudfront.net/Documentos/631/13684137650/6311368413765008092023215022.pdf</v>
      </c>
      <c r="H5523" s="5" t="s">
        <v>14095</v>
      </c>
    </row>
    <row r="5524" spans="1:8" x14ac:dyDescent="0.25">
      <c r="A5524" s="2" t="s">
        <v>5552</v>
      </c>
      <c r="B5524" s="3"/>
      <c r="C5524" s="3"/>
      <c r="D5524" s="3"/>
      <c r="E5524" s="5" t="str">
        <f>HYPERLINK("https://dpmzos25m8ivg.cloudfront.net/Documentos/631/13701637466/6311370163746606092023134732.pdf","https://dpmzos25m8ivg.cloudfront.net/Documentos/631/13701637466/6311370163746606092023134732.pdf")</f>
        <v>https://dpmzos25m8ivg.cloudfront.net/Documentos/631/13701637466/6311370163746606092023134732.pdf</v>
      </c>
      <c r="F5524" s="5" t="str">
        <f>HYPERLINK("https://dpmzos25m8ivg.cloudfront.net/Documentos/631/13701637466/6311370163746606092023134738.pdf","https://dpmzos25m8ivg.cloudfront.net/Documentos/631/13701637466/6311370163746606092023134738.pdf")</f>
        <v>https://dpmzos25m8ivg.cloudfront.net/Documentos/631/13701637466/6311370163746606092023134738.pdf</v>
      </c>
      <c r="G5524" s="5" t="str">
        <f>HYPERLINK("https://dpmzos25m8ivg.cloudfront.net/Documentos/631/13701637466/6311370163746606092023134747.pdf","https://dpmzos25m8ivg.cloudfront.net/Documentos/631/13701637466/6311370163746606092023134747.pdf")</f>
        <v>https://dpmzos25m8ivg.cloudfront.net/Documentos/631/13701637466/6311370163746606092023134747.pdf</v>
      </c>
      <c r="H5524" s="4" t="s">
        <v>14096</v>
      </c>
    </row>
    <row r="5525" spans="1:8" x14ac:dyDescent="0.25">
      <c r="A5525" s="2" t="s">
        <v>5553</v>
      </c>
      <c r="B5525" s="16" t="s">
        <v>2358</v>
      </c>
      <c r="C5525" s="3"/>
      <c r="D5525" s="3"/>
      <c r="E5525" s="5" t="str">
        <f>HYPERLINK("https://dpmzos25m8ivg.cloudfront.net/Documentos/631/13704551430/6311370455143007092023162920.jpg","https://dpmzos25m8ivg.cloudfront.net/Documentos/631/13704551430/6311370455143007092023162920.jpg")</f>
        <v>https://dpmzos25m8ivg.cloudfront.net/Documentos/631/13704551430/6311370455143007092023162920.jpg</v>
      </c>
      <c r="F5525" s="5" t="str">
        <f>HYPERLINK("https://dpmzos25m8ivg.cloudfront.net/Documentos/631/13704551430/6311370455143007092023162934.jpg","https://dpmzos25m8ivg.cloudfront.net/Documentos/631/13704551430/6311370455143007092023162934.jpg")</f>
        <v>https://dpmzos25m8ivg.cloudfront.net/Documentos/631/13704551430/6311370455143007092023162934.jpg</v>
      </c>
      <c r="G5525" s="5" t="str">
        <f>HYPERLINK("https://dpmzos25m8ivg.cloudfront.net/Documentos/631/13704551430/6311370455143007092023162958.jpg","https://dpmzos25m8ivg.cloudfront.net/Documentos/631/13704551430/6311370455143007092023162958.jpg")</f>
        <v>https://dpmzos25m8ivg.cloudfront.net/Documentos/631/13704551430/6311370455143007092023162958.jpg</v>
      </c>
      <c r="H5525" s="5" t="s">
        <v>14097</v>
      </c>
    </row>
    <row r="5526" spans="1:8" x14ac:dyDescent="0.25">
      <c r="A5526" s="2" t="s">
        <v>5554</v>
      </c>
      <c r="B5526" s="19" t="s">
        <v>3385</v>
      </c>
      <c r="C5526" s="3"/>
      <c r="D5526" s="3"/>
      <c r="E5526" s="5" t="str">
        <f>HYPERLINK("https://dpmzos25m8ivg.cloudfront.net/Documentos/631/13714807616/6311371480761610092023220855.pdf","https://dpmzos25m8ivg.cloudfront.net/Documentos/631/13714807616/6311371480761610092023220855.pdf")</f>
        <v>https://dpmzos25m8ivg.cloudfront.net/Documentos/631/13714807616/6311371480761610092023220855.pdf</v>
      </c>
      <c r="F5526" s="5" t="str">
        <f>HYPERLINK("https://dpmzos25m8ivg.cloudfront.net/Documentos/631/13714807616/6311371480761610092023220954.pdf","https://dpmzos25m8ivg.cloudfront.net/Documentos/631/13714807616/6311371480761610092023220954.pdf")</f>
        <v>https://dpmzos25m8ivg.cloudfront.net/Documentos/631/13714807616/6311371480761610092023220954.pdf</v>
      </c>
      <c r="G5526" s="5" t="str">
        <f>HYPERLINK("https://dpmzos25m8ivg.cloudfront.net/Documentos/631/13714807616/6311371480761610092023221124.pdf","https://dpmzos25m8ivg.cloudfront.net/Documentos/631/13714807616/6311371480761610092023221124.pdf")</f>
        <v>https://dpmzos25m8ivg.cloudfront.net/Documentos/631/13714807616/6311371480761610092023221124.pdf</v>
      </c>
      <c r="H5526" s="4" t="s">
        <v>14098</v>
      </c>
    </row>
    <row r="5527" spans="1:8" x14ac:dyDescent="0.25">
      <c r="A5527" s="2" t="s">
        <v>5555</v>
      </c>
      <c r="B5527" s="16" t="s">
        <v>2358</v>
      </c>
      <c r="C5527" s="3"/>
      <c r="D5527" s="3"/>
      <c r="E5527" s="5" t="str">
        <f>HYPERLINK("https://dpmzos25m8ivg.cloudfront.net/Documentos/631/13716757403/6311371675740306092023005237.pdf","https://dpmzos25m8ivg.cloudfront.net/Documentos/631/13716757403/6311371675740306092023005237.pdf")</f>
        <v>https://dpmzos25m8ivg.cloudfront.net/Documentos/631/13716757403/6311371675740306092023005237.pdf</v>
      </c>
      <c r="F5527" s="5" t="str">
        <f>HYPERLINK("https://dpmzos25m8ivg.cloudfront.net/Documentos/631/13716757403/6311371675740306092023005254.pdf","https://dpmzos25m8ivg.cloudfront.net/Documentos/631/13716757403/6311371675740306092023005254.pdf")</f>
        <v>https://dpmzos25m8ivg.cloudfront.net/Documentos/631/13716757403/6311371675740306092023005254.pdf</v>
      </c>
      <c r="G5527" s="5" t="str">
        <f>HYPERLINK("https://dpmzos25m8ivg.cloudfront.net/Documentos/631/13716757403/6311371675740306092023005306.pdf","https://dpmzos25m8ivg.cloudfront.net/Documentos/631/13716757403/6311371675740306092023005306.pdf")</f>
        <v>https://dpmzos25m8ivg.cloudfront.net/Documentos/631/13716757403/6311371675740306092023005306.pdf</v>
      </c>
      <c r="H5527" s="5" t="s">
        <v>14099</v>
      </c>
    </row>
    <row r="5528" spans="1:8" x14ac:dyDescent="0.25">
      <c r="A5528" s="2" t="s">
        <v>5556</v>
      </c>
      <c r="B5528" s="3"/>
      <c r="C5528" s="3"/>
      <c r="D5528" s="3"/>
      <c r="E5528" s="5" t="str">
        <f>HYPERLINK("https://dpmzos25m8ivg.cloudfront.net/Documentos/631/13721495624/6311372149562411092023135706.jpg","https://dpmzos25m8ivg.cloudfront.net/Documentos/631/13721495624/6311372149562411092023135706.jpg")</f>
        <v>https://dpmzos25m8ivg.cloudfront.net/Documentos/631/13721495624/6311372149562411092023135706.jpg</v>
      </c>
      <c r="F5528" s="5" t="str">
        <f>HYPERLINK("https://dpmzos25m8ivg.cloudfront.net/Documentos/631/13721495624/6311372149562411092023135803.jpg","https://dpmzos25m8ivg.cloudfront.net/Documentos/631/13721495624/6311372149562411092023135803.jpg")</f>
        <v>https://dpmzos25m8ivg.cloudfront.net/Documentos/631/13721495624/6311372149562411092023135803.jpg</v>
      </c>
      <c r="G5528" s="5" t="str">
        <f>HYPERLINK("https://dpmzos25m8ivg.cloudfront.net/Documentos/631/13721495624/6311372149562411092023135845.jpg","https://dpmzos25m8ivg.cloudfront.net/Documentos/631/13721495624/6311372149562411092023135845.jpg")</f>
        <v>https://dpmzos25m8ivg.cloudfront.net/Documentos/631/13721495624/6311372149562411092023135845.jpg</v>
      </c>
      <c r="H5528" s="4" t="s">
        <v>14100</v>
      </c>
    </row>
    <row r="5529" spans="1:8" x14ac:dyDescent="0.25">
      <c r="A5529" s="2" t="s">
        <v>5557</v>
      </c>
      <c r="B5529" s="3"/>
      <c r="C5529" s="3"/>
      <c r="D5529" s="3"/>
      <c r="E5529" s="5" t="str">
        <f>HYPERLINK("https://dpmzos25m8ivg.cloudfront.net/Documentos/631/13725855676/6311372585567607092023185349.pdf","https://dpmzos25m8ivg.cloudfront.net/Documentos/631/13725855676/6311372585567607092023185349.pdf")</f>
        <v>https://dpmzos25m8ivg.cloudfront.net/Documentos/631/13725855676/6311372585567607092023185349.pdf</v>
      </c>
      <c r="F5529" s="5" t="str">
        <f>HYPERLINK("https://dpmzos25m8ivg.cloudfront.net/Documentos/631/13725855676/6311372585567607092023185400.pdf","https://dpmzos25m8ivg.cloudfront.net/Documentos/631/13725855676/6311372585567607092023185400.pdf")</f>
        <v>https://dpmzos25m8ivg.cloudfront.net/Documentos/631/13725855676/6311372585567607092023185400.pdf</v>
      </c>
      <c r="G5529" s="5" t="str">
        <f>HYPERLINK("https://dpmzos25m8ivg.cloudfront.net/Documentos/631/13725855676/6311372585567607092023185415.pdf","https://dpmzos25m8ivg.cloudfront.net/Documentos/631/13725855676/6311372585567607092023185415.pdf")</f>
        <v>https://dpmzos25m8ivg.cloudfront.net/Documentos/631/13725855676/6311372585567607092023185415.pdf</v>
      </c>
      <c r="H5529" s="4" t="s">
        <v>14101</v>
      </c>
    </row>
    <row r="5530" spans="1:8" x14ac:dyDescent="0.25">
      <c r="A5530" s="2" t="s">
        <v>5558</v>
      </c>
      <c r="B5530" s="3"/>
      <c r="C5530" s="3"/>
      <c r="D5530" s="3"/>
      <c r="E5530" s="5" t="str">
        <f>HYPERLINK("https://dpmzos25m8ivg.cloudfront.net/Documentos/631/13727988703/6311372798870305092023131314.pdf","https://dpmzos25m8ivg.cloudfront.net/Documentos/631/13727988703/6311372798870305092023131314.pdf")</f>
        <v>https://dpmzos25m8ivg.cloudfront.net/Documentos/631/13727988703/6311372798870305092023131314.pdf</v>
      </c>
      <c r="F5530" s="5" t="str">
        <f>HYPERLINK("https://dpmzos25m8ivg.cloudfront.net/Documentos/631/13727988703/6311372798870305092023131326.pdf","https://dpmzos25m8ivg.cloudfront.net/Documentos/631/13727988703/6311372798870305092023131326.pdf")</f>
        <v>https://dpmzos25m8ivg.cloudfront.net/Documentos/631/13727988703/6311372798870305092023131326.pdf</v>
      </c>
      <c r="G5530" s="5" t="str">
        <f>HYPERLINK("https://dpmzos25m8ivg.cloudfront.net/Documentos/631/13727988703/6311372798870305092023131333.pdf","https://dpmzos25m8ivg.cloudfront.net/Documentos/631/13727988703/6311372798870305092023131333.pdf")</f>
        <v>https://dpmzos25m8ivg.cloudfront.net/Documentos/631/13727988703/6311372798870305092023131333.pdf</v>
      </c>
      <c r="H5530" s="4" t="s">
        <v>14102</v>
      </c>
    </row>
    <row r="5531" spans="1:8" x14ac:dyDescent="0.25">
      <c r="A5531" s="2" t="s">
        <v>5559</v>
      </c>
      <c r="B5531" s="3"/>
      <c r="C5531" s="3"/>
      <c r="D5531" s="3"/>
      <c r="E5531" s="5" t="str">
        <f>HYPERLINK("https://dpmzos25m8ivg.cloudfront.net/Documentos/631/13731806681/6311373180668114092023132923.pdf","https://dpmzos25m8ivg.cloudfront.net/Documentos/631/13731806681/6311373180668114092023132923.pdf")</f>
        <v>https://dpmzos25m8ivg.cloudfront.net/Documentos/631/13731806681/6311373180668114092023132923.pdf</v>
      </c>
      <c r="F5531" s="5" t="str">
        <f>HYPERLINK("https://dpmzos25m8ivg.cloudfront.net/Documentos/631/13731806681/6311373180668114092023132938.pdf","https://dpmzos25m8ivg.cloudfront.net/Documentos/631/13731806681/6311373180668114092023132938.pdf")</f>
        <v>https://dpmzos25m8ivg.cloudfront.net/Documentos/631/13731806681/6311373180668114092023132938.pdf</v>
      </c>
      <c r="G5531" s="5" t="str">
        <f>HYPERLINK("https://dpmzos25m8ivg.cloudfront.net/Documentos/631/13731806681/6311373180668114092023132948.pdf","https://dpmzos25m8ivg.cloudfront.net/Documentos/631/13731806681/6311373180668114092023132948.pdf")</f>
        <v>https://dpmzos25m8ivg.cloudfront.net/Documentos/631/13731806681/6311373180668114092023132948.pdf</v>
      </c>
      <c r="H5531" s="4" t="s">
        <v>14103</v>
      </c>
    </row>
    <row r="5532" spans="1:8" x14ac:dyDescent="0.25">
      <c r="A5532" s="2" t="s">
        <v>5560</v>
      </c>
      <c r="B5532" s="3"/>
      <c r="C5532" s="3"/>
      <c r="D5532" s="3"/>
      <c r="E5532" s="5" t="str">
        <f>HYPERLINK("https://dpmzos25m8ivg.cloudfront.net/Documentos/631/13736974744/6311373697474408092023214625.pdf","https://dpmzos25m8ivg.cloudfront.net/Documentos/631/13736974744/6311373697474408092023214625.pdf")</f>
        <v>https://dpmzos25m8ivg.cloudfront.net/Documentos/631/13736974744/6311373697474408092023214625.pdf</v>
      </c>
      <c r="F5532" s="5" t="str">
        <f>HYPERLINK("https://dpmzos25m8ivg.cloudfront.net/Documentos/631/13736974744/6311373697474408092023214610.pdf","https://dpmzos25m8ivg.cloudfront.net/Documentos/631/13736974744/6311373697474408092023214610.pdf")</f>
        <v>https://dpmzos25m8ivg.cloudfront.net/Documentos/631/13736974744/6311373697474408092023214610.pdf</v>
      </c>
      <c r="G5532" s="5" t="str">
        <f>HYPERLINK("https://dpmzos25m8ivg.cloudfront.net/Documentos/631/13736974744/6311373697474408092023214555.pdf","https://dpmzos25m8ivg.cloudfront.net/Documentos/631/13736974744/6311373697474408092023214555.pdf")</f>
        <v>https://dpmzos25m8ivg.cloudfront.net/Documentos/631/13736974744/6311373697474408092023214555.pdf</v>
      </c>
      <c r="H5532" s="4" t="s">
        <v>14104</v>
      </c>
    </row>
    <row r="5533" spans="1:8" x14ac:dyDescent="0.25">
      <c r="A5533" s="2" t="s">
        <v>5561</v>
      </c>
      <c r="B5533" s="3"/>
      <c r="C5533" s="3"/>
      <c r="D5533" s="3"/>
      <c r="E5533" s="5" t="str">
        <f>HYPERLINK("https://dpmzos25m8ivg.cloudfront.net/Documentos/631/13742522710/6311374252271006092023172234.pdf","https://dpmzos25m8ivg.cloudfront.net/Documentos/631/13742522710/6311374252271006092023172234.pdf")</f>
        <v>https://dpmzos25m8ivg.cloudfront.net/Documentos/631/13742522710/6311374252271006092023172234.pdf</v>
      </c>
      <c r="F5533" s="5" t="str">
        <f>HYPERLINK("https://dpmzos25m8ivg.cloudfront.net/Documentos/631/13742522710/6311374252271006092023172251.pdf","https://dpmzos25m8ivg.cloudfront.net/Documentos/631/13742522710/6311374252271006092023172251.pdf")</f>
        <v>https://dpmzos25m8ivg.cloudfront.net/Documentos/631/13742522710/6311374252271006092023172251.pdf</v>
      </c>
      <c r="G5533" s="5" t="str">
        <f>HYPERLINK("https://dpmzos25m8ivg.cloudfront.net/Documentos/631/13742522710/6311374252271006092023172304.pdf","https://dpmzos25m8ivg.cloudfront.net/Documentos/631/13742522710/6311374252271006092023172304.pdf")</f>
        <v>https://dpmzos25m8ivg.cloudfront.net/Documentos/631/13742522710/6311374252271006092023172304.pdf</v>
      </c>
      <c r="H5533" s="4" t="s">
        <v>14105</v>
      </c>
    </row>
    <row r="5534" spans="1:8" x14ac:dyDescent="0.25">
      <c r="A5534" s="2" t="s">
        <v>5562</v>
      </c>
      <c r="B5534" s="3"/>
      <c r="C5534" s="3"/>
      <c r="D5534" s="3"/>
      <c r="E5534" s="5" t="str">
        <f>HYPERLINK("https://dpmzos25m8ivg.cloudfront.net/Documentos/631/13746478707/6311374647870705092023114133.pdf","https://dpmzos25m8ivg.cloudfront.net/Documentos/631/13746478707/6311374647870705092023114133.pdf")</f>
        <v>https://dpmzos25m8ivg.cloudfront.net/Documentos/631/13746478707/6311374647870705092023114133.pdf</v>
      </c>
      <c r="F5534" s="5" t="str">
        <f>HYPERLINK("https://dpmzos25m8ivg.cloudfront.net/Documentos/631/13746478707/6311374647870705092023114142.pdf","https://dpmzos25m8ivg.cloudfront.net/Documentos/631/13746478707/6311374647870705092023114142.pdf")</f>
        <v>https://dpmzos25m8ivg.cloudfront.net/Documentos/631/13746478707/6311374647870705092023114142.pdf</v>
      </c>
      <c r="G5534" s="5" t="str">
        <f>HYPERLINK("https://dpmzos25m8ivg.cloudfront.net/Documentos/631/13746478707/6311374647870705092023114150.pdf","https://dpmzos25m8ivg.cloudfront.net/Documentos/631/13746478707/6311374647870705092023114150.pdf")</f>
        <v>https://dpmzos25m8ivg.cloudfront.net/Documentos/631/13746478707/6311374647870705092023114150.pdf</v>
      </c>
      <c r="H5534" s="4" t="s">
        <v>14106</v>
      </c>
    </row>
    <row r="5535" spans="1:8" x14ac:dyDescent="0.25">
      <c r="A5535" s="2" t="s">
        <v>5563</v>
      </c>
      <c r="B5535" s="3"/>
      <c r="C5535" s="3"/>
      <c r="D5535" s="3"/>
      <c r="E5535" s="5" t="str">
        <f>HYPERLINK("https://dpmzos25m8ivg.cloudfront.net/Documentos/631/13748240627/6311374824062710092023141818.pdf","https://dpmzos25m8ivg.cloudfront.net/Documentos/631/13748240627/6311374824062710092023141818.pdf")</f>
        <v>https://dpmzos25m8ivg.cloudfront.net/Documentos/631/13748240627/6311374824062710092023141818.pdf</v>
      </c>
      <c r="F5535" s="5" t="str">
        <f>HYPERLINK("https://dpmzos25m8ivg.cloudfront.net/Documentos/631/13748240627/6311374824062710092023141840.pdf","https://dpmzos25m8ivg.cloudfront.net/Documentos/631/13748240627/6311374824062710092023141840.pdf")</f>
        <v>https://dpmzos25m8ivg.cloudfront.net/Documentos/631/13748240627/6311374824062710092023141840.pdf</v>
      </c>
      <c r="G5535" s="5" t="str">
        <f>HYPERLINK("https://dpmzos25m8ivg.cloudfront.net/Documentos/631/13748240627/6311374824062710092023141858.pdf","https://dpmzos25m8ivg.cloudfront.net/Documentos/631/13748240627/6311374824062710092023141858.pdf")</f>
        <v>https://dpmzos25m8ivg.cloudfront.net/Documentos/631/13748240627/6311374824062710092023141858.pdf</v>
      </c>
      <c r="H5535" s="4" t="s">
        <v>14107</v>
      </c>
    </row>
    <row r="5536" spans="1:8" x14ac:dyDescent="0.25">
      <c r="A5536" s="2" t="s">
        <v>5564</v>
      </c>
      <c r="B5536" s="19" t="s">
        <v>3385</v>
      </c>
      <c r="C5536" s="3"/>
      <c r="D5536" s="3"/>
      <c r="E5536" s="5" t="str">
        <f>HYPERLINK("https://dpmzos25m8ivg.cloudfront.net/Documentos/631/13756158667/6311375615866705092023170821.pdf","https://dpmzos25m8ivg.cloudfront.net/Documentos/631/13756158667/6311375615866705092023170821.pdf")</f>
        <v>https://dpmzos25m8ivg.cloudfront.net/Documentos/631/13756158667/6311375615866705092023170821.pdf</v>
      </c>
      <c r="F5536" s="5" t="str">
        <f>HYPERLINK("https://dpmzos25m8ivg.cloudfront.net/Documentos/631/13756158667/6311375615866705092023170834.pdf","https://dpmzos25m8ivg.cloudfront.net/Documentos/631/13756158667/6311375615866705092023170834.pdf")</f>
        <v>https://dpmzos25m8ivg.cloudfront.net/Documentos/631/13756158667/6311375615866705092023170834.pdf</v>
      </c>
      <c r="G5536" s="5" t="str">
        <f>HYPERLINK("https://dpmzos25m8ivg.cloudfront.net/Documentos/631/13756158667/6311375615866705092023170846.pdf","https://dpmzos25m8ivg.cloudfront.net/Documentos/631/13756158667/6311375615866705092023170846.pdf")</f>
        <v>https://dpmzos25m8ivg.cloudfront.net/Documentos/631/13756158667/6311375615866705092023170846.pdf</v>
      </c>
      <c r="H5536" s="4" t="s">
        <v>14108</v>
      </c>
    </row>
    <row r="5537" spans="1:8" x14ac:dyDescent="0.25">
      <c r="A5537" s="2" t="s">
        <v>5565</v>
      </c>
      <c r="B5537" s="3"/>
      <c r="C5537" s="3"/>
      <c r="D5537" s="3"/>
      <c r="E5537" s="5" t="str">
        <f>HYPERLINK("https://dpmzos25m8ivg.cloudfront.net/Documentos/631/13767427486/6311376742748611092023144823.jpeg","https://dpmzos25m8ivg.cloudfront.net/Documentos/631/13767427486/6311376742748611092023144823.jpeg")</f>
        <v>https://dpmzos25m8ivg.cloudfront.net/Documentos/631/13767427486/6311376742748611092023144823.jpeg</v>
      </c>
      <c r="F5537" s="5" t="str">
        <f>HYPERLINK("https://dpmzos25m8ivg.cloudfront.net/Documentos/631/13767427486/6311376742748611092023144833.jpeg","https://dpmzos25m8ivg.cloudfront.net/Documentos/631/13767427486/6311376742748611092023144833.jpeg")</f>
        <v>https://dpmzos25m8ivg.cloudfront.net/Documentos/631/13767427486/6311376742748611092023144833.jpeg</v>
      </c>
      <c r="G5537" s="5" t="str">
        <f>HYPERLINK("https://dpmzos25m8ivg.cloudfront.net/Documentos/631/13767427486/6311376742748611092023144845.jpeg","https://dpmzos25m8ivg.cloudfront.net/Documentos/631/13767427486/6311376742748611092023144845.jpeg")</f>
        <v>https://dpmzos25m8ivg.cloudfront.net/Documentos/631/13767427486/6311376742748611092023144845.jpeg</v>
      </c>
      <c r="H5537" s="4" t="s">
        <v>14109</v>
      </c>
    </row>
    <row r="5538" spans="1:8" x14ac:dyDescent="0.25">
      <c r="A5538" s="2" t="s">
        <v>5566</v>
      </c>
      <c r="B5538" s="3"/>
      <c r="C5538" s="3"/>
      <c r="D5538" s="3"/>
      <c r="E5538" s="5" t="str">
        <f>HYPERLINK("https://dpmzos25m8ivg.cloudfront.net/Documentos/631/13770798724/6311377079872408092023190119.jpeg","https://dpmzos25m8ivg.cloudfront.net/Documentos/631/13770798724/6311377079872408092023190119.jpeg")</f>
        <v>https://dpmzos25m8ivg.cloudfront.net/Documentos/631/13770798724/6311377079872408092023190119.jpeg</v>
      </c>
      <c r="F5538" s="5" t="str">
        <f>HYPERLINK("https://dpmzos25m8ivg.cloudfront.net/Documentos/631/13770798724/6311377079872408092023190049.jpeg","https://dpmzos25m8ivg.cloudfront.net/Documentos/631/13770798724/6311377079872408092023190049.jpeg")</f>
        <v>https://dpmzos25m8ivg.cloudfront.net/Documentos/631/13770798724/6311377079872408092023190049.jpeg</v>
      </c>
      <c r="G5538" s="5" t="str">
        <f>HYPERLINK("https://dpmzos25m8ivg.cloudfront.net/Documentos/631/13770798724/6311377079872408092023190028.jpeg","https://dpmzos25m8ivg.cloudfront.net/Documentos/631/13770798724/6311377079872408092023190028.jpeg")</f>
        <v>https://dpmzos25m8ivg.cloudfront.net/Documentos/631/13770798724/6311377079872408092023190028.jpeg</v>
      </c>
      <c r="H5538" s="4" t="s">
        <v>14110</v>
      </c>
    </row>
    <row r="5539" spans="1:8" x14ac:dyDescent="0.25">
      <c r="A5539" s="2" t="s">
        <v>5567</v>
      </c>
      <c r="B5539" s="16" t="s">
        <v>2358</v>
      </c>
      <c r="C5539" s="3"/>
      <c r="D5539" s="3"/>
      <c r="E5539" s="5" t="str">
        <f>HYPERLINK("https://dpmzos25m8ivg.cloudfront.net/Documentos/631/13774068658/6311377406865811092023153204.jpeg","https://dpmzos25m8ivg.cloudfront.net/Documentos/631/13774068658/6311377406865811092023153204.jpeg")</f>
        <v>https://dpmzos25m8ivg.cloudfront.net/Documentos/631/13774068658/6311377406865811092023153204.jpeg</v>
      </c>
      <c r="F5539" s="5" t="str">
        <f>HYPERLINK("https://dpmzos25m8ivg.cloudfront.net/Documentos/631/13774068658/6311377406865811092023153217.jpeg","https://dpmzos25m8ivg.cloudfront.net/Documentos/631/13774068658/6311377406865811092023153217.jpeg")</f>
        <v>https://dpmzos25m8ivg.cloudfront.net/Documentos/631/13774068658/6311377406865811092023153217.jpeg</v>
      </c>
      <c r="G5539" s="5" t="str">
        <f>HYPERLINK("https://dpmzos25m8ivg.cloudfront.net/Documentos/631/13774068658/6311377406865811092023153227.jpeg","https://dpmzos25m8ivg.cloudfront.net/Documentos/631/13774068658/6311377406865811092023153227.jpeg")</f>
        <v>https://dpmzos25m8ivg.cloudfront.net/Documentos/631/13774068658/6311377406865811092023153227.jpeg</v>
      </c>
      <c r="H5539" s="5" t="s">
        <v>14111</v>
      </c>
    </row>
    <row r="5540" spans="1:8" x14ac:dyDescent="0.25">
      <c r="A5540" s="2" t="s">
        <v>5568</v>
      </c>
      <c r="B5540" s="3"/>
      <c r="C5540" s="3"/>
      <c r="D5540" s="3"/>
      <c r="E5540" s="5" t="str">
        <f>HYPERLINK("https://dpmzos25m8ivg.cloudfront.net/Documentos/631/13782736729/6311378273672914092023132401.pdf","https://dpmzos25m8ivg.cloudfront.net/Documentos/631/13782736729/6311378273672914092023132401.pdf")</f>
        <v>https://dpmzos25m8ivg.cloudfront.net/Documentos/631/13782736729/6311378273672914092023132401.pdf</v>
      </c>
      <c r="F5540" s="5" t="str">
        <f>HYPERLINK("https://dpmzos25m8ivg.cloudfront.net/Documentos/631/13782736729/6311378273672914092023132424.pdf","https://dpmzos25m8ivg.cloudfront.net/Documentos/631/13782736729/6311378273672914092023132424.pdf")</f>
        <v>https://dpmzos25m8ivg.cloudfront.net/Documentos/631/13782736729/6311378273672914092023132424.pdf</v>
      </c>
      <c r="G5540" s="5" t="str">
        <f>HYPERLINK("https://dpmzos25m8ivg.cloudfront.net/Documentos/631/13782736729/6311378273672914092023132557.pdf","https://dpmzos25m8ivg.cloudfront.net/Documentos/631/13782736729/6311378273672914092023132557.pdf")</f>
        <v>https://dpmzos25m8ivg.cloudfront.net/Documentos/631/13782736729/6311378273672914092023132557.pdf</v>
      </c>
      <c r="H5540" s="4" t="s">
        <v>14112</v>
      </c>
    </row>
    <row r="5541" spans="1:8" x14ac:dyDescent="0.25">
      <c r="A5541" s="2" t="s">
        <v>5569</v>
      </c>
      <c r="B5541" s="3"/>
      <c r="C5541" s="3"/>
      <c r="D5541" s="3"/>
      <c r="E5541" s="5" t="str">
        <f>HYPERLINK("https://dpmzos25m8ivg.cloudfront.net/Documentos/631/13783396735/6311378339673511092023163522.pdf","https://dpmzos25m8ivg.cloudfront.net/Documentos/631/13783396735/6311378339673511092023163522.pdf")</f>
        <v>https://dpmzos25m8ivg.cloudfront.net/Documentos/631/13783396735/6311378339673511092023163522.pdf</v>
      </c>
      <c r="F5541" s="5" t="str">
        <f>HYPERLINK("https://dpmzos25m8ivg.cloudfront.net/Documentos/631/13783396735/6311378339673511092023163534.pdf","https://dpmzos25m8ivg.cloudfront.net/Documentos/631/13783396735/6311378339673511092023163534.pdf")</f>
        <v>https://dpmzos25m8ivg.cloudfront.net/Documentos/631/13783396735/6311378339673511092023163534.pdf</v>
      </c>
      <c r="G5541" s="5" t="str">
        <f>HYPERLINK("https://dpmzos25m8ivg.cloudfront.net/Documentos/631/13783396735/6311378339673511092023163549.pdf","https://dpmzos25m8ivg.cloudfront.net/Documentos/631/13783396735/6311378339673511092023163549.pdf")</f>
        <v>https://dpmzos25m8ivg.cloudfront.net/Documentos/631/13783396735/6311378339673511092023163549.pdf</v>
      </c>
      <c r="H5541" s="4" t="s">
        <v>14113</v>
      </c>
    </row>
    <row r="5542" spans="1:8" x14ac:dyDescent="0.25">
      <c r="A5542" s="2" t="s">
        <v>5570</v>
      </c>
      <c r="B5542" s="3"/>
      <c r="C5542" s="3"/>
      <c r="D5542" s="3"/>
      <c r="E5542" s="5" t="str">
        <f>HYPERLINK("https://dpmzos25m8ivg.cloudfront.net/Documentos/631/13795631432/6311379563143211092023025756.pdf","https://dpmzos25m8ivg.cloudfront.net/Documentos/631/13795631432/6311379563143211092023025756.pdf")</f>
        <v>https://dpmzos25m8ivg.cloudfront.net/Documentos/631/13795631432/6311379563143211092023025756.pdf</v>
      </c>
      <c r="F5542" s="5" t="str">
        <f>HYPERLINK("https://dpmzos25m8ivg.cloudfront.net/Documentos/631/13795631432/6311379563143211092023030158.pdf","https://dpmzos25m8ivg.cloudfront.net/Documentos/631/13795631432/6311379563143211092023030158.pdf")</f>
        <v>https://dpmzos25m8ivg.cloudfront.net/Documentos/631/13795631432/6311379563143211092023030158.pdf</v>
      </c>
      <c r="G5542" s="5" t="str">
        <f>HYPERLINK("https://dpmzos25m8ivg.cloudfront.net/Documentos/631/13795631432/6311379563143211092023030209.pdf","https://dpmzos25m8ivg.cloudfront.net/Documentos/631/13795631432/6311379563143211092023030209.pdf")</f>
        <v>https://dpmzos25m8ivg.cloudfront.net/Documentos/631/13795631432/6311379563143211092023030209.pdf</v>
      </c>
      <c r="H5542" s="4" t="s">
        <v>14114</v>
      </c>
    </row>
    <row r="5543" spans="1:8" x14ac:dyDescent="0.25">
      <c r="A5543" s="2" t="s">
        <v>5571</v>
      </c>
      <c r="B5543" s="3"/>
      <c r="C5543" s="3"/>
      <c r="D5543" s="3"/>
      <c r="E5543" s="5" t="str">
        <f>HYPERLINK("https://dpmzos25m8ivg.cloudfront.net/Documentos/631/13797861699/6311379786169910092023164207.jpg","https://dpmzos25m8ivg.cloudfront.net/Documentos/631/13797861699/6311379786169910092023164207.jpg")</f>
        <v>https://dpmzos25m8ivg.cloudfront.net/Documentos/631/13797861699/6311379786169910092023164207.jpg</v>
      </c>
      <c r="F5543" s="5" t="str">
        <f>HYPERLINK("https://dpmzos25m8ivg.cloudfront.net/Documentos/631/13797861699/6311379786169910092023164153.jpg","https://dpmzos25m8ivg.cloudfront.net/Documentos/631/13797861699/6311379786169910092023164153.jpg")</f>
        <v>https://dpmzos25m8ivg.cloudfront.net/Documentos/631/13797861699/6311379786169910092023164153.jpg</v>
      </c>
      <c r="G5543" s="5" t="str">
        <f>HYPERLINK("https://dpmzos25m8ivg.cloudfront.net/Documentos/631/13797861699/6311379786169910092023164115.jpg","https://dpmzos25m8ivg.cloudfront.net/Documentos/631/13797861699/6311379786169910092023164115.jpg")</f>
        <v>https://dpmzos25m8ivg.cloudfront.net/Documentos/631/13797861699/6311379786169910092023164115.jpg</v>
      </c>
      <c r="H5543" s="4" t="s">
        <v>14115</v>
      </c>
    </row>
    <row r="5544" spans="1:8" x14ac:dyDescent="0.25">
      <c r="A5544" s="2" t="s">
        <v>5572</v>
      </c>
      <c r="B5544" s="3"/>
      <c r="C5544" s="3"/>
      <c r="D5544" s="3"/>
      <c r="E5544" s="5" t="str">
        <f>HYPERLINK("https://dpmzos25m8ivg.cloudfront.net/Documentos/631/13804896600/6311380489660005092023103234.pdf","https://dpmzos25m8ivg.cloudfront.net/Documentos/631/13804896600/6311380489660005092023103234.pdf")</f>
        <v>https://dpmzos25m8ivg.cloudfront.net/Documentos/631/13804896600/6311380489660005092023103234.pdf</v>
      </c>
      <c r="F5544" s="5" t="str">
        <f>HYPERLINK("https://dpmzos25m8ivg.cloudfront.net/Documentos/631/13804896600/6311380489660005092023103241.pdf","https://dpmzos25m8ivg.cloudfront.net/Documentos/631/13804896600/6311380489660005092023103241.pdf")</f>
        <v>https://dpmzos25m8ivg.cloudfront.net/Documentos/631/13804896600/6311380489660005092023103241.pdf</v>
      </c>
      <c r="G5544" s="5" t="str">
        <f>HYPERLINK("https://dpmzos25m8ivg.cloudfront.net/Documentos/631/13804896600/6311380489660005092023103249.pdf","https://dpmzos25m8ivg.cloudfront.net/Documentos/631/13804896600/6311380489660005092023103249.pdf")</f>
        <v>https://dpmzos25m8ivg.cloudfront.net/Documentos/631/13804896600/6311380489660005092023103249.pdf</v>
      </c>
      <c r="H5544" s="4" t="s">
        <v>14116</v>
      </c>
    </row>
    <row r="5545" spans="1:8" x14ac:dyDescent="0.25">
      <c r="A5545" s="2" t="s">
        <v>5573</v>
      </c>
      <c r="B5545" s="3" t="s">
        <v>308</v>
      </c>
      <c r="C5545" s="3"/>
      <c r="D5545" s="3"/>
      <c r="E5545" s="5" t="str">
        <f>HYPERLINK("https://dpmzos25m8ivg.cloudfront.net/Documentos/631/13808268700/6311380826870011092023142210.jpeg","https://dpmzos25m8ivg.cloudfront.net/Documentos/631/13808268700/6311380826870011092023142210.jpeg")</f>
        <v>https://dpmzos25m8ivg.cloudfront.net/Documentos/631/13808268700/6311380826870011092023142210.jpeg</v>
      </c>
      <c r="F5545" s="5" t="str">
        <f>HYPERLINK("https://dpmzos25m8ivg.cloudfront.net/Documentos/631/13808268700/6311380826870011092023142243.jpeg","https://dpmzos25m8ivg.cloudfront.net/Documentos/631/13808268700/6311380826870011092023142243.jpeg")</f>
        <v>https://dpmzos25m8ivg.cloudfront.net/Documentos/631/13808268700/6311380826870011092023142243.jpeg</v>
      </c>
      <c r="G5545" s="5" t="str">
        <f>HYPERLINK("https://dpmzos25m8ivg.cloudfront.net/Documentos/631/13808268700/6311380826870011092023142255.jpeg","https://dpmzos25m8ivg.cloudfront.net/Documentos/631/13808268700/6311380826870011092023142255.jpeg")</f>
        <v>https://dpmzos25m8ivg.cloudfront.net/Documentos/631/13808268700/6311380826870011092023142255.jpeg</v>
      </c>
      <c r="H5545" s="4" t="s">
        <v>14117</v>
      </c>
    </row>
    <row r="5546" spans="1:8" x14ac:dyDescent="0.25">
      <c r="A5546" s="2" t="s">
        <v>5574</v>
      </c>
      <c r="B5546" s="16" t="s">
        <v>2358</v>
      </c>
      <c r="C5546" s="3"/>
      <c r="D5546" s="3"/>
      <c r="E5546" s="5" t="str">
        <f>HYPERLINK("https://dpmzos25m8ivg.cloudfront.net/Documentos/631/13808576430/6311380857643008092023141814.pdf","https://dpmzos25m8ivg.cloudfront.net/Documentos/631/13808576430/6311380857643008092023141814.pdf")</f>
        <v>https://dpmzos25m8ivg.cloudfront.net/Documentos/631/13808576430/6311380857643008092023141814.pdf</v>
      </c>
      <c r="F5546" s="5" t="str">
        <f>HYPERLINK("https://dpmzos25m8ivg.cloudfront.net/Documentos/631/13808576430/6311380857643008092023141831.pdf","https://dpmzos25m8ivg.cloudfront.net/Documentos/631/13808576430/6311380857643008092023141831.pdf")</f>
        <v>https://dpmzos25m8ivg.cloudfront.net/Documentos/631/13808576430/6311380857643008092023141831.pdf</v>
      </c>
      <c r="G5546" s="5" t="str">
        <f>HYPERLINK("https://dpmzos25m8ivg.cloudfront.net/Documentos/631/13808576430/6311380857643008092023141857.pdf","https://dpmzos25m8ivg.cloudfront.net/Documentos/631/13808576430/6311380857643008092023141857.pdf")</f>
        <v>https://dpmzos25m8ivg.cloudfront.net/Documentos/631/13808576430/6311380857643008092023141857.pdf</v>
      </c>
      <c r="H5546" s="5" t="s">
        <v>14118</v>
      </c>
    </row>
    <row r="5547" spans="1:8" x14ac:dyDescent="0.25">
      <c r="A5547" s="2" t="s">
        <v>5575</v>
      </c>
      <c r="B5547" s="3"/>
      <c r="C5547" s="3"/>
      <c r="D5547" s="3"/>
      <c r="E5547" s="5" t="str">
        <f>HYPERLINK("https://dpmzos25m8ivg.cloudfront.net/Documentos/631/13816692478/6311381669247807092023212445.pdf","https://dpmzos25m8ivg.cloudfront.net/Documentos/631/13816692478/6311381669247807092023212445.pdf")</f>
        <v>https://dpmzos25m8ivg.cloudfront.net/Documentos/631/13816692478/6311381669247807092023212445.pdf</v>
      </c>
      <c r="F5547" s="5" t="str">
        <f>HYPERLINK("https://dpmzos25m8ivg.cloudfront.net/Documentos/631/13816692478/6311381669247807092023212511.pdf","https://dpmzos25m8ivg.cloudfront.net/Documentos/631/13816692478/6311381669247807092023212511.pdf")</f>
        <v>https://dpmzos25m8ivg.cloudfront.net/Documentos/631/13816692478/6311381669247807092023212511.pdf</v>
      </c>
      <c r="G5547" s="5" t="str">
        <f>HYPERLINK("https://dpmzos25m8ivg.cloudfront.net/Documentos/631/13816692478/6311381669247807092023212541.pdf","https://dpmzos25m8ivg.cloudfront.net/Documentos/631/13816692478/6311381669247807092023212541.pdf")</f>
        <v>https://dpmzos25m8ivg.cloudfront.net/Documentos/631/13816692478/6311381669247807092023212541.pdf</v>
      </c>
      <c r="H5547" s="4" t="s">
        <v>14119</v>
      </c>
    </row>
    <row r="5548" spans="1:8" x14ac:dyDescent="0.25">
      <c r="A5548" s="2" t="s">
        <v>5576</v>
      </c>
      <c r="B5548" s="3"/>
      <c r="C5548" s="3"/>
      <c r="D5548" s="3"/>
      <c r="E5548" s="5" t="str">
        <f>HYPERLINK("https://dpmzos25m8ivg.cloudfront.net/Documentos/631/13820240454/6311382024045406092023225351.pdf","https://dpmzos25m8ivg.cloudfront.net/Documentos/631/13820240454/6311382024045406092023225351.pdf")</f>
        <v>https://dpmzos25m8ivg.cloudfront.net/Documentos/631/13820240454/6311382024045406092023225351.pdf</v>
      </c>
      <c r="F5548" s="5" t="str">
        <f>HYPERLINK("https://dpmzos25m8ivg.cloudfront.net/Documentos/631/13820240454/6311382024045406092023225404.pdf","https://dpmzos25m8ivg.cloudfront.net/Documentos/631/13820240454/6311382024045406092023225404.pdf")</f>
        <v>https://dpmzos25m8ivg.cloudfront.net/Documentos/631/13820240454/6311382024045406092023225404.pdf</v>
      </c>
      <c r="G5548" s="5" t="str">
        <f>HYPERLINK("https://dpmzos25m8ivg.cloudfront.net/Documentos/631/13820240454/6311382024045406092023225420.pdf","https://dpmzos25m8ivg.cloudfront.net/Documentos/631/13820240454/6311382024045406092023225420.pdf")</f>
        <v>https://dpmzos25m8ivg.cloudfront.net/Documentos/631/13820240454/6311382024045406092023225420.pdf</v>
      </c>
      <c r="H5548" s="4" t="s">
        <v>14120</v>
      </c>
    </row>
    <row r="5549" spans="1:8" x14ac:dyDescent="0.25">
      <c r="A5549" s="2" t="s">
        <v>5577</v>
      </c>
      <c r="B5549" s="3"/>
      <c r="C5549" s="3"/>
      <c r="D5549" s="3"/>
      <c r="E5549" s="5" t="str">
        <f>HYPERLINK("https://dpmzos25m8ivg.cloudfront.net/Documentos/631/13825883728/6311382588372807092023084001.pdf","https://dpmzos25m8ivg.cloudfront.net/Documentos/631/13825883728/6311382588372807092023084001.pdf")</f>
        <v>https://dpmzos25m8ivg.cloudfront.net/Documentos/631/13825883728/6311382588372807092023084001.pdf</v>
      </c>
      <c r="F5549" s="5" t="str">
        <f>HYPERLINK("https://dpmzos25m8ivg.cloudfront.net/Documentos/631/13825883728/6311382588372807092023084008.pdf","https://dpmzos25m8ivg.cloudfront.net/Documentos/631/13825883728/6311382588372807092023084008.pdf")</f>
        <v>https://dpmzos25m8ivg.cloudfront.net/Documentos/631/13825883728/6311382588372807092023084008.pdf</v>
      </c>
      <c r="G5549" s="5" t="str">
        <f>HYPERLINK("https://dpmzos25m8ivg.cloudfront.net/Documentos/631/13825883728/6311382588372807092023084016.pdf","https://dpmzos25m8ivg.cloudfront.net/Documentos/631/13825883728/6311382588372807092023084016.pdf")</f>
        <v>https://dpmzos25m8ivg.cloudfront.net/Documentos/631/13825883728/6311382588372807092023084016.pdf</v>
      </c>
      <c r="H5549" s="4" t="s">
        <v>14121</v>
      </c>
    </row>
    <row r="5550" spans="1:8" x14ac:dyDescent="0.25">
      <c r="A5550" s="2" t="s">
        <v>5578</v>
      </c>
      <c r="B5550" s="3"/>
      <c r="C5550" s="3"/>
      <c r="D5550" s="3"/>
      <c r="E5550" s="5" t="str">
        <f>HYPERLINK("https://dpmzos25m8ivg.cloudfront.net/Documentos/631/13845629746/6311384562974611092023150021.jpeg","https://dpmzos25m8ivg.cloudfront.net/Documentos/631/13845629746/6311384562974611092023150021.jpeg")</f>
        <v>https://dpmzos25m8ivg.cloudfront.net/Documentos/631/13845629746/6311384562974611092023150021.jpeg</v>
      </c>
      <c r="F5550" s="5" t="str">
        <f>HYPERLINK("https://dpmzos25m8ivg.cloudfront.net/Documentos/631/13845629746/6311384562974611092023150050.jpeg","https://dpmzos25m8ivg.cloudfront.net/Documentos/631/13845629746/6311384562974611092023150050.jpeg")</f>
        <v>https://dpmzos25m8ivg.cloudfront.net/Documentos/631/13845629746/6311384562974611092023150050.jpeg</v>
      </c>
      <c r="G5550" s="5" t="str">
        <f>HYPERLINK("https://dpmzos25m8ivg.cloudfront.net/Documentos/631/13845629746/6311384562974611092023150108.jpeg","https://dpmzos25m8ivg.cloudfront.net/Documentos/631/13845629746/6311384562974611092023150108.jpeg")</f>
        <v>https://dpmzos25m8ivg.cloudfront.net/Documentos/631/13845629746/6311384562974611092023150108.jpeg</v>
      </c>
      <c r="H5550" s="4" t="s">
        <v>14122</v>
      </c>
    </row>
    <row r="5551" spans="1:8" x14ac:dyDescent="0.25">
      <c r="A5551" s="2" t="s">
        <v>5579</v>
      </c>
      <c r="B5551" s="3"/>
      <c r="C5551" s="3"/>
      <c r="D5551" s="3"/>
      <c r="E5551" s="5" t="str">
        <f>HYPERLINK("https://dpmzos25m8ivg.cloudfront.net/Documentos/631/13845634740/6311384563474011092023124345.jpeg","https://dpmzos25m8ivg.cloudfront.net/Documentos/631/13845634740/6311384563474011092023124345.jpeg")</f>
        <v>https://dpmzos25m8ivg.cloudfront.net/Documentos/631/13845634740/6311384563474011092023124345.jpeg</v>
      </c>
      <c r="F5551" s="5" t="str">
        <f>HYPERLINK("https://dpmzos25m8ivg.cloudfront.net/Documentos/631/13845634740/6311384563474011092023124441.jpeg","https://dpmzos25m8ivg.cloudfront.net/Documentos/631/13845634740/6311384563474011092023124441.jpeg")</f>
        <v>https://dpmzos25m8ivg.cloudfront.net/Documentos/631/13845634740/6311384563474011092023124441.jpeg</v>
      </c>
      <c r="G5551" s="5" t="str">
        <f>HYPERLINK("https://dpmzos25m8ivg.cloudfront.net/Documentos/631/13845634740/6311384563474011092023124517.jpeg","https://dpmzos25m8ivg.cloudfront.net/Documentos/631/13845634740/6311384563474011092023124517.jpeg")</f>
        <v>https://dpmzos25m8ivg.cloudfront.net/Documentos/631/13845634740/6311384563474011092023124517.jpeg</v>
      </c>
      <c r="H5551" s="4" t="s">
        <v>14123</v>
      </c>
    </row>
    <row r="5552" spans="1:8" x14ac:dyDescent="0.25">
      <c r="A5552" s="2" t="s">
        <v>5580</v>
      </c>
      <c r="B5552" s="3"/>
      <c r="C5552" s="3"/>
      <c r="D5552" s="3"/>
      <c r="E5552" s="5" t="str">
        <f>HYPERLINK("https://dpmzos25m8ivg.cloudfront.net/Documentos/631/13847950657/6311384795065711092023164601.jpg","https://dpmzos25m8ivg.cloudfront.net/Documentos/631/13847950657/6311384795065711092023164601.jpg")</f>
        <v>https://dpmzos25m8ivg.cloudfront.net/Documentos/631/13847950657/6311384795065711092023164601.jpg</v>
      </c>
      <c r="F5552" s="5" t="str">
        <f>HYPERLINK("https://dpmzos25m8ivg.cloudfront.net/Documentos/631/13847950657/6311384795065711092023164722.jpg","https://dpmzos25m8ivg.cloudfront.net/Documentos/631/13847950657/6311384795065711092023164722.jpg")</f>
        <v>https://dpmzos25m8ivg.cloudfront.net/Documentos/631/13847950657/6311384795065711092023164722.jpg</v>
      </c>
      <c r="G5552" s="5" t="str">
        <f>HYPERLINK("https://dpmzos25m8ivg.cloudfront.net/Documentos/631/13847950657/6311384795065711092023164736.jpg","https://dpmzos25m8ivg.cloudfront.net/Documentos/631/13847950657/6311384795065711092023164736.jpg")</f>
        <v>https://dpmzos25m8ivg.cloudfront.net/Documentos/631/13847950657/6311384795065711092023164736.jpg</v>
      </c>
      <c r="H5552" s="4" t="s">
        <v>14124</v>
      </c>
    </row>
    <row r="5553" spans="1:8" x14ac:dyDescent="0.25">
      <c r="A5553" s="2" t="s">
        <v>5581</v>
      </c>
      <c r="B5553" s="16" t="s">
        <v>2358</v>
      </c>
      <c r="C5553" s="3"/>
      <c r="D5553" s="3"/>
      <c r="E5553" s="5" t="str">
        <f>HYPERLINK("https://dpmzos25m8ivg.cloudfront.net/Documentos/631/13852565677/6311385256567711092023154305.jpg","https://dpmzos25m8ivg.cloudfront.net/Documentos/631/13852565677/6311385256567711092023154305.jpg")</f>
        <v>https://dpmzos25m8ivg.cloudfront.net/Documentos/631/13852565677/6311385256567711092023154305.jpg</v>
      </c>
      <c r="F5553" s="5" t="str">
        <f>HYPERLINK("https://dpmzos25m8ivg.cloudfront.net/Documentos/631/13852565677/6311385256567711092023154327.jpg","https://dpmzos25m8ivg.cloudfront.net/Documentos/631/13852565677/6311385256567711092023154327.jpg")</f>
        <v>https://dpmzos25m8ivg.cloudfront.net/Documentos/631/13852565677/6311385256567711092023154327.jpg</v>
      </c>
      <c r="G5553" s="5" t="str">
        <f>HYPERLINK("https://dpmzos25m8ivg.cloudfront.net/Documentos/631/13852565677/6311385256567711092023154347.jpg","https://dpmzos25m8ivg.cloudfront.net/Documentos/631/13852565677/6311385256567711092023154347.jpg")</f>
        <v>https://dpmzos25m8ivg.cloudfront.net/Documentos/631/13852565677/6311385256567711092023154347.jpg</v>
      </c>
      <c r="H5553" s="5" t="s">
        <v>14125</v>
      </c>
    </row>
    <row r="5554" spans="1:8" x14ac:dyDescent="0.25">
      <c r="A5554" s="2" t="s">
        <v>5582</v>
      </c>
      <c r="B5554" s="3"/>
      <c r="C5554" s="3"/>
      <c r="D5554" s="3"/>
      <c r="E5554" s="5" t="str">
        <f>HYPERLINK("https://dpmzos25m8ivg.cloudfront.net/Documentos/631/13868532757/6311386853275709092023154912.jpg","https://dpmzos25m8ivg.cloudfront.net/Documentos/631/13868532757/6311386853275709092023154912.jpg")</f>
        <v>https://dpmzos25m8ivg.cloudfront.net/Documentos/631/13868532757/6311386853275709092023154912.jpg</v>
      </c>
      <c r="F5554" s="5" t="str">
        <f>HYPERLINK("https://dpmzos25m8ivg.cloudfront.net/Documentos/631/13868532757/6311386853275709092023154923.jpg","https://dpmzos25m8ivg.cloudfront.net/Documentos/631/13868532757/6311386853275709092023154923.jpg")</f>
        <v>https://dpmzos25m8ivg.cloudfront.net/Documentos/631/13868532757/6311386853275709092023154923.jpg</v>
      </c>
      <c r="G5554" s="5" t="str">
        <f>HYPERLINK("https://dpmzos25m8ivg.cloudfront.net/Documentos/631/13868532757/6311386853275709092023154943.jpg","https://dpmzos25m8ivg.cloudfront.net/Documentos/631/13868532757/6311386853275709092023154943.jpg")</f>
        <v>https://dpmzos25m8ivg.cloudfront.net/Documentos/631/13868532757/6311386853275709092023154943.jpg</v>
      </c>
      <c r="H5554" s="4" t="s">
        <v>14126</v>
      </c>
    </row>
    <row r="5555" spans="1:8" x14ac:dyDescent="0.25">
      <c r="A5555" s="2" t="s">
        <v>5583</v>
      </c>
      <c r="B5555" s="16" t="s">
        <v>2358</v>
      </c>
      <c r="C5555" s="3"/>
      <c r="D5555" s="3"/>
      <c r="E5555" s="5" t="str">
        <f>HYPERLINK("https://dpmzos25m8ivg.cloudfront.net/Documentos/631/13874490602/6311387449060205092023221352.pdf","https://dpmzos25m8ivg.cloudfront.net/Documentos/631/13874490602/6311387449060205092023221352.pdf")</f>
        <v>https://dpmzos25m8ivg.cloudfront.net/Documentos/631/13874490602/6311387449060205092023221352.pdf</v>
      </c>
      <c r="F5555" s="5" t="str">
        <f>HYPERLINK("https://dpmzos25m8ivg.cloudfront.net/Documentos/631/13874490602/6311387449060205092023221414.pdf","https://dpmzos25m8ivg.cloudfront.net/Documentos/631/13874490602/6311387449060205092023221414.pdf")</f>
        <v>https://dpmzos25m8ivg.cloudfront.net/Documentos/631/13874490602/6311387449060205092023221414.pdf</v>
      </c>
      <c r="G5555" s="5" t="str">
        <f>HYPERLINK("https://dpmzos25m8ivg.cloudfront.net/Documentos/631/13874490602/6311387449060205092023221436.pdf","https://dpmzos25m8ivg.cloudfront.net/Documentos/631/13874490602/6311387449060205092023221436.pdf")</f>
        <v>https://dpmzos25m8ivg.cloudfront.net/Documentos/631/13874490602/6311387449060205092023221436.pdf</v>
      </c>
      <c r="H5555" s="5" t="s">
        <v>14127</v>
      </c>
    </row>
    <row r="5556" spans="1:8" x14ac:dyDescent="0.25">
      <c r="A5556" s="2" t="s">
        <v>5584</v>
      </c>
      <c r="B5556" s="3"/>
      <c r="C5556" s="3"/>
      <c r="D5556" s="3"/>
      <c r="E5556" s="5" t="str">
        <f>HYPERLINK("https://dpmzos25m8ivg.cloudfront.net/Documentos/631/13875055640/6311387505564010092023114529.pdf","https://dpmzos25m8ivg.cloudfront.net/Documentos/631/13875055640/6311387505564010092023114529.pdf")</f>
        <v>https://dpmzos25m8ivg.cloudfront.net/Documentos/631/13875055640/6311387505564010092023114529.pdf</v>
      </c>
      <c r="F5556" s="5" t="str">
        <f>HYPERLINK("https://dpmzos25m8ivg.cloudfront.net/Documentos/631/13875055640/6311387505564010092023114543.pdf","https://dpmzos25m8ivg.cloudfront.net/Documentos/631/13875055640/6311387505564010092023114543.pdf")</f>
        <v>https://dpmzos25m8ivg.cloudfront.net/Documentos/631/13875055640/6311387505564010092023114543.pdf</v>
      </c>
      <c r="G5556" s="5" t="str">
        <f>HYPERLINK("https://dpmzos25m8ivg.cloudfront.net/Documentos/631/13875055640/6311387505564010092023114606.pdf","https://dpmzos25m8ivg.cloudfront.net/Documentos/631/13875055640/6311387505564010092023114606.pdf")</f>
        <v>https://dpmzos25m8ivg.cloudfront.net/Documentos/631/13875055640/6311387505564010092023114606.pdf</v>
      </c>
      <c r="H5556" s="4" t="s">
        <v>14128</v>
      </c>
    </row>
    <row r="5557" spans="1:8" x14ac:dyDescent="0.25">
      <c r="A5557" s="2" t="s">
        <v>5585</v>
      </c>
      <c r="B5557" s="3"/>
      <c r="C5557" s="3"/>
      <c r="D5557" s="3"/>
      <c r="E5557" s="5" t="str">
        <f>HYPERLINK("https://dpmzos25m8ivg.cloudfront.net/Documentos/631/13883312681/6311388331268111092023122244.pdf","https://dpmzos25m8ivg.cloudfront.net/Documentos/631/13883312681/6311388331268111092023122244.pdf")</f>
        <v>https://dpmzos25m8ivg.cloudfront.net/Documentos/631/13883312681/6311388331268111092023122244.pdf</v>
      </c>
      <c r="F5557" s="5" t="str">
        <f>HYPERLINK("https://dpmzos25m8ivg.cloudfront.net/Documentos/631/13883312681/6311388331268111092023122251.pdf","https://dpmzos25m8ivg.cloudfront.net/Documentos/631/13883312681/6311388331268111092023122251.pdf")</f>
        <v>https://dpmzos25m8ivg.cloudfront.net/Documentos/631/13883312681/6311388331268111092023122251.pdf</v>
      </c>
      <c r="G5557" s="5" t="str">
        <f>HYPERLINK("https://dpmzos25m8ivg.cloudfront.net/Documentos/631/13883312681/6311388331268111092023122257.pdf","https://dpmzos25m8ivg.cloudfront.net/Documentos/631/13883312681/6311388331268111092023122257.pdf")</f>
        <v>https://dpmzos25m8ivg.cloudfront.net/Documentos/631/13883312681/6311388331268111092023122257.pdf</v>
      </c>
      <c r="H5557" s="4" t="s">
        <v>14129</v>
      </c>
    </row>
    <row r="5558" spans="1:8" x14ac:dyDescent="0.25">
      <c r="A5558" s="2" t="s">
        <v>5586</v>
      </c>
      <c r="B5558" s="3"/>
      <c r="C5558" s="3"/>
      <c r="D5558" s="3"/>
      <c r="E5558" s="5" t="str">
        <f>HYPERLINK("https://dpmzos25m8ivg.cloudfront.net/Documentos/631/13883915629/6311388391562906092023121954.pdf","https://dpmzos25m8ivg.cloudfront.net/Documentos/631/13883915629/6311388391562906092023121954.pdf")</f>
        <v>https://dpmzos25m8ivg.cloudfront.net/Documentos/631/13883915629/6311388391562906092023121954.pdf</v>
      </c>
      <c r="F5558" s="5" t="str">
        <f>HYPERLINK("https://dpmzos25m8ivg.cloudfront.net/Documentos/631/13883915629/6311388391562906092023122004.pdf","https://dpmzos25m8ivg.cloudfront.net/Documentos/631/13883915629/6311388391562906092023122004.pdf")</f>
        <v>https://dpmzos25m8ivg.cloudfront.net/Documentos/631/13883915629/6311388391562906092023122004.pdf</v>
      </c>
      <c r="G5558" s="5" t="str">
        <f>HYPERLINK("https://dpmzos25m8ivg.cloudfront.net/Documentos/631/13883915629/6311388391562906092023122029.pdf","https://dpmzos25m8ivg.cloudfront.net/Documentos/631/13883915629/6311388391562906092023122029.pdf")</f>
        <v>https://dpmzos25m8ivg.cloudfront.net/Documentos/631/13883915629/6311388391562906092023122029.pdf</v>
      </c>
      <c r="H5558" s="4" t="s">
        <v>14130</v>
      </c>
    </row>
    <row r="5559" spans="1:8" x14ac:dyDescent="0.25">
      <c r="A5559" s="2" t="s">
        <v>5587</v>
      </c>
      <c r="B5559" s="3"/>
      <c r="C5559" s="3"/>
      <c r="D5559" s="3"/>
      <c r="E5559" s="5" t="str">
        <f>HYPERLINK("https://dpmzos25m8ivg.cloudfront.net/Documentos/631/13890481442/6311389048144211092023144354.pdf","https://dpmzos25m8ivg.cloudfront.net/Documentos/631/13890481442/6311389048144211092023144354.pdf")</f>
        <v>https://dpmzos25m8ivg.cloudfront.net/Documentos/631/13890481442/6311389048144211092023144354.pdf</v>
      </c>
      <c r="F5559" s="5" t="str">
        <f>HYPERLINK("https://dpmzos25m8ivg.cloudfront.net/Documentos/631/13890481442/6311389048144211092023144414.pdf","https://dpmzos25m8ivg.cloudfront.net/Documentos/631/13890481442/6311389048144211092023144414.pdf")</f>
        <v>https://dpmzos25m8ivg.cloudfront.net/Documentos/631/13890481442/6311389048144211092023144414.pdf</v>
      </c>
      <c r="G5559" s="5" t="str">
        <f>HYPERLINK("https://dpmzos25m8ivg.cloudfront.net/Documentos/631/13890481442/6311389048144211092023144435.pdf","https://dpmzos25m8ivg.cloudfront.net/Documentos/631/13890481442/6311389048144211092023144435.pdf")</f>
        <v>https://dpmzos25m8ivg.cloudfront.net/Documentos/631/13890481442/6311389048144211092023144435.pdf</v>
      </c>
      <c r="H5559" s="4" t="s">
        <v>14131</v>
      </c>
    </row>
    <row r="5560" spans="1:8" x14ac:dyDescent="0.25">
      <c r="A5560" s="2" t="s">
        <v>5588</v>
      </c>
      <c r="B5560" s="3" t="s">
        <v>308</v>
      </c>
      <c r="C5560" s="3"/>
      <c r="D5560" s="3"/>
      <c r="E5560" s="5" t="str">
        <f>HYPERLINK("https://dpmzos25m8ivg.cloudfront.net/Documentos/631/13917483793/6311391748379308092023101902.pdf","https://dpmzos25m8ivg.cloudfront.net/Documentos/631/13917483793/6311391748379308092023101902.pdf")</f>
        <v>https://dpmzos25m8ivg.cloudfront.net/Documentos/631/13917483793/6311391748379308092023101902.pdf</v>
      </c>
      <c r="F5560" s="5" t="str">
        <f>HYPERLINK("https://dpmzos25m8ivg.cloudfront.net/Documentos/631/13917483793/6311391748379308092023101657.pdf","https://dpmzos25m8ivg.cloudfront.net/Documentos/631/13917483793/6311391748379308092023101657.pdf")</f>
        <v>https://dpmzos25m8ivg.cloudfront.net/Documentos/631/13917483793/6311391748379308092023101657.pdf</v>
      </c>
      <c r="G5560" s="5" t="str">
        <f>HYPERLINK("https://dpmzos25m8ivg.cloudfront.net/Documentos/631/13917483793/6311391748379308092023101448.pdf","https://dpmzos25m8ivg.cloudfront.net/Documentos/631/13917483793/6311391748379308092023101448.pdf")</f>
        <v>https://dpmzos25m8ivg.cloudfront.net/Documentos/631/13917483793/6311391748379308092023101448.pdf</v>
      </c>
      <c r="H5560" s="4" t="s">
        <v>14132</v>
      </c>
    </row>
    <row r="5561" spans="1:8" x14ac:dyDescent="0.25">
      <c r="A5561" s="2" t="s">
        <v>5589</v>
      </c>
      <c r="B5561" s="3"/>
      <c r="C5561" s="3"/>
      <c r="D5561" s="3"/>
      <c r="E5561" s="5" t="str">
        <f>HYPERLINK("https://dpmzos25m8ivg.cloudfront.net/Documentos/631/13919378644/6311391937864405092023121616.pdf","https://dpmzos25m8ivg.cloudfront.net/Documentos/631/13919378644/6311391937864405092023121616.pdf")</f>
        <v>https://dpmzos25m8ivg.cloudfront.net/Documentos/631/13919378644/6311391937864405092023121616.pdf</v>
      </c>
      <c r="F5561" s="5" t="str">
        <f>HYPERLINK("https://dpmzos25m8ivg.cloudfront.net/Documentos/631/13919378644/6311391937864405092023121623.pdf","https://dpmzos25m8ivg.cloudfront.net/Documentos/631/13919378644/6311391937864405092023121623.pdf")</f>
        <v>https://dpmzos25m8ivg.cloudfront.net/Documentos/631/13919378644/6311391937864405092023121623.pdf</v>
      </c>
      <c r="G5561" s="5" t="str">
        <f>HYPERLINK("https://dpmzos25m8ivg.cloudfront.net/Documentos/631/13919378644/6311391937864405092023121631.pdf","https://dpmzos25m8ivg.cloudfront.net/Documentos/631/13919378644/6311391937864405092023121631.pdf")</f>
        <v>https://dpmzos25m8ivg.cloudfront.net/Documentos/631/13919378644/6311391937864405092023121631.pdf</v>
      </c>
      <c r="H5561" s="4" t="s">
        <v>14133</v>
      </c>
    </row>
    <row r="5562" spans="1:8" x14ac:dyDescent="0.25">
      <c r="A5562" s="2" t="s">
        <v>5590</v>
      </c>
      <c r="B5562" s="3"/>
      <c r="C5562" s="3"/>
      <c r="D5562" s="3"/>
      <c r="E5562" s="5" t="str">
        <f>HYPERLINK("https://dpmzos25m8ivg.cloudfront.net/Documentos/631/13927610690/6311392761069011092023145948.pdf","https://dpmzos25m8ivg.cloudfront.net/Documentos/631/13927610690/6311392761069011092023145948.pdf")</f>
        <v>https://dpmzos25m8ivg.cloudfront.net/Documentos/631/13927610690/6311392761069011092023145948.pdf</v>
      </c>
      <c r="F5562" s="5" t="str">
        <f>HYPERLINK("https://dpmzos25m8ivg.cloudfront.net/Documentos/631/13927610690/6311392761069011092023145957.pdf","https://dpmzos25m8ivg.cloudfront.net/Documentos/631/13927610690/6311392761069011092023145957.pdf")</f>
        <v>https://dpmzos25m8ivg.cloudfront.net/Documentos/631/13927610690/6311392761069011092023145957.pdf</v>
      </c>
      <c r="G5562" s="5" t="str">
        <f>HYPERLINK("https://dpmzos25m8ivg.cloudfront.net/Documentos/631/13927610690/6311392761069011092023150009.pdf","https://dpmzos25m8ivg.cloudfront.net/Documentos/631/13927610690/6311392761069011092023150009.pdf")</f>
        <v>https://dpmzos25m8ivg.cloudfront.net/Documentos/631/13927610690/6311392761069011092023150009.pdf</v>
      </c>
      <c r="H5562" s="4" t="s">
        <v>14134</v>
      </c>
    </row>
    <row r="5563" spans="1:8" x14ac:dyDescent="0.25">
      <c r="A5563" s="2" t="s">
        <v>5591</v>
      </c>
      <c r="B5563" s="3"/>
      <c r="C5563" s="3"/>
      <c r="D5563" s="3"/>
      <c r="E5563" s="5" t="str">
        <f>HYPERLINK("https://dpmzos25m8ivg.cloudfront.net/Documentos/631/13930862689/6311393086268911092023134934.pdf","https://dpmzos25m8ivg.cloudfront.net/Documentos/631/13930862689/6311393086268911092023134934.pdf")</f>
        <v>https://dpmzos25m8ivg.cloudfront.net/Documentos/631/13930862689/6311393086268911092023134934.pdf</v>
      </c>
      <c r="F5563" s="5" t="str">
        <f>HYPERLINK("https://dpmzos25m8ivg.cloudfront.net/Documentos/631/13930862689/6311393086268911092023134942.pdf","https://dpmzos25m8ivg.cloudfront.net/Documentos/631/13930862689/6311393086268911092023134942.pdf")</f>
        <v>https://dpmzos25m8ivg.cloudfront.net/Documentos/631/13930862689/6311393086268911092023134942.pdf</v>
      </c>
      <c r="G5563" s="5" t="str">
        <f>HYPERLINK("https://dpmzos25m8ivg.cloudfront.net/Documentos/631/13930862689/6311393086268911092023134948.pdf","https://dpmzos25m8ivg.cloudfront.net/Documentos/631/13930862689/6311393086268911092023134948.pdf")</f>
        <v>https://dpmzos25m8ivg.cloudfront.net/Documentos/631/13930862689/6311393086268911092023134948.pdf</v>
      </c>
      <c r="H5563" s="4" t="s">
        <v>14135</v>
      </c>
    </row>
    <row r="5564" spans="1:8" x14ac:dyDescent="0.25">
      <c r="A5564" s="2" t="s">
        <v>5592</v>
      </c>
      <c r="B5564" s="3"/>
      <c r="C5564" s="3"/>
      <c r="D5564" s="3"/>
      <c r="E5564" s="5" t="str">
        <f>HYPERLINK("https://dpmzos25m8ivg.cloudfront.net/Documentos/631/13932291662/6311393229166211092023162422.jpg","https://dpmzos25m8ivg.cloudfront.net/Documentos/631/13932291662/6311393229166211092023162422.jpg")</f>
        <v>https://dpmzos25m8ivg.cloudfront.net/Documentos/631/13932291662/6311393229166211092023162422.jpg</v>
      </c>
      <c r="F5564" s="5" t="str">
        <f>HYPERLINK("https://dpmzos25m8ivg.cloudfront.net/Documentos/631/13932291662/6311393229166211092023162445.jpg","https://dpmzos25m8ivg.cloudfront.net/Documentos/631/13932291662/6311393229166211092023162445.jpg")</f>
        <v>https://dpmzos25m8ivg.cloudfront.net/Documentos/631/13932291662/6311393229166211092023162445.jpg</v>
      </c>
      <c r="G5564" s="5" t="str">
        <f>HYPERLINK("https://dpmzos25m8ivg.cloudfront.net/Documentos/631/13932291662/6311393229166211092023162550.jpg","https://dpmzos25m8ivg.cloudfront.net/Documentos/631/13932291662/6311393229166211092023162550.jpg")</f>
        <v>https://dpmzos25m8ivg.cloudfront.net/Documentos/631/13932291662/6311393229166211092023162550.jpg</v>
      </c>
      <c r="H5564" s="4" t="s">
        <v>14136</v>
      </c>
    </row>
    <row r="5565" spans="1:8" x14ac:dyDescent="0.25">
      <c r="A5565" s="2" t="s">
        <v>5593</v>
      </c>
      <c r="B5565" s="3"/>
      <c r="C5565" s="3"/>
      <c r="D5565" s="3"/>
      <c r="E5565" s="5" t="str">
        <f>HYPERLINK("https://dpmzos25m8ivg.cloudfront.net/Documentos/631/13941108638/6311394110863805092023173607.pdf","https://dpmzos25m8ivg.cloudfront.net/Documentos/631/13941108638/6311394110863805092023173607.pdf")</f>
        <v>https://dpmzos25m8ivg.cloudfront.net/Documentos/631/13941108638/6311394110863805092023173607.pdf</v>
      </c>
      <c r="F5565" s="5" t="str">
        <f>HYPERLINK("https://dpmzos25m8ivg.cloudfront.net/Documentos/631/13941108638/6311394110863805092023005541.pdf","https://dpmzos25m8ivg.cloudfront.net/Documentos/631/13941108638/6311394110863805092023005541.pdf")</f>
        <v>https://dpmzos25m8ivg.cloudfront.net/Documentos/631/13941108638/6311394110863805092023005541.pdf</v>
      </c>
      <c r="G5565" s="5" t="str">
        <f>HYPERLINK("https://dpmzos25m8ivg.cloudfront.net/Documentos/631/13941108638/6311394110863805092023003932.pdf","https://dpmzos25m8ivg.cloudfront.net/Documentos/631/13941108638/6311394110863805092023003932.pdf")</f>
        <v>https://dpmzos25m8ivg.cloudfront.net/Documentos/631/13941108638/6311394110863805092023003932.pdf</v>
      </c>
      <c r="H5565" s="4" t="s">
        <v>14137</v>
      </c>
    </row>
    <row r="5566" spans="1:8" x14ac:dyDescent="0.25">
      <c r="A5566" s="2" t="s">
        <v>5594</v>
      </c>
      <c r="B5566" s="3"/>
      <c r="C5566" s="3"/>
      <c r="D5566" s="3"/>
      <c r="E5566" s="5" t="str">
        <f>HYPERLINK("https://dpmzos25m8ivg.cloudfront.net/Documentos/631/13942500701/6311394250070111092023122445.pdf","https://dpmzos25m8ivg.cloudfront.net/Documentos/631/13942500701/6311394250070111092023122445.pdf")</f>
        <v>https://dpmzos25m8ivg.cloudfront.net/Documentos/631/13942500701/6311394250070111092023122445.pdf</v>
      </c>
      <c r="F5566" s="5" t="str">
        <f>HYPERLINK("https://dpmzos25m8ivg.cloudfront.net/Documentos/631/13942500701/6311394250070111092023122903.pdf","https://dpmzos25m8ivg.cloudfront.net/Documentos/631/13942500701/6311394250070111092023122903.pdf")</f>
        <v>https://dpmzos25m8ivg.cloudfront.net/Documentos/631/13942500701/6311394250070111092023122903.pdf</v>
      </c>
      <c r="G5566" s="5" t="str">
        <f>HYPERLINK("https://dpmzos25m8ivg.cloudfront.net/Documentos/631/13942500701/6311394250070111092023123255.pdf","https://dpmzos25m8ivg.cloudfront.net/Documentos/631/13942500701/6311394250070111092023123255.pdf")</f>
        <v>https://dpmzos25m8ivg.cloudfront.net/Documentos/631/13942500701/6311394250070111092023123255.pdf</v>
      </c>
      <c r="H5566" s="4" t="s">
        <v>14138</v>
      </c>
    </row>
    <row r="5567" spans="1:8" x14ac:dyDescent="0.25">
      <c r="A5567" s="2" t="s">
        <v>5595</v>
      </c>
      <c r="B5567" s="3"/>
      <c r="C5567" s="3"/>
      <c r="D5567" s="3"/>
      <c r="E5567" s="5" t="str">
        <f>HYPERLINK("https://dpmzos25m8ivg.cloudfront.net/Documentos/631/13942895617/6311394289561711092023151456.pdf","https://dpmzos25m8ivg.cloudfront.net/Documentos/631/13942895617/6311394289561711092023151456.pdf")</f>
        <v>https://dpmzos25m8ivg.cloudfront.net/Documentos/631/13942895617/6311394289561711092023151456.pdf</v>
      </c>
      <c r="F5567" s="5" t="str">
        <f>HYPERLINK("https://dpmzos25m8ivg.cloudfront.net/Documentos/631/13942895617/6311394289561711092023151505.pdf","https://dpmzos25m8ivg.cloudfront.net/Documentos/631/13942895617/6311394289561711092023151505.pdf")</f>
        <v>https://dpmzos25m8ivg.cloudfront.net/Documentos/631/13942895617/6311394289561711092023151505.pdf</v>
      </c>
      <c r="G5567" s="5" t="str">
        <f>HYPERLINK("https://dpmzos25m8ivg.cloudfront.net/Documentos/631/13942895617/6311394289561711092023151515.pdf","https://dpmzos25m8ivg.cloudfront.net/Documentos/631/13942895617/6311394289561711092023151515.pdf")</f>
        <v>https://dpmzos25m8ivg.cloudfront.net/Documentos/631/13942895617/6311394289561711092023151515.pdf</v>
      </c>
      <c r="H5567" s="4" t="s">
        <v>14139</v>
      </c>
    </row>
    <row r="5568" spans="1:8" x14ac:dyDescent="0.25">
      <c r="A5568" s="2" t="s">
        <v>5596</v>
      </c>
      <c r="B5568" s="16"/>
      <c r="C5568" s="3"/>
      <c r="D5568" s="3"/>
      <c r="E5568" s="5" t="str">
        <f>HYPERLINK("https://dpmzos25m8ivg.cloudfront.net/Documentos/631/13955873617/6311395587361711092023100246.pdf","https://dpmzos25m8ivg.cloudfront.net/Documentos/631/13955873617/6311395587361711092023100246.pdf")</f>
        <v>https://dpmzos25m8ivg.cloudfront.net/Documentos/631/13955873617/6311395587361711092023100246.pdf</v>
      </c>
      <c r="F5568" s="5" t="str">
        <f>HYPERLINK("https://dpmzos25m8ivg.cloudfront.net/Documentos/631/13955873617/6311395587361711092023100304.pdf","https://dpmzos25m8ivg.cloudfront.net/Documentos/631/13955873617/6311395587361711092023100304.pdf")</f>
        <v>https://dpmzos25m8ivg.cloudfront.net/Documentos/631/13955873617/6311395587361711092023100304.pdf</v>
      </c>
      <c r="G5568" s="5" t="str">
        <f>HYPERLINK("https://dpmzos25m8ivg.cloudfront.net/Documentos/631/13955873617/6311395587361711092023100326.pdf","https://dpmzos25m8ivg.cloudfront.net/Documentos/631/13955873617/6311395587361711092023100326.pdf")</f>
        <v>https://dpmzos25m8ivg.cloudfront.net/Documentos/631/13955873617/6311395587361711092023100326.pdf</v>
      </c>
      <c r="H5568" s="4" t="s">
        <v>14140</v>
      </c>
    </row>
    <row r="5569" spans="1:8" x14ac:dyDescent="0.25">
      <c r="A5569" s="2" t="s">
        <v>5597</v>
      </c>
      <c r="B5569" s="3"/>
      <c r="C5569" s="3"/>
      <c r="D5569" s="3"/>
      <c r="E5569" s="5" t="str">
        <f>HYPERLINK("https://dpmzos25m8ivg.cloudfront.net/Documentos/631/13965909606/6311396590960610092023234054.pdf","https://dpmzos25m8ivg.cloudfront.net/Documentos/631/13965909606/6311396590960610092023234054.pdf")</f>
        <v>https://dpmzos25m8ivg.cloudfront.net/Documentos/631/13965909606/6311396590960610092023234054.pdf</v>
      </c>
      <c r="F5569" s="5" t="str">
        <f>HYPERLINK("https://dpmzos25m8ivg.cloudfront.net/Documentos/631/13965909606/6311396590960610092023234103.pdf","https://dpmzos25m8ivg.cloudfront.net/Documentos/631/13965909606/6311396590960610092023234103.pdf")</f>
        <v>https://dpmzos25m8ivg.cloudfront.net/Documentos/631/13965909606/6311396590960610092023234103.pdf</v>
      </c>
      <c r="G5569" s="5" t="str">
        <f>HYPERLINK("https://dpmzos25m8ivg.cloudfront.net/Documentos/631/13965909606/6311396590960610092023234113.pdf","https://dpmzos25m8ivg.cloudfront.net/Documentos/631/13965909606/6311396590960610092023234113.pdf")</f>
        <v>https://dpmzos25m8ivg.cloudfront.net/Documentos/631/13965909606/6311396590960610092023234113.pdf</v>
      </c>
      <c r="H5569" s="4" t="s">
        <v>14141</v>
      </c>
    </row>
    <row r="5570" spans="1:8" x14ac:dyDescent="0.25">
      <c r="A5570" s="2" t="s">
        <v>5598</v>
      </c>
      <c r="B5570" s="16" t="s">
        <v>2358</v>
      </c>
      <c r="C5570" s="3"/>
      <c r="D5570" s="3"/>
      <c r="E5570" s="5" t="str">
        <f>HYPERLINK("https://dpmzos25m8ivg.cloudfront.net/Documentos/631/13966025698/6311396602569813092023112601.pdf","https://dpmzos25m8ivg.cloudfront.net/Documentos/631/13966025698/6311396602569813092023112601.pdf")</f>
        <v>https://dpmzos25m8ivg.cloudfront.net/Documentos/631/13966025698/6311396602569813092023112601.pdf</v>
      </c>
      <c r="F5570" s="5" t="str">
        <f>HYPERLINK("https://dpmzos25m8ivg.cloudfront.net/Documentos/631/13966025698/6311396602569813092023112626.pdf","https://dpmzos25m8ivg.cloudfront.net/Documentos/631/13966025698/6311396602569813092023112626.pdf")</f>
        <v>https://dpmzos25m8ivg.cloudfront.net/Documentos/631/13966025698/6311396602569813092023112626.pdf</v>
      </c>
      <c r="G5570" s="5" t="str">
        <f>HYPERLINK("https://dpmzos25m8ivg.cloudfront.net/Documentos/631/13966025698/6311396602569813092023112638.pdf","https://dpmzos25m8ivg.cloudfront.net/Documentos/631/13966025698/6311396602569813092023112638.pdf")</f>
        <v>https://dpmzos25m8ivg.cloudfront.net/Documentos/631/13966025698/6311396602569813092023112638.pdf</v>
      </c>
      <c r="H5570" s="5" t="s">
        <v>14142</v>
      </c>
    </row>
    <row r="5571" spans="1:8" x14ac:dyDescent="0.25">
      <c r="A5571" s="2" t="s">
        <v>5599</v>
      </c>
      <c r="B5571" s="19" t="s">
        <v>3385</v>
      </c>
      <c r="C5571" s="3"/>
      <c r="D5571" s="3"/>
      <c r="E5571" s="5" t="str">
        <f>HYPERLINK("https://dpmzos25m8ivg.cloudfront.net/Documentos/631/13976504785/6311397650478506092023194450.jpg","https://dpmzos25m8ivg.cloudfront.net/Documentos/631/13976504785/6311397650478506092023194450.jpg")</f>
        <v>https://dpmzos25m8ivg.cloudfront.net/Documentos/631/13976504785/6311397650478506092023194450.jpg</v>
      </c>
      <c r="F5571" s="5" t="str">
        <f>HYPERLINK("https://dpmzos25m8ivg.cloudfront.net/Documentos/631/13976504785/6311397650478506092023194543.jpg","https://dpmzos25m8ivg.cloudfront.net/Documentos/631/13976504785/6311397650478506092023194543.jpg")</f>
        <v>https://dpmzos25m8ivg.cloudfront.net/Documentos/631/13976504785/6311397650478506092023194543.jpg</v>
      </c>
      <c r="G5571" s="5" t="str">
        <f>HYPERLINK("https://dpmzos25m8ivg.cloudfront.net/Documentos/631/13976504785/6311397650478506092023194624.jpg","https://dpmzos25m8ivg.cloudfront.net/Documentos/631/13976504785/6311397650478506092023194624.jpg")</f>
        <v>https://dpmzos25m8ivg.cloudfront.net/Documentos/631/13976504785/6311397650478506092023194624.jpg</v>
      </c>
      <c r="H5571" s="4" t="s">
        <v>14143</v>
      </c>
    </row>
    <row r="5572" spans="1:8" x14ac:dyDescent="0.25">
      <c r="A5572" s="2" t="s">
        <v>5600</v>
      </c>
      <c r="B5572" s="3"/>
      <c r="C5572" s="3"/>
      <c r="D5572" s="3"/>
      <c r="E5572" s="5" t="str">
        <f>HYPERLINK("https://dpmzos25m8ivg.cloudfront.net/Documentos/631/13980458610/6311398045861005092023131420.jpg","https://dpmzos25m8ivg.cloudfront.net/Documentos/631/13980458610/6311398045861005092023131420.jpg")</f>
        <v>https://dpmzos25m8ivg.cloudfront.net/Documentos/631/13980458610/6311398045861005092023131420.jpg</v>
      </c>
      <c r="F5572" s="5" t="str">
        <f>HYPERLINK("https://dpmzos25m8ivg.cloudfront.net/Documentos/631/13980458610/6311398045861005092023131434.jpg","https://dpmzos25m8ivg.cloudfront.net/Documentos/631/13980458610/6311398045861005092023131434.jpg")</f>
        <v>https://dpmzos25m8ivg.cloudfront.net/Documentos/631/13980458610/6311398045861005092023131434.jpg</v>
      </c>
      <c r="G5572" s="5" t="str">
        <f>HYPERLINK("https://dpmzos25m8ivg.cloudfront.net/Documentos/631/13980458610/6311398045861005092023131450.jpg","https://dpmzos25m8ivg.cloudfront.net/Documentos/631/13980458610/6311398045861005092023131450.jpg")</f>
        <v>https://dpmzos25m8ivg.cloudfront.net/Documentos/631/13980458610/6311398045861005092023131450.jpg</v>
      </c>
      <c r="H5572" s="4" t="s">
        <v>14144</v>
      </c>
    </row>
    <row r="5573" spans="1:8" x14ac:dyDescent="0.25">
      <c r="A5573" s="2" t="s">
        <v>5601</v>
      </c>
      <c r="B5573" s="3"/>
      <c r="C5573" s="3"/>
      <c r="D5573" s="3"/>
      <c r="E5573" s="5" t="str">
        <f>HYPERLINK("https://dpmzos25m8ivg.cloudfront.net/Documentos/631/13981530608/6311398153060811092023104532.pdf","https://dpmzos25m8ivg.cloudfront.net/Documentos/631/13981530608/6311398153060811092023104532.pdf")</f>
        <v>https://dpmzos25m8ivg.cloudfront.net/Documentos/631/13981530608/6311398153060811092023104532.pdf</v>
      </c>
      <c r="F5573" s="5" t="str">
        <f>HYPERLINK("https://dpmzos25m8ivg.cloudfront.net/Documentos/631/13981530608/6311398153060811092023104545.pdf","https://dpmzos25m8ivg.cloudfront.net/Documentos/631/13981530608/6311398153060811092023104545.pdf")</f>
        <v>https://dpmzos25m8ivg.cloudfront.net/Documentos/631/13981530608/6311398153060811092023104545.pdf</v>
      </c>
      <c r="G5573" s="5" t="str">
        <f>HYPERLINK("https://dpmzos25m8ivg.cloudfront.net/Documentos/631/13981530608/6311398153060811092023104557.pdf","https://dpmzos25m8ivg.cloudfront.net/Documentos/631/13981530608/6311398153060811092023104557.pdf")</f>
        <v>https://dpmzos25m8ivg.cloudfront.net/Documentos/631/13981530608/6311398153060811092023104557.pdf</v>
      </c>
      <c r="H5573" s="4" t="s">
        <v>14145</v>
      </c>
    </row>
    <row r="5574" spans="1:8" x14ac:dyDescent="0.25">
      <c r="A5574" s="2" t="s">
        <v>5602</v>
      </c>
      <c r="B5574" s="3"/>
      <c r="C5574" s="3"/>
      <c r="D5574" s="3"/>
      <c r="E5574" s="5" t="str">
        <f>HYPERLINK("https://dpmzos25m8ivg.cloudfront.net/Documentos/631/13989396684/6311398939668410092023094458.pdf","https://dpmzos25m8ivg.cloudfront.net/Documentos/631/13989396684/6311398939668410092023094458.pdf")</f>
        <v>https://dpmzos25m8ivg.cloudfront.net/Documentos/631/13989396684/6311398939668410092023094458.pdf</v>
      </c>
      <c r="F5574" s="5" t="str">
        <f>HYPERLINK("https://dpmzos25m8ivg.cloudfront.net/Documentos/631/13989396684/6311398939668410092023094519.pdf","https://dpmzos25m8ivg.cloudfront.net/Documentos/631/13989396684/6311398939668410092023094519.pdf")</f>
        <v>https://dpmzos25m8ivg.cloudfront.net/Documentos/631/13989396684/6311398939668410092023094519.pdf</v>
      </c>
      <c r="G5574" s="5" t="str">
        <f>HYPERLINK("https://dpmzos25m8ivg.cloudfront.net/Documentos/631/13989396684/6311398939668410092023094541.pdf","https://dpmzos25m8ivg.cloudfront.net/Documentos/631/13989396684/6311398939668410092023094541.pdf")</f>
        <v>https://dpmzos25m8ivg.cloudfront.net/Documentos/631/13989396684/6311398939668410092023094541.pdf</v>
      </c>
      <c r="H5574" s="4" t="s">
        <v>14146</v>
      </c>
    </row>
    <row r="5575" spans="1:8" x14ac:dyDescent="0.25">
      <c r="A5575" s="2" t="s">
        <v>5603</v>
      </c>
      <c r="B5575" s="3"/>
      <c r="C5575" s="3"/>
      <c r="D5575" s="3"/>
      <c r="E5575" s="5" t="str">
        <f>HYPERLINK("https://dpmzos25m8ivg.cloudfront.net/Documentos/631/14005677770/6311400567777011092023154900.pdf","https://dpmzos25m8ivg.cloudfront.net/Documentos/631/14005677770/6311400567777011092023154900.pdf")</f>
        <v>https://dpmzos25m8ivg.cloudfront.net/Documentos/631/14005677770/6311400567777011092023154900.pdf</v>
      </c>
      <c r="F5575" s="5" t="str">
        <f>HYPERLINK("https://dpmzos25m8ivg.cloudfront.net/Documentos/631/14005677770/6311400567777011092023154912.pdf","https://dpmzos25m8ivg.cloudfront.net/Documentos/631/14005677770/6311400567777011092023154912.pdf")</f>
        <v>https://dpmzos25m8ivg.cloudfront.net/Documentos/631/14005677770/6311400567777011092023154912.pdf</v>
      </c>
      <c r="G5575" s="5" t="str">
        <f>HYPERLINK("https://dpmzos25m8ivg.cloudfront.net/Documentos/631/14005677770/6311400567777011092023154923.pdf","https://dpmzos25m8ivg.cloudfront.net/Documentos/631/14005677770/6311400567777011092023154923.pdf")</f>
        <v>https://dpmzos25m8ivg.cloudfront.net/Documentos/631/14005677770/6311400567777011092023154923.pdf</v>
      </c>
      <c r="H5575" s="4" t="s">
        <v>14147</v>
      </c>
    </row>
    <row r="5576" spans="1:8" x14ac:dyDescent="0.25">
      <c r="A5576" s="2" t="s">
        <v>5604</v>
      </c>
      <c r="B5576" s="16" t="s">
        <v>2358</v>
      </c>
      <c r="C5576" s="3"/>
      <c r="D5576" s="3"/>
      <c r="E5576" s="5" t="str">
        <f>HYPERLINK("https://dpmzos25m8ivg.cloudfront.net/Documentos/631/14010121670/6311401012167006092023081051.jpg","https://dpmzos25m8ivg.cloudfront.net/Documentos/631/14010121670/6311401012167006092023081051.jpg")</f>
        <v>https://dpmzos25m8ivg.cloudfront.net/Documentos/631/14010121670/6311401012167006092023081051.jpg</v>
      </c>
      <c r="F5576" s="5" t="str">
        <f>HYPERLINK("https://dpmzos25m8ivg.cloudfront.net/Documentos/631/14010121670/6311401012167006092023081100.jpg","https://dpmzos25m8ivg.cloudfront.net/Documentos/631/14010121670/6311401012167006092023081100.jpg")</f>
        <v>https://dpmzos25m8ivg.cloudfront.net/Documentos/631/14010121670/6311401012167006092023081100.jpg</v>
      </c>
      <c r="G5576" s="5" t="str">
        <f>HYPERLINK("https://dpmzos25m8ivg.cloudfront.net/Documentos/631/14010121670/6311401012167006092023081106.jpg","https://dpmzos25m8ivg.cloudfront.net/Documentos/631/14010121670/6311401012167006092023081106.jpg")</f>
        <v>https://dpmzos25m8ivg.cloudfront.net/Documentos/631/14010121670/6311401012167006092023081106.jpg</v>
      </c>
      <c r="H5576" s="5" t="s">
        <v>14148</v>
      </c>
    </row>
    <row r="5577" spans="1:8" x14ac:dyDescent="0.25">
      <c r="A5577" s="2" t="s">
        <v>5605</v>
      </c>
      <c r="B5577" s="3"/>
      <c r="C5577" s="3"/>
      <c r="D5577" s="3"/>
      <c r="E5577" s="5" t="str">
        <f>HYPERLINK("https://dpmzos25m8ivg.cloudfront.net/Documentos/631/14024358782/6311402435878210092023113427.pdf","https://dpmzos25m8ivg.cloudfront.net/Documentos/631/14024358782/6311402435878210092023113427.pdf")</f>
        <v>https://dpmzos25m8ivg.cloudfront.net/Documentos/631/14024358782/6311402435878210092023113427.pdf</v>
      </c>
      <c r="F5577" s="5" t="str">
        <f>HYPERLINK("https://dpmzos25m8ivg.cloudfront.net/Documentos/631/14024358782/6311402435878210092023113435.pdf","https://dpmzos25m8ivg.cloudfront.net/Documentos/631/14024358782/6311402435878210092023113435.pdf")</f>
        <v>https://dpmzos25m8ivg.cloudfront.net/Documentos/631/14024358782/6311402435878210092023113435.pdf</v>
      </c>
      <c r="G5577" s="5" t="str">
        <f>HYPERLINK("https://dpmzos25m8ivg.cloudfront.net/Documentos/631/14024358782/6311402435878210092023113443.pdf","https://dpmzos25m8ivg.cloudfront.net/Documentos/631/14024358782/6311402435878210092023113443.pdf")</f>
        <v>https://dpmzos25m8ivg.cloudfront.net/Documentos/631/14024358782/6311402435878210092023113443.pdf</v>
      </c>
      <c r="H5577" s="4" t="s">
        <v>14149</v>
      </c>
    </row>
    <row r="5578" spans="1:8" x14ac:dyDescent="0.25">
      <c r="A5578" s="2" t="s">
        <v>5606</v>
      </c>
      <c r="B5578" s="3"/>
      <c r="C5578" s="3"/>
      <c r="D5578" s="3"/>
      <c r="E5578" s="5" t="str">
        <f>HYPERLINK("https://dpmzos25m8ivg.cloudfront.net/Documentos/631/14031223773/6311403122377310092023140516.jpg","https://dpmzos25m8ivg.cloudfront.net/Documentos/631/14031223773/6311403122377310092023140516.jpg")</f>
        <v>https://dpmzos25m8ivg.cloudfront.net/Documentos/631/14031223773/6311403122377310092023140516.jpg</v>
      </c>
      <c r="F5578" s="5" t="str">
        <f>HYPERLINK("https://dpmzos25m8ivg.cloudfront.net/Documentos/631/14031223773/6311403122377310092023140533.jpg","https://dpmzos25m8ivg.cloudfront.net/Documentos/631/14031223773/6311403122377310092023140533.jpg")</f>
        <v>https://dpmzos25m8ivg.cloudfront.net/Documentos/631/14031223773/6311403122377310092023140533.jpg</v>
      </c>
      <c r="G5578" s="5" t="str">
        <f>HYPERLINK("https://dpmzos25m8ivg.cloudfront.net/Documentos/631/14031223773/6311403122377310092023140548.jpg","https://dpmzos25m8ivg.cloudfront.net/Documentos/631/14031223773/6311403122377310092023140548.jpg")</f>
        <v>https://dpmzos25m8ivg.cloudfront.net/Documentos/631/14031223773/6311403122377310092023140548.jpg</v>
      </c>
      <c r="H5578" s="4" t="s">
        <v>14150</v>
      </c>
    </row>
    <row r="5579" spans="1:8" x14ac:dyDescent="0.25">
      <c r="A5579" s="2" t="s">
        <v>5607</v>
      </c>
      <c r="B5579" s="3"/>
      <c r="C5579" s="3"/>
      <c r="D5579" s="3"/>
      <c r="E5579" s="5" t="str">
        <f>HYPERLINK("https://dpmzos25m8ivg.cloudfront.net/Documentos/631/14058070676/6311405807067611092023165105.jpeg","https://dpmzos25m8ivg.cloudfront.net/Documentos/631/14058070676/6311405807067611092023165105.jpeg")</f>
        <v>https://dpmzos25m8ivg.cloudfront.net/Documentos/631/14058070676/6311405807067611092023165105.jpeg</v>
      </c>
      <c r="F5579" s="5" t="str">
        <f>HYPERLINK("https://dpmzos25m8ivg.cloudfront.net/Documentos/631/14058070676/6311405807067611092023165118.jpeg","https://dpmzos25m8ivg.cloudfront.net/Documentos/631/14058070676/6311405807067611092023165118.jpeg")</f>
        <v>https://dpmzos25m8ivg.cloudfront.net/Documentos/631/14058070676/6311405807067611092023165118.jpeg</v>
      </c>
      <c r="G5579" s="5" t="str">
        <f>HYPERLINK("https://dpmzos25m8ivg.cloudfront.net/Documentos/631/14058070676/6311405807067611092023165130.jpeg","https://dpmzos25m8ivg.cloudfront.net/Documentos/631/14058070676/6311405807067611092023165130.jpeg")</f>
        <v>https://dpmzos25m8ivg.cloudfront.net/Documentos/631/14058070676/6311405807067611092023165130.jpeg</v>
      </c>
      <c r="H5579" s="4" t="s">
        <v>14151</v>
      </c>
    </row>
    <row r="5580" spans="1:8" x14ac:dyDescent="0.25">
      <c r="A5580" s="2" t="s">
        <v>5608</v>
      </c>
      <c r="B5580" s="3"/>
      <c r="C5580" s="3"/>
      <c r="D5580" s="3"/>
      <c r="E5580" s="5" t="str">
        <f>HYPERLINK("https://dpmzos25m8ivg.cloudfront.net/Documentos/631/14064003438/6311406400343806092023124218.pdf","https://dpmzos25m8ivg.cloudfront.net/Documentos/631/14064003438/6311406400343806092023124218.pdf")</f>
        <v>https://dpmzos25m8ivg.cloudfront.net/Documentos/631/14064003438/6311406400343806092023124218.pdf</v>
      </c>
      <c r="F5580" s="5" t="str">
        <f>HYPERLINK("https://dpmzos25m8ivg.cloudfront.net/Documentos/631/14064003438/6311406400343806092023124244.pdf","https://dpmzos25m8ivg.cloudfront.net/Documentos/631/14064003438/6311406400343806092023124244.pdf")</f>
        <v>https://dpmzos25m8ivg.cloudfront.net/Documentos/631/14064003438/6311406400343806092023124244.pdf</v>
      </c>
      <c r="G5580" s="5" t="str">
        <f>HYPERLINK("https://dpmzos25m8ivg.cloudfront.net/Documentos/631/14064003438/6311406400343806092023124253.pdf","https://dpmzos25m8ivg.cloudfront.net/Documentos/631/14064003438/6311406400343806092023124253.pdf")</f>
        <v>https://dpmzos25m8ivg.cloudfront.net/Documentos/631/14064003438/6311406400343806092023124253.pdf</v>
      </c>
      <c r="H5580" s="4" t="s">
        <v>14152</v>
      </c>
    </row>
    <row r="5581" spans="1:8" x14ac:dyDescent="0.25">
      <c r="A5581" s="2" t="s">
        <v>5609</v>
      </c>
      <c r="B5581" s="3"/>
      <c r="C5581" s="3"/>
      <c r="D5581" s="3"/>
      <c r="E5581" s="5" t="str">
        <f>HYPERLINK("https://dpmzos25m8ivg.cloudfront.net/Documentos/631/14066919685/6311406691968506092023172120.pdf","https://dpmzos25m8ivg.cloudfront.net/Documentos/631/14066919685/6311406691968506092023172120.pdf")</f>
        <v>https://dpmzos25m8ivg.cloudfront.net/Documentos/631/14066919685/6311406691968506092023172120.pdf</v>
      </c>
      <c r="F5581" s="5" t="str">
        <f>HYPERLINK("https://dpmzos25m8ivg.cloudfront.net/Documentos/631/14066919685/6311406691968506092023172128.pdf","https://dpmzos25m8ivg.cloudfront.net/Documentos/631/14066919685/6311406691968506092023172128.pdf")</f>
        <v>https://dpmzos25m8ivg.cloudfront.net/Documentos/631/14066919685/6311406691968506092023172128.pdf</v>
      </c>
      <c r="G5581" s="5" t="str">
        <f>HYPERLINK("https://dpmzos25m8ivg.cloudfront.net/Documentos/631/14066919685/6311406691968506092023172136.pdf","https://dpmzos25m8ivg.cloudfront.net/Documentos/631/14066919685/6311406691968506092023172136.pdf")</f>
        <v>https://dpmzos25m8ivg.cloudfront.net/Documentos/631/14066919685/6311406691968506092023172136.pdf</v>
      </c>
      <c r="H5581" s="4" t="s">
        <v>14153</v>
      </c>
    </row>
    <row r="5582" spans="1:8" x14ac:dyDescent="0.25">
      <c r="A5582" s="2" t="s">
        <v>5610</v>
      </c>
      <c r="B5582" s="3"/>
      <c r="C5582" s="3"/>
      <c r="D5582" s="3"/>
      <c r="E5582" s="5" t="str">
        <f>HYPERLINK("https://dpmzos25m8ivg.cloudfront.net/Documentos/631/14090129800/6311409012980011092023122026.pdf","https://dpmzos25m8ivg.cloudfront.net/Documentos/631/14090129800/6311409012980011092023122026.pdf")</f>
        <v>https://dpmzos25m8ivg.cloudfront.net/Documentos/631/14090129800/6311409012980011092023122026.pdf</v>
      </c>
      <c r="F5582" s="5" t="str">
        <f>HYPERLINK("https://dpmzos25m8ivg.cloudfront.net/Documentos/631/14090129800/6311409012980011092023122037.pdf","https://dpmzos25m8ivg.cloudfront.net/Documentos/631/14090129800/6311409012980011092023122037.pdf")</f>
        <v>https://dpmzos25m8ivg.cloudfront.net/Documentos/631/14090129800/6311409012980011092023122037.pdf</v>
      </c>
      <c r="G5582" s="5" t="str">
        <f>HYPERLINK("https://dpmzos25m8ivg.cloudfront.net/Documentos/631/14090129800/6311409012980011092023122051.pdf","https://dpmzos25m8ivg.cloudfront.net/Documentos/631/14090129800/6311409012980011092023122051.pdf")</f>
        <v>https://dpmzos25m8ivg.cloudfront.net/Documentos/631/14090129800/6311409012980011092023122051.pdf</v>
      </c>
      <c r="H5582" s="4" t="s">
        <v>14154</v>
      </c>
    </row>
    <row r="5583" spans="1:8" x14ac:dyDescent="0.25">
      <c r="A5583" s="2" t="s">
        <v>5611</v>
      </c>
      <c r="B5583" s="3"/>
      <c r="C5583" s="3"/>
      <c r="D5583" s="3"/>
      <c r="E5583" s="5" t="str">
        <f>HYPERLINK("https://dpmzos25m8ivg.cloudfront.net/Documentos/631/14095809620/6311409580962011092023143347.pdf","https://dpmzos25m8ivg.cloudfront.net/Documentos/631/14095809620/6311409580962011092023143347.pdf")</f>
        <v>https://dpmzos25m8ivg.cloudfront.net/Documentos/631/14095809620/6311409580962011092023143347.pdf</v>
      </c>
      <c r="F5583" s="5" t="str">
        <f>HYPERLINK("https://dpmzos25m8ivg.cloudfront.net/Documentos/631/14095809620/6311409580962011092023143356.pdf","https://dpmzos25m8ivg.cloudfront.net/Documentos/631/14095809620/6311409580962011092023143356.pdf")</f>
        <v>https://dpmzos25m8ivg.cloudfront.net/Documentos/631/14095809620/6311409580962011092023143356.pdf</v>
      </c>
      <c r="G5583" s="5" t="str">
        <f>HYPERLINK("https://dpmzos25m8ivg.cloudfront.net/Documentos/631/14095809620/6311409580962011092023143404.pdf","https://dpmzos25m8ivg.cloudfront.net/Documentos/631/14095809620/6311409580962011092023143404.pdf")</f>
        <v>https://dpmzos25m8ivg.cloudfront.net/Documentos/631/14095809620/6311409580962011092023143404.pdf</v>
      </c>
      <c r="H5583" s="4" t="s">
        <v>14155</v>
      </c>
    </row>
    <row r="5584" spans="1:8" x14ac:dyDescent="0.25">
      <c r="A5584" s="2" t="s">
        <v>5612</v>
      </c>
      <c r="B5584" s="3"/>
      <c r="C5584" s="3"/>
      <c r="D5584" s="3"/>
      <c r="E5584" s="5" t="str">
        <f>HYPERLINK("https://dpmzos25m8ivg.cloudfront.net/Documentos/631/14097713698/6311409771369814092023152935.pdf","https://dpmzos25m8ivg.cloudfront.net/Documentos/631/14097713698/6311409771369814092023152935.pdf")</f>
        <v>https://dpmzos25m8ivg.cloudfront.net/Documentos/631/14097713698/6311409771369814092023152935.pdf</v>
      </c>
      <c r="F5584" s="5" t="str">
        <f>HYPERLINK("https://dpmzos25m8ivg.cloudfront.net/Documentos/631/14097713698/6311409771369814092023153008.pdf","https://dpmzos25m8ivg.cloudfront.net/Documentos/631/14097713698/6311409771369814092023153008.pdf")</f>
        <v>https://dpmzos25m8ivg.cloudfront.net/Documentos/631/14097713698/6311409771369814092023153008.pdf</v>
      </c>
      <c r="G5584" s="5" t="str">
        <f>HYPERLINK("https://dpmzos25m8ivg.cloudfront.net/Documentos/631/14097713698/6311409771369814092023153021.pdf","https://dpmzos25m8ivg.cloudfront.net/Documentos/631/14097713698/6311409771369814092023153021.pdf")</f>
        <v>https://dpmzos25m8ivg.cloudfront.net/Documentos/631/14097713698/6311409771369814092023153021.pdf</v>
      </c>
      <c r="H5584" s="4" t="s">
        <v>14156</v>
      </c>
    </row>
    <row r="5585" spans="1:8" x14ac:dyDescent="0.25">
      <c r="A5585" s="2" t="s">
        <v>5613</v>
      </c>
      <c r="B5585" s="3"/>
      <c r="C5585" s="3"/>
      <c r="D5585" s="3"/>
      <c r="E5585" s="5" t="str">
        <f>HYPERLINK("https://dpmzos25m8ivg.cloudfront.net/Documentos/631/14112244690/6311411224469014092023120351.jpeg","https://dpmzos25m8ivg.cloudfront.net/Documentos/631/14112244690/6311411224469014092023120351.jpeg")</f>
        <v>https://dpmzos25m8ivg.cloudfront.net/Documentos/631/14112244690/6311411224469014092023120351.jpeg</v>
      </c>
      <c r="F5585" s="5" t="str">
        <f>HYPERLINK("https://dpmzos25m8ivg.cloudfront.net/Documentos/631/14112244690/6311411224469014092023120357.jpeg","https://dpmzos25m8ivg.cloudfront.net/Documentos/631/14112244690/6311411224469014092023120357.jpeg")</f>
        <v>https://dpmzos25m8ivg.cloudfront.net/Documentos/631/14112244690/6311411224469014092023120357.jpeg</v>
      </c>
      <c r="G5585" s="5" t="str">
        <f>HYPERLINK("https://dpmzos25m8ivg.cloudfront.net/Documentos/631/14112244690/6311411224469014092023120403.jpeg","https://dpmzos25m8ivg.cloudfront.net/Documentos/631/14112244690/6311411224469014092023120403.jpeg")</f>
        <v>https://dpmzos25m8ivg.cloudfront.net/Documentos/631/14112244690/6311411224469014092023120403.jpeg</v>
      </c>
      <c r="H5585" s="4" t="s">
        <v>14157</v>
      </c>
    </row>
    <row r="5586" spans="1:8" x14ac:dyDescent="0.25">
      <c r="A5586" s="2" t="s">
        <v>5614</v>
      </c>
      <c r="B5586" s="3"/>
      <c r="C5586" s="3"/>
      <c r="D5586" s="3"/>
      <c r="E5586" s="5" t="str">
        <f>HYPERLINK("https://dpmzos25m8ivg.cloudfront.net/Documentos/631/14114323716/6311411432371611092023140711.jpg","https://dpmzos25m8ivg.cloudfront.net/Documentos/631/14114323716/6311411432371611092023140711.jpg")</f>
        <v>https://dpmzos25m8ivg.cloudfront.net/Documentos/631/14114323716/6311411432371611092023140711.jpg</v>
      </c>
      <c r="F5586" s="5" t="str">
        <f>HYPERLINK("https://dpmzos25m8ivg.cloudfront.net/Documentos/631/14114323716/6311411432371611092023140830.jpg","https://dpmzos25m8ivg.cloudfront.net/Documentos/631/14114323716/6311411432371611092023140830.jpg")</f>
        <v>https://dpmzos25m8ivg.cloudfront.net/Documentos/631/14114323716/6311411432371611092023140830.jpg</v>
      </c>
      <c r="G5586" s="5" t="str">
        <f>HYPERLINK("https://dpmzos25m8ivg.cloudfront.net/Documentos/631/14114323716/6311411432371611092023140902.jpg","https://dpmzos25m8ivg.cloudfront.net/Documentos/631/14114323716/6311411432371611092023140902.jpg")</f>
        <v>https://dpmzos25m8ivg.cloudfront.net/Documentos/631/14114323716/6311411432371611092023140902.jpg</v>
      </c>
      <c r="H5586" s="4" t="s">
        <v>14158</v>
      </c>
    </row>
    <row r="5587" spans="1:8" x14ac:dyDescent="0.25">
      <c r="A5587" s="2" t="s">
        <v>5615</v>
      </c>
      <c r="B5587" s="3" t="s">
        <v>308</v>
      </c>
      <c r="C5587" s="3"/>
      <c r="D5587" s="3"/>
      <c r="E5587" s="5" t="str">
        <f>HYPERLINK("https://dpmzos25m8ivg.cloudfront.net/Documentos/631/14117834762/6311411783476206092023154327.jpeg","https://dpmzos25m8ivg.cloudfront.net/Documentos/631/14117834762/6311411783476206092023154327.jpeg")</f>
        <v>https://dpmzos25m8ivg.cloudfront.net/Documentos/631/14117834762/6311411783476206092023154327.jpeg</v>
      </c>
      <c r="F5587" s="5" t="str">
        <f>HYPERLINK("https://dpmzos25m8ivg.cloudfront.net/Documentos/631/14117834762/6311411783476206092023154341.jpeg","https://dpmzos25m8ivg.cloudfront.net/Documentos/631/14117834762/6311411783476206092023154341.jpeg")</f>
        <v>https://dpmzos25m8ivg.cloudfront.net/Documentos/631/14117834762/6311411783476206092023154341.jpeg</v>
      </c>
      <c r="G5587" s="5" t="str">
        <f>HYPERLINK("https://dpmzos25m8ivg.cloudfront.net/Documentos/631/14117834762/6311411783476206092023154354.jpeg","https://dpmzos25m8ivg.cloudfront.net/Documentos/631/14117834762/6311411783476206092023154354.jpeg")</f>
        <v>https://dpmzos25m8ivg.cloudfront.net/Documentos/631/14117834762/6311411783476206092023154354.jpeg</v>
      </c>
      <c r="H5587" s="4" t="s">
        <v>14159</v>
      </c>
    </row>
    <row r="5588" spans="1:8" x14ac:dyDescent="0.25">
      <c r="A5588" s="2" t="s">
        <v>5616</v>
      </c>
      <c r="B5588" s="3"/>
      <c r="C5588" s="3"/>
      <c r="D5588" s="3"/>
      <c r="E5588" s="5" t="str">
        <f>HYPERLINK("https://dpmzos25m8ivg.cloudfront.net/Documentos/631/14125362602/6311412536260214092023144657.jpeg","https://dpmzos25m8ivg.cloudfront.net/Documentos/631/14125362602/6311412536260214092023144657.jpeg")</f>
        <v>https://dpmzos25m8ivg.cloudfront.net/Documentos/631/14125362602/6311412536260214092023144657.jpeg</v>
      </c>
      <c r="F5588" s="5" t="str">
        <f>HYPERLINK("https://dpmzos25m8ivg.cloudfront.net/Documentos/631/14125362602/6311412536260214092023144717.jpeg","https://dpmzos25m8ivg.cloudfront.net/Documentos/631/14125362602/6311412536260214092023144717.jpeg")</f>
        <v>https://dpmzos25m8ivg.cloudfront.net/Documentos/631/14125362602/6311412536260214092023144717.jpeg</v>
      </c>
      <c r="G5588" s="5" t="str">
        <f>HYPERLINK("https://dpmzos25m8ivg.cloudfront.net/Documentos/631/14125362602/6311412536260214092023144752.jpeg","https://dpmzos25m8ivg.cloudfront.net/Documentos/631/14125362602/6311412536260214092023144752.jpeg")</f>
        <v>https://dpmzos25m8ivg.cloudfront.net/Documentos/631/14125362602/6311412536260214092023144752.jpeg</v>
      </c>
      <c r="H5588" s="4" t="s">
        <v>14160</v>
      </c>
    </row>
    <row r="5589" spans="1:8" x14ac:dyDescent="0.25">
      <c r="A5589" s="2" t="s">
        <v>5617</v>
      </c>
      <c r="B5589" s="16" t="s">
        <v>2358</v>
      </c>
      <c r="C5589" s="3"/>
      <c r="D5589" s="3"/>
      <c r="E5589" s="5" t="str">
        <f>HYPERLINK("https://dpmzos25m8ivg.cloudfront.net/Documentos/631/14142812696/6311414281269608092023205716.pdf","https://dpmzos25m8ivg.cloudfront.net/Documentos/631/14142812696/6311414281269608092023205716.pdf")</f>
        <v>https://dpmzos25m8ivg.cloudfront.net/Documentos/631/14142812696/6311414281269608092023205716.pdf</v>
      </c>
      <c r="F5589" s="5" t="str">
        <f>HYPERLINK("https://dpmzos25m8ivg.cloudfront.net/Documentos/631/14142812696/6311414281269608092023205732.pdf","https://dpmzos25m8ivg.cloudfront.net/Documentos/631/14142812696/6311414281269608092023205732.pdf")</f>
        <v>https://dpmzos25m8ivg.cloudfront.net/Documentos/631/14142812696/6311414281269608092023205732.pdf</v>
      </c>
      <c r="G5589" s="5" t="str">
        <f>HYPERLINK("https://dpmzos25m8ivg.cloudfront.net/Documentos/631/14142812696/6311414281269608092023205754.pdf","https://dpmzos25m8ivg.cloudfront.net/Documentos/631/14142812696/6311414281269608092023205754.pdf")</f>
        <v>https://dpmzos25m8ivg.cloudfront.net/Documentos/631/14142812696/6311414281269608092023205754.pdf</v>
      </c>
      <c r="H5589" s="5" t="s">
        <v>14161</v>
      </c>
    </row>
    <row r="5590" spans="1:8" x14ac:dyDescent="0.25">
      <c r="A5590" s="2" t="s">
        <v>5618</v>
      </c>
      <c r="B5590" s="3"/>
      <c r="C5590" s="3"/>
      <c r="D5590" s="3"/>
      <c r="E5590" s="5" t="str">
        <f>HYPERLINK("https://dpmzos25m8ivg.cloudfront.net/Documentos/631/14145008669/6311414500866911092023104728.pdf","https://dpmzos25m8ivg.cloudfront.net/Documentos/631/14145008669/6311414500866911092023104728.pdf")</f>
        <v>https://dpmzos25m8ivg.cloudfront.net/Documentos/631/14145008669/6311414500866911092023104728.pdf</v>
      </c>
      <c r="F5590" s="5" t="str">
        <f>HYPERLINK("https://dpmzos25m8ivg.cloudfront.net/Documentos/631/14145008669/6311414500866911092023104737.pdf","https://dpmzos25m8ivg.cloudfront.net/Documentos/631/14145008669/6311414500866911092023104737.pdf")</f>
        <v>https://dpmzos25m8ivg.cloudfront.net/Documentos/631/14145008669/6311414500866911092023104737.pdf</v>
      </c>
      <c r="G5590" s="5" t="str">
        <f>HYPERLINK("https://dpmzos25m8ivg.cloudfront.net/Documentos/631/14145008669/6311414500866911092023104747.pdf","https://dpmzos25m8ivg.cloudfront.net/Documentos/631/14145008669/6311414500866911092023104747.pdf")</f>
        <v>https://dpmzos25m8ivg.cloudfront.net/Documentos/631/14145008669/6311414500866911092023104747.pdf</v>
      </c>
      <c r="H5590" s="4" t="s">
        <v>14162</v>
      </c>
    </row>
    <row r="5591" spans="1:8" x14ac:dyDescent="0.25">
      <c r="A5591" s="2" t="s">
        <v>5619</v>
      </c>
      <c r="B5591" s="3" t="s">
        <v>308</v>
      </c>
      <c r="C5591" s="3"/>
      <c r="D5591" s="3"/>
      <c r="E5591" s="5" t="str">
        <f>HYPERLINK("https://dpmzos25m8ivg.cloudfront.net/Documentos/631/14150996695/6311415099669505092023200947.jpeg","https://dpmzos25m8ivg.cloudfront.net/Documentos/631/14150996695/6311415099669505092023200947.jpeg")</f>
        <v>https://dpmzos25m8ivg.cloudfront.net/Documentos/631/14150996695/6311415099669505092023200947.jpeg</v>
      </c>
      <c r="F5591" s="5" t="str">
        <f>HYPERLINK("https://dpmzos25m8ivg.cloudfront.net/Documentos/631/14150996695/6311415099669505092023200957.jpeg","https://dpmzos25m8ivg.cloudfront.net/Documentos/631/14150996695/6311415099669505092023200957.jpeg")</f>
        <v>https://dpmzos25m8ivg.cloudfront.net/Documentos/631/14150996695/6311415099669505092023200957.jpeg</v>
      </c>
      <c r="G5591" s="5" t="str">
        <f>HYPERLINK("https://dpmzos25m8ivg.cloudfront.net/Documentos/631/14150996695/6311415099669505092023201951.jpeg","https://dpmzos25m8ivg.cloudfront.net/Documentos/631/14150996695/6311415099669505092023201951.jpeg")</f>
        <v>https://dpmzos25m8ivg.cloudfront.net/Documentos/631/14150996695/6311415099669505092023201951.jpeg</v>
      </c>
      <c r="H5591" s="4" t="s">
        <v>14163</v>
      </c>
    </row>
    <row r="5592" spans="1:8" x14ac:dyDescent="0.25">
      <c r="A5592" s="2" t="s">
        <v>5620</v>
      </c>
      <c r="B5592" s="3"/>
      <c r="C5592" s="3"/>
      <c r="D5592" s="3"/>
      <c r="E5592" s="5" t="str">
        <f>HYPERLINK("https://dpmzos25m8ivg.cloudfront.net/Documentos/631/14154584723/6311415458472311092023105020.pdf","https://dpmzos25m8ivg.cloudfront.net/Documentos/631/14154584723/6311415458472311092023105020.pdf")</f>
        <v>https://dpmzos25m8ivg.cloudfront.net/Documentos/631/14154584723/6311415458472311092023105020.pdf</v>
      </c>
      <c r="F5592" s="5" t="str">
        <f>HYPERLINK("https://dpmzos25m8ivg.cloudfront.net/Documentos/631/14154584723/6311415458472311092023105039.pdf","https://dpmzos25m8ivg.cloudfront.net/Documentos/631/14154584723/6311415458472311092023105039.pdf")</f>
        <v>https://dpmzos25m8ivg.cloudfront.net/Documentos/631/14154584723/6311415458472311092023105039.pdf</v>
      </c>
      <c r="G5592" s="5" t="str">
        <f>HYPERLINK("https://dpmzos25m8ivg.cloudfront.net/Documentos/631/14154584723/6311415458472311092023105101.pdf","https://dpmzos25m8ivg.cloudfront.net/Documentos/631/14154584723/6311415458472311092023105101.pdf")</f>
        <v>https://dpmzos25m8ivg.cloudfront.net/Documentos/631/14154584723/6311415458472311092023105101.pdf</v>
      </c>
      <c r="H5592" s="4" t="s">
        <v>14164</v>
      </c>
    </row>
    <row r="5593" spans="1:8" x14ac:dyDescent="0.25">
      <c r="A5593" s="2" t="s">
        <v>5621</v>
      </c>
      <c r="B5593" s="3"/>
      <c r="C5593" s="3"/>
      <c r="D5593" s="3"/>
      <c r="E5593" s="5" t="str">
        <f>HYPERLINK("https://dpmzos25m8ivg.cloudfront.net/Documentos/631/14155044404/6311415504440411092023170357.pdf","https://dpmzos25m8ivg.cloudfront.net/Documentos/631/14155044404/6311415504440411092023170357.pdf")</f>
        <v>https://dpmzos25m8ivg.cloudfront.net/Documentos/631/14155044404/6311415504440411092023170357.pdf</v>
      </c>
      <c r="F5593" s="5" t="str">
        <f>HYPERLINK("https://dpmzos25m8ivg.cloudfront.net/Documentos/631/14155044404/6311415504440411092023170408.pdf","https://dpmzos25m8ivg.cloudfront.net/Documentos/631/14155044404/6311415504440411092023170408.pdf")</f>
        <v>https://dpmzos25m8ivg.cloudfront.net/Documentos/631/14155044404/6311415504440411092023170408.pdf</v>
      </c>
      <c r="G5593" s="5" t="str">
        <f>HYPERLINK("https://dpmzos25m8ivg.cloudfront.net/Documentos/631/14155044404/6311415504440411092023170418.pdf","https://dpmzos25m8ivg.cloudfront.net/Documentos/631/14155044404/6311415504440411092023170418.pdf")</f>
        <v>https://dpmzos25m8ivg.cloudfront.net/Documentos/631/14155044404/6311415504440411092023170418.pdf</v>
      </c>
      <c r="H5593" s="4" t="s">
        <v>14165</v>
      </c>
    </row>
    <row r="5594" spans="1:8" x14ac:dyDescent="0.25">
      <c r="A5594" s="2" t="s">
        <v>5622</v>
      </c>
      <c r="B5594" s="16" t="s">
        <v>2358</v>
      </c>
      <c r="C5594" s="3"/>
      <c r="D5594" s="3"/>
      <c r="E5594" s="5" t="str">
        <f>HYPERLINK("https://dpmzos25m8ivg.cloudfront.net/Documentos/631/14157097777/6311415709777711092023143622.pdf","https://dpmzos25m8ivg.cloudfront.net/Documentos/631/14157097777/6311415709777711092023143622.pdf")</f>
        <v>https://dpmzos25m8ivg.cloudfront.net/Documentos/631/14157097777/6311415709777711092023143622.pdf</v>
      </c>
      <c r="F5594" s="5" t="str">
        <f>HYPERLINK("https://dpmzos25m8ivg.cloudfront.net/Documentos/631/14157097777/6311415709777711092023143641.pdf","https://dpmzos25m8ivg.cloudfront.net/Documentos/631/14157097777/6311415709777711092023143641.pdf")</f>
        <v>https://dpmzos25m8ivg.cloudfront.net/Documentos/631/14157097777/6311415709777711092023143641.pdf</v>
      </c>
      <c r="G5594" s="5" t="str">
        <f>HYPERLINK("https://dpmzos25m8ivg.cloudfront.net/Documentos/631/14157097777/6311415709777711092023143656.pdf","https://dpmzos25m8ivg.cloudfront.net/Documentos/631/14157097777/6311415709777711092023143656.pdf")</f>
        <v>https://dpmzos25m8ivg.cloudfront.net/Documentos/631/14157097777/6311415709777711092023143656.pdf</v>
      </c>
      <c r="H5594" s="5" t="s">
        <v>14166</v>
      </c>
    </row>
    <row r="5595" spans="1:8" x14ac:dyDescent="0.25">
      <c r="A5595" s="2" t="s">
        <v>5623</v>
      </c>
      <c r="B5595" s="3"/>
      <c r="C5595" s="3"/>
      <c r="D5595" s="3"/>
      <c r="E5595" s="5" t="str">
        <f>HYPERLINK("https://dpmzos25m8ivg.cloudfront.net/Documentos/631/14162374708/6311416237470806092023222053.pdf","https://dpmzos25m8ivg.cloudfront.net/Documentos/631/14162374708/6311416237470806092023222053.pdf")</f>
        <v>https://dpmzos25m8ivg.cloudfront.net/Documentos/631/14162374708/6311416237470806092023222053.pdf</v>
      </c>
      <c r="F5595" s="5" t="str">
        <f>HYPERLINK("https://dpmzos25m8ivg.cloudfront.net/Documentos/631/14162374708/6311416237470806092023222418.pdf","https://dpmzos25m8ivg.cloudfront.net/Documentos/631/14162374708/6311416237470806092023222418.pdf")</f>
        <v>https://dpmzos25m8ivg.cloudfront.net/Documentos/631/14162374708/6311416237470806092023222418.pdf</v>
      </c>
      <c r="G5595" s="5" t="str">
        <f>HYPERLINK("https://dpmzos25m8ivg.cloudfront.net/Documentos/631/14162374708/6311416237470806092023222430.pdf","https://dpmzos25m8ivg.cloudfront.net/Documentos/631/14162374708/6311416237470806092023222430.pdf")</f>
        <v>https://dpmzos25m8ivg.cloudfront.net/Documentos/631/14162374708/6311416237470806092023222430.pdf</v>
      </c>
      <c r="H5595" s="4" t="s">
        <v>14167</v>
      </c>
    </row>
    <row r="5596" spans="1:8" x14ac:dyDescent="0.25">
      <c r="A5596" s="2" t="s">
        <v>5624</v>
      </c>
      <c r="B5596" s="16" t="s">
        <v>2358</v>
      </c>
      <c r="C5596" s="3"/>
      <c r="D5596" s="3"/>
      <c r="E5596" s="5" t="str">
        <f>HYPERLINK("https://dpmzos25m8ivg.cloudfront.net/Documentos/631/14167762730/6311416776273006092023021850.pdf","https://dpmzos25m8ivg.cloudfront.net/Documentos/631/14167762730/6311416776273006092023021850.pdf")</f>
        <v>https://dpmzos25m8ivg.cloudfront.net/Documentos/631/14167762730/6311416776273006092023021850.pdf</v>
      </c>
      <c r="F5596" s="5" t="str">
        <f>HYPERLINK("https://dpmzos25m8ivg.cloudfront.net/Documentos/631/14167762730/6311416776273006092023021908.pdf","https://dpmzos25m8ivg.cloudfront.net/Documentos/631/14167762730/6311416776273006092023021908.pdf")</f>
        <v>https://dpmzos25m8ivg.cloudfront.net/Documentos/631/14167762730/6311416776273006092023021908.pdf</v>
      </c>
      <c r="G5596" s="5" t="str">
        <f>HYPERLINK("https://dpmzos25m8ivg.cloudfront.net/Documentos/631/14167762730/6311416776273006092023021944.pdf","https://dpmzos25m8ivg.cloudfront.net/Documentos/631/14167762730/6311416776273006092023021944.pdf")</f>
        <v>https://dpmzos25m8ivg.cloudfront.net/Documentos/631/14167762730/6311416776273006092023021944.pdf</v>
      </c>
      <c r="H5596" s="5" t="s">
        <v>14168</v>
      </c>
    </row>
    <row r="5597" spans="1:8" x14ac:dyDescent="0.25">
      <c r="A5597" s="2" t="s">
        <v>5625</v>
      </c>
      <c r="B5597" s="3"/>
      <c r="C5597" s="3"/>
      <c r="D5597" s="3"/>
      <c r="E5597" s="5" t="str">
        <f>HYPERLINK("https://dpmzos25m8ivg.cloudfront.net/Documentos/631/14180037602/6311418003760208092023190154.pdf","https://dpmzos25m8ivg.cloudfront.net/Documentos/631/14180037602/6311418003760208092023190154.pdf")</f>
        <v>https://dpmzos25m8ivg.cloudfront.net/Documentos/631/14180037602/6311418003760208092023190154.pdf</v>
      </c>
      <c r="F5597" s="5" t="str">
        <f>HYPERLINK("https://dpmzos25m8ivg.cloudfront.net/Documentos/631/14180037602/6311418003760208092023190214.pdf","https://dpmzos25m8ivg.cloudfront.net/Documentos/631/14180037602/6311418003760208092023190214.pdf")</f>
        <v>https://dpmzos25m8ivg.cloudfront.net/Documentos/631/14180037602/6311418003760208092023190214.pdf</v>
      </c>
      <c r="G5597" s="5" t="str">
        <f>HYPERLINK("https://dpmzos25m8ivg.cloudfront.net/Documentos/631/14180037602/6311418003760208092023190233.pdf","https://dpmzos25m8ivg.cloudfront.net/Documentos/631/14180037602/6311418003760208092023190233.pdf")</f>
        <v>https://dpmzos25m8ivg.cloudfront.net/Documentos/631/14180037602/6311418003760208092023190233.pdf</v>
      </c>
      <c r="H5597" s="4" t="s">
        <v>14169</v>
      </c>
    </row>
    <row r="5598" spans="1:8" x14ac:dyDescent="0.25">
      <c r="A5598" s="2" t="s">
        <v>5626</v>
      </c>
      <c r="B5598" s="3"/>
      <c r="C5598" s="3"/>
      <c r="D5598" s="3"/>
      <c r="E5598" s="5" t="str">
        <f>HYPERLINK("https://dpmzos25m8ivg.cloudfront.net/Documentos/631/14180559641/6311418055964111092023162717.pdf","https://dpmzos25m8ivg.cloudfront.net/Documentos/631/14180559641/6311418055964111092023162717.pdf")</f>
        <v>https://dpmzos25m8ivg.cloudfront.net/Documentos/631/14180559641/6311418055964111092023162717.pdf</v>
      </c>
      <c r="F5598" s="5" t="str">
        <f>HYPERLINK("https://dpmzos25m8ivg.cloudfront.net/Documentos/631/14180559641/6311418055964111092023162746.pdf","https://dpmzos25m8ivg.cloudfront.net/Documentos/631/14180559641/6311418055964111092023162746.pdf")</f>
        <v>https://dpmzos25m8ivg.cloudfront.net/Documentos/631/14180559641/6311418055964111092023162746.pdf</v>
      </c>
      <c r="G5598" s="5" t="str">
        <f>HYPERLINK("https://dpmzos25m8ivg.cloudfront.net/Documentos/631/14180559641/6311418055964111092023162725.pdf","https://dpmzos25m8ivg.cloudfront.net/Documentos/631/14180559641/6311418055964111092023162725.pdf")</f>
        <v>https://dpmzos25m8ivg.cloudfront.net/Documentos/631/14180559641/6311418055964111092023162725.pdf</v>
      </c>
      <c r="H5598" s="4" t="s">
        <v>14170</v>
      </c>
    </row>
    <row r="5599" spans="1:8" x14ac:dyDescent="0.25">
      <c r="A5599" s="2" t="s">
        <v>5627</v>
      </c>
      <c r="B5599" s="19" t="s">
        <v>3385</v>
      </c>
      <c r="C5599" s="3"/>
      <c r="D5599" s="3"/>
      <c r="E5599" s="5" t="str">
        <f>HYPERLINK("https://dpmzos25m8ivg.cloudfront.net/Documentos/631/14182276680/6311418227668011092023100459.pdf","https://dpmzos25m8ivg.cloudfront.net/Documentos/631/14182276680/6311418227668011092023100459.pdf")</f>
        <v>https://dpmzos25m8ivg.cloudfront.net/Documentos/631/14182276680/6311418227668011092023100459.pdf</v>
      </c>
      <c r="F5599" s="5" t="str">
        <f>HYPERLINK("https://dpmzos25m8ivg.cloudfront.net/Documentos/631/14182276680/6311418227668011092023100521.pdf","https://dpmzos25m8ivg.cloudfront.net/Documentos/631/14182276680/6311418227668011092023100521.pdf")</f>
        <v>https://dpmzos25m8ivg.cloudfront.net/Documentos/631/14182276680/6311418227668011092023100521.pdf</v>
      </c>
      <c r="G5599" s="5" t="str">
        <f>HYPERLINK("https://dpmzos25m8ivg.cloudfront.net/Documentos/631/14182276680/6311418227668011092023100540.pdf","https://dpmzos25m8ivg.cloudfront.net/Documentos/631/14182276680/6311418227668011092023100540.pdf")</f>
        <v>https://dpmzos25m8ivg.cloudfront.net/Documentos/631/14182276680/6311418227668011092023100540.pdf</v>
      </c>
      <c r="H5599" s="4" t="s">
        <v>14171</v>
      </c>
    </row>
    <row r="5600" spans="1:8" x14ac:dyDescent="0.25">
      <c r="A5600" s="2" t="s">
        <v>5628</v>
      </c>
      <c r="B5600" s="3"/>
      <c r="C5600" s="3"/>
      <c r="D5600" s="3"/>
      <c r="E5600" s="5" t="str">
        <f>HYPERLINK("https://dpmzos25m8ivg.cloudfront.net/Documentos/631/14194787617/6311419478761705092023174757.pdf","https://dpmzos25m8ivg.cloudfront.net/Documentos/631/14194787617/6311419478761705092023174757.pdf")</f>
        <v>https://dpmzos25m8ivg.cloudfront.net/Documentos/631/14194787617/6311419478761705092023174757.pdf</v>
      </c>
      <c r="F5600" s="5" t="str">
        <f>HYPERLINK("https://dpmzos25m8ivg.cloudfront.net/Documentos/631/14194787617/6311419478761705092023174808.pdf","https://dpmzos25m8ivg.cloudfront.net/Documentos/631/14194787617/6311419478761705092023174808.pdf")</f>
        <v>https://dpmzos25m8ivg.cloudfront.net/Documentos/631/14194787617/6311419478761705092023174808.pdf</v>
      </c>
      <c r="G5600" s="5" t="str">
        <f>HYPERLINK("https://dpmzos25m8ivg.cloudfront.net/Documentos/631/14194787617/6311419478761705092023174818.pdf","https://dpmzos25m8ivg.cloudfront.net/Documentos/631/14194787617/6311419478761705092023174818.pdf")</f>
        <v>https://dpmzos25m8ivg.cloudfront.net/Documentos/631/14194787617/6311419478761705092023174818.pdf</v>
      </c>
      <c r="H5600" s="4" t="s">
        <v>14172</v>
      </c>
    </row>
    <row r="5601" spans="1:8" x14ac:dyDescent="0.25">
      <c r="A5601" s="2" t="s">
        <v>5629</v>
      </c>
      <c r="B5601" s="16" t="s">
        <v>2358</v>
      </c>
      <c r="C5601" s="3"/>
      <c r="D5601" s="3"/>
      <c r="E5601" s="5" t="str">
        <f>HYPERLINK("https://dpmzos25m8ivg.cloudfront.net/Documentos/631/14197996730/6311419799673006092023203426.pdf","https://dpmzos25m8ivg.cloudfront.net/Documentos/631/14197996730/6311419799673006092023203426.pdf")</f>
        <v>https://dpmzos25m8ivg.cloudfront.net/Documentos/631/14197996730/6311419799673006092023203426.pdf</v>
      </c>
      <c r="F5601" s="5" t="str">
        <f>HYPERLINK("https://dpmzos25m8ivg.cloudfront.net/Documentos/631/14197996730/6311419799673006092023203437.pdf","https://dpmzos25m8ivg.cloudfront.net/Documentos/631/14197996730/6311419799673006092023203437.pdf")</f>
        <v>https://dpmzos25m8ivg.cloudfront.net/Documentos/631/14197996730/6311419799673006092023203437.pdf</v>
      </c>
      <c r="G5601" s="5" t="str">
        <f>HYPERLINK("https://dpmzos25m8ivg.cloudfront.net/Documentos/631/14197996730/6311419799673006092023203447.pdf","https://dpmzos25m8ivg.cloudfront.net/Documentos/631/14197996730/6311419799673006092023203447.pdf")</f>
        <v>https://dpmzos25m8ivg.cloudfront.net/Documentos/631/14197996730/6311419799673006092023203447.pdf</v>
      </c>
      <c r="H5601" s="5" t="s">
        <v>14173</v>
      </c>
    </row>
    <row r="5602" spans="1:8" x14ac:dyDescent="0.25">
      <c r="A5602" s="2" t="s">
        <v>5630</v>
      </c>
      <c r="B5602" s="3" t="s">
        <v>308</v>
      </c>
      <c r="C5602" s="3"/>
      <c r="D5602" s="3"/>
      <c r="E5602" s="5" t="str">
        <f>HYPERLINK("https://dpmzos25m8ivg.cloudfront.net/Documentos/631/14203110858/6311420311085806092023200654.pdf","https://dpmzos25m8ivg.cloudfront.net/Documentos/631/14203110858/6311420311085806092023200654.pdf")</f>
        <v>https://dpmzos25m8ivg.cloudfront.net/Documentos/631/14203110858/6311420311085806092023200654.pdf</v>
      </c>
      <c r="F5602" s="5" t="str">
        <f>HYPERLINK("https://dpmzos25m8ivg.cloudfront.net/Documentos/631/14203110858/6311420311085806092023200735.pdf","https://dpmzos25m8ivg.cloudfront.net/Documentos/631/14203110858/6311420311085806092023200735.pdf")</f>
        <v>https://dpmzos25m8ivg.cloudfront.net/Documentos/631/14203110858/6311420311085806092023200735.pdf</v>
      </c>
      <c r="G5602" s="5" t="str">
        <f>HYPERLINK("https://dpmzos25m8ivg.cloudfront.net/Documentos/631/14203110858/6311420311085806092023200755.pdf","https://dpmzos25m8ivg.cloudfront.net/Documentos/631/14203110858/6311420311085806092023200755.pdf")</f>
        <v>https://dpmzos25m8ivg.cloudfront.net/Documentos/631/14203110858/6311420311085806092023200755.pdf</v>
      </c>
      <c r="H5602" s="4" t="s">
        <v>14174</v>
      </c>
    </row>
    <row r="5603" spans="1:8" x14ac:dyDescent="0.25">
      <c r="A5603" s="2" t="s">
        <v>5631</v>
      </c>
      <c r="B5603" s="3"/>
      <c r="C5603" s="3"/>
      <c r="D5603" s="3"/>
      <c r="E5603" s="5" t="str">
        <f>HYPERLINK("https://dpmzos25m8ivg.cloudfront.net/Documentos/631/14215793670/6311421579367011092023113303.pdf","https://dpmzos25m8ivg.cloudfront.net/Documentos/631/14215793670/6311421579367011092023113303.pdf")</f>
        <v>https://dpmzos25m8ivg.cloudfront.net/Documentos/631/14215793670/6311421579367011092023113303.pdf</v>
      </c>
      <c r="F5603" s="5" t="str">
        <f>HYPERLINK("https://dpmzos25m8ivg.cloudfront.net/Documentos/631/14215793670/6311421579367011092023113314.pdf","https://dpmzos25m8ivg.cloudfront.net/Documentos/631/14215793670/6311421579367011092023113314.pdf")</f>
        <v>https://dpmzos25m8ivg.cloudfront.net/Documentos/631/14215793670/6311421579367011092023113314.pdf</v>
      </c>
      <c r="G5603" s="5" t="str">
        <f>HYPERLINK("https://dpmzos25m8ivg.cloudfront.net/Documentos/631/14215793670/6311421579367011092023113327.pdf","https://dpmzos25m8ivg.cloudfront.net/Documentos/631/14215793670/6311421579367011092023113327.pdf")</f>
        <v>https://dpmzos25m8ivg.cloudfront.net/Documentos/631/14215793670/6311421579367011092023113327.pdf</v>
      </c>
      <c r="H5603" s="4" t="s">
        <v>14175</v>
      </c>
    </row>
    <row r="5604" spans="1:8" x14ac:dyDescent="0.25">
      <c r="A5604" s="2" t="s">
        <v>5632</v>
      </c>
      <c r="B5604" s="3"/>
      <c r="C5604" s="3"/>
      <c r="D5604" s="3"/>
      <c r="E5604" s="5" t="str">
        <f>HYPERLINK("https://dpmzos25m8ivg.cloudfront.net/Documentos/631/14217272774/6311421727277406092023093644.pdf","https://dpmzos25m8ivg.cloudfront.net/Documentos/631/14217272774/6311421727277406092023093644.pdf")</f>
        <v>https://dpmzos25m8ivg.cloudfront.net/Documentos/631/14217272774/6311421727277406092023093644.pdf</v>
      </c>
      <c r="F5604" s="5" t="str">
        <f>HYPERLINK("https://dpmzos25m8ivg.cloudfront.net/Documentos/631/14217272774/6311421727277406092023093651.pdf","https://dpmzos25m8ivg.cloudfront.net/Documentos/631/14217272774/6311421727277406092023093651.pdf")</f>
        <v>https://dpmzos25m8ivg.cloudfront.net/Documentos/631/14217272774/6311421727277406092023093651.pdf</v>
      </c>
      <c r="G5604" s="5" t="str">
        <f>HYPERLINK("https://dpmzos25m8ivg.cloudfront.net/Documentos/631/14217272774/6311421727277406092023093702.pdf","https://dpmzos25m8ivg.cloudfront.net/Documentos/631/14217272774/6311421727277406092023093702.pdf")</f>
        <v>https://dpmzos25m8ivg.cloudfront.net/Documentos/631/14217272774/6311421727277406092023093702.pdf</v>
      </c>
      <c r="H5604" s="4" t="s">
        <v>14176</v>
      </c>
    </row>
    <row r="5605" spans="1:8" x14ac:dyDescent="0.25">
      <c r="A5605" s="2" t="s">
        <v>5633</v>
      </c>
      <c r="B5605" s="3"/>
      <c r="C5605" s="3"/>
      <c r="D5605" s="3"/>
      <c r="E5605" s="5" t="str">
        <f>HYPERLINK("https://dpmzos25m8ivg.cloudfront.net/Documentos/631/14225825825/6311422582582506092023114344.pdf","https://dpmzos25m8ivg.cloudfront.net/Documentos/631/14225825825/6311422582582506092023114344.pdf")</f>
        <v>https://dpmzos25m8ivg.cloudfront.net/Documentos/631/14225825825/6311422582582506092023114344.pdf</v>
      </c>
      <c r="F5605" s="5" t="str">
        <f>HYPERLINK("https://dpmzos25m8ivg.cloudfront.net/Documentos/631/14225825825/6311422582582506092023114356.pdf","https://dpmzos25m8ivg.cloudfront.net/Documentos/631/14225825825/6311422582582506092023114356.pdf")</f>
        <v>https://dpmzos25m8ivg.cloudfront.net/Documentos/631/14225825825/6311422582582506092023114356.pdf</v>
      </c>
      <c r="G5605" s="5" t="str">
        <f>HYPERLINK("https://dpmzos25m8ivg.cloudfront.net/Documentos/631/14225825825/6311422582582506092023114409.pdf","https://dpmzos25m8ivg.cloudfront.net/Documentos/631/14225825825/6311422582582506092023114409.pdf")</f>
        <v>https://dpmzos25m8ivg.cloudfront.net/Documentos/631/14225825825/6311422582582506092023114409.pdf</v>
      </c>
      <c r="H5605" s="4" t="s">
        <v>14177</v>
      </c>
    </row>
    <row r="5606" spans="1:8" x14ac:dyDescent="0.25">
      <c r="A5606" s="2" t="s">
        <v>5634</v>
      </c>
      <c r="B5606" s="3"/>
      <c r="C5606" s="3"/>
      <c r="D5606" s="3"/>
      <c r="E5606" s="5" t="str">
        <f>HYPERLINK("https://dpmzos25m8ivg.cloudfront.net/Documentos/631/14231483639/6311423148363906092023152658.pdf","https://dpmzos25m8ivg.cloudfront.net/Documentos/631/14231483639/6311423148363906092023152658.pdf")</f>
        <v>https://dpmzos25m8ivg.cloudfront.net/Documentos/631/14231483639/6311423148363906092023152658.pdf</v>
      </c>
      <c r="F5606" s="5" t="str">
        <f>HYPERLINK("https://dpmzos25m8ivg.cloudfront.net/Documentos/631/14231483639/6311423148363906092023152706.pdf","https://dpmzos25m8ivg.cloudfront.net/Documentos/631/14231483639/6311423148363906092023152706.pdf")</f>
        <v>https://dpmzos25m8ivg.cloudfront.net/Documentos/631/14231483639/6311423148363906092023152706.pdf</v>
      </c>
      <c r="G5606" s="5" t="str">
        <f>HYPERLINK("https://dpmzos25m8ivg.cloudfront.net/Documentos/631/14231483639/6311423148363906092023152715.pdf","https://dpmzos25m8ivg.cloudfront.net/Documentos/631/14231483639/6311423148363906092023152715.pdf")</f>
        <v>https://dpmzos25m8ivg.cloudfront.net/Documentos/631/14231483639/6311423148363906092023152715.pdf</v>
      </c>
      <c r="H5606" s="4" t="s">
        <v>14178</v>
      </c>
    </row>
    <row r="5607" spans="1:8" x14ac:dyDescent="0.25">
      <c r="A5607" s="2" t="s">
        <v>5635</v>
      </c>
      <c r="B5607" s="3"/>
      <c r="C5607" s="3"/>
      <c r="D5607" s="3"/>
      <c r="E5607" s="5" t="str">
        <f>HYPERLINK("https://dpmzos25m8ivg.cloudfront.net/Documentos/631/14240756618/6311424075661811092023164901.pdf","https://dpmzos25m8ivg.cloudfront.net/Documentos/631/14240756618/6311424075661811092023164901.pdf")</f>
        <v>https://dpmzos25m8ivg.cloudfront.net/Documentos/631/14240756618/6311424075661811092023164901.pdf</v>
      </c>
      <c r="F5607" s="5" t="str">
        <f>HYPERLINK("https://dpmzos25m8ivg.cloudfront.net/Documentos/631/14240756618/6311424075661811092023165229.pdf","https://dpmzos25m8ivg.cloudfront.net/Documentos/631/14240756618/6311424075661811092023165229.pdf")</f>
        <v>https://dpmzos25m8ivg.cloudfront.net/Documentos/631/14240756618/6311424075661811092023165229.pdf</v>
      </c>
      <c r="G5607" s="5" t="str">
        <f>HYPERLINK("https://dpmzos25m8ivg.cloudfront.net/Documentos/631/14240756618/6311424075661811092023165135.pdf","https://dpmzos25m8ivg.cloudfront.net/Documentos/631/14240756618/6311424075661811092023165135.pdf")</f>
        <v>https://dpmzos25m8ivg.cloudfront.net/Documentos/631/14240756618/6311424075661811092023165135.pdf</v>
      </c>
      <c r="H5607" s="4" t="s">
        <v>14179</v>
      </c>
    </row>
    <row r="5608" spans="1:8" x14ac:dyDescent="0.25">
      <c r="A5608" s="2" t="s">
        <v>5636</v>
      </c>
      <c r="B5608" s="3"/>
      <c r="C5608" s="3"/>
      <c r="D5608" s="3"/>
      <c r="E5608" s="5" t="str">
        <f>HYPERLINK("https://dpmzos25m8ivg.cloudfront.net/Documentos/631/14241157874/6311424115787409092023234533.pdf","https://dpmzos25m8ivg.cloudfront.net/Documentos/631/14241157874/6311424115787409092023234533.pdf")</f>
        <v>https://dpmzos25m8ivg.cloudfront.net/Documentos/631/14241157874/6311424115787409092023234533.pdf</v>
      </c>
      <c r="F5608" s="5" t="str">
        <f>HYPERLINK("https://dpmzos25m8ivg.cloudfront.net/Documentos/631/14241157874/6311424115787409092023234558.pdf","https://dpmzos25m8ivg.cloudfront.net/Documentos/631/14241157874/6311424115787409092023234558.pdf")</f>
        <v>https://dpmzos25m8ivg.cloudfront.net/Documentos/631/14241157874/6311424115787409092023234558.pdf</v>
      </c>
      <c r="G5608" s="5" t="str">
        <f>HYPERLINK("https://dpmzos25m8ivg.cloudfront.net/Documentos/631/14241157874/6311424115787410092023004926.pdf","https://dpmzos25m8ivg.cloudfront.net/Documentos/631/14241157874/6311424115787410092023004926.pdf")</f>
        <v>https://dpmzos25m8ivg.cloudfront.net/Documentos/631/14241157874/6311424115787410092023004926.pdf</v>
      </c>
      <c r="H5608" s="4" t="s">
        <v>14180</v>
      </c>
    </row>
    <row r="5609" spans="1:8" x14ac:dyDescent="0.25">
      <c r="A5609" s="2" t="s">
        <v>5637</v>
      </c>
      <c r="B5609" s="16" t="s">
        <v>2358</v>
      </c>
      <c r="C5609" s="3"/>
      <c r="D5609" s="3"/>
      <c r="E5609" s="5" t="str">
        <f>HYPERLINK("https://dpmzos25m8ivg.cloudfront.net/Documentos/631/14241381758/6311424138175807092023172644.pdf","https://dpmzos25m8ivg.cloudfront.net/Documentos/631/14241381758/6311424138175807092023172644.pdf")</f>
        <v>https://dpmzos25m8ivg.cloudfront.net/Documentos/631/14241381758/6311424138175807092023172644.pdf</v>
      </c>
      <c r="F5609" s="5" t="str">
        <f>HYPERLINK("https://dpmzos25m8ivg.cloudfront.net/Documentos/631/14241381758/6311424138175807092023172732.pdf","https://dpmzos25m8ivg.cloudfront.net/Documentos/631/14241381758/6311424138175807092023172732.pdf")</f>
        <v>https://dpmzos25m8ivg.cloudfront.net/Documentos/631/14241381758/6311424138175807092023172732.pdf</v>
      </c>
      <c r="G5609" s="5" t="str">
        <f>HYPERLINK("https://dpmzos25m8ivg.cloudfront.net/Documentos/631/14241381758/6311424138175807092023172756.pdf","https://dpmzos25m8ivg.cloudfront.net/Documentos/631/14241381758/6311424138175807092023172756.pdf")</f>
        <v>https://dpmzos25m8ivg.cloudfront.net/Documentos/631/14241381758/6311424138175807092023172756.pdf</v>
      </c>
      <c r="H5609" s="5" t="s">
        <v>14181</v>
      </c>
    </row>
    <row r="5610" spans="1:8" x14ac:dyDescent="0.25">
      <c r="A5610" s="2" t="s">
        <v>5638</v>
      </c>
      <c r="B5610" s="3"/>
      <c r="C5610" s="3"/>
      <c r="D5610" s="3"/>
      <c r="E5610" s="5" t="str">
        <f>HYPERLINK("https://dpmzos25m8ivg.cloudfront.net/Documentos/631/14243348707/6311424334870706092023144710.pdf","https://dpmzos25m8ivg.cloudfront.net/Documentos/631/14243348707/6311424334870706092023144710.pdf")</f>
        <v>https://dpmzos25m8ivg.cloudfront.net/Documentos/631/14243348707/6311424334870706092023144710.pdf</v>
      </c>
      <c r="F5610" s="5" t="str">
        <f>HYPERLINK("https://dpmzos25m8ivg.cloudfront.net/Documentos/631/14243348707/6311424334870706092023144726.pdf","https://dpmzos25m8ivg.cloudfront.net/Documentos/631/14243348707/6311424334870706092023144726.pdf")</f>
        <v>https://dpmzos25m8ivg.cloudfront.net/Documentos/631/14243348707/6311424334870706092023144726.pdf</v>
      </c>
      <c r="G5610" s="5" t="str">
        <f>HYPERLINK("https://dpmzos25m8ivg.cloudfront.net/Documentos/631/14243348707/6311424334870706092023144738.pdf","https://dpmzos25m8ivg.cloudfront.net/Documentos/631/14243348707/6311424334870706092023144738.pdf")</f>
        <v>https://dpmzos25m8ivg.cloudfront.net/Documentos/631/14243348707/6311424334870706092023144738.pdf</v>
      </c>
      <c r="H5610" s="4" t="s">
        <v>14182</v>
      </c>
    </row>
    <row r="5611" spans="1:8" x14ac:dyDescent="0.25">
      <c r="A5611" s="2" t="s">
        <v>5639</v>
      </c>
      <c r="B5611" s="3"/>
      <c r="C5611" s="3"/>
      <c r="D5611" s="3"/>
      <c r="E5611" s="5" t="str">
        <f>HYPERLINK("https://dpmzos25m8ivg.cloudfront.net/Documentos/631/14253926606/6311425392660605092023150526.pdf","https://dpmzos25m8ivg.cloudfront.net/Documentos/631/14253926606/6311425392660605092023150526.pdf")</f>
        <v>https://dpmzos25m8ivg.cloudfront.net/Documentos/631/14253926606/6311425392660605092023150526.pdf</v>
      </c>
      <c r="F5611" s="5" t="str">
        <f>HYPERLINK("https://dpmzos25m8ivg.cloudfront.net/Documentos/631/14253926606/6311425392660605092023150549.pdf","https://dpmzos25m8ivg.cloudfront.net/Documentos/631/14253926606/6311425392660605092023150549.pdf")</f>
        <v>https://dpmzos25m8ivg.cloudfront.net/Documentos/631/14253926606/6311425392660605092023150549.pdf</v>
      </c>
      <c r="G5611" s="5" t="str">
        <f>HYPERLINK("https://dpmzos25m8ivg.cloudfront.net/Documentos/631/14253926606/6311425392660605092023150559.pdf","https://dpmzos25m8ivg.cloudfront.net/Documentos/631/14253926606/6311425392660605092023150559.pdf")</f>
        <v>https://dpmzos25m8ivg.cloudfront.net/Documentos/631/14253926606/6311425392660605092023150559.pdf</v>
      </c>
      <c r="H5611" s="4" t="s">
        <v>14183</v>
      </c>
    </row>
    <row r="5612" spans="1:8" x14ac:dyDescent="0.25">
      <c r="A5612" s="2" t="s">
        <v>5640</v>
      </c>
      <c r="B5612" s="3"/>
      <c r="C5612" s="3"/>
      <c r="D5612" s="3"/>
      <c r="E5612" s="5" t="str">
        <f>HYPERLINK("https://dpmzos25m8ivg.cloudfront.net/Documentos/631/14256651446/6311425665144611092023142249.pdf","https://dpmzos25m8ivg.cloudfront.net/Documentos/631/14256651446/6311425665144611092023142249.pdf")</f>
        <v>https://dpmzos25m8ivg.cloudfront.net/Documentos/631/14256651446/6311425665144611092023142249.pdf</v>
      </c>
      <c r="F5612" s="5" t="str">
        <f>HYPERLINK("https://dpmzos25m8ivg.cloudfront.net/Documentos/631/14256651446/6311425665144611092023142305.pdf","https://dpmzos25m8ivg.cloudfront.net/Documentos/631/14256651446/6311425665144611092023142305.pdf")</f>
        <v>https://dpmzos25m8ivg.cloudfront.net/Documentos/631/14256651446/6311425665144611092023142305.pdf</v>
      </c>
      <c r="G5612" s="5" t="str">
        <f>HYPERLINK("https://dpmzos25m8ivg.cloudfront.net/Documentos/631/14256651446/6311425665144611092023142323.pdf","https://dpmzos25m8ivg.cloudfront.net/Documentos/631/14256651446/6311425665144611092023142323.pdf")</f>
        <v>https://dpmzos25m8ivg.cloudfront.net/Documentos/631/14256651446/6311425665144611092023142323.pdf</v>
      </c>
      <c r="H5612" s="4" t="s">
        <v>14184</v>
      </c>
    </row>
    <row r="5613" spans="1:8" x14ac:dyDescent="0.25">
      <c r="A5613" s="2" t="s">
        <v>5641</v>
      </c>
      <c r="B5613" s="3"/>
      <c r="C5613" s="3"/>
      <c r="D5613" s="3"/>
      <c r="E5613" s="5" t="str">
        <f>HYPERLINK("https://dpmzos25m8ivg.cloudfront.net/Documentos/631/14260564609/6311426056460907092023154859.pdf","https://dpmzos25m8ivg.cloudfront.net/Documentos/631/14260564609/6311426056460907092023154859.pdf")</f>
        <v>https://dpmzos25m8ivg.cloudfront.net/Documentos/631/14260564609/6311426056460907092023154859.pdf</v>
      </c>
      <c r="F5613" s="5" t="str">
        <f>HYPERLINK("https://dpmzos25m8ivg.cloudfront.net/Documentos/631/14260564609/6311426056460907092023154909.pdf","https://dpmzos25m8ivg.cloudfront.net/Documentos/631/14260564609/6311426056460907092023154909.pdf")</f>
        <v>https://dpmzos25m8ivg.cloudfront.net/Documentos/631/14260564609/6311426056460907092023154909.pdf</v>
      </c>
      <c r="G5613" s="5" t="str">
        <f>HYPERLINK("https://dpmzos25m8ivg.cloudfront.net/Documentos/631/14260564609/6311426056460907092023154920.pdf","https://dpmzos25m8ivg.cloudfront.net/Documentos/631/14260564609/6311426056460907092023154920.pdf")</f>
        <v>https://dpmzos25m8ivg.cloudfront.net/Documentos/631/14260564609/6311426056460907092023154920.pdf</v>
      </c>
      <c r="H5613" s="4" t="s">
        <v>14185</v>
      </c>
    </row>
    <row r="5614" spans="1:8" x14ac:dyDescent="0.25">
      <c r="A5614" s="2" t="s">
        <v>5642</v>
      </c>
      <c r="B5614" s="3"/>
      <c r="C5614" s="3"/>
      <c r="D5614" s="3"/>
      <c r="E5614" s="5" t="str">
        <f>HYPERLINK("https://dpmzos25m8ivg.cloudfront.net/Documentos/631/14270203617/6311427020361711092023142840.pdf","https://dpmzos25m8ivg.cloudfront.net/Documentos/631/14270203617/6311427020361711092023142840.pdf")</f>
        <v>https://dpmzos25m8ivg.cloudfront.net/Documentos/631/14270203617/6311427020361711092023142840.pdf</v>
      </c>
      <c r="F5614" s="5" t="str">
        <f>HYPERLINK("https://dpmzos25m8ivg.cloudfront.net/Documentos/631/14270203617/6311427020361711092023142849.pdf","https://dpmzos25m8ivg.cloudfront.net/Documentos/631/14270203617/6311427020361711092023142849.pdf")</f>
        <v>https://dpmzos25m8ivg.cloudfront.net/Documentos/631/14270203617/6311427020361711092023142849.pdf</v>
      </c>
      <c r="G5614" s="5" t="str">
        <f>HYPERLINK("https://dpmzos25m8ivg.cloudfront.net/Documentos/631/14270203617/6311427020361711092023142858.pdf","https://dpmzos25m8ivg.cloudfront.net/Documentos/631/14270203617/6311427020361711092023142858.pdf")</f>
        <v>https://dpmzos25m8ivg.cloudfront.net/Documentos/631/14270203617/6311427020361711092023142858.pdf</v>
      </c>
      <c r="H5614" s="4" t="s">
        <v>14186</v>
      </c>
    </row>
    <row r="5615" spans="1:8" x14ac:dyDescent="0.25">
      <c r="A5615" s="2" t="s">
        <v>5643</v>
      </c>
      <c r="B5615" s="3"/>
      <c r="C5615" s="3"/>
      <c r="D5615" s="3"/>
      <c r="E5615" s="5" t="str">
        <f>HYPERLINK("https://dpmzos25m8ivg.cloudfront.net/Documentos/631/14278492693/6311427849269310092023235116.pdf","https://dpmzos25m8ivg.cloudfront.net/Documentos/631/14278492693/6311427849269310092023235116.pdf")</f>
        <v>https://dpmzos25m8ivg.cloudfront.net/Documentos/631/14278492693/6311427849269310092023235116.pdf</v>
      </c>
      <c r="F5615" s="5" t="str">
        <f>HYPERLINK("https://dpmzos25m8ivg.cloudfront.net/Documentos/631/14278492693/6311427849269311092023002436.pdf","https://dpmzos25m8ivg.cloudfront.net/Documentos/631/14278492693/6311427849269311092023002436.pdf")</f>
        <v>https://dpmzos25m8ivg.cloudfront.net/Documentos/631/14278492693/6311427849269311092023002436.pdf</v>
      </c>
      <c r="G5615" s="5" t="str">
        <f>HYPERLINK("https://dpmzos25m8ivg.cloudfront.net/Documentos/631/14278492693/6311427849269311092023002443.pdf","https://dpmzos25m8ivg.cloudfront.net/Documentos/631/14278492693/6311427849269311092023002443.pdf")</f>
        <v>https://dpmzos25m8ivg.cloudfront.net/Documentos/631/14278492693/6311427849269311092023002443.pdf</v>
      </c>
      <c r="H5615" s="4" t="s">
        <v>14187</v>
      </c>
    </row>
    <row r="5616" spans="1:8" x14ac:dyDescent="0.25">
      <c r="A5616" s="2" t="s">
        <v>5644</v>
      </c>
      <c r="B5616" s="3"/>
      <c r="C5616" s="3"/>
      <c r="D5616" s="3"/>
      <c r="E5616" s="5" t="str">
        <f>HYPERLINK("https://dpmzos25m8ivg.cloudfront.net/Documentos/631/14289406777/6311428940677711092023134319.pdf","https://dpmzos25m8ivg.cloudfront.net/Documentos/631/14289406777/6311428940677711092023134319.pdf")</f>
        <v>https://dpmzos25m8ivg.cloudfront.net/Documentos/631/14289406777/6311428940677711092023134319.pdf</v>
      </c>
      <c r="F5616" s="5" t="str">
        <f>HYPERLINK("https://dpmzos25m8ivg.cloudfront.net/Documentos/631/14289406777/6311428940677711092023134353.pdf","https://dpmzos25m8ivg.cloudfront.net/Documentos/631/14289406777/6311428940677711092023134353.pdf")</f>
        <v>https://dpmzos25m8ivg.cloudfront.net/Documentos/631/14289406777/6311428940677711092023134353.pdf</v>
      </c>
      <c r="G5616" s="5" t="str">
        <f>HYPERLINK("https://dpmzos25m8ivg.cloudfront.net/Documentos/631/14289406777/6311428940677711092023134424.pdf","https://dpmzos25m8ivg.cloudfront.net/Documentos/631/14289406777/6311428940677711092023134424.pdf")</f>
        <v>https://dpmzos25m8ivg.cloudfront.net/Documentos/631/14289406777/6311428940677711092023134424.pdf</v>
      </c>
      <c r="H5616" s="4" t="s">
        <v>14188</v>
      </c>
    </row>
    <row r="5617" spans="1:8" x14ac:dyDescent="0.25">
      <c r="A5617" s="2" t="s">
        <v>5645</v>
      </c>
      <c r="B5617" s="3"/>
      <c r="C5617" s="3"/>
      <c r="D5617" s="3"/>
      <c r="E5617" s="5" t="str">
        <f>HYPERLINK("https://dpmzos25m8ivg.cloudfront.net/Documentos/631/14292559600/6311429255960011092023102322.jpeg","https://dpmzos25m8ivg.cloudfront.net/Documentos/631/14292559600/6311429255960011092023102322.jpeg")</f>
        <v>https://dpmzos25m8ivg.cloudfront.net/Documentos/631/14292559600/6311429255960011092023102322.jpeg</v>
      </c>
      <c r="F5617" s="5" t="str">
        <f>HYPERLINK("https://dpmzos25m8ivg.cloudfront.net/Documentos/631/14292559600/6311429255960011092023102354.jpeg","https://dpmzos25m8ivg.cloudfront.net/Documentos/631/14292559600/6311429255960011092023102354.jpeg")</f>
        <v>https://dpmzos25m8ivg.cloudfront.net/Documentos/631/14292559600/6311429255960011092023102354.jpeg</v>
      </c>
      <c r="G5617" s="5" t="str">
        <f>HYPERLINK("https://dpmzos25m8ivg.cloudfront.net/Documentos/631/14292559600/6311429255960011092023102408.jpeg","https://dpmzos25m8ivg.cloudfront.net/Documentos/631/14292559600/6311429255960011092023102408.jpeg")</f>
        <v>https://dpmzos25m8ivg.cloudfront.net/Documentos/631/14292559600/6311429255960011092023102408.jpeg</v>
      </c>
      <c r="H5617" s="4" t="s">
        <v>14189</v>
      </c>
    </row>
    <row r="5618" spans="1:8" x14ac:dyDescent="0.25">
      <c r="A5618" s="2" t="s">
        <v>5646</v>
      </c>
      <c r="B5618" s="3"/>
      <c r="C5618" s="3"/>
      <c r="D5618" s="3"/>
      <c r="E5618" s="5" t="str">
        <f>HYPERLINK("https://dpmzos25m8ivg.cloudfront.net/Documentos/631/14296089781/6311429608978105092023112526.jpeg","https://dpmzos25m8ivg.cloudfront.net/Documentos/631/14296089781/6311429608978105092023112526.jpeg")</f>
        <v>https://dpmzos25m8ivg.cloudfront.net/Documentos/631/14296089781/6311429608978105092023112526.jpeg</v>
      </c>
      <c r="F5618" s="5" t="str">
        <f>HYPERLINK("https://dpmzos25m8ivg.cloudfront.net/Documentos/631/14296089781/6311429608978105092023112541.jpeg","https://dpmzos25m8ivg.cloudfront.net/Documentos/631/14296089781/6311429608978105092023112541.jpeg")</f>
        <v>https://dpmzos25m8ivg.cloudfront.net/Documentos/631/14296089781/6311429608978105092023112541.jpeg</v>
      </c>
      <c r="G5618" s="5" t="str">
        <f>HYPERLINK("https://dpmzos25m8ivg.cloudfront.net/Documentos/631/14296089781/6311429608978105092023112552.jpeg","https://dpmzos25m8ivg.cloudfront.net/Documentos/631/14296089781/6311429608978105092023112552.jpeg")</f>
        <v>https://dpmzos25m8ivg.cloudfront.net/Documentos/631/14296089781/6311429608978105092023112552.jpeg</v>
      </c>
      <c r="H5618" s="4" t="s">
        <v>14190</v>
      </c>
    </row>
    <row r="5619" spans="1:8" x14ac:dyDescent="0.25">
      <c r="A5619" s="2" t="s">
        <v>5647</v>
      </c>
      <c r="B5619" s="16" t="s">
        <v>2358</v>
      </c>
      <c r="C5619" s="3"/>
      <c r="D5619" s="3"/>
      <c r="E5619" s="5" t="str">
        <f>HYPERLINK("https://dpmzos25m8ivg.cloudfront.net/Documentos/631/14299021673/6311429902167314092023162519.pdf","https://dpmzos25m8ivg.cloudfront.net/Documentos/631/14299021673/6311429902167314092023162519.pdf")</f>
        <v>https://dpmzos25m8ivg.cloudfront.net/Documentos/631/14299021673/6311429902167314092023162519.pdf</v>
      </c>
      <c r="F5619" s="5" t="str">
        <f>HYPERLINK("https://dpmzos25m8ivg.cloudfront.net/Documentos/631/14299021673/6311429902167314092023162526.pdf","https://dpmzos25m8ivg.cloudfront.net/Documentos/631/14299021673/6311429902167314092023162526.pdf")</f>
        <v>https://dpmzos25m8ivg.cloudfront.net/Documentos/631/14299021673/6311429902167314092023162526.pdf</v>
      </c>
      <c r="G5619" s="5" t="str">
        <f>HYPERLINK("https://dpmzos25m8ivg.cloudfront.net/Documentos/631/14299021673/6311429902167314092023162534.pdf","https://dpmzos25m8ivg.cloudfront.net/Documentos/631/14299021673/6311429902167314092023162534.pdf")</f>
        <v>https://dpmzos25m8ivg.cloudfront.net/Documentos/631/14299021673/6311429902167314092023162534.pdf</v>
      </c>
      <c r="H5619" s="5" t="s">
        <v>14191</v>
      </c>
    </row>
    <row r="5620" spans="1:8" x14ac:dyDescent="0.25">
      <c r="A5620" s="2" t="s">
        <v>5648</v>
      </c>
      <c r="B5620" s="3"/>
      <c r="C5620" s="3"/>
      <c r="D5620" s="3"/>
      <c r="E5620" s="5" t="str">
        <f>HYPERLINK("https://dpmzos25m8ivg.cloudfront.net/Documentos/631/14301823425/6311430182342510092023194013.pdf","https://dpmzos25m8ivg.cloudfront.net/Documentos/631/14301823425/6311430182342510092023194013.pdf")</f>
        <v>https://dpmzos25m8ivg.cloudfront.net/Documentos/631/14301823425/6311430182342510092023194013.pdf</v>
      </c>
      <c r="F5620" s="5" t="str">
        <f>HYPERLINK("https://dpmzos25m8ivg.cloudfront.net/Documentos/631/14301823425/6311430182342510092023194052.pdf","https://dpmzos25m8ivg.cloudfront.net/Documentos/631/14301823425/6311430182342510092023194052.pdf")</f>
        <v>https://dpmzos25m8ivg.cloudfront.net/Documentos/631/14301823425/6311430182342510092023194052.pdf</v>
      </c>
      <c r="G5620" s="5" t="str">
        <f>HYPERLINK("https://dpmzos25m8ivg.cloudfront.net/Documentos/631/14301823425/6311430182342510092023194114.pdf","https://dpmzos25m8ivg.cloudfront.net/Documentos/631/14301823425/6311430182342510092023194114.pdf")</f>
        <v>https://dpmzos25m8ivg.cloudfront.net/Documentos/631/14301823425/6311430182342510092023194114.pdf</v>
      </c>
      <c r="H5620" s="4" t="s">
        <v>14192</v>
      </c>
    </row>
    <row r="5621" spans="1:8" x14ac:dyDescent="0.25">
      <c r="A5621" s="2" t="s">
        <v>5649</v>
      </c>
      <c r="B5621" s="3"/>
      <c r="C5621" s="3"/>
      <c r="D5621" s="3"/>
      <c r="E5621" s="5" t="str">
        <f>HYPERLINK("https://dpmzos25m8ivg.cloudfront.net/Documentos/631/14303696633/6311430369663305092023224949.pdf","https://dpmzos25m8ivg.cloudfront.net/Documentos/631/14303696633/6311430369663305092023224949.pdf")</f>
        <v>https://dpmzos25m8ivg.cloudfront.net/Documentos/631/14303696633/6311430369663305092023224949.pdf</v>
      </c>
      <c r="F5621" s="5" t="str">
        <f>HYPERLINK("https://dpmzos25m8ivg.cloudfront.net/Documentos/631/14303696633/6311430369663305092023225002.pdf","https://dpmzos25m8ivg.cloudfront.net/Documentos/631/14303696633/6311430369663305092023225002.pdf")</f>
        <v>https://dpmzos25m8ivg.cloudfront.net/Documentos/631/14303696633/6311430369663305092023225002.pdf</v>
      </c>
      <c r="G5621" s="5" t="str">
        <f>HYPERLINK("https://dpmzos25m8ivg.cloudfront.net/Documentos/631/14303696633/6311430369663305092023225014.pdf","https://dpmzos25m8ivg.cloudfront.net/Documentos/631/14303696633/6311430369663305092023225014.pdf")</f>
        <v>https://dpmzos25m8ivg.cloudfront.net/Documentos/631/14303696633/6311430369663305092023225014.pdf</v>
      </c>
      <c r="H5621" s="4" t="s">
        <v>14193</v>
      </c>
    </row>
    <row r="5622" spans="1:8" x14ac:dyDescent="0.25">
      <c r="A5622" s="2" t="s">
        <v>5650</v>
      </c>
      <c r="B5622" s="3"/>
      <c r="C5622" s="3"/>
      <c r="D5622" s="3"/>
      <c r="E5622" s="5" t="str">
        <f>HYPERLINK("https://dpmzos25m8ivg.cloudfront.net/Documentos/631/14309166725/6311430916672505092023140706.jpeg","https://dpmzos25m8ivg.cloudfront.net/Documentos/631/14309166725/6311430916672505092023140706.jpeg")</f>
        <v>https://dpmzos25m8ivg.cloudfront.net/Documentos/631/14309166725/6311430916672505092023140706.jpeg</v>
      </c>
      <c r="F5622" s="5" t="str">
        <f>HYPERLINK("https://dpmzos25m8ivg.cloudfront.net/Documentos/631/14309166725/6311430916672505092023140725.jpeg","https://dpmzos25m8ivg.cloudfront.net/Documentos/631/14309166725/6311430916672505092023140725.jpeg")</f>
        <v>https://dpmzos25m8ivg.cloudfront.net/Documentos/631/14309166725/6311430916672505092023140725.jpeg</v>
      </c>
      <c r="G5622" s="5" t="str">
        <f>HYPERLINK("https://dpmzos25m8ivg.cloudfront.net/Documentos/631/14309166725/6311430916672505092023140740.jpeg","https://dpmzos25m8ivg.cloudfront.net/Documentos/631/14309166725/6311430916672505092023140740.jpeg")</f>
        <v>https://dpmzos25m8ivg.cloudfront.net/Documentos/631/14309166725/6311430916672505092023140740.jpeg</v>
      </c>
      <c r="H5622" s="4" t="s">
        <v>14194</v>
      </c>
    </row>
    <row r="5623" spans="1:8" x14ac:dyDescent="0.25">
      <c r="A5623" s="2" t="s">
        <v>5651</v>
      </c>
      <c r="B5623" s="3"/>
      <c r="C5623" s="3"/>
      <c r="D5623" s="3"/>
      <c r="E5623" s="5" t="str">
        <f>HYPERLINK("https://dpmzos25m8ivg.cloudfront.net/Documentos/631/14310273750/6311431027375011092023165647.jpeg","https://dpmzos25m8ivg.cloudfront.net/Documentos/631/14310273750/6311431027375011092023165647.jpeg")</f>
        <v>https://dpmzos25m8ivg.cloudfront.net/Documentos/631/14310273750/6311431027375011092023165647.jpeg</v>
      </c>
      <c r="F5623" s="5" t="str">
        <f>HYPERLINK("https://dpmzos25m8ivg.cloudfront.net/Documentos/631/14310273750/6311431027375011092023165658.jpeg","https://dpmzos25m8ivg.cloudfront.net/Documentos/631/14310273750/6311431027375011092023165658.jpeg")</f>
        <v>https://dpmzos25m8ivg.cloudfront.net/Documentos/631/14310273750/6311431027375011092023165658.jpeg</v>
      </c>
      <c r="G5623" s="5" t="str">
        <f>HYPERLINK("https://dpmzos25m8ivg.cloudfront.net/Documentos/631/14310273750/6311431027375011092023165711.jpeg","https://dpmzos25m8ivg.cloudfront.net/Documentos/631/14310273750/6311431027375011092023165711.jpeg")</f>
        <v>https://dpmzos25m8ivg.cloudfront.net/Documentos/631/14310273750/6311431027375011092023165711.jpeg</v>
      </c>
      <c r="H5623" s="4" t="s">
        <v>14195</v>
      </c>
    </row>
    <row r="5624" spans="1:8" x14ac:dyDescent="0.25">
      <c r="A5624" s="2" t="s">
        <v>5652</v>
      </c>
      <c r="B5624" s="19" t="s">
        <v>3385</v>
      </c>
      <c r="C5624" s="3"/>
      <c r="D5624" s="3"/>
      <c r="E5624" s="5" t="str">
        <f>HYPERLINK("https://dpmzos25m8ivg.cloudfront.net/Documentos/631/14316996835/6311431699683511092023133652.pdf","https://dpmzos25m8ivg.cloudfront.net/Documentos/631/14316996835/6311431699683511092023133652.pdf")</f>
        <v>https://dpmzos25m8ivg.cloudfront.net/Documentos/631/14316996835/6311431699683511092023133652.pdf</v>
      </c>
      <c r="F5624" s="5" t="str">
        <f>HYPERLINK("https://dpmzos25m8ivg.cloudfront.net/Documentos/631/14316996835/6311431699683511092023133709.pdf","https://dpmzos25m8ivg.cloudfront.net/Documentos/631/14316996835/6311431699683511092023133709.pdf")</f>
        <v>https://dpmzos25m8ivg.cloudfront.net/Documentos/631/14316996835/6311431699683511092023133709.pdf</v>
      </c>
      <c r="G5624" s="5" t="str">
        <f>HYPERLINK("https://dpmzos25m8ivg.cloudfront.net/Documentos/631/14316996835/6311431699683511092023133723.pdf","https://dpmzos25m8ivg.cloudfront.net/Documentos/631/14316996835/6311431699683511092023133723.pdf")</f>
        <v>https://dpmzos25m8ivg.cloudfront.net/Documentos/631/14316996835/6311431699683511092023133723.pdf</v>
      </c>
      <c r="H5624" s="4" t="s">
        <v>14196</v>
      </c>
    </row>
    <row r="5625" spans="1:8" x14ac:dyDescent="0.25">
      <c r="A5625" s="2" t="s">
        <v>5653</v>
      </c>
      <c r="B5625" s="3"/>
      <c r="C5625" s="3"/>
      <c r="D5625" s="3"/>
      <c r="E5625" s="5" t="str">
        <f>HYPERLINK("https://dpmzos25m8ivg.cloudfront.net/Documentos/631/14317827697/6311431782769704092023211309.pdf","https://dpmzos25m8ivg.cloudfront.net/Documentos/631/14317827697/6311431782769704092023211309.pdf")</f>
        <v>https://dpmzos25m8ivg.cloudfront.net/Documentos/631/14317827697/6311431782769704092023211309.pdf</v>
      </c>
      <c r="F5625" s="5" t="str">
        <f>HYPERLINK("https://dpmzos25m8ivg.cloudfront.net/Documentos/631/14317827697/6311431782769704092023213429.pdf","https://dpmzos25m8ivg.cloudfront.net/Documentos/631/14317827697/6311431782769704092023213429.pdf")</f>
        <v>https://dpmzos25m8ivg.cloudfront.net/Documentos/631/14317827697/6311431782769704092023213429.pdf</v>
      </c>
      <c r="G5625" s="5" t="str">
        <f>HYPERLINK("https://dpmzos25m8ivg.cloudfront.net/Documentos/631/14317827697/6311431782769704092023213340.pdf","https://dpmzos25m8ivg.cloudfront.net/Documentos/631/14317827697/6311431782769704092023213340.pdf")</f>
        <v>https://dpmzos25m8ivg.cloudfront.net/Documentos/631/14317827697/6311431782769704092023213340.pdf</v>
      </c>
      <c r="H5625" s="4" t="s">
        <v>14197</v>
      </c>
    </row>
    <row r="5626" spans="1:8" x14ac:dyDescent="0.25">
      <c r="A5626" s="2" t="s">
        <v>5654</v>
      </c>
      <c r="B5626" s="3"/>
      <c r="C5626" s="3"/>
      <c r="D5626" s="3"/>
      <c r="E5626" s="5" t="str">
        <f>HYPERLINK("https://dpmzos25m8ivg.cloudfront.net/Documentos/631/14329583720/6311432958372012092023223521.jpg","https://dpmzos25m8ivg.cloudfront.net/Documentos/631/14329583720/6311432958372012092023223521.jpg")</f>
        <v>https://dpmzos25m8ivg.cloudfront.net/Documentos/631/14329583720/6311432958372012092023223521.jpg</v>
      </c>
      <c r="F5626" s="5" t="str">
        <f>HYPERLINK("https://dpmzos25m8ivg.cloudfront.net/Documentos/631/14329583720/6311432958372012092023223535.jpg","https://dpmzos25m8ivg.cloudfront.net/Documentos/631/14329583720/6311432958372012092023223535.jpg")</f>
        <v>https://dpmzos25m8ivg.cloudfront.net/Documentos/631/14329583720/6311432958372012092023223535.jpg</v>
      </c>
      <c r="G5626" s="5" t="str">
        <f>HYPERLINK("https://dpmzos25m8ivg.cloudfront.net/Documentos/631/14329583720/6311432958372012092023223546.jpg","https://dpmzos25m8ivg.cloudfront.net/Documentos/631/14329583720/6311432958372012092023223546.jpg")</f>
        <v>https://dpmzos25m8ivg.cloudfront.net/Documentos/631/14329583720/6311432958372012092023223546.jpg</v>
      </c>
      <c r="H5626" s="4" t="s">
        <v>14198</v>
      </c>
    </row>
    <row r="5627" spans="1:8" x14ac:dyDescent="0.25">
      <c r="A5627" s="2" t="s">
        <v>5655</v>
      </c>
      <c r="B5627" s="3"/>
      <c r="C5627" s="3"/>
      <c r="D5627" s="3"/>
      <c r="E5627" s="5" t="str">
        <f>HYPERLINK("https://dpmzos25m8ivg.cloudfront.net/Documentos/631/14329806614/6311432980661411092023101734.pdf","https://dpmzos25m8ivg.cloudfront.net/Documentos/631/14329806614/6311432980661411092023101734.pdf")</f>
        <v>https://dpmzos25m8ivg.cloudfront.net/Documentos/631/14329806614/6311432980661411092023101734.pdf</v>
      </c>
      <c r="F5627" s="5" t="str">
        <f>HYPERLINK("https://dpmzos25m8ivg.cloudfront.net/Documentos/631/14329806614/6311432980661411092023101724.pdf","https://dpmzos25m8ivg.cloudfront.net/Documentos/631/14329806614/6311432980661411092023101724.pdf")</f>
        <v>https://dpmzos25m8ivg.cloudfront.net/Documentos/631/14329806614/6311432980661411092023101724.pdf</v>
      </c>
      <c r="G5627" s="5" t="str">
        <f>HYPERLINK("https://dpmzos25m8ivg.cloudfront.net/Documentos/631/14329806614/6311432980661411092023101135.pdf","https://dpmzos25m8ivg.cloudfront.net/Documentos/631/14329806614/6311432980661411092023101135.pdf")</f>
        <v>https://dpmzos25m8ivg.cloudfront.net/Documentos/631/14329806614/6311432980661411092023101135.pdf</v>
      </c>
      <c r="H5627" s="4" t="s">
        <v>14199</v>
      </c>
    </row>
    <row r="5628" spans="1:8" x14ac:dyDescent="0.25">
      <c r="A5628" s="2" t="s">
        <v>5656</v>
      </c>
      <c r="B5628" s="3"/>
      <c r="C5628" s="3"/>
      <c r="D5628" s="3"/>
      <c r="E5628" s="5" t="str">
        <f>HYPERLINK("https://dpmzos25m8ivg.cloudfront.net/Documentos/631/14333018730/6311433301873014092023135707.pdf","https://dpmzos25m8ivg.cloudfront.net/Documentos/631/14333018730/6311433301873014092023135707.pdf")</f>
        <v>https://dpmzos25m8ivg.cloudfront.net/Documentos/631/14333018730/6311433301873014092023135707.pdf</v>
      </c>
      <c r="F5628" s="5" t="str">
        <f>HYPERLINK("https://dpmzos25m8ivg.cloudfront.net/Documentos/631/14333018730/6311433301873014092023135715.pdf","https://dpmzos25m8ivg.cloudfront.net/Documentos/631/14333018730/6311433301873014092023135715.pdf")</f>
        <v>https://dpmzos25m8ivg.cloudfront.net/Documentos/631/14333018730/6311433301873014092023135715.pdf</v>
      </c>
      <c r="G5628" s="5" t="str">
        <f>HYPERLINK("https://dpmzos25m8ivg.cloudfront.net/Documentos/631/14333018730/6311433301873014092023135922.pdf","https://dpmzos25m8ivg.cloudfront.net/Documentos/631/14333018730/6311433301873014092023135922.pdf")</f>
        <v>https://dpmzos25m8ivg.cloudfront.net/Documentos/631/14333018730/6311433301873014092023135922.pdf</v>
      </c>
      <c r="H5628" s="4" t="s">
        <v>14200</v>
      </c>
    </row>
    <row r="5629" spans="1:8" x14ac:dyDescent="0.25">
      <c r="A5629" s="2" t="s">
        <v>5657</v>
      </c>
      <c r="B5629" s="3"/>
      <c r="C5629" s="3"/>
      <c r="D5629" s="3"/>
      <c r="E5629" s="5" t="str">
        <f>HYPERLINK("https://dpmzos25m8ivg.cloudfront.net/Documentos/631/14333425883/6311433342588311092023113007.pdf","https://dpmzos25m8ivg.cloudfront.net/Documentos/631/14333425883/6311433342588311092023113007.pdf")</f>
        <v>https://dpmzos25m8ivg.cloudfront.net/Documentos/631/14333425883/6311433342588311092023113007.pdf</v>
      </c>
      <c r="F5629" s="5" t="str">
        <f>HYPERLINK("https://dpmzos25m8ivg.cloudfront.net/Documentos/631/14333425883/6311433342588311092023113034.pdf","https://dpmzos25m8ivg.cloudfront.net/Documentos/631/14333425883/6311433342588311092023113034.pdf")</f>
        <v>https://dpmzos25m8ivg.cloudfront.net/Documentos/631/14333425883/6311433342588311092023113034.pdf</v>
      </c>
      <c r="G5629" s="5" t="str">
        <f>HYPERLINK("https://dpmzos25m8ivg.cloudfront.net/Documentos/631/14333425883/6311433342588311092023113049.pdf","https://dpmzos25m8ivg.cloudfront.net/Documentos/631/14333425883/6311433342588311092023113049.pdf")</f>
        <v>https://dpmzos25m8ivg.cloudfront.net/Documentos/631/14333425883/6311433342588311092023113049.pdf</v>
      </c>
      <c r="H5629" s="4" t="s">
        <v>14201</v>
      </c>
    </row>
    <row r="5630" spans="1:8" x14ac:dyDescent="0.25">
      <c r="A5630" s="2" t="s">
        <v>5658</v>
      </c>
      <c r="B5630" s="3"/>
      <c r="C5630" s="3"/>
      <c r="D5630" s="3"/>
      <c r="E5630" s="5" t="str">
        <f>HYPERLINK("https://dpmzos25m8ivg.cloudfront.net/Documentos/631/14351328665/6311435132866506092023093833.pdf","https://dpmzos25m8ivg.cloudfront.net/Documentos/631/14351328665/6311435132866506092023093833.pdf")</f>
        <v>https://dpmzos25m8ivg.cloudfront.net/Documentos/631/14351328665/6311435132866506092023093833.pdf</v>
      </c>
      <c r="F5630" s="5" t="str">
        <f>HYPERLINK("https://dpmzos25m8ivg.cloudfront.net/Documentos/631/14351328665/6311435132866506092023093905.pdf","https://dpmzos25m8ivg.cloudfront.net/Documentos/631/14351328665/6311435132866506092023093905.pdf")</f>
        <v>https://dpmzos25m8ivg.cloudfront.net/Documentos/631/14351328665/6311435132866506092023093905.pdf</v>
      </c>
      <c r="G5630" s="5" t="str">
        <f>HYPERLINK("https://dpmzos25m8ivg.cloudfront.net/Documentos/631/14351328665/6311435132866506092023093928.pdf","https://dpmzos25m8ivg.cloudfront.net/Documentos/631/14351328665/6311435132866506092023093928.pdf")</f>
        <v>https://dpmzos25m8ivg.cloudfront.net/Documentos/631/14351328665/6311435132866506092023093928.pdf</v>
      </c>
      <c r="H5630" s="4" t="s">
        <v>14202</v>
      </c>
    </row>
    <row r="5631" spans="1:8" x14ac:dyDescent="0.25">
      <c r="A5631" s="2" t="s">
        <v>5659</v>
      </c>
      <c r="B5631" s="3"/>
      <c r="C5631" s="3"/>
      <c r="D5631" s="3"/>
      <c r="E5631" s="5" t="str">
        <f>HYPERLINK("https://dpmzos25m8ivg.cloudfront.net/Documentos/631/14363297603/6311436329760305092023094833.pdf","https://dpmzos25m8ivg.cloudfront.net/Documentos/631/14363297603/6311436329760305092023094833.pdf")</f>
        <v>https://dpmzos25m8ivg.cloudfront.net/Documentos/631/14363297603/6311436329760305092023094833.pdf</v>
      </c>
      <c r="F5631" s="5" t="str">
        <f>HYPERLINK("https://dpmzos25m8ivg.cloudfront.net/Documentos/631/14363297603/6311436329760305092023094849.pdf","https://dpmzos25m8ivg.cloudfront.net/Documentos/631/14363297603/6311436329760305092023094849.pdf")</f>
        <v>https://dpmzos25m8ivg.cloudfront.net/Documentos/631/14363297603/6311436329760305092023094849.pdf</v>
      </c>
      <c r="G5631" s="5" t="str">
        <f>HYPERLINK("https://dpmzos25m8ivg.cloudfront.net/Documentos/631/14363297603/6311436329760305092023094903.pdf","https://dpmzos25m8ivg.cloudfront.net/Documentos/631/14363297603/6311436329760305092023094903.pdf")</f>
        <v>https://dpmzos25m8ivg.cloudfront.net/Documentos/631/14363297603/6311436329760305092023094903.pdf</v>
      </c>
      <c r="H5631" s="4" t="s">
        <v>14203</v>
      </c>
    </row>
    <row r="5632" spans="1:8" x14ac:dyDescent="0.25">
      <c r="A5632" s="2" t="s">
        <v>5660</v>
      </c>
      <c r="B5632" s="3"/>
      <c r="C5632" s="3"/>
      <c r="D5632" s="3"/>
      <c r="E5632" s="5" t="str">
        <f>HYPERLINK("https://dpmzos25m8ivg.cloudfront.net/Documentos/631/14365909657/6311436590965711092023154724.jpeg","https://dpmzos25m8ivg.cloudfront.net/Documentos/631/14365909657/6311436590965711092023154724.jpeg")</f>
        <v>https://dpmzos25m8ivg.cloudfront.net/Documentos/631/14365909657/6311436590965711092023154724.jpeg</v>
      </c>
      <c r="F5632" s="5" t="str">
        <f>HYPERLINK("https://dpmzos25m8ivg.cloudfront.net/Documentos/631/14365909657/6311436590965711092023154734.jpeg","https://dpmzos25m8ivg.cloudfront.net/Documentos/631/14365909657/6311436590965711092023154734.jpeg")</f>
        <v>https://dpmzos25m8ivg.cloudfront.net/Documentos/631/14365909657/6311436590965711092023154734.jpeg</v>
      </c>
      <c r="G5632" s="5" t="str">
        <f>HYPERLINK("https://dpmzos25m8ivg.cloudfront.net/Documentos/631/14365909657/6311436590965711092023154745.jpeg","https://dpmzos25m8ivg.cloudfront.net/Documentos/631/14365909657/6311436590965711092023154745.jpeg")</f>
        <v>https://dpmzos25m8ivg.cloudfront.net/Documentos/631/14365909657/6311436590965711092023154745.jpeg</v>
      </c>
      <c r="H5632" s="4" t="s">
        <v>14204</v>
      </c>
    </row>
    <row r="5633" spans="1:8" x14ac:dyDescent="0.25">
      <c r="A5633" s="2" t="s">
        <v>5661</v>
      </c>
      <c r="B5633" s="3"/>
      <c r="C5633" s="3"/>
      <c r="D5633" s="3"/>
      <c r="E5633" s="5" t="str">
        <f>HYPERLINK("https://dpmzos25m8ivg.cloudfront.net/Documentos/631/14371749739/6311437174973909092023161229.pdf","https://dpmzos25m8ivg.cloudfront.net/Documentos/631/14371749739/6311437174973909092023161229.pdf")</f>
        <v>https://dpmzos25m8ivg.cloudfront.net/Documentos/631/14371749739/6311437174973909092023161229.pdf</v>
      </c>
      <c r="F5633" s="5" t="str">
        <f>HYPERLINK("https://dpmzos25m8ivg.cloudfront.net/Documentos/631/14371749739/6311437174973909092023161302.pdf","https://dpmzos25m8ivg.cloudfront.net/Documentos/631/14371749739/6311437174973909092023161302.pdf")</f>
        <v>https://dpmzos25m8ivg.cloudfront.net/Documentos/631/14371749739/6311437174973909092023161302.pdf</v>
      </c>
      <c r="G5633" s="5" t="str">
        <f>HYPERLINK("https://dpmzos25m8ivg.cloudfront.net/Documentos/631/14371749739/6311437174973909092023161326.pdf","https://dpmzos25m8ivg.cloudfront.net/Documentos/631/14371749739/6311437174973909092023161326.pdf")</f>
        <v>https://dpmzos25m8ivg.cloudfront.net/Documentos/631/14371749739/6311437174973909092023161326.pdf</v>
      </c>
      <c r="H5633" s="4" t="s">
        <v>14205</v>
      </c>
    </row>
    <row r="5634" spans="1:8" x14ac:dyDescent="0.25">
      <c r="A5634" s="2" t="s">
        <v>5662</v>
      </c>
      <c r="B5634" s="3"/>
      <c r="C5634" s="3"/>
      <c r="D5634" s="3"/>
      <c r="E5634" s="5" t="str">
        <f>HYPERLINK("https://dpmzos25m8ivg.cloudfront.net/Documentos/631/14379455629/6311437945562905092023133459.pdf","https://dpmzos25m8ivg.cloudfront.net/Documentos/631/14379455629/6311437945562905092023133459.pdf")</f>
        <v>https://dpmzos25m8ivg.cloudfront.net/Documentos/631/14379455629/6311437945562905092023133459.pdf</v>
      </c>
      <c r="F5634" s="5" t="str">
        <f>HYPERLINK("https://dpmzos25m8ivg.cloudfront.net/Documentos/631/14379455629/6311437945562905092023133511.pdf","https://dpmzos25m8ivg.cloudfront.net/Documentos/631/14379455629/6311437945562905092023133511.pdf")</f>
        <v>https://dpmzos25m8ivg.cloudfront.net/Documentos/631/14379455629/6311437945562905092023133511.pdf</v>
      </c>
      <c r="G5634" s="5" t="str">
        <f>HYPERLINK("https://dpmzos25m8ivg.cloudfront.net/Documentos/631/14379455629/6311437945562905092023133523.pdf","https://dpmzos25m8ivg.cloudfront.net/Documentos/631/14379455629/6311437945562905092023133523.pdf")</f>
        <v>https://dpmzos25m8ivg.cloudfront.net/Documentos/631/14379455629/6311437945562905092023133523.pdf</v>
      </c>
      <c r="H5634" s="4" t="s">
        <v>14206</v>
      </c>
    </row>
    <row r="5635" spans="1:8" x14ac:dyDescent="0.25">
      <c r="A5635" s="2" t="s">
        <v>5663</v>
      </c>
      <c r="B5635" s="16" t="s">
        <v>2358</v>
      </c>
      <c r="C5635" s="3"/>
      <c r="D5635" s="3"/>
      <c r="E5635" s="5" t="str">
        <f>HYPERLINK("https://dpmzos25m8ivg.cloudfront.net/Documentos/631/14384782756/6311438478275611092023111449.jpeg","https://dpmzos25m8ivg.cloudfront.net/Documentos/631/14384782756/6311438478275611092023111449.jpeg")</f>
        <v>https://dpmzos25m8ivg.cloudfront.net/Documentos/631/14384782756/6311438478275611092023111449.jpeg</v>
      </c>
      <c r="F5635" s="5" t="str">
        <f>HYPERLINK("https://dpmzos25m8ivg.cloudfront.net/Documentos/631/14384782756/6311438478275611092023111456.jpeg","https://dpmzos25m8ivg.cloudfront.net/Documentos/631/14384782756/6311438478275611092023111456.jpeg")</f>
        <v>https://dpmzos25m8ivg.cloudfront.net/Documentos/631/14384782756/6311438478275611092023111456.jpeg</v>
      </c>
      <c r="G5635" s="5" t="str">
        <f>HYPERLINK("https://dpmzos25m8ivg.cloudfront.net/Documentos/631/14384782756/6311438478275611092023111502.jpeg","https://dpmzos25m8ivg.cloudfront.net/Documentos/631/14384782756/6311438478275611092023111502.jpeg")</f>
        <v>https://dpmzos25m8ivg.cloudfront.net/Documentos/631/14384782756/6311438478275611092023111502.jpeg</v>
      </c>
      <c r="H5635" s="5" t="s">
        <v>14207</v>
      </c>
    </row>
    <row r="5636" spans="1:8" x14ac:dyDescent="0.25">
      <c r="A5636" s="2" t="s">
        <v>5664</v>
      </c>
      <c r="B5636" s="3"/>
      <c r="C5636" s="3"/>
      <c r="D5636" s="3"/>
      <c r="E5636" s="5" t="str">
        <f>HYPERLINK("https://dpmzos25m8ivg.cloudfront.net/Documentos/631/14389415875/6311438941587511092023130147.pdf","https://dpmzos25m8ivg.cloudfront.net/Documentos/631/14389415875/6311438941587511092023130147.pdf")</f>
        <v>https://dpmzos25m8ivg.cloudfront.net/Documentos/631/14389415875/6311438941587511092023130147.pdf</v>
      </c>
      <c r="F5636" s="5" t="str">
        <f>HYPERLINK("https://dpmzos25m8ivg.cloudfront.net/Documentos/631/14389415875/6311438941587511092023130159.pdf","https://dpmzos25m8ivg.cloudfront.net/Documentos/631/14389415875/6311438941587511092023130159.pdf")</f>
        <v>https://dpmzos25m8ivg.cloudfront.net/Documentos/631/14389415875/6311438941587511092023130159.pdf</v>
      </c>
      <c r="G5636" s="5" t="str">
        <f>HYPERLINK("https://dpmzos25m8ivg.cloudfront.net/Documentos/631/14389415875/6311438941587511092023130213.pdf","https://dpmzos25m8ivg.cloudfront.net/Documentos/631/14389415875/6311438941587511092023130213.pdf")</f>
        <v>https://dpmzos25m8ivg.cloudfront.net/Documentos/631/14389415875/6311438941587511092023130213.pdf</v>
      </c>
      <c r="H5636" s="4" t="s">
        <v>14208</v>
      </c>
    </row>
    <row r="5637" spans="1:8" x14ac:dyDescent="0.25">
      <c r="A5637" s="2" t="s">
        <v>5665</v>
      </c>
      <c r="B5637" s="16" t="s">
        <v>2358</v>
      </c>
      <c r="C5637" s="3"/>
      <c r="D5637" s="3"/>
      <c r="E5637" s="5" t="str">
        <f>HYPERLINK("https://dpmzos25m8ivg.cloudfront.net/Documentos/631/14389985701/6311438998570105092023141637.pdf","https://dpmzos25m8ivg.cloudfront.net/Documentos/631/14389985701/6311438998570105092023141637.pdf")</f>
        <v>https://dpmzos25m8ivg.cloudfront.net/Documentos/631/14389985701/6311438998570105092023141637.pdf</v>
      </c>
      <c r="F5637" s="5" t="str">
        <f>HYPERLINK("https://dpmzos25m8ivg.cloudfront.net/Documentos/631/14389985701/6311438998570105092023141648.pdf","https://dpmzos25m8ivg.cloudfront.net/Documentos/631/14389985701/6311438998570105092023141648.pdf")</f>
        <v>https://dpmzos25m8ivg.cloudfront.net/Documentos/631/14389985701/6311438998570105092023141648.pdf</v>
      </c>
      <c r="G5637" s="5" t="str">
        <f>HYPERLINK("https://dpmzos25m8ivg.cloudfront.net/Documentos/631/14389985701/6311438998570105092023141704.pdf","https://dpmzos25m8ivg.cloudfront.net/Documentos/631/14389985701/6311438998570105092023141704.pdf")</f>
        <v>https://dpmzos25m8ivg.cloudfront.net/Documentos/631/14389985701/6311438998570105092023141704.pdf</v>
      </c>
      <c r="H5637" s="5" t="s">
        <v>14209</v>
      </c>
    </row>
    <row r="5638" spans="1:8" x14ac:dyDescent="0.25">
      <c r="A5638" s="2" t="s">
        <v>5666</v>
      </c>
      <c r="B5638" s="3"/>
      <c r="C5638" s="3"/>
      <c r="D5638" s="3"/>
      <c r="E5638" s="5" t="str">
        <f>HYPERLINK("https://dpmzos25m8ivg.cloudfront.net/Documentos/631/14396693680/6311439669368009092023163229.pdf","https://dpmzos25m8ivg.cloudfront.net/Documentos/631/14396693680/6311439669368009092023163229.pdf")</f>
        <v>https://dpmzos25m8ivg.cloudfront.net/Documentos/631/14396693680/6311439669368009092023163229.pdf</v>
      </c>
      <c r="F5638" s="5" t="str">
        <f>HYPERLINK("https://dpmzos25m8ivg.cloudfront.net/Documentos/631/14396693680/6311439669368009092023163358.pdf","https://dpmzos25m8ivg.cloudfront.net/Documentos/631/14396693680/6311439669368009092023163358.pdf")</f>
        <v>https://dpmzos25m8ivg.cloudfront.net/Documentos/631/14396693680/6311439669368009092023163358.pdf</v>
      </c>
      <c r="G5638" s="5" t="str">
        <f>HYPERLINK("https://dpmzos25m8ivg.cloudfront.net/Documentos/631/14396693680/6311439669368009092023164421.pdf","https://dpmzos25m8ivg.cloudfront.net/Documentos/631/14396693680/6311439669368009092023164421.pdf")</f>
        <v>https://dpmzos25m8ivg.cloudfront.net/Documentos/631/14396693680/6311439669368009092023164421.pdf</v>
      </c>
      <c r="H5638" s="4" t="s">
        <v>14210</v>
      </c>
    </row>
    <row r="5639" spans="1:8" x14ac:dyDescent="0.25">
      <c r="A5639" s="2" t="s">
        <v>5667</v>
      </c>
      <c r="B5639" s="16" t="s">
        <v>2358</v>
      </c>
      <c r="C5639" s="3"/>
      <c r="D5639" s="3"/>
      <c r="E5639" s="5" t="str">
        <f>HYPERLINK("https://dpmzos25m8ivg.cloudfront.net/Documentos/631/14403663737/6311440366373706092023222822.pdf","https://dpmzos25m8ivg.cloudfront.net/Documentos/631/14403663737/6311440366373706092023222822.pdf")</f>
        <v>https://dpmzos25m8ivg.cloudfront.net/Documentos/631/14403663737/6311440366373706092023222822.pdf</v>
      </c>
      <c r="F5639" s="5" t="str">
        <f>HYPERLINK("https://dpmzos25m8ivg.cloudfront.net/Documentos/631/14403663737/6311440366373706092023222807.pdf","https://dpmzos25m8ivg.cloudfront.net/Documentos/631/14403663737/6311440366373706092023222807.pdf")</f>
        <v>https://dpmzos25m8ivg.cloudfront.net/Documentos/631/14403663737/6311440366373706092023222807.pdf</v>
      </c>
      <c r="G5639" s="5" t="str">
        <f>HYPERLINK("https://dpmzos25m8ivg.cloudfront.net/Documentos/631/14403663737/6311440366373706092023222746.pdf","https://dpmzos25m8ivg.cloudfront.net/Documentos/631/14403663737/6311440366373706092023222746.pdf")</f>
        <v>https://dpmzos25m8ivg.cloudfront.net/Documentos/631/14403663737/6311440366373706092023222746.pdf</v>
      </c>
      <c r="H5639" s="5" t="s">
        <v>14211</v>
      </c>
    </row>
    <row r="5640" spans="1:8" x14ac:dyDescent="0.25">
      <c r="A5640" s="2" t="s">
        <v>5668</v>
      </c>
      <c r="B5640" s="3"/>
      <c r="C5640" s="3"/>
      <c r="D5640" s="3"/>
      <c r="E5640" s="5" t="str">
        <f>HYPERLINK("https://dpmzos25m8ivg.cloudfront.net/Documentos/631/14406279750/6311440627975006092023152656.pdf","https://dpmzos25m8ivg.cloudfront.net/Documentos/631/14406279750/6311440627975006092023152656.pdf")</f>
        <v>https://dpmzos25m8ivg.cloudfront.net/Documentos/631/14406279750/6311440627975006092023152656.pdf</v>
      </c>
      <c r="F5640" s="5" t="str">
        <f>HYPERLINK("https://dpmzos25m8ivg.cloudfront.net/Documentos/631/14406279750/6311440627975006092023152706.pdf","https://dpmzos25m8ivg.cloudfront.net/Documentos/631/14406279750/6311440627975006092023152706.pdf")</f>
        <v>https://dpmzos25m8ivg.cloudfront.net/Documentos/631/14406279750/6311440627975006092023152706.pdf</v>
      </c>
      <c r="G5640" s="5" t="str">
        <f>HYPERLINK("https://dpmzos25m8ivg.cloudfront.net/Documentos/631/14406279750/6311440627975006092023152718.pdf","https://dpmzos25m8ivg.cloudfront.net/Documentos/631/14406279750/6311440627975006092023152718.pdf")</f>
        <v>https://dpmzos25m8ivg.cloudfront.net/Documentos/631/14406279750/6311440627975006092023152718.pdf</v>
      </c>
      <c r="H5640" s="4" t="s">
        <v>14212</v>
      </c>
    </row>
    <row r="5641" spans="1:8" x14ac:dyDescent="0.25">
      <c r="A5641" s="2" t="s">
        <v>5669</v>
      </c>
      <c r="B5641" s="3"/>
      <c r="C5641" s="3"/>
      <c r="D5641" s="3"/>
      <c r="E5641" s="5" t="str">
        <f>HYPERLINK("https://dpmzos25m8ivg.cloudfront.net/Documentos/631/14410215663/6311441021566310092023161308.pdf","https://dpmzos25m8ivg.cloudfront.net/Documentos/631/14410215663/6311441021566310092023161308.pdf")</f>
        <v>https://dpmzos25m8ivg.cloudfront.net/Documentos/631/14410215663/6311441021566310092023161308.pdf</v>
      </c>
      <c r="F5641" s="5" t="str">
        <f>HYPERLINK("https://dpmzos25m8ivg.cloudfront.net/Documentos/631/14410215663/6311441021566310092023161410.pdf","https://dpmzos25m8ivg.cloudfront.net/Documentos/631/14410215663/6311441021566310092023161410.pdf")</f>
        <v>https://dpmzos25m8ivg.cloudfront.net/Documentos/631/14410215663/6311441021566310092023161410.pdf</v>
      </c>
      <c r="G5641" s="5" t="str">
        <f>HYPERLINK("https://dpmzos25m8ivg.cloudfront.net/Documentos/631/14410215663/6311441021566310092023161435.pdf","https://dpmzos25m8ivg.cloudfront.net/Documentos/631/14410215663/6311441021566310092023161435.pdf")</f>
        <v>https://dpmzos25m8ivg.cloudfront.net/Documentos/631/14410215663/6311441021566310092023161435.pdf</v>
      </c>
      <c r="H5641" s="4" t="s">
        <v>14213</v>
      </c>
    </row>
    <row r="5642" spans="1:8" x14ac:dyDescent="0.25">
      <c r="A5642" s="2" t="s">
        <v>5670</v>
      </c>
      <c r="B5642" s="3"/>
      <c r="C5642" s="3"/>
      <c r="D5642" s="3"/>
      <c r="E5642" s="5" t="str">
        <f>HYPERLINK("https://dpmzos25m8ivg.cloudfront.net/Documentos/631/14413148657/6311441314865711092023122013.pdf","https://dpmzos25m8ivg.cloudfront.net/Documentos/631/14413148657/6311441314865711092023122013.pdf")</f>
        <v>https://dpmzos25m8ivg.cloudfront.net/Documentos/631/14413148657/6311441314865711092023122013.pdf</v>
      </c>
      <c r="F5642" s="5" t="str">
        <f>HYPERLINK("https://dpmzos25m8ivg.cloudfront.net/Documentos/631/14413148657/6311441314865711092023122024.pdf","https://dpmzos25m8ivg.cloudfront.net/Documentos/631/14413148657/6311441314865711092023122024.pdf")</f>
        <v>https://dpmzos25m8ivg.cloudfront.net/Documentos/631/14413148657/6311441314865711092023122024.pdf</v>
      </c>
      <c r="G5642" s="5" t="str">
        <f>HYPERLINK("https://dpmzos25m8ivg.cloudfront.net/Documentos/631/14413148657/6311441314865711092023122126.pdf","https://dpmzos25m8ivg.cloudfront.net/Documentos/631/14413148657/6311441314865711092023122126.pdf")</f>
        <v>https://dpmzos25m8ivg.cloudfront.net/Documentos/631/14413148657/6311441314865711092023122126.pdf</v>
      </c>
      <c r="H5642" s="4" t="s">
        <v>14214</v>
      </c>
    </row>
    <row r="5643" spans="1:8" x14ac:dyDescent="0.25">
      <c r="A5643" s="2" t="s">
        <v>5671</v>
      </c>
      <c r="B5643" s="3"/>
      <c r="C5643" s="3"/>
      <c r="D5643" s="3"/>
      <c r="E5643" s="5" t="str">
        <f>HYPERLINK("https://dpmzos25m8ivg.cloudfront.net/Documentos/631/14416724608/6311441672460805092023100133.pdf","https://dpmzos25m8ivg.cloudfront.net/Documentos/631/14416724608/6311441672460805092023100133.pdf")</f>
        <v>https://dpmzos25m8ivg.cloudfront.net/Documentos/631/14416724608/6311441672460805092023100133.pdf</v>
      </c>
      <c r="F5643" s="5" t="str">
        <f>HYPERLINK("https://dpmzos25m8ivg.cloudfront.net/Documentos/631/14416724608/6311441672460805092023100142.pdf","https://dpmzos25m8ivg.cloudfront.net/Documentos/631/14416724608/6311441672460805092023100142.pdf")</f>
        <v>https://dpmzos25m8ivg.cloudfront.net/Documentos/631/14416724608/6311441672460805092023100142.pdf</v>
      </c>
      <c r="G5643" s="5" t="str">
        <f>HYPERLINK("https://dpmzos25m8ivg.cloudfront.net/Documentos/631/14416724608/6311441672460805092023100152.pdf","https://dpmzos25m8ivg.cloudfront.net/Documentos/631/14416724608/6311441672460805092023100152.pdf")</f>
        <v>https://dpmzos25m8ivg.cloudfront.net/Documentos/631/14416724608/6311441672460805092023100152.pdf</v>
      </c>
      <c r="H5643" s="4" t="s">
        <v>14215</v>
      </c>
    </row>
    <row r="5644" spans="1:8" x14ac:dyDescent="0.25">
      <c r="A5644" s="2" t="s">
        <v>5672</v>
      </c>
      <c r="B5644" s="3"/>
      <c r="C5644" s="3"/>
      <c r="D5644" s="3"/>
      <c r="E5644" s="5" t="str">
        <f>HYPERLINK("https://dpmzos25m8ivg.cloudfront.net/Documentos/631/14418618660/6311441861866007092023165923.pdf","https://dpmzos25m8ivg.cloudfront.net/Documentos/631/14418618660/6311441861866007092023165923.pdf")</f>
        <v>https://dpmzos25m8ivg.cloudfront.net/Documentos/631/14418618660/6311441861866007092023165923.pdf</v>
      </c>
      <c r="F5644" s="5" t="str">
        <f>HYPERLINK("https://dpmzos25m8ivg.cloudfront.net/Documentos/631/14418618660/6311441861866007092023165940.pdf","https://dpmzos25m8ivg.cloudfront.net/Documentos/631/14418618660/6311441861866007092023165940.pdf")</f>
        <v>https://dpmzos25m8ivg.cloudfront.net/Documentos/631/14418618660/6311441861866007092023165940.pdf</v>
      </c>
      <c r="G5644" s="5" t="str">
        <f>HYPERLINK("https://dpmzos25m8ivg.cloudfront.net/Documentos/631/14418618660/6311441861866007092023165955.pdf","https://dpmzos25m8ivg.cloudfront.net/Documentos/631/14418618660/6311441861866007092023165955.pdf")</f>
        <v>https://dpmzos25m8ivg.cloudfront.net/Documentos/631/14418618660/6311441861866007092023165955.pdf</v>
      </c>
      <c r="H5644" s="4" t="s">
        <v>14216</v>
      </c>
    </row>
    <row r="5645" spans="1:8" x14ac:dyDescent="0.25">
      <c r="A5645" s="2" t="s">
        <v>5673</v>
      </c>
      <c r="B5645" s="3"/>
      <c r="C5645" s="3"/>
      <c r="D5645" s="3"/>
      <c r="E5645" s="5" t="str">
        <f>HYPERLINK("https://dpmzos25m8ivg.cloudfront.net/Documentos/631/14423234696/6311442323469607092023202848.pdf","https://dpmzos25m8ivg.cloudfront.net/Documentos/631/14423234696/6311442323469607092023202848.pdf")</f>
        <v>https://dpmzos25m8ivg.cloudfront.net/Documentos/631/14423234696/6311442323469607092023202848.pdf</v>
      </c>
      <c r="F5645" s="5" t="str">
        <f>HYPERLINK("https://dpmzos25m8ivg.cloudfront.net/Documentos/631/14423234696/6311442323469607092023203851.pdf","https://dpmzos25m8ivg.cloudfront.net/Documentos/631/14423234696/6311442323469607092023203851.pdf")</f>
        <v>https://dpmzos25m8ivg.cloudfront.net/Documentos/631/14423234696/6311442323469607092023203851.pdf</v>
      </c>
      <c r="G5645" s="5" t="str">
        <f>HYPERLINK("https://dpmzos25m8ivg.cloudfront.net/Documentos/631/14423234696/6311442323469607092023203943.pdf","https://dpmzos25m8ivg.cloudfront.net/Documentos/631/14423234696/6311442323469607092023203943.pdf")</f>
        <v>https://dpmzos25m8ivg.cloudfront.net/Documentos/631/14423234696/6311442323469607092023203943.pdf</v>
      </c>
      <c r="H5645" s="4" t="s">
        <v>14217</v>
      </c>
    </row>
    <row r="5646" spans="1:8" x14ac:dyDescent="0.25">
      <c r="A5646" s="2" t="s">
        <v>5674</v>
      </c>
      <c r="B5646" s="3"/>
      <c r="C5646" s="3"/>
      <c r="D5646" s="3"/>
      <c r="E5646" s="5" t="str">
        <f>HYPERLINK("https://dpmzos25m8ivg.cloudfront.net/Documentos/631/14427271790/6311442727179006092023114239.pdf","https://dpmzos25m8ivg.cloudfront.net/Documentos/631/14427271790/6311442727179006092023114239.pdf")</f>
        <v>https://dpmzos25m8ivg.cloudfront.net/Documentos/631/14427271790/6311442727179006092023114239.pdf</v>
      </c>
      <c r="F5646" s="5" t="str">
        <f>HYPERLINK("https://dpmzos25m8ivg.cloudfront.net/Documentos/631/14427271790/6311442727179006092023114252.pdf","https://dpmzos25m8ivg.cloudfront.net/Documentos/631/14427271790/6311442727179006092023114252.pdf")</f>
        <v>https://dpmzos25m8ivg.cloudfront.net/Documentos/631/14427271790/6311442727179006092023114252.pdf</v>
      </c>
      <c r="G5646" s="5" t="str">
        <f>HYPERLINK("https://dpmzos25m8ivg.cloudfront.net/Documentos/631/14427271790/6311442727179006092023114303.pdf","https://dpmzos25m8ivg.cloudfront.net/Documentos/631/14427271790/6311442727179006092023114303.pdf")</f>
        <v>https://dpmzos25m8ivg.cloudfront.net/Documentos/631/14427271790/6311442727179006092023114303.pdf</v>
      </c>
      <c r="H5646" s="4" t="s">
        <v>14218</v>
      </c>
    </row>
    <row r="5647" spans="1:8" x14ac:dyDescent="0.25">
      <c r="A5647" s="2" t="s">
        <v>5675</v>
      </c>
      <c r="B5647" s="16" t="s">
        <v>2358</v>
      </c>
      <c r="C5647" s="3"/>
      <c r="D5647" s="3"/>
      <c r="E5647" s="5" t="str">
        <f>HYPERLINK("https://dpmzos25m8ivg.cloudfront.net/Documentos/631/14427336671/6311442733667113092023202555.jpg","https://dpmzos25m8ivg.cloudfront.net/Documentos/631/14427336671/6311442733667113092023202555.jpg")</f>
        <v>https://dpmzos25m8ivg.cloudfront.net/Documentos/631/14427336671/6311442733667113092023202555.jpg</v>
      </c>
      <c r="F5647" s="5" t="str">
        <f>HYPERLINK("https://dpmzos25m8ivg.cloudfront.net/Documentos/631/14427336671/6311442733667113092023202628.jpg","https://dpmzos25m8ivg.cloudfront.net/Documentos/631/14427336671/6311442733667113092023202628.jpg")</f>
        <v>https://dpmzos25m8ivg.cloudfront.net/Documentos/631/14427336671/6311442733667113092023202628.jpg</v>
      </c>
      <c r="G5647" s="5" t="str">
        <f>HYPERLINK("https://dpmzos25m8ivg.cloudfront.net/Documentos/631/14427336671/6311442733667113092023202636.jpg","https://dpmzos25m8ivg.cloudfront.net/Documentos/631/14427336671/6311442733667113092023202636.jpg")</f>
        <v>https://dpmzos25m8ivg.cloudfront.net/Documentos/631/14427336671/6311442733667113092023202636.jpg</v>
      </c>
      <c r="H5647" s="5" t="s">
        <v>14219</v>
      </c>
    </row>
    <row r="5648" spans="1:8" x14ac:dyDescent="0.25">
      <c r="A5648" s="2" t="s">
        <v>5676</v>
      </c>
      <c r="B5648" s="3" t="s">
        <v>308</v>
      </c>
      <c r="C5648" s="3"/>
      <c r="D5648" s="3"/>
      <c r="E5648" s="5" t="str">
        <f>HYPERLINK("https://dpmzos25m8ivg.cloudfront.net/Documentos/631/14431561757/6311443156175711092023160036.pdf","https://dpmzos25m8ivg.cloudfront.net/Documentos/631/14431561757/6311443156175711092023160036.pdf")</f>
        <v>https://dpmzos25m8ivg.cloudfront.net/Documentos/631/14431561757/6311443156175711092023160036.pdf</v>
      </c>
      <c r="F5648" s="5" t="str">
        <f>HYPERLINK("https://dpmzos25m8ivg.cloudfront.net/Documentos/631/14431561757/6311443156175711092023160051.pdf","https://dpmzos25m8ivg.cloudfront.net/Documentos/631/14431561757/6311443156175711092023160051.pdf")</f>
        <v>https://dpmzos25m8ivg.cloudfront.net/Documentos/631/14431561757/6311443156175711092023160051.pdf</v>
      </c>
      <c r="G5648" s="5" t="str">
        <f>HYPERLINK("https://dpmzos25m8ivg.cloudfront.net/Documentos/631/14431561757/6311443156175711092023155931.pdf","https://dpmzos25m8ivg.cloudfront.net/Documentos/631/14431561757/6311443156175711092023155931.pdf")</f>
        <v>https://dpmzos25m8ivg.cloudfront.net/Documentos/631/14431561757/6311443156175711092023155931.pdf</v>
      </c>
      <c r="H5648" s="4" t="s">
        <v>14220</v>
      </c>
    </row>
    <row r="5649" spans="1:8" x14ac:dyDescent="0.25">
      <c r="A5649" s="2" t="s">
        <v>5677</v>
      </c>
      <c r="B5649" s="16" t="s">
        <v>2358</v>
      </c>
      <c r="C5649" s="3"/>
      <c r="D5649" s="3"/>
      <c r="E5649" s="5" t="str">
        <f>HYPERLINK("https://dpmzos25m8ivg.cloudfront.net/Documentos/631/14434975684/6311443497568411092023134232.pdf","https://dpmzos25m8ivg.cloudfront.net/Documentos/631/14434975684/6311443497568411092023134232.pdf")</f>
        <v>https://dpmzos25m8ivg.cloudfront.net/Documentos/631/14434975684/6311443497568411092023134232.pdf</v>
      </c>
      <c r="F5649" s="5" t="str">
        <f>HYPERLINK("https://dpmzos25m8ivg.cloudfront.net/Documentos/631/14434975684/6311443497568411092023134244.pdf","https://dpmzos25m8ivg.cloudfront.net/Documentos/631/14434975684/6311443497568411092023134244.pdf")</f>
        <v>https://dpmzos25m8ivg.cloudfront.net/Documentos/631/14434975684/6311443497568411092023134244.pdf</v>
      </c>
      <c r="G5649" s="5" t="str">
        <f>HYPERLINK("https://dpmzos25m8ivg.cloudfront.net/Documentos/631/14434975684/6311443497568411092023134304.pdf","https://dpmzos25m8ivg.cloudfront.net/Documentos/631/14434975684/6311443497568411092023134304.pdf")</f>
        <v>https://dpmzos25m8ivg.cloudfront.net/Documentos/631/14434975684/6311443497568411092023134304.pdf</v>
      </c>
      <c r="H5649" s="5" t="s">
        <v>14221</v>
      </c>
    </row>
    <row r="5650" spans="1:8" x14ac:dyDescent="0.25">
      <c r="A5650" s="2" t="s">
        <v>5678</v>
      </c>
      <c r="B5650" s="3"/>
      <c r="C5650" s="3"/>
      <c r="D5650" s="3"/>
      <c r="E5650" s="5" t="str">
        <f>HYPERLINK("https://dpmzos25m8ivg.cloudfront.net/Documentos/631/14440500790/6311444050079011092023164052.pdf","https://dpmzos25m8ivg.cloudfront.net/Documentos/631/14440500790/6311444050079011092023164052.pdf")</f>
        <v>https://dpmzos25m8ivg.cloudfront.net/Documentos/631/14440500790/6311444050079011092023164052.pdf</v>
      </c>
      <c r="F5650" s="5" t="str">
        <f>HYPERLINK("https://dpmzos25m8ivg.cloudfront.net/Documentos/631/14440500790/6311444050079011092023164100.pdf","https://dpmzos25m8ivg.cloudfront.net/Documentos/631/14440500790/6311444050079011092023164100.pdf")</f>
        <v>https://dpmzos25m8ivg.cloudfront.net/Documentos/631/14440500790/6311444050079011092023164100.pdf</v>
      </c>
      <c r="G5650" s="5" t="str">
        <f>HYPERLINK("https://dpmzos25m8ivg.cloudfront.net/Documentos/631/14440500790/6311444050079011092023164150.pdf","https://dpmzos25m8ivg.cloudfront.net/Documentos/631/14440500790/6311444050079011092023164150.pdf")</f>
        <v>https://dpmzos25m8ivg.cloudfront.net/Documentos/631/14440500790/6311444050079011092023164150.pdf</v>
      </c>
      <c r="H5650" s="4" t="s">
        <v>14222</v>
      </c>
    </row>
    <row r="5651" spans="1:8" x14ac:dyDescent="0.25">
      <c r="A5651" s="2" t="s">
        <v>5679</v>
      </c>
      <c r="B5651" s="16" t="s">
        <v>2358</v>
      </c>
      <c r="C5651" s="3"/>
      <c r="D5651" s="3"/>
      <c r="E5651" s="5" t="str">
        <f>HYPERLINK("https://dpmzos25m8ivg.cloudfront.net/Documentos/631/14441238665/6311444123866511092023093134.pdf","https://dpmzos25m8ivg.cloudfront.net/Documentos/631/14441238665/6311444123866511092023093134.pdf")</f>
        <v>https://dpmzos25m8ivg.cloudfront.net/Documentos/631/14441238665/6311444123866511092023093134.pdf</v>
      </c>
      <c r="F5651" s="5" t="str">
        <f>HYPERLINK("https://dpmzos25m8ivg.cloudfront.net/Documentos/631/14441238665/6311444123866511092023093143.pdf","https://dpmzos25m8ivg.cloudfront.net/Documentos/631/14441238665/6311444123866511092023093143.pdf")</f>
        <v>https://dpmzos25m8ivg.cloudfront.net/Documentos/631/14441238665/6311444123866511092023093143.pdf</v>
      </c>
      <c r="G5651" s="5" t="str">
        <f>HYPERLINK("https://dpmzos25m8ivg.cloudfront.net/Documentos/631/14441238665/6311444123866511092023093152.pdf","https://dpmzos25m8ivg.cloudfront.net/Documentos/631/14441238665/6311444123866511092023093152.pdf")</f>
        <v>https://dpmzos25m8ivg.cloudfront.net/Documentos/631/14441238665/6311444123866511092023093152.pdf</v>
      </c>
      <c r="H5651" s="5" t="s">
        <v>14223</v>
      </c>
    </row>
    <row r="5652" spans="1:8" x14ac:dyDescent="0.25">
      <c r="A5652" s="2" t="s">
        <v>5680</v>
      </c>
      <c r="B5652" s="3"/>
      <c r="C5652" s="3"/>
      <c r="D5652" s="3"/>
      <c r="E5652" s="5" t="str">
        <f>HYPERLINK("https://dpmzos25m8ivg.cloudfront.net/Documentos/631/14446714643/6311444671464308092023112048.pdf","https://dpmzos25m8ivg.cloudfront.net/Documentos/631/14446714643/6311444671464308092023112048.pdf")</f>
        <v>https://dpmzos25m8ivg.cloudfront.net/Documentos/631/14446714643/6311444671464308092023112048.pdf</v>
      </c>
      <c r="F5652" s="5" t="str">
        <f>HYPERLINK("https://dpmzos25m8ivg.cloudfront.net/Documentos/631/14446714643/6311444671464308092023112103.pdf","https://dpmzos25m8ivg.cloudfront.net/Documentos/631/14446714643/6311444671464308092023112103.pdf")</f>
        <v>https://dpmzos25m8ivg.cloudfront.net/Documentos/631/14446714643/6311444671464308092023112103.pdf</v>
      </c>
      <c r="G5652" s="5" t="str">
        <f>HYPERLINK("https://dpmzos25m8ivg.cloudfront.net/Documentos/631/14446714643/6311444671464308092023112110.pdf","https://dpmzos25m8ivg.cloudfront.net/Documentos/631/14446714643/6311444671464308092023112110.pdf")</f>
        <v>https://dpmzos25m8ivg.cloudfront.net/Documentos/631/14446714643/6311444671464308092023112110.pdf</v>
      </c>
      <c r="H5652" s="4" t="s">
        <v>14224</v>
      </c>
    </row>
    <row r="5653" spans="1:8" x14ac:dyDescent="0.25">
      <c r="A5653" s="2" t="s">
        <v>5681</v>
      </c>
      <c r="B5653" s="3"/>
      <c r="C5653" s="3"/>
      <c r="D5653" s="3"/>
      <c r="E5653" s="5" t="str">
        <f>HYPERLINK("https://dpmzos25m8ivg.cloudfront.net/Documentos/631/14449092740/6311444909274011092023152821.jpg","https://dpmzos25m8ivg.cloudfront.net/Documentos/631/14449092740/6311444909274011092023152821.jpg")</f>
        <v>https://dpmzos25m8ivg.cloudfront.net/Documentos/631/14449092740/6311444909274011092023152821.jpg</v>
      </c>
      <c r="F5653" s="5" t="str">
        <f>HYPERLINK("https://dpmzos25m8ivg.cloudfront.net/Documentos/631/14449092740/6311444909274011092023161326.jpg","https://dpmzos25m8ivg.cloudfront.net/Documentos/631/14449092740/6311444909274011092023161326.jpg")</f>
        <v>https://dpmzos25m8ivg.cloudfront.net/Documentos/631/14449092740/6311444909274011092023161326.jpg</v>
      </c>
      <c r="G5653" s="5" t="str">
        <f>HYPERLINK("https://dpmzos25m8ivg.cloudfront.net/Documentos/631/14449092740/6311444909274011092023161351.jpg","https://dpmzos25m8ivg.cloudfront.net/Documentos/631/14449092740/6311444909274011092023161351.jpg")</f>
        <v>https://dpmzos25m8ivg.cloudfront.net/Documentos/631/14449092740/6311444909274011092023161351.jpg</v>
      </c>
      <c r="H5653" s="4" t="s">
        <v>14225</v>
      </c>
    </row>
    <row r="5654" spans="1:8" x14ac:dyDescent="0.25">
      <c r="A5654" s="2" t="s">
        <v>5682</v>
      </c>
      <c r="B5654" s="3"/>
      <c r="C5654" s="3"/>
      <c r="D5654" s="3"/>
      <c r="E5654" s="5" t="str">
        <f>HYPERLINK("https://dpmzos25m8ivg.cloudfront.net/Documentos/631/14457489670/6311445748967011092023164219.pdf","https://dpmzos25m8ivg.cloudfront.net/Documentos/631/14457489670/6311445748967011092023164219.pdf")</f>
        <v>https://dpmzos25m8ivg.cloudfront.net/Documentos/631/14457489670/6311445748967011092023164219.pdf</v>
      </c>
      <c r="F5654" s="5" t="str">
        <f>HYPERLINK("https://dpmzos25m8ivg.cloudfront.net/Documentos/631/14457489670/6311445748967011092023164228.pdf","https://dpmzos25m8ivg.cloudfront.net/Documentos/631/14457489670/6311445748967011092023164228.pdf")</f>
        <v>https://dpmzos25m8ivg.cloudfront.net/Documentos/631/14457489670/6311445748967011092023164228.pdf</v>
      </c>
      <c r="G5654" s="5" t="str">
        <f>HYPERLINK("https://dpmzos25m8ivg.cloudfront.net/Documentos/631/14457489670/6311445748967011092023164237.pdf","https://dpmzos25m8ivg.cloudfront.net/Documentos/631/14457489670/6311445748967011092023164237.pdf")</f>
        <v>https://dpmzos25m8ivg.cloudfront.net/Documentos/631/14457489670/6311445748967011092023164237.pdf</v>
      </c>
      <c r="H5654" s="4" t="s">
        <v>14226</v>
      </c>
    </row>
    <row r="5655" spans="1:8" x14ac:dyDescent="0.25">
      <c r="A5655" s="2" t="s">
        <v>5683</v>
      </c>
      <c r="B5655" s="3"/>
      <c r="C5655" s="3"/>
      <c r="D5655" s="3"/>
      <c r="E5655" s="5" t="str">
        <f>HYPERLINK("https://dpmzos25m8ivg.cloudfront.net/Documentos/631/14464314520/6311446431452008092023195908.pdf","https://dpmzos25m8ivg.cloudfront.net/Documentos/631/14464314520/6311446431452008092023195908.pdf")</f>
        <v>https://dpmzos25m8ivg.cloudfront.net/Documentos/631/14464314520/6311446431452008092023195908.pdf</v>
      </c>
      <c r="F5655" s="5" t="str">
        <f>HYPERLINK("https://dpmzos25m8ivg.cloudfront.net/Documentos/631/14464314520/6311446431452008092023195928.pdf","https://dpmzos25m8ivg.cloudfront.net/Documentos/631/14464314520/6311446431452008092023195928.pdf")</f>
        <v>https://dpmzos25m8ivg.cloudfront.net/Documentos/631/14464314520/6311446431452008092023195928.pdf</v>
      </c>
      <c r="G5655" s="5" t="str">
        <f>HYPERLINK("https://dpmzos25m8ivg.cloudfront.net/Documentos/631/14464314520/6311446431452008092023195945.pdf","https://dpmzos25m8ivg.cloudfront.net/Documentos/631/14464314520/6311446431452008092023195945.pdf")</f>
        <v>https://dpmzos25m8ivg.cloudfront.net/Documentos/631/14464314520/6311446431452008092023195945.pdf</v>
      </c>
      <c r="H5655" s="4" t="s">
        <v>14227</v>
      </c>
    </row>
    <row r="5656" spans="1:8" x14ac:dyDescent="0.25">
      <c r="A5656" s="2" t="s">
        <v>5684</v>
      </c>
      <c r="B5656" s="3"/>
      <c r="C5656" s="3"/>
      <c r="D5656" s="3"/>
      <c r="E5656" s="5" t="str">
        <f>HYPERLINK("https://dpmzos25m8ivg.cloudfront.net/Documentos/631/14465893744/6311446589374411092023141258.pdf","https://dpmzos25m8ivg.cloudfront.net/Documentos/631/14465893744/6311446589374411092023141258.pdf")</f>
        <v>https://dpmzos25m8ivg.cloudfront.net/Documentos/631/14465893744/6311446589374411092023141258.pdf</v>
      </c>
      <c r="F5656" s="5" t="str">
        <f>HYPERLINK("https://dpmzos25m8ivg.cloudfront.net/Documentos/631/14465893744/6311446589374411092023141305.pdf","https://dpmzos25m8ivg.cloudfront.net/Documentos/631/14465893744/6311446589374411092023141305.pdf")</f>
        <v>https://dpmzos25m8ivg.cloudfront.net/Documentos/631/14465893744/6311446589374411092023141305.pdf</v>
      </c>
      <c r="G5656" s="5" t="str">
        <f>HYPERLINK("https://dpmzos25m8ivg.cloudfront.net/Documentos/631/14465893744/6311446589374411092023141313.pdf","https://dpmzos25m8ivg.cloudfront.net/Documentos/631/14465893744/6311446589374411092023141313.pdf")</f>
        <v>https://dpmzos25m8ivg.cloudfront.net/Documentos/631/14465893744/6311446589374411092023141313.pdf</v>
      </c>
      <c r="H5656" s="4" t="s">
        <v>14228</v>
      </c>
    </row>
    <row r="5657" spans="1:8" x14ac:dyDescent="0.25">
      <c r="A5657" s="2" t="s">
        <v>5685</v>
      </c>
      <c r="B5657" s="3"/>
      <c r="C5657" s="3"/>
      <c r="D5657" s="3"/>
      <c r="E5657" s="5" t="str">
        <f>HYPERLINK("https://dpmzos25m8ivg.cloudfront.net/Documentos/631/14492414762/6311449241476211092023075017.pdf","https://dpmzos25m8ivg.cloudfront.net/Documentos/631/14492414762/6311449241476211092023075017.pdf")</f>
        <v>https://dpmzos25m8ivg.cloudfront.net/Documentos/631/14492414762/6311449241476211092023075017.pdf</v>
      </c>
      <c r="F5657" s="5" t="str">
        <f>HYPERLINK("https://dpmzos25m8ivg.cloudfront.net/Documentos/631/14492414762/6311449241476211092023074958.pdf","https://dpmzos25m8ivg.cloudfront.net/Documentos/631/14492414762/6311449241476211092023074958.pdf")</f>
        <v>https://dpmzos25m8ivg.cloudfront.net/Documentos/631/14492414762/6311449241476211092023074958.pdf</v>
      </c>
      <c r="G5657" s="5" t="str">
        <f>HYPERLINK("https://dpmzos25m8ivg.cloudfront.net/Documentos/631/14492414762/6311449241476211092023074941.pdf","https://dpmzos25m8ivg.cloudfront.net/Documentos/631/14492414762/6311449241476211092023074941.pdf")</f>
        <v>https://dpmzos25m8ivg.cloudfront.net/Documentos/631/14492414762/6311449241476211092023074941.pdf</v>
      </c>
      <c r="H5657" s="4" t="s">
        <v>14229</v>
      </c>
    </row>
    <row r="5658" spans="1:8" x14ac:dyDescent="0.25">
      <c r="A5658" s="2" t="s">
        <v>5686</v>
      </c>
      <c r="B5658" s="3"/>
      <c r="C5658" s="3"/>
      <c r="D5658" s="3"/>
      <c r="E5658" s="5" t="str">
        <f>HYPERLINK("https://dpmzos25m8ivg.cloudfront.net/Documentos/631/14495135651/6311449513565107092023175235.pdf","https://dpmzos25m8ivg.cloudfront.net/Documentos/631/14495135651/6311449513565107092023175235.pdf")</f>
        <v>https://dpmzos25m8ivg.cloudfront.net/Documentos/631/14495135651/6311449513565107092023175235.pdf</v>
      </c>
      <c r="F5658" s="5" t="str">
        <f>HYPERLINK("https://dpmzos25m8ivg.cloudfront.net/Documentos/631/14495135651/6311449513565107092023175310.pdf","https://dpmzos25m8ivg.cloudfront.net/Documentos/631/14495135651/6311449513565107092023175310.pdf")</f>
        <v>https://dpmzos25m8ivg.cloudfront.net/Documentos/631/14495135651/6311449513565107092023175310.pdf</v>
      </c>
      <c r="G5658" s="5" t="str">
        <f>HYPERLINK("https://dpmzos25m8ivg.cloudfront.net/Documentos/631/14495135651/6311449513565107092023175325.pdf","https://dpmzos25m8ivg.cloudfront.net/Documentos/631/14495135651/6311449513565107092023175325.pdf")</f>
        <v>https://dpmzos25m8ivg.cloudfront.net/Documentos/631/14495135651/6311449513565107092023175325.pdf</v>
      </c>
      <c r="H5658" s="4" t="s">
        <v>14230</v>
      </c>
    </row>
    <row r="5659" spans="1:8" x14ac:dyDescent="0.25">
      <c r="A5659" s="2" t="s">
        <v>5687</v>
      </c>
      <c r="B5659" s="3"/>
      <c r="C5659" s="3"/>
      <c r="D5659" s="3"/>
      <c r="E5659" s="5" t="str">
        <f>HYPERLINK("https://dpmzos25m8ivg.cloudfront.net/Documentos/631/14517012760/6311451701276011092023150911.jpg","https://dpmzos25m8ivg.cloudfront.net/Documentos/631/14517012760/6311451701276011092023150911.jpg")</f>
        <v>https://dpmzos25m8ivg.cloudfront.net/Documentos/631/14517012760/6311451701276011092023150911.jpg</v>
      </c>
      <c r="F5659" s="5" t="str">
        <f>HYPERLINK("https://dpmzos25m8ivg.cloudfront.net/Documentos/631/14517012760/6311451701276011092023150935.jpg","https://dpmzos25m8ivg.cloudfront.net/Documentos/631/14517012760/6311451701276011092023150935.jpg")</f>
        <v>https://dpmzos25m8ivg.cloudfront.net/Documentos/631/14517012760/6311451701276011092023150935.jpg</v>
      </c>
      <c r="G5659" s="5" t="str">
        <f>HYPERLINK("https://dpmzos25m8ivg.cloudfront.net/Documentos/631/14517012760/6311451701276011092023151118.jpg","https://dpmzos25m8ivg.cloudfront.net/Documentos/631/14517012760/6311451701276011092023151118.jpg")</f>
        <v>https://dpmzos25m8ivg.cloudfront.net/Documentos/631/14517012760/6311451701276011092023151118.jpg</v>
      </c>
      <c r="H5659" s="4" t="s">
        <v>14231</v>
      </c>
    </row>
    <row r="5660" spans="1:8" x14ac:dyDescent="0.25">
      <c r="A5660" s="2" t="s">
        <v>5688</v>
      </c>
      <c r="B5660" s="3"/>
      <c r="C5660" s="3"/>
      <c r="D5660" s="3"/>
      <c r="E5660" s="5" t="str">
        <f>HYPERLINK("https://dpmzos25m8ivg.cloudfront.net/Documentos/631/14523611424/6311452361142410092023192045.jpeg","https://dpmzos25m8ivg.cloudfront.net/Documentos/631/14523611424/6311452361142410092023192045.jpeg")</f>
        <v>https://dpmzos25m8ivg.cloudfront.net/Documentos/631/14523611424/6311452361142410092023192045.jpeg</v>
      </c>
      <c r="F5660" s="5" t="str">
        <f>HYPERLINK("https://dpmzos25m8ivg.cloudfront.net/Documentos/631/14523611424/6311452361142410092023192201.jpeg","https://dpmzos25m8ivg.cloudfront.net/Documentos/631/14523611424/6311452361142410092023192201.jpeg")</f>
        <v>https://dpmzos25m8ivg.cloudfront.net/Documentos/631/14523611424/6311452361142410092023192201.jpeg</v>
      </c>
      <c r="G5660" s="5" t="str">
        <f>HYPERLINK("https://dpmzos25m8ivg.cloudfront.net/Documentos/631/14523611424/6311452361142411092023074944.jpeg","https://dpmzos25m8ivg.cloudfront.net/Documentos/631/14523611424/6311452361142411092023074944.jpeg")</f>
        <v>https://dpmzos25m8ivg.cloudfront.net/Documentos/631/14523611424/6311452361142411092023074944.jpeg</v>
      </c>
      <c r="H5660" s="4" t="s">
        <v>14232</v>
      </c>
    </row>
    <row r="5661" spans="1:8" x14ac:dyDescent="0.25">
      <c r="A5661" s="2" t="s">
        <v>5689</v>
      </c>
      <c r="B5661" s="3"/>
      <c r="C5661" s="3"/>
      <c r="D5661" s="3"/>
      <c r="E5661" s="5" t="str">
        <f>HYPERLINK("https://dpmzos25m8ivg.cloudfront.net/Documentos/631/14524632638/6311452463263809092023001326.pdf","https://dpmzos25m8ivg.cloudfront.net/Documentos/631/14524632638/6311452463263809092023001326.pdf")</f>
        <v>https://dpmzos25m8ivg.cloudfront.net/Documentos/631/14524632638/6311452463263809092023001326.pdf</v>
      </c>
      <c r="F5661" s="5" t="str">
        <f>HYPERLINK("https://dpmzos25m8ivg.cloudfront.net/Documentos/631/14524632638/6311452463263809092023001400.pdf","https://dpmzos25m8ivg.cloudfront.net/Documentos/631/14524632638/6311452463263809092023001400.pdf")</f>
        <v>https://dpmzos25m8ivg.cloudfront.net/Documentos/631/14524632638/6311452463263809092023001400.pdf</v>
      </c>
      <c r="G5661" s="5" t="str">
        <f>HYPERLINK("https://dpmzos25m8ivg.cloudfront.net/Documentos/631/14524632638/6311452463263809092023001412.pdf","https://dpmzos25m8ivg.cloudfront.net/Documentos/631/14524632638/6311452463263809092023001412.pdf")</f>
        <v>https://dpmzos25m8ivg.cloudfront.net/Documentos/631/14524632638/6311452463263809092023001412.pdf</v>
      </c>
      <c r="H5661" s="4" t="s">
        <v>14233</v>
      </c>
    </row>
    <row r="5662" spans="1:8" x14ac:dyDescent="0.25">
      <c r="A5662" s="2" t="s">
        <v>5690</v>
      </c>
      <c r="B5662" s="16" t="s">
        <v>2358</v>
      </c>
      <c r="C5662" s="3"/>
      <c r="D5662" s="3"/>
      <c r="E5662" s="5" t="str">
        <f>HYPERLINK("https://dpmzos25m8ivg.cloudfront.net/Documentos/631/14526688762/6311452668876211092023103401.jpg","https://dpmzos25m8ivg.cloudfront.net/Documentos/631/14526688762/6311452668876211092023103401.jpg")</f>
        <v>https://dpmzos25m8ivg.cloudfront.net/Documentos/631/14526688762/6311452668876211092023103401.jpg</v>
      </c>
      <c r="F5662" s="5" t="str">
        <f>HYPERLINK("https://dpmzos25m8ivg.cloudfront.net/Documentos/631/14526688762/6311452668876211092023103431.jpg","https://dpmzos25m8ivg.cloudfront.net/Documentos/631/14526688762/6311452668876211092023103431.jpg")</f>
        <v>https://dpmzos25m8ivg.cloudfront.net/Documentos/631/14526688762/6311452668876211092023103431.jpg</v>
      </c>
      <c r="G5662" s="5" t="str">
        <f>HYPERLINK("https://dpmzos25m8ivg.cloudfront.net/Documentos/631/14526688762/6311452668876211092023103451.jpg","https://dpmzos25m8ivg.cloudfront.net/Documentos/631/14526688762/6311452668876211092023103451.jpg")</f>
        <v>https://dpmzos25m8ivg.cloudfront.net/Documentos/631/14526688762/6311452668876211092023103451.jpg</v>
      </c>
      <c r="H5662" s="5" t="s">
        <v>14234</v>
      </c>
    </row>
    <row r="5663" spans="1:8" x14ac:dyDescent="0.25">
      <c r="A5663" s="2" t="s">
        <v>5691</v>
      </c>
      <c r="B5663" s="3"/>
      <c r="C5663" s="3"/>
      <c r="D5663" s="3"/>
      <c r="E5663" s="5" t="str">
        <f>HYPERLINK("https://dpmzos25m8ivg.cloudfront.net/Documentos/631/14530256774/6311453025677406092023215901.jpeg","https://dpmzos25m8ivg.cloudfront.net/Documentos/631/14530256774/6311453025677406092023215901.jpeg")</f>
        <v>https://dpmzos25m8ivg.cloudfront.net/Documentos/631/14530256774/6311453025677406092023215901.jpeg</v>
      </c>
      <c r="F5663" s="5" t="str">
        <f>HYPERLINK("https://dpmzos25m8ivg.cloudfront.net/Documentos/631/14530256774/6311453025677406092023215924.jpeg","https://dpmzos25m8ivg.cloudfront.net/Documentos/631/14530256774/6311453025677406092023215924.jpeg")</f>
        <v>https://dpmzos25m8ivg.cloudfront.net/Documentos/631/14530256774/6311453025677406092023215924.jpeg</v>
      </c>
      <c r="G5663" s="5" t="str">
        <f>HYPERLINK("https://dpmzos25m8ivg.cloudfront.net/Documentos/631/14530256774/6311453025677406092023215935.jpeg","https://dpmzos25m8ivg.cloudfront.net/Documentos/631/14530256774/6311453025677406092023215935.jpeg")</f>
        <v>https://dpmzos25m8ivg.cloudfront.net/Documentos/631/14530256774/6311453025677406092023215935.jpeg</v>
      </c>
      <c r="H5663" s="4" t="s">
        <v>14235</v>
      </c>
    </row>
    <row r="5664" spans="1:8" x14ac:dyDescent="0.25">
      <c r="A5664" s="2" t="s">
        <v>5692</v>
      </c>
      <c r="B5664" s="3"/>
      <c r="C5664" s="3"/>
      <c r="D5664" s="3"/>
      <c r="E5664" s="5" t="str">
        <f>HYPERLINK("https://dpmzos25m8ivg.cloudfront.net/Documentos/631/14534911718/6311453491171811092023163526.jpg","https://dpmzos25m8ivg.cloudfront.net/Documentos/631/14534911718/6311453491171811092023163526.jpg")</f>
        <v>https://dpmzos25m8ivg.cloudfront.net/Documentos/631/14534911718/6311453491171811092023163526.jpg</v>
      </c>
      <c r="F5664" s="5" t="str">
        <f>HYPERLINK("https://dpmzos25m8ivg.cloudfront.net/Documentos/631/14534911718/6311453491171811092023164101.jpg","https://dpmzos25m8ivg.cloudfront.net/Documentos/631/14534911718/6311453491171811092023164101.jpg")</f>
        <v>https://dpmzos25m8ivg.cloudfront.net/Documentos/631/14534911718/6311453491171811092023164101.jpg</v>
      </c>
      <c r="G5664" s="5" t="str">
        <f>HYPERLINK("https://dpmzos25m8ivg.cloudfront.net/Documentos/631/14534911718/6311453491171811092023164121.jpg","https://dpmzos25m8ivg.cloudfront.net/Documentos/631/14534911718/6311453491171811092023164121.jpg")</f>
        <v>https://dpmzos25m8ivg.cloudfront.net/Documentos/631/14534911718/6311453491171811092023164121.jpg</v>
      </c>
      <c r="H5664" s="4" t="s">
        <v>14236</v>
      </c>
    </row>
    <row r="5665" spans="1:8" x14ac:dyDescent="0.25">
      <c r="A5665" s="2" t="s">
        <v>5693</v>
      </c>
      <c r="B5665" s="3"/>
      <c r="C5665" s="3"/>
      <c r="D5665" s="3"/>
      <c r="E5665" s="5" t="str">
        <f>HYPERLINK("https://dpmzos25m8ivg.cloudfront.net/Documentos/631/14554759717/6311455475971710092023194556.pdf","https://dpmzos25m8ivg.cloudfront.net/Documentos/631/14554759717/6311455475971710092023194556.pdf")</f>
        <v>https://dpmzos25m8ivg.cloudfront.net/Documentos/631/14554759717/6311455475971710092023194556.pdf</v>
      </c>
      <c r="F5665" s="5" t="str">
        <f>HYPERLINK("https://dpmzos25m8ivg.cloudfront.net/Documentos/631/14554759717/6311455475971710092023194606.pdf","https://dpmzos25m8ivg.cloudfront.net/Documentos/631/14554759717/6311455475971710092023194606.pdf")</f>
        <v>https://dpmzos25m8ivg.cloudfront.net/Documentos/631/14554759717/6311455475971710092023194606.pdf</v>
      </c>
      <c r="G5665" s="5" t="str">
        <f>HYPERLINK("https://dpmzos25m8ivg.cloudfront.net/Documentos/631/14554759717/6311455475971710092023194617.pdf","https://dpmzos25m8ivg.cloudfront.net/Documentos/631/14554759717/6311455475971710092023194617.pdf")</f>
        <v>https://dpmzos25m8ivg.cloudfront.net/Documentos/631/14554759717/6311455475971710092023194617.pdf</v>
      </c>
      <c r="H5665" s="4" t="s">
        <v>14237</v>
      </c>
    </row>
    <row r="5666" spans="1:8" x14ac:dyDescent="0.25">
      <c r="A5666" s="2" t="s">
        <v>5694</v>
      </c>
      <c r="B5666" s="16" t="s">
        <v>2358</v>
      </c>
      <c r="C5666" s="3"/>
      <c r="D5666" s="3"/>
      <c r="E5666" s="5" t="str">
        <f>HYPERLINK("https://dpmzos25m8ivg.cloudfront.net/Documentos/631/14564010760/6311456401076014092023133116.pdf","https://dpmzos25m8ivg.cloudfront.net/Documentos/631/14564010760/6311456401076014092023133116.pdf")</f>
        <v>https://dpmzos25m8ivg.cloudfront.net/Documentos/631/14564010760/6311456401076014092023133116.pdf</v>
      </c>
      <c r="F5666" s="5" t="str">
        <f>HYPERLINK("https://dpmzos25m8ivg.cloudfront.net/Documentos/631/14564010760/6311456401076014092023133123.pdf","https://dpmzos25m8ivg.cloudfront.net/Documentos/631/14564010760/6311456401076014092023133123.pdf")</f>
        <v>https://dpmzos25m8ivg.cloudfront.net/Documentos/631/14564010760/6311456401076014092023133123.pdf</v>
      </c>
      <c r="G5666" s="5" t="str">
        <f>HYPERLINK("https://dpmzos25m8ivg.cloudfront.net/Documentos/631/14564010760/6311456401076014092023133131.pdf","https://dpmzos25m8ivg.cloudfront.net/Documentos/631/14564010760/6311456401076014092023133131.pdf")</f>
        <v>https://dpmzos25m8ivg.cloudfront.net/Documentos/631/14564010760/6311456401076014092023133131.pdf</v>
      </c>
      <c r="H5666" s="5" t="s">
        <v>14238</v>
      </c>
    </row>
    <row r="5667" spans="1:8" x14ac:dyDescent="0.25">
      <c r="A5667" s="2" t="s">
        <v>5695</v>
      </c>
      <c r="B5667" s="19" t="s">
        <v>3385</v>
      </c>
      <c r="C5667" s="3"/>
      <c r="D5667" s="3"/>
      <c r="E5667" s="5" t="str">
        <f>HYPERLINK("https://dpmzos25m8ivg.cloudfront.net/Documentos/631/14571591632/6311457159163211092023154944.jpeg","https://dpmzos25m8ivg.cloudfront.net/Documentos/631/14571591632/6311457159163211092023154944.jpeg")</f>
        <v>https://dpmzos25m8ivg.cloudfront.net/Documentos/631/14571591632/6311457159163211092023154944.jpeg</v>
      </c>
      <c r="F5667" s="5" t="str">
        <f>HYPERLINK("https://dpmzos25m8ivg.cloudfront.net/Documentos/631/14571591632/6311457159163211092023154953.jpeg","https://dpmzos25m8ivg.cloudfront.net/Documentos/631/14571591632/6311457159163211092023154953.jpeg")</f>
        <v>https://dpmzos25m8ivg.cloudfront.net/Documentos/631/14571591632/6311457159163211092023154953.jpeg</v>
      </c>
      <c r="G5667" s="5" t="str">
        <f>HYPERLINK("https://dpmzos25m8ivg.cloudfront.net/Documentos/631/14571591632/6311457159163211092023155000.jpeg","https://dpmzos25m8ivg.cloudfront.net/Documentos/631/14571591632/6311457159163211092023155000.jpeg")</f>
        <v>https://dpmzos25m8ivg.cloudfront.net/Documentos/631/14571591632/6311457159163211092023155000.jpeg</v>
      </c>
      <c r="H5667" s="4" t="s">
        <v>14239</v>
      </c>
    </row>
    <row r="5668" spans="1:8" x14ac:dyDescent="0.25">
      <c r="A5668" s="2" t="s">
        <v>5696</v>
      </c>
      <c r="B5668" s="3"/>
      <c r="C5668" s="3"/>
      <c r="D5668" s="3"/>
      <c r="E5668" s="5" t="str">
        <f>HYPERLINK("https://dpmzos25m8ivg.cloudfront.net/Documentos/631/14590144727/6311459014472705092023162229.jpg","https://dpmzos25m8ivg.cloudfront.net/Documentos/631/14590144727/6311459014472705092023162229.jpg")</f>
        <v>https://dpmzos25m8ivg.cloudfront.net/Documentos/631/14590144727/6311459014472705092023162229.jpg</v>
      </c>
      <c r="F5668" s="5" t="str">
        <f>HYPERLINK("https://dpmzos25m8ivg.cloudfront.net/Documentos/631/14590144727/6311459014472705092023162249.jpg","https://dpmzos25m8ivg.cloudfront.net/Documentos/631/14590144727/6311459014472705092023162249.jpg")</f>
        <v>https://dpmzos25m8ivg.cloudfront.net/Documentos/631/14590144727/6311459014472705092023162249.jpg</v>
      </c>
      <c r="G5668" s="5" t="str">
        <f>HYPERLINK("https://dpmzos25m8ivg.cloudfront.net/Documentos/631/14590144727/6311459014472705092023162302.jpg","https://dpmzos25m8ivg.cloudfront.net/Documentos/631/14590144727/6311459014472705092023162302.jpg")</f>
        <v>https://dpmzos25m8ivg.cloudfront.net/Documentos/631/14590144727/6311459014472705092023162302.jpg</v>
      </c>
      <c r="H5668" s="4" t="s">
        <v>14240</v>
      </c>
    </row>
    <row r="5669" spans="1:8" x14ac:dyDescent="0.25">
      <c r="A5669" s="2" t="s">
        <v>5697</v>
      </c>
      <c r="B5669" s="3"/>
      <c r="C5669" s="3"/>
      <c r="D5669" s="3"/>
      <c r="E5669" s="5" t="str">
        <f>HYPERLINK("https://dpmzos25m8ivg.cloudfront.net/Documentos/631/14601594707/6311460159470705092023151221.pdf","https://dpmzos25m8ivg.cloudfront.net/Documentos/631/14601594707/6311460159470705092023151221.pdf")</f>
        <v>https://dpmzos25m8ivg.cloudfront.net/Documentos/631/14601594707/6311460159470705092023151221.pdf</v>
      </c>
      <c r="F5669" s="5" t="str">
        <f>HYPERLINK("https://dpmzos25m8ivg.cloudfront.net/Documentos/631/14601594707/6311460159470705092023151230.pdf","https://dpmzos25m8ivg.cloudfront.net/Documentos/631/14601594707/6311460159470705092023151230.pdf")</f>
        <v>https://dpmzos25m8ivg.cloudfront.net/Documentos/631/14601594707/6311460159470705092023151230.pdf</v>
      </c>
      <c r="G5669" s="5" t="str">
        <f>HYPERLINK("https://dpmzos25m8ivg.cloudfront.net/Documentos/631/14601594707/6311460159470705092023151242.pdf","https://dpmzos25m8ivg.cloudfront.net/Documentos/631/14601594707/6311460159470705092023151242.pdf")</f>
        <v>https://dpmzos25m8ivg.cloudfront.net/Documentos/631/14601594707/6311460159470705092023151242.pdf</v>
      </c>
      <c r="H5669" s="4" t="s">
        <v>14241</v>
      </c>
    </row>
    <row r="5670" spans="1:8" x14ac:dyDescent="0.25">
      <c r="A5670" s="2" t="s">
        <v>5698</v>
      </c>
      <c r="B5670" s="3"/>
      <c r="C5670" s="3"/>
      <c r="D5670" s="3"/>
      <c r="E5670" s="5" t="str">
        <f>HYPERLINK("https://dpmzos25m8ivg.cloudfront.net/Documentos/631/14607302759/6311460730275907092023143120.jpg","https://dpmzos25m8ivg.cloudfront.net/Documentos/631/14607302759/6311460730275907092023143120.jpg")</f>
        <v>https://dpmzos25m8ivg.cloudfront.net/Documentos/631/14607302759/6311460730275907092023143120.jpg</v>
      </c>
      <c r="F5670" s="5" t="str">
        <f>HYPERLINK("https://dpmzos25m8ivg.cloudfront.net/Documentos/631/14607302759/6311460730275907092023143137.jpg","https://dpmzos25m8ivg.cloudfront.net/Documentos/631/14607302759/6311460730275907092023143137.jpg")</f>
        <v>https://dpmzos25m8ivg.cloudfront.net/Documentos/631/14607302759/6311460730275907092023143137.jpg</v>
      </c>
      <c r="G5670" s="5" t="str">
        <f>HYPERLINK("https://dpmzos25m8ivg.cloudfront.net/Documentos/631/14607302759/6311460730275907092023143153.jpg","https://dpmzos25m8ivg.cloudfront.net/Documentos/631/14607302759/6311460730275907092023143153.jpg")</f>
        <v>https://dpmzos25m8ivg.cloudfront.net/Documentos/631/14607302759/6311460730275907092023143153.jpg</v>
      </c>
      <c r="H5670" s="4" t="s">
        <v>14242</v>
      </c>
    </row>
    <row r="5671" spans="1:8" x14ac:dyDescent="0.25">
      <c r="A5671" s="2" t="s">
        <v>5699</v>
      </c>
      <c r="B5671" s="3"/>
      <c r="C5671" s="3"/>
      <c r="D5671" s="3"/>
      <c r="E5671" s="5" t="str">
        <f>HYPERLINK("https://dpmzos25m8ivg.cloudfront.net/Documentos/631/14627276702/6311462727670212092023235520.pdf","https://dpmzos25m8ivg.cloudfront.net/Documentos/631/14627276702/6311462727670212092023235520.pdf")</f>
        <v>https://dpmzos25m8ivg.cloudfront.net/Documentos/631/14627276702/6311462727670212092023235520.pdf</v>
      </c>
      <c r="F5671" s="5" t="str">
        <f>HYPERLINK("https://dpmzos25m8ivg.cloudfront.net/Documentos/631/14627276702/6311462727670212092023235538.pdf","https://dpmzos25m8ivg.cloudfront.net/Documentos/631/14627276702/6311462727670212092023235538.pdf")</f>
        <v>https://dpmzos25m8ivg.cloudfront.net/Documentos/631/14627276702/6311462727670212092023235538.pdf</v>
      </c>
      <c r="G5671" s="5" t="str">
        <f>HYPERLINK("https://dpmzos25m8ivg.cloudfront.net/Documentos/631/14627276702/6311462727670212092023235556.pdf","https://dpmzos25m8ivg.cloudfront.net/Documentos/631/14627276702/6311462727670212092023235556.pdf")</f>
        <v>https://dpmzos25m8ivg.cloudfront.net/Documentos/631/14627276702/6311462727670212092023235556.pdf</v>
      </c>
      <c r="H5671" s="4" t="s">
        <v>14243</v>
      </c>
    </row>
    <row r="5672" spans="1:8" x14ac:dyDescent="0.25">
      <c r="A5672" s="2" t="s">
        <v>5700</v>
      </c>
      <c r="B5672" s="3"/>
      <c r="C5672" s="3"/>
      <c r="D5672" s="3"/>
      <c r="E5672" s="5" t="str">
        <f>HYPERLINK("https://dpmzos25m8ivg.cloudfront.net/Documentos/631/14636471741/6311463647174110092023235712.pdf","https://dpmzos25m8ivg.cloudfront.net/Documentos/631/14636471741/6311463647174110092023235712.pdf")</f>
        <v>https://dpmzos25m8ivg.cloudfront.net/Documentos/631/14636471741/6311463647174110092023235712.pdf</v>
      </c>
      <c r="F5672" s="5" t="str">
        <f>HYPERLINK("https://dpmzos25m8ivg.cloudfront.net/Documentos/631/14636471741/6311463647174110092023235727.pdf","https://dpmzos25m8ivg.cloudfront.net/Documentos/631/14636471741/6311463647174110092023235727.pdf")</f>
        <v>https://dpmzos25m8ivg.cloudfront.net/Documentos/631/14636471741/6311463647174110092023235727.pdf</v>
      </c>
      <c r="G5672" s="5" t="str">
        <f>HYPERLINK("https://dpmzos25m8ivg.cloudfront.net/Documentos/631/14636471741/6311463647174110092023235741.pdf","https://dpmzos25m8ivg.cloudfront.net/Documentos/631/14636471741/6311463647174110092023235741.pdf")</f>
        <v>https://dpmzos25m8ivg.cloudfront.net/Documentos/631/14636471741/6311463647174110092023235741.pdf</v>
      </c>
      <c r="H5672" s="4" t="s">
        <v>14244</v>
      </c>
    </row>
    <row r="5673" spans="1:8" x14ac:dyDescent="0.25">
      <c r="A5673" s="2" t="s">
        <v>5701</v>
      </c>
      <c r="B5673" s="3"/>
      <c r="C5673" s="3"/>
      <c r="D5673" s="3"/>
      <c r="E5673" s="5" t="str">
        <f>HYPERLINK("https://dpmzos25m8ivg.cloudfront.net/Documentos/631/14640320760/6311464032076008092023193031.jpeg","https://dpmzos25m8ivg.cloudfront.net/Documentos/631/14640320760/6311464032076008092023193031.jpeg")</f>
        <v>https://dpmzos25m8ivg.cloudfront.net/Documentos/631/14640320760/6311464032076008092023193031.jpeg</v>
      </c>
      <c r="F5673" s="5" t="str">
        <f>HYPERLINK("https://dpmzos25m8ivg.cloudfront.net/Documentos/631/14640320760/6311464032076008092023193046.jpeg","https://dpmzos25m8ivg.cloudfront.net/Documentos/631/14640320760/6311464032076008092023193046.jpeg")</f>
        <v>https://dpmzos25m8ivg.cloudfront.net/Documentos/631/14640320760/6311464032076008092023193046.jpeg</v>
      </c>
      <c r="G5673" s="5" t="str">
        <f>HYPERLINK("https://dpmzos25m8ivg.cloudfront.net/Documentos/631/14640320760/6311464032076008092023193109.jpeg","https://dpmzos25m8ivg.cloudfront.net/Documentos/631/14640320760/6311464032076008092023193109.jpeg")</f>
        <v>https://dpmzos25m8ivg.cloudfront.net/Documentos/631/14640320760/6311464032076008092023193109.jpeg</v>
      </c>
      <c r="H5673" s="4" t="s">
        <v>14245</v>
      </c>
    </row>
    <row r="5674" spans="1:8" x14ac:dyDescent="0.25">
      <c r="A5674" s="2" t="s">
        <v>5702</v>
      </c>
      <c r="B5674" s="3"/>
      <c r="C5674" s="3"/>
      <c r="D5674" s="3"/>
      <c r="E5674" s="5" t="str">
        <f>HYPERLINK("https://dpmzos25m8ivg.cloudfront.net/Documentos/631/14669876775/6311466987677506092023204451.pdf","https://dpmzos25m8ivg.cloudfront.net/Documentos/631/14669876775/6311466987677506092023204451.pdf")</f>
        <v>https://dpmzos25m8ivg.cloudfront.net/Documentos/631/14669876775/6311466987677506092023204451.pdf</v>
      </c>
      <c r="F5674" s="5" t="str">
        <f>HYPERLINK("https://dpmzos25m8ivg.cloudfront.net/Documentos/631/14669876775/6311466987677506092023204532.pdf","https://dpmzos25m8ivg.cloudfront.net/Documentos/631/14669876775/6311466987677506092023204532.pdf")</f>
        <v>https://dpmzos25m8ivg.cloudfront.net/Documentos/631/14669876775/6311466987677506092023204532.pdf</v>
      </c>
      <c r="G5674" s="5" t="str">
        <f>HYPERLINK("https://dpmzos25m8ivg.cloudfront.net/Documentos/631/14669876775/6311466987677506092023204613.pdf","https://dpmzos25m8ivg.cloudfront.net/Documentos/631/14669876775/6311466987677506092023204613.pdf")</f>
        <v>https://dpmzos25m8ivg.cloudfront.net/Documentos/631/14669876775/6311466987677506092023204613.pdf</v>
      </c>
      <c r="H5674" s="4" t="s">
        <v>14246</v>
      </c>
    </row>
    <row r="5675" spans="1:8" x14ac:dyDescent="0.25">
      <c r="A5675" s="2" t="s">
        <v>5703</v>
      </c>
      <c r="B5675" s="3"/>
      <c r="C5675" s="3"/>
      <c r="D5675" s="3"/>
      <c r="E5675" s="5" t="str">
        <f>HYPERLINK("https://dpmzos25m8ivg.cloudfront.net/Documentos/631/14678103805/6311467810380511092023101910.pdf","https://dpmzos25m8ivg.cloudfront.net/Documentos/631/14678103805/6311467810380511092023101910.pdf")</f>
        <v>https://dpmzos25m8ivg.cloudfront.net/Documentos/631/14678103805/6311467810380511092023101910.pdf</v>
      </c>
      <c r="F5675" s="5" t="str">
        <f>HYPERLINK("https://dpmzos25m8ivg.cloudfront.net/Documentos/631/14678103805/6311467810380511092023101939.pdf","https://dpmzos25m8ivg.cloudfront.net/Documentos/631/14678103805/6311467810380511092023101939.pdf")</f>
        <v>https://dpmzos25m8ivg.cloudfront.net/Documentos/631/14678103805/6311467810380511092023101939.pdf</v>
      </c>
      <c r="G5675" s="5" t="str">
        <f>HYPERLINK("https://dpmzos25m8ivg.cloudfront.net/Documentos/631/14678103805/6311467810380511092023101959.pdf","https://dpmzos25m8ivg.cloudfront.net/Documentos/631/14678103805/6311467810380511092023101959.pdf")</f>
        <v>https://dpmzos25m8ivg.cloudfront.net/Documentos/631/14678103805/6311467810380511092023101959.pdf</v>
      </c>
      <c r="H5675" s="4" t="s">
        <v>14247</v>
      </c>
    </row>
    <row r="5676" spans="1:8" x14ac:dyDescent="0.25">
      <c r="A5676" s="2" t="s">
        <v>5704</v>
      </c>
      <c r="B5676" s="3"/>
      <c r="C5676" s="3"/>
      <c r="D5676" s="3"/>
      <c r="E5676" s="5" t="str">
        <f>HYPERLINK("https://dpmzos25m8ivg.cloudfront.net/Documentos/631/14678913637/6311467891363706092023172010.pdf","https://dpmzos25m8ivg.cloudfront.net/Documentos/631/14678913637/6311467891363706092023172010.pdf")</f>
        <v>https://dpmzos25m8ivg.cloudfront.net/Documentos/631/14678913637/6311467891363706092023172010.pdf</v>
      </c>
      <c r="F5676" s="5" t="str">
        <f>HYPERLINK("https://dpmzos25m8ivg.cloudfront.net/Documentos/631/14678913637/6311467891363706092023172147.pdf","https://dpmzos25m8ivg.cloudfront.net/Documentos/631/14678913637/6311467891363706092023172147.pdf")</f>
        <v>https://dpmzos25m8ivg.cloudfront.net/Documentos/631/14678913637/6311467891363706092023172147.pdf</v>
      </c>
      <c r="G5676" s="5" t="str">
        <f>HYPERLINK("https://dpmzos25m8ivg.cloudfront.net/Documentos/631/14678913637/6311467891363706092023172255.pdf","https://dpmzos25m8ivg.cloudfront.net/Documentos/631/14678913637/6311467891363706092023172255.pdf")</f>
        <v>https://dpmzos25m8ivg.cloudfront.net/Documentos/631/14678913637/6311467891363706092023172255.pdf</v>
      </c>
      <c r="H5676" s="4" t="s">
        <v>14248</v>
      </c>
    </row>
    <row r="5677" spans="1:8" x14ac:dyDescent="0.25">
      <c r="A5677" s="2" t="s">
        <v>5705</v>
      </c>
      <c r="B5677" s="3"/>
      <c r="C5677" s="3"/>
      <c r="D5677" s="3"/>
      <c r="E5677" s="5" t="str">
        <f>HYPERLINK("https://dpmzos25m8ivg.cloudfront.net/Documentos/631/14686427827/6311468642782709092023135622.jpg","https://dpmzos25m8ivg.cloudfront.net/Documentos/631/14686427827/6311468642782709092023135622.jpg")</f>
        <v>https://dpmzos25m8ivg.cloudfront.net/Documentos/631/14686427827/6311468642782709092023135622.jpg</v>
      </c>
      <c r="F5677" s="5" t="str">
        <f>HYPERLINK("https://dpmzos25m8ivg.cloudfront.net/Documentos/631/14686427827/6311468642782711092023145634.jpg","https://dpmzos25m8ivg.cloudfront.net/Documentos/631/14686427827/6311468642782711092023145634.jpg")</f>
        <v>https://dpmzos25m8ivg.cloudfront.net/Documentos/631/14686427827/6311468642782711092023145634.jpg</v>
      </c>
      <c r="G5677" s="5" t="str">
        <f>HYPERLINK("https://dpmzos25m8ivg.cloudfront.net/Documentos/631/14686427827/6311468642782711092023145705.jpg","https://dpmzos25m8ivg.cloudfront.net/Documentos/631/14686427827/6311468642782711092023145705.jpg")</f>
        <v>https://dpmzos25m8ivg.cloudfront.net/Documentos/631/14686427827/6311468642782711092023145705.jpg</v>
      </c>
      <c r="H5677" s="4" t="s">
        <v>14249</v>
      </c>
    </row>
    <row r="5678" spans="1:8" x14ac:dyDescent="0.25">
      <c r="A5678" s="2" t="s">
        <v>5706</v>
      </c>
      <c r="B5678" s="3"/>
      <c r="C5678" s="3"/>
      <c r="D5678" s="3"/>
      <c r="E5678" s="5" t="str">
        <f>HYPERLINK("https://dpmzos25m8ivg.cloudfront.net/Documentos/631/14713618705/6311471361870509092023173838.pdf","https://dpmzos25m8ivg.cloudfront.net/Documentos/631/14713618705/6311471361870509092023173838.pdf")</f>
        <v>https://dpmzos25m8ivg.cloudfront.net/Documentos/631/14713618705/6311471361870509092023173838.pdf</v>
      </c>
      <c r="F5678" s="5" t="str">
        <f>HYPERLINK("https://dpmzos25m8ivg.cloudfront.net/Documentos/631/14713618705/6311471361870509092023174233.pdf","https://dpmzos25m8ivg.cloudfront.net/Documentos/631/14713618705/6311471361870509092023174233.pdf")</f>
        <v>https://dpmzos25m8ivg.cloudfront.net/Documentos/631/14713618705/6311471361870509092023174233.pdf</v>
      </c>
      <c r="G5678" s="5" t="str">
        <f>HYPERLINK("https://dpmzos25m8ivg.cloudfront.net/Documentos/631/14713618705/6311471361870509092023174200.pdf","https://dpmzos25m8ivg.cloudfront.net/Documentos/631/14713618705/6311471361870509092023174200.pdf")</f>
        <v>https://dpmzos25m8ivg.cloudfront.net/Documentos/631/14713618705/6311471361870509092023174200.pdf</v>
      </c>
      <c r="H5678" s="4" t="s">
        <v>14250</v>
      </c>
    </row>
    <row r="5679" spans="1:8" x14ac:dyDescent="0.25">
      <c r="A5679" s="2" t="s">
        <v>5707</v>
      </c>
      <c r="B5679" s="3"/>
      <c r="C5679" s="3"/>
      <c r="D5679" s="3"/>
      <c r="E5679" s="5" t="str">
        <f>HYPERLINK("https://dpmzos25m8ivg.cloudfront.net/Documentos/631/14716105601/6311471610560113092023202817.pdf","https://dpmzos25m8ivg.cloudfront.net/Documentos/631/14716105601/6311471610560113092023202817.pdf")</f>
        <v>https://dpmzos25m8ivg.cloudfront.net/Documentos/631/14716105601/6311471610560113092023202817.pdf</v>
      </c>
      <c r="F5679" s="5" t="str">
        <f>HYPERLINK("https://dpmzos25m8ivg.cloudfront.net/Documentos/631/14716105601/6311471610560113092023202841.pdf","https://dpmzos25m8ivg.cloudfront.net/Documentos/631/14716105601/6311471610560113092023202841.pdf")</f>
        <v>https://dpmzos25m8ivg.cloudfront.net/Documentos/631/14716105601/6311471610560113092023202841.pdf</v>
      </c>
      <c r="G5679" s="5" t="str">
        <f>HYPERLINK("https://dpmzos25m8ivg.cloudfront.net/Documentos/631/14716105601/6311471610560113092023202910.pdf","https://dpmzos25m8ivg.cloudfront.net/Documentos/631/14716105601/6311471610560113092023202910.pdf")</f>
        <v>https://dpmzos25m8ivg.cloudfront.net/Documentos/631/14716105601/6311471610560113092023202910.pdf</v>
      </c>
      <c r="H5679" s="4" t="s">
        <v>14251</v>
      </c>
    </row>
    <row r="5680" spans="1:8" x14ac:dyDescent="0.25">
      <c r="A5680" s="2" t="s">
        <v>5708</v>
      </c>
      <c r="B5680" s="3"/>
      <c r="C5680" s="3"/>
      <c r="D5680" s="3"/>
      <c r="E5680" s="5" t="str">
        <f>HYPERLINK("https://dpmzos25m8ivg.cloudfront.net/Documentos/631/14722347824/6311472234782407092023135223.pdf","https://dpmzos25m8ivg.cloudfront.net/Documentos/631/14722347824/6311472234782407092023135223.pdf")</f>
        <v>https://dpmzos25m8ivg.cloudfront.net/Documentos/631/14722347824/6311472234782407092023135223.pdf</v>
      </c>
      <c r="F5680" s="5" t="str">
        <f>HYPERLINK("https://dpmzos25m8ivg.cloudfront.net/Documentos/631/14722347824/6311472234782407092023135336.pdf","https://dpmzos25m8ivg.cloudfront.net/Documentos/631/14722347824/6311472234782407092023135336.pdf")</f>
        <v>https://dpmzos25m8ivg.cloudfront.net/Documentos/631/14722347824/6311472234782407092023135336.pdf</v>
      </c>
      <c r="G5680" s="5" t="str">
        <f>HYPERLINK("https://dpmzos25m8ivg.cloudfront.net/Documentos/631/14722347824/6311472234782407092023135348.pdf","https://dpmzos25m8ivg.cloudfront.net/Documentos/631/14722347824/6311472234782407092023135348.pdf")</f>
        <v>https://dpmzos25m8ivg.cloudfront.net/Documentos/631/14722347824/6311472234782407092023135348.pdf</v>
      </c>
      <c r="H5680" s="4" t="s">
        <v>14252</v>
      </c>
    </row>
    <row r="5681" spans="1:8" x14ac:dyDescent="0.25">
      <c r="A5681" s="2" t="s">
        <v>5709</v>
      </c>
      <c r="B5681" s="3" t="s">
        <v>308</v>
      </c>
      <c r="C5681" s="3"/>
      <c r="D5681" s="3"/>
      <c r="E5681" s="5" t="str">
        <f>HYPERLINK("https://dpmzos25m8ivg.cloudfront.net/Documentos/631/14725011797/6311472501179710092023121311.pdf","https://dpmzos25m8ivg.cloudfront.net/Documentos/631/14725011797/6311472501179710092023121311.pdf")</f>
        <v>https://dpmzos25m8ivg.cloudfront.net/Documentos/631/14725011797/6311472501179710092023121311.pdf</v>
      </c>
      <c r="F5681" s="5" t="str">
        <f>HYPERLINK("https://dpmzos25m8ivg.cloudfront.net/Documentos/631/14725011797/6311472501179710092023130320.pdf","https://dpmzos25m8ivg.cloudfront.net/Documentos/631/14725011797/6311472501179710092023130320.pdf")</f>
        <v>https://dpmzos25m8ivg.cloudfront.net/Documentos/631/14725011797/6311472501179710092023130320.pdf</v>
      </c>
      <c r="G5681" s="5" t="str">
        <f>HYPERLINK("https://dpmzos25m8ivg.cloudfront.net/Documentos/631/14725011797/6311472501179710092023130336.pdf","https://dpmzos25m8ivg.cloudfront.net/Documentos/631/14725011797/6311472501179710092023130336.pdf")</f>
        <v>https://dpmzos25m8ivg.cloudfront.net/Documentos/631/14725011797/6311472501179710092023130336.pdf</v>
      </c>
      <c r="H5681" s="4" t="s">
        <v>14253</v>
      </c>
    </row>
    <row r="5682" spans="1:8" x14ac:dyDescent="0.25">
      <c r="A5682" s="2" t="s">
        <v>5710</v>
      </c>
      <c r="B5682" s="3" t="s">
        <v>308</v>
      </c>
      <c r="C5682" s="3"/>
      <c r="D5682" s="3"/>
      <c r="E5682" s="5" t="str">
        <f>HYPERLINK("https://dpmzos25m8ivg.cloudfront.net/Documentos/631/14727024764/6311472702476411092023163825.pdf","https://dpmzos25m8ivg.cloudfront.net/Documentos/631/14727024764/6311472702476411092023163825.pdf")</f>
        <v>https://dpmzos25m8ivg.cloudfront.net/Documentos/631/14727024764/6311472702476411092023163825.pdf</v>
      </c>
      <c r="F5682" s="5" t="str">
        <f>HYPERLINK("https://dpmzos25m8ivg.cloudfront.net/Documentos/631/14727024764/6311472702476411092023163845.pdf","https://dpmzos25m8ivg.cloudfront.net/Documentos/631/14727024764/6311472702476411092023163845.pdf")</f>
        <v>https://dpmzos25m8ivg.cloudfront.net/Documentos/631/14727024764/6311472702476411092023163845.pdf</v>
      </c>
      <c r="G5682" s="5" t="str">
        <f>HYPERLINK("https://dpmzos25m8ivg.cloudfront.net/Documentos/631/14727024764/6311472702476411092023163905.pdf","https://dpmzos25m8ivg.cloudfront.net/Documentos/631/14727024764/6311472702476411092023163905.pdf")</f>
        <v>https://dpmzos25m8ivg.cloudfront.net/Documentos/631/14727024764/6311472702476411092023163905.pdf</v>
      </c>
      <c r="H5682" s="4" t="s">
        <v>14254</v>
      </c>
    </row>
    <row r="5683" spans="1:8" x14ac:dyDescent="0.25">
      <c r="A5683" s="2" t="s">
        <v>5711</v>
      </c>
      <c r="B5683" s="16" t="s">
        <v>2358</v>
      </c>
      <c r="C5683" s="3"/>
      <c r="D5683" s="3"/>
      <c r="E5683" s="5" t="str">
        <f>HYPERLINK("https://dpmzos25m8ivg.cloudfront.net/Documentos/631/14727299780/6311472729978011092023141131.jpg","https://dpmzos25m8ivg.cloudfront.net/Documentos/631/14727299780/6311472729978011092023141131.jpg")</f>
        <v>https://dpmzos25m8ivg.cloudfront.net/Documentos/631/14727299780/6311472729978011092023141131.jpg</v>
      </c>
      <c r="F5683" s="5" t="str">
        <f>HYPERLINK("https://dpmzos25m8ivg.cloudfront.net/Documentos/631/14727299780/6311472729978011092023141146.jpg","https://dpmzos25m8ivg.cloudfront.net/Documentos/631/14727299780/6311472729978011092023141146.jpg")</f>
        <v>https://dpmzos25m8ivg.cloudfront.net/Documentos/631/14727299780/6311472729978011092023141146.jpg</v>
      </c>
      <c r="G5683" s="5" t="str">
        <f>HYPERLINK("https://dpmzos25m8ivg.cloudfront.net/Documentos/631/14727299780/6311472729978011092023141201.jpg","https://dpmzos25m8ivg.cloudfront.net/Documentos/631/14727299780/6311472729978011092023141201.jpg")</f>
        <v>https://dpmzos25m8ivg.cloudfront.net/Documentos/631/14727299780/6311472729978011092023141201.jpg</v>
      </c>
      <c r="H5683" s="5" t="s">
        <v>14255</v>
      </c>
    </row>
    <row r="5684" spans="1:8" x14ac:dyDescent="0.25">
      <c r="A5684" s="2" t="s">
        <v>5712</v>
      </c>
      <c r="B5684" s="3"/>
      <c r="C5684" s="3"/>
      <c r="D5684" s="3"/>
      <c r="E5684" s="5" t="str">
        <f>HYPERLINK("https://dpmzos25m8ivg.cloudfront.net/Documentos/631/14732218709/6311473221870906092023110432.pdf","https://dpmzos25m8ivg.cloudfront.net/Documentos/631/14732218709/6311473221870906092023110432.pdf")</f>
        <v>https://dpmzos25m8ivg.cloudfront.net/Documentos/631/14732218709/6311473221870906092023110432.pdf</v>
      </c>
      <c r="F5684" s="5" t="str">
        <f>HYPERLINK("https://dpmzos25m8ivg.cloudfront.net/Documentos/631/14732218709/6311473221870906092023110442.pdf","https://dpmzos25m8ivg.cloudfront.net/Documentos/631/14732218709/6311473221870906092023110442.pdf")</f>
        <v>https://dpmzos25m8ivg.cloudfront.net/Documentos/631/14732218709/6311473221870906092023110442.pdf</v>
      </c>
      <c r="G5684" s="5" t="str">
        <f>HYPERLINK("https://dpmzos25m8ivg.cloudfront.net/Documentos/631/14732218709/6311473221870906092023110453.pdf","https://dpmzos25m8ivg.cloudfront.net/Documentos/631/14732218709/6311473221870906092023110453.pdf")</f>
        <v>https://dpmzos25m8ivg.cloudfront.net/Documentos/631/14732218709/6311473221870906092023110453.pdf</v>
      </c>
      <c r="H5684" s="4" t="s">
        <v>14256</v>
      </c>
    </row>
    <row r="5685" spans="1:8" x14ac:dyDescent="0.25">
      <c r="A5685" s="2" t="s">
        <v>5713</v>
      </c>
      <c r="B5685" s="16" t="s">
        <v>2358</v>
      </c>
      <c r="C5685" s="3"/>
      <c r="D5685" s="3"/>
      <c r="E5685" s="5" t="str">
        <f>HYPERLINK("https://dpmzos25m8ivg.cloudfront.net/Documentos/631/14733840870/6311473384087011092023135738.jpg","https://dpmzos25m8ivg.cloudfront.net/Documentos/631/14733840870/6311473384087011092023135738.jpg")</f>
        <v>https://dpmzos25m8ivg.cloudfront.net/Documentos/631/14733840870/6311473384087011092023135738.jpg</v>
      </c>
      <c r="F5685" s="5" t="str">
        <f>HYPERLINK("https://dpmzos25m8ivg.cloudfront.net/Documentos/631/14733840870/6311473384087011092023135754.jpg","https://dpmzos25m8ivg.cloudfront.net/Documentos/631/14733840870/6311473384087011092023135754.jpg")</f>
        <v>https://dpmzos25m8ivg.cloudfront.net/Documentos/631/14733840870/6311473384087011092023135754.jpg</v>
      </c>
      <c r="G5685" s="5" t="str">
        <f>HYPERLINK("https://dpmzos25m8ivg.cloudfront.net/Documentos/631/14733840870/6311473384087011092023135810.jpg","https://dpmzos25m8ivg.cloudfront.net/Documentos/631/14733840870/6311473384087011092023135810.jpg")</f>
        <v>https://dpmzos25m8ivg.cloudfront.net/Documentos/631/14733840870/6311473384087011092023135810.jpg</v>
      </c>
      <c r="H5685" s="5" t="s">
        <v>14257</v>
      </c>
    </row>
    <row r="5686" spans="1:8" x14ac:dyDescent="0.25">
      <c r="A5686" s="2" t="s">
        <v>5714</v>
      </c>
      <c r="B5686" s="3" t="s">
        <v>308</v>
      </c>
      <c r="C5686" s="3"/>
      <c r="D5686" s="3"/>
      <c r="E5686" s="5" t="str">
        <f>HYPERLINK("https://dpmzos25m8ivg.cloudfront.net/Documentos/631/14734510865/6311473451086504092023225003.pdf","https://dpmzos25m8ivg.cloudfront.net/Documentos/631/14734510865/6311473451086504092023225003.pdf")</f>
        <v>https://dpmzos25m8ivg.cloudfront.net/Documentos/631/14734510865/6311473451086504092023225003.pdf</v>
      </c>
      <c r="F5686" s="5" t="str">
        <f>HYPERLINK("https://dpmzos25m8ivg.cloudfront.net/Documentos/631/14734510865/6311473451086504092023225403.pdf","https://dpmzos25m8ivg.cloudfront.net/Documentos/631/14734510865/6311473451086504092023225403.pdf")</f>
        <v>https://dpmzos25m8ivg.cloudfront.net/Documentos/631/14734510865/6311473451086504092023225403.pdf</v>
      </c>
      <c r="G5686" s="5" t="str">
        <f>HYPERLINK("https://dpmzos25m8ivg.cloudfront.net/Documentos/631/14734510865/6311473451086504092023172450.pdf","https://dpmzos25m8ivg.cloudfront.net/Documentos/631/14734510865/6311473451086504092023172450.pdf")</f>
        <v>https://dpmzos25m8ivg.cloudfront.net/Documentos/631/14734510865/6311473451086504092023172450.pdf</v>
      </c>
      <c r="H5686" s="4" t="s">
        <v>14258</v>
      </c>
    </row>
    <row r="5687" spans="1:8" x14ac:dyDescent="0.25">
      <c r="A5687" s="2" t="s">
        <v>5715</v>
      </c>
      <c r="B5687" s="3" t="s">
        <v>308</v>
      </c>
      <c r="C5687" s="3"/>
      <c r="D5687" s="3"/>
      <c r="E5687" s="5" t="str">
        <f>HYPERLINK("https://dpmzos25m8ivg.cloudfront.net/Documentos/631/14735287639/6311473528763914092023165734.jpg","https://dpmzos25m8ivg.cloudfront.net/Documentos/631/14735287639/6311473528763914092023165734.jpg")</f>
        <v>https://dpmzos25m8ivg.cloudfront.net/Documentos/631/14735287639/6311473528763914092023165734.jpg</v>
      </c>
      <c r="F5687" s="5" t="str">
        <f>HYPERLINK("https://dpmzos25m8ivg.cloudfront.net/Documentos/631/14735287639/6311473528763914092023165746.jpg","https://dpmzos25m8ivg.cloudfront.net/Documentos/631/14735287639/6311473528763914092023165746.jpg")</f>
        <v>https://dpmzos25m8ivg.cloudfront.net/Documentos/631/14735287639/6311473528763914092023165746.jpg</v>
      </c>
      <c r="G5687" s="5" t="str">
        <f>HYPERLINK("https://dpmzos25m8ivg.cloudfront.net/Documentos/631/14735287639/6311473528763914092023165756.jpg","https://dpmzos25m8ivg.cloudfront.net/Documentos/631/14735287639/6311473528763914092023165756.jpg")</f>
        <v>https://dpmzos25m8ivg.cloudfront.net/Documentos/631/14735287639/6311473528763914092023165756.jpg</v>
      </c>
      <c r="H5687" s="4" t="s">
        <v>14259</v>
      </c>
    </row>
    <row r="5688" spans="1:8" x14ac:dyDescent="0.25">
      <c r="A5688" s="2" t="s">
        <v>5716</v>
      </c>
      <c r="B5688" s="3"/>
      <c r="C5688" s="3"/>
      <c r="D5688" s="3"/>
      <c r="E5688" s="5" t="str">
        <f>HYPERLINK("https://dpmzos25m8ivg.cloudfront.net/Documentos/631/14736598840/6311473659884005092023222901.pdf","https://dpmzos25m8ivg.cloudfront.net/Documentos/631/14736598840/6311473659884005092023222901.pdf")</f>
        <v>https://dpmzos25m8ivg.cloudfront.net/Documentos/631/14736598840/6311473659884005092023222901.pdf</v>
      </c>
      <c r="F5688" s="5" t="str">
        <f>HYPERLINK("https://dpmzos25m8ivg.cloudfront.net/Documentos/631/14736598840/6311473659884005092023222923.pdf","https://dpmzos25m8ivg.cloudfront.net/Documentos/631/14736598840/6311473659884005092023222923.pdf")</f>
        <v>https://dpmzos25m8ivg.cloudfront.net/Documentos/631/14736598840/6311473659884005092023222923.pdf</v>
      </c>
      <c r="G5688" s="5" t="str">
        <f>HYPERLINK("https://dpmzos25m8ivg.cloudfront.net/Documentos/631/14736598840/6311473659884005092023223001.pdf","https://dpmzos25m8ivg.cloudfront.net/Documentos/631/14736598840/6311473659884005092023223001.pdf")</f>
        <v>https://dpmzos25m8ivg.cloudfront.net/Documentos/631/14736598840/6311473659884005092023223001.pdf</v>
      </c>
      <c r="H5688" s="4" t="s">
        <v>14260</v>
      </c>
    </row>
    <row r="5689" spans="1:8" x14ac:dyDescent="0.25">
      <c r="A5689" s="2" t="s">
        <v>5717</v>
      </c>
      <c r="B5689" s="3" t="s">
        <v>308</v>
      </c>
      <c r="C5689" s="3"/>
      <c r="D5689" s="3"/>
      <c r="E5689" s="5" t="str">
        <f>HYPERLINK("https://dpmzos25m8ivg.cloudfront.net/Documentos/631/14736869623/6311473686962312092023201559.pdf","https://dpmzos25m8ivg.cloudfront.net/Documentos/631/14736869623/6311473686962312092023201559.pdf")</f>
        <v>https://dpmzos25m8ivg.cloudfront.net/Documentos/631/14736869623/6311473686962312092023201559.pdf</v>
      </c>
      <c r="F5689" s="5" t="str">
        <f>HYPERLINK("https://dpmzos25m8ivg.cloudfront.net/Documentos/631/14736869623/6311473686962312092023201616.pdf","https://dpmzos25m8ivg.cloudfront.net/Documentos/631/14736869623/6311473686962312092023201616.pdf")</f>
        <v>https://dpmzos25m8ivg.cloudfront.net/Documentos/631/14736869623/6311473686962312092023201616.pdf</v>
      </c>
      <c r="G5689" s="5" t="str">
        <f>HYPERLINK("https://dpmzos25m8ivg.cloudfront.net/Documentos/631/14736869623/6311473686962312092023201636.pdf","https://dpmzos25m8ivg.cloudfront.net/Documentos/631/14736869623/6311473686962312092023201636.pdf")</f>
        <v>https://dpmzos25m8ivg.cloudfront.net/Documentos/631/14736869623/6311473686962312092023201636.pdf</v>
      </c>
      <c r="H5689" s="4" t="s">
        <v>9010</v>
      </c>
    </row>
    <row r="5690" spans="1:8" x14ac:dyDescent="0.25">
      <c r="A5690" s="2" t="s">
        <v>5718</v>
      </c>
      <c r="B5690" s="3"/>
      <c r="C5690" s="3"/>
      <c r="D5690" s="3"/>
      <c r="E5690" s="5" t="str">
        <f>HYPERLINK("https://dpmzos25m8ivg.cloudfront.net/Documentos/631/14766148738/6311476614873808092023133129.pdf","https://dpmzos25m8ivg.cloudfront.net/Documentos/631/14766148738/6311476614873808092023133129.pdf")</f>
        <v>https://dpmzos25m8ivg.cloudfront.net/Documentos/631/14766148738/6311476614873808092023133129.pdf</v>
      </c>
      <c r="F5690" s="5" t="str">
        <f>HYPERLINK("https://dpmzos25m8ivg.cloudfront.net/Documentos/631/14766148738/6311476614873808092023133149.pdf","https://dpmzos25m8ivg.cloudfront.net/Documentos/631/14766148738/6311476614873808092023133149.pdf")</f>
        <v>https://dpmzos25m8ivg.cloudfront.net/Documentos/631/14766148738/6311476614873808092023133149.pdf</v>
      </c>
      <c r="G5690" s="5" t="str">
        <f>HYPERLINK("https://dpmzos25m8ivg.cloudfront.net/Documentos/631/14766148738/6311476614873808092023133251.pdf","https://dpmzos25m8ivg.cloudfront.net/Documentos/631/14766148738/6311476614873808092023133251.pdf")</f>
        <v>https://dpmzos25m8ivg.cloudfront.net/Documentos/631/14766148738/6311476614873808092023133251.pdf</v>
      </c>
      <c r="H5690" s="4" t="s">
        <v>14261</v>
      </c>
    </row>
    <row r="5691" spans="1:8" x14ac:dyDescent="0.25">
      <c r="A5691" s="2" t="s">
        <v>5719</v>
      </c>
      <c r="B5691" s="3"/>
      <c r="C5691" s="3"/>
      <c r="D5691" s="3"/>
      <c r="E5691" s="5" t="str">
        <f>HYPERLINK("https://dpmzos25m8ivg.cloudfront.net/Documentos/631/14783381640/6311478338164014092023164254.pdf","https://dpmzos25m8ivg.cloudfront.net/Documentos/631/14783381640/6311478338164014092023164254.pdf")</f>
        <v>https://dpmzos25m8ivg.cloudfront.net/Documentos/631/14783381640/6311478338164014092023164254.pdf</v>
      </c>
      <c r="F5691" s="5" t="str">
        <f>HYPERLINK("https://dpmzos25m8ivg.cloudfront.net/Documentos/631/14783381640/6311478338164014092023164309.pdf","https://dpmzos25m8ivg.cloudfront.net/Documentos/631/14783381640/6311478338164014092023164309.pdf")</f>
        <v>https://dpmzos25m8ivg.cloudfront.net/Documentos/631/14783381640/6311478338164014092023164309.pdf</v>
      </c>
      <c r="G5691" s="5" t="str">
        <f>HYPERLINK("https://dpmzos25m8ivg.cloudfront.net/Documentos/631/14783381640/6311478338164014092023164351.pdf","https://dpmzos25m8ivg.cloudfront.net/Documentos/631/14783381640/6311478338164014092023164351.pdf")</f>
        <v>https://dpmzos25m8ivg.cloudfront.net/Documentos/631/14783381640/6311478338164014092023164351.pdf</v>
      </c>
      <c r="H5691" s="4" t="s">
        <v>14262</v>
      </c>
    </row>
    <row r="5692" spans="1:8" x14ac:dyDescent="0.25">
      <c r="A5692" s="2" t="s">
        <v>5720</v>
      </c>
      <c r="B5692" s="3"/>
      <c r="C5692" s="3"/>
      <c r="D5692" s="3"/>
      <c r="E5692" s="5" t="str">
        <f>HYPERLINK("https://dpmzos25m8ivg.cloudfront.net/Documentos/631/14785754761/6311478575476109092023132631.jpeg","https://dpmzos25m8ivg.cloudfront.net/Documentos/631/14785754761/6311478575476109092023132631.jpeg")</f>
        <v>https://dpmzos25m8ivg.cloudfront.net/Documentos/631/14785754761/6311478575476109092023132631.jpeg</v>
      </c>
      <c r="F5692" s="5" t="str">
        <f>HYPERLINK("https://dpmzos25m8ivg.cloudfront.net/Documentos/631/14785754761/6311478575476109092023132644.jpeg","https://dpmzos25m8ivg.cloudfront.net/Documentos/631/14785754761/6311478575476109092023132644.jpeg")</f>
        <v>https://dpmzos25m8ivg.cloudfront.net/Documentos/631/14785754761/6311478575476109092023132644.jpeg</v>
      </c>
      <c r="G5692" s="5" t="str">
        <f>HYPERLINK("https://dpmzos25m8ivg.cloudfront.net/Documentos/631/14785754761/6311478575476109092023132711.jpeg","https://dpmzos25m8ivg.cloudfront.net/Documentos/631/14785754761/6311478575476109092023132711.jpeg")</f>
        <v>https://dpmzos25m8ivg.cloudfront.net/Documentos/631/14785754761/6311478575476109092023132711.jpeg</v>
      </c>
      <c r="H5692" s="4" t="s">
        <v>14263</v>
      </c>
    </row>
    <row r="5693" spans="1:8" x14ac:dyDescent="0.25">
      <c r="A5693" s="2" t="s">
        <v>5721</v>
      </c>
      <c r="B5693" s="3"/>
      <c r="C5693" s="3"/>
      <c r="D5693" s="3"/>
      <c r="E5693" s="5" t="str">
        <f>HYPERLINK("https://dpmzos25m8ivg.cloudfront.net/Documentos/631/14804632646/6311480463264611092023152449.pdf","https://dpmzos25m8ivg.cloudfront.net/Documentos/631/14804632646/6311480463264611092023152449.pdf")</f>
        <v>https://dpmzos25m8ivg.cloudfront.net/Documentos/631/14804632646/6311480463264611092023152449.pdf</v>
      </c>
      <c r="F5693" s="5" t="str">
        <f>HYPERLINK("https://dpmzos25m8ivg.cloudfront.net/Documentos/631/14804632646/6311480463264611092023152505.pdf","https://dpmzos25m8ivg.cloudfront.net/Documentos/631/14804632646/6311480463264611092023152505.pdf")</f>
        <v>https://dpmzos25m8ivg.cloudfront.net/Documentos/631/14804632646/6311480463264611092023152505.pdf</v>
      </c>
      <c r="G5693" s="5" t="str">
        <f>HYPERLINK("https://dpmzos25m8ivg.cloudfront.net/Documentos/631/14804632646/6311480463264611092023152522.pdf","https://dpmzos25m8ivg.cloudfront.net/Documentos/631/14804632646/6311480463264611092023152522.pdf")</f>
        <v>https://dpmzos25m8ivg.cloudfront.net/Documentos/631/14804632646/6311480463264611092023152522.pdf</v>
      </c>
      <c r="H5693" s="4" t="s">
        <v>14264</v>
      </c>
    </row>
    <row r="5694" spans="1:8" x14ac:dyDescent="0.25">
      <c r="A5694" s="2" t="s">
        <v>5722</v>
      </c>
      <c r="B5694" s="16" t="s">
        <v>2358</v>
      </c>
      <c r="C5694" s="3"/>
      <c r="D5694" s="3"/>
      <c r="E5694" s="5" t="str">
        <f>HYPERLINK("https://dpmzos25m8ivg.cloudfront.net/Documentos/631/14808300702/6311480830070213092023084948.pdf","https://dpmzos25m8ivg.cloudfront.net/Documentos/631/14808300702/6311480830070213092023084948.pdf")</f>
        <v>https://dpmzos25m8ivg.cloudfront.net/Documentos/631/14808300702/6311480830070213092023084948.pdf</v>
      </c>
      <c r="F5694" s="5" t="str">
        <f>HYPERLINK("https://dpmzos25m8ivg.cloudfront.net/Documentos/631/14808300702/6311480830070213092023085003.pdf","https://dpmzos25m8ivg.cloudfront.net/Documentos/631/14808300702/6311480830070213092023085003.pdf")</f>
        <v>https://dpmzos25m8ivg.cloudfront.net/Documentos/631/14808300702/6311480830070213092023085003.pdf</v>
      </c>
      <c r="G5694" s="5" t="str">
        <f>HYPERLINK("https://dpmzos25m8ivg.cloudfront.net/Documentos/631/14808300702/6311480830070213092023085030.pdf","https://dpmzos25m8ivg.cloudfront.net/Documentos/631/14808300702/6311480830070213092023085030.pdf")</f>
        <v>https://dpmzos25m8ivg.cloudfront.net/Documentos/631/14808300702/6311480830070213092023085030.pdf</v>
      </c>
      <c r="H5694" s="5" t="s">
        <v>14265</v>
      </c>
    </row>
    <row r="5695" spans="1:8" x14ac:dyDescent="0.25">
      <c r="A5695" s="2" t="s">
        <v>5723</v>
      </c>
      <c r="B5695" s="3"/>
      <c r="C5695" s="3"/>
      <c r="D5695" s="3"/>
      <c r="E5695" s="5" t="str">
        <f>HYPERLINK("https://dpmzos25m8ivg.cloudfront.net/Documentos/631/14809132781/6311480913278111092023075642.pdf","https://dpmzos25m8ivg.cloudfront.net/Documentos/631/14809132781/6311480913278111092023075642.pdf")</f>
        <v>https://dpmzos25m8ivg.cloudfront.net/Documentos/631/14809132781/6311480913278111092023075642.pdf</v>
      </c>
      <c r="F5695" s="5" t="str">
        <f>HYPERLINK("https://dpmzos25m8ivg.cloudfront.net/Documentos/631/14809132781/6311480913278111092023075654.pdf","https://dpmzos25m8ivg.cloudfront.net/Documentos/631/14809132781/6311480913278111092023075654.pdf")</f>
        <v>https://dpmzos25m8ivg.cloudfront.net/Documentos/631/14809132781/6311480913278111092023075654.pdf</v>
      </c>
      <c r="G5695" s="5" t="str">
        <f>HYPERLINK("https://dpmzos25m8ivg.cloudfront.net/Documentos/631/14809132781/6311480913278111092023104033.pdf","https://dpmzos25m8ivg.cloudfront.net/Documentos/631/14809132781/6311480913278111092023104033.pdf")</f>
        <v>https://dpmzos25m8ivg.cloudfront.net/Documentos/631/14809132781/6311480913278111092023104033.pdf</v>
      </c>
      <c r="H5695" s="4" t="s">
        <v>14266</v>
      </c>
    </row>
    <row r="5696" spans="1:8" x14ac:dyDescent="0.25">
      <c r="A5696" s="2" t="s">
        <v>5724</v>
      </c>
      <c r="B5696" s="3"/>
      <c r="C5696" s="3"/>
      <c r="D5696" s="3"/>
      <c r="E5696" s="5" t="str">
        <f>HYPERLINK("https://dpmzos25m8ivg.cloudfront.net/Documentos/631/14812088534/6311481208853414092023152927.jpeg","https://dpmzos25m8ivg.cloudfront.net/Documentos/631/14812088534/6311481208853414092023152927.jpeg")</f>
        <v>https://dpmzos25m8ivg.cloudfront.net/Documentos/631/14812088534/6311481208853414092023152927.jpeg</v>
      </c>
      <c r="F5696" s="5" t="str">
        <f>HYPERLINK("https://dpmzos25m8ivg.cloudfront.net/Documentos/631/14812088534/6311481208853414092023153043.jpeg","https://dpmzos25m8ivg.cloudfront.net/Documentos/631/14812088534/6311481208853414092023153043.jpeg")</f>
        <v>https://dpmzos25m8ivg.cloudfront.net/Documentos/631/14812088534/6311481208853414092023153043.jpeg</v>
      </c>
      <c r="G5696" s="5" t="str">
        <f>HYPERLINK("https://dpmzos25m8ivg.cloudfront.net/Documentos/631/14812088534/6311481208853414092023153115.jpeg","https://dpmzos25m8ivg.cloudfront.net/Documentos/631/14812088534/6311481208853414092023153115.jpeg")</f>
        <v>https://dpmzos25m8ivg.cloudfront.net/Documentos/631/14812088534/6311481208853414092023153115.jpeg</v>
      </c>
      <c r="H5696" s="4" t="s">
        <v>14267</v>
      </c>
    </row>
    <row r="5697" spans="1:8" x14ac:dyDescent="0.25">
      <c r="A5697" s="2" t="s">
        <v>5725</v>
      </c>
      <c r="B5697" s="3"/>
      <c r="C5697" s="3"/>
      <c r="D5697" s="3"/>
      <c r="E5697" s="5" t="str">
        <f>HYPERLINK("https://dpmzos25m8ivg.cloudfront.net/Documentos/631/14817480840/6311481748084011092023151446.pdf","https://dpmzos25m8ivg.cloudfront.net/Documentos/631/14817480840/6311481748084011092023151446.pdf")</f>
        <v>https://dpmzos25m8ivg.cloudfront.net/Documentos/631/14817480840/6311481748084011092023151446.pdf</v>
      </c>
      <c r="F5697" s="5" t="str">
        <f>HYPERLINK("https://dpmzos25m8ivg.cloudfront.net/Documentos/631/14817480840/6311481748084011092023153823.pdf","https://dpmzos25m8ivg.cloudfront.net/Documentos/631/14817480840/6311481748084011092023153823.pdf")</f>
        <v>https://dpmzos25m8ivg.cloudfront.net/Documentos/631/14817480840/6311481748084011092023153823.pdf</v>
      </c>
      <c r="G5697" s="5" t="str">
        <f>HYPERLINK("https://dpmzos25m8ivg.cloudfront.net/Documentos/631/14817480840/6311481748084011092023153918.pdf","https://dpmzos25m8ivg.cloudfront.net/Documentos/631/14817480840/6311481748084011092023153918.pdf")</f>
        <v>https://dpmzos25m8ivg.cloudfront.net/Documentos/631/14817480840/6311481748084011092023153918.pdf</v>
      </c>
      <c r="H5697" s="4" t="s">
        <v>14268</v>
      </c>
    </row>
    <row r="5698" spans="1:8" x14ac:dyDescent="0.25">
      <c r="A5698" s="2" t="s">
        <v>5726</v>
      </c>
      <c r="B5698" s="3"/>
      <c r="C5698" s="3"/>
      <c r="D5698" s="3"/>
      <c r="E5698" s="5" t="str">
        <f>HYPERLINK("https://dpmzos25m8ivg.cloudfront.net/Documentos/631/14821243784/6311482124378405092023144751.pdf","https://dpmzos25m8ivg.cloudfront.net/Documentos/631/14821243784/6311482124378405092023144751.pdf")</f>
        <v>https://dpmzos25m8ivg.cloudfront.net/Documentos/631/14821243784/6311482124378405092023144751.pdf</v>
      </c>
      <c r="F5698" s="5" t="str">
        <f>HYPERLINK("https://dpmzos25m8ivg.cloudfront.net/Documentos/631/14821243784/6311482124378405092023144801.pdf","https://dpmzos25m8ivg.cloudfront.net/Documentos/631/14821243784/6311482124378405092023144801.pdf")</f>
        <v>https://dpmzos25m8ivg.cloudfront.net/Documentos/631/14821243784/6311482124378405092023144801.pdf</v>
      </c>
      <c r="G5698" s="5" t="str">
        <f>HYPERLINK("https://dpmzos25m8ivg.cloudfront.net/Documentos/631/14821243784/6311482124378405092023144810.pdf","https://dpmzos25m8ivg.cloudfront.net/Documentos/631/14821243784/6311482124378405092023144810.pdf")</f>
        <v>https://dpmzos25m8ivg.cloudfront.net/Documentos/631/14821243784/6311482124378405092023144810.pdf</v>
      </c>
      <c r="H5698" s="4" t="s">
        <v>14269</v>
      </c>
    </row>
    <row r="5699" spans="1:8" x14ac:dyDescent="0.25">
      <c r="A5699" s="2" t="s">
        <v>5727</v>
      </c>
      <c r="B5699" s="3"/>
      <c r="C5699" s="3"/>
      <c r="D5699" s="3"/>
      <c r="E5699" s="5" t="str">
        <f>HYPERLINK("https://dpmzos25m8ivg.cloudfront.net/Documentos/631/14829077719/6311482907771912092023221944.jpg","https://dpmzos25m8ivg.cloudfront.net/Documentos/631/14829077719/6311482907771912092023221944.jpg")</f>
        <v>https://dpmzos25m8ivg.cloudfront.net/Documentos/631/14829077719/6311482907771912092023221944.jpg</v>
      </c>
      <c r="F5699" s="5" t="str">
        <f>HYPERLINK("https://dpmzos25m8ivg.cloudfront.net/Documentos/631/14829077719/6311482907771912092023222017.jpg","https://dpmzos25m8ivg.cloudfront.net/Documentos/631/14829077719/6311482907771912092023222017.jpg")</f>
        <v>https://dpmzos25m8ivg.cloudfront.net/Documentos/631/14829077719/6311482907771912092023222017.jpg</v>
      </c>
      <c r="G5699" s="5" t="str">
        <f>HYPERLINK("https://dpmzos25m8ivg.cloudfront.net/Documentos/631/14829077719/6311482907771912092023222031.jpg","https://dpmzos25m8ivg.cloudfront.net/Documentos/631/14829077719/6311482907771912092023222031.jpg")</f>
        <v>https://dpmzos25m8ivg.cloudfront.net/Documentos/631/14829077719/6311482907771912092023222031.jpg</v>
      </c>
      <c r="H5699" s="4" t="s">
        <v>14270</v>
      </c>
    </row>
    <row r="5700" spans="1:8" x14ac:dyDescent="0.25">
      <c r="A5700" s="2" t="s">
        <v>5728</v>
      </c>
      <c r="B5700" s="3"/>
      <c r="C5700" s="3"/>
      <c r="D5700" s="3"/>
      <c r="E5700" s="5" t="str">
        <f>HYPERLINK("https://dpmzos25m8ivg.cloudfront.net/Documentos/631/14834810690/6311483481069011092023134244.pdf","https://dpmzos25m8ivg.cloudfront.net/Documentos/631/14834810690/6311483481069011092023134244.pdf")</f>
        <v>https://dpmzos25m8ivg.cloudfront.net/Documentos/631/14834810690/6311483481069011092023134244.pdf</v>
      </c>
      <c r="F5700" s="5" t="str">
        <f>HYPERLINK("https://dpmzos25m8ivg.cloudfront.net/Documentos/631/14834810690/6311483481069011092023134250.pdf","https://dpmzos25m8ivg.cloudfront.net/Documentos/631/14834810690/6311483481069011092023134250.pdf")</f>
        <v>https://dpmzos25m8ivg.cloudfront.net/Documentos/631/14834810690/6311483481069011092023134250.pdf</v>
      </c>
      <c r="G5700" s="5" t="str">
        <f>HYPERLINK("https://dpmzos25m8ivg.cloudfront.net/Documentos/631/14834810690/6311483481069011092023134257.pdf","https://dpmzos25m8ivg.cloudfront.net/Documentos/631/14834810690/6311483481069011092023134257.pdf")</f>
        <v>https://dpmzos25m8ivg.cloudfront.net/Documentos/631/14834810690/6311483481069011092023134257.pdf</v>
      </c>
      <c r="H5700" s="4" t="s">
        <v>14271</v>
      </c>
    </row>
    <row r="5701" spans="1:8" x14ac:dyDescent="0.25">
      <c r="A5701" s="2" t="s">
        <v>5729</v>
      </c>
      <c r="B5701" s="3"/>
      <c r="C5701" s="3"/>
      <c r="D5701" s="3"/>
      <c r="E5701" s="5" t="str">
        <f>HYPERLINK("https://dpmzos25m8ivg.cloudfront.net/Documentos/631/14838587821/6311483858782111092023130207.pdf","https://dpmzos25m8ivg.cloudfront.net/Documentos/631/14838587821/6311483858782111092023130207.pdf")</f>
        <v>https://dpmzos25m8ivg.cloudfront.net/Documentos/631/14838587821/6311483858782111092023130207.pdf</v>
      </c>
      <c r="F5701" s="5" t="str">
        <f>HYPERLINK("https://dpmzos25m8ivg.cloudfront.net/Documentos/631/14838587821/6311483858782111092023130223.pdf","https://dpmzos25m8ivg.cloudfront.net/Documentos/631/14838587821/6311483858782111092023130223.pdf")</f>
        <v>https://dpmzos25m8ivg.cloudfront.net/Documentos/631/14838587821/6311483858782111092023130223.pdf</v>
      </c>
      <c r="G5701" s="5" t="str">
        <f>HYPERLINK("https://dpmzos25m8ivg.cloudfront.net/Documentos/631/14838587821/6311483858782111092023130301.pdf","https://dpmzos25m8ivg.cloudfront.net/Documentos/631/14838587821/6311483858782111092023130301.pdf")</f>
        <v>https://dpmzos25m8ivg.cloudfront.net/Documentos/631/14838587821/6311483858782111092023130301.pdf</v>
      </c>
      <c r="H5701" s="4" t="s">
        <v>14272</v>
      </c>
    </row>
    <row r="5702" spans="1:8" x14ac:dyDescent="0.25">
      <c r="A5702" s="2" t="s">
        <v>5730</v>
      </c>
      <c r="B5702" s="16" t="s">
        <v>2358</v>
      </c>
      <c r="C5702" s="3"/>
      <c r="D5702" s="3"/>
      <c r="E5702" s="5" t="str">
        <f>HYPERLINK("https://dpmzos25m8ivg.cloudfront.net/Documentos/631/14840684405/6311484068440511092023165253.jpeg","https://dpmzos25m8ivg.cloudfront.net/Documentos/631/14840684405/6311484068440511092023165253.jpeg")</f>
        <v>https://dpmzos25m8ivg.cloudfront.net/Documentos/631/14840684405/6311484068440511092023165253.jpeg</v>
      </c>
      <c r="F5702" s="5" t="str">
        <f>HYPERLINK("https://dpmzos25m8ivg.cloudfront.net/Documentos/631/14840684405/6311484068440511092023165303.jpeg","https://dpmzos25m8ivg.cloudfront.net/Documentos/631/14840684405/6311484068440511092023165303.jpeg")</f>
        <v>https://dpmzos25m8ivg.cloudfront.net/Documentos/631/14840684405/6311484068440511092023165303.jpeg</v>
      </c>
      <c r="G5702" s="5" t="str">
        <f>HYPERLINK("https://dpmzos25m8ivg.cloudfront.net/Documentos/631/14840684405/6311484068440511092023165315.jpeg","https://dpmzos25m8ivg.cloudfront.net/Documentos/631/14840684405/6311484068440511092023165315.jpeg")</f>
        <v>https://dpmzos25m8ivg.cloudfront.net/Documentos/631/14840684405/6311484068440511092023165315.jpeg</v>
      </c>
      <c r="H5702" s="5" t="s">
        <v>14273</v>
      </c>
    </row>
    <row r="5703" spans="1:8" x14ac:dyDescent="0.25">
      <c r="A5703" s="2" t="s">
        <v>5731</v>
      </c>
      <c r="B5703" s="19" t="s">
        <v>3385</v>
      </c>
      <c r="C5703" s="3"/>
      <c r="D5703" s="3"/>
      <c r="E5703" s="5" t="str">
        <f>HYPERLINK("https://dpmzos25m8ivg.cloudfront.net/Documentos/631/14846917762/6311484691776211092023124705.jpeg","https://dpmzos25m8ivg.cloudfront.net/Documentos/631/14846917762/6311484691776211092023124705.jpeg")</f>
        <v>https://dpmzos25m8ivg.cloudfront.net/Documentos/631/14846917762/6311484691776211092023124705.jpeg</v>
      </c>
      <c r="F5703" s="5" t="str">
        <f>HYPERLINK("https://dpmzos25m8ivg.cloudfront.net/Documentos/631/14846917762/6311484691776211092023124723.jpeg","https://dpmzos25m8ivg.cloudfront.net/Documentos/631/14846917762/6311484691776211092023124723.jpeg")</f>
        <v>https://dpmzos25m8ivg.cloudfront.net/Documentos/631/14846917762/6311484691776211092023124723.jpeg</v>
      </c>
      <c r="G5703" s="5" t="str">
        <f>HYPERLINK("https://dpmzos25m8ivg.cloudfront.net/Documentos/631/14846917762/6311484691776211092023124752.jpeg","https://dpmzos25m8ivg.cloudfront.net/Documentos/631/14846917762/6311484691776211092023124752.jpeg")</f>
        <v>https://dpmzos25m8ivg.cloudfront.net/Documentos/631/14846917762/6311484691776211092023124752.jpeg</v>
      </c>
      <c r="H5703" s="4" t="s">
        <v>14274</v>
      </c>
    </row>
    <row r="5704" spans="1:8" x14ac:dyDescent="0.25">
      <c r="A5704" s="2" t="s">
        <v>5732</v>
      </c>
      <c r="B5704" s="3"/>
      <c r="C5704" s="3"/>
      <c r="D5704" s="3"/>
      <c r="E5704" s="5" t="str">
        <f>HYPERLINK("https://dpmzos25m8ivg.cloudfront.net/Documentos/631/14882014637/6311488201463709092023162942.pdf","https://dpmzos25m8ivg.cloudfront.net/Documentos/631/14882014637/6311488201463709092023162942.pdf")</f>
        <v>https://dpmzos25m8ivg.cloudfront.net/Documentos/631/14882014637/6311488201463709092023162942.pdf</v>
      </c>
      <c r="F5704" s="5" t="str">
        <f>HYPERLINK("https://dpmzos25m8ivg.cloudfront.net/Documentos/631/14882014637/6311488201463709092023162953.pdf","https://dpmzos25m8ivg.cloudfront.net/Documentos/631/14882014637/6311488201463709092023162953.pdf")</f>
        <v>https://dpmzos25m8ivg.cloudfront.net/Documentos/631/14882014637/6311488201463709092023162953.pdf</v>
      </c>
      <c r="G5704" s="5" t="str">
        <f>HYPERLINK("https://dpmzos25m8ivg.cloudfront.net/Documentos/631/14882014637/6311488201463709092023163001.pdf","https://dpmzos25m8ivg.cloudfront.net/Documentos/631/14882014637/6311488201463709092023163001.pdf")</f>
        <v>https://dpmzos25m8ivg.cloudfront.net/Documentos/631/14882014637/6311488201463709092023163001.pdf</v>
      </c>
      <c r="H5704" s="4" t="s">
        <v>14275</v>
      </c>
    </row>
    <row r="5705" spans="1:8" x14ac:dyDescent="0.25">
      <c r="A5705" s="2" t="s">
        <v>5733</v>
      </c>
      <c r="B5705" s="3"/>
      <c r="C5705" s="3"/>
      <c r="D5705" s="3"/>
      <c r="E5705" s="5" t="str">
        <f>HYPERLINK("https://dpmzos25m8ivg.cloudfront.net/Documentos/631/14884066774/6311488406677405092023152159.pdf","https://dpmzos25m8ivg.cloudfront.net/Documentos/631/14884066774/6311488406677405092023152159.pdf")</f>
        <v>https://dpmzos25m8ivg.cloudfront.net/Documentos/631/14884066774/6311488406677405092023152159.pdf</v>
      </c>
      <c r="F5705" s="5" t="str">
        <f>HYPERLINK("https://dpmzos25m8ivg.cloudfront.net/Documentos/631/14884066774/6311488406677405092023152211.pdf","https://dpmzos25m8ivg.cloudfront.net/Documentos/631/14884066774/6311488406677405092023152211.pdf")</f>
        <v>https://dpmzos25m8ivg.cloudfront.net/Documentos/631/14884066774/6311488406677405092023152211.pdf</v>
      </c>
      <c r="G5705" s="5" t="str">
        <f>HYPERLINK("https://dpmzos25m8ivg.cloudfront.net/Documentos/631/14884066774/6311488406677405092023152225.pdf","https://dpmzos25m8ivg.cloudfront.net/Documentos/631/14884066774/6311488406677405092023152225.pdf")</f>
        <v>https://dpmzos25m8ivg.cloudfront.net/Documentos/631/14884066774/6311488406677405092023152225.pdf</v>
      </c>
      <c r="H5705" s="4" t="s">
        <v>14276</v>
      </c>
    </row>
    <row r="5706" spans="1:8" x14ac:dyDescent="0.25">
      <c r="A5706" s="2" t="s">
        <v>5734</v>
      </c>
      <c r="B5706" s="3"/>
      <c r="C5706" s="3"/>
      <c r="D5706" s="3"/>
      <c r="E5706" s="5" t="str">
        <f>HYPERLINK("https://dpmzos25m8ivg.cloudfront.net/Documentos/631/14895078841/6311489507884110092023195053.pdf","https://dpmzos25m8ivg.cloudfront.net/Documentos/631/14895078841/6311489507884110092023195053.pdf")</f>
        <v>https://dpmzos25m8ivg.cloudfront.net/Documentos/631/14895078841/6311489507884110092023195053.pdf</v>
      </c>
      <c r="F5706" s="5" t="str">
        <f>HYPERLINK("https://dpmzos25m8ivg.cloudfront.net/Documentos/631/14895078841/6311489507884110092023194657.pdf","https://dpmzos25m8ivg.cloudfront.net/Documentos/631/14895078841/6311489507884110092023194657.pdf")</f>
        <v>https://dpmzos25m8ivg.cloudfront.net/Documentos/631/14895078841/6311489507884110092023194657.pdf</v>
      </c>
      <c r="G5706" s="5" t="str">
        <f>HYPERLINK("https://dpmzos25m8ivg.cloudfront.net/Documentos/631/14895078841/6311489507884110092023183349.pdf","https://dpmzos25m8ivg.cloudfront.net/Documentos/631/14895078841/6311489507884110092023183349.pdf")</f>
        <v>https://dpmzos25m8ivg.cloudfront.net/Documentos/631/14895078841/6311489507884110092023183349.pdf</v>
      </c>
      <c r="H5706" s="4" t="s">
        <v>14277</v>
      </c>
    </row>
    <row r="5707" spans="1:8" x14ac:dyDescent="0.25">
      <c r="A5707" s="2" t="s">
        <v>5735</v>
      </c>
      <c r="B5707" s="3"/>
      <c r="C5707" s="3"/>
      <c r="D5707" s="3"/>
      <c r="E5707" s="5" t="str">
        <f>HYPERLINK("https://dpmzos25m8ivg.cloudfront.net/Documentos/631/14895585603/6311489558560305092023235119.pdf","https://dpmzos25m8ivg.cloudfront.net/Documentos/631/14895585603/6311489558560305092023235119.pdf")</f>
        <v>https://dpmzos25m8ivg.cloudfront.net/Documentos/631/14895585603/6311489558560305092023235119.pdf</v>
      </c>
      <c r="F5707" s="5" t="str">
        <f>HYPERLINK("https://dpmzos25m8ivg.cloudfront.net/Documentos/631/14895585603/6311489558560305092023235130.pdf","https://dpmzos25m8ivg.cloudfront.net/Documentos/631/14895585603/6311489558560305092023235130.pdf")</f>
        <v>https://dpmzos25m8ivg.cloudfront.net/Documentos/631/14895585603/6311489558560305092023235130.pdf</v>
      </c>
      <c r="G5707" s="5" t="str">
        <f>HYPERLINK("https://dpmzos25m8ivg.cloudfront.net/Documentos/631/14895585603/6311489558560305092023235159.pdf","https://dpmzos25m8ivg.cloudfront.net/Documentos/631/14895585603/6311489558560305092023235159.pdf")</f>
        <v>https://dpmzos25m8ivg.cloudfront.net/Documentos/631/14895585603/6311489558560305092023235159.pdf</v>
      </c>
      <c r="H5707" s="4" t="s">
        <v>14278</v>
      </c>
    </row>
    <row r="5708" spans="1:8" x14ac:dyDescent="0.25">
      <c r="A5708" s="2" t="s">
        <v>5736</v>
      </c>
      <c r="B5708" s="3"/>
      <c r="C5708" s="3"/>
      <c r="D5708" s="3"/>
      <c r="E5708" s="5" t="str">
        <f>HYPERLINK("https://dpmzos25m8ivg.cloudfront.net/Documentos/631/14926168855/6311492616885513092023141910.jpg","https://dpmzos25m8ivg.cloudfront.net/Documentos/631/14926168855/6311492616885513092023141910.jpg")</f>
        <v>https://dpmzos25m8ivg.cloudfront.net/Documentos/631/14926168855/6311492616885513092023141910.jpg</v>
      </c>
      <c r="F5708" s="5" t="str">
        <f>HYPERLINK("https://dpmzos25m8ivg.cloudfront.net/Documentos/631/14926168855/6311492616885513092023141922.jpg","https://dpmzos25m8ivg.cloudfront.net/Documentos/631/14926168855/6311492616885513092023141922.jpg")</f>
        <v>https://dpmzos25m8ivg.cloudfront.net/Documentos/631/14926168855/6311492616885513092023141922.jpg</v>
      </c>
      <c r="G5708" s="5" t="str">
        <f>HYPERLINK("https://dpmzos25m8ivg.cloudfront.net/Documentos/631/14926168855/6311492616885513092023141933.jpg","https://dpmzos25m8ivg.cloudfront.net/Documentos/631/14926168855/6311492616885513092023141933.jpg")</f>
        <v>https://dpmzos25m8ivg.cloudfront.net/Documentos/631/14926168855/6311492616885513092023141933.jpg</v>
      </c>
      <c r="H5708" s="4" t="s">
        <v>14279</v>
      </c>
    </row>
    <row r="5709" spans="1:8" x14ac:dyDescent="0.25">
      <c r="A5709" s="2" t="s">
        <v>5737</v>
      </c>
      <c r="B5709" s="3"/>
      <c r="C5709" s="3"/>
      <c r="D5709" s="3"/>
      <c r="E5709" s="5" t="str">
        <f>HYPERLINK("https://dpmzos25m8ivg.cloudfront.net/AR4441Documentos/631/14928196708/6311492819670805092023105410.pdf","https://dpmzos25m8ivg.cloudfront.net/Documentos/631/14928196708/6311492819670805092023105410.pdf")</f>
        <v>https://dpmzos25m8ivg.cloudfront.net/Documentos/631/14928196708/6311492819670805092023105410.pdf</v>
      </c>
      <c r="F5709" s="5" t="str">
        <f>HYPERLINK("https://dpmzos25m8ivg.cloudfront.net/Documentos/631/14928196708/6311492819670805092023105424.pdf","https://dpmzos25m8ivg.cloudfront.net/Documentos/631/14928196708/6311492819670805092023105424.pdf")</f>
        <v>https://dpmzos25m8ivg.cloudfront.net/Documentos/631/14928196708/6311492819670805092023105424.pdf</v>
      </c>
      <c r="G5709" s="5" t="str">
        <f>HYPERLINK("https://dpmzos25m8ivg.cloudfront.net/Documentos/631/14928196708/6311492819670805092023105432.pdf","https://dpmzos25m8ivg.cloudfront.net/Documentos/631/14928196708/6311492819670805092023105432.pdf")</f>
        <v>https://dpmzos25m8ivg.cloudfront.net/Documentos/631/14928196708/6311492819670805092023105432.pdf</v>
      </c>
      <c r="H5709" s="4" t="s">
        <v>14280</v>
      </c>
    </row>
    <row r="5710" spans="1:8" x14ac:dyDescent="0.25">
      <c r="A5710" s="2" t="s">
        <v>5738</v>
      </c>
      <c r="B5710" s="16" t="s">
        <v>2358</v>
      </c>
      <c r="C5710" s="3"/>
      <c r="D5710" s="3"/>
      <c r="E5710" s="5" t="str">
        <f>HYPERLINK("https://dpmzos25m8ivg.cloudfront.net/Documentos/631/14932457677/6311493245767713092023100155.pdf","https://dpmzos25m8ivg.cloudfront.net/Documentos/631/14932457677/6311493245767713092023100155.pdf")</f>
        <v>https://dpmzos25m8ivg.cloudfront.net/Documentos/631/14932457677/6311493245767713092023100155.pdf</v>
      </c>
      <c r="F5710" s="5" t="str">
        <f>HYPERLINK("https://dpmzos25m8ivg.cloudfront.net/Documentos/631/14932457677/6311493245767713092023100210.pdf","https://dpmzos25m8ivg.cloudfront.net/Documentos/631/14932457677/6311493245767713092023100210.pdf")</f>
        <v>https://dpmzos25m8ivg.cloudfront.net/Documentos/631/14932457677/6311493245767713092023100210.pdf</v>
      </c>
      <c r="G5710" s="5" t="str">
        <f>HYPERLINK("https://dpmzos25m8ivg.cloudfront.net/Documentos/631/14932457677/6311493245767713092023100225.pdf","https://dpmzos25m8ivg.cloudfront.net/Documentos/631/14932457677/6311493245767713092023100225.pdf")</f>
        <v>https://dpmzos25m8ivg.cloudfront.net/Documentos/631/14932457677/6311493245767713092023100225.pdf</v>
      </c>
      <c r="H5710" s="5" t="s">
        <v>14281</v>
      </c>
    </row>
    <row r="5711" spans="1:8" x14ac:dyDescent="0.25">
      <c r="A5711" s="2" t="s">
        <v>5739</v>
      </c>
      <c r="B5711" s="3"/>
      <c r="C5711" s="3"/>
      <c r="D5711" s="3"/>
      <c r="E5711" s="5" t="str">
        <f>HYPERLINK("https://dpmzos25m8ivg.cloudfront.net/Documentos/631/14938463610/6311493846361014092023120322.pdf","https://dpmzos25m8ivg.cloudfront.net/Documentos/631/14938463610/6311493846361014092023120322.pdf")</f>
        <v>https://dpmzos25m8ivg.cloudfront.net/Documentos/631/14938463610/6311493846361014092023120322.pdf</v>
      </c>
      <c r="F5711" s="5" t="str">
        <f>HYPERLINK("https://dpmzos25m8ivg.cloudfront.net/Documentos/631/14938463610/6311493846361014092023120332.pdf","https://dpmzos25m8ivg.cloudfront.net/Documentos/631/14938463610/6311493846361014092023120332.pdf")</f>
        <v>https://dpmzos25m8ivg.cloudfront.net/Documentos/631/14938463610/6311493846361014092023120332.pdf</v>
      </c>
      <c r="G5711" s="5" t="str">
        <f>HYPERLINK("https://dpmzos25m8ivg.cloudfront.net/Documentos/631/14938463610/6311493846361014092023120344.pdf","https://dpmzos25m8ivg.cloudfront.net/Documentos/631/14938463610/6311493846361014092023120344.pdf")</f>
        <v>https://dpmzos25m8ivg.cloudfront.net/Documentos/631/14938463610/6311493846361014092023120344.pdf</v>
      </c>
      <c r="H5711" s="4" t="s">
        <v>14282</v>
      </c>
    </row>
    <row r="5712" spans="1:8" x14ac:dyDescent="0.25">
      <c r="A5712" s="2" t="s">
        <v>5740</v>
      </c>
      <c r="B5712" s="3"/>
      <c r="C5712" s="3"/>
      <c r="D5712" s="3"/>
      <c r="E5712" s="5" t="str">
        <f>HYPERLINK("https://dpmzos25m8ivg.cloudfront.net/Documentos/631/14946868720/6311494686872013092023231110.jpg","https://dpmzos25m8ivg.cloudfront.net/Documentos/631/14946868720/6311494686872013092023231110.jpg")</f>
        <v>https://dpmzos25m8ivg.cloudfront.net/Documentos/631/14946868720/6311494686872013092023231110.jpg</v>
      </c>
      <c r="F5712" s="5" t="str">
        <f>HYPERLINK("https://dpmzos25m8ivg.cloudfront.net/Documentos/631/14946868720/6311494686872013092023231141.jpg","https://dpmzos25m8ivg.cloudfront.net/Documentos/631/14946868720/6311494686872013092023231141.jpg")</f>
        <v>https://dpmzos25m8ivg.cloudfront.net/Documentos/631/14946868720/6311494686872013092023231141.jpg</v>
      </c>
      <c r="G5712" s="5" t="str">
        <f>HYPERLINK("https://dpmzos25m8ivg.cloudfront.net/Documentos/631/14946868720/6311494686872013092023231213.jpg","https://dpmzos25m8ivg.cloudfront.net/Documentos/631/14946868720/6311494686872013092023231213.jpg")</f>
        <v>https://dpmzos25m8ivg.cloudfront.net/Documentos/631/14946868720/6311494686872013092023231213.jpg</v>
      </c>
      <c r="H5712" s="4" t="s">
        <v>14283</v>
      </c>
    </row>
    <row r="5713" spans="1:8" x14ac:dyDescent="0.25">
      <c r="A5713" s="2" t="s">
        <v>5741</v>
      </c>
      <c r="B5713" s="16" t="s">
        <v>2358</v>
      </c>
      <c r="C5713" s="3"/>
      <c r="D5713" s="3"/>
      <c r="E5713" s="5" t="str">
        <f>HYPERLINK("https://dpmzos25m8ivg.cloudfront.net/Documentos/631/14955418783/6311495541878311092023131221.pdf","https://dpmzos25m8ivg.cloudfront.net/Documentos/631/14955418783/6311495541878311092023131221.pdf")</f>
        <v>https://dpmzos25m8ivg.cloudfront.net/Documentos/631/14955418783/6311495541878311092023131221.pdf</v>
      </c>
      <c r="F5713" s="5" t="str">
        <f>HYPERLINK("https://dpmzos25m8ivg.cloudfront.net/Documentos/631/14955418783/6311495541878311092023131236.pdf","https://dpmzos25m8ivg.cloudfront.net/Documentos/631/14955418783/6311495541878311092023131236.pdf")</f>
        <v>https://dpmzos25m8ivg.cloudfront.net/Documentos/631/14955418783/6311495541878311092023131236.pdf</v>
      </c>
      <c r="G5713" s="5" t="str">
        <f>HYPERLINK("https://dpmzos25m8ivg.cloudfront.net/Documentos/631/14955418783/6311495541878311092023131244.pdf","https://dpmzos25m8ivg.cloudfront.net/Documentos/631/14955418783/6311495541878311092023131244.pdf")</f>
        <v>https://dpmzos25m8ivg.cloudfront.net/Documentos/631/14955418783/6311495541878311092023131244.pdf</v>
      </c>
      <c r="H5713" s="5" t="s">
        <v>14284</v>
      </c>
    </row>
    <row r="5714" spans="1:8" x14ac:dyDescent="0.25">
      <c r="A5714" s="2" t="s">
        <v>5742</v>
      </c>
      <c r="B5714" s="3"/>
      <c r="C5714" s="3"/>
      <c r="D5714" s="3"/>
      <c r="E5714" s="5" t="str">
        <f>HYPERLINK("https://dpmzos25m8ivg.cloudfront.net/Documentos/631/14960303204/6311496030320411092023173904.jpeg","https://dpmzos25m8ivg.cloudfront.net/Documentos/631/14960303204/6311496030320411092023173904.jpeg")</f>
        <v>https://dpmzos25m8ivg.cloudfront.net/Documentos/631/14960303204/6311496030320411092023173904.jpeg</v>
      </c>
      <c r="F5714" s="5" t="str">
        <f>HYPERLINK("https://dpmzos25m8ivg.cloudfront.net/Documentos/631/14960303204/6311496030320411092023171401.jpeg","https://dpmzos25m8ivg.cloudfront.net/Documentos/631/14960303204/6311496030320411092023171401.jpeg")</f>
        <v>https://dpmzos25m8ivg.cloudfront.net/Documentos/631/14960303204/6311496030320411092023171401.jpeg</v>
      </c>
      <c r="G5714" s="5" t="str">
        <f>HYPERLINK("https://dpmzos25m8ivg.cloudfront.net/Documentos/631/14960303204/6311496030320411092023173649.jpeg","https://dpmzos25m8ivg.cloudfront.net/Documentos/631/14960303204/6311496030320411092023173649.jpeg")</f>
        <v>https://dpmzos25m8ivg.cloudfront.net/Documentos/631/14960303204/6311496030320411092023173649.jpeg</v>
      </c>
      <c r="H5714" s="4" t="s">
        <v>14285</v>
      </c>
    </row>
    <row r="5715" spans="1:8" x14ac:dyDescent="0.25">
      <c r="A5715" s="2" t="s">
        <v>5743</v>
      </c>
      <c r="B5715" s="3"/>
      <c r="C5715" s="3"/>
      <c r="D5715" s="3"/>
      <c r="E5715" s="5" t="str">
        <f>HYPERLINK("https://dpmzos25m8ivg.cloudfront.net/Documentos/631/14969539758/6311496953975811092023111800.pdf","https://dpmzos25m8ivg.cloudfront.net/Documentos/631/14969539758/6311496953975811092023111800.pdf")</f>
        <v>https://dpmzos25m8ivg.cloudfront.net/Documentos/631/14969539758/6311496953975811092023111800.pdf</v>
      </c>
      <c r="F5715" s="5" t="str">
        <f>HYPERLINK("https://dpmzos25m8ivg.cloudfront.net/Documentos/631/14969539758/6311496953975811092023111808.pdf","https://dpmzos25m8ivg.cloudfront.net/Documentos/631/14969539758/6311496953975811092023111808.pdf")</f>
        <v>https://dpmzos25m8ivg.cloudfront.net/Documentos/631/14969539758/6311496953975811092023111808.pdf</v>
      </c>
      <c r="G5715" s="5" t="str">
        <f>HYPERLINK("https://dpmzos25m8ivg.cloudfront.net/Documentos/631/14969539758/6311496953975811092023111817.pdf","https://dpmzos25m8ivg.cloudfront.net/Documentos/631/14969539758/6311496953975811092023111817.pdf")</f>
        <v>https://dpmzos25m8ivg.cloudfront.net/Documentos/631/14969539758/6311496953975811092023111817.pdf</v>
      </c>
      <c r="H5715" s="4" t="s">
        <v>14286</v>
      </c>
    </row>
    <row r="5716" spans="1:8" x14ac:dyDescent="0.25">
      <c r="A5716" s="2" t="s">
        <v>5744</v>
      </c>
      <c r="B5716" s="3"/>
      <c r="C5716" s="3"/>
      <c r="D5716" s="3"/>
      <c r="E5716" s="5" t="str">
        <f>HYPERLINK("https://dpmzos25m8ivg.cloudfront.net/Documentos/631/14975118793/6311497511879314092023164541.jpg","https://dpmzos25m8ivg.cloudfront.net/Documentos/631/14975118793/6311497511879314092023164541.jpg")</f>
        <v>https://dpmzos25m8ivg.cloudfront.net/Documentos/631/14975118793/6311497511879314092023164541.jpg</v>
      </c>
      <c r="F5716" s="5" t="str">
        <f>HYPERLINK("https://dpmzos25m8ivg.cloudfront.net/Documentos/631/14975118793/6311497511879314092023164649.jpg","https://dpmzos25m8ivg.cloudfront.net/Documentos/631/14975118793/6311497511879314092023164649.jpg")</f>
        <v>https://dpmzos25m8ivg.cloudfront.net/Documentos/631/14975118793/6311497511879314092023164649.jpg</v>
      </c>
      <c r="G5716" s="5" t="str">
        <f>HYPERLINK("https://dpmzos25m8ivg.cloudfront.net/Documentos/631/14975118793/6311497511879314092023164726.jpg","https://dpmzos25m8ivg.cloudfront.net/Documentos/631/14975118793/6311497511879314092023164726.jpg")</f>
        <v>https://dpmzos25m8ivg.cloudfront.net/Documentos/631/14975118793/6311497511879314092023164726.jpg</v>
      </c>
      <c r="H5716" s="4" t="s">
        <v>14287</v>
      </c>
    </row>
    <row r="5717" spans="1:8" x14ac:dyDescent="0.25">
      <c r="A5717" s="2" t="s">
        <v>5745</v>
      </c>
      <c r="B5717" s="19" t="s">
        <v>3385</v>
      </c>
      <c r="C5717" s="3"/>
      <c r="D5717" s="3"/>
      <c r="E5717" s="5" t="str">
        <f>HYPERLINK("https://dpmzos25m8ivg.cloudfront.net/Documentos/631/14992816681/6311499281668111092023081743.pdf","https://dpmzos25m8ivg.cloudfront.net/Documentos/631/14992816681/6311499281668111092023081743.pdf")</f>
        <v>https://dpmzos25m8ivg.cloudfront.net/Documentos/631/14992816681/6311499281668111092023081743.pdf</v>
      </c>
      <c r="F5717" s="5" t="str">
        <f>HYPERLINK("https://dpmzos25m8ivg.cloudfront.net/Documentos/631/14992816681/6311499281668111092023081755.pdf","https://dpmzos25m8ivg.cloudfront.net/Documentos/631/14992816681/6311499281668111092023081755.pdf")</f>
        <v>https://dpmzos25m8ivg.cloudfront.net/Documentos/631/14992816681/6311499281668111092023081755.pdf</v>
      </c>
      <c r="G5717" s="5" t="str">
        <f>HYPERLINK("https://dpmzos25m8ivg.cloudfront.net/Documentos/631/14992816681/6311499281668111092023081807.pdf","https://dpmzos25m8ivg.cloudfront.net/Documentos/631/14992816681/6311499281668111092023081807.pdf")</f>
        <v>https://dpmzos25m8ivg.cloudfront.net/Documentos/631/14992816681/6311499281668111092023081807.pdf</v>
      </c>
      <c r="H5717" s="4" t="s">
        <v>14288</v>
      </c>
    </row>
    <row r="5718" spans="1:8" x14ac:dyDescent="0.25">
      <c r="A5718" s="2" t="s">
        <v>5746</v>
      </c>
      <c r="B5718" s="3"/>
      <c r="C5718" s="3"/>
      <c r="D5718" s="3"/>
      <c r="E5718" s="5" t="str">
        <f>HYPERLINK("https://dpmzos25m8ivg.cloudfront.net/Documentos/631/14992946623/6311499294662309092023142540.pdf","https://dpmzos25m8ivg.cloudfront.net/Documentos/631/14992946623/6311499294662309092023142540.pdf")</f>
        <v>https://dpmzos25m8ivg.cloudfront.net/Documentos/631/14992946623/6311499294662309092023142540.pdf</v>
      </c>
      <c r="F5718" s="5" t="str">
        <f>HYPERLINK("https://dpmzos25m8ivg.cloudfront.net/Documentos/631/14992946623/6311499294662309092023142717.pdf","https://dpmzos25m8ivg.cloudfront.net/Documentos/631/14992946623/6311499294662309092023142717.pdf")</f>
        <v>https://dpmzos25m8ivg.cloudfront.net/Documentos/631/14992946623/6311499294662309092023142717.pdf</v>
      </c>
      <c r="G5718" s="5" t="str">
        <f>HYPERLINK("https://dpmzos25m8ivg.cloudfront.net/Documentos/631/14992946623/6311499294662309092023142727.pdf","https://dpmzos25m8ivg.cloudfront.net/Documentos/631/14992946623/6311499294662309092023142727.pdf")</f>
        <v>https://dpmzos25m8ivg.cloudfront.net/Documentos/631/14992946623/6311499294662309092023142727.pdf</v>
      </c>
      <c r="H5718" s="4" t="s">
        <v>14289</v>
      </c>
    </row>
    <row r="5719" spans="1:8" x14ac:dyDescent="0.25">
      <c r="A5719" s="2" t="s">
        <v>5747</v>
      </c>
      <c r="B5719" s="3"/>
      <c r="C5719" s="3"/>
      <c r="D5719" s="3"/>
      <c r="E5719" s="5" t="str">
        <f>HYPERLINK("https://dpmzos25m8ivg.cloudfront.net/Documentos/631/14995859500/6311499585950010092023200020.pdf","https://dpmzos25m8ivg.cloudfront.net/Documentos/631/14995859500/6311499585950010092023200020.pdf")</f>
        <v>https://dpmzos25m8ivg.cloudfront.net/Documentos/631/14995859500/6311499585950010092023200020.pdf</v>
      </c>
      <c r="F5719" s="5" t="str">
        <f>HYPERLINK("https://dpmzos25m8ivg.cloudfront.net/Documentos/631/14995859500/6311499585950010092023200033.pdf","https://dpmzos25m8ivg.cloudfront.net/Documentos/631/14995859500/6311499585950010092023200033.pdf")</f>
        <v>https://dpmzos25m8ivg.cloudfront.net/Documentos/631/14995859500/6311499585950010092023200033.pdf</v>
      </c>
      <c r="G5719" s="5" t="str">
        <f>HYPERLINK("https://dpmzos25m8ivg.cloudfront.net/Documentos/631/14995859500/6311499585950010092023200044.pdf","https://dpmzos25m8ivg.cloudfront.net/Documentos/631/14995859500/6311499585950010092023200044.pdf")</f>
        <v>https://dpmzos25m8ivg.cloudfront.net/Documentos/631/14995859500/6311499585950010092023200044.pdf</v>
      </c>
      <c r="H5719" s="4" t="s">
        <v>14290</v>
      </c>
    </row>
    <row r="5720" spans="1:8" x14ac:dyDescent="0.25">
      <c r="A5720" s="2" t="s">
        <v>5748</v>
      </c>
      <c r="B5720" s="3"/>
      <c r="C5720" s="3"/>
      <c r="D5720" s="3"/>
      <c r="E5720" s="5" t="str">
        <f>HYPERLINK("https://dpmzos25m8ivg.cloudfront.net/Documentos/631/15007513679/6311500751367911092023141709.jpg","https://dpmzos25m8ivg.cloudfront.net/Documentos/631/15007513679/6311500751367911092023141709.jpg")</f>
        <v>https://dpmzos25m8ivg.cloudfront.net/Documentos/631/15007513679/6311500751367911092023141709.jpg</v>
      </c>
      <c r="F5720" s="5" t="str">
        <f>HYPERLINK("https://dpmzos25m8ivg.cloudfront.net/Documentos/631/15007513679/6311500751367911092023141717.jpg","https://dpmzos25m8ivg.cloudfront.net/Documentos/631/15007513679/6311500751367911092023141717.jpg")</f>
        <v>https://dpmzos25m8ivg.cloudfront.net/Documentos/631/15007513679/6311500751367911092023141717.jpg</v>
      </c>
      <c r="G5720" s="5" t="str">
        <f>HYPERLINK("https://dpmzos25m8ivg.cloudfront.net/Documentos/631/15007513679/6311500751367911092023141727.jpg","https://dpmzos25m8ivg.cloudfront.net/Documentos/631/15007513679/6311500751367911092023141727.jpg")</f>
        <v>https://dpmzos25m8ivg.cloudfront.net/Documentos/631/15007513679/6311500751367911092023141727.jpg</v>
      </c>
      <c r="H5720" s="4" t="s">
        <v>14291</v>
      </c>
    </row>
    <row r="5721" spans="1:8" x14ac:dyDescent="0.25">
      <c r="A5721" s="2" t="s">
        <v>5749</v>
      </c>
      <c r="B5721" s="3"/>
      <c r="C5721" s="3"/>
      <c r="D5721" s="3"/>
      <c r="E5721" s="5" t="str">
        <f>HYPERLINK("https://dpmzos25m8ivg.cloudfront.net/Documentos/631/15028448698/6311502844869806092023092825.pdf","https://dpmzos25m8ivg.cloudfront.net/Documentos/631/15028448698/6311502844869806092023092825.pdf")</f>
        <v>https://dpmzos25m8ivg.cloudfront.net/Documentos/631/15028448698/6311502844869806092023092825.pdf</v>
      </c>
      <c r="F5721" s="5" t="str">
        <f>HYPERLINK("https://dpmzos25m8ivg.cloudfront.net/Documentos/631/15028448698/6311502844869806092023092845.pdf","https://dpmzos25m8ivg.cloudfront.net/Documentos/631/15028448698/6311502844869806092023092845.pdf")</f>
        <v>https://dpmzos25m8ivg.cloudfront.net/Documentos/631/15028448698/6311502844869806092023092845.pdf</v>
      </c>
      <c r="G5721" s="5" t="str">
        <f>HYPERLINK("https://dpmzos25m8ivg.cloudfront.net/Documentos/631/15028448698/6311502844869806092023092940.pdf","https://dpmzos25m8ivg.cloudfront.net/Documentos/631/15028448698/6311502844869806092023092940.pdf")</f>
        <v>https://dpmzos25m8ivg.cloudfront.net/Documentos/631/15028448698/6311502844869806092023092940.pdf</v>
      </c>
      <c r="H5721" s="4" t="s">
        <v>14292</v>
      </c>
    </row>
    <row r="5722" spans="1:8" x14ac:dyDescent="0.25">
      <c r="A5722" s="2" t="s">
        <v>5750</v>
      </c>
      <c r="B5722" s="16" t="s">
        <v>2358</v>
      </c>
      <c r="C5722" s="3"/>
      <c r="D5722" s="3"/>
      <c r="E5722" s="5" t="str">
        <f>HYPERLINK("https://dpmzos25m8ivg.cloudfront.net/Documentos/631/15030140883/6311503014088306092023211221.pdf","https://dpmzos25m8ivg.cloudfront.net/Documentos/631/15030140883/6311503014088306092023211221.pdf")</f>
        <v>https://dpmzos25m8ivg.cloudfront.net/Documentos/631/15030140883/6311503014088306092023211221.pdf</v>
      </c>
      <c r="F5722" s="5" t="str">
        <f>HYPERLINK("https://dpmzos25m8ivg.cloudfront.net/Documentos/631/15030140883/6311503014088306092023221925.pdf","https://dpmzos25m8ivg.cloudfront.net/Documentos/631/15030140883/6311503014088306092023221925.pdf")</f>
        <v>https://dpmzos25m8ivg.cloudfront.net/Documentos/631/15030140883/6311503014088306092023221925.pdf</v>
      </c>
      <c r="G5722" s="5" t="str">
        <f>HYPERLINK("https://dpmzos25m8ivg.cloudfront.net/Documentos/631/15030140883/6311503014088306092023221938.pdf","https://dpmzos25m8ivg.cloudfront.net/Documentos/631/15030140883/6311503014088306092023221938.pdf")</f>
        <v>https://dpmzos25m8ivg.cloudfront.net/Documentos/631/15030140883/6311503014088306092023221938.pdf</v>
      </c>
      <c r="H5722" s="5" t="s">
        <v>14293</v>
      </c>
    </row>
    <row r="5723" spans="1:8" x14ac:dyDescent="0.25">
      <c r="A5723" s="2" t="s">
        <v>5751</v>
      </c>
      <c r="B5723" s="3"/>
      <c r="C5723" s="3"/>
      <c r="D5723" s="3"/>
      <c r="E5723" s="5" t="str">
        <f>HYPERLINK("https://dpmzos25m8ivg.cloudfront.net/Documentos/631/15040912722/6311504091272211092023152936.pdf","https://dpmzos25m8ivg.cloudfront.net/Documentos/631/15040912722/6311504091272211092023152936.pdf")</f>
        <v>https://dpmzos25m8ivg.cloudfront.net/Documentos/631/15040912722/6311504091272211092023152936.pdf</v>
      </c>
      <c r="F5723" s="5" t="str">
        <f>HYPERLINK("https://dpmzos25m8ivg.cloudfront.net/Documentos/631/15040912722/6311504091272211092023152944.pdf","https://dpmzos25m8ivg.cloudfront.net/Documentos/631/15040912722/6311504091272211092023152944.pdf")</f>
        <v>https://dpmzos25m8ivg.cloudfront.net/Documentos/631/15040912722/6311504091272211092023152944.pdf</v>
      </c>
      <c r="G5723" s="5" t="str">
        <f>HYPERLINK("https://dpmzos25m8ivg.cloudfront.net/Documentos/631/15040912722/6311504091272211092023152954.pdf","https://dpmzos25m8ivg.cloudfront.net/Documentos/631/15040912722/6311504091272211092023152954.pdf")</f>
        <v>https://dpmzos25m8ivg.cloudfront.net/Documentos/631/15040912722/6311504091272211092023152954.pdf</v>
      </c>
      <c r="H5723" s="4" t="s">
        <v>14294</v>
      </c>
    </row>
    <row r="5724" spans="1:8" x14ac:dyDescent="0.25">
      <c r="A5724" s="2" t="s">
        <v>5752</v>
      </c>
      <c r="B5724" s="3" t="s">
        <v>308</v>
      </c>
      <c r="C5724" s="3"/>
      <c r="D5724" s="3"/>
      <c r="E5724" s="5" t="str">
        <f>HYPERLINK("https://dpmzos25m8ivg.cloudfront.net/Documentos/631/15057067699/6311505706769911092023112235.jpg","https://dpmzos25m8ivg.cloudfront.net/Documentos/631/15057067699/6311505706769911092023112235.jpg")</f>
        <v>https://dpmzos25m8ivg.cloudfront.net/Documentos/631/15057067699/6311505706769911092023112235.jpg</v>
      </c>
      <c r="F5724" s="5" t="str">
        <f>HYPERLINK("https://dpmzos25m8ivg.cloudfront.net/Documentos/631/15057067699/6311505706769911092023112249.jpg","https://dpmzos25m8ivg.cloudfront.net/Documentos/631/15057067699/6311505706769911092023112249.jpg")</f>
        <v>https://dpmzos25m8ivg.cloudfront.net/Documentos/631/15057067699/6311505706769911092023112249.jpg</v>
      </c>
      <c r="G5724" s="5" t="str">
        <f>HYPERLINK("https://dpmzos25m8ivg.cloudfront.net/Documentos/631/15057067699/6311505706769911092023112304.jpg","https://dpmzos25m8ivg.cloudfront.net/Documentos/631/15057067699/6311505706769911092023112304.jpg")</f>
        <v>https://dpmzos25m8ivg.cloudfront.net/Documentos/631/15057067699/6311505706769911092023112304.jpg</v>
      </c>
      <c r="H5724" s="4" t="s">
        <v>14295</v>
      </c>
    </row>
    <row r="5725" spans="1:8" x14ac:dyDescent="0.25">
      <c r="A5725" s="2" t="s">
        <v>5753</v>
      </c>
      <c r="B5725" s="3"/>
      <c r="C5725" s="3"/>
      <c r="D5725" s="3"/>
      <c r="E5725" s="5" t="str">
        <f>HYPERLINK("https://dpmzos25m8ivg.cloudfront.net/Documentos/631/15063648703/6311506364870308092023190205.pdf","https://dpmzos25m8ivg.cloudfront.net/Documentos/631/15063648703/6311506364870308092023190205.pdf")</f>
        <v>https://dpmzos25m8ivg.cloudfront.net/Documentos/631/15063648703/6311506364870308092023190205.pdf</v>
      </c>
      <c r="F5725" s="5" t="str">
        <f>HYPERLINK("https://dpmzos25m8ivg.cloudfront.net/Documentos/631/15063648703/6311506364870308092023190214.pdf","https://dpmzos25m8ivg.cloudfront.net/Documentos/631/15063648703/6311506364870308092023190214.pdf")</f>
        <v>https://dpmzos25m8ivg.cloudfront.net/Documentos/631/15063648703/6311506364870308092023190214.pdf</v>
      </c>
      <c r="G5725" s="5" t="str">
        <f>HYPERLINK("https://dpmzos25m8ivg.cloudfront.net/Documentos/631/15063648703/6311506364870308092023190223.pdf","https://dpmzos25m8ivg.cloudfront.net/Documentos/631/15063648703/6311506364870308092023190223.pdf")</f>
        <v>https://dpmzos25m8ivg.cloudfront.net/Documentos/631/15063648703/6311506364870308092023190223.pdf</v>
      </c>
      <c r="H5725" s="4" t="s">
        <v>14296</v>
      </c>
    </row>
    <row r="5726" spans="1:8" x14ac:dyDescent="0.25">
      <c r="A5726" s="2" t="s">
        <v>5754</v>
      </c>
      <c r="B5726" s="3"/>
      <c r="C5726" s="3"/>
      <c r="D5726" s="3"/>
      <c r="E5726" s="5" t="str">
        <f>HYPERLINK("https://dpmzos25m8ivg.cloudfront.net/Documentos/631/15068827657/6311506882765711092023093736.pdf","https://dpmzos25m8ivg.cloudfront.net/Documentos/631/15068827657/6311506882765711092023093736.pdf")</f>
        <v>https://dpmzos25m8ivg.cloudfront.net/Documentos/631/15068827657/6311506882765711092023093736.pdf</v>
      </c>
      <c r="F5726" s="5" t="str">
        <f>HYPERLINK("https://dpmzos25m8ivg.cloudfront.net/Documentos/631/15068827657/6311506882765711092023093741.pdf","https://dpmzos25m8ivg.cloudfront.net/Documentos/631/15068827657/6311506882765711092023093741.pdf")</f>
        <v>https://dpmzos25m8ivg.cloudfront.net/Documentos/631/15068827657/6311506882765711092023093741.pdf</v>
      </c>
      <c r="G5726" s="5" t="str">
        <f>HYPERLINK("https://dpmzos25m8ivg.cloudfront.net/Documentos/631/15068827657/6311506882765711092023093747.pdf","https://dpmzos25m8ivg.cloudfront.net/Documentos/631/15068827657/6311506882765711092023093747.pdf")</f>
        <v>https://dpmzos25m8ivg.cloudfront.net/Documentos/631/15068827657/6311506882765711092023093747.pdf</v>
      </c>
      <c r="H5726" s="4" t="s">
        <v>14297</v>
      </c>
    </row>
    <row r="5727" spans="1:8" x14ac:dyDescent="0.25">
      <c r="A5727" s="2" t="s">
        <v>5755</v>
      </c>
      <c r="B5727" s="3" t="s">
        <v>308</v>
      </c>
      <c r="C5727" s="3"/>
      <c r="D5727" s="3"/>
      <c r="E5727" s="5" t="str">
        <f>HYPERLINK("https://dpmzos25m8ivg.cloudfront.net/Documentos/631/15078645748/6311507864574812092023224439.jpeg","https://dpmzos25m8ivg.cloudfront.net/Documentos/631/15078645748/6311507864574812092023224439.jpeg")</f>
        <v>https://dpmzos25m8ivg.cloudfront.net/Documentos/631/15078645748/6311507864574812092023224439.jpeg</v>
      </c>
      <c r="F5727" s="5" t="str">
        <f>HYPERLINK("https://dpmzos25m8ivg.cloudfront.net/Documentos/631/15078645748/6311507864574812092023224454.jpeg","https://dpmzos25m8ivg.cloudfront.net/Documentos/631/15078645748/6311507864574812092023224454.jpeg")</f>
        <v>https://dpmzos25m8ivg.cloudfront.net/Documentos/631/15078645748/6311507864574812092023224454.jpeg</v>
      </c>
      <c r="G5727" s="5" t="str">
        <f>HYPERLINK("https://dpmzos25m8ivg.cloudfront.net/Documentos/631/15078645748/6311507864574812092023224511.jpeg","https://dpmzos25m8ivg.cloudfront.net/Documentos/631/15078645748/6311507864574812092023224511.jpeg")</f>
        <v>https://dpmzos25m8ivg.cloudfront.net/Documentos/631/15078645748/6311507864574812092023224511.jpeg</v>
      </c>
      <c r="H5727" s="4" t="s">
        <v>14298</v>
      </c>
    </row>
    <row r="5728" spans="1:8" x14ac:dyDescent="0.25">
      <c r="A5728" s="2" t="s">
        <v>5756</v>
      </c>
      <c r="B5728" s="3"/>
      <c r="C5728" s="3"/>
      <c r="D5728" s="3"/>
      <c r="E5728" s="5" t="str">
        <f>HYPERLINK("https://dpmzos25m8ivg.cloudfront.net/Documentos/631/15081129755/6311508112975511092023145938.pdf","https://dpmzos25m8ivg.cloudfront.net/Documentos/631/15081129755/6311508112975511092023145938.pdf")</f>
        <v>https://dpmzos25m8ivg.cloudfront.net/Documentos/631/15081129755/6311508112975511092023145938.pdf</v>
      </c>
      <c r="F5728" s="5" t="str">
        <f>HYPERLINK("https://dpmzos25m8ivg.cloudfront.net/Documentos/631/15081129755/6311508112975511092023145948.pdf","https://dpmzos25m8ivg.cloudfront.net/Documentos/631/15081129755/6311508112975511092023145948.pdf")</f>
        <v>https://dpmzos25m8ivg.cloudfront.net/Documentos/631/15081129755/6311508112975511092023145948.pdf</v>
      </c>
      <c r="G5728" s="5" t="str">
        <f>HYPERLINK("https://dpmzos25m8ivg.cloudfront.net/Documentos/631/15081129755/6311508112975511092023145958.pdf","https://dpmzos25m8ivg.cloudfront.net/Documentos/631/15081129755/6311508112975511092023145958.pdf")</f>
        <v>https://dpmzos25m8ivg.cloudfront.net/Documentos/631/15081129755/6311508112975511092023145958.pdf</v>
      </c>
      <c r="H5728" s="4" t="s">
        <v>14299</v>
      </c>
    </row>
    <row r="5729" spans="1:8" x14ac:dyDescent="0.25">
      <c r="A5729" s="2" t="s">
        <v>5757</v>
      </c>
      <c r="B5729" s="3"/>
      <c r="C5729" s="3"/>
      <c r="D5729" s="3"/>
      <c r="E5729" s="5" t="str">
        <f>HYPERLINK("https://dpmzos25m8ivg.cloudfront.net/Documentos/631/15102174444/6311510217444410092023224020.pdf","https://dpmzos25m8ivg.cloudfront.net/Documentos/631/15102174444/6311510217444410092023224020.pdf")</f>
        <v>https://dpmzos25m8ivg.cloudfront.net/Documentos/631/15102174444/6311510217444410092023224020.pdf</v>
      </c>
      <c r="F5729" s="5" t="str">
        <f>HYPERLINK("https://dpmzos25m8ivg.cloudfront.net/Documentos/631/15102174444/6311510217444410092023224040.pdf","https://dpmzos25m8ivg.cloudfront.net/Documentos/631/15102174444/6311510217444410092023224040.pdf")</f>
        <v>https://dpmzos25m8ivg.cloudfront.net/Documentos/631/15102174444/6311510217444410092023224040.pdf</v>
      </c>
      <c r="G5729" s="5" t="str">
        <f>HYPERLINK("https://dpmzos25m8ivg.cloudfront.net/Documentos/631/15102174444/6311510217444410092023224056.pdf","https://dpmzos25m8ivg.cloudfront.net/Documentos/631/15102174444/6311510217444410092023224056.pdf")</f>
        <v>https://dpmzos25m8ivg.cloudfront.net/Documentos/631/15102174444/6311510217444410092023224056.pdf</v>
      </c>
      <c r="H5729" s="4" t="s">
        <v>14300</v>
      </c>
    </row>
    <row r="5730" spans="1:8" x14ac:dyDescent="0.25">
      <c r="A5730" s="2" t="s">
        <v>5758</v>
      </c>
      <c r="B5730" s="3"/>
      <c r="C5730" s="3"/>
      <c r="D5730" s="3"/>
      <c r="E5730" s="5" t="str">
        <f>HYPERLINK("https://dpmzos25m8ivg.cloudfront.net/Documentos/631/15121342799/6311512134279910092023235248.jpeg","https://dpmzos25m8ivg.cloudfront.net/Documentos/631/15121342799/6311512134279910092023235248.jpeg")</f>
        <v>https://dpmzos25m8ivg.cloudfront.net/Documentos/631/15121342799/6311512134279910092023235248.jpeg</v>
      </c>
      <c r="F5730" s="5" t="str">
        <f>HYPERLINK("https://dpmzos25m8ivg.cloudfront.net/Documentos/631/15121342799/6311512134279910092023235257.jpeg","https://dpmzos25m8ivg.cloudfront.net/Documentos/631/15121342799/6311512134279910092023235257.jpeg")</f>
        <v>https://dpmzos25m8ivg.cloudfront.net/Documentos/631/15121342799/6311512134279910092023235257.jpeg</v>
      </c>
      <c r="G5730" s="5" t="str">
        <f>HYPERLINK("https://dpmzos25m8ivg.cloudfront.net/Documentos/631/15121342799/6311512134279910092023235308.jpeg","https://dpmzos25m8ivg.cloudfront.net/Documentos/631/15121342799/6311512134279910092023235308.jpeg")</f>
        <v>https://dpmzos25m8ivg.cloudfront.net/Documentos/631/15121342799/6311512134279910092023235308.jpeg</v>
      </c>
      <c r="H5730" s="4" t="s">
        <v>14301</v>
      </c>
    </row>
    <row r="5731" spans="1:8" x14ac:dyDescent="0.25">
      <c r="A5731" s="2" t="s">
        <v>5759</v>
      </c>
      <c r="B5731" s="3"/>
      <c r="C5731" s="3"/>
      <c r="D5731" s="3"/>
      <c r="E5731" s="5" t="str">
        <f>HYPERLINK("https://dpmzos25m8ivg.cloudfront.net/Documentos/631/15122028788/6311512202878811092023164024.pdf","https://dpmzos25m8ivg.cloudfront.net/Documentos/631/15122028788/6311512202878811092023164024.pdf")</f>
        <v>https://dpmzos25m8ivg.cloudfront.net/Documentos/631/15122028788/6311512202878811092023164024.pdf</v>
      </c>
      <c r="F5731" s="5" t="str">
        <f>HYPERLINK("https://dpmzos25m8ivg.cloudfront.net/Documentos/631/15122028788/6311512202878811092023164016.pdf","https://dpmzos25m8ivg.cloudfront.net/Documentos/631/15122028788/6311512202878811092023164016.pdf")</f>
        <v>https://dpmzos25m8ivg.cloudfront.net/Documentos/631/15122028788/6311512202878811092023164016.pdf</v>
      </c>
      <c r="G5731" s="5" t="str">
        <f>HYPERLINK("https://dpmzos25m8ivg.cloudfront.net/Documentos/631/15122028788/6311512202878811092023163950.pdf","https://dpmzos25m8ivg.cloudfront.net/Documentos/631/15122028788/6311512202878811092023163950.pdf")</f>
        <v>https://dpmzos25m8ivg.cloudfront.net/Documentos/631/15122028788/6311512202878811092023163950.pdf</v>
      </c>
      <c r="H5731" s="4" t="s">
        <v>14302</v>
      </c>
    </row>
    <row r="5732" spans="1:8" x14ac:dyDescent="0.25">
      <c r="A5732" s="2" t="s">
        <v>5760</v>
      </c>
      <c r="B5732" s="16" t="s">
        <v>2358</v>
      </c>
      <c r="C5732" s="3"/>
      <c r="D5732" s="3"/>
      <c r="E5732" s="5" t="str">
        <f>HYPERLINK("https://dpmzos25m8ivg.cloudfront.net/Documentos/631/15134972788/6311513497278811092023095840.pdf","https://dpmzos25m8ivg.cloudfront.net/Documentos/631/15134972788/6311513497278811092023095840.pdf")</f>
        <v>https://dpmzos25m8ivg.cloudfront.net/Documentos/631/15134972788/6311513497278811092023095840.pdf</v>
      </c>
      <c r="F5732" s="5" t="str">
        <f>HYPERLINK("https://dpmzos25m8ivg.cloudfront.net/Documentos/631/15134972788/6311513497278811092023095908.pdf","https://dpmzos25m8ivg.cloudfront.net/Documentos/631/15134972788/6311513497278811092023095908.pdf")</f>
        <v>https://dpmzos25m8ivg.cloudfront.net/Documentos/631/15134972788/6311513497278811092023095908.pdf</v>
      </c>
      <c r="G5732" s="5" t="str">
        <f>HYPERLINK("https://dpmzos25m8ivg.cloudfront.net/Documentos/631/15134972788/6311513497278811092023095918.pdf","https://dpmzos25m8ivg.cloudfront.net/Documentos/631/15134972788/6311513497278811092023095918.pdf")</f>
        <v>https://dpmzos25m8ivg.cloudfront.net/Documentos/631/15134972788/6311513497278811092023095918.pdf</v>
      </c>
      <c r="H5732" s="5" t="s">
        <v>14303</v>
      </c>
    </row>
    <row r="5733" spans="1:8" x14ac:dyDescent="0.25">
      <c r="A5733" s="2" t="s">
        <v>5761</v>
      </c>
      <c r="B5733" s="3" t="s">
        <v>308</v>
      </c>
      <c r="C5733" s="3"/>
      <c r="D5733" s="3"/>
      <c r="E5733" s="5" t="str">
        <f>HYPERLINK("https://dpmzos25m8ivg.cloudfront.net/Documentos/631/15136878673/6311513687867308092023141153.pdf","https://dpmzos25m8ivg.cloudfront.net/Documentos/631/15136878673/6311513687867308092023141153.pdf")</f>
        <v>https://dpmzos25m8ivg.cloudfront.net/Documentos/631/15136878673/6311513687867308092023141153.pdf</v>
      </c>
      <c r="F5733" s="5" t="str">
        <f>HYPERLINK("https://dpmzos25m8ivg.cloudfront.net/Documentos/631/15136878673/6311513687867308092023141316.pdf","https://dpmzos25m8ivg.cloudfront.net/Documentos/631/15136878673/6311513687867308092023141316.pdf")</f>
        <v>https://dpmzos25m8ivg.cloudfront.net/Documentos/631/15136878673/6311513687867308092023141316.pdf</v>
      </c>
      <c r="G5733" s="5" t="str">
        <f>HYPERLINK("https://dpmzos25m8ivg.cloudfront.net/Documentos/631/15136878673/6311513687867308092023141337.pdf","https://dpmzos25m8ivg.cloudfront.net/Documentos/631/15136878673/6311513687867308092023141337.pdf")</f>
        <v>https://dpmzos25m8ivg.cloudfront.net/Documentos/631/15136878673/6311513687867308092023141337.pdf</v>
      </c>
      <c r="H5733" s="4" t="s">
        <v>14304</v>
      </c>
    </row>
    <row r="5734" spans="1:8" x14ac:dyDescent="0.25">
      <c r="A5734" s="2" t="s">
        <v>5762</v>
      </c>
      <c r="B5734" s="3"/>
      <c r="C5734" s="3"/>
      <c r="D5734" s="3"/>
      <c r="E5734" s="5" t="str">
        <f>HYPERLINK("https://dpmzos25m8ivg.cloudfront.net/Documentos/631/15142343786/6311514234378611092023131258.pdf","https://dpmzos25m8ivg.cloudfront.net/Documentos/631/15142343786/6311514234378611092023131258.pdf")</f>
        <v>https://dpmzos25m8ivg.cloudfront.net/Documentos/631/15142343786/6311514234378611092023131258.pdf</v>
      </c>
      <c r="F5734" s="5" t="str">
        <f>HYPERLINK("https://dpmzos25m8ivg.cloudfront.net/Documentos/631/15142343786/6311514234378611092023131339.pdf","https://dpmzos25m8ivg.cloudfront.net/Documentos/631/15142343786/6311514234378611092023131339.pdf")</f>
        <v>https://dpmzos25m8ivg.cloudfront.net/Documentos/631/15142343786/6311514234378611092023131339.pdf</v>
      </c>
      <c r="G5734" s="5" t="str">
        <f>HYPERLINK("https://dpmzos25m8ivg.cloudfront.net/Documentos/631/15142343786/6311514234378611092023131414.pdf","https://dpmzos25m8ivg.cloudfront.net/Documentos/631/15142343786/6311514234378611092023131414.pdf")</f>
        <v>https://dpmzos25m8ivg.cloudfront.net/Documentos/631/15142343786/6311514234378611092023131414.pdf</v>
      </c>
      <c r="H5734" s="4" t="s">
        <v>14305</v>
      </c>
    </row>
    <row r="5735" spans="1:8" x14ac:dyDescent="0.25">
      <c r="A5735" s="2" t="s">
        <v>5763</v>
      </c>
      <c r="B5735" s="3"/>
      <c r="C5735" s="3"/>
      <c r="D5735" s="3"/>
      <c r="E5735" s="5" t="str">
        <f>HYPERLINK("https://dpmzos25m8ivg.cloudfront.net/Documentos/631/15148675756/6311514867575611092023155714.pdf","https://dpmzos25m8ivg.cloudfront.net/Documentos/631/15148675756/6311514867575611092023155714.pdf")</f>
        <v>https://dpmzos25m8ivg.cloudfront.net/Documentos/631/15148675756/6311514867575611092023155714.pdf</v>
      </c>
      <c r="F5735" s="5" t="str">
        <f>HYPERLINK("https://dpmzos25m8ivg.cloudfront.net/Documentos/631/15148675756/6311514867575611092023155740.pdf","https://dpmzos25m8ivg.cloudfront.net/Documentos/631/15148675756/6311514867575611092023155740.pdf")</f>
        <v>https://dpmzos25m8ivg.cloudfront.net/Documentos/631/15148675756/6311514867575611092023155740.pdf</v>
      </c>
      <c r="G5735" s="5" t="str">
        <f>HYPERLINK("https://dpmzos25m8ivg.cloudfront.net/Documentos/631/15148675756/6311514867575611092023155754.pdf","https://dpmzos25m8ivg.cloudfront.net/Documentos/631/15148675756/6311514867575611092023155754.pdf")</f>
        <v>https://dpmzos25m8ivg.cloudfront.net/Documentos/631/15148675756/6311514867575611092023155754.pdf</v>
      </c>
      <c r="H5735" s="4" t="s">
        <v>14306</v>
      </c>
    </row>
    <row r="5736" spans="1:8" x14ac:dyDescent="0.25">
      <c r="A5736" s="2" t="s">
        <v>5764</v>
      </c>
      <c r="B5736" s="3"/>
      <c r="C5736" s="3"/>
      <c r="D5736" s="3"/>
      <c r="E5736" s="5" t="str">
        <f>HYPERLINK("https://dpmzos25m8ivg.cloudfront.net/Documentos/631/15152034689/6311515203468911092023162431.jpeg","https://dpmzos25m8ivg.cloudfront.net/Documentos/631/15152034689/6311515203468911092023162431.jpeg")</f>
        <v>https://dpmzos25m8ivg.cloudfront.net/Documentos/631/15152034689/6311515203468911092023162431.jpeg</v>
      </c>
      <c r="F5736" s="5" t="str">
        <f>HYPERLINK("https://dpmzos25m8ivg.cloudfront.net/Documentos/631/15152034689/6311515203468911092023162451.jpeg","https://dpmzos25m8ivg.cloudfront.net/Documentos/631/15152034689/6311515203468911092023162451.jpeg")</f>
        <v>https://dpmzos25m8ivg.cloudfront.net/Documentos/631/15152034689/6311515203468911092023162451.jpeg</v>
      </c>
      <c r="G5736" s="5" t="str">
        <f>HYPERLINK("https://dpmzos25m8ivg.cloudfront.net/Documentos/631/15152034689/6311515203468911092023162442.jpeg","https://dpmzos25m8ivg.cloudfront.net/Documentos/631/15152034689/6311515203468911092023162442.jpeg")</f>
        <v>https://dpmzos25m8ivg.cloudfront.net/Documentos/631/15152034689/6311515203468911092023162442.jpeg</v>
      </c>
      <c r="H5736" s="4" t="s">
        <v>14307</v>
      </c>
    </row>
    <row r="5737" spans="1:8" x14ac:dyDescent="0.25">
      <c r="A5737" s="2" t="s">
        <v>5765</v>
      </c>
      <c r="B5737" s="19" t="s">
        <v>3385</v>
      </c>
      <c r="C5737" s="3"/>
      <c r="D5737" s="3"/>
      <c r="E5737" s="5" t="str">
        <f>HYPERLINK("https://dpmzos25m8ivg.cloudfront.net/Documentos/631/15154196732/6311515419673211092023112133.jpeg","https://dpmzos25m8ivg.cloudfront.net/Documentos/631/15154196732/6311515419673211092023112133.jpeg")</f>
        <v>https://dpmzos25m8ivg.cloudfront.net/Documentos/631/15154196732/6311515419673211092023112133.jpeg</v>
      </c>
      <c r="F5737" s="5" t="str">
        <f>HYPERLINK("https://dpmzos25m8ivg.cloudfront.net/Documentos/631/15154196732/6311515419673211092023112156.jpeg","https://dpmzos25m8ivg.cloudfront.net/Documentos/631/15154196732/6311515419673211092023112156.jpeg")</f>
        <v>https://dpmzos25m8ivg.cloudfront.net/Documentos/631/15154196732/6311515419673211092023112156.jpeg</v>
      </c>
      <c r="G5737" s="5" t="str">
        <f>HYPERLINK("https://dpmzos25m8ivg.cloudfront.net/Documentos/631/15154196732/6311515419673211092023112208.jpeg","https://dpmzos25m8ivg.cloudfront.net/Documentos/631/15154196732/6311515419673211092023112208.jpeg")</f>
        <v>https://dpmzos25m8ivg.cloudfront.net/Documentos/631/15154196732/6311515419673211092023112208.jpeg</v>
      </c>
      <c r="H5737" s="4" t="s">
        <v>14308</v>
      </c>
    </row>
    <row r="5738" spans="1:8" x14ac:dyDescent="0.25">
      <c r="A5738" s="2" t="s">
        <v>5766</v>
      </c>
      <c r="B5738" s="3"/>
      <c r="C5738" s="3"/>
      <c r="D5738" s="3"/>
      <c r="E5738" s="5" t="str">
        <f>HYPERLINK("https://dpmzos25m8ivg.cloudfront.net/Documentos/631/15155748658/6311515574865811092023104813.pdf","https://dpmzos25m8ivg.cloudfront.net/Documentos/631/15155748658/6311515574865811092023104813.pdf")</f>
        <v>https://dpmzos25m8ivg.cloudfront.net/Documentos/631/15155748658/6311515574865811092023104813.pdf</v>
      </c>
      <c r="F5738" s="5" t="str">
        <f>HYPERLINK("https://dpmzos25m8ivg.cloudfront.net/Documentos/631/15155748658/6311515574865811092023104833.pdf","https://dpmzos25m8ivg.cloudfront.net/Documentos/631/15155748658/6311515574865811092023104833.pdf")</f>
        <v>https://dpmzos25m8ivg.cloudfront.net/Documentos/631/15155748658/6311515574865811092023104833.pdf</v>
      </c>
      <c r="G5738" s="5" t="str">
        <f>HYPERLINK("https://dpmzos25m8ivg.cloudfront.net/Documentos/631/15155748658/6311515574865811092023104845.pdf","https://dpmzos25m8ivg.cloudfront.net/Documentos/631/15155748658/6311515574865811092023104845.pdf")</f>
        <v>https://dpmzos25m8ivg.cloudfront.net/Documentos/631/15155748658/6311515574865811092023104845.pdf</v>
      </c>
      <c r="H5738" s="4" t="s">
        <v>14309</v>
      </c>
    </row>
    <row r="5739" spans="1:8" x14ac:dyDescent="0.25">
      <c r="A5739" s="2" t="s">
        <v>5767</v>
      </c>
      <c r="B5739" s="19" t="s">
        <v>3385</v>
      </c>
      <c r="C5739" s="3"/>
      <c r="D5739" s="3"/>
      <c r="E5739" s="5" t="str">
        <f>HYPERLINK("https://dpmzos25m8ivg.cloudfront.net/Documentos/631/15161786701/6311516178670111092023133159.pdf","https://dpmzos25m8ivg.cloudfront.net/Documentos/631/15161786701/6311516178670111092023133159.pdf")</f>
        <v>https://dpmzos25m8ivg.cloudfront.net/Documentos/631/15161786701/6311516178670111092023133159.pdf</v>
      </c>
      <c r="F5739" s="5" t="str">
        <f>HYPERLINK("https://dpmzos25m8ivg.cloudfront.net/Documentos/631/15161786701/6311516178670111092023133206.pdf","https://dpmzos25m8ivg.cloudfront.net/Documentos/631/15161786701/6311516178670111092023133206.pdf")</f>
        <v>https://dpmzos25m8ivg.cloudfront.net/Documentos/631/15161786701/6311516178670111092023133206.pdf</v>
      </c>
      <c r="G5739" s="5" t="str">
        <f>HYPERLINK("https://dpmzos25m8ivg.cloudfront.net/Documentos/631/15161786701/6311516178670111092023133214.pdf","https://dpmzos25m8ivg.cloudfront.net/Documentos/631/15161786701/6311516178670111092023133214.pdf")</f>
        <v>https://dpmzos25m8ivg.cloudfront.net/Documentos/631/15161786701/6311516178670111092023133214.pdf</v>
      </c>
      <c r="H5739" s="4" t="s">
        <v>14310</v>
      </c>
    </row>
    <row r="5740" spans="1:8" x14ac:dyDescent="0.25">
      <c r="A5740" s="2" t="s">
        <v>5768</v>
      </c>
      <c r="B5740" s="3"/>
      <c r="C5740" s="3"/>
      <c r="D5740" s="3"/>
      <c r="E5740" s="5" t="str">
        <f>HYPERLINK("https://dpmzos25m8ivg.cloudfront.net/Documentos/631/15168720706/6311516872070611092023145752.pdf","https://dpmzos25m8ivg.cloudfront.net/Documentos/631/15168720706/6311516872070611092023145752.pdf")</f>
        <v>https://dpmzos25m8ivg.cloudfront.net/Documentos/631/15168720706/6311516872070611092023145752.pdf</v>
      </c>
      <c r="F5740" s="5" t="str">
        <f>HYPERLINK("https://dpmzos25m8ivg.cloudfront.net/Documentos/631/15168720706/6311516872070611092023145849.pdf","https://dpmzos25m8ivg.cloudfront.net/Documentos/631/15168720706/6311516872070611092023145849.pdf")</f>
        <v>https://dpmzos25m8ivg.cloudfront.net/Documentos/631/15168720706/6311516872070611092023145849.pdf</v>
      </c>
      <c r="G5740" s="5" t="str">
        <f>HYPERLINK("https://dpmzos25m8ivg.cloudfront.net/Documentos/631/15168720706/6311516872070611092023145903.pdf","https://dpmzos25m8ivg.cloudfront.net/Documentos/631/15168720706/6311516872070611092023145903.pdf")</f>
        <v>https://dpmzos25m8ivg.cloudfront.net/Documentos/631/15168720706/6311516872070611092023145903.pdf</v>
      </c>
      <c r="H5740" s="4" t="s">
        <v>14311</v>
      </c>
    </row>
    <row r="5741" spans="1:8" x14ac:dyDescent="0.25">
      <c r="A5741" s="2" t="s">
        <v>5769</v>
      </c>
      <c r="B5741" s="3"/>
      <c r="C5741" s="3"/>
      <c r="D5741" s="3"/>
      <c r="E5741" s="5" t="str">
        <f>HYPERLINK("https://dpmzos25m8ivg.cloudfront.net/Documentos/631/15168868797/6311516886879705092023191800.pdf","https://dpmzos25m8ivg.cloudfront.net/Documentos/631/15168868797/6311516886879705092023191800.pdf")</f>
        <v>https://dpmzos25m8ivg.cloudfront.net/Documentos/631/15168868797/6311516886879705092023191800.pdf</v>
      </c>
      <c r="F5741" s="5" t="str">
        <f>HYPERLINK("https://dpmzos25m8ivg.cloudfront.net/Documentos/631/15168868797/6311516886879705092023191831.pdf","https://dpmzos25m8ivg.cloudfront.net/Documentos/631/15168868797/6311516886879705092023191831.pdf")</f>
        <v>https://dpmzos25m8ivg.cloudfront.net/Documentos/631/15168868797/6311516886879705092023191831.pdf</v>
      </c>
      <c r="G5741" s="5" t="str">
        <f>HYPERLINK("https://dpmzos25m8ivg.cloudfront.net/Documentos/631/15168868797/6311516886879705092023191847.pdf","https://dpmzos25m8ivg.cloudfront.net/Documentos/631/15168868797/6311516886879705092023191847.pdf")</f>
        <v>https://dpmzos25m8ivg.cloudfront.net/Documentos/631/15168868797/6311516886879705092023191847.pdf</v>
      </c>
      <c r="H5741" s="4" t="s">
        <v>14312</v>
      </c>
    </row>
    <row r="5742" spans="1:8" x14ac:dyDescent="0.25">
      <c r="A5742" s="2" t="s">
        <v>5770</v>
      </c>
      <c r="B5742" s="3"/>
      <c r="C5742" s="3"/>
      <c r="D5742" s="3"/>
      <c r="E5742" s="5" t="str">
        <f>HYPERLINK("https://dpmzos25m8ivg.cloudfront.net/Documentos/631/15169767706/6311516976770606092023201606.jpeg","https://dpmzos25m8ivg.cloudfront.net/Documentos/631/15169767706/6311516976770606092023201606.jpeg")</f>
        <v>https://dpmzos25m8ivg.cloudfront.net/Documentos/631/15169767706/6311516976770606092023201606.jpeg</v>
      </c>
      <c r="F5742" s="5" t="str">
        <f>HYPERLINK("https://dpmzos25m8ivg.cloudfront.net/Documentos/631/15169767706/6311516976770606092023201706.jpeg","https://dpmzos25m8ivg.cloudfront.net/Documentos/631/15169767706/6311516976770606092023201706.jpeg")</f>
        <v>https://dpmzos25m8ivg.cloudfront.net/Documentos/631/15169767706/6311516976770606092023201706.jpeg</v>
      </c>
      <c r="G5742" s="5" t="str">
        <f>HYPERLINK("https://dpmzos25m8ivg.cloudfront.net/Documentos/631/15169767706/6311516976770606092023201729.jpeg","https://dpmzos25m8ivg.cloudfront.net/Documentos/631/15169767706/6311516976770606092023201729.jpeg")</f>
        <v>https://dpmzos25m8ivg.cloudfront.net/Documentos/631/15169767706/6311516976770606092023201729.jpeg</v>
      </c>
      <c r="H5742" s="4" t="s">
        <v>14313</v>
      </c>
    </row>
    <row r="5743" spans="1:8" x14ac:dyDescent="0.25">
      <c r="A5743" s="2" t="s">
        <v>5771</v>
      </c>
      <c r="B5743" s="16" t="s">
        <v>2358</v>
      </c>
      <c r="C5743" s="3"/>
      <c r="D5743" s="3"/>
      <c r="E5743" s="5" t="str">
        <f>HYPERLINK("https://dpmzos25m8ivg.cloudfront.net/Documentos/631/15176912813/6311517691281305092023163056.pdf","https://dpmzos25m8ivg.cloudfront.net/Documentos/631/15176912813/6311517691281305092023163056.pdf")</f>
        <v>https://dpmzos25m8ivg.cloudfront.net/Documentos/631/15176912813/6311517691281305092023163056.pdf</v>
      </c>
      <c r="F5743" s="5" t="str">
        <f>HYPERLINK("https://dpmzos25m8ivg.cloudfront.net/Documentos/631/15176912813/6311517691281305092023163120.pdf","https://dpmzos25m8ivg.cloudfront.net/Documentos/631/15176912813/6311517691281305092023163120.pdf")</f>
        <v>https://dpmzos25m8ivg.cloudfront.net/Documentos/631/15176912813/6311517691281305092023163120.pdf</v>
      </c>
      <c r="G5743" s="5" t="str">
        <f>HYPERLINK("https://dpmzos25m8ivg.cloudfront.net/Documentos/631/15176912813/6311517691281305092023163132.pdf","https://dpmzos25m8ivg.cloudfront.net/Documentos/631/15176912813/6311517691281305092023163132.pdf")</f>
        <v>https://dpmzos25m8ivg.cloudfront.net/Documentos/631/15176912813/6311517691281305092023163132.pdf</v>
      </c>
      <c r="H5743" s="5" t="s">
        <v>14314</v>
      </c>
    </row>
    <row r="5744" spans="1:8" x14ac:dyDescent="0.25">
      <c r="A5744" s="2" t="s">
        <v>5772</v>
      </c>
      <c r="B5744" s="3"/>
      <c r="C5744" s="3"/>
      <c r="D5744" s="3"/>
      <c r="E5744" s="5" t="str">
        <f>HYPERLINK("https://dpmzos25m8ivg.cloudfront.net/Documentos/631/15190384705/6311519038470511092023162353.pdf","https://dpmzos25m8ivg.cloudfront.net/Documentos/631/15190384705/6311519038470511092023162353.pdf")</f>
        <v>https://dpmzos25m8ivg.cloudfront.net/Documentos/631/15190384705/6311519038470511092023162353.pdf</v>
      </c>
      <c r="F5744" s="5" t="str">
        <f>HYPERLINK("https://dpmzos25m8ivg.cloudfront.net/Documentos/631/15190384705/6311519038470511092023162342.pdf","https://dpmzos25m8ivg.cloudfront.net/Documentos/631/15190384705/6311519038470511092023162342.pdf")</f>
        <v>https://dpmzos25m8ivg.cloudfront.net/Documentos/631/15190384705/6311519038470511092023162342.pdf</v>
      </c>
      <c r="G5744" s="5" t="str">
        <f>HYPERLINK("https://dpmzos25m8ivg.cloudfront.net/Documentos/631/15190384705/6311519038470511092023162329.pdf","https://dpmzos25m8ivg.cloudfront.net/Documentos/631/15190384705/6311519038470511092023162329.pdf")</f>
        <v>https://dpmzos25m8ivg.cloudfront.net/Documentos/631/15190384705/6311519038470511092023162329.pdf</v>
      </c>
      <c r="H5744" s="4" t="s">
        <v>14315</v>
      </c>
    </row>
    <row r="5745" spans="1:8" x14ac:dyDescent="0.25">
      <c r="A5745" s="2" t="s">
        <v>5773</v>
      </c>
      <c r="B5745" s="3"/>
      <c r="C5745" s="3"/>
      <c r="D5745" s="3"/>
      <c r="E5745" s="5" t="str">
        <f>HYPERLINK("https://dpmzos25m8ivg.cloudfront.net/Documentos/631/15196345795/6311519634579511092023164619.jpeg","https://dpmzos25m8ivg.cloudfront.net/Documentos/631/15196345795/6311519634579511092023164619.jpeg")</f>
        <v>https://dpmzos25m8ivg.cloudfront.net/Documentos/631/15196345795/6311519634579511092023164619.jpeg</v>
      </c>
      <c r="F5745" s="5" t="str">
        <f>HYPERLINK("https://dpmzos25m8ivg.cloudfront.net/Documentos/631/15196345795/6311519634579511092023164608.jpeg","https://dpmzos25m8ivg.cloudfront.net/Documentos/631/15196345795/6311519634579511092023164608.jpeg")</f>
        <v>https://dpmzos25m8ivg.cloudfront.net/Documentos/631/15196345795/6311519634579511092023164608.jpeg</v>
      </c>
      <c r="G5745" s="5" t="str">
        <f>HYPERLINK("https://dpmzos25m8ivg.cloudfront.net/Documentos/631/15196345795/6311519634579511092023164555.jpeg","https://dpmzos25m8ivg.cloudfront.net/Documentos/631/15196345795/6311519634579511092023164555.jpeg")</f>
        <v>https://dpmzos25m8ivg.cloudfront.net/Documentos/631/15196345795/6311519634579511092023164555.jpeg</v>
      </c>
      <c r="H5745" s="4" t="s">
        <v>14316</v>
      </c>
    </row>
    <row r="5746" spans="1:8" x14ac:dyDescent="0.25">
      <c r="A5746" s="2" t="s">
        <v>5774</v>
      </c>
      <c r="B5746" s="3"/>
      <c r="C5746" s="3"/>
      <c r="D5746" s="3"/>
      <c r="E5746" s="5" t="str">
        <f>HYPERLINK("https://dpmzos25m8ivg.cloudfront.net/Documentos/631/15199324640/6311519932464010092023214814.pdf","https://dpmzos25m8ivg.cloudfront.net/Documentos/631/15199324640/6311519932464010092023214814.pdf")</f>
        <v>https://dpmzos25m8ivg.cloudfront.net/Documentos/631/15199324640/6311519932464010092023214814.pdf</v>
      </c>
      <c r="F5746" s="5" t="str">
        <f>HYPERLINK("https://dpmzos25m8ivg.cloudfront.net/Documentos/631/15199324640/6311519932464010092023214829.pdf","https://dpmzos25m8ivg.cloudfront.net/Documentos/631/15199324640/6311519932464010092023214829.pdf")</f>
        <v>https://dpmzos25m8ivg.cloudfront.net/Documentos/631/15199324640/6311519932464010092023214829.pdf</v>
      </c>
      <c r="G5746" s="5" t="str">
        <f>HYPERLINK("https://dpmzos25m8ivg.cloudfront.net/Documentos/631/15199324640/6311519932464010092023214842.pdf","https://dpmzos25m8ivg.cloudfront.net/Documentos/631/15199324640/6311519932464010092023214842.pdf")</f>
        <v>https://dpmzos25m8ivg.cloudfront.net/Documentos/631/15199324640/6311519932464010092023214842.pdf</v>
      </c>
      <c r="H5746" s="4" t="s">
        <v>14317</v>
      </c>
    </row>
    <row r="5747" spans="1:8" x14ac:dyDescent="0.25">
      <c r="A5747" s="2" t="s">
        <v>5775</v>
      </c>
      <c r="B5747" s="16" t="s">
        <v>2358</v>
      </c>
      <c r="C5747" s="3"/>
      <c r="D5747" s="3"/>
      <c r="E5747" s="5" t="str">
        <f>HYPERLINK("https://dpmzos25m8ivg.cloudfront.net/Documentos/631/15206764680/6311520676468011092023122618.pdf","https://dpmzos25m8ivg.cloudfront.net/Documentos/631/15206764680/6311520676468011092023122618.pdf")</f>
        <v>https://dpmzos25m8ivg.cloudfront.net/Documentos/631/15206764680/6311520676468011092023122618.pdf</v>
      </c>
      <c r="F5747" s="5" t="str">
        <f>HYPERLINK("https://dpmzos25m8ivg.cloudfront.net/Documentos/631/15206764680/6311520676468011092023122603.pdf","https://dpmzos25m8ivg.cloudfront.net/Documentos/631/15206764680/6311520676468011092023122603.pdf")</f>
        <v>https://dpmzos25m8ivg.cloudfront.net/Documentos/631/15206764680/6311520676468011092023122603.pdf</v>
      </c>
      <c r="G5747" s="5" t="str">
        <f>HYPERLINK("https://dpmzos25m8ivg.cloudfront.net/Documentos/631/15206764680/6311520676468011092023122546.pdf","https://dpmzos25m8ivg.cloudfront.net/Documentos/631/15206764680/6311520676468011092023122546.pdf")</f>
        <v>https://dpmzos25m8ivg.cloudfront.net/Documentos/631/15206764680/6311520676468011092023122546.pdf</v>
      </c>
      <c r="H5747" s="5" t="s">
        <v>14318</v>
      </c>
    </row>
    <row r="5748" spans="1:8" x14ac:dyDescent="0.25">
      <c r="A5748" s="2" t="s">
        <v>5776</v>
      </c>
      <c r="B5748" s="3"/>
      <c r="C5748" s="3"/>
      <c r="D5748" s="3"/>
      <c r="E5748" s="5" t="str">
        <f>HYPERLINK("https://dpmzos25m8ivg.cloudfront.net/Documentos/631/15220373730/6311522037373010092023220954.pdf","https://dpmzos25m8ivg.cloudfront.net/Documentos/631/15220373730/6311522037373010092023220954.pdf")</f>
        <v>https://dpmzos25m8ivg.cloudfront.net/Documentos/631/15220373730/6311522037373010092023220954.pdf</v>
      </c>
      <c r="F5748" s="5" t="str">
        <f>HYPERLINK("https://dpmzos25m8ivg.cloudfront.net/Documentos/631/15220373730/6311522037373010092023221012.pdf","https://dpmzos25m8ivg.cloudfront.net/Documentos/631/15220373730/6311522037373010092023221012.pdf")</f>
        <v>https://dpmzos25m8ivg.cloudfront.net/Documentos/631/15220373730/6311522037373010092023221012.pdf</v>
      </c>
      <c r="G5748" s="5" t="str">
        <f>HYPERLINK("https://dpmzos25m8ivg.cloudfront.net/Documentos/631/15220373730/6311522037373010092023221025.pdf","https://dpmzos25m8ivg.cloudfront.net/Documentos/631/15220373730/6311522037373010092023221025.pdf")</f>
        <v>https://dpmzos25m8ivg.cloudfront.net/Documentos/631/15220373730/6311522037373010092023221025.pdf</v>
      </c>
      <c r="H5748" s="4" t="s">
        <v>14319</v>
      </c>
    </row>
    <row r="5749" spans="1:8" x14ac:dyDescent="0.25">
      <c r="A5749" s="2" t="s">
        <v>5777</v>
      </c>
      <c r="B5749" s="3"/>
      <c r="C5749" s="3"/>
      <c r="D5749" s="3"/>
      <c r="E5749" s="5" t="str">
        <f>HYPERLINK("https://dpmzos25m8ivg.cloudfront.net/Documentos/631/15239778680/6311523977868011092023121059.pdf","https://dpmzos25m8ivg.cloudfront.net/Documentos/631/15239778680/6311523977868011092023121059.pdf")</f>
        <v>https://dpmzos25m8ivg.cloudfront.net/Documentos/631/15239778680/6311523977868011092023121059.pdf</v>
      </c>
      <c r="F5749" s="5" t="str">
        <f>HYPERLINK("https://dpmzos25m8ivg.cloudfront.net/Documentos/631/15239778680/6311523977868011092023121107.pdf","https://dpmzos25m8ivg.cloudfront.net/Documentos/631/15239778680/6311523977868011092023121107.pdf")</f>
        <v>https://dpmzos25m8ivg.cloudfront.net/Documentos/631/15239778680/6311523977868011092023121107.pdf</v>
      </c>
      <c r="G5749" s="5" t="str">
        <f>HYPERLINK("https://dpmzos25m8ivg.cloudfront.net/Documentos/631/15239778680/6311523977868011092023121120.pdf","https://dpmzos25m8ivg.cloudfront.net/Documentos/631/15239778680/6311523977868011092023121120.pdf")</f>
        <v>https://dpmzos25m8ivg.cloudfront.net/Documentos/631/15239778680/6311523977868011092023121120.pdf</v>
      </c>
      <c r="H5749" s="4" t="s">
        <v>14320</v>
      </c>
    </row>
    <row r="5750" spans="1:8" x14ac:dyDescent="0.25">
      <c r="A5750" s="2" t="s">
        <v>5778</v>
      </c>
      <c r="B5750" s="3"/>
      <c r="C5750" s="3"/>
      <c r="D5750" s="3"/>
      <c r="E5750" s="5" t="str">
        <f>HYPERLINK("https://dpmzos25m8ivg.cloudfront.net/Documentos/631/15240269726/6311524026972611092023152954.pdf","https://dpmzos25m8ivg.cloudfront.net/Documentos/631/15240269726/6311524026972611092023152954.pdf")</f>
        <v>https://dpmzos25m8ivg.cloudfront.net/Documentos/631/15240269726/6311524026972611092023152954.pdf</v>
      </c>
      <c r="F5750" s="5" t="str">
        <f>HYPERLINK("https://dpmzos25m8ivg.cloudfront.net/Documentos/631/15240269726/6311524026972611092023153010.pdf","https://dpmzos25m8ivg.cloudfront.net/Documentos/631/15240269726/6311524026972611092023153010.pdf")</f>
        <v>https://dpmzos25m8ivg.cloudfront.net/Documentos/631/15240269726/6311524026972611092023153010.pdf</v>
      </c>
      <c r="G5750" s="5" t="str">
        <f>HYPERLINK("https://dpmzos25m8ivg.cloudfront.net/Documentos/631/15240269726/6311524026972611092023153021.pdf","https://dpmzos25m8ivg.cloudfront.net/Documentos/631/15240269726/6311524026972611092023153021.pdf")</f>
        <v>https://dpmzos25m8ivg.cloudfront.net/Documentos/631/15240269726/6311524026972611092023153021.pdf</v>
      </c>
      <c r="H5750" s="4" t="s">
        <v>14321</v>
      </c>
    </row>
    <row r="5751" spans="1:8" x14ac:dyDescent="0.25">
      <c r="A5751" s="2" t="s">
        <v>5779</v>
      </c>
      <c r="B5751" s="3"/>
      <c r="C5751" s="3"/>
      <c r="D5751" s="3"/>
      <c r="E5751" s="5" t="str">
        <f>HYPERLINK("https://dpmzos25m8ivg.cloudfront.net/Documentos/631/15243731765/6311524373176511092023150140.pdf","https://dpmzos25m8ivg.cloudfront.net/Documentos/631/15243731765/6311524373176511092023150140.pdf")</f>
        <v>https://dpmzos25m8ivg.cloudfront.net/Documentos/631/15243731765/6311524373176511092023150140.pdf</v>
      </c>
      <c r="F5751" s="5" t="str">
        <f>HYPERLINK("https://dpmzos25m8ivg.cloudfront.net/Documentos/631/15243731765/6311524373176511092023150158.pdf","https://dpmzos25m8ivg.cloudfront.net/Documentos/631/15243731765/6311524373176511092023150158.pdf")</f>
        <v>https://dpmzos25m8ivg.cloudfront.net/Documentos/631/15243731765/6311524373176511092023150158.pdf</v>
      </c>
      <c r="G5751" s="5" t="str">
        <f>HYPERLINK("https://dpmzos25m8ivg.cloudfront.net/Documentos/631/15243731765/6311524373176511092023150211.pdf","https://dpmzos25m8ivg.cloudfront.net/Documentos/631/15243731765/6311524373176511092023150211.pdf")</f>
        <v>https://dpmzos25m8ivg.cloudfront.net/Documentos/631/15243731765/6311524373176511092023150211.pdf</v>
      </c>
      <c r="H5751" s="4" t="s">
        <v>14322</v>
      </c>
    </row>
    <row r="5752" spans="1:8" x14ac:dyDescent="0.25">
      <c r="A5752" s="2" t="s">
        <v>5780</v>
      </c>
      <c r="B5752" s="3"/>
      <c r="C5752" s="3"/>
      <c r="D5752" s="3"/>
      <c r="E5752" s="5" t="str">
        <f>HYPERLINK("https://dpmzos25m8ivg.cloudfront.net/Documentos/631/15263997841/6311526399784108092023092911.pdf","https://dpmzos25m8ivg.cloudfront.net/Documentos/631/15263997841/6311526399784108092023092911.pdf")</f>
        <v>https://dpmzos25m8ivg.cloudfront.net/Documentos/631/15263997841/6311526399784108092023092911.pdf</v>
      </c>
      <c r="F5752" s="5" t="str">
        <f>HYPERLINK("https://dpmzos25m8ivg.cloudfront.net/Documentos/631/15263997841/6311526399784108092023092923.pdf","https://dpmzos25m8ivg.cloudfront.net/Documentos/631/15263997841/6311526399784108092023092923.pdf")</f>
        <v>https://dpmzos25m8ivg.cloudfront.net/Documentos/631/15263997841/6311526399784108092023092923.pdf</v>
      </c>
      <c r="G5752" s="5" t="str">
        <f>HYPERLINK("https://dpmzos25m8ivg.cloudfront.net/Documentos/631/15263997841/6311526399784108092023092943.pdf","https://dpmzos25m8ivg.cloudfront.net/Documentos/631/15263997841/6311526399784108092023092943.pdf")</f>
        <v>https://dpmzos25m8ivg.cloudfront.net/Documentos/631/15263997841/6311526399784108092023092943.pdf</v>
      </c>
      <c r="H5752" s="4" t="s">
        <v>14323</v>
      </c>
    </row>
    <row r="5753" spans="1:8" x14ac:dyDescent="0.25">
      <c r="A5753" s="2" t="s">
        <v>5781</v>
      </c>
      <c r="B5753" s="3"/>
      <c r="C5753" s="3"/>
      <c r="D5753" s="3"/>
      <c r="E5753" s="5" t="str">
        <f>HYPERLINK("https://dpmzos25m8ivg.cloudfront.net/Documentos/631/15278386681/6311527838668109092023210301.pdf","https://dpmzos25m8ivg.cloudfront.net/Documentos/631/15278386681/6311527838668109092023210301.pdf")</f>
        <v>https://dpmzos25m8ivg.cloudfront.net/Documentos/631/15278386681/6311527838668109092023210301.pdf</v>
      </c>
      <c r="F5753" s="5" t="str">
        <f>HYPERLINK("https://dpmzos25m8ivg.cloudfront.net/Documentos/631/15278386681/6311527838668109092023210322.pdf","https://dpmzos25m8ivg.cloudfront.net/Documentos/631/15278386681/6311527838668109092023210322.pdf")</f>
        <v>https://dpmzos25m8ivg.cloudfront.net/Documentos/631/15278386681/6311527838668109092023210322.pdf</v>
      </c>
      <c r="G5753" s="5" t="str">
        <f>HYPERLINK("https://dpmzos25m8ivg.cloudfront.net/Documentos/631/15278386681/6311527838668109092023210344.pdf","https://dpmzos25m8ivg.cloudfront.net/Documentos/631/15278386681/6311527838668109092023210344.pdf")</f>
        <v>https://dpmzos25m8ivg.cloudfront.net/Documentos/631/15278386681/6311527838668109092023210344.pdf</v>
      </c>
      <c r="H5753" s="4" t="s">
        <v>14324</v>
      </c>
    </row>
    <row r="5754" spans="1:8" x14ac:dyDescent="0.25">
      <c r="A5754" s="2" t="s">
        <v>5782</v>
      </c>
      <c r="B5754" s="3"/>
      <c r="C5754" s="3"/>
      <c r="D5754" s="3"/>
      <c r="E5754" s="5" t="str">
        <f>HYPERLINK("https://dpmzos25m8ivg.cloudfront.net/Documentos/631/15281895745/6311528189574514092023085528.pdf","https://dpmzos25m8ivg.cloudfront.net/Documentos/631/15281895745/6311528189574514092023085528.pdf")</f>
        <v>https://dpmzos25m8ivg.cloudfront.net/Documentos/631/15281895745/6311528189574514092023085528.pdf</v>
      </c>
      <c r="F5754" s="5" t="str">
        <f>HYPERLINK("https://dpmzos25m8ivg.cloudfront.net/Documentos/631/15281895745/6311528189574514092023085542.pdf","https://dpmzos25m8ivg.cloudfront.net/Documentos/631/15281895745/6311528189574514092023085542.pdf")</f>
        <v>https://dpmzos25m8ivg.cloudfront.net/Documentos/631/15281895745/6311528189574514092023085542.pdf</v>
      </c>
      <c r="G5754" s="5" t="str">
        <f>HYPERLINK("https://dpmzos25m8ivg.cloudfront.net/Documentos/631/15281895745/6311528189574514092023085558.pdf","https://dpmzos25m8ivg.cloudfront.net/Documentos/631/15281895745/6311528189574514092023085558.pdf")</f>
        <v>https://dpmzos25m8ivg.cloudfront.net/Documentos/631/15281895745/6311528189574514092023085558.pdf</v>
      </c>
      <c r="H5754" s="4" t="s">
        <v>14325</v>
      </c>
    </row>
    <row r="5755" spans="1:8" x14ac:dyDescent="0.25">
      <c r="A5755" s="2" t="s">
        <v>5783</v>
      </c>
      <c r="B5755" s="3"/>
      <c r="C5755" s="3"/>
      <c r="D5755" s="3"/>
      <c r="E5755" s="5" t="str">
        <f>HYPERLINK("https://dpmzos25m8ivg.cloudfront.net/Documentos/631/15301560760/6311530156076006092023165458.pdf","https://dpmzos25m8ivg.cloudfront.net/Documentos/631/15301560760/6311530156076006092023165458.pdf")</f>
        <v>https://dpmzos25m8ivg.cloudfront.net/Documentos/631/15301560760/6311530156076006092023165458.pdf</v>
      </c>
      <c r="F5755" s="5" t="str">
        <f>HYPERLINK("https://dpmzos25m8ivg.cloudfront.net/Documentos/631/15301560760/6311530156076006092023165511.pdf","https://dpmzos25m8ivg.cloudfront.net/Documentos/631/15301560760/6311530156076006092023165511.pdf")</f>
        <v>https://dpmzos25m8ivg.cloudfront.net/Documentos/631/15301560760/6311530156076006092023165511.pdf</v>
      </c>
      <c r="G5755" s="5" t="str">
        <f>HYPERLINK("https://dpmzos25m8ivg.cloudfront.net/Documentos/631/15301560760/6311530156076006092023165522.pdf","https://dpmzos25m8ivg.cloudfront.net/Documentos/631/15301560760/6311530156076006092023165522.pdf")</f>
        <v>https://dpmzos25m8ivg.cloudfront.net/Documentos/631/15301560760/6311530156076006092023165522.pdf</v>
      </c>
      <c r="H5755" s="4" t="s">
        <v>14326</v>
      </c>
    </row>
    <row r="5756" spans="1:8" x14ac:dyDescent="0.25">
      <c r="A5756" s="2" t="s">
        <v>5784</v>
      </c>
      <c r="B5756" s="3"/>
      <c r="C5756" s="3"/>
      <c r="D5756" s="3"/>
      <c r="E5756" s="5" t="str">
        <f>HYPERLINK("https://dpmzos25m8ivg.cloudfront.net/Documentos/631/15313656716/6311531365671608092023132832.pdf","https://dpmzos25m8ivg.cloudfront.net/Documentos/631/15313656716/6311531365671608092023132832.pdf")</f>
        <v>https://dpmzos25m8ivg.cloudfront.net/Documentos/631/15313656716/6311531365671608092023132832.pdf</v>
      </c>
      <c r="F5756" s="5" t="str">
        <f>HYPERLINK("https://dpmzos25m8ivg.cloudfront.net/Documentos/631/15313656716/6311531365671608092023132839.pdf","https://dpmzos25m8ivg.cloudfront.net/Documentos/631/15313656716/6311531365671608092023132839.pdf")</f>
        <v>https://dpmzos25m8ivg.cloudfront.net/Documentos/631/15313656716/6311531365671608092023132839.pdf</v>
      </c>
      <c r="G5756" s="5" t="str">
        <f>HYPERLINK("https://dpmzos25m8ivg.cloudfront.net/Documentos/631/15313656716/6311531365671608092023132848.pdf","https://dpmzos25m8ivg.cloudfront.net/Documentos/631/15313656716/6311531365671608092023132848.pdf")</f>
        <v>https://dpmzos25m8ivg.cloudfront.net/Documentos/631/15313656716/6311531365671608092023132848.pdf</v>
      </c>
      <c r="H5756" s="4" t="s">
        <v>14327</v>
      </c>
    </row>
    <row r="5757" spans="1:8" x14ac:dyDescent="0.25">
      <c r="A5757" s="2" t="s">
        <v>5785</v>
      </c>
      <c r="B5757" s="3"/>
      <c r="C5757" s="3"/>
      <c r="D5757" s="3"/>
      <c r="E5757" s="5" t="str">
        <f>HYPERLINK("https://dpmzos25m8ivg.cloudfront.net/Documentos/631/15319247788/6311531924778810092023223059.pdf","https://dpmzos25m8ivg.cloudfront.net/Documentos/631/15319247788/6311531924778810092023223059.pdf")</f>
        <v>https://dpmzos25m8ivg.cloudfront.net/Documentos/631/15319247788/6311531924778810092023223059.pdf</v>
      </c>
      <c r="F5757" s="5" t="str">
        <f>HYPERLINK("https://dpmzos25m8ivg.cloudfront.net/Documentos/631/15319247788/6311531924778810092023223111.pdf","https://dpmzos25m8ivg.cloudfront.net/Documentos/631/15319247788/6311531924778810092023223111.pdf")</f>
        <v>https://dpmzos25m8ivg.cloudfront.net/Documentos/631/15319247788/6311531924778810092023223111.pdf</v>
      </c>
      <c r="G5757" s="5" t="str">
        <f>HYPERLINK("https://dpmzos25m8ivg.cloudfront.net/Documentos/631/15319247788/6311531924778810092023223122.pdf","https://dpmzos25m8ivg.cloudfront.net/Documentos/631/15319247788/6311531924778810092023223122.pdf")</f>
        <v>https://dpmzos25m8ivg.cloudfront.net/Documentos/631/15319247788/6311531924778810092023223122.pdf</v>
      </c>
      <c r="H5757" s="4" t="s">
        <v>14328</v>
      </c>
    </row>
    <row r="5758" spans="1:8" x14ac:dyDescent="0.25">
      <c r="A5758" s="2" t="s">
        <v>5786</v>
      </c>
      <c r="B5758" s="3"/>
      <c r="C5758" s="3"/>
      <c r="D5758" s="3"/>
      <c r="E5758" s="5" t="str">
        <f>HYPERLINK("https://dpmzos25m8ivg.cloudfront.net/Documentos/631/15327645703/6311532764570311092023120440.pdf","https://dpmzos25m8ivg.cloudfront.net/Documentos/631/15327645703/6311532764570311092023120440.pdf")</f>
        <v>https://dpmzos25m8ivg.cloudfront.net/Documentos/631/15327645703/6311532764570311092023120440.pdf</v>
      </c>
      <c r="F5758" s="5" t="str">
        <f>HYPERLINK("https://dpmzos25m8ivg.cloudfront.net/Documentos/631/15327645703/6311532764570311092023120328.pdf","https://dpmzos25m8ivg.cloudfront.net/Documentos/631/15327645703/6311532764570311092023120328.pdf")</f>
        <v>https://dpmzos25m8ivg.cloudfront.net/Documentos/631/15327645703/6311532764570311092023120328.pdf</v>
      </c>
      <c r="G5758" s="5" t="str">
        <f>HYPERLINK("https://dpmzos25m8ivg.cloudfront.net/Documentos/631/15327645703/6311532764570311092023115707.pdf","https://dpmzos25m8ivg.cloudfront.net/Documentos/631/15327645703/6311532764570311092023115707.pdf")</f>
        <v>https://dpmzos25m8ivg.cloudfront.net/Documentos/631/15327645703/6311532764570311092023115707.pdf</v>
      </c>
      <c r="H5758" s="4" t="s">
        <v>14329</v>
      </c>
    </row>
    <row r="5759" spans="1:8" x14ac:dyDescent="0.25">
      <c r="A5759" s="2" t="s">
        <v>5787</v>
      </c>
      <c r="B5759" s="3"/>
      <c r="C5759" s="3"/>
      <c r="D5759" s="3"/>
      <c r="E5759" s="5" t="str">
        <f>HYPERLINK("https://dpmzos25m8ivg.cloudfront.net/Documentos/631/15341229665/6311534122966511092023132003.pdf","https://dpmzos25m8ivg.cloudfront.net/Documentos/631/15341229665/6311534122966511092023132003.pdf")</f>
        <v>https://dpmzos25m8ivg.cloudfront.net/Documentos/631/15341229665/6311534122966511092023132003.pdf</v>
      </c>
      <c r="F5759" s="5" t="str">
        <f>HYPERLINK("https://dpmzos25m8ivg.cloudfront.net/Documentos/631/15341229665/6311534122966511092023132010.pdf","https://dpmzos25m8ivg.cloudfront.net/Documentos/631/15341229665/6311534122966511092023132010.pdf")</f>
        <v>https://dpmzos25m8ivg.cloudfront.net/Documentos/631/15341229665/6311534122966511092023132010.pdf</v>
      </c>
      <c r="G5759" s="5" t="str">
        <f>HYPERLINK("https://dpmzos25m8ivg.cloudfront.net/Documentos/631/15341229665/6311534122966511092023132017.pdf","https://dpmzos25m8ivg.cloudfront.net/Documentos/631/15341229665/6311534122966511092023132017.pdf")</f>
        <v>https://dpmzos25m8ivg.cloudfront.net/Documentos/631/15341229665/6311534122966511092023132017.pdf</v>
      </c>
      <c r="H5759" s="4" t="s">
        <v>14330</v>
      </c>
    </row>
    <row r="5760" spans="1:8" x14ac:dyDescent="0.25">
      <c r="A5760" s="2" t="s">
        <v>5788</v>
      </c>
      <c r="B5760" s="3"/>
      <c r="C5760" s="3"/>
      <c r="D5760" s="3"/>
      <c r="E5760" s="5" t="str">
        <f>HYPERLINK("https://dpmzos25m8ivg.cloudfront.net/Documentos/631/15350311743/6311535031174310092023225003.jpg","https://dpmzos25m8ivg.cloudfront.net/Documentos/631/15350311743/6311535031174310092023225003.jpg")</f>
        <v>https://dpmzos25m8ivg.cloudfront.net/Documentos/631/15350311743/6311535031174310092023225003.jpg</v>
      </c>
      <c r="F5760" s="5" t="str">
        <f>HYPERLINK("https://dpmzos25m8ivg.cloudfront.net/Documentos/631/15350311743/6311535031174310092023225038.jpg","https://dpmzos25m8ivg.cloudfront.net/Documentos/631/15350311743/6311535031174310092023225038.jpg")</f>
        <v>https://dpmzos25m8ivg.cloudfront.net/Documentos/631/15350311743/6311535031174310092023225038.jpg</v>
      </c>
      <c r="G5760" s="5" t="str">
        <f>HYPERLINK("https://dpmzos25m8ivg.cloudfront.net/Documentos/631/15350311743/6311535031174310092023225117.jpg","https://dpmzos25m8ivg.cloudfront.net/Documentos/631/15350311743/6311535031174310092023225117.jpg")</f>
        <v>https://dpmzos25m8ivg.cloudfront.net/Documentos/631/15350311743/6311535031174310092023225117.jpg</v>
      </c>
      <c r="H5760" s="4" t="s">
        <v>14331</v>
      </c>
    </row>
    <row r="5761" spans="1:8" x14ac:dyDescent="0.25">
      <c r="A5761" s="2" t="s">
        <v>5789</v>
      </c>
      <c r="B5761" s="19" t="s">
        <v>3385</v>
      </c>
      <c r="C5761" s="3"/>
      <c r="D5761" s="3"/>
      <c r="E5761" s="5" t="str">
        <f>HYPERLINK("https://dpmzos25m8ivg.cloudfront.net/Documentos/631/15358912703/6311535891270311092023134456.pdf","https://dpmzos25m8ivg.cloudfront.net/Documentos/631/15358912703/6311535891270311092023134456.pdf")</f>
        <v>https://dpmzos25m8ivg.cloudfront.net/Documentos/631/15358912703/6311535891270311092023134456.pdf</v>
      </c>
      <c r="F5761" s="5" t="str">
        <f>HYPERLINK("https://dpmzos25m8ivg.cloudfront.net/Documentos/631/15358912703/6311535891270311092023134504.pdf","https://dpmzos25m8ivg.cloudfront.net/Documentos/631/15358912703/6311535891270311092023134504.pdf")</f>
        <v>https://dpmzos25m8ivg.cloudfront.net/Documentos/631/15358912703/6311535891270311092023134504.pdf</v>
      </c>
      <c r="G5761" s="5" t="str">
        <f>HYPERLINK("https://dpmzos25m8ivg.cloudfront.net/Documentos/631/15358912703/6311535891270311092023134512.pdf","https://dpmzos25m8ivg.cloudfront.net/Documentos/631/15358912703/6311535891270311092023134512.pdf")</f>
        <v>https://dpmzos25m8ivg.cloudfront.net/Documentos/631/15358912703/6311535891270311092023134512.pdf</v>
      </c>
      <c r="H5761" s="4" t="s">
        <v>14332</v>
      </c>
    </row>
    <row r="5762" spans="1:8" x14ac:dyDescent="0.25">
      <c r="A5762" s="2" t="s">
        <v>5790</v>
      </c>
      <c r="B5762" s="16" t="s">
        <v>2358</v>
      </c>
      <c r="C5762" s="3"/>
      <c r="D5762" s="3"/>
      <c r="E5762" s="5" t="str">
        <f>HYPERLINK("https://dpmzos25m8ivg.cloudfront.net/Documentos/631/15374302620/6311537430262014092023152101.pdf","https://dpmzos25m8ivg.cloudfront.net/Documentos/631/15374302620/6311537430262014092023152101.pdf")</f>
        <v>https://dpmzos25m8ivg.cloudfront.net/Documentos/631/15374302620/6311537430262014092023152101.pdf</v>
      </c>
      <c r="F5762" s="5" t="str">
        <f>HYPERLINK("https://dpmzos25m8ivg.cloudfront.net/Documentos/631/15374302620/6311537430262014092023152112.pdf","https://dpmzos25m8ivg.cloudfront.net/Documentos/631/15374302620/6311537430262014092023152112.pdf")</f>
        <v>https://dpmzos25m8ivg.cloudfront.net/Documentos/631/15374302620/6311537430262014092023152112.pdf</v>
      </c>
      <c r="G5762" s="5" t="str">
        <f>HYPERLINK("https://dpmzos25m8ivg.cloudfront.net/Documentos/631/15374302620/6311537430262014092023152122.pdf","https://dpmzos25m8ivg.cloudfront.net/Documentos/631/15374302620/6311537430262014092023152122.pdf")</f>
        <v>https://dpmzos25m8ivg.cloudfront.net/Documentos/631/15374302620/6311537430262014092023152122.pdf</v>
      </c>
      <c r="H5762" s="5" t="s">
        <v>14333</v>
      </c>
    </row>
    <row r="5763" spans="1:8" x14ac:dyDescent="0.25">
      <c r="A5763" s="2" t="s">
        <v>5791</v>
      </c>
      <c r="B5763" s="3" t="s">
        <v>308</v>
      </c>
      <c r="C5763" s="3"/>
      <c r="D5763" s="3"/>
      <c r="E5763" s="5" t="str">
        <f>HYPERLINK("https://dpmzos25m8ivg.cloudfront.net/Documentos/631/15395511725/6311539551172505092023115019.pdf","https://dpmzos25m8ivg.cloudfront.net/Documentos/631/15395511725/6311539551172505092023115019.pdf")</f>
        <v>https://dpmzos25m8ivg.cloudfront.net/Documentos/631/15395511725/6311539551172505092023115019.pdf</v>
      </c>
      <c r="F5763" s="5" t="str">
        <f>HYPERLINK("https://dpmzos25m8ivg.cloudfront.net/Documentos/631/15395511725/6311539551172505092023115031.pdf","https://dpmzos25m8ivg.cloudfront.net/Documentos/631/15395511725/6311539551172505092023115031.pdf")</f>
        <v>https://dpmzos25m8ivg.cloudfront.net/Documentos/631/15395511725/6311539551172505092023115031.pdf</v>
      </c>
      <c r="G5763" s="5" t="str">
        <f>HYPERLINK("https://dpmzos25m8ivg.cloudfront.net/Documentos/631/15395511725/6311539551172505092023115037.pdf","https://dpmzos25m8ivg.cloudfront.net/Documentos/631/15395511725/6311539551172505092023115037.pdf")</f>
        <v>https://dpmzos25m8ivg.cloudfront.net/Documentos/631/15395511725/6311539551172505092023115037.pdf</v>
      </c>
      <c r="H5763" s="4" t="s">
        <v>14334</v>
      </c>
    </row>
    <row r="5764" spans="1:8" x14ac:dyDescent="0.25">
      <c r="A5764" s="2" t="s">
        <v>5792</v>
      </c>
      <c r="B5764" s="3"/>
      <c r="C5764" s="3"/>
      <c r="D5764" s="3"/>
      <c r="E5764" s="5" t="str">
        <f>HYPERLINK("https://dpmzos25m8ivg.cloudfront.net/Documentos/631/15398351621/6311539835162109092023141304.pdf","https://dpmzos25m8ivg.cloudfront.net/Documentos/631/15398351621/6311539835162109092023141304.pdf")</f>
        <v>https://dpmzos25m8ivg.cloudfront.net/Documentos/631/15398351621/6311539835162109092023141304.pdf</v>
      </c>
      <c r="F5764" s="5" t="str">
        <f>HYPERLINK("https://dpmzos25m8ivg.cloudfront.net/Documentos/631/15398351621/6311539835162109092023141312.pdf","https://dpmzos25m8ivg.cloudfront.net/Documentos/631/15398351621/6311539835162109092023141312.pdf")</f>
        <v>https://dpmzos25m8ivg.cloudfront.net/Documentos/631/15398351621/6311539835162109092023141312.pdf</v>
      </c>
      <c r="G5764" s="5" t="str">
        <f>HYPERLINK("https://dpmzos25m8ivg.cloudfront.net/Documentos/631/15398351621/6311539835162109092023141317.pdf","https://dpmzos25m8ivg.cloudfront.net/Documentos/631/15398351621/6311539835162109092023141317.pdf")</f>
        <v>https://dpmzos25m8ivg.cloudfront.net/Documentos/631/15398351621/6311539835162109092023141317.pdf</v>
      </c>
      <c r="H5764" s="4" t="s">
        <v>14335</v>
      </c>
    </row>
    <row r="5765" spans="1:8" x14ac:dyDescent="0.25">
      <c r="A5765" s="2" t="s">
        <v>5793</v>
      </c>
      <c r="B5765" s="3"/>
      <c r="C5765" s="3"/>
      <c r="D5765" s="3"/>
      <c r="E5765" s="5" t="str">
        <f>HYPERLINK("https://dpmzos25m8ivg.cloudfront.net/Documentos/631/15400732623/6311540073262311092023140202.pdf","https://dpmzos25m8ivg.cloudfront.net/Documentos/631/15400732623/6311540073262311092023140202.pdf")</f>
        <v>https://dpmzos25m8ivg.cloudfront.net/Documentos/631/15400732623/6311540073262311092023140202.pdf</v>
      </c>
      <c r="F5765" s="5" t="str">
        <f>HYPERLINK("https://dpmzos25m8ivg.cloudfront.net/Documentos/631/15400732623/6311540073262311092023140233.pdf","https://dpmzos25m8ivg.cloudfront.net/Documentos/631/15400732623/6311540073262311092023140233.pdf")</f>
        <v>https://dpmzos25m8ivg.cloudfront.net/Documentos/631/15400732623/6311540073262311092023140233.pdf</v>
      </c>
      <c r="G5765" s="5" t="str">
        <f>HYPERLINK("https://dpmzos25m8ivg.cloudfront.net/Documentos/631/15400732623/6311540073262311092023140252.pdf","https://dpmzos25m8ivg.cloudfront.net/Documentos/631/15400732623/6311540073262311092023140252.pdf")</f>
        <v>https://dpmzos25m8ivg.cloudfront.net/Documentos/631/15400732623/6311540073262311092023140252.pdf</v>
      </c>
      <c r="H5765" s="4" t="s">
        <v>14336</v>
      </c>
    </row>
    <row r="5766" spans="1:8" x14ac:dyDescent="0.25">
      <c r="A5766" s="2" t="s">
        <v>5794</v>
      </c>
      <c r="B5766" s="3" t="s">
        <v>308</v>
      </c>
      <c r="C5766" s="3"/>
      <c r="D5766" s="3"/>
      <c r="E5766" s="5" t="str">
        <f>HYPERLINK("https://dpmzos25m8ivg.cloudfront.net/Documentos/631/15405971723/6311540597172314092023162924.jpg","https://dpmzos25m8ivg.cloudfront.net/Documentos/631/15405971723/6311540597172314092023162924.jpg")</f>
        <v>https://dpmzos25m8ivg.cloudfront.net/Documentos/631/15405971723/6311540597172314092023162924.jpg</v>
      </c>
      <c r="F5766" s="5" t="str">
        <f>HYPERLINK("https://dpmzos25m8ivg.cloudfront.net/Documentos/631/15405971723/6311540597172314092023162842.jpg","https://dpmzos25m8ivg.cloudfront.net/Documentos/631/15405971723/6311540597172314092023162842.jpg")</f>
        <v>https://dpmzos25m8ivg.cloudfront.net/Documentos/631/15405971723/6311540597172314092023162842.jpg</v>
      </c>
      <c r="G5766" s="5" t="str">
        <f>HYPERLINK("https://dpmzos25m8ivg.cloudfront.net/Documentos/631/15405971723/6311540597172314092023162815.jpg","https://dpmzos25m8ivg.cloudfront.net/Documentos/631/15405971723/6311540597172314092023162815.jpg")</f>
        <v>https://dpmzos25m8ivg.cloudfront.net/Documentos/631/15405971723/6311540597172314092023162815.jpg</v>
      </c>
      <c r="H5766" s="4" t="s">
        <v>14337</v>
      </c>
    </row>
    <row r="5767" spans="1:8" x14ac:dyDescent="0.25">
      <c r="A5767" s="2" t="s">
        <v>5795</v>
      </c>
      <c r="B5767" s="3"/>
      <c r="C5767" s="3"/>
      <c r="D5767" s="3"/>
      <c r="E5767" s="5" t="str">
        <f>HYPERLINK("https://dpmzos25m8ivg.cloudfront.net/Documentos/631/15413692706/6311541369270605092023122554.pdf","https://dpmzos25m8ivg.cloudfront.net/Documentos/631/15413692706/6311541369270605092023122554.pdf")</f>
        <v>https://dpmzos25m8ivg.cloudfront.net/Documentos/631/15413692706/6311541369270605092023122554.pdf</v>
      </c>
      <c r="F5767" s="5" t="str">
        <f>HYPERLINK("https://dpmzos25m8ivg.cloudfront.net/Documentos/631/15413692706/6311541369270605092023122600.pdf","https://dpmzos25m8ivg.cloudfront.net/Documentos/631/15413692706/6311541369270605092023122600.pdf")</f>
        <v>https://dpmzos25m8ivg.cloudfront.net/Documentos/631/15413692706/6311541369270605092023122600.pdf</v>
      </c>
      <c r="G5767" s="5" t="str">
        <f>HYPERLINK("https://dpmzos25m8ivg.cloudfront.net/Documentos/631/15413692706/6311541369270605092023122606.pdf","https://dpmzos25m8ivg.cloudfront.net/Documentos/631/15413692706/6311541369270605092023122606.pdf")</f>
        <v>https://dpmzos25m8ivg.cloudfront.net/Documentos/631/15413692706/6311541369270605092023122606.pdf</v>
      </c>
      <c r="H5767" s="4" t="s">
        <v>14338</v>
      </c>
    </row>
    <row r="5768" spans="1:8" x14ac:dyDescent="0.25">
      <c r="A5768" s="2" t="s">
        <v>5796</v>
      </c>
      <c r="B5768" s="3"/>
      <c r="C5768" s="3"/>
      <c r="D5768" s="3"/>
      <c r="E5768" s="5" t="str">
        <f>HYPERLINK("https://dpmzos25m8ivg.cloudfront.net/Documentos/631/15439085785/6311543908578514092023134621.jpeg","https://dpmzos25m8ivg.cloudfront.net/Documentos/631/15439085785/6311543908578514092023134621.jpeg")</f>
        <v>https://dpmzos25m8ivg.cloudfront.net/Documentos/631/15439085785/6311543908578514092023134621.jpeg</v>
      </c>
      <c r="F5768" s="5" t="str">
        <f>HYPERLINK("https://dpmzos25m8ivg.cloudfront.net/Documentos/631/15439085785/6311543908578514092023134610.jpeg","https://dpmzos25m8ivg.cloudfront.net/Documentos/631/15439085785/6311543908578514092023134610.jpeg")</f>
        <v>https://dpmzos25m8ivg.cloudfront.net/Documentos/631/15439085785/6311543908578514092023134610.jpeg</v>
      </c>
      <c r="G5768" s="5" t="str">
        <f>HYPERLINK("https://dpmzos25m8ivg.cloudfront.net/Documentos/631/15439085785/6311543908578514092023134558.jpeg","https://dpmzos25m8ivg.cloudfront.net/Documentos/631/15439085785/6311543908578514092023134558.jpeg")</f>
        <v>https://dpmzos25m8ivg.cloudfront.net/Documentos/631/15439085785/6311543908578514092023134558.jpeg</v>
      </c>
      <c r="H5768" s="4" t="s">
        <v>14339</v>
      </c>
    </row>
    <row r="5769" spans="1:8" x14ac:dyDescent="0.25">
      <c r="A5769" s="2" t="s">
        <v>5797</v>
      </c>
      <c r="B5769" s="16" t="s">
        <v>2358</v>
      </c>
      <c r="C5769" s="3"/>
      <c r="D5769" s="3"/>
      <c r="E5769" s="5" t="str">
        <f>HYPERLINK("https://dpmzos25m8ivg.cloudfront.net/Documentos/631/15455953729/6311545595372911092023165219.pdf","https://dpmzos25m8ivg.cloudfront.net/Documentos/631/15455953729/6311545595372911092023165219.pdf")</f>
        <v>https://dpmzos25m8ivg.cloudfront.net/Documentos/631/15455953729/6311545595372911092023165219.pdf</v>
      </c>
      <c r="F5769" s="5" t="str">
        <f>HYPERLINK("https://dpmzos25m8ivg.cloudfront.net/Documentos/631/15455953729/6311545595372911092023165229.pdf","https://dpmzos25m8ivg.cloudfront.net/Documentos/631/15455953729/6311545595372911092023165229.pdf")</f>
        <v>https://dpmzos25m8ivg.cloudfront.net/Documentos/631/15455953729/6311545595372911092023165229.pdf</v>
      </c>
      <c r="G5769" s="5" t="str">
        <f>HYPERLINK("https://dpmzos25m8ivg.cloudfront.net/Documentos/631/15455953729/6311545595372911092023165237.pdf","https://dpmzos25m8ivg.cloudfront.net/Documentos/631/15455953729/6311545595372911092023165237.pdf")</f>
        <v>https://dpmzos25m8ivg.cloudfront.net/Documentos/631/15455953729/6311545595372911092023165237.pdf</v>
      </c>
      <c r="H5769" s="5" t="s">
        <v>14340</v>
      </c>
    </row>
    <row r="5770" spans="1:8" x14ac:dyDescent="0.25">
      <c r="A5770" s="2" t="s">
        <v>5798</v>
      </c>
      <c r="B5770" s="3"/>
      <c r="C5770" s="3"/>
      <c r="D5770" s="3"/>
      <c r="E5770" s="5" t="str">
        <f>HYPERLINK("https://dpmzos25m8ivg.cloudfront.net/Documentos/631/15468760738/6311546876073810092023082335.pdf","https://dpmzos25m8ivg.cloudfront.net/Documentos/631/15468760738/6311546876073810092023082335.pdf")</f>
        <v>https://dpmzos25m8ivg.cloudfront.net/Documentos/631/15468760738/6311546876073810092023082335.pdf</v>
      </c>
      <c r="F5770" s="5" t="str">
        <f>HYPERLINK("https://dpmzos25m8ivg.cloudfront.net/Documentos/631/15468760738/6311546876073810092023082402.pdf","https://dpmzos25m8ivg.cloudfront.net/Documentos/631/15468760738/6311546876073810092023082402.pdf")</f>
        <v>https://dpmzos25m8ivg.cloudfront.net/Documentos/631/15468760738/6311546876073810092023082402.pdf</v>
      </c>
      <c r="G5770" s="5" t="str">
        <f>HYPERLINK("https://dpmzos25m8ivg.cloudfront.net/Documentos/631/15468760738/6311546876073810092023102059.jpg","https://dpmzos25m8ivg.cloudfront.net/Documentos/631/15468760738/6311546876073810092023102059.jpg")</f>
        <v>https://dpmzos25m8ivg.cloudfront.net/Documentos/631/15468760738/6311546876073810092023102059.jpg</v>
      </c>
      <c r="H5770" s="4" t="s">
        <v>14341</v>
      </c>
    </row>
    <row r="5771" spans="1:8" x14ac:dyDescent="0.25">
      <c r="A5771" s="2" t="s">
        <v>5799</v>
      </c>
      <c r="B5771" s="3"/>
      <c r="C5771" s="3"/>
      <c r="D5771" s="3"/>
      <c r="E5771" s="5" t="str">
        <f>HYPERLINK("https://dpmzos25m8ivg.cloudfront.net/Documentos/631/15470456714/6311547045671411092023100211.pdf","https://dpmzos25m8ivg.cloudfront.net/Documentos/631/15470456714/6311547045671411092023100211.pdf")</f>
        <v>https://dpmzos25m8ivg.cloudfront.net/Documentos/631/15470456714/6311547045671411092023100211.pdf</v>
      </c>
      <c r="F5771" s="5" t="str">
        <f>HYPERLINK("https://dpmzos25m8ivg.cloudfront.net/Documentos/631/15470456714/6311547045671411092023100244.pdf","https://dpmzos25m8ivg.cloudfront.net/Documentos/631/15470456714/6311547045671411092023100244.pdf")</f>
        <v>https://dpmzos25m8ivg.cloudfront.net/Documentos/631/15470456714/6311547045671411092023100244.pdf</v>
      </c>
      <c r="G5771" s="5" t="str">
        <f>HYPERLINK("https://dpmzos25m8ivg.cloudfront.net/Documentos/631/15470456714/6311547045671411092023100319.pdf","https://dpmzos25m8ivg.cloudfront.net/Documentos/631/15470456714/6311547045671411092023100319.pdf")</f>
        <v>https://dpmzos25m8ivg.cloudfront.net/Documentos/631/15470456714/6311547045671411092023100319.pdf</v>
      </c>
      <c r="H5771" s="4" t="s">
        <v>14342</v>
      </c>
    </row>
    <row r="5772" spans="1:8" x14ac:dyDescent="0.25">
      <c r="A5772" s="2" t="s">
        <v>5800</v>
      </c>
      <c r="B5772" s="3"/>
      <c r="C5772" s="3"/>
      <c r="D5772" s="3"/>
      <c r="E5772" s="5" t="str">
        <f>HYPERLINK("https://dpmzos25m8ivg.cloudfront.net/Documentos/631/15477403705/6311547740370511092023095746.pdf","https://dpmzos25m8ivg.cloudfront.net/Documentos/631/15477403705/6311547740370511092023095746.pdf")</f>
        <v>https://dpmzos25m8ivg.cloudfront.net/Documentos/631/15477403705/6311547740370511092023095746.pdf</v>
      </c>
      <c r="F5772" s="5" t="str">
        <f>HYPERLINK("https://dpmzos25m8ivg.cloudfront.net/Documentos/631/15477403705/6311547740370511092023095756.pdf","https://dpmzos25m8ivg.cloudfront.net/Documentos/631/15477403705/6311547740370511092023095756.pdf")</f>
        <v>https://dpmzos25m8ivg.cloudfront.net/Documentos/631/15477403705/6311547740370511092023095756.pdf</v>
      </c>
      <c r="G5772" s="5" t="str">
        <f>HYPERLINK("https://dpmzos25m8ivg.cloudfront.net/Documentos/631/15477403705/6311547740370511092023095806.pdf","https://dpmzos25m8ivg.cloudfront.net/Documentos/631/15477403705/6311547740370511092023095806.pdf")</f>
        <v>https://dpmzos25m8ivg.cloudfront.net/Documentos/631/15477403705/6311547740370511092023095806.pdf</v>
      </c>
      <c r="H5772" s="4" t="s">
        <v>14343</v>
      </c>
    </row>
    <row r="5773" spans="1:8" x14ac:dyDescent="0.25">
      <c r="A5773" s="2" t="s">
        <v>5801</v>
      </c>
      <c r="B5773" s="3"/>
      <c r="C5773" s="3"/>
      <c r="D5773" s="3"/>
      <c r="E5773" s="5" t="str">
        <f>HYPERLINK("https://dpmzos25m8ivg.cloudfront.net/Documentos/631/15482312747/6311548231274709092023202530.pdf","https://dpmzos25m8ivg.cloudfront.net/Documentos/631/15482312747/6311548231274709092023202530.pdf")</f>
        <v>https://dpmzos25m8ivg.cloudfront.net/Documentos/631/15482312747/6311548231274709092023202530.pdf</v>
      </c>
      <c r="F5773" s="5" t="str">
        <f>HYPERLINK("https://dpmzos25m8ivg.cloudfront.net/Documentos/631/15482312747/6311548231274709092023202509.pdf","https://dpmzos25m8ivg.cloudfront.net/Documentos/631/15482312747/6311548231274709092023202509.pdf")</f>
        <v>https://dpmzos25m8ivg.cloudfront.net/Documentos/631/15482312747/6311548231274709092023202509.pdf</v>
      </c>
      <c r="G5773" s="5" t="str">
        <f>HYPERLINK("https://dpmzos25m8ivg.cloudfront.net/Documentos/631/15482312747/6311548231274709092023202443.pdf","https://dpmzos25m8ivg.cloudfront.net/Documentos/631/15482312747/6311548231274709092023202443.pdf")</f>
        <v>https://dpmzos25m8ivg.cloudfront.net/Documentos/631/15482312747/6311548231274709092023202443.pdf</v>
      </c>
      <c r="H5773" s="4" t="s">
        <v>14344</v>
      </c>
    </row>
    <row r="5774" spans="1:8" x14ac:dyDescent="0.25">
      <c r="A5774" s="2" t="s">
        <v>5802</v>
      </c>
      <c r="B5774" s="3"/>
      <c r="C5774" s="3"/>
      <c r="D5774" s="3"/>
      <c r="E5774" s="5" t="str">
        <f>HYPERLINK("https://dpmzos25m8ivg.cloudfront.net/Documentos/631/15487771707/6311548777170711092023140957.jpeg","https://dpmzos25m8ivg.cloudfront.net/Documentos/631/15487771707/6311548777170711092023140957.jpeg")</f>
        <v>https://dpmzos25m8ivg.cloudfront.net/Documentos/631/15487771707/6311548777170711092023140957.jpeg</v>
      </c>
      <c r="F5774" s="5" t="str">
        <f>HYPERLINK("https://dpmzos25m8ivg.cloudfront.net/Documentos/631/15487771707/6311548777170711092023141121.jpeg","https://dpmzos25m8ivg.cloudfront.net/Documentos/631/15487771707/6311548777170711092023141121.jpeg")</f>
        <v>https://dpmzos25m8ivg.cloudfront.net/Documentos/631/15487771707/6311548777170711092023141121.jpeg</v>
      </c>
      <c r="G5774" s="5" t="str">
        <f>HYPERLINK("https://dpmzos25m8ivg.cloudfront.net/Documentos/631/15487771707/6311548777170711092023141249.jpeg","https://dpmzos25m8ivg.cloudfront.net/Documentos/631/15487771707/6311548777170711092023141249.jpeg")</f>
        <v>https://dpmzos25m8ivg.cloudfront.net/Documentos/631/15487771707/6311548777170711092023141249.jpeg</v>
      </c>
      <c r="H5774" s="4" t="s">
        <v>14345</v>
      </c>
    </row>
    <row r="5775" spans="1:8" x14ac:dyDescent="0.25">
      <c r="A5775" s="2" t="s">
        <v>5803</v>
      </c>
      <c r="B5775" s="3" t="s">
        <v>308</v>
      </c>
      <c r="C5775" s="3"/>
      <c r="D5775" s="3"/>
      <c r="E5775" s="5" t="str">
        <f>HYPERLINK("https://dpmzos25m8ivg.cloudfront.net/Documentos/631/15489584688/6311548958468811092023144424.pdf","https://dpmzos25m8ivg.cloudfront.net/Documentos/631/15489584688/6311548958468811092023144424.pdf")</f>
        <v>https://dpmzos25m8ivg.cloudfront.net/Documentos/631/15489584688/6311548958468811092023144424.pdf</v>
      </c>
      <c r="F5775" s="5" t="str">
        <f>HYPERLINK("https://dpmzos25m8ivg.cloudfront.net/Documentos/631/15489584688/6311548958468811092023144433.pdf","https://dpmzos25m8ivg.cloudfront.net/Documentos/631/15489584688/6311548958468811092023144433.pdf")</f>
        <v>https://dpmzos25m8ivg.cloudfront.net/Documentos/631/15489584688/6311548958468811092023144433.pdf</v>
      </c>
      <c r="G5775" s="5" t="str">
        <f>HYPERLINK("https://dpmzos25m8ivg.cloudfront.net/Documentos/631/15489584688/6311548958468811092023144444.pdf","https://dpmzos25m8ivg.cloudfront.net/Documentos/631/15489584688/6311548958468811092023144444.pdf")</f>
        <v>https://dpmzos25m8ivg.cloudfront.net/Documentos/631/15489584688/6311548958468811092023144444.pdf</v>
      </c>
      <c r="H5775" s="4" t="s">
        <v>14346</v>
      </c>
    </row>
    <row r="5776" spans="1:8" x14ac:dyDescent="0.25">
      <c r="A5776" s="2" t="s">
        <v>5804</v>
      </c>
      <c r="B5776" s="3"/>
      <c r="C5776" s="3"/>
      <c r="D5776" s="3"/>
      <c r="E5776" s="5" t="str">
        <f>HYPERLINK("https://dpmzos25m8ivg.cloudfront.net/Documentos/631/15500869795/6311550086979511092023160757.jpg","https://dpmzos25m8ivg.cloudfront.net/Documentos/631/15500869795/6311550086979511092023160757.jpg")</f>
        <v>https://dpmzos25m8ivg.cloudfront.net/Documentos/631/15500869795/6311550086979511092023160757.jpg</v>
      </c>
      <c r="F5776" s="5" t="str">
        <f>HYPERLINK("https://dpmzos25m8ivg.cloudfront.net/Documentos/631/15500869795/6311550086979511092023160943.pdf","https://dpmzos25m8ivg.cloudfront.net/Documentos/631/15500869795/6311550086979511092023160943.pdf")</f>
        <v>https://dpmzos25m8ivg.cloudfront.net/Documentos/631/15500869795/6311550086979511092023160943.pdf</v>
      </c>
      <c r="G5776" s="5" t="str">
        <f>HYPERLINK("https://dpmzos25m8ivg.cloudfront.net/Documentos/631/15500869795/6311550086979511092023161055.pdf","https://dpmzos25m8ivg.cloudfront.net/Documentos/631/15500869795/6311550086979511092023161055.pdf")</f>
        <v>https://dpmzos25m8ivg.cloudfront.net/Documentos/631/15500869795/6311550086979511092023161055.pdf</v>
      </c>
      <c r="H5776" s="4" t="s">
        <v>14347</v>
      </c>
    </row>
    <row r="5777" spans="1:8" x14ac:dyDescent="0.25">
      <c r="A5777" s="2" t="s">
        <v>5805</v>
      </c>
      <c r="B5777" s="3"/>
      <c r="C5777" s="3"/>
      <c r="D5777" s="3"/>
      <c r="E5777" s="5" t="str">
        <f>HYPERLINK("https://dpmzos25m8ivg.cloudfront.net/Documentos/631/15513919702/6311551391970207092023131953.jpg","https://dpmzos25m8ivg.cloudfront.net/Documentos/631/15513919702/6311551391970207092023131953.jpg")</f>
        <v>https://dpmzos25m8ivg.cloudfront.net/Documentos/631/15513919702/6311551391970207092023131953.jpg</v>
      </c>
      <c r="F5777" s="5" t="str">
        <f>HYPERLINK("https://dpmzos25m8ivg.cloudfront.net/Documentos/631/15513919702/6311551391970207092023132001.jpg","https://dpmzos25m8ivg.cloudfront.net/Documentos/631/15513919702/6311551391970207092023132001.jpg")</f>
        <v>https://dpmzos25m8ivg.cloudfront.net/Documentos/631/15513919702/6311551391970207092023132001.jpg</v>
      </c>
      <c r="G5777" s="5" t="str">
        <f>HYPERLINK("https://dpmzos25m8ivg.cloudfront.net/Documentos/631/15513919702/6311551391970207092023132016.jpg","https://dpmzos25m8ivg.cloudfront.net/Documentos/631/15513919702/6311551391970207092023132016.jpg")</f>
        <v>https://dpmzos25m8ivg.cloudfront.net/Documentos/631/15513919702/6311551391970207092023132016.jpg</v>
      </c>
      <c r="H5777" s="4" t="s">
        <v>14348</v>
      </c>
    </row>
    <row r="5778" spans="1:8" x14ac:dyDescent="0.25">
      <c r="A5778" s="2" t="s">
        <v>5806</v>
      </c>
      <c r="B5778" s="3"/>
      <c r="C5778" s="3"/>
      <c r="D5778" s="3"/>
      <c r="E5778" s="5" t="str">
        <f>HYPERLINK("https://dpmzos25m8ivg.cloudfront.net/Documentos/631/15516944767/6311551694476711092023140113.pdf","https://dpmzos25m8ivg.cloudfront.net/Documentos/631/15516944767/6311551694476711092023140113.pdf")</f>
        <v>https://dpmzos25m8ivg.cloudfront.net/Documentos/631/15516944767/6311551694476711092023140113.pdf</v>
      </c>
      <c r="F5778" s="5" t="str">
        <f>HYPERLINK("https://dpmzos25m8ivg.cloudfront.net/Documentos/631/15516944767/6311551694476711092023140121.pdf","https://dpmzos25m8ivg.cloudfront.net/Documentos/631/15516944767/6311551694476711092023140121.pdf")</f>
        <v>https://dpmzos25m8ivg.cloudfront.net/Documentos/631/15516944767/6311551694476711092023140121.pdf</v>
      </c>
      <c r="G5778" s="5" t="str">
        <f>HYPERLINK("https://dpmzos25m8ivg.cloudfront.net/Documentos/631/15516944767/6311551694476711092023140129.pdf","https://dpmzos25m8ivg.cloudfront.net/Documentos/631/15516944767/6311551694476711092023140129.pdf")</f>
        <v>https://dpmzos25m8ivg.cloudfront.net/Documentos/631/15516944767/6311551694476711092023140129.pdf</v>
      </c>
      <c r="H5778" s="4" t="s">
        <v>14349</v>
      </c>
    </row>
    <row r="5779" spans="1:8" x14ac:dyDescent="0.25">
      <c r="A5779" s="2" t="s">
        <v>5807</v>
      </c>
      <c r="B5779" s="3"/>
      <c r="C5779" s="3"/>
      <c r="D5779" s="3"/>
      <c r="E5779" s="5" t="str">
        <f>HYPERLINK("https://dpmzos25m8ivg.cloudfront.net/Documentos/631/15543322739/6311554332273914092023150306.pdf","https://dpmzos25m8ivg.cloudfront.net/Documentos/631/15543322739/6311554332273914092023150306.pdf")</f>
        <v>https://dpmzos25m8ivg.cloudfront.net/Documentos/631/15543322739/6311554332273914092023150306.pdf</v>
      </c>
      <c r="F5779" s="5" t="str">
        <f>HYPERLINK("https://dpmzos25m8ivg.cloudfront.net/Documentos/631/15543322739/6311554332273914092023150315.pdf","https://dpmzos25m8ivg.cloudfront.net/Documentos/631/15543322739/6311554332273914092023150315.pdf")</f>
        <v>https://dpmzos25m8ivg.cloudfront.net/Documentos/631/15543322739/6311554332273914092023150315.pdf</v>
      </c>
      <c r="G5779" s="5" t="str">
        <f>HYPERLINK("https://dpmzos25m8ivg.cloudfront.net/Documentos/631/15543322739/6311554332273914092023150320.pdf","https://dpmzos25m8ivg.cloudfront.net/Documentos/631/15543322739/6311554332273914092023150320.pdf")</f>
        <v>https://dpmzos25m8ivg.cloudfront.net/Documentos/631/15543322739/6311554332273914092023150320.pdf</v>
      </c>
      <c r="H5779" s="4" t="s">
        <v>14350</v>
      </c>
    </row>
    <row r="5780" spans="1:8" x14ac:dyDescent="0.25">
      <c r="A5780" s="2" t="s">
        <v>5808</v>
      </c>
      <c r="B5780" s="3" t="s">
        <v>308</v>
      </c>
      <c r="C5780" s="3"/>
      <c r="D5780" s="3"/>
      <c r="E5780" s="5" t="str">
        <f>HYPERLINK("https://dpmzos25m8ivg.cloudfront.net/Documentos/631/15562804670/6311556280467011092023161655.pdf","https://dpmzos25m8ivg.cloudfront.net/Documentos/631/15562804670/6311556280467011092023161655.pdf")</f>
        <v>https://dpmzos25m8ivg.cloudfront.net/Documentos/631/15562804670/6311556280467011092023161655.pdf</v>
      </c>
      <c r="F5780" s="5" t="str">
        <f>HYPERLINK("https://dpmzos25m8ivg.cloudfront.net/Documentos/631/15562804670/6311556280467011092023161739.pdf","https://dpmzos25m8ivg.cloudfront.net/Documentos/631/15562804670/6311556280467011092023161739.pdf")</f>
        <v>https://dpmzos25m8ivg.cloudfront.net/Documentos/631/15562804670/6311556280467011092023161739.pdf</v>
      </c>
      <c r="G5780" s="5" t="str">
        <f>HYPERLINK("https://dpmzos25m8ivg.cloudfront.net/Documentos/631/15562804670/6311556280467011092023161725.pdf","https://dpmzos25m8ivg.cloudfront.net/Documentos/631/15562804670/6311556280467011092023161725.pdf")</f>
        <v>https://dpmzos25m8ivg.cloudfront.net/Documentos/631/15562804670/6311556280467011092023161725.pdf</v>
      </c>
      <c r="H5780" s="4" t="s">
        <v>14351</v>
      </c>
    </row>
    <row r="5781" spans="1:8" x14ac:dyDescent="0.25">
      <c r="A5781" s="2" t="s">
        <v>5809</v>
      </c>
      <c r="B5781" s="3"/>
      <c r="C5781" s="3"/>
      <c r="D5781" s="3"/>
      <c r="E5781" s="5" t="str">
        <f>HYPERLINK("https://dpmzos25m8ivg.cloudfront.net/Documentos/631/15566168728/6311556616872810092023212547.pdf","https://dpmzos25m8ivg.cloudfront.net/Documentos/631/15566168728/6311556616872810092023212547.pdf")</f>
        <v>https://dpmzos25m8ivg.cloudfront.net/Documentos/631/15566168728/6311556616872810092023212547.pdf</v>
      </c>
      <c r="F5781" s="5" t="str">
        <f>HYPERLINK("https://dpmzos25m8ivg.cloudfront.net/Documentos/631/15566168728/6311556616872810092023212558.pdf","https://dpmzos25m8ivg.cloudfront.net/Documentos/631/15566168728/6311556616872810092023212558.pdf")</f>
        <v>https://dpmzos25m8ivg.cloudfront.net/Documentos/631/15566168728/6311556616872810092023212558.pdf</v>
      </c>
      <c r="G5781" s="5" t="str">
        <f>HYPERLINK("https://dpmzos25m8ivg.cloudfront.net/Documentos/631/15566168728/6311556616872810092023212605.pdf","https://dpmzos25m8ivg.cloudfront.net/Documentos/631/15566168728/6311556616872810092023212605.pdf")</f>
        <v>https://dpmzos25m8ivg.cloudfront.net/Documentos/631/15566168728/6311556616872810092023212605.pdf</v>
      </c>
      <c r="H5781" s="4" t="s">
        <v>14352</v>
      </c>
    </row>
    <row r="5782" spans="1:8" x14ac:dyDescent="0.25">
      <c r="A5782" s="2" t="s">
        <v>5810</v>
      </c>
      <c r="B5782" s="19" t="s">
        <v>3385</v>
      </c>
      <c r="C5782" s="3"/>
      <c r="D5782" s="3"/>
      <c r="E5782" s="5" t="str">
        <f>HYPERLINK("https://dpmzos25m8ivg.cloudfront.net/Documentos/631/15575710742/6311557571074214092023164124.pdf","https://dpmzos25m8ivg.cloudfront.net/Documentos/631/15575710742/6311557571074214092023164124.pdf")</f>
        <v>https://dpmzos25m8ivg.cloudfront.net/Documentos/631/15575710742/6311557571074214092023164124.pdf</v>
      </c>
      <c r="F5782" s="5" t="str">
        <f>HYPERLINK("https://dpmzos25m8ivg.cloudfront.net/Documentos/631/15575710742/6311557571074214092023164147.pdf","https://dpmzos25m8ivg.cloudfront.net/Documentos/631/15575710742/6311557571074214092023164147.pdf")</f>
        <v>https://dpmzos25m8ivg.cloudfront.net/Documentos/631/15575710742/6311557571074214092023164147.pdf</v>
      </c>
      <c r="G5782" s="5" t="str">
        <f>HYPERLINK("https://dpmzos25m8ivg.cloudfront.net/Documentos/631/15575710742/6311557571074214092023164201.pdf","https://dpmzos25m8ivg.cloudfront.net/Documentos/631/15575710742/6311557571074214092023164201.pdf")</f>
        <v>https://dpmzos25m8ivg.cloudfront.net/Documentos/631/15575710742/6311557571074214092023164201.pdf</v>
      </c>
      <c r="H5782" s="4" t="s">
        <v>14353</v>
      </c>
    </row>
    <row r="5783" spans="1:8" x14ac:dyDescent="0.25">
      <c r="A5783" s="2" t="s">
        <v>5811</v>
      </c>
      <c r="B5783" s="3"/>
      <c r="C5783" s="3"/>
      <c r="D5783" s="3"/>
      <c r="E5783" s="5" t="str">
        <f>HYPERLINK("https://dpmzos25m8ivg.cloudfront.net/Documentos/631/15577879728/6311557787972811092023144343.jpeg","https://dpmzos25m8ivg.cloudfront.net/Documentos/631/15577879728/6311557787972811092023144343.jpeg")</f>
        <v>https://dpmzos25m8ivg.cloudfront.net/Documentos/631/15577879728/6311557787972811092023144343.jpeg</v>
      </c>
      <c r="F5783" s="5" t="str">
        <f>HYPERLINK("https://dpmzos25m8ivg.cloudfront.net/Documentos/631/15577879728/6311557787972811092023144356.jpeg","https://dpmzos25m8ivg.cloudfront.net/Documentos/631/15577879728/6311557787972811092023144356.jpeg")</f>
        <v>https://dpmzos25m8ivg.cloudfront.net/Documentos/631/15577879728/6311557787972811092023144356.jpeg</v>
      </c>
      <c r="G5783" s="5" t="str">
        <f>HYPERLINK("https://dpmzos25m8ivg.cloudfront.net/Documentos/631/15577879728/6311557787972811092023144402.jpeg","https://dpmzos25m8ivg.cloudfront.net/Documentos/631/15577879728/6311557787972811092023144402.jpeg")</f>
        <v>https://dpmzos25m8ivg.cloudfront.net/Documentos/631/15577879728/6311557787972811092023144402.jpeg</v>
      </c>
      <c r="H5783" s="4" t="s">
        <v>14354</v>
      </c>
    </row>
    <row r="5784" spans="1:8" x14ac:dyDescent="0.25">
      <c r="A5784" s="2" t="s">
        <v>5812</v>
      </c>
      <c r="B5784" s="16" t="s">
        <v>2358</v>
      </c>
      <c r="C5784" s="3"/>
      <c r="D5784" s="3"/>
      <c r="E5784" s="5" t="str">
        <f>HYPERLINK("https://dpmzos25m8ivg.cloudfront.net/Documentos/631/15588071603/6311558807160311092023152012.pdf","https://dpmzos25m8ivg.cloudfront.net/Documentos/631/15588071603/6311558807160311092023152012.pdf")</f>
        <v>https://dpmzos25m8ivg.cloudfront.net/Documentos/631/15588071603/6311558807160311092023152012.pdf</v>
      </c>
      <c r="F5784" s="5" t="str">
        <f>HYPERLINK("https://dpmzos25m8ivg.cloudfront.net/Documentos/631/15588071603/6311558807160311092023152022.pdf","https://dpmzos25m8ivg.cloudfront.net/Documentos/631/15588071603/6311558807160311092023152022.pdf")</f>
        <v>https://dpmzos25m8ivg.cloudfront.net/Documentos/631/15588071603/6311558807160311092023152022.pdf</v>
      </c>
      <c r="G5784" s="5" t="str">
        <f>HYPERLINK("https://dpmzos25m8ivg.cloudfront.net/Documentos/631/15588071603/6311558807160311092023152034.pdf","https://dpmzos25m8ivg.cloudfront.net/Documentos/631/15588071603/6311558807160311092023152034.pdf")</f>
        <v>https://dpmzos25m8ivg.cloudfront.net/Documentos/631/15588071603/6311558807160311092023152034.pdf</v>
      </c>
      <c r="H5784" s="5" t="s">
        <v>14355</v>
      </c>
    </row>
    <row r="5785" spans="1:8" x14ac:dyDescent="0.25">
      <c r="A5785" s="2" t="s">
        <v>5813</v>
      </c>
      <c r="B5785" s="3"/>
      <c r="C5785" s="3"/>
      <c r="D5785" s="3"/>
      <c r="E5785" s="5" t="str">
        <f>HYPERLINK("https://dpmzos25m8ivg.cloudfront.net/Documentos/631/15591080618/6311559108061805092023104537.pdf","https://dpmzos25m8ivg.cloudfront.net/Documentos/631/15591080618/6311559108061805092023104537.pdf")</f>
        <v>https://dpmzos25m8ivg.cloudfront.net/Documentos/631/15591080618/6311559108061805092023104537.pdf</v>
      </c>
      <c r="F5785" s="5" t="str">
        <f>HYPERLINK("https://dpmzos25m8ivg.cloudfront.net/Documentos/631/15591080618/6311559108061805092023104545.pdf","https://dpmzos25m8ivg.cloudfront.net/Documentos/631/15591080618/6311559108061805092023104545.pdf")</f>
        <v>https://dpmzos25m8ivg.cloudfront.net/Documentos/631/15591080618/6311559108061805092023104545.pdf</v>
      </c>
      <c r="G5785" s="5" t="str">
        <f>HYPERLINK("https://dpmzos25m8ivg.cloudfront.net/Documentos/631/15591080618/6311559108061805092023104555.pdf","https://dpmzos25m8ivg.cloudfront.net/Documentos/631/15591080618/6311559108061805092023104555.pdf")</f>
        <v>https://dpmzos25m8ivg.cloudfront.net/Documentos/631/15591080618/6311559108061805092023104555.pdf</v>
      </c>
      <c r="H5785" s="4" t="s">
        <v>14356</v>
      </c>
    </row>
    <row r="5786" spans="1:8" x14ac:dyDescent="0.25">
      <c r="A5786" s="2" t="s">
        <v>5814</v>
      </c>
      <c r="B5786" s="16" t="s">
        <v>2358</v>
      </c>
      <c r="C5786" s="3"/>
      <c r="D5786" s="3"/>
      <c r="E5786" s="5" t="str">
        <f>HYPERLINK("https://dpmzos25m8ivg.cloudfront.net/Documentos/631/15592222718/6311559222271809092023235806.pdf","https://dpmzos25m8ivg.cloudfront.net/Documentos/631/15592222718/6311559222271809092023235806.pdf")</f>
        <v>https://dpmzos25m8ivg.cloudfront.net/Documentos/631/15592222718/6311559222271809092023235806.pdf</v>
      </c>
      <c r="F5786" s="5" t="str">
        <f>HYPERLINK("https://dpmzos25m8ivg.cloudfront.net/Documentos/631/15592222718/6311559222271810092023000515.pdf","https://dpmzos25m8ivg.cloudfront.net/Documentos/631/15592222718/6311559222271810092023000515.pdf")</f>
        <v>https://dpmzos25m8ivg.cloudfront.net/Documentos/631/15592222718/6311559222271810092023000515.pdf</v>
      </c>
      <c r="G5786" s="5" t="str">
        <f>HYPERLINK("https://dpmzos25m8ivg.cloudfront.net/Documentos/631/15592222718/6311559222271811092023140506.jpeg","https://dpmzos25m8ivg.cloudfront.net/Documentos/631/15592222718/6311559222271811092023140506.jpeg")</f>
        <v>https://dpmzos25m8ivg.cloudfront.net/Documentos/631/15592222718/6311559222271811092023140506.jpeg</v>
      </c>
      <c r="H5786" s="5" t="s">
        <v>14357</v>
      </c>
    </row>
    <row r="5787" spans="1:8" x14ac:dyDescent="0.25">
      <c r="A5787" s="2" t="s">
        <v>5815</v>
      </c>
      <c r="B5787" s="3"/>
      <c r="C5787" s="3"/>
      <c r="D5787" s="3"/>
      <c r="E5787" s="5" t="str">
        <f>HYPERLINK("https://dpmzos25m8ivg.cloudfront.net/Documentos/631/15604222623/6311560422262310092023234104.pdf","https://dpmzos25m8ivg.cloudfront.net/Documentos/631/15604222623/6311560422262310092023234104.pdf")</f>
        <v>https://dpmzos25m8ivg.cloudfront.net/Documentos/631/15604222623/6311560422262310092023234104.pdf</v>
      </c>
      <c r="F5787" s="5" t="str">
        <f>HYPERLINK("https://dpmzos25m8ivg.cloudfront.net/Documentos/631/15604222623/6311560422262310092023234130.pdf","https://dpmzos25m8ivg.cloudfront.net/Documentos/631/15604222623/6311560422262310092023234130.pdf")</f>
        <v>https://dpmzos25m8ivg.cloudfront.net/Documentos/631/15604222623/6311560422262310092023234130.pdf</v>
      </c>
      <c r="G5787" s="5" t="str">
        <f>HYPERLINK("https://dpmzos25m8ivg.cloudfront.net/Documentos/631/15604222623/6311560422262310092023234201.pdf","https://dpmzos25m8ivg.cloudfront.net/Documentos/631/15604222623/6311560422262310092023234201.pdf")</f>
        <v>https://dpmzos25m8ivg.cloudfront.net/Documentos/631/15604222623/6311560422262310092023234201.pdf</v>
      </c>
      <c r="H5787" s="4" t="s">
        <v>14358</v>
      </c>
    </row>
    <row r="5788" spans="1:8" x14ac:dyDescent="0.25">
      <c r="A5788" s="2" t="s">
        <v>5816</v>
      </c>
      <c r="B5788" s="3"/>
      <c r="C5788" s="3"/>
      <c r="D5788" s="3"/>
      <c r="E5788" s="5" t="str">
        <f>HYPERLINK("https://dpmzos25m8ivg.cloudfront.net/Documentos/631/15606952777/6311560695277706092023122620.jpg","https://dpmzos25m8ivg.cloudfront.net/Documentos/631/15606952777/6311560695277706092023122620.jpg")</f>
        <v>https://dpmzos25m8ivg.cloudfront.net/Documentos/631/15606952777/6311560695277706092023122620.jpg</v>
      </c>
      <c r="F5788" s="5" t="str">
        <f>HYPERLINK("https://dpmzos25m8ivg.cloudfront.net/Documentos/631/15606952777/6311560695277706092023115508.jpg","https://dpmzos25m8ivg.cloudfront.net/Documentos/631/15606952777/6311560695277706092023115508.jpg")</f>
        <v>https://dpmzos25m8ivg.cloudfront.net/Documentos/631/15606952777/6311560695277706092023115508.jpg</v>
      </c>
      <c r="G5788" s="5" t="str">
        <f>HYPERLINK("https://dpmzos25m8ivg.cloudfront.net/Documentos/631/15606952777/6311560695277706092023115608.jpg","https://dpmzos25m8ivg.cloudfront.net/Documentos/631/15606952777/6311560695277706092023115608.jpg")</f>
        <v>https://dpmzos25m8ivg.cloudfront.net/Documentos/631/15606952777/6311560695277706092023115608.jpg</v>
      </c>
      <c r="H5788" s="4" t="s">
        <v>14359</v>
      </c>
    </row>
    <row r="5789" spans="1:8" x14ac:dyDescent="0.25">
      <c r="A5789" s="2" t="s">
        <v>5817</v>
      </c>
      <c r="B5789" s="19" t="s">
        <v>3385</v>
      </c>
      <c r="C5789" s="3"/>
      <c r="D5789" s="3"/>
      <c r="E5789" s="5" t="str">
        <f>HYPERLINK("https://dpmzos25m8ivg.cloudfront.net/Documentos/631/15612987609/6311561298760906092023114829.pdf","https://dpmzos25m8ivg.cloudfront.net/Documentos/631/15612987609/6311561298760906092023114829.pdf")</f>
        <v>https://dpmzos25m8ivg.cloudfront.net/Documentos/631/15612987609/6311561298760906092023114829.pdf</v>
      </c>
      <c r="F5789" s="5" t="str">
        <f>HYPERLINK("https://dpmzos25m8ivg.cloudfront.net/Documentos/631/15612987609/6311561298760906092023115054.pdf","https://dpmzos25m8ivg.cloudfront.net/Documentos/631/15612987609/6311561298760906092023115054.pdf")</f>
        <v>https://dpmzos25m8ivg.cloudfront.net/Documentos/631/15612987609/6311561298760906092023115054.pdf</v>
      </c>
      <c r="G5789" s="5" t="str">
        <f>HYPERLINK("https://dpmzos25m8ivg.cloudfront.net/Documentos/631/15612987609/6311561298760906092023115132.pdf","https://dpmzos25m8ivg.cloudfront.net/Documentos/631/15612987609/6311561298760906092023115132.pdf")</f>
        <v>https://dpmzos25m8ivg.cloudfront.net/Documentos/631/15612987609/6311561298760906092023115132.pdf</v>
      </c>
      <c r="H5789" s="4" t="s">
        <v>14360</v>
      </c>
    </row>
    <row r="5790" spans="1:8" x14ac:dyDescent="0.25">
      <c r="A5790" s="2" t="s">
        <v>5818</v>
      </c>
      <c r="B5790" s="3"/>
      <c r="C5790" s="3"/>
      <c r="D5790" s="3"/>
      <c r="E5790" s="5" t="str">
        <f>HYPERLINK("https://dpmzos25m8ivg.cloudfront.net/Documentos/631/15623248705/6311562324870511092023095146.jpg","https://dpmzos25m8ivg.cloudfront.net/Documentos/631/15623248705/6311562324870511092023095146.jpg")</f>
        <v>https://dpmzos25m8ivg.cloudfront.net/Documentos/631/15623248705/6311562324870511092023095146.jpg</v>
      </c>
      <c r="F5790" s="5" t="str">
        <f>HYPERLINK("https://dpmzos25m8ivg.cloudfront.net/Documentos/631/15623248705/AS48396311562324870511092023095202.jpg","https://dpmzos25m8ivg.cloudfront.net/Documentos/631/15623248705/6311562324870511092023095202.jpg")</f>
        <v>https://dpmzos25m8ivg.cloudfront.net/Documentos/631/15623248705/6311562324870511092023095202.jpg</v>
      </c>
      <c r="G5790" s="5" t="str">
        <f>HYPERLINK("https://dpmzos25m8ivg.cloudfront.net/Documentos/631/15623248705/6311562324870511092023095210.jpg","https://dpmzos25m8ivg.cloudfront.net/Documentos/631/15623248705/6311562324870511092023095210.jpg")</f>
        <v>https://dpmzos25m8ivg.cloudfront.net/Documentos/631/15623248705/6311562324870511092023095210.jpg</v>
      </c>
      <c r="H5790" s="4" t="s">
        <v>14361</v>
      </c>
    </row>
    <row r="5791" spans="1:8" x14ac:dyDescent="0.25">
      <c r="A5791" s="2" t="s">
        <v>5819</v>
      </c>
      <c r="B5791" s="3"/>
      <c r="C5791" s="3"/>
      <c r="D5791" s="3"/>
      <c r="E5791" s="5" t="str">
        <f>HYPERLINK("https://dpmzos25m8ivg.cloudfront.net/Documentos/631/15624160739/6311562416073905092023181837.pdf","https://dpmzos25m8ivg.cloudfront.net/Documentos/631/15624160739/6311562416073905092023181837.pdf")</f>
        <v>https://dpmzos25m8ivg.cloudfront.net/Documentos/631/15624160739/6311562416073905092023181837.pdf</v>
      </c>
      <c r="F5791" s="5" t="str">
        <f>HYPERLINK("https://dpmzos25m8ivg.cloudfront.net/Documentos/631/15624160739/6311562416073905092023181848.pdf","https://dpmzos25m8ivg.cloudfront.net/Documentos/631/15624160739/6311562416073905092023181848.pdf")</f>
        <v>https://dpmzos25m8ivg.cloudfront.net/Documentos/631/15624160739/6311562416073905092023181848.pdf</v>
      </c>
      <c r="G5791" s="5" t="str">
        <f>HYPERLINK("https://dpmzos25m8ivg.cloudfront.net/Documentos/631/15624160739/6311562416073905092023181857.pdf","https://dpmzos25m8ivg.cloudfront.net/Documentos/631/15624160739/6311562416073905092023181857.pdf")</f>
        <v>https://dpmzos25m8ivg.cloudfront.net/Documentos/631/15624160739/6311562416073905092023181857.pdf</v>
      </c>
      <c r="H5791" s="4" t="s">
        <v>14362</v>
      </c>
    </row>
    <row r="5792" spans="1:8" x14ac:dyDescent="0.25">
      <c r="A5792" s="2" t="s">
        <v>5820</v>
      </c>
      <c r="B5792" s="16" t="s">
        <v>2358</v>
      </c>
      <c r="C5792" s="3"/>
      <c r="D5792" s="3"/>
      <c r="E5792" s="5" t="str">
        <f>HYPERLINK("https://dpmzos25m8ivg.cloudfront.net/Documentos/631/15629506811/6311562950681109092023125042.jpg","https://dpmzos25m8ivg.cloudfront.net/Documentos/631/15629506811/6311562950681109092023125042.jpg")</f>
        <v>https://dpmzos25m8ivg.cloudfront.net/Documentos/631/15629506811/6311562950681109092023125042.jpg</v>
      </c>
      <c r="F5792" s="5" t="str">
        <f>HYPERLINK("https://dpmzos25m8ivg.cloudfront.net/Documentos/631/15629506811/6311562950681109092023144416.jpg","https://dpmzos25m8ivg.cloudfront.net/Documentos/631/15629506811/6311562950681109092023144416.jpg")</f>
        <v>https://dpmzos25m8ivg.cloudfront.net/Documentos/631/15629506811/6311562950681109092023144416.jpg</v>
      </c>
      <c r="G5792" s="5" t="str">
        <f>HYPERLINK("https://dpmzos25m8ivg.cloudfront.net/Documentos/631/15629506811/6311562950681109092023144444.jpg","https://dpmzos25m8ivg.cloudfront.net/Documentos/631/15629506811/6311562950681109092023144444.jpg")</f>
        <v>https://dpmzos25m8ivg.cloudfront.net/Documentos/631/15629506811/6311562950681109092023144444.jpg</v>
      </c>
      <c r="H5792" s="5" t="s">
        <v>14363</v>
      </c>
    </row>
    <row r="5793" spans="1:8" x14ac:dyDescent="0.25">
      <c r="A5793" s="2" t="s">
        <v>5821</v>
      </c>
      <c r="B5793" s="16" t="s">
        <v>2358</v>
      </c>
      <c r="C5793" s="3"/>
      <c r="D5793" s="3"/>
      <c r="E5793" s="5" t="str">
        <f>HYPERLINK("https://dpmzos25m8ivg.cloudfront.net/Documentos/631/15645232763/6311564523276308092023113909.jpg","https://dpmzos25m8ivg.cloudfront.net/Documentos/631/15645232763/6311564523276308092023113909.jpg")</f>
        <v>https://dpmzos25m8ivg.cloudfront.net/Documentos/631/15645232763/6311564523276308092023113909.jpg</v>
      </c>
      <c r="F5793" s="5" t="str">
        <f>HYPERLINK("https://dpmzos25m8ivg.cloudfront.net/Documentos/631/15645232763/6311564523276308092023113918.jpg","https://dpmzos25m8ivg.cloudfront.net/Documentos/631/15645232763/6311564523276308092023113918.jpg")</f>
        <v>https://dpmzos25m8ivg.cloudfront.net/Documentos/631/15645232763/6311564523276308092023113918.jpg</v>
      </c>
      <c r="G5793" s="5" t="str">
        <f>HYPERLINK("https://dpmzos25m8ivg.cloudfront.net/Documentos/631/15645232763/6311564523276308092023113926.jpg","https://dpmzos25m8ivg.cloudfront.net/Documentos/631/15645232763/6311564523276308092023113926.jpg")</f>
        <v>https://dpmzos25m8ivg.cloudfront.net/Documentos/631/15645232763/6311564523276308092023113926.jpg</v>
      </c>
      <c r="H5793" s="5" t="s">
        <v>14364</v>
      </c>
    </row>
    <row r="5794" spans="1:8" x14ac:dyDescent="0.25">
      <c r="A5794" s="2" t="s">
        <v>5822</v>
      </c>
      <c r="B5794" s="3"/>
      <c r="C5794" s="3"/>
      <c r="D5794" s="3"/>
      <c r="E5794" s="5" t="str">
        <f>HYPERLINK("https://dpmzos25m8ivg.cloudfront.net/Documentos/631/15658835607/6311565883560708092023105216.pdf","https://dpmzos25m8ivg.cloudfront.net/Documentos/631/15658835607/6311565883560708092023105216.pdf")</f>
        <v>https://dpmzos25m8ivg.cloudfront.net/Documentos/631/15658835607/6311565883560708092023105216.pdf</v>
      </c>
      <c r="F5794" s="5" t="str">
        <f>HYPERLINK("https://dpmzos25m8ivg.cloudfront.net/Documentos/631/15658835607/6311565883560708092023105227.pdf","https://dpmzos25m8ivg.cloudfront.net/Documentos/631/15658835607/6311565883560708092023105227.pdf")</f>
        <v>https://dpmzos25m8ivg.cloudfront.net/Documentos/631/15658835607/6311565883560708092023105227.pdf</v>
      </c>
      <c r="G5794" s="5" t="str">
        <f>HYPERLINK("https://dpmzos25m8ivg.cloudfront.net/Documentos/631/15658835607/6311565883560708092023105156.pdf","https://dpmzos25m8ivg.cloudfront.net/Documentos/631/15658835607/6311565883560708092023105156.pdf")</f>
        <v>https://dpmzos25m8ivg.cloudfront.net/Documentos/631/15658835607/6311565883560708092023105156.pdf</v>
      </c>
      <c r="H5794" s="4" t="s">
        <v>14365</v>
      </c>
    </row>
    <row r="5795" spans="1:8" x14ac:dyDescent="0.25">
      <c r="A5795" s="2" t="s">
        <v>5823</v>
      </c>
      <c r="B5795" s="3" t="s">
        <v>308</v>
      </c>
      <c r="C5795" s="3"/>
      <c r="D5795" s="3"/>
      <c r="E5795" s="5" t="str">
        <f>HYPERLINK("https://dpmzos25m8ivg.cloudfront.net/Documentos/631/15660183743/6311566018374305092023085602.pdf","https://dpmzos25m8ivg.cloudfront.net/Documentos/631/15660183743/6311566018374305092023085602.pdf")</f>
        <v>https://dpmzos25m8ivg.cloudfront.net/Documentos/631/15660183743/6311566018374305092023085602.pdf</v>
      </c>
      <c r="F5795" s="5" t="str">
        <f>HYPERLINK("https://dpmzos25m8ivg.cloudfront.net/Documentos/631/15660183743/6311566018374305092023085611.pdf","https://dpmzos25m8ivg.cloudfront.net/Documentos/631/15660183743/6311566018374305092023085611.pdf")</f>
        <v>https://dpmzos25m8ivg.cloudfront.net/Documentos/631/15660183743/6311566018374305092023085611.pdf</v>
      </c>
      <c r="G5795" s="5" t="str">
        <f>HYPERLINK("https://dpmzos25m8ivg.cloudfront.net/Documentos/631/15660183743/6311566018374305092023085619.pdf","https://dpmzos25m8ivg.cloudfront.net/Documentos/631/15660183743/6311566018374305092023085619.pdf")</f>
        <v>https://dpmzos25m8ivg.cloudfront.net/Documentos/631/15660183743/6311566018374305092023085619.pdf</v>
      </c>
      <c r="H5795" s="4" t="s">
        <v>14366</v>
      </c>
    </row>
    <row r="5796" spans="1:8" x14ac:dyDescent="0.25">
      <c r="A5796" s="2" t="s">
        <v>5824</v>
      </c>
      <c r="B5796" s="3"/>
      <c r="C5796" s="3"/>
      <c r="D5796" s="3"/>
      <c r="E5796" s="5" t="str">
        <f>HYPERLINK("https://dpmzos25m8ivg.cloudfront.net/Documentos/631/15661314809/6311566131480911092023140920.pdf","https://dpmzos25m8ivg.cloudfront.net/Documentos/631/15661314809/6311566131480911092023140920.pdf")</f>
        <v>https://dpmzos25m8ivg.cloudfront.net/Documentos/631/15661314809/6311566131480911092023140920.pdf</v>
      </c>
      <c r="F5796" s="5" t="str">
        <f>HYPERLINK("https://dpmzos25m8ivg.cloudfront.net/Documentos/631/15661314809/6311566131480911092023140930.pdf","https://dpmzos25m8ivg.cloudfront.net/Documentos/631/15661314809/6311566131480911092023140930.pdf")</f>
        <v>https://dpmzos25m8ivg.cloudfront.net/Documentos/631/15661314809/6311566131480911092023140930.pdf</v>
      </c>
      <c r="G5796" s="5" t="str">
        <f>HYPERLINK("https://dpmzos25m8ivg.cloudfront.net/Documentos/631/15661314809/6311566131480911092023140945.pdf","https://dpmzos25m8ivg.cloudfront.net/Documentos/631/15661314809/6311566131480911092023140945.pdf")</f>
        <v>https://dpmzos25m8ivg.cloudfront.net/Documentos/631/15661314809/6311566131480911092023140945.pdf</v>
      </c>
      <c r="H5796" s="4" t="s">
        <v>14367</v>
      </c>
    </row>
    <row r="5797" spans="1:8" x14ac:dyDescent="0.25">
      <c r="A5797" s="2" t="s">
        <v>5825</v>
      </c>
      <c r="B5797" s="3"/>
      <c r="C5797" s="3"/>
      <c r="D5797" s="3"/>
      <c r="E5797" s="5" t="str">
        <f>HYPERLINK("https://dpmzos25m8ivg.cloudfront.net/Documentos/631/15670859707/6311567085970709092023171142.pdf","https://dpmzos25m8ivg.cloudfront.net/Documentos/631/15670859707/6311567085970709092023171142.pdf")</f>
        <v>https://dpmzos25m8ivg.cloudfront.net/Documentos/631/15670859707/6311567085970709092023171142.pdf</v>
      </c>
      <c r="F5797" s="5" t="str">
        <f>HYPERLINK("https://dpmzos25m8ivg.cloudfront.net/Documentos/631/15670859707/6311567085970709092023171217.pdf","https://dpmzos25m8ivg.cloudfront.net/Documentos/631/15670859707/6311567085970709092023171217.pdf")</f>
        <v>https://dpmzos25m8ivg.cloudfront.net/Documentos/631/15670859707/6311567085970709092023171217.pdf</v>
      </c>
      <c r="G5797" s="5" t="str">
        <f>HYPERLINK("https://dpmzos25m8ivg.cloudfront.net/Documentos/631/15670859707/6311567085970709092023171231.pdf","https://dpmzos25m8ivg.cloudfront.net/Documentos/631/15670859707/6311567085970709092023171231.pdf")</f>
        <v>https://dpmzos25m8ivg.cloudfront.net/Documentos/631/15670859707/6311567085970709092023171231.pdf</v>
      </c>
      <c r="H5797" s="4" t="s">
        <v>14368</v>
      </c>
    </row>
    <row r="5798" spans="1:8" x14ac:dyDescent="0.25">
      <c r="A5798" s="2" t="s">
        <v>5826</v>
      </c>
      <c r="B5798" s="3"/>
      <c r="C5798" s="3"/>
      <c r="D5798" s="3"/>
      <c r="E5798" s="5" t="str">
        <f>HYPERLINK("https://dpmzos25m8ivg.cloudfront.net/Documentos/631/15688096705/6311568809670506092023111202.jpg","https://dpmzos25m8ivg.cloudfront.net/Documentos/631/15688096705/6311568809670506092023111202.jpg")</f>
        <v>https://dpmzos25m8ivg.cloudfront.net/Documentos/631/15688096705/6311568809670506092023111202.jpg</v>
      </c>
      <c r="F5798" s="5" t="str">
        <f>HYPERLINK("https://dpmzos25m8ivg.cloudfront.net/Documentos/631/15688096705/6311568809670506092023111220.jpg","https://dpmzos25m8ivg.cloudfront.net/Documentos/631/15688096705/6311568809670506092023111220.jpg")</f>
        <v>https://dpmzos25m8ivg.cloudfront.net/Documentos/631/15688096705/6311568809670506092023111220.jpg</v>
      </c>
      <c r="G5798" s="5" t="str">
        <f>HYPERLINK("https://dpmzos25m8ivg.cloudfront.net/Documentos/631/15688096705/6311568809670506092023111341.jpg","https://dpmzos25m8ivg.cloudfront.net/Documentos/631/15688096705/6311568809670506092023111341.jpg")</f>
        <v>https://dpmzos25m8ivg.cloudfront.net/Documentos/631/15688096705/6311568809670506092023111341.jpg</v>
      </c>
      <c r="H5798" s="4" t="s">
        <v>14369</v>
      </c>
    </row>
    <row r="5799" spans="1:8" x14ac:dyDescent="0.25">
      <c r="A5799" s="2" t="s">
        <v>5827</v>
      </c>
      <c r="B5799" s="3"/>
      <c r="C5799" s="3"/>
      <c r="D5799" s="3"/>
      <c r="E5799" s="5" t="str">
        <f>HYPERLINK("https://dpmzos25m8ivg.cloudfront.net/Documentos/631/15697972776/6311569797277607092023173450.jpg","https://dpmzos25m8ivg.cloudfront.net/Documentos/631/15697972776/6311569797277607092023173450.jpg")</f>
        <v>https://dpmzos25m8ivg.cloudfront.net/Documentos/631/15697972776/6311569797277607092023173450.jpg</v>
      </c>
      <c r="F5799" s="5" t="str">
        <f>HYPERLINK("https://dpmzos25m8ivg.cloudfront.net/Documentos/631/15697972776/6311569797277607092023173507.jpg","https://dpmzos25m8ivg.cloudfront.net/Documentos/631/15697972776/6311569797277607092023173507.jpg")</f>
        <v>https://dpmzos25m8ivg.cloudfront.net/Documentos/631/15697972776/6311569797277607092023173507.jpg</v>
      </c>
      <c r="G5799" s="5" t="str">
        <f>HYPERLINK("https://dpmzos25m8ivg.cloudfront.net/Documentos/631/15697972776/6311569797277607092023173522.jpg","https://dpmzos25m8ivg.cloudfront.net/Documentos/631/15697972776/6311569797277607092023173522.jpg")</f>
        <v>https://dpmzos25m8ivg.cloudfront.net/Documentos/631/15697972776/6311569797277607092023173522.jpg</v>
      </c>
      <c r="H5799" s="4" t="s">
        <v>14370</v>
      </c>
    </row>
    <row r="5800" spans="1:8" x14ac:dyDescent="0.25">
      <c r="A5800" s="2" t="s">
        <v>5828</v>
      </c>
      <c r="B5800" s="3"/>
      <c r="C5800" s="3"/>
      <c r="D5800" s="3"/>
      <c r="E5800" s="5" t="str">
        <f>HYPERLINK("https://dpmzos25m8ivg.cloudfront.net/Documentos/631/15711944797/6311571194479711092023102713.jpg","https://dpmzos25m8ivg.cloudfront.net/Documentos/631/15711944797/6311571194479711092023102713.jpg")</f>
        <v>https://dpmzos25m8ivg.cloudfront.net/Documentos/631/15711944797/6311571194479711092023102713.jpg</v>
      </c>
      <c r="F5800" s="5" t="str">
        <f>HYPERLINK("https://dpmzos25m8ivg.cloudfront.net/Documentos/631/15711944797/6311571194479711092023102722.jpg","https://dpmzos25m8ivg.cloudfront.net/Documentos/631/15711944797/6311571194479711092023102722.jpg")</f>
        <v>https://dpmzos25m8ivg.cloudfront.net/Documentos/631/15711944797/6311571194479711092023102722.jpg</v>
      </c>
      <c r="G5800" s="5" t="str">
        <f>HYPERLINK("https://dpmzos25m8ivg.cloudfront.net/Documentos/631/15711944797/6311571194479711092023102734.jpg","https://dpmzos25m8ivg.cloudfront.net/Documentos/631/15711944797/6311571194479711092023102734.jpg")</f>
        <v>https://dpmzos25m8ivg.cloudfront.net/Documentos/631/15711944797/6311571194479711092023102734.jpg</v>
      </c>
      <c r="H5800" s="4" t="s">
        <v>14371</v>
      </c>
    </row>
    <row r="5801" spans="1:8" x14ac:dyDescent="0.25">
      <c r="A5801" s="2" t="s">
        <v>5829</v>
      </c>
      <c r="B5801" s="3"/>
      <c r="C5801" s="3"/>
      <c r="D5801" s="3"/>
      <c r="E5801" s="5" t="str">
        <f>HYPERLINK("https://dpmzos25m8ivg.cloudfront.net/Documentos/631/15716498752/6311571649875211092023141753.pdf","https://dpmzos25m8ivg.cloudfront.net/Documentos/631/15716498752/6311571649875211092023141753.pdf")</f>
        <v>https://dpmzos25m8ivg.cloudfront.net/Documentos/631/15716498752/6311571649875211092023141753.pdf</v>
      </c>
      <c r="F5801" s="5" t="str">
        <f>HYPERLINK("https://dpmzos25m8ivg.cloudfront.net/Documentos/631/15716498752/6311571649875211092023141759.pdf","https://dpmzos25m8ivg.cloudfront.net/Documentos/631/15716498752/6311571649875211092023141759.pdf")</f>
        <v>https://dpmzos25m8ivg.cloudfront.net/Documentos/631/15716498752/6311571649875211092023141759.pdf</v>
      </c>
      <c r="G5801" s="5" t="str">
        <f>HYPERLINK("https://dpmzos25m8ivg.cloudfront.net/Documentos/631/15716498752/6311571649875211092023141808.pdf","https://dpmzos25m8ivg.cloudfront.net/Documentos/631/15716498752/6311571649875211092023141808.pdf")</f>
        <v>https://dpmzos25m8ivg.cloudfront.net/Documentos/631/15716498752/6311571649875211092023141808.pdf</v>
      </c>
      <c r="H5801" s="4" t="s">
        <v>14372</v>
      </c>
    </row>
    <row r="5802" spans="1:8" x14ac:dyDescent="0.25">
      <c r="A5802" s="2" t="s">
        <v>5830</v>
      </c>
      <c r="B5802" s="3"/>
      <c r="C5802" s="3"/>
      <c r="D5802" s="3"/>
      <c r="E5802" s="5" t="str">
        <f>HYPERLINK("https://dpmzos25m8ivg.cloudfront.net/Documentos/631/15717965761/6311571796576111092023121504.pdf","https://dpmzos25m8ivg.cloudfront.net/Documentos/631/15717965761/6311571796576111092023121504.pdf")</f>
        <v>https://dpmzos25m8ivg.cloudfront.net/Documentos/631/15717965761/6311571796576111092023121504.pdf</v>
      </c>
      <c r="F5802" s="5" t="str">
        <f>HYPERLINK("https://dpmzos25m8ivg.cloudfront.net/Documentos/631/15717965761/6311571796576111092023121516.pdf","https://dpmzos25m8ivg.cloudfront.net/Documentos/631/15717965761/6311571796576111092023121516.pdf")</f>
        <v>https://dpmzos25m8ivg.cloudfront.net/Documentos/631/15717965761/6311571796576111092023121516.pdf</v>
      </c>
      <c r="G5802" s="5" t="str">
        <f>HYPERLINK("https://dpmzos25m8ivg.cloudfront.net/Documentos/631/15717965761/6311571796576111092023121526.pdf","https://dpmzos25m8ivg.cloudfront.net/Documentos/631/15717965761/6311571796576111092023121526.pdf")</f>
        <v>https://dpmzos25m8ivg.cloudfront.net/Documentos/631/15717965761/6311571796576111092023121526.pdf</v>
      </c>
      <c r="H5802" s="4" t="s">
        <v>14373</v>
      </c>
    </row>
    <row r="5803" spans="1:8" x14ac:dyDescent="0.25">
      <c r="A5803" s="2" t="s">
        <v>5831</v>
      </c>
      <c r="B5803" s="3"/>
      <c r="C5803" s="3"/>
      <c r="D5803" s="3"/>
      <c r="E5803" s="5" t="str">
        <f>HYPERLINK("https://dpmzos25m8ivg.cloudfront.net/Documentos/631/15723473689/6311572347368908092023113510.pdf","https://dpmzos25m8ivg.cloudfront.net/Documentos/631/15723473689/6311572347368908092023113510.pdf")</f>
        <v>https://dpmzos25m8ivg.cloudfront.net/Documentos/631/15723473689/6311572347368908092023113510.pdf</v>
      </c>
      <c r="F5803" s="5" t="str">
        <f>HYPERLINK("https://dpmzos25m8ivg.cloudfront.net/Documentos/631/15723473689/6311572347368908092023113551.pdf","https://dpmzos25m8ivg.cloudfront.net/Documentos/631/15723473689/6311572347368908092023113551.pdf")</f>
        <v>https://dpmzos25m8ivg.cloudfront.net/Documentos/631/15723473689/6311572347368908092023113551.pdf</v>
      </c>
      <c r="G5803" s="5" t="str">
        <f>HYPERLINK("https://dpmzos25m8ivg.cloudfront.net/Documentos/631/15723473689/6311572347368908092023113613.pdf","https://dpmzos25m8ivg.cloudfront.net/Documentos/631/15723473689/6311572347368908092023113613.pdf")</f>
        <v>https://dpmzos25m8ivg.cloudfront.net/Documentos/631/15723473689/6311572347368908092023113613.pdf</v>
      </c>
      <c r="H5803" s="4" t="s">
        <v>14374</v>
      </c>
    </row>
    <row r="5804" spans="1:8" x14ac:dyDescent="0.25">
      <c r="A5804" s="2" t="s">
        <v>5832</v>
      </c>
      <c r="B5804" s="3"/>
      <c r="C5804" s="3"/>
      <c r="D5804" s="3"/>
      <c r="E5804" s="5" t="str">
        <f>HYPERLINK("https://dpmzos25m8ivg.cloudfront.net/Documentos/631/15725350754/6311572535075406092023125205.pdf","https://dpmzos25m8ivg.cloudfront.net/Documentos/631/15725350754/6311572535075406092023125205.pdf")</f>
        <v>https://dpmzos25m8ivg.cloudfront.net/Documentos/631/15725350754/6311572535075406092023125205.pdf</v>
      </c>
      <c r="F5804" s="5" t="str">
        <f>HYPERLINK("https://dpmzos25m8ivg.cloudfront.net/Documentos/631/15725350754/6311572535075406092023125216.pdf","https://dpmzos25m8ivg.cloudfront.net/Documentos/631/15725350754/6311572535075406092023125216.pdf")</f>
        <v>https://dpmzos25m8ivg.cloudfront.net/Documentos/631/15725350754/6311572535075406092023125216.pdf</v>
      </c>
      <c r="G5804" s="5" t="str">
        <f>HYPERLINK("https://dpmzos25m8ivg.cloudfront.net/Documentos/631/15725350754/6311572535075406092023125223.pdf","https://dpmzos25m8ivg.cloudfront.net/Documentos/631/15725350754/6311572535075406092023125223.pdf")</f>
        <v>https://dpmzos25m8ivg.cloudfront.net/Documentos/631/15725350754/6311572535075406092023125223.pdf</v>
      </c>
      <c r="H5804" s="4" t="s">
        <v>14375</v>
      </c>
    </row>
    <row r="5805" spans="1:8" x14ac:dyDescent="0.25">
      <c r="A5805" s="2" t="s">
        <v>5833</v>
      </c>
      <c r="B5805" s="3" t="s">
        <v>308</v>
      </c>
      <c r="C5805" s="3"/>
      <c r="D5805" s="3"/>
      <c r="E5805" s="5" t="str">
        <f>HYPERLINK("https://dpmzos25m8ivg.cloudfront.net/Documentos/631/15730057709/6311573005770911092023164955.pdf","https://dpmzos25m8ivg.cloudfront.net/Documentos/631/15730057709/6311573005770911092023164955.pdf")</f>
        <v>https://dpmzos25m8ivg.cloudfront.net/Documentos/631/15730057709/6311573005770911092023164955.pdf</v>
      </c>
      <c r="F5805" s="5" t="str">
        <f>HYPERLINK("https://dpmzos25m8ivg.cloudfront.net/Documentos/631/15730057709/6311573005770911092023165004.pdf","https://dpmzos25m8ivg.cloudfront.net/Documentos/631/15730057709/6311573005770911092023165004.pdf")</f>
        <v>https://dpmzos25m8ivg.cloudfront.net/Documentos/631/15730057709/6311573005770911092023165004.pdf</v>
      </c>
      <c r="G5805" s="5" t="str">
        <f>HYPERLINK("https://dpmzos25m8ivg.cloudfront.net/Documentos/631/15730057709/6311573005770911092023165012.pdf","https://dpmzos25m8ivg.cloudfront.net/Documentos/631/15730057709/6311573005770911092023165012.pdf")</f>
        <v>https://dpmzos25m8ivg.cloudfront.net/Documentos/631/15730057709/6311573005770911092023165012.pdf</v>
      </c>
      <c r="H5805" s="4" t="s">
        <v>14376</v>
      </c>
    </row>
    <row r="5806" spans="1:8" x14ac:dyDescent="0.25">
      <c r="A5806" s="2" t="s">
        <v>5834</v>
      </c>
      <c r="B5806" s="3" t="s">
        <v>308</v>
      </c>
      <c r="C5806" s="3"/>
      <c r="D5806" s="3"/>
      <c r="E5806" s="5" t="str">
        <f>HYPERLINK("https://dpmzos25m8ivg.cloudfront.net/Documentos/631/15753138632/6311575313863205092023172409.pdf","https://dpmzos25m8ivg.cloudfront.net/Documentos/631/15753138632/6311575313863205092023172409.pdf")</f>
        <v>https://dpmzos25m8ivg.cloudfront.net/Documentos/631/15753138632/6311575313863205092023172409.pdf</v>
      </c>
      <c r="F5806" s="5" t="str">
        <f>HYPERLINK("https://dpmzos25m8ivg.cloudfront.net/Documentos/631/15753138632/6311575313863205092023172358.pdf","https://dpmzos25m8ivg.cloudfront.net/Documentos/631/15753138632/6311575313863205092023172358.pdf")</f>
        <v>https://dpmzos25m8ivg.cloudfront.net/Documentos/631/15753138632/6311575313863205092023172358.pdf</v>
      </c>
      <c r="G5806" s="5" t="str">
        <f>HYPERLINK("https://dpmzos25m8ivg.cloudfront.net/Documentos/631/15753138632/6311575313863205092023172346.pdf","https://dpmzos25m8ivg.cloudfront.net/Documentos/631/15753138632/6311575313863205092023172346.pdf")</f>
        <v>https://dpmzos25m8ivg.cloudfront.net/Documentos/631/15753138632/6311575313863205092023172346.pdf</v>
      </c>
      <c r="H5806" s="4" t="s">
        <v>14377</v>
      </c>
    </row>
    <row r="5807" spans="1:8" x14ac:dyDescent="0.25">
      <c r="A5807" s="2" t="s">
        <v>5835</v>
      </c>
      <c r="B5807" s="16" t="s">
        <v>2358</v>
      </c>
      <c r="C5807" s="3"/>
      <c r="D5807" s="3"/>
      <c r="E5807" s="5" t="str">
        <f>HYPERLINK("https://dpmzos25m8ivg.cloudfront.net/Documentos/631/15754808755/6311575480875506092023130841.jpg","https://dpmzos25m8ivg.cloudfront.net/Documentos/631/15754808755/6311575480875506092023130841.jpg")</f>
        <v>https://dpmzos25m8ivg.cloudfront.net/Documentos/631/15754808755/6311575480875506092023130841.jpg</v>
      </c>
      <c r="F5807" s="5" t="str">
        <f>HYPERLINK("https://dpmzos25m8ivg.cloudfront.net/Documentos/631/15754808755/6311575480875506092023130850.jpg","https://dpmzos25m8ivg.cloudfront.net/Documentos/631/15754808755/6311575480875506092023130850.jpg")</f>
        <v>https://dpmzos25m8ivg.cloudfront.net/Documentos/631/15754808755/6311575480875506092023130850.jpg</v>
      </c>
      <c r="G5807" s="5" t="str">
        <f>HYPERLINK("https://dpmzos25m8ivg.cloudfront.net/Documentos/631/15754808755/6311575480875506092023130859.jpg","https://dpmzos25m8ivg.cloudfront.net/Documentos/631/15754808755/6311575480875506092023130859.jpg")</f>
        <v>https://dpmzos25m8ivg.cloudfront.net/Documentos/631/15754808755/6311575480875506092023130859.jpg</v>
      </c>
      <c r="H5807" s="5" t="s">
        <v>14378</v>
      </c>
    </row>
    <row r="5808" spans="1:8" x14ac:dyDescent="0.25">
      <c r="A5808" s="2" t="s">
        <v>5836</v>
      </c>
      <c r="B5808" s="3"/>
      <c r="C5808" s="3"/>
      <c r="D5808" s="3"/>
      <c r="E5808" s="5" t="str">
        <f>HYPERLINK("https://dpmzos25m8ivg.cloudfront.net/Documentos/631/15760867717/6311576086771705092023170645.pdf","https://dpmzos25m8ivg.cloudfront.net/Documentos/631/15760867717/6311576086771705092023170645.pdf")</f>
        <v>https://dpmzos25m8ivg.cloudfront.net/Documentos/631/15760867717/6311576086771705092023170645.pdf</v>
      </c>
      <c r="F5808" s="5" t="str">
        <f>HYPERLINK("https://dpmzos25m8ivg.cloudfront.net/Documentos/631/15760867717/6311576086771705092023170652.pdf","https://dpmzos25m8ivg.cloudfront.net/Documentos/631/15760867717/6311576086771705092023170652.pdf")</f>
        <v>https://dpmzos25m8ivg.cloudfront.net/Documentos/631/15760867717/6311576086771705092023170652.pdf</v>
      </c>
      <c r="G5808" s="5" t="str">
        <f>HYPERLINK("https://dpmzos25m8ivg.cloudfront.net/Documentos/631/15760867717/6311576086771705092023170700.pdf","https://dpmzos25m8ivg.cloudfront.net/Documentos/631/15760867717/6311576086771705092023170700.pdf")</f>
        <v>https://dpmzos25m8ivg.cloudfront.net/Documentos/631/15760867717/6311576086771705092023170700.pdf</v>
      </c>
      <c r="H5808" s="4" t="s">
        <v>14379</v>
      </c>
    </row>
    <row r="5809" spans="1:8" x14ac:dyDescent="0.25">
      <c r="A5809" s="2" t="s">
        <v>5837</v>
      </c>
      <c r="B5809" s="3"/>
      <c r="C5809" s="3"/>
      <c r="D5809" s="3"/>
      <c r="E5809" s="5" t="str">
        <f>HYPERLINK("https://dpmzos25m8ivg.cloudfront.net/Documentos/631/15760872800/6311576087280008092023104541.pdf","https://dpmzos25m8ivg.cloudfront.net/Documentos/631/15760872800/6311576087280008092023104541.pdf")</f>
        <v>https://dpmzos25m8ivg.cloudfront.net/Documentos/631/15760872800/6311576087280008092023104541.pdf</v>
      </c>
      <c r="F5809" s="5" t="str">
        <f>HYPERLINK("https://dpmzos25m8ivg.cloudfront.net/Documentos/631/15760872800/6311576087280008092023104601.pdf","https://dpmzos25m8ivg.cloudfront.net/Documentos/631/15760872800/6311576087280008092023104601.pdf")</f>
        <v>https://dpmzos25m8ivg.cloudfront.net/Documentos/631/15760872800/6311576087280008092023104601.pdf</v>
      </c>
      <c r="G5809" s="5" t="str">
        <f>HYPERLINK("https://dpmzos25m8ivg.cloudfront.net/Documentos/631/15760872800/6311576087280008092023104618.pdf","https://dpmzos25m8ivg.cloudfront.net/Documentos/631/15760872800/6311576087280008092023104618.pdf")</f>
        <v>https://dpmzos25m8ivg.cloudfront.net/Documentos/631/15760872800/6311576087280008092023104618.pdf</v>
      </c>
      <c r="H5809" s="4" t="s">
        <v>14380</v>
      </c>
    </row>
    <row r="5810" spans="1:8" x14ac:dyDescent="0.25">
      <c r="A5810" s="2" t="s">
        <v>5838</v>
      </c>
      <c r="B5810" s="3"/>
      <c r="C5810" s="3"/>
      <c r="D5810" s="3"/>
      <c r="E5810" s="5" t="str">
        <f>HYPERLINK("https://dpmzos25m8ivg.cloudfront.net/Documentos/631/15760934767/6311576093476711092023120319.pdf","https://dpmzos25m8ivg.cloudfront.net/Documentos/631/15760934767/6311576093476711092023120319.pdf")</f>
        <v>https://dpmzos25m8ivg.cloudfront.net/Documentos/631/15760934767/6311576093476711092023120319.pdf</v>
      </c>
      <c r="F5810" s="5" t="str">
        <f>HYPERLINK("https://dpmzos25m8ivg.cloudfront.net/Documentos/631/15760934767/6311576093476711092023120332.pdf","https://dpmzos25m8ivg.cloudfront.net/Documentos/631/15760934767/6311576093476711092023120332.pdf")</f>
        <v>https://dpmzos25m8ivg.cloudfront.net/Documentos/631/15760934767/6311576093476711092023120332.pdf</v>
      </c>
      <c r="G5810" s="5" t="str">
        <f>HYPERLINK("https://dpmzos25m8ivg.cloudfront.net/Documentos/631/15760934767/6311576093476711092023120341.pdf","https://dpmzos25m8ivg.cloudfront.net/Documentos/631/15760934767/6311576093476711092023120341.pdf")</f>
        <v>https://dpmzos25m8ivg.cloudfront.net/Documentos/631/15760934767/6311576093476711092023120341.pdf</v>
      </c>
      <c r="H5810" s="4" t="s">
        <v>14381</v>
      </c>
    </row>
    <row r="5811" spans="1:8" x14ac:dyDescent="0.25">
      <c r="A5811" s="2" t="s">
        <v>5839</v>
      </c>
      <c r="B5811" s="19" t="s">
        <v>3385</v>
      </c>
      <c r="C5811" s="3"/>
      <c r="D5811" s="3"/>
      <c r="E5811" s="5" t="str">
        <f>HYPERLINK("https://dpmzos25m8ivg.cloudfront.net/Documentos/631/15765047785/6311576504778511092023112737.pdf","https://dpmzos25m8ivg.cloudfront.net/Documentos/631/15765047785/6311576504778511092023112737.pdf")</f>
        <v>https://dpmzos25m8ivg.cloudfront.net/Documentos/631/15765047785/6311576504778511092023112737.pdf</v>
      </c>
      <c r="F5811" s="5" t="str">
        <f>HYPERLINK("https://dpmzos25m8ivg.cloudfront.net/Documentos/631/15765047785/6311576504778511092023112748.pdf","https://dpmzos25m8ivg.cloudfront.net/Documentos/631/15765047785/6311576504778511092023112748.pdf")</f>
        <v>https://dpmzos25m8ivg.cloudfront.net/Documentos/631/15765047785/6311576504778511092023112748.pdf</v>
      </c>
      <c r="G5811" s="5" t="str">
        <f>HYPERLINK("https://dpmzos25m8ivg.cloudfront.net/Documentos/631/15765047785/6311576504778511092023112800.pdf","https://dpmzos25m8ivg.cloudfront.net/Documentos/631/15765047785/6311576504778511092023112800.pdf")</f>
        <v>https://dpmzos25m8ivg.cloudfront.net/Documentos/631/15765047785/6311576504778511092023112800.pdf</v>
      </c>
      <c r="H5811" s="4" t="s">
        <v>14382</v>
      </c>
    </row>
    <row r="5812" spans="1:8" x14ac:dyDescent="0.25">
      <c r="A5812" s="2" t="s">
        <v>5840</v>
      </c>
      <c r="B5812" s="3"/>
      <c r="C5812" s="3"/>
      <c r="D5812" s="3"/>
      <c r="E5812" s="5" t="str">
        <f>HYPERLINK("https://dpmzos25m8ivg.cloudfront.net/Documentos/631/15767863741/6311576786374107092023180255.jpg","https://dpmzos25m8ivg.cloudfront.net/Documentos/631/15767863741/6311576786374107092023180255.jpg")</f>
        <v>https://dpmzos25m8ivg.cloudfront.net/Documentos/631/15767863741/6311576786374107092023180255.jpg</v>
      </c>
      <c r="F5812" s="5" t="str">
        <f>HYPERLINK("https://dpmzos25m8ivg.cloudfront.net/Documentos/631/15767863741/6311576786374107092023180306.jpg","https://dpmzos25m8ivg.cloudfront.net/Documentos/631/15767863741/6311576786374107092023180306.jpg")</f>
        <v>https://dpmzos25m8ivg.cloudfront.net/Documentos/631/15767863741/6311576786374107092023180306.jpg</v>
      </c>
      <c r="G5812" s="5" t="str">
        <f>HYPERLINK("https://dpmzos25m8ivg.cloudfront.net/Documentos/631/15767863741/6311576786374107092023180318.jpg","https://dpmzos25m8ivg.cloudfront.net/Documentos/631/15767863741/6311576786374107092023180318.jpg")</f>
        <v>https://dpmzos25m8ivg.cloudfront.net/Documentos/631/15767863741/6311576786374107092023180318.jpg</v>
      </c>
      <c r="H5812" s="4" t="s">
        <v>14383</v>
      </c>
    </row>
    <row r="5813" spans="1:8" x14ac:dyDescent="0.25">
      <c r="A5813" s="2" t="s">
        <v>5841</v>
      </c>
      <c r="B5813" s="3"/>
      <c r="C5813" s="3"/>
      <c r="D5813" s="3"/>
      <c r="E5813" s="5" t="str">
        <f>HYPERLINK("https://dpmzos25m8ivg.cloudfront.net/Documentos/631/15768730648/6311576873064809092023164146.pdf","https://dpmzos25m8ivg.cloudfront.net/Documentos/631/15768730648/6311576873064809092023164146.pdf")</f>
        <v>https://dpmzos25m8ivg.cloudfront.net/Documentos/631/15768730648/6311576873064809092023164146.pdf</v>
      </c>
      <c r="F5813" s="5" t="str">
        <f>HYPERLINK("https://dpmzos25m8ivg.cloudfront.net/Documentos/631/15768730648/6311576873064809092023164152.pdf","https://dpmzos25m8ivg.cloudfront.net/Documentos/631/15768730648/6311576873064809092023164152.pdf")</f>
        <v>https://dpmzos25m8ivg.cloudfront.net/Documentos/631/15768730648/6311576873064809092023164152.pdf</v>
      </c>
      <c r="G5813" s="5" t="str">
        <f>HYPERLINK("https://dpmzos25m8ivg.cloudfront.net/Documentos/631/15768730648/6311576873064809092023164159.pdf","https://dpmzos25m8ivg.cloudfront.net/Documentos/631/15768730648/6311576873064809092023164159.pdf")</f>
        <v>https://dpmzos25m8ivg.cloudfront.net/Documentos/631/15768730648/6311576873064809092023164159.pdf</v>
      </c>
      <c r="H5813" s="4" t="s">
        <v>14384</v>
      </c>
    </row>
    <row r="5814" spans="1:8" x14ac:dyDescent="0.25">
      <c r="A5814" s="2" t="s">
        <v>5842</v>
      </c>
      <c r="B5814" s="16" t="s">
        <v>2358</v>
      </c>
      <c r="C5814" s="3"/>
      <c r="D5814" s="3"/>
      <c r="E5814" s="5" t="str">
        <f>HYPERLINK("https://dpmzos25m8ivg.cloudfront.net/Documentos/631/15772898892/6311577289889206092023092110.pdf","https://dpmzos25m8ivg.cloudfront.net/Documentos/631/15772898892/6311577289889206092023092110.pdf")</f>
        <v>https://dpmzos25m8ivg.cloudfront.net/Documentos/631/15772898892/6311577289889206092023092110.pdf</v>
      </c>
      <c r="F5814" s="5" t="str">
        <f>HYPERLINK("https://dpmzos25m8ivg.cloudfront.net/Documentos/631/15772898892/6311577289889206092023092059.pdf","https://dpmzos25m8ivg.cloudfront.net/Documentos/631/15772898892/6311577289889206092023092059.pdf")</f>
        <v>https://dpmzos25m8ivg.cloudfront.net/Documentos/631/15772898892/6311577289889206092023092059.pdf</v>
      </c>
      <c r="G5814" s="5" t="str">
        <f>HYPERLINK("https://dpmzos25m8ivg.cloudfront.net/Documentos/631/15772898892/6311577289889206092023092347.pdf","https://dpmzos25m8ivg.cloudfront.net/Documentos/631/15772898892/6311577289889206092023092347.pdf")</f>
        <v>https://dpmzos25m8ivg.cloudfront.net/Documentos/631/15772898892/6311577289889206092023092347.pdf</v>
      </c>
      <c r="H5814" s="5" t="s">
        <v>14385</v>
      </c>
    </row>
    <row r="5815" spans="1:8" x14ac:dyDescent="0.25">
      <c r="A5815" s="2" t="s">
        <v>5843</v>
      </c>
      <c r="B5815" s="3"/>
      <c r="C5815" s="3"/>
      <c r="D5815" s="3"/>
      <c r="E5815" s="5" t="str">
        <f>HYPERLINK("https://dpmzos25m8ivg.cloudfront.net/Documentos/631/15774426793/6311577442679311092023153457.pdf","https://dpmzos25m8ivg.cloudfront.net/Documentos/631/15774426793/6311577442679311092023153457.pdf")</f>
        <v>https://dpmzos25m8ivg.cloudfront.net/Documentos/631/15774426793/6311577442679311092023153457.pdf</v>
      </c>
      <c r="F5815" s="5" t="str">
        <f>HYPERLINK("https://dpmzos25m8ivg.cloudfront.net/Documentos/631/15774426793/6311577442679311092023153551.pdf","https://dpmzos25m8ivg.cloudfront.net/Documentos/631/15774426793/6311577442679311092023153551.pdf")</f>
        <v>https://dpmzos25m8ivg.cloudfront.net/Documentos/631/15774426793/6311577442679311092023153551.pdf</v>
      </c>
      <c r="G5815" s="5" t="str">
        <f>HYPERLINK("https://dpmzos25m8ivg.cloudfront.net/Documentos/631/15774426793/6311577442679311092023153645.pdf","https://dpmzos25m8ivg.cloudfront.net/Documentos/631/15774426793/6311577442679311092023153645.pdf")</f>
        <v>https://dpmzos25m8ivg.cloudfront.net/Documentos/631/15774426793/6311577442679311092023153645.pdf</v>
      </c>
      <c r="H5815" s="4" t="s">
        <v>14386</v>
      </c>
    </row>
    <row r="5816" spans="1:8" x14ac:dyDescent="0.25">
      <c r="A5816" s="2" t="s">
        <v>5844</v>
      </c>
      <c r="B5816" s="16" t="s">
        <v>2358</v>
      </c>
      <c r="C5816" s="3"/>
      <c r="D5816" s="3"/>
      <c r="E5816" s="5" t="str">
        <f>HYPERLINK("https://dpmzos25m8ivg.cloudfront.net/Documentos/631/15780941785/6311578094178507092023112328.pdf","https://dpmzos25m8ivg.cloudfront.net/Documentos/631/15780941785/6311578094178507092023112328.pdf")</f>
        <v>https://dpmzos25m8ivg.cloudfront.net/Documentos/631/15780941785/6311578094178507092023112328.pdf</v>
      </c>
      <c r="F5816" s="5" t="str">
        <f>HYPERLINK("https://dpmzos25m8ivg.cloudfront.net/Documentos/631/15780941785/6311578094178507092023112341.pdf","https://dpmzos25m8ivg.cloudfront.net/Documentos/631/15780941785/6311578094178507092023112341.pdf")</f>
        <v>https://dpmzos25m8ivg.cloudfront.net/Documentos/631/15780941785/6311578094178507092023112341.pdf</v>
      </c>
      <c r="G5816" s="5" t="str">
        <f>HYPERLINK("https://dpmzos25m8ivg.cloudfront.net/Documentos/631/15780941785/6311578094178507092023112353.pdf","https://dpmzos25m8ivg.cloudfront.net/Documentos/631/15780941785/6311578094178507092023112353.pdf")</f>
        <v>https://dpmzos25m8ivg.cloudfront.net/Documentos/631/15780941785/6311578094178507092023112353.pdf</v>
      </c>
      <c r="H5816" s="5" t="s">
        <v>14387</v>
      </c>
    </row>
    <row r="5817" spans="1:8" x14ac:dyDescent="0.25">
      <c r="A5817" s="2" t="s">
        <v>5845</v>
      </c>
      <c r="B5817" s="3"/>
      <c r="C5817" s="3"/>
      <c r="D5817" s="3"/>
      <c r="E5817" s="5" t="str">
        <f>HYPERLINK("https://dpmzos25m8ivg.cloudfront.net/Documentos/631/15781095748/6311578109574808092023175633.pdf","https://dpmzos25m8ivg.cloudfront.net/Documentos/631/15781095748/6311578109574808092023175633.pdf")</f>
        <v>https://dpmzos25m8ivg.cloudfront.net/Documentos/631/15781095748/6311578109574808092023175633.pdf</v>
      </c>
      <c r="F5817" s="5" t="str">
        <f>HYPERLINK("https://dpmzos25m8ivg.cloudfront.net/Documentos/631/15781095748/6311578109574808092023175647.pdf","https://dpmzos25m8ivg.cloudfront.net/Documentos/631/15781095748/6311578109574808092023175647.pdf")</f>
        <v>https://dpmzos25m8ivg.cloudfront.net/Documentos/631/15781095748/6311578109574808092023175647.pdf</v>
      </c>
      <c r="G5817" s="5" t="str">
        <f>HYPERLINK("https://dpmzos25m8ivg.cloudfront.net/Documentos/631/15781095748/6311578109574808092023175707.pdf","https://dpmzos25m8ivg.cloudfront.net/Documentos/631/15781095748/6311578109574808092023175707.pdf")</f>
        <v>https://dpmzos25m8ivg.cloudfront.net/Documentos/631/15781095748/6311578109574808092023175707.pdf</v>
      </c>
      <c r="H5817" s="4" t="s">
        <v>14388</v>
      </c>
    </row>
    <row r="5818" spans="1:8" x14ac:dyDescent="0.25">
      <c r="A5818" s="2" t="s">
        <v>5846</v>
      </c>
      <c r="B5818" s="3"/>
      <c r="C5818" s="3"/>
      <c r="D5818" s="3"/>
      <c r="E5818" s="5" t="str">
        <f>HYPERLINK("https://dpmzos25m8ivg.cloudfront.net/Documentos/631/15782819898/6311578281989806092023162915.pdf","https://dpmzos25m8ivg.cloudfront.net/Documentos/631/15782819898/6311578281989806092023162915.pdf")</f>
        <v>https://dpmzos25m8ivg.cloudfront.net/Documentos/631/15782819898/6311578281989806092023162915.pdf</v>
      </c>
      <c r="F5818" s="5" t="str">
        <f>HYPERLINK("https://dpmzos25m8ivg.cloudfront.net/Documentos/631/15782819898/6311578281989806092023162925.pdf","https://dpmzos25m8ivg.cloudfront.net/Documentos/631/15782819898/6311578281989806092023162925.pdf")</f>
        <v>https://dpmzos25m8ivg.cloudfront.net/Documentos/631/15782819898/6311578281989806092023162925.pdf</v>
      </c>
      <c r="G5818" s="5" t="str">
        <f>HYPERLINK("https://dpmzos25m8ivg.cloudfront.net/Documentos/631/15782819898/6311578281989806092023162947.pdf","https://dpmzos25m8ivg.cloudfront.net/Documentos/631/15782819898/6311578281989806092023162947.pdf")</f>
        <v>https://dpmzos25m8ivg.cloudfront.net/Documentos/631/15782819898/6311578281989806092023162947.pdf</v>
      </c>
      <c r="H5818" s="4" t="s">
        <v>14389</v>
      </c>
    </row>
    <row r="5819" spans="1:8" x14ac:dyDescent="0.25">
      <c r="A5819" s="2" t="s">
        <v>5847</v>
      </c>
      <c r="B5819" s="3"/>
      <c r="C5819" s="3"/>
      <c r="D5819" s="3"/>
      <c r="E5819" s="5" t="str">
        <f>HYPERLINK("https://dpmzos25m8ivg.cloudfront.net/Documentos/631/15790108733/6311579010873308092023223218.pdf","https://dpmzos25m8ivg.cloudfront.net/Documentos/631/15790108733/6311579010873308092023223218.pdf")</f>
        <v>https://dpmzos25m8ivg.cloudfront.net/Documentos/631/15790108733/6311579010873308092023223218.pdf</v>
      </c>
      <c r="F5819" s="5" t="str">
        <f>HYPERLINK("https://dpmzos25m8ivg.cloudfront.net/Documentos/631/15790108733/6311579010873308092023223255.pdf","https://dpmzos25m8ivg.cloudfront.net/Documentos/631/15790108733/6311579010873308092023223255.pdf")</f>
        <v>https://dpmzos25m8ivg.cloudfront.net/Documentos/631/15790108733/6311579010873308092023223255.pdf</v>
      </c>
      <c r="G5819" s="5" t="str">
        <f>HYPERLINK("https://dpmzos25m8ivg.cloudfront.net/Documentos/631/15790108733/6311579010873308092023223313.pdf","https://dpmzos25m8ivg.cloudfront.net/Documentos/631/15790108733/6311579010873308092023223313.pdf")</f>
        <v>https://dpmzos25m8ivg.cloudfront.net/Documentos/631/15790108733/6311579010873308092023223313.pdf</v>
      </c>
      <c r="H5819" s="4" t="s">
        <v>14390</v>
      </c>
    </row>
    <row r="5820" spans="1:8" x14ac:dyDescent="0.25">
      <c r="A5820" s="2" t="s">
        <v>5848</v>
      </c>
      <c r="B5820" s="16" t="s">
        <v>2358</v>
      </c>
      <c r="C5820" s="3"/>
      <c r="D5820" s="3"/>
      <c r="E5820" s="5" t="str">
        <f>HYPERLINK("https://dpmzos25m8ivg.cloudfront.net/Documentos/631/15811134630/6311581113463011092023144308.pdf","https://dpmzos25m8ivg.cloudfront.net/Documentos/631/15811134630/6311581113463011092023144308.pdf")</f>
        <v>https://dpmzos25m8ivg.cloudfront.net/Documentos/631/15811134630/6311581113463011092023144308.pdf</v>
      </c>
      <c r="F5820" s="5" t="str">
        <f>HYPERLINK("https://dpmzos25m8ivg.cloudfront.net/Documentos/631/15811134630/6311581113463011092023144332.pdf","https://dpmzos25m8ivg.cloudfront.net/Documentos/631/15811134630/6311581113463011092023144332.pdf")</f>
        <v>https://dpmzos25m8ivg.cloudfront.net/Documentos/631/15811134630/6311581113463011092023144332.pdf</v>
      </c>
      <c r="G5820" s="5" t="str">
        <f>HYPERLINK("https://dpmzos25m8ivg.cloudfront.net/Documentos/631/15811134630/6311581113463011092023144535.pdf","https://dpmzos25m8ivg.cloudfront.net/Documentos/631/15811134630/6311581113463011092023144535.pdf")</f>
        <v>https://dpmzos25m8ivg.cloudfront.net/Documentos/631/15811134630/6311581113463011092023144535.pdf</v>
      </c>
      <c r="H5820" s="5" t="s">
        <v>14391</v>
      </c>
    </row>
    <row r="5821" spans="1:8" x14ac:dyDescent="0.25">
      <c r="A5821" s="2" t="s">
        <v>5849</v>
      </c>
      <c r="B5821" s="3"/>
      <c r="C5821" s="3"/>
      <c r="D5821" s="3"/>
      <c r="E5821" s="5" t="str">
        <f>HYPERLINK("https://dpmzos25m8ivg.cloudfront.net/Documentos/631/15816782746/6311581678274611092023161524.jpg","https://dpmzos25m8ivg.cloudfront.net/Documentos/631/15816782746/6311581678274611092023161524.jpg")</f>
        <v>https://dpmzos25m8ivg.cloudfront.net/Documentos/631/15816782746/6311581678274611092023161524.jpg</v>
      </c>
      <c r="F5821" s="5" t="str">
        <f>HYPERLINK("https://dpmzos25m8ivg.cloudfront.net/Documentos/631/15816782746/6311581678274611092023161533.jpg","https://dpmzos25m8ivg.cloudfront.net/Documentos/631/15816782746/6311581678274611092023161533.jpg")</f>
        <v>https://dpmzos25m8ivg.cloudfront.net/Documentos/631/15816782746/6311581678274611092023161533.jpg</v>
      </c>
      <c r="G5821" s="5" t="str">
        <f>HYPERLINK("https://dpmzos25m8ivg.cloudfront.net/Documentos/631/15816782746/6311581678274611092023161541.jpg","https://dpmzos25m8ivg.cloudfront.net/Documentos/631/15816782746/6311581678274611092023161541.jpg")</f>
        <v>https://dpmzos25m8ivg.cloudfront.net/Documentos/631/15816782746/6311581678274611092023161541.jpg</v>
      </c>
      <c r="H5821" s="4" t="s">
        <v>14392</v>
      </c>
    </row>
    <row r="5822" spans="1:8" x14ac:dyDescent="0.25">
      <c r="A5822" s="2" t="s">
        <v>5850</v>
      </c>
      <c r="B5822" s="3"/>
      <c r="C5822" s="3"/>
      <c r="D5822" s="3"/>
      <c r="E5822" s="5" t="str">
        <f>HYPERLINK("https://dpmzos25m8ivg.cloudfront.net/Documentos/631/15846901603/6311584690160306092023094504.pdf","https://dpmzos25m8ivg.cloudfront.net/Documentos/631/15846901603/6311584690160306092023094504.pdf")</f>
        <v>https://dpmzos25m8ivg.cloudfront.net/Documentos/631/15846901603/6311584690160306092023094504.pdf</v>
      </c>
      <c r="F5822" s="5" t="str">
        <f>HYPERLINK("https://dpmzos25m8ivg.cloudfront.net/Documentos/631/15846901603/6311584690160306092023094513.pdf","https://dpmzos25m8ivg.cloudfront.net/Documentos/631/15846901603/6311584690160306092023094513.pdf")</f>
        <v>https://dpmzos25m8ivg.cloudfront.net/Documentos/631/15846901603/6311584690160306092023094513.pdf</v>
      </c>
      <c r="G5822" s="5" t="str">
        <f>HYPERLINK("https://dpmzos25m8ivg.cloudfront.net/Documentos/631/15846901603/6311584690160306092023094525.pdf","https://dpmzos25m8ivg.cloudfront.net/Documentos/631/15846901603/6311584690160306092023094525.pdf")</f>
        <v>https://dpmzos25m8ivg.cloudfront.net/Documentos/631/15846901603/6311584690160306092023094525.pdf</v>
      </c>
      <c r="H5822" s="4" t="s">
        <v>14393</v>
      </c>
    </row>
    <row r="5823" spans="1:8" x14ac:dyDescent="0.25">
      <c r="A5823" s="2" t="s">
        <v>5851</v>
      </c>
      <c r="B5823" s="16" t="s">
        <v>2358</v>
      </c>
      <c r="C5823" s="3"/>
      <c r="D5823" s="3"/>
      <c r="E5823" s="5" t="str">
        <f>HYPERLINK("https://dpmzos25m8ivg.cloudfront.net/Documentos/631/15883871780/6311588387178011092023125511.pdf","https://dpmzos25m8ivg.cloudfront.net/Documentos/631/15883871780/6311588387178011092023125511.pdf")</f>
        <v>https://dpmzos25m8ivg.cloudfront.net/Documentos/631/15883871780/6311588387178011092023125511.pdf</v>
      </c>
      <c r="F5823" s="5" t="str">
        <f>HYPERLINK("https://dpmzos25m8ivg.cloudfront.net/Documentos/631/15883871780/6311588387178011092023125609.pdf","https://dpmzos25m8ivg.cloudfront.net/Documentos/631/15883871780/6311588387178011092023125609.pdf")</f>
        <v>https://dpmzos25m8ivg.cloudfront.net/Documentos/631/15883871780/6311588387178011092023125609.pdf</v>
      </c>
      <c r="G5823" s="5" t="str">
        <f>HYPERLINK("https://dpmzos25m8ivg.cloudfront.net/Documentos/631/15883871780/6311588387178011092023125635.pdf","https://dpmzos25m8ivg.cloudfront.net/Documentos/631/15883871780/6311588387178011092023125635.pdf")</f>
        <v>https://dpmzos25m8ivg.cloudfront.net/Documentos/631/15883871780/6311588387178011092023125635.pdf</v>
      </c>
      <c r="H5823" s="5" t="s">
        <v>14394</v>
      </c>
    </row>
    <row r="5824" spans="1:8" x14ac:dyDescent="0.25">
      <c r="A5824" s="2" t="s">
        <v>5852</v>
      </c>
      <c r="B5824" s="3"/>
      <c r="C5824" s="3"/>
      <c r="D5824" s="3"/>
      <c r="E5824" s="5" t="str">
        <f>HYPERLINK("https://dpmzos25m8ivg.cloudfront.net/Documentos/631/15884532784/6311588453278411092023004328.pdf","https://dpmzos25m8ivg.cloudfront.net/Documentos/631/15884532784/6311588453278411092023004328.pdf")</f>
        <v>https://dpmzos25m8ivg.cloudfront.net/Documentos/631/15884532784/6311588453278411092023004328.pdf</v>
      </c>
      <c r="F5824" s="5" t="str">
        <f>HYPERLINK("https://dpmzos25m8ivg.cloudfront.net/Documentos/631/15884532784/6311588453278411092023004340.pdf","https://dpmzos25m8ivg.cloudfront.net/Documentos/631/15884532784/6311588453278411092023004340.pdf")</f>
        <v>https://dpmzos25m8ivg.cloudfront.net/Documentos/631/15884532784/6311588453278411092023004340.pdf</v>
      </c>
      <c r="G5824" s="5" t="str">
        <f>HYPERLINK("https://dpmzos25m8ivg.cloudfront.net/Documentos/631/15884532784/6311588453278411092023004354.pdf","https://dpmzos25m8ivg.cloudfront.net/Documentos/631/15884532784/6311588453278411092023004354.pdf")</f>
        <v>https://dpmzos25m8ivg.cloudfront.net/Documentos/631/15884532784/6311588453278411092023004354.pdf</v>
      </c>
      <c r="H5824" s="4" t="s">
        <v>14395</v>
      </c>
    </row>
    <row r="5825" spans="1:8" x14ac:dyDescent="0.25">
      <c r="A5825" s="2" t="s">
        <v>5853</v>
      </c>
      <c r="B5825" s="3"/>
      <c r="C5825" s="3"/>
      <c r="D5825" s="3"/>
      <c r="E5825" s="5" t="str">
        <f>HYPERLINK("https://dpmzos25m8ivg.cloudfront.net/Documentos/631/15888104701/6311588810470113092023112813.pdf","https://dpmzos25m8ivg.cloudfront.net/Documentos/631/15888104701/6311588810470113092023112813.pdf")</f>
        <v>https://dpmzos25m8ivg.cloudfront.net/Documentos/631/15888104701/6311588810470113092023112813.pdf</v>
      </c>
      <c r="F5825" s="5" t="str">
        <f>HYPERLINK("https://dpmzos25m8ivg.cloudfront.net/Documentos/631/15888104701/6311588810470113092023112823.pdf","https://dpmzos25m8ivg.cloudfront.net/Documentos/631/15888104701/6311588810470113092023112823.pdf")</f>
        <v>https://dpmzos25m8ivg.cloudfront.net/Documentos/631/15888104701/6311588810470113092023112823.pdf</v>
      </c>
      <c r="G5825" s="5" t="str">
        <f>HYPERLINK("https://dpmzos25m8ivg.cloudfront.net/Documentos/631/15888104701/6311588810470113092023112831.pdf","https://dpmzos25m8ivg.cloudfront.net/Documentos/631/15888104701/6311588810470113092023112831.pdf")</f>
        <v>https://dpmzos25m8ivg.cloudfront.net/Documentos/631/15888104701/6311588810470113092023112831.pdf</v>
      </c>
      <c r="H5825" s="4" t="s">
        <v>14396</v>
      </c>
    </row>
    <row r="5826" spans="1:8" x14ac:dyDescent="0.25">
      <c r="A5826" s="2" t="s">
        <v>5854</v>
      </c>
      <c r="B5826" s="3"/>
      <c r="C5826" s="3"/>
      <c r="D5826" s="3"/>
      <c r="E5826" s="5" t="str">
        <f>HYPERLINK("https://dpmzos25m8ivg.cloudfront.net/Documentos/631/15897183724/6311589718372407092023195505.pdf","https://dpmzos25m8ivg.cloudfront.net/Documentos/631/15897183724/6311589718372407092023195505.pdf")</f>
        <v>https://dpmzos25m8ivg.cloudfront.net/Documentos/631/15897183724/6311589718372407092023195505.pdf</v>
      </c>
      <c r="F5826" s="5" t="str">
        <f>HYPERLINK("https://dpmzos25m8ivg.cloudfront.net/Documentos/631/15897183724/6311589718372407092023195518.pdf","https://dpmzos25m8ivg.cloudfront.net/Documentos/631/15897183724/6311589718372407092023195518.pdf")</f>
        <v>https://dpmzos25m8ivg.cloudfront.net/Documentos/631/15897183724/6311589718372407092023195518.pdf</v>
      </c>
      <c r="G5826" s="5" t="str">
        <f>HYPERLINK("https://dpmzos25m8ivg.cloudfront.net/Documentos/631/15897183724/6311589718372407092023195532.pdf","https://dpmzos25m8ivg.cloudfront.net/Documentos/631/15897183724/6311589718372407092023195532.pdf")</f>
        <v>https://dpmzos25m8ivg.cloudfront.net/Documentos/631/15897183724/6311589718372407092023195532.pdf</v>
      </c>
      <c r="H5826" s="4" t="s">
        <v>14397</v>
      </c>
    </row>
    <row r="5827" spans="1:8" x14ac:dyDescent="0.25">
      <c r="A5827" s="2" t="s">
        <v>5855</v>
      </c>
      <c r="B5827" s="3"/>
      <c r="C5827" s="3"/>
      <c r="D5827" s="3"/>
      <c r="E5827" s="5" t="str">
        <f>HYPERLINK("https://dpmzos25m8ivg.cloudfront.net/Documentos/631/15914866707/6311591486670705092023225758.jpg","https://dpmzos25m8ivg.cloudfront.net/Documentos/631/15914866707/6311591486670705092023225758.jpg")</f>
        <v>https://dpmzos25m8ivg.cloudfront.net/Documentos/631/15914866707/6311591486670705092023225758.jpg</v>
      </c>
      <c r="F5827" s="5" t="str">
        <f>HYPERLINK("https://dpmzos25m8ivg.cloudfront.net/Documentos/631/15914866707/6311591486670705092023225808.jpg","https://dpmzos25m8ivg.cloudfront.net/Documentos/631/15914866707/6311591486670705092023225808.jpg")</f>
        <v>https://dpmzos25m8ivg.cloudfront.net/Documentos/631/15914866707/6311591486670705092023225808.jpg</v>
      </c>
      <c r="G5827" s="5" t="str">
        <f>HYPERLINK("https://dpmzos25m8ivg.cloudfront.net/Documentos/631/15914866707/6311591486670705092023225821.jpg","https://dpmzos25m8ivg.cloudfront.net/Documentos/631/15914866707/6311591486670705092023225821.jpg")</f>
        <v>https://dpmzos25m8ivg.cloudfront.net/Documentos/631/15914866707/6311591486670705092023225821.jpg</v>
      </c>
      <c r="H5827" s="4" t="s">
        <v>14398</v>
      </c>
    </row>
    <row r="5828" spans="1:8" x14ac:dyDescent="0.25">
      <c r="A5828" s="2" t="s">
        <v>5856</v>
      </c>
      <c r="B5828" s="3"/>
      <c r="C5828" s="3"/>
      <c r="D5828" s="3"/>
      <c r="E5828" s="5" t="str">
        <f>HYPERLINK("https://dpmzos25m8ivg.cloudfront.net/Documentos/631/15923076802/6311592307680211092023160509.jpg","https://dpmzos25m8ivg.cloudfront.net/Documentos/631/15923076802/6311592307680211092023160509.jpg")</f>
        <v>https://dpmzos25m8ivg.cloudfront.net/Documentos/631/15923076802/6311592307680211092023160509.jpg</v>
      </c>
      <c r="F5828" s="5" t="str">
        <f>HYPERLINK("https://dpmzos25m8ivg.cloudfront.net/Documentos/631/15923076802/6311592307680211092023160521.jpg","https://dpmzos25m8ivg.cloudfront.net/Documentos/631/15923076802/6311592307680211092023160521.jpg")</f>
        <v>https://dpmzos25m8ivg.cloudfront.net/Documentos/631/15923076802/6311592307680211092023160521.jpg</v>
      </c>
      <c r="G5828" s="5" t="str">
        <f>HYPERLINK("https://dpmzos25m8ivg.cloudfront.net/Documentos/631/15923076802/6311592307680211092023160537.jpg","https://dpmzos25m8ivg.cloudfront.net/Documentos/631/15923076802/6311592307680211092023160537.jpg")</f>
        <v>https://dpmzos25m8ivg.cloudfront.net/Documentos/631/15923076802/6311592307680211092023160537.jpg</v>
      </c>
      <c r="H5828" s="4" t="s">
        <v>14399</v>
      </c>
    </row>
    <row r="5829" spans="1:8" x14ac:dyDescent="0.25">
      <c r="A5829" s="2" t="s">
        <v>5857</v>
      </c>
      <c r="B5829" s="3"/>
      <c r="C5829" s="3"/>
      <c r="D5829" s="3"/>
      <c r="E5829" s="5" t="str">
        <f>HYPERLINK("https://dpmzos25m8ivg.cloudfront.net/Documentos/631/15946310771/6311594631077108092023100512.jpg","https://dpmzos25m8ivg.cloudfront.net/Documentos/631/15946310771/6311594631077108092023100512.jpg")</f>
        <v>https://dpmzos25m8ivg.cloudfront.net/Documentos/631/15946310771/6311594631077108092023100512.jpg</v>
      </c>
      <c r="F5829" s="5" t="str">
        <f>HYPERLINK("https://dpmzos25m8ivg.cloudfront.net/Documentos/631/15946310771/6311594631077108092023100524.jpg","https://dpmzos25m8ivg.cloudfront.net/Documentos/631/15946310771/6311594631077108092023100524.jpg")</f>
        <v>https://dpmzos25m8ivg.cloudfront.net/Documentos/631/15946310771/6311594631077108092023100524.jpg</v>
      </c>
      <c r="G5829" s="5" t="str">
        <f>HYPERLINK("https://dpmzos25m8ivg.cloudfront.net/Documentos/631/15946310771/6311594631077108092023100540.jpg","https://dpmzos25m8ivg.cloudfront.net/Documentos/631/15946310771/6311594631077108092023100540.jpg")</f>
        <v>https://dpmzos25m8ivg.cloudfront.net/Documentos/631/15946310771/6311594631077108092023100540.jpg</v>
      </c>
      <c r="H5829" s="4" t="s">
        <v>14400</v>
      </c>
    </row>
    <row r="5830" spans="1:8" x14ac:dyDescent="0.25">
      <c r="A5830" s="2" t="s">
        <v>5858</v>
      </c>
      <c r="B5830" s="3"/>
      <c r="C5830" s="3"/>
      <c r="D5830" s="3"/>
      <c r="E5830" s="5" t="str">
        <f>HYPERLINK("https://dpmzos25m8ivg.cloudfront.net/Documentos/631/15994494712/6311599449471211092023163520.pdf","https://dpmzos25m8ivg.cloudfront.net/Documentos/631/15994494712/6311599449471211092023163520.pdf")</f>
        <v>https://dpmzos25m8ivg.cloudfront.net/Documentos/631/15994494712/6311599449471211092023163520.pdf</v>
      </c>
      <c r="F5830" s="5" t="str">
        <f>HYPERLINK("https://dpmzos25m8ivg.cloudfront.net/Documentos/631/15994494712/6311599449471211092023163539.pdf","https://dpmzos25m8ivg.cloudfront.net/Documentos/631/15994494712/6311599449471211092023163539.pdf")</f>
        <v>https://dpmzos25m8ivg.cloudfront.net/Documentos/631/15994494712/6311599449471211092023163539.pdf</v>
      </c>
      <c r="G5830" s="5" t="str">
        <f>HYPERLINK("https://dpmzos25m8ivg.cloudfront.net/Documentos/631/15994494712/6311599449471211092023163550.pdf","https://dpmzos25m8ivg.cloudfront.net/Documentos/631/15994494712/6311599449471211092023163550.pdf")</f>
        <v>https://dpmzos25m8ivg.cloudfront.net/Documentos/631/15994494712/6311599449471211092023163550.pdf</v>
      </c>
      <c r="H5830" s="4" t="s">
        <v>14401</v>
      </c>
    </row>
    <row r="5831" spans="1:8" x14ac:dyDescent="0.25">
      <c r="A5831" s="2" t="s">
        <v>5859</v>
      </c>
      <c r="B5831" s="3"/>
      <c r="C5831" s="3"/>
      <c r="D5831" s="3"/>
      <c r="E5831" s="5" t="str">
        <f>HYPERLINK("https://dpmzos25m8ivg.cloudfront.net/Documentos/631/15999872790/6311599987279005092023000531.pdf","https://dpmzos25m8ivg.cloudfront.net/Documentos/631/15999872790/6311599987279005092023000531.pdf")</f>
        <v>https://dpmzos25m8ivg.cloudfront.net/Documentos/631/15999872790/6311599987279005092023000531.pdf</v>
      </c>
      <c r="F5831" s="5" t="str">
        <f>HYPERLINK("https://dpmzos25m8ivg.cloudfront.net/Documentos/631/15999872790/6311599987279005092023001306.pdf","https://dpmzos25m8ivg.cloudfront.net/Documentos/631/15999872790/6311599987279005092023001306.pdf")</f>
        <v>https://dpmzos25m8ivg.cloudfront.net/Documentos/631/15999872790/6311599987279005092023001306.pdf</v>
      </c>
      <c r="G5831" s="5" t="str">
        <f>HYPERLINK("https://dpmzos25m8ivg.cloudfront.net/Documentos/631/15999872790/6311599987279005092023005346.pdf","https://dpmzos25m8ivg.cloudfront.net/Documentos/631/15999872790/6311599987279005092023005346.pdf")</f>
        <v>https://dpmzos25m8ivg.cloudfront.net/Documentos/631/15999872790/6311599987279005092023005346.pdf</v>
      </c>
      <c r="H5831" s="4" t="s">
        <v>14402</v>
      </c>
    </row>
    <row r="5832" spans="1:8" x14ac:dyDescent="0.25">
      <c r="A5832" s="2" t="s">
        <v>5860</v>
      </c>
      <c r="B5832" s="3"/>
      <c r="C5832" s="3"/>
      <c r="D5832" s="3"/>
      <c r="E5832" s="5" t="str">
        <f>HYPERLINK("https://dpmzos25m8ivg.cloudfront.net/Documentos/631/16008196724/6311600819672411092023165806.pdf","https://dpmzos25m8ivg.cloudfront.net/Documentos/631/16008196724/6311600819672411092023165806.pdf")</f>
        <v>https://dpmzos25m8ivg.cloudfront.net/Documentos/631/16008196724/6311600819672411092023165806.pdf</v>
      </c>
      <c r="F5832" s="5" t="str">
        <f>HYPERLINK("https://dpmzos25m8ivg.cloudfront.net/Documentos/631/16008196724/6311600819672411092023165813.pdf","https://dpmzos25m8ivg.cloudfront.net/Documentos/631/16008196724/6311600819672411092023165813.pdf")</f>
        <v>https://dpmzos25m8ivg.cloudfront.net/Documentos/631/16008196724/6311600819672411092023165813.pdf</v>
      </c>
      <c r="G5832" s="5" t="str">
        <f>HYPERLINK("https://dpmzos25m8ivg.cloudfront.net/Documentos/631/16008196724/6311600819672411092023165822.pdf","https://dpmzos25m8ivg.cloudfront.net/Documentos/631/16008196724/6311600819672411092023165822.pdf")</f>
        <v>https://dpmzos25m8ivg.cloudfront.net/Documentos/631/16008196724/6311600819672411092023165822.pdf</v>
      </c>
      <c r="H5832" s="4" t="s">
        <v>14403</v>
      </c>
    </row>
    <row r="5833" spans="1:8" x14ac:dyDescent="0.25">
      <c r="A5833" s="2" t="s">
        <v>5861</v>
      </c>
      <c r="B5833" s="3" t="s">
        <v>8</v>
      </c>
      <c r="C5833" s="3"/>
      <c r="D5833" s="3"/>
      <c r="E5833" s="5" t="str">
        <f>HYPERLINK("https://dpmzos25m8ivg.cloudfront.net/Documentos/631/16009948738/6311600994873811092023150854.pdf","https://dpmzos25m8ivg.cloudfront.net/Documentos/631/16009948738/6311600994873811092023150854.pdf")</f>
        <v>https://dpmzos25m8ivg.cloudfront.net/Documentos/631/16009948738/6311600994873811092023150854.pdf</v>
      </c>
      <c r="F5833" s="5" t="str">
        <f>HYPERLINK("https://dpmzos25m8ivg.cloudfront.net/Documentos/631/16009948738/6311600994873811092023150902.pdf","https://dpmzos25m8ivg.cloudfront.net/Documentos/631/16009948738/6311600994873811092023150902.pdf")</f>
        <v>https://dpmzos25m8ivg.cloudfront.net/Documentos/631/16009948738/6311600994873811092023150902.pdf</v>
      </c>
      <c r="G5833" s="5" t="str">
        <f>HYPERLINK("https://dpmzos25m8ivg.cloudfront.net/Documentos/631/16009948738/6311600994873811092023150908.pdf","https://dpmzos25m8ivg.cloudfront.net/Documentos/631/16009948738/6311600994873811092023150908.pdf")</f>
        <v>https://dpmzos25m8ivg.cloudfront.net/Documentos/631/16009948738/6311600994873811092023150908.pdf</v>
      </c>
      <c r="H5833" s="4" t="s">
        <v>14404</v>
      </c>
    </row>
    <row r="5834" spans="1:8" x14ac:dyDescent="0.25">
      <c r="A5834" s="2" t="s">
        <v>5862</v>
      </c>
      <c r="B5834" s="16" t="s">
        <v>2358</v>
      </c>
      <c r="C5834" s="3"/>
      <c r="D5834" s="3"/>
      <c r="E5834" s="5" t="str">
        <f>HYPERLINK("https://dpmzos25m8ivg.cloudfront.net/Documentos/631/16024970870/6311602497087005092023230347.pdf","https://dpmzos25m8ivg.cloudfront.net/Documentos/631/16024970870/6311602497087005092023230347.pdf")</f>
        <v>https://dpmzos25m8ivg.cloudfront.net/Documentos/631/16024970870/6311602497087005092023230347.pdf</v>
      </c>
      <c r="F5834" s="5" t="str">
        <f>HYPERLINK("https://dpmzos25m8ivg.cloudfront.net/Documentos/631/16024970870/6311602497087005092023230421.pdf","https://dpmzos25m8ivg.cloudfront.net/Documentos/631/16024970870/6311602497087005092023230421.pdf")</f>
        <v>https://dpmzos25m8ivg.cloudfront.net/Documentos/631/16024970870/6311602497087005092023230421.pdf</v>
      </c>
      <c r="G5834" s="5" t="str">
        <f>HYPERLINK("https://dpmzos25m8ivg.cloudfront.net/Documentos/631/16024970870/6311602497087005092023230510.pdf","https://dpmzos25m8ivg.cloudfront.net/Documentos/631/16024970870/6311602497087005092023230510.pdf")</f>
        <v>https://dpmzos25m8ivg.cloudfront.net/Documentos/631/16024970870/6311602497087005092023230510.pdf</v>
      </c>
      <c r="H5834" s="5" t="s">
        <v>14405</v>
      </c>
    </row>
    <row r="5835" spans="1:8" x14ac:dyDescent="0.25">
      <c r="A5835" s="2" t="s">
        <v>5863</v>
      </c>
      <c r="B5835" s="3" t="s">
        <v>8</v>
      </c>
      <c r="C5835" s="3"/>
      <c r="D5835" s="3"/>
      <c r="E5835" s="5" t="str">
        <f>HYPERLINK("https://dpmzos25m8ivg.cloudfront.net/Documentos/631/16025318549/6311602531854906092023165830.pdf","https://dpmzos25m8ivg.cloudfront.net/Documentos/631/16025318549/6311602531854906092023165830.pdf")</f>
        <v>https://dpmzos25m8ivg.cloudfront.net/Documentos/631/16025318549/6311602531854906092023165830.pdf</v>
      </c>
      <c r="F5835" s="5" t="str">
        <f>HYPERLINK("https://dpmzos25m8ivg.cloudfront.net/Documentos/631/16025318549/6311602531854906092023165846.pdf","https://dpmzos25m8ivg.cloudfront.net/Documentos/631/16025318549/6311602531854906092023165846.pdf")</f>
        <v>https://dpmzos25m8ivg.cloudfront.net/Documentos/631/16025318549/6311602531854906092023165846.pdf</v>
      </c>
      <c r="G5835" s="5" t="str">
        <f>HYPERLINK("https://dpmzos25m8ivg.cloudfront.net/Documentos/631/16025318549/6311602531854906092023165856.pdf","https://dpmzos25m8ivg.cloudfront.net/Documentos/631/16025318549/6311602531854906092023165856.pdf")</f>
        <v>https://dpmzos25m8ivg.cloudfront.net/Documentos/631/16025318549/6311602531854906092023165856.pdf</v>
      </c>
      <c r="H5835" s="4" t="s">
        <v>14406</v>
      </c>
    </row>
    <row r="5836" spans="1:8" x14ac:dyDescent="0.25">
      <c r="A5836" s="2" t="s">
        <v>5864</v>
      </c>
      <c r="B5836" s="3"/>
      <c r="C5836" s="3"/>
      <c r="D5836" s="3"/>
      <c r="E5836" s="5" t="str">
        <f>HYPERLINK("https://dpmzos25m8ivg.cloudfront.net/Documentos/631/16030340727/6311603034072705092023193014.jpg","https://dpmzos25m8ivg.cloudfront.net/Documentos/631/16030340727/6311603034072705092023193014.jpg")</f>
        <v>https://dpmzos25m8ivg.cloudfront.net/Documentos/631/16030340727/6311603034072705092023193014.jpg</v>
      </c>
      <c r="F5836" s="5" t="str">
        <f>HYPERLINK("https://dpmzos25m8ivg.cloudfront.net/Documentos/631/16030340727/6311603034072705092023193036.jpg","https://dpmzos25m8ivg.cloudfront.net/Documentos/631/16030340727/6311603034072705092023193036.jpg")</f>
        <v>https://dpmzos25m8ivg.cloudfront.net/Documentos/631/16030340727/6311603034072705092023193036.jpg</v>
      </c>
      <c r="G5836" s="5" t="str">
        <f>HYPERLINK("https://dpmzos25m8ivg.cloudfront.net/Documentos/631/16030340727/6311603034072705092023193226.jpg","https://dpmzos25m8ivg.cloudfront.net/Documentos/631/16030340727/6311603034072705092023193226.jpg")</f>
        <v>https://dpmzos25m8ivg.cloudfront.net/Documentos/631/16030340727/6311603034072705092023193226.jpg</v>
      </c>
      <c r="H5836" s="4" t="s">
        <v>14407</v>
      </c>
    </row>
    <row r="5837" spans="1:8" x14ac:dyDescent="0.25">
      <c r="A5837" s="2" t="s">
        <v>5865</v>
      </c>
      <c r="B5837" s="3"/>
      <c r="C5837" s="3"/>
      <c r="D5837" s="3"/>
      <c r="E5837" s="5" t="str">
        <f>HYPERLINK("https://dpmzos25m8ivg.cloudfront.net/Documentos/631/16034897700/6311603489770011092023161831.jpeg","https://dpmzos25m8ivg.cloudfront.net/Documentos/631/16034897700/6311603489770011092023161831.jpeg")</f>
        <v>https://dpmzos25m8ivg.cloudfront.net/Documentos/631/16034897700/6311603489770011092023161831.jpeg</v>
      </c>
      <c r="F5837" s="5" t="str">
        <f>HYPERLINK("https://dpmzos25m8ivg.cloudfront.net/Documentos/631/16034897700/6311603489770011092023161835.jpeg","https://dpmzos25m8ivg.cloudfront.net/Documentos/631/16034897700/6311603489770011092023161835.jpeg")</f>
        <v>https://dpmzos25m8ivg.cloudfront.net/Documentos/631/16034897700/6311603489770011092023161835.jpeg</v>
      </c>
      <c r="G5837" s="5" t="str">
        <f>HYPERLINK("https://dpmzos25m8ivg.cloudfront.net/Documentos/631/16034897700/6311603489770011092023161840.jpeg","https://dpmzos25m8ivg.cloudfront.net/Documentos/631/16034897700/6311603489770011092023161840.jpeg")</f>
        <v>https://dpmzos25m8ivg.cloudfront.net/Documentos/631/16034897700/6311603489770011092023161840.jpeg</v>
      </c>
      <c r="H5837" s="4" t="s">
        <v>14408</v>
      </c>
    </row>
    <row r="5838" spans="1:8" x14ac:dyDescent="0.25">
      <c r="A5838" s="2" t="s">
        <v>5866</v>
      </c>
      <c r="B5838" s="3"/>
      <c r="C5838" s="3"/>
      <c r="D5838" s="3"/>
      <c r="E5838" s="5" t="str">
        <f>HYPERLINK("https://dpmzos25m8ivg.cloudfront.net/Documentos/631/16055460700/6311605546070011092023125253.pdf","https://dpmzos25m8ivg.cloudfront.net/Documentos/631/16055460700/6311605546070011092023125253.pdf")</f>
        <v>https://dpmzos25m8ivg.cloudfront.net/Documentos/631/16055460700/6311605546070011092023125253.pdf</v>
      </c>
      <c r="F5838" s="5" t="str">
        <f>HYPERLINK("https://dpmzos25m8ivg.cloudfront.net/Documentos/631/16055460700/6311605546070011092023125845.pdf","https://dpmzos25m8ivg.cloudfront.net/Documentos/631/16055460700/6311605546070011092023125845.pdf")</f>
        <v>https://dpmzos25m8ivg.cloudfront.net/Documentos/631/16055460700/6311605546070011092023125845.pdf</v>
      </c>
      <c r="G5838" s="5" t="str">
        <f>HYPERLINK("https://dpmzos25m8ivg.cloudfront.net/Documentos/631/16055460700/6311605546070011092023125857.pdf","https://dpmzos25m8ivg.cloudfront.net/Documentos/631/16055460700/6311605546070011092023125857.pdf")</f>
        <v>https://dpmzos25m8ivg.cloudfront.net/Documentos/631/16055460700/6311605546070011092023125857.pdf</v>
      </c>
      <c r="H5838" s="4" t="s">
        <v>14409</v>
      </c>
    </row>
    <row r="5839" spans="1:8" x14ac:dyDescent="0.25">
      <c r="A5839" s="2" t="s">
        <v>5867</v>
      </c>
      <c r="B5839" s="3"/>
      <c r="C5839" s="3"/>
      <c r="D5839" s="3"/>
      <c r="E5839" s="5" t="str">
        <f>HYPERLINK("https://dpmzos25m8ivg.cloudfront.net/Documentos/631/16055742799/6311605574279909092023180141.pdf","https://dpmzos25m8ivg.cloudfront.net/Documentos/631/16055742799/6311605574279909092023180141.pdf")</f>
        <v>https://dpmzos25m8ivg.cloudfront.net/Documentos/631/16055742799/6311605574279909092023180141.pdf</v>
      </c>
      <c r="F5839" s="5" t="str">
        <f>HYPERLINK("https://dpmzos25m8ivg.cloudfront.net/Documentos/631/16055742799/6311605574279909092023180253.pdf","https://dpmzos25m8ivg.cloudfront.net/Documentos/631/16055742799/6311605574279909092023180253.pdf")</f>
        <v>https://dpmzos25m8ivg.cloudfront.net/Documentos/631/16055742799/6311605574279909092023180253.pdf</v>
      </c>
      <c r="G5839" s="5" t="str">
        <f>HYPERLINK("https://dpmzos25m8ivg.cloudfront.net/Documentos/631/16055742799/6311605574279909092023180303.pdf","https://dpmzos25m8ivg.cloudfront.net/Documentos/631/16055742799/6311605574279909092023180303.pdf")</f>
        <v>https://dpmzos25m8ivg.cloudfront.net/Documentos/631/16055742799/6311605574279909092023180303.pdf</v>
      </c>
      <c r="H5839" s="4" t="s">
        <v>14410</v>
      </c>
    </row>
    <row r="5840" spans="1:8" x14ac:dyDescent="0.25">
      <c r="A5840" s="2" t="s">
        <v>5868</v>
      </c>
      <c r="B5840" s="3"/>
      <c r="C5840" s="3"/>
      <c r="D5840" s="3"/>
      <c r="E5840" s="5" t="str">
        <f>HYPERLINK("https://dpmzos25m8ivg.cloudfront.net/Documentos/631/16058190770/6311605819077014092023002424.jpeg","https://dpmzos25m8ivg.cloudfront.net/Documentos/631/16058190770/6311605819077014092023002424.jpeg")</f>
        <v>https://dpmzos25m8ivg.cloudfront.net/Documentos/631/16058190770/6311605819077014092023002424.jpeg</v>
      </c>
      <c r="F5840" s="5" t="str">
        <f>HYPERLINK("https://dpmzos25m8ivg.cloudfront.net/Documentos/631/16058190770/6311605819077014092023002441.jpeg","https://dpmzos25m8ivg.cloudfront.net/Documentos/631/16058190770/6311605819077014092023002441.jpeg")</f>
        <v>https://dpmzos25m8ivg.cloudfront.net/Documentos/631/16058190770/6311605819077014092023002441.jpeg</v>
      </c>
      <c r="G5840" s="5" t="str">
        <f>HYPERLINK("https://dpmzos25m8ivg.cloudfront.net/Documentos/631/16058190770/6311605819077014092023002453.jpeg","https://dpmzos25m8ivg.cloudfront.net/Documentos/631/16058190770/6311605819077014092023002453.jpeg")</f>
        <v>https://dpmzos25m8ivg.cloudfront.net/Documentos/631/16058190770/6311605819077014092023002453.jpeg</v>
      </c>
      <c r="H5840" s="4" t="s">
        <v>14411</v>
      </c>
    </row>
    <row r="5841" spans="1:8" x14ac:dyDescent="0.25">
      <c r="A5841" s="2" t="s">
        <v>5869</v>
      </c>
      <c r="B5841" s="3"/>
      <c r="C5841" s="3"/>
      <c r="D5841" s="3"/>
      <c r="E5841" s="5" t="str">
        <f>HYPERLINK("https://dpmzos25m8ivg.cloudfront.net/Documentos/631/16071890624/6311607189062411092023093717.pdf","https://dpmzos25m8ivg.cloudfront.net/Documentos/631/16071890624/6311607189062411092023093717.pdf")</f>
        <v>https://dpmzos25m8ivg.cloudfront.net/Documentos/631/16071890624/6311607189062411092023093717.pdf</v>
      </c>
      <c r="F5841" s="5" t="str">
        <f>HYPERLINK("https://dpmzos25m8ivg.cloudfront.net/Documentos/631/16071890624/6311607189062411092023093811.pdf","https://dpmzos25m8ivg.cloudfront.net/Documentos/631/16071890624/6311607189062411092023093811.pdf")</f>
        <v>https://dpmzos25m8ivg.cloudfront.net/Documentos/631/16071890624/6311607189062411092023093811.pdf</v>
      </c>
      <c r="G5841" s="5" t="str">
        <f>HYPERLINK("https://dpmzos25m8ivg.cloudfront.net/Documentos/631/16071890624/6311607189062411092023093847.pdf","https://dpmzos25m8ivg.cloudfront.net/Documentos/631/16071890624/6311607189062411092023093847.pdf")</f>
        <v>https://dpmzos25m8ivg.cloudfront.net/Documentos/631/16071890624/6311607189062411092023093847.pdf</v>
      </c>
      <c r="H5841" s="4" t="s">
        <v>14412</v>
      </c>
    </row>
    <row r="5842" spans="1:8" x14ac:dyDescent="0.25">
      <c r="A5842" s="2" t="s">
        <v>5870</v>
      </c>
      <c r="B5842" s="3" t="s">
        <v>8</v>
      </c>
      <c r="C5842" s="3"/>
      <c r="D5842" s="3"/>
      <c r="E5842" s="5" t="str">
        <f>HYPERLINK("https://dpmzos25m8ivg.cloudfront.net/Documentos/631/16072444709/6311607244470906092023111358.pdf","https://dpmzos25m8ivg.cloudfront.net/Documentos/631/16072444709/6311607244470906092023111358.pdf")</f>
        <v>https://dpmzos25m8ivg.cloudfront.net/Documentos/631/16072444709/6311607244470906092023111358.pdf</v>
      </c>
      <c r="F5842" s="5" t="str">
        <f>HYPERLINK("https://dpmzos25m8ivg.cloudfront.net/Documentos/631/16072444709/6311607244470906092023111405.pdf","https://dpmzos25m8ivg.cloudfront.net/Documentos/631/16072444709/6311607244470906092023111405.pdf")</f>
        <v>https://dpmzos25m8ivg.cloudfront.net/Documentos/631/16072444709/6311607244470906092023111405.pdf</v>
      </c>
      <c r="G5842" s="5" t="str">
        <f>HYPERLINK("https://dpmzos25m8ivg.cloudfront.net/Documentos/631/16072444709/6311607244470906092023111412.pdf","https://dpmzos25m8ivg.cloudfront.net/Documentos/631/16072444709/6311607244470906092023111412.pdf")</f>
        <v>https://dpmzos25m8ivg.cloudfront.net/Documentos/631/16072444709/6311607244470906092023111412.pdf</v>
      </c>
      <c r="H5842" s="4" t="s">
        <v>14413</v>
      </c>
    </row>
    <row r="5843" spans="1:8" x14ac:dyDescent="0.25">
      <c r="A5843" s="2" t="s">
        <v>5871</v>
      </c>
      <c r="B5843" s="3"/>
      <c r="C5843" s="3"/>
      <c r="D5843" s="3"/>
      <c r="E5843" s="5" t="str">
        <f>HYPERLINK("https://dpmzos25m8ivg.cloudfront.net/Documentos/631/16074390770/6311607439077011092023114259.pdf","https://dpmzos25m8ivg.cloudfront.net/Documentos/631/16074390770/6311607439077011092023114259.pdf")</f>
        <v>https://dpmzos25m8ivg.cloudfront.net/Documentos/631/16074390770/6311607439077011092023114259.pdf</v>
      </c>
      <c r="F5843" s="5" t="str">
        <f>HYPERLINK("https://dpmzos25m8ivg.cloudfront.net/Documentos/631/16074390770/6311607439077011092023114307.pdf","https://dpmzos25m8ivg.cloudfront.net/Documentos/631/16074390770/6311607439077011092023114307.pdf")</f>
        <v>https://dpmzos25m8ivg.cloudfront.net/Documentos/631/16074390770/6311607439077011092023114307.pdf</v>
      </c>
      <c r="G5843" s="5" t="str">
        <f>HYPERLINK("https://dpmzos25m8ivg.cloudfront.net/Documentos/631/16074390770/6311607439077011092023114314.pdf","https://dpmzos25m8ivg.cloudfront.net/Documentos/631/16074390770/6311607439077011092023114314.pdf")</f>
        <v>https://dpmzos25m8ivg.cloudfront.net/Documentos/631/16074390770/6311607439077011092023114314.pdf</v>
      </c>
      <c r="H5843" s="4" t="s">
        <v>14414</v>
      </c>
    </row>
    <row r="5844" spans="1:8" x14ac:dyDescent="0.25">
      <c r="A5844" s="2" t="s">
        <v>5872</v>
      </c>
      <c r="B5844" s="3"/>
      <c r="C5844" s="3"/>
      <c r="D5844" s="3"/>
      <c r="E5844" s="5" t="str">
        <f>HYPERLINK("https://dpmzos25m8ivg.cloudfront.net/Documentos/631/16088740876/6311608874087611092023165018.pdf","https://dpmzos25m8ivg.cloudfront.net/Documentos/631/16088740876/6311608874087611092023165018.pdf")</f>
        <v>https://dpmzos25m8ivg.cloudfront.net/Documentos/631/16088740876/6311608874087611092023165018.pdf</v>
      </c>
      <c r="F5844" s="5" t="str">
        <f>HYPERLINK("https://dpmzos25m8ivg.cloudfront.net/Documentos/631/16088740876/6311608874087611092023164928.pdf","https://dpmzos25m8ivg.cloudfront.net/Documentos/631/16088740876/6311608874087611092023164928.pdf")</f>
        <v>https://dpmzos25m8ivg.cloudfront.net/Documentos/631/16088740876/6311608874087611092023164928.pdf</v>
      </c>
      <c r="G5844" s="5" t="str">
        <f>HYPERLINK("https://dpmzos25m8ivg.cloudfront.net/Documentos/631/16088740876/6311608874087611092023164543.pdf","https://dpmzos25m8ivg.cloudfront.net/Documentos/631/16088740876/6311608874087611092023164543.pdf")</f>
        <v>https://dpmzos25m8ivg.cloudfront.net/Documentos/631/16088740876/6311608874087611092023164543.pdf</v>
      </c>
      <c r="H5844" s="4" t="s">
        <v>14415</v>
      </c>
    </row>
    <row r="5845" spans="1:8" x14ac:dyDescent="0.25">
      <c r="A5845" s="2" t="s">
        <v>5873</v>
      </c>
      <c r="B5845" s="3"/>
      <c r="C5845" s="3"/>
      <c r="D5845" s="3"/>
      <c r="E5845" s="5" t="str">
        <f>HYPERLINK("https://dpmzos25m8ivg.cloudfront.net/Documentos/631/16090557641/6311609055764107092023131527.pdf","https://dpmzos25m8ivg.cloudfront.net/Documentos/631/16090557641/6311609055764107092023131527.pdf")</f>
        <v>https://dpmzos25m8ivg.cloudfront.net/Documentos/631/16090557641/6311609055764107092023131527.pdf</v>
      </c>
      <c r="F5845" s="5" t="str">
        <f>HYPERLINK("https://dpmzos25m8ivg.cloudfront.net/Documentos/631/16090557641/6311609055764107092023131535.pdf","https://dpmzos25m8ivg.cloudfront.net/Documentos/631/16090557641/6311609055764107092023131535.pdf")</f>
        <v>https://dpmzos25m8ivg.cloudfront.net/Documentos/631/16090557641/6311609055764107092023131535.pdf</v>
      </c>
      <c r="G5845" s="5" t="str">
        <f>HYPERLINK("https://dpmzos25m8ivg.cloudfront.net/Documentos/631/16090557641/6311609055764107092023131543.pdf","https://dpmzos25m8ivg.cloudfront.net/Documentos/631/16090557641/6311609055764107092023131543.pdf")</f>
        <v>https://dpmzos25m8ivg.cloudfront.net/Documentos/631/16090557641/6311609055764107092023131543.pdf</v>
      </c>
      <c r="H5845" s="4" t="s">
        <v>14416</v>
      </c>
    </row>
    <row r="5846" spans="1:8" x14ac:dyDescent="0.25">
      <c r="A5846" s="2" t="s">
        <v>5874</v>
      </c>
      <c r="B5846" s="3"/>
      <c r="C5846" s="3"/>
      <c r="D5846" s="3"/>
      <c r="E5846" s="5" t="str">
        <f>HYPERLINK("https://dpmzos25m8ivg.cloudfront.net/Documentos/631/16097231717/6311609723171711092023165131.jpeg","https://dpmzos25m8ivg.cloudfront.net/Documentos/631/16097231717/6311609723171711092023165131.jpeg")</f>
        <v>https://dpmzos25m8ivg.cloudfront.net/Documentos/631/16097231717/6311609723171711092023165131.jpeg</v>
      </c>
      <c r="F5846" s="5" t="str">
        <f>HYPERLINK("https://dpmzos25m8ivg.cloudfront.net/Documentos/631/16097231717/6311609723171711092023165138.jpeg","https://dpmzos25m8ivg.cloudfront.net/Documentos/631/16097231717/6311609723171711092023165138.jpeg")</f>
        <v>https://dpmzos25m8ivg.cloudfront.net/Documentos/631/16097231717/6311609723171711092023165138.jpeg</v>
      </c>
      <c r="G5846" s="5" t="str">
        <f>HYPERLINK("https://dpmzos25m8ivg.cloudfront.net/Documentos/631/16097231717/6311609723171711092023165143.jpeg","https://dpmzos25m8ivg.cloudfront.net/Documentos/631/16097231717/6311609723171711092023165143.jpeg")</f>
        <v>https://dpmzos25m8ivg.cloudfront.net/Documentos/631/16097231717/6311609723171711092023165143.jpeg</v>
      </c>
      <c r="H5846" s="4" t="s">
        <v>14417</v>
      </c>
    </row>
    <row r="5847" spans="1:8" x14ac:dyDescent="0.25">
      <c r="A5847" s="2" t="s">
        <v>5875</v>
      </c>
      <c r="B5847" s="3"/>
      <c r="C5847" s="3"/>
      <c r="D5847" s="3"/>
      <c r="E5847" s="5" t="str">
        <f>HYPERLINK("https://dpmzos25m8ivg.cloudfront.net/Documentos/631/16117968817/6311611796881705092023124459.jpg","https://dpmzos25m8ivg.cloudfront.net/Documentos/631/16117968817/6311611796881705092023124459.jpg")</f>
        <v>https://dpmzos25m8ivg.cloudfront.net/Documentos/631/16117968817/6311611796881705092023124459.jpg</v>
      </c>
      <c r="F5847" s="5" t="str">
        <f>HYPERLINK("https://dpmzos25m8ivg.cloudfront.net/Documentos/631/16117968817/6311611796881707092023232224.jpg","https://dpmzos25m8ivg.cloudfront.net/Documentos/631/16117968817/6311611796881707092023232224.jpg")</f>
        <v>https://dpmzos25m8ivg.cloudfront.net/Documentos/631/16117968817/6311611796881707092023232224.jpg</v>
      </c>
      <c r="G5847" s="5" t="str">
        <f>HYPERLINK("https://dpmzos25m8ivg.cloudfront.net/Documentos/631/16117968817/6311611796881705092023125348.jpg","https://dpmzos25m8ivg.cloudfront.net/Documentos/631/16117968817/6311611796881705092023125348.jpg")</f>
        <v>https://dpmzos25m8ivg.cloudfront.net/Documentos/631/16117968817/6311611796881705092023125348.jpg</v>
      </c>
      <c r="H5847" s="4" t="s">
        <v>14418</v>
      </c>
    </row>
    <row r="5848" spans="1:8" x14ac:dyDescent="0.25">
      <c r="A5848" s="2" t="s">
        <v>5876</v>
      </c>
      <c r="B5848" s="3"/>
      <c r="C5848" s="3"/>
      <c r="D5848" s="3"/>
      <c r="E5848" s="5" t="str">
        <f>HYPERLINK("https://dpmzos25m8ivg.cloudfront.net/Documentos/631/16128741770/6311612874177011092023135132.pdf","https://dpmzos25m8ivg.cloudfront.net/Documentos/631/16128741770/6311612874177011092023135132.pdf")</f>
        <v>https://dpmzos25m8ivg.cloudfront.net/Documentos/631/16128741770/6311612874177011092023135132.pdf</v>
      </c>
      <c r="F5848" s="5" t="str">
        <f>HYPERLINK("https://dpmzos25m8ivg.cloudfront.net/Documentos/631/16128741770/6311612874177011092023135202.pdf","https://dpmzos25m8ivg.cloudfront.net/Documentos/631/16128741770/6311612874177011092023135202.pdf")</f>
        <v>https://dpmzos25m8ivg.cloudfront.net/Documentos/631/16128741770/6311612874177011092023135202.pdf</v>
      </c>
      <c r="G5848" s="5" t="str">
        <f>HYPERLINK("https://dpmzos25m8ivg.cloudfront.net/Documentos/631/16128741770/6311612874177011092023135213.pdf","https://dpmzos25m8ivg.cloudfront.net/Documentos/631/16128741770/6311612874177011092023135213.pdf")</f>
        <v>https://dpmzos25m8ivg.cloudfront.net/Documentos/631/16128741770/6311612874177011092023135213.pdf</v>
      </c>
      <c r="H5848" s="4" t="s">
        <v>14419</v>
      </c>
    </row>
    <row r="5849" spans="1:8" x14ac:dyDescent="0.25">
      <c r="A5849" s="2" t="s">
        <v>5877</v>
      </c>
      <c r="B5849" s="3"/>
      <c r="C5849" s="3"/>
      <c r="D5849" s="3"/>
      <c r="E5849" s="5" t="str">
        <f>HYPERLINK("https://dpmzos25m8ivg.cloudfront.net/Documentos/631/16133665742/6311613366574211092023145341.pdf","https://dpmzos25m8ivg.cloudfront.net/Documentos/631/16133665742/6311613366574211092023145341.pdf")</f>
        <v>https://dpmzos25m8ivg.cloudfront.net/Documentos/631/16133665742/6311613366574211092023145341.pdf</v>
      </c>
      <c r="F5849" s="5" t="str">
        <f>HYPERLINK("https://dpmzos25m8ivg.cloudfront.net/Documentos/631/16133665742/6311613366574211092023145357.pdf","https://dpmzos25m8ivg.cloudfront.net/Documentos/631/16133665742/6311613366574211092023145357.pdf")</f>
        <v>https://dpmzos25m8ivg.cloudfront.net/Documentos/631/16133665742/6311613366574211092023145357.pdf</v>
      </c>
      <c r="G5849" s="5" t="str">
        <f>HYPERLINK("https://dpmzos25m8ivg.cloudfront.net/Documentos/631/16133665742/6311613366574211092023145417.pdf","https://dpmzos25m8ivg.cloudfront.net/Documentos/631/16133665742/6311613366574211092023145417.pdf")</f>
        <v>https://dpmzos25m8ivg.cloudfront.net/Documentos/631/16133665742/6311613366574211092023145417.pdf</v>
      </c>
      <c r="H5849" s="4" t="s">
        <v>14420</v>
      </c>
    </row>
    <row r="5850" spans="1:8" x14ac:dyDescent="0.25">
      <c r="A5850" s="2" t="s">
        <v>5878</v>
      </c>
      <c r="B5850" s="3"/>
      <c r="C5850" s="3"/>
      <c r="D5850" s="3"/>
      <c r="E5850" s="5" t="str">
        <f>HYPERLINK("https://dpmzos25m8ivg.cloudfront.net/Documentos/631/16135389793/6311613538979311092023123040.pdf","https://dpmzos25m8ivg.cloudfront.net/Documentos/631/16135389793/6311613538979311092023123040.pdf")</f>
        <v>https://dpmzos25m8ivg.cloudfront.net/Documentos/631/16135389793/6311613538979311092023123040.pdf</v>
      </c>
      <c r="F5850" s="5" t="str">
        <f>HYPERLINK("https://dpmzos25m8ivg.cloudfront.net/Documentos/631/16135389793/6311613538979311092023123132.pdf","https://dpmzos25m8ivg.cloudfront.net/Documentos/631/16135389793/6311613538979311092023123132.pdf")</f>
        <v>https://dpmzos25m8ivg.cloudfront.net/Documentos/631/16135389793/6311613538979311092023123132.pdf</v>
      </c>
      <c r="G5850" s="5" t="str">
        <f>HYPERLINK("https://dpmzos25m8ivg.cloudfront.net/Documentos/631/16135389793/6311613538979311092023123146.pdf","https://dpmzos25m8ivg.cloudfront.net/Documentos/631/16135389793/6311613538979311092023123146.pdf")</f>
        <v>https://dpmzos25m8ivg.cloudfront.net/Documentos/631/16135389793/6311613538979311092023123146.pdf</v>
      </c>
      <c r="H5850" s="4" t="s">
        <v>14421</v>
      </c>
    </row>
    <row r="5851" spans="1:8" x14ac:dyDescent="0.25">
      <c r="A5851" s="2" t="s">
        <v>5879</v>
      </c>
      <c r="B5851" s="3"/>
      <c r="C5851" s="3"/>
      <c r="D5851" s="3"/>
      <c r="E5851" s="5" t="str">
        <f>HYPERLINK("https://dpmzos25m8ivg.cloudfront.net/Documentos/631/16155432449/6311615543244911092023113914.pdf","https://dpmzos25m8ivg.cloudfront.net/Documentos/631/16155432449/6311615543244911092023113914.pdf")</f>
        <v>https://dpmzos25m8ivg.cloudfront.net/Documentos/631/16155432449/6311615543244911092023113914.pdf</v>
      </c>
      <c r="F5851" s="5" t="str">
        <f>HYPERLINK("https://dpmzos25m8ivg.cloudfront.net/Documentos/631/16155432449/6311615543244911092023113921.pdf","https://dpmzos25m8ivg.cloudfront.net/Documentos/631/16155432449/6311615543244911092023113921.pdf")</f>
        <v>https://dpmzos25m8ivg.cloudfront.net/Documentos/631/16155432449/6311615543244911092023113921.pdf</v>
      </c>
      <c r="G5851" s="5" t="str">
        <f>HYPERLINK("https://dpmzos25m8ivg.cloudfront.net/Documentos/631/16155432449/6311615543244911092023113929.pdf","https://dpmzos25m8ivg.cloudfront.net/Documentos/631/16155432449/6311615543244911092023113929.pdf")</f>
        <v>https://dpmzos25m8ivg.cloudfront.net/Documentos/631/16155432449/6311615543244911092023113929.pdf</v>
      </c>
      <c r="H5851" s="4" t="s">
        <v>14422</v>
      </c>
    </row>
    <row r="5852" spans="1:8" x14ac:dyDescent="0.25">
      <c r="A5852" s="2" t="s">
        <v>5880</v>
      </c>
      <c r="B5852" s="19" t="s">
        <v>3385</v>
      </c>
      <c r="C5852" s="3"/>
      <c r="D5852" s="3"/>
      <c r="E5852" s="5" t="str">
        <f>HYPERLINK("https://dpmzos25m8ivg.cloudfront.net/Documentos/631/16167179719/6311616717971907092023143044.jpeg","https://dpmzos25m8ivg.cloudfront.net/Documentos/631/16167179719/6311616717971907092023143044.jpeg")</f>
        <v>https://dpmzos25m8ivg.cloudfront.net/Documentos/631/16167179719/6311616717971907092023143044.jpeg</v>
      </c>
      <c r="F5852" s="5" t="str">
        <f>HYPERLINK("https://dpmzos25m8ivg.cloudfront.net/Documentos/631/16167179719/6311616717971907092023143132.jpeg","https://dpmzos25m8ivg.cloudfront.net/Documentos/631/16167179719/6311616717971907092023143132.jpeg")</f>
        <v>https://dpmzos25m8ivg.cloudfront.net/Documentos/631/16167179719/6311616717971907092023143132.jpeg</v>
      </c>
      <c r="G5852" s="5" t="str">
        <f>HYPERLINK("https://dpmzos25m8ivg.cloudfront.net/Documentos/631/16167179719/6311616717971907092023143233.jpeg","https://dpmzos25m8ivg.cloudfront.net/Documentos/631/16167179719/6311616717971907092023143233.jpeg")</f>
        <v>https://dpmzos25m8ivg.cloudfront.net/Documentos/631/16167179719/6311616717971907092023143233.jpeg</v>
      </c>
      <c r="H5852" s="4" t="s">
        <v>14423</v>
      </c>
    </row>
    <row r="5853" spans="1:8" x14ac:dyDescent="0.25">
      <c r="A5853" s="2" t="s">
        <v>5881</v>
      </c>
      <c r="B5853" s="3"/>
      <c r="C5853" s="3"/>
      <c r="D5853" s="3"/>
      <c r="E5853" s="5" t="str">
        <f>HYPERLINK("https://dpmzos25m8ivg.cloudfront.net/Documentos/631/16170356707/6311617035670707092023182038.pdf","https://dpmzos25m8ivg.cloudfront.net/Documentos/631/16170356707/6311617035670707092023182038.pdf")</f>
        <v>https://dpmzos25m8ivg.cloudfront.net/Documentos/631/16170356707/6311617035670707092023182038.pdf</v>
      </c>
      <c r="F5853" s="5" t="str">
        <f>HYPERLINK("https://dpmzos25m8ivg.cloudfront.net/Documentos/631/16170356707/6311617035670707092023182306.pdf","https://dpmzos25m8ivg.cloudfront.net/Documentos/631/16170356707/6311617035670707092023182306.pdf")</f>
        <v>https://dpmzos25m8ivg.cloudfront.net/Documentos/631/16170356707/6311617035670707092023182306.pdf</v>
      </c>
      <c r="G5853" s="5" t="str">
        <f>HYPERLINK("https://dpmzos25m8ivg.cloudfront.net/Documentos/631/16170356707/6311617035670707092023182351.pdf","https://dpmzos25m8ivg.cloudfront.net/Documentos/631/16170356707/6311617035670707092023182351.pdf")</f>
        <v>https://dpmzos25m8ivg.cloudfront.net/Documentos/631/16170356707/6311617035670707092023182351.pdf</v>
      </c>
      <c r="H5853" s="4" t="s">
        <v>14424</v>
      </c>
    </row>
    <row r="5854" spans="1:8" x14ac:dyDescent="0.25">
      <c r="A5854" s="2" t="s">
        <v>5882</v>
      </c>
      <c r="B5854" s="3"/>
      <c r="C5854" s="3"/>
      <c r="D5854" s="3"/>
      <c r="E5854" s="5" t="str">
        <f>HYPERLINK("https://dpmzos25m8ivg.cloudfront.net/Documentos/631/16174754758/6311617475475813092023162946.pdf","https://dpmzos25m8ivg.cloudfront.net/Documentos/631/16174754758/6311617475475813092023162946.pdf")</f>
        <v>https://dpmzos25m8ivg.cloudfront.net/Documentos/631/16174754758/6311617475475813092023162946.pdf</v>
      </c>
      <c r="F5854" s="5" t="str">
        <f>HYPERLINK("https://dpmzos25m8ivg.cloudfront.net/Documentos/631/16174754758/6311617475475813092023163000.pdf","https://dpmzos25m8ivg.cloudfront.net/Documentos/631/16174754758/6311617475475813092023163000.pdf")</f>
        <v>https://dpmzos25m8ivg.cloudfront.net/Documentos/631/16174754758/6311617475475813092023163000.pdf</v>
      </c>
      <c r="G5854" s="5" t="str">
        <f>HYPERLINK("https://dpmzos25m8ivg.cloudfront.net/Documentos/631/16174754758/6311617475475813092023163013.pdf","https://dpmzos25m8ivg.cloudfront.net/Documentos/631/16174754758/6311617475475813092023163013.pdf")</f>
        <v>https://dpmzos25m8ivg.cloudfront.net/Documentos/631/16174754758/6311617475475813092023163013.pdf</v>
      </c>
      <c r="H5854" s="4" t="s">
        <v>14425</v>
      </c>
    </row>
    <row r="5855" spans="1:8" x14ac:dyDescent="0.25">
      <c r="A5855" s="2" t="s">
        <v>5883</v>
      </c>
      <c r="B5855" s="3"/>
      <c r="C5855" s="3"/>
      <c r="D5855" s="3"/>
      <c r="E5855" s="5" t="str">
        <f>HYPERLINK("https://dpmzos25m8ivg.cloudfront.net/Documentos/631/16175970748/6311617597074806092023171149.jpeg","https://dpmzos25m8ivg.cloudfront.net/Documentos/631/16175970748/6311617597074806092023171149.jpeg")</f>
        <v>https://dpmzos25m8ivg.cloudfront.net/Documentos/631/16175970748/6311617597074806092023171149.jpeg</v>
      </c>
      <c r="F5855" s="5" t="str">
        <f>HYPERLINK("https://dpmzos25m8ivg.cloudfront.net/Documentos/631/16175970748/6311617597074806092023171212.jpeg","https://dpmzos25m8ivg.cloudfront.net/Documentos/631/16175970748/6311617597074806092023171212.jpeg")</f>
        <v>https://dpmzos25m8ivg.cloudfront.net/Documentos/631/16175970748/6311617597074806092023171212.jpeg</v>
      </c>
      <c r="G5855" s="5" t="str">
        <f>HYPERLINK("https://dpmzos25m8ivg.cloudfront.net/Documentos/631/16175970748/6311617597074806092023171225.jpeg","https://dpmzos25m8ivg.cloudfront.net/Documentos/631/16175970748/6311617597074806092023171225.jpeg")</f>
        <v>https://dpmzos25m8ivg.cloudfront.net/Documentos/631/16175970748/6311617597074806092023171225.jpeg</v>
      </c>
      <c r="H5855" s="4" t="s">
        <v>14426</v>
      </c>
    </row>
    <row r="5856" spans="1:8" x14ac:dyDescent="0.25">
      <c r="A5856" s="2" t="s">
        <v>5884</v>
      </c>
      <c r="B5856" s="16" t="s">
        <v>2358</v>
      </c>
      <c r="C5856" s="3"/>
      <c r="D5856" s="3"/>
      <c r="E5856" s="5" t="str">
        <f>HYPERLINK("https://dpmzos25m8ivg.cloudfront.net/Documentos/631/16179278725/6311617927872511092023092139.pdf","https://dpmzos25m8ivg.cloudfront.net/Documentos/631/16179278725/6311617927872511092023092139.pdf")</f>
        <v>https://dpmzos25m8ivg.cloudfront.net/Documentos/631/16179278725/6311617927872511092023092139.pdf</v>
      </c>
      <c r="F5856" s="5" t="str">
        <f>HYPERLINK("https://dpmzos25m8ivg.cloudfront.net/Documentos/631/16179278725/6311617927872511092023092147.pdf","https://dpmzos25m8ivg.cloudfront.net/Documentos/631/16179278725/6311617927872511092023092147.pdf")</f>
        <v>https://dpmzos25m8ivg.cloudfront.net/Documentos/631/16179278725/6311617927872511092023092147.pdf</v>
      </c>
      <c r="G5856" s="5" t="str">
        <f>HYPERLINK("https://dpmzos25m8ivg.cloudfront.net/Documentos/631/16179278725/6311617927872511092023092155.pdf","https://dpmzos25m8ivg.cloudfront.net/Documentos/631/16179278725/6311617927872511092023092155.pdf")</f>
        <v>https://dpmzos25m8ivg.cloudfront.net/Documentos/631/16179278725/6311617927872511092023092155.pdf</v>
      </c>
      <c r="H5856" s="5" t="s">
        <v>14427</v>
      </c>
    </row>
    <row r="5857" spans="1:8" x14ac:dyDescent="0.25">
      <c r="A5857" s="2" t="s">
        <v>5885</v>
      </c>
      <c r="B5857" s="3"/>
      <c r="C5857" s="3"/>
      <c r="D5857" s="3"/>
      <c r="E5857" s="5" t="str">
        <f>HYPERLINK("https://dpmzos25m8ivg.cloudfront.net/Documentos/631/16184158759/6311618415875908092023175013.pdf","https://dpmzos25m8ivg.cloudfront.net/Documentos/631/16184158759/6311618415875908092023175013.pdf")</f>
        <v>https://dpmzos25m8ivg.cloudfront.net/Documentos/631/16184158759/6311618415875908092023175013.pdf</v>
      </c>
      <c r="F5857" s="5" t="str">
        <f>HYPERLINK("https://dpmzos25m8ivg.cloudfront.net/Documentos/631/16184158759/6311618415875908092023175024.pdf","https://dpmzos25m8ivg.cloudfront.net/Documentos/631/16184158759/6311618415875908092023175024.pdf")</f>
        <v>https://dpmzos25m8ivg.cloudfront.net/Documentos/631/16184158759/6311618415875908092023175024.pdf</v>
      </c>
      <c r="G5857" s="5" t="str">
        <f>HYPERLINK("https://dpmzos25m8ivg.cloudfront.net/Documentos/631/16184158759/6311618415875908092023175031.pdf","https://dpmzos25m8ivg.cloudfront.net/Documentos/631/16184158759/6311618415875908092023175031.pdf")</f>
        <v>https://dpmzos25m8ivg.cloudfront.net/Documentos/631/16184158759/6311618415875908092023175031.pdf</v>
      </c>
      <c r="H5857" s="4" t="s">
        <v>14428</v>
      </c>
    </row>
    <row r="5858" spans="1:8" x14ac:dyDescent="0.25">
      <c r="A5858" s="2" t="s">
        <v>5886</v>
      </c>
      <c r="B5858" s="3"/>
      <c r="C5858" s="3"/>
      <c r="D5858" s="3"/>
      <c r="E5858" s="5" t="str">
        <f>HYPERLINK("https://dpmzos25m8ivg.cloudfront.net/Documentos/631/16195919799/6311619591979911092023154044.pdf","https://dpmzos25m8ivg.cloudfront.net/Documentos/631/16195919799/6311619591979911092023154044.pdf")</f>
        <v>https://dpmzos25m8ivg.cloudfront.net/Documentos/631/16195919799/6311619591979911092023154044.pdf</v>
      </c>
      <c r="F5858" s="5" t="str">
        <f>HYPERLINK("https://dpmzos25m8ivg.cloudfront.net/Documentos/631/16195919799/6311619591979911092023154056.pdf","https://dpmzos25m8ivg.cloudfront.net/Documentos/631/16195919799/6311619591979911092023154056.pdf")</f>
        <v>https://dpmzos25m8ivg.cloudfront.net/Documentos/631/16195919799/6311619591979911092023154056.pdf</v>
      </c>
      <c r="G5858" s="5" t="str">
        <f>HYPERLINK("https://dpmzos25m8ivg.cloudfront.net/Documentos/631/16195919799/6311619591979911092023154115.pdf","https://dpmzos25m8ivg.cloudfront.net/Documentos/631/16195919799/6311619591979911092023154115.pdf")</f>
        <v>https://dpmzos25m8ivg.cloudfront.net/Documentos/631/16195919799/6311619591979911092023154115.pdf</v>
      </c>
      <c r="H5858" s="4" t="s">
        <v>14429</v>
      </c>
    </row>
    <row r="5859" spans="1:8" x14ac:dyDescent="0.25">
      <c r="A5859" s="2" t="s">
        <v>5887</v>
      </c>
      <c r="B5859" s="3"/>
      <c r="C5859" s="3"/>
      <c r="D5859" s="3"/>
      <c r="E5859" s="5" t="str">
        <f>HYPERLINK("https://dpmzos25m8ivg.cloudfront.net/Documentos/631/16203132780/6311620313278011092023144855.jpg","https://dpmzos25m8ivg.cloudfront.net/Documentos/631/16203132780/6311620313278011092023144855.jpg")</f>
        <v>https://dpmzos25m8ivg.cloudfront.net/Documentos/631/16203132780/6311620313278011092023144855.jpg</v>
      </c>
      <c r="F5859" s="5" t="str">
        <f>HYPERLINK("https://dpmzos25m8ivg.cloudfront.net/Documentos/631/16203132780/6311620313278011092023144905.jpg","https://dpmzos25m8ivg.cloudfront.net/Documentos/631/16203132780/6311620313278011092023144905.jpg")</f>
        <v>https://dpmzos25m8ivg.cloudfront.net/Documentos/631/16203132780/6311620313278011092023144905.jpg</v>
      </c>
      <c r="G5859" s="5" t="str">
        <f>HYPERLINK("https://dpmzos25m8ivg.cloudfront.net/Documentos/631/16203132780/6311620313278011092023144918.jpg","https://dpmzos25m8ivg.cloudfront.net/Documentos/631/16203132780/6311620313278011092023144918.jpg")</f>
        <v>https://dpmzos25m8ivg.cloudfront.net/Documentos/631/16203132780/6311620313278011092023144918.jpg</v>
      </c>
      <c r="H5859" s="4" t="s">
        <v>14430</v>
      </c>
    </row>
    <row r="5860" spans="1:8" x14ac:dyDescent="0.25">
      <c r="A5860" s="2" t="s">
        <v>5888</v>
      </c>
      <c r="B5860" s="3"/>
      <c r="C5860" s="3"/>
      <c r="D5860" s="3"/>
      <c r="E5860" s="5" t="str">
        <f>HYPERLINK("https://dpmzos25m8ivg.cloudfront.net/Documentos/631/16210968740/6311621096874011092023130127.pdf","https://dpmzos25m8ivg.cloudfront.net/Documentos/631/16210968740/6311621096874011092023130127.pdf")</f>
        <v>https://dpmzos25m8ivg.cloudfront.net/Documentos/631/16210968740/6311621096874011092023130127.pdf</v>
      </c>
      <c r="F5860" s="5" t="str">
        <f>HYPERLINK("https://dpmzos25m8ivg.cloudfront.net/Documentos/631/16210968740/6311621096874011092023130505.pdf","https://dpmzos25m8ivg.cloudfront.net/Documentos/631/16210968740/6311621096874011092023130505.pdf")</f>
        <v>https://dpmzos25m8ivg.cloudfront.net/Documentos/631/16210968740/6311621096874011092023130505.pdf</v>
      </c>
      <c r="G5860" s="5" t="str">
        <f>HYPERLINK("https://dpmzos25m8ivg.cloudfront.net/Documentos/631/16210968740/AS51376311621096874011092023130517.pdf","https://dpmzos25m8ivg.cloudfront.net/Documentos/631/16210968740/6311621096874011092023130517.pdf")</f>
        <v>https://dpmzos25m8ivg.cloudfront.net/Documentos/631/16210968740/6311621096874011092023130517.pdf</v>
      </c>
      <c r="H5860" s="4" t="s">
        <v>14431</v>
      </c>
    </row>
    <row r="5861" spans="1:8" x14ac:dyDescent="0.25">
      <c r="A5861" s="2" t="s">
        <v>5889</v>
      </c>
      <c r="B5861" s="3"/>
      <c r="C5861" s="3"/>
      <c r="D5861" s="3"/>
      <c r="E5861" s="5" t="str">
        <f>HYPERLINK("https://dpmzos25m8ivg.cloudfront.net/Documentos/631/16212314705/6311621231470510092023192850.pdf","https://dpmzos25m8ivg.cloudfront.net/Documentos/631/16212314705/6311621231470510092023192850.pdf")</f>
        <v>https://dpmzos25m8ivg.cloudfront.net/Documentos/631/16212314705/6311621231470510092023192850.pdf</v>
      </c>
      <c r="F5861" s="5" t="str">
        <f>HYPERLINK("https://dpmzos25m8ivg.cloudfront.net/Documentos/631/16212314705/6311621231470510092023192916.pdf","https://dpmzos25m8ivg.cloudfront.net/Documentos/631/16212314705/6311621231470510092023192916.pdf")</f>
        <v>https://dpmzos25m8ivg.cloudfront.net/Documentos/631/16212314705/6311621231470510092023192916.pdf</v>
      </c>
      <c r="G5861" s="5" t="str">
        <f>HYPERLINK("https://dpmzos25m8ivg.cloudfront.net/Documentos/631/16212314705/6311621231470510092023192928.pdf","https://dpmzos25m8ivg.cloudfront.net/Documentos/631/16212314705/6311621231470510092023192928.pdf")</f>
        <v>https://dpmzos25m8ivg.cloudfront.net/Documentos/631/16212314705/6311621231470510092023192928.pdf</v>
      </c>
      <c r="H5861" s="4" t="s">
        <v>14432</v>
      </c>
    </row>
    <row r="5862" spans="1:8" x14ac:dyDescent="0.25">
      <c r="A5862" s="2" t="s">
        <v>5890</v>
      </c>
      <c r="B5862" s="16" t="s">
        <v>2358</v>
      </c>
      <c r="C5862" s="3"/>
      <c r="D5862" s="3"/>
      <c r="E5862" s="5" t="str">
        <f>HYPERLINK("https://dpmzos25m8ivg.cloudfront.net/Documentos/631/16212404798/6311621240479811092023112357.pdf","https://dpmzos25m8ivg.cloudfront.net/Documentos/631/16212404798/6311621240479811092023112357.pdf")</f>
        <v>https://dpmzos25m8ivg.cloudfront.net/Documentos/631/16212404798/6311621240479811092023112357.pdf</v>
      </c>
      <c r="F5862" s="5" t="str">
        <f>HYPERLINK("https://dpmzos25m8ivg.cloudfront.net/Documentos/631/16212404798/6311621240479811092023112413.pdf","https://dpmzos25m8ivg.cloudfront.net/Documentos/631/16212404798/6311621240479811092023112413.pdf")</f>
        <v>https://dpmzos25m8ivg.cloudfront.net/Documentos/631/16212404798/6311621240479811092023112413.pdf</v>
      </c>
      <c r="G5862" s="5" t="str">
        <f>HYPERLINK("https://dpmzos25m8ivg.cloudfront.net/Documentos/631/16212404798/6311621240479811092023112422.pdf","https://dpmzos25m8ivg.cloudfront.net/Documentos/631/16212404798/6311621240479811092023112422.pdf")</f>
        <v>https://dpmzos25m8ivg.cloudfront.net/Documentos/631/16212404798/6311621240479811092023112422.pdf</v>
      </c>
      <c r="H5862" s="5" t="s">
        <v>14433</v>
      </c>
    </row>
    <row r="5863" spans="1:8" x14ac:dyDescent="0.25">
      <c r="A5863" s="2" t="s">
        <v>5891</v>
      </c>
      <c r="B5863" s="3"/>
      <c r="C5863" s="3"/>
      <c r="D5863" s="3"/>
      <c r="E5863" s="5" t="str">
        <f>HYPERLINK("https://dpmzos25m8ivg.cloudfront.net/Documentos/631/16243189759/6311624318975911092023160722.pdf","https://dpmzos25m8ivg.cloudfront.net/Documentos/631/16243189759/6311624318975911092023160722.pdf")</f>
        <v>https://dpmzos25m8ivg.cloudfront.net/Documentos/631/16243189759/6311624318975911092023160722.pdf</v>
      </c>
      <c r="F5863" s="5" t="str">
        <f>HYPERLINK("https://dpmzos25m8ivg.cloudfront.net/Documentos/631/16243189759/6311624318975911092023160735.pdf","https://dpmzos25m8ivg.cloudfront.net/Documentos/631/16243189759/6311624318975911092023160735.pdf")</f>
        <v>https://dpmzos25m8ivg.cloudfront.net/Documentos/631/16243189759/6311624318975911092023160735.pdf</v>
      </c>
      <c r="G5863" s="5" t="str">
        <f>HYPERLINK("https://dpmzos25m8ivg.cloudfront.net/Documentos/631/16243189759/6311624318975911092023160745.pdf","https://dpmzos25m8ivg.cloudfront.net/Documentos/631/16243189759/6311624318975911092023160745.pdf")</f>
        <v>https://dpmzos25m8ivg.cloudfront.net/Documentos/631/16243189759/6311624318975911092023160745.pdf</v>
      </c>
      <c r="H5863" s="4" t="s">
        <v>14434</v>
      </c>
    </row>
    <row r="5864" spans="1:8" x14ac:dyDescent="0.25">
      <c r="A5864" s="2" t="s">
        <v>5892</v>
      </c>
      <c r="B5864" s="3"/>
      <c r="C5864" s="3"/>
      <c r="D5864" s="3"/>
      <c r="E5864" s="5" t="str">
        <f>HYPERLINK("https://dpmzos25m8ivg.cloudfront.net/Documentos/631/16251252677/6311625125267711092023153910.pdf","https://dpmzos25m8ivg.cloudfront.net/Documentos/631/16251252677/6311625125267711092023153910.pdf")</f>
        <v>https://dpmzos25m8ivg.cloudfront.net/Documentos/631/16251252677/6311625125267711092023153910.pdf</v>
      </c>
      <c r="F5864" s="5" t="str">
        <f>HYPERLINK("https://dpmzos25m8ivg.cloudfront.net/Documentos/631/16251252677/6311625125267711092023153917.pdf","https://dpmzos25m8ivg.cloudfront.net/Documentos/631/16251252677/6311625125267711092023153917.pdf")</f>
        <v>https://dpmzos25m8ivg.cloudfront.net/Documentos/631/16251252677/6311625125267711092023153917.pdf</v>
      </c>
      <c r="G5864" s="5" t="str">
        <f>HYPERLINK("https://dpmzos25m8ivg.cloudfront.net/Documentos/631/16251252677/6311625125267711092023153924.pdf","https://dpmzos25m8ivg.cloudfront.net/Documentos/631/16251252677/6311625125267711092023153924.pdf")</f>
        <v>https://dpmzos25m8ivg.cloudfront.net/Documentos/631/16251252677/6311625125267711092023153924.pdf</v>
      </c>
      <c r="H5864" s="4" t="s">
        <v>14435</v>
      </c>
    </row>
    <row r="5865" spans="1:8" x14ac:dyDescent="0.25">
      <c r="A5865" s="2" t="s">
        <v>5893</v>
      </c>
      <c r="B5865" s="3"/>
      <c r="C5865" s="3"/>
      <c r="D5865" s="3"/>
      <c r="E5865" s="5" t="str">
        <f>HYPERLINK("https://dpmzos25m8ivg.cloudfront.net/Documentos/631/16254644797/6311625464479714092023110552.pdf","https://dpmzos25m8ivg.cloudfront.net/Documentos/631/16254644797/6311625464479714092023110552.pdf")</f>
        <v>https://dpmzos25m8ivg.cloudfront.net/Documentos/631/16254644797/6311625464479714092023110552.pdf</v>
      </c>
      <c r="F5865" s="5" t="str">
        <f>HYPERLINK("https://dpmzos25m8ivg.cloudfront.net/Documentos/631/16254644797/6311625464479714092023110602.pdf","https://dpmzos25m8ivg.cloudfront.net/Documentos/631/16254644797/6311625464479714092023110602.pdf")</f>
        <v>https://dpmzos25m8ivg.cloudfront.net/Documentos/631/16254644797/6311625464479714092023110602.pdf</v>
      </c>
      <c r="G5865" s="5" t="str">
        <f>HYPERLINK("https://dpmzos25m8ivg.cloudfront.net/Documentos/631/16254644797/6311625464479714092023110611.pdf","https://dpmzos25m8ivg.cloudfront.net/Documentos/631/16254644797/6311625464479714092023110611.pdf")</f>
        <v>https://dpmzos25m8ivg.cloudfront.net/Documentos/631/16254644797/6311625464479714092023110611.pdf</v>
      </c>
      <c r="H5865" s="4" t="s">
        <v>14436</v>
      </c>
    </row>
    <row r="5866" spans="1:8" x14ac:dyDescent="0.25">
      <c r="A5866" s="2" t="s">
        <v>5894</v>
      </c>
      <c r="B5866" s="19" t="s">
        <v>3385</v>
      </c>
      <c r="C5866" s="3"/>
      <c r="D5866" s="3"/>
      <c r="E5866" s="5" t="str">
        <f>HYPERLINK("https://dpmzos25m8ivg.cloudfront.net/Documentos/631/16257760801/6311625776080106092023092451.jpeg","https://dpmzos25m8ivg.cloudfront.net/Documentos/631/16257760801/6311625776080106092023092451.jpeg")</f>
        <v>https://dpmzos25m8ivg.cloudfront.net/Documentos/631/16257760801/6311625776080106092023092451.jpeg</v>
      </c>
      <c r="F5866" s="5" t="str">
        <f>HYPERLINK("https://dpmzos25m8ivg.cloudfront.net/Documentos/631/16257760801/6311625776080106092023092504.jpeg","https://dpmzos25m8ivg.cloudfront.net/Documentos/631/16257760801/6311625776080106092023092504.jpeg")</f>
        <v>https://dpmzos25m8ivg.cloudfront.net/Documentos/631/16257760801/6311625776080106092023092504.jpeg</v>
      </c>
      <c r="G5866" s="5" t="str">
        <f>HYPERLINK("https://dpmzos25m8ivg.cloudfront.net/Documentos/631/16257760801/6311625776080106092023092520.jpeg","https://dpmzos25m8ivg.cloudfront.net/Documentos/631/16257760801/6311625776080106092023092520.jpeg")</f>
        <v>https://dpmzos25m8ivg.cloudfront.net/Documentos/631/16257760801/6311625776080106092023092520.jpeg</v>
      </c>
      <c r="H5866" s="4" t="s">
        <v>14437</v>
      </c>
    </row>
    <row r="5867" spans="1:8" x14ac:dyDescent="0.25">
      <c r="A5867" s="2" t="s">
        <v>5895</v>
      </c>
      <c r="B5867" s="3"/>
      <c r="C5867" s="3"/>
      <c r="D5867" s="3"/>
      <c r="E5867" s="5" t="str">
        <f>HYPERLINK("https://dpmzos25m8ivg.cloudfront.net/Documentos/631/16263237716/6311626323771605092023150917.jpeg","https://dpmzos25m8ivg.cloudfront.net/Documentos/631/16263237716/6311626323771605092023150917.jpeg")</f>
        <v>https://dpmzos25m8ivg.cloudfront.net/Documentos/631/16263237716/6311626323771605092023150917.jpeg</v>
      </c>
      <c r="F5867" s="5" t="str">
        <f>HYPERLINK("https://dpmzos25m8ivg.cloudfront.net/Documentos/631/16263237716/6311626323771605092023150938.jpeg","https://dpmzos25m8ivg.cloudfront.net/Documentos/631/16263237716/6311626323771605092023150938.jpeg")</f>
        <v>https://dpmzos25m8ivg.cloudfront.net/Documentos/631/16263237716/6311626323771605092023150938.jpeg</v>
      </c>
      <c r="G5867" s="5" t="str">
        <f>HYPERLINK("https://dpmzos25m8ivg.cloudfront.net/Documentos/631/16263237716/6311626323771605092023151000.jpeg","https://dpmzos25m8ivg.cloudfront.net/Documentos/631/16263237716/6311626323771605092023151000.jpeg")</f>
        <v>https://dpmzos25m8ivg.cloudfront.net/Documentos/631/16263237716/6311626323771605092023151000.jpeg</v>
      </c>
      <c r="H5867" s="4" t="s">
        <v>14438</v>
      </c>
    </row>
    <row r="5868" spans="1:8" x14ac:dyDescent="0.25">
      <c r="A5868" s="2" t="s">
        <v>5896</v>
      </c>
      <c r="B5868" s="3"/>
      <c r="C5868" s="3"/>
      <c r="D5868" s="3"/>
      <c r="E5868" s="5" t="str">
        <f>HYPERLINK("https://dpmzos25m8ivg.cloudfront.net/Documentos/631/16266613670/6311626661367005092023225001.pdf","https://dpmzos25m8ivg.cloudfront.net/Documentos/631/16266613670/6311626661367005092023225001.pdf")</f>
        <v>https://dpmzos25m8ivg.cloudfront.net/Documentos/631/16266613670/6311626661367005092023225001.pdf</v>
      </c>
      <c r="F5868" s="5" t="str">
        <f>HYPERLINK("https://dpmzos25m8ivg.cloudfront.net/Documentos/631/16266613670/6311626661367005092023225013.pdf","https://dpmzos25m8ivg.cloudfront.net/Documentos/631/16266613670/6311626661367005092023225013.pdf")</f>
        <v>https://dpmzos25m8ivg.cloudfront.net/Documentos/631/16266613670/6311626661367005092023225013.pdf</v>
      </c>
      <c r="G5868" s="5" t="str">
        <f>HYPERLINK("https://dpmzos25m8ivg.cloudfront.net/Documentos/631/16266613670/6311626661367005092023225025.pdf","https://dpmzos25m8ivg.cloudfront.net/Documentos/631/16266613670/6311626661367005092023225025.pdf")</f>
        <v>https://dpmzos25m8ivg.cloudfront.net/Documentos/631/16266613670/6311626661367005092023225025.pdf</v>
      </c>
      <c r="H5868" s="4" t="s">
        <v>14439</v>
      </c>
    </row>
    <row r="5869" spans="1:8" x14ac:dyDescent="0.25">
      <c r="A5869" s="2" t="s">
        <v>5897</v>
      </c>
      <c r="B5869" s="3"/>
      <c r="C5869" s="3"/>
      <c r="D5869" s="3"/>
      <c r="E5869" s="5" t="str">
        <f>HYPERLINK("https://dpmzos25m8ivg.cloudfront.net/Documentos/631/16296522703/6311629652270306092023095344.pdf","https://dpmzos25m8ivg.cloudfront.net/Documentos/631/16296522703/6311629652270306092023095344.pdf")</f>
        <v>https://dpmzos25m8ivg.cloudfront.net/Documentos/631/16296522703/6311629652270306092023095344.pdf</v>
      </c>
      <c r="F5869" s="5" t="str">
        <f>HYPERLINK("https://dpmzos25m8ivg.cloudfront.net/Documentos/631/16296522703/6311629652270306092023095405.pdf","https://dpmzos25m8ivg.cloudfront.net/Documentos/631/16296522703/6311629652270306092023095405.pdf")</f>
        <v>https://dpmzos25m8ivg.cloudfront.net/Documentos/631/16296522703/6311629652270306092023095405.pdf</v>
      </c>
      <c r="G5869" s="5" t="str">
        <f>HYPERLINK("https://dpmzos25m8ivg.cloudfront.net/Documentos/631/16296522703/6311629652270306092023095422.pdf","https://dpmzos25m8ivg.cloudfront.net/Documentos/631/16296522703/6311629652270306092023095422.pdf")</f>
        <v>https://dpmzos25m8ivg.cloudfront.net/Documentos/631/16296522703/6311629652270306092023095422.pdf</v>
      </c>
      <c r="H5869" s="4" t="s">
        <v>14440</v>
      </c>
    </row>
    <row r="5870" spans="1:8" x14ac:dyDescent="0.25">
      <c r="A5870" s="2" t="s">
        <v>5898</v>
      </c>
      <c r="B5870" s="16" t="s">
        <v>2358</v>
      </c>
      <c r="C5870" s="3"/>
      <c r="D5870" s="3"/>
      <c r="E5870" s="5" t="str">
        <f>HYPERLINK("https://dpmzos25m8ivg.cloudfront.net/Documentos/631/16302063698/6311630206369811092023152448.jpg","https://dpmzos25m8ivg.cloudfront.net/Documentos/631/16302063698/6311630206369811092023152448.jpg")</f>
        <v>https://dpmzos25m8ivg.cloudfront.net/Documentos/631/16302063698/6311630206369811092023152448.jpg</v>
      </c>
      <c r="F5870" s="5" t="str">
        <f>HYPERLINK("https://dpmzos25m8ivg.cloudfront.net/Documentos/631/16302063698/6311630206369811092023152456.jpg","https://dpmzos25m8ivg.cloudfront.net/Documentos/631/16302063698/6311630206369811092023152456.jpg")</f>
        <v>https://dpmzos25m8ivg.cloudfront.net/Documentos/631/16302063698/6311630206369811092023152456.jpg</v>
      </c>
      <c r="G5870" s="5" t="str">
        <f>HYPERLINK("https://dpmzos25m8ivg.cloudfront.net/Documentos/631/16302063698/6311630206369811092023152504.jpg","https://dpmzos25m8ivg.cloudfront.net/Documentos/631/16302063698/6311630206369811092023152504.jpg")</f>
        <v>https://dpmzos25m8ivg.cloudfront.net/Documentos/631/16302063698/6311630206369811092023152504.jpg</v>
      </c>
      <c r="H5870" s="5" t="s">
        <v>14441</v>
      </c>
    </row>
    <row r="5871" spans="1:8" x14ac:dyDescent="0.25">
      <c r="A5871" s="2" t="s">
        <v>5899</v>
      </c>
      <c r="B5871" s="16" t="s">
        <v>2358</v>
      </c>
      <c r="C5871" s="3"/>
      <c r="D5871" s="3"/>
      <c r="E5871" s="5" t="str">
        <f>HYPERLINK("https://dpmzos25m8ivg.cloudfront.net/Documentos/631/16307168714/6311630716871410092023195717.pdf","https://dpmzos25m8ivg.cloudfront.net/Documentos/631/16307168714/6311630716871410092023195717.pdf")</f>
        <v>https://dpmzos25m8ivg.cloudfront.net/Documentos/631/16307168714/6311630716871410092023195717.pdf</v>
      </c>
      <c r="F5871" s="5" t="str">
        <f>HYPERLINK("https://dpmzos25m8ivg.cloudfront.net/Documentos/631/16307168714/6311630716871410092023195725.pdf","https://dpmzos25m8ivg.cloudfront.net/Documentos/631/16307168714/6311630716871410092023195725.pdf")</f>
        <v>https://dpmzos25m8ivg.cloudfront.net/Documentos/631/16307168714/6311630716871410092023195725.pdf</v>
      </c>
      <c r="G5871" s="5" t="str">
        <f>HYPERLINK("https://dpmzos25m8ivg.cloudfront.net/Documentos/631/16307168714/6311630716871410092023195733.pdf","https://dpmzos25m8ivg.cloudfront.net/Documentos/631/16307168714/6311630716871410092023195733.pdf")</f>
        <v>https://dpmzos25m8ivg.cloudfront.net/Documentos/631/16307168714/6311630716871410092023195733.pdf</v>
      </c>
      <c r="H5871" s="5" t="s">
        <v>14442</v>
      </c>
    </row>
    <row r="5872" spans="1:8" x14ac:dyDescent="0.25">
      <c r="A5872" s="2" t="s">
        <v>5900</v>
      </c>
      <c r="B5872" s="3"/>
      <c r="C5872" s="3"/>
      <c r="D5872" s="3"/>
      <c r="E5872" s="5" t="str">
        <f>HYPERLINK("https://dpmzos25m8ivg.cloudfront.net/Documentos/631/16309116746/6311630911674610092023162341.jpg","https://dpmzos25m8ivg.cloudfront.net/Documentos/631/16309116746/6311630911674610092023162341.jpg")</f>
        <v>https://dpmzos25m8ivg.cloudfront.net/Documentos/631/16309116746/6311630911674610092023162341.jpg</v>
      </c>
      <c r="F5872" s="5" t="str">
        <f>HYPERLINK("https://dpmzos25m8ivg.cloudfront.net/Documentos/631/16309116746/6311630911674610092023162539.pdf","https://dpmzos25m8ivg.cloudfront.net/Documentos/631/16309116746/6311630911674610092023162539.pdf")</f>
        <v>https://dpmzos25m8ivg.cloudfront.net/Documentos/631/16309116746/6311630911674610092023162539.pdf</v>
      </c>
      <c r="G5872" s="5" t="str">
        <f>HYPERLINK("https://dpmzos25m8ivg.cloudfront.net/Documentos/631/16309116746/6311630911674610092023162558.pdf","https://dpmzos25m8ivg.cloudfront.net/Documentos/631/16309116746/6311630911674610092023162558.pdf")</f>
        <v>https://dpmzos25m8ivg.cloudfront.net/Documentos/631/16309116746/6311630911674610092023162558.pdf</v>
      </c>
      <c r="H5872" s="4" t="s">
        <v>14443</v>
      </c>
    </row>
    <row r="5873" spans="1:8" x14ac:dyDescent="0.25">
      <c r="A5873" s="2" t="s">
        <v>5901</v>
      </c>
      <c r="B5873" s="3"/>
      <c r="C5873" s="3"/>
      <c r="D5873" s="3"/>
      <c r="E5873" s="5" t="str">
        <f>HYPERLINK("https://dpmzos25m8ivg.cloudfront.net/Documentos/631/16323490862/6311632349086211092023104152.jpg","https://dpmzos25m8ivg.cloudfront.net/Documentos/631/16323490862/6311632349086211092023104152.jpg")</f>
        <v>https://dpmzos25m8ivg.cloudfront.net/Documentos/631/16323490862/6311632349086211092023104152.jpg</v>
      </c>
      <c r="F5873" s="5" t="str">
        <f>HYPERLINK("https://dpmzos25m8ivg.cloudfront.net/Documentos/631/16323490862/6311632349086211092023104202.jpg","https://dpmzos25m8ivg.cloudfront.net/Documentos/631/16323490862/6311632349086211092023104202.jpg")</f>
        <v>https://dpmzos25m8ivg.cloudfront.net/Documentos/631/16323490862/6311632349086211092023104202.jpg</v>
      </c>
      <c r="G5873" s="5" t="str">
        <f>HYPERLINK("https://dpmzos25m8ivg.cloudfront.net/Documentos/631/16323490862/6311632349086211092023104210.jpg","https://dpmzos25m8ivg.cloudfront.net/Documentos/631/16323490862/6311632349086211092023104210.jpg")</f>
        <v>https://dpmzos25m8ivg.cloudfront.net/Documentos/631/16323490862/6311632349086211092023104210.jpg</v>
      </c>
      <c r="H5873" s="4" t="s">
        <v>14444</v>
      </c>
    </row>
    <row r="5874" spans="1:8" x14ac:dyDescent="0.25">
      <c r="A5874" s="2" t="s">
        <v>5902</v>
      </c>
      <c r="B5874" s="3"/>
      <c r="C5874" s="3"/>
      <c r="D5874" s="3"/>
      <c r="E5874" s="5" t="str">
        <f>HYPERLINK("https://dpmzos25m8ivg.cloudfront.net/Documentos/631/16338710707/6311633871070710092023185449.pdf","https://dpmzos25m8ivg.cloudfront.net/Documentos/631/16338710707/6311633871070710092023185449.pdf")</f>
        <v>https://dpmzos25m8ivg.cloudfront.net/Documentos/631/16338710707/6311633871070710092023185449.pdf</v>
      </c>
      <c r="F5874" s="5" t="str">
        <f>HYPERLINK("https://dpmzos25m8ivg.cloudfront.net/Documentos/631/16338710707/6311633871070710092023185459.pdf","https://dpmzos25m8ivg.cloudfront.net/Documentos/631/16338710707/6311633871070710092023185459.pdf")</f>
        <v>https://dpmzos25m8ivg.cloudfront.net/Documentos/631/16338710707/6311633871070710092023185459.pdf</v>
      </c>
      <c r="G5874" s="5" t="str">
        <f>HYPERLINK("https://dpmzos25m8ivg.cloudfront.net/Documentos/631/16338710707/6311633871070710092023185508.pdf","https://dpmzos25m8ivg.cloudfront.net/Documentos/631/16338710707/6311633871070710092023185508.pdf")</f>
        <v>https://dpmzos25m8ivg.cloudfront.net/Documentos/631/16338710707/6311633871070710092023185508.pdf</v>
      </c>
      <c r="H5874" s="4" t="s">
        <v>14445</v>
      </c>
    </row>
    <row r="5875" spans="1:8" x14ac:dyDescent="0.25">
      <c r="A5875" s="2" t="s">
        <v>5903</v>
      </c>
      <c r="B5875" s="3"/>
      <c r="C5875" s="3"/>
      <c r="D5875" s="3"/>
      <c r="E5875" s="5" t="str">
        <f>HYPERLINK("https://dpmzos25m8ivg.cloudfront.net/Documentos/631/16356438304/6311635643830412092023212636.jpg","https://dpmzos25m8ivg.cloudfront.net/Documentos/631/16356438304/6311635643830412092023212636.jpg")</f>
        <v>https://dpmzos25m8ivg.cloudfront.net/Documentos/631/16356438304/6311635643830412092023212636.jpg</v>
      </c>
      <c r="F5875" s="5" t="str">
        <f>HYPERLINK("https://dpmzos25m8ivg.cloudfront.net/Documentos/631/16356438304/6311635643830412092023212742.jpg","https://dpmzos25m8ivg.cloudfront.net/Documentos/631/16356438304/6311635643830412092023212742.jpg")</f>
        <v>https://dpmzos25m8ivg.cloudfront.net/Documentos/631/16356438304/6311635643830412092023212742.jpg</v>
      </c>
      <c r="G5875" s="5" t="str">
        <f>HYPERLINK("https://dpmzos25m8ivg.cloudfront.net/Documentos/631/16356438304/6311635643830412092023212829.jpg","https://dpmzos25m8ivg.cloudfront.net/Documentos/631/16356438304/6311635643830412092023212829.jpg")</f>
        <v>https://dpmzos25m8ivg.cloudfront.net/Documentos/631/16356438304/6311635643830412092023212829.jpg</v>
      </c>
      <c r="H5875" s="4" t="s">
        <v>14446</v>
      </c>
    </row>
    <row r="5876" spans="1:8" x14ac:dyDescent="0.25">
      <c r="A5876" s="2" t="s">
        <v>5904</v>
      </c>
      <c r="B5876" s="3"/>
      <c r="C5876" s="3"/>
      <c r="D5876" s="3"/>
      <c r="E5876" s="5" t="str">
        <f>HYPERLINK("https://dpmzos25m8ivg.cloudfront.net/Documentos/631/16368732784/6311636873278411092023152847.jpg","https://dpmzos25m8ivg.cloudfront.net/Documentos/631/16368732784/6311636873278411092023152847.jpg")</f>
        <v>https://dpmzos25m8ivg.cloudfront.net/Documentos/631/16368732784/6311636873278411092023152847.jpg</v>
      </c>
      <c r="F5876" s="5" t="str">
        <f>HYPERLINK("https://dpmzos25m8ivg.cloudfront.net/Documentos/631/16368732784/6311636873278411092023152909.jpg","https://dpmzos25m8ivg.cloudfront.net/Documentos/631/16368732784/6311636873278411092023152909.jpg")</f>
        <v>https://dpmzos25m8ivg.cloudfront.net/Documentos/631/16368732784/6311636873278411092023152909.jpg</v>
      </c>
      <c r="G5876" s="5" t="str">
        <f>HYPERLINK("https://dpmzos25m8ivg.cloudfront.net/Documentos/631/16368732784/6311636873278411092023152922.jpg","https://dpmzos25m8ivg.cloudfront.net/Documentos/631/16368732784/6311636873278411092023152922.jpg")</f>
        <v>https://dpmzos25m8ivg.cloudfront.net/Documentos/631/16368732784/6311636873278411092023152922.jpg</v>
      </c>
      <c r="H5876" s="4" t="s">
        <v>14447</v>
      </c>
    </row>
    <row r="5877" spans="1:8" x14ac:dyDescent="0.25">
      <c r="A5877" s="2" t="s">
        <v>5905</v>
      </c>
      <c r="B5877" s="16" t="s">
        <v>2358</v>
      </c>
      <c r="C5877" s="3"/>
      <c r="D5877" s="3"/>
      <c r="E5877" s="5" t="str">
        <f>HYPERLINK("https://dpmzos25m8ivg.cloudfront.net/Documentos/631/16376642730/6311637664273011092023163225.jpeg","https://dpmzos25m8ivg.cloudfront.net/Documentos/631/16376642730/6311637664273011092023163225.jpeg")</f>
        <v>https://dpmzos25m8ivg.cloudfront.net/Documentos/631/16376642730/6311637664273011092023163225.jpeg</v>
      </c>
      <c r="F5877" s="5" t="str">
        <f>HYPERLINK("https://dpmzos25m8ivg.cloudfront.net/Documentos/631/16376642730/6311637664273011092023163239.jpeg","https://dpmzos25m8ivg.cloudfront.net/Documentos/631/16376642730/6311637664273011092023163239.jpeg")</f>
        <v>https://dpmzos25m8ivg.cloudfront.net/Documentos/631/16376642730/6311637664273011092023163239.jpeg</v>
      </c>
      <c r="G5877" s="5" t="str">
        <f>HYPERLINK("https://dpmzos25m8ivg.cloudfront.net/Documentos/631/16376642730/6311637664273011092023163251.jpeg","https://dpmzos25m8ivg.cloudfront.net/Documentos/631/16376642730/6311637664273011092023163251.jpeg")</f>
        <v>https://dpmzos25m8ivg.cloudfront.net/Documentos/631/16376642730/6311637664273011092023163251.jpeg</v>
      </c>
      <c r="H5877" s="5" t="s">
        <v>14448</v>
      </c>
    </row>
    <row r="5878" spans="1:8" x14ac:dyDescent="0.25">
      <c r="A5878" s="2" t="s">
        <v>5906</v>
      </c>
      <c r="B5878" s="3"/>
      <c r="C5878" s="3"/>
      <c r="D5878" s="3"/>
      <c r="E5878" s="5" t="str">
        <f>HYPERLINK("https://dpmzos25m8ivg.cloudfront.net/Documentos/631/16379793712/6311637979371210092023183117.pdf","https://dpmzos25m8ivg.cloudfront.net/Documentos/631/16379793712/6311637979371210092023183117.pdf")</f>
        <v>https://dpmzos25m8ivg.cloudfront.net/Documentos/631/16379793712/6311637979371210092023183117.pdf</v>
      </c>
      <c r="F5878" s="5" t="str">
        <f>HYPERLINK("https://dpmzos25m8ivg.cloudfront.net/Documentos/631/16379793712/6311637979371210092023183127.pdf","https://dpmzos25m8ivg.cloudfront.net/Documentos/631/16379793712/6311637979371210092023183127.pdf")</f>
        <v>https://dpmzos25m8ivg.cloudfront.net/Documentos/631/16379793712/6311637979371210092023183127.pdf</v>
      </c>
      <c r="G5878" s="5" t="str">
        <f>HYPERLINK("https://dpmzos25m8ivg.cloudfront.net/Documentos/631/16379793712/6311637979371210092023183138.pdf","https://dpmzos25m8ivg.cloudfront.net/Documentos/631/16379793712/6311637979371210092023183138.pdf")</f>
        <v>https://dpmzos25m8ivg.cloudfront.net/Documentos/631/16379793712/6311637979371210092023183138.pdf</v>
      </c>
      <c r="H5878" s="4" t="s">
        <v>14449</v>
      </c>
    </row>
    <row r="5879" spans="1:8" x14ac:dyDescent="0.25">
      <c r="A5879" s="2" t="s">
        <v>5907</v>
      </c>
      <c r="B5879" s="16" t="s">
        <v>2358</v>
      </c>
      <c r="C5879" s="3"/>
      <c r="D5879" s="3"/>
      <c r="E5879" s="5" t="str">
        <f>HYPERLINK("https://dpmzos25m8ivg.cloudfront.net/Documentos/631/16383556738/6311638355673808092023200958.jpeg","https://dpmzos25m8ivg.cloudfront.net/Documentos/631/16383556738/6311638355673808092023200958.jpeg")</f>
        <v>https://dpmzos25m8ivg.cloudfront.net/Documentos/631/16383556738/6311638355673808092023200958.jpeg</v>
      </c>
      <c r="F5879" s="5" t="str">
        <f>HYPERLINK("https://dpmzos25m8ivg.cloudfront.net/Documentos/631/16383556738/6311638355673808092023201007.jpeg","https://dpmzos25m8ivg.cloudfront.net/Documentos/631/16383556738/6311638355673808092023201007.jpeg")</f>
        <v>https://dpmzos25m8ivg.cloudfront.net/Documentos/631/16383556738/6311638355673808092023201007.jpeg</v>
      </c>
      <c r="G5879" s="5" t="str">
        <f>HYPERLINK("https://dpmzos25m8ivg.cloudfront.net/Documentos/631/16383556738/6311638355673808092023201019.jpeg","https://dpmzos25m8ivg.cloudfront.net/Documentos/631/16383556738/6311638355673808092023201019.jpeg")</f>
        <v>https://dpmzos25m8ivg.cloudfront.net/Documentos/631/16383556738/6311638355673808092023201019.jpeg</v>
      </c>
      <c r="H5879" s="5" t="s">
        <v>14450</v>
      </c>
    </row>
    <row r="5880" spans="1:8" x14ac:dyDescent="0.25">
      <c r="A5880" s="2" t="s">
        <v>5908</v>
      </c>
      <c r="B5880" s="3"/>
      <c r="C5880" s="3"/>
      <c r="D5880" s="3"/>
      <c r="E5880" s="5" t="str">
        <f>HYPERLINK("https://dpmzos25m8ivg.cloudfront.net/Documentos/631/16408234763/6311640823476311092023142711.jpeg","https://dpmzos25m8ivg.cloudfront.net/Documentos/631/16408234763/6311640823476311092023142711.jpeg")</f>
        <v>https://dpmzos25m8ivg.cloudfront.net/Documentos/631/16408234763/6311640823476311092023142711.jpeg</v>
      </c>
      <c r="F5880" s="5" t="str">
        <f>HYPERLINK("https://dpmzos25m8ivg.cloudfront.net/Documentos/631/16408234763/6311640823476311092023142723.jpeg","https://dpmzos25m8ivg.cloudfront.net/Documentos/631/16408234763/6311640823476311092023142723.jpeg")</f>
        <v>https://dpmzos25m8ivg.cloudfront.net/Documentos/631/16408234763/6311640823476311092023142723.jpeg</v>
      </c>
      <c r="G5880" s="5" t="str">
        <f>HYPERLINK("https://dpmzos25m8ivg.cloudfront.net/Documentos/631/16408234763/6311640823476311092023142734.jpeg","https://dpmzos25m8ivg.cloudfront.net/Documentos/631/16408234763/6311640823476311092023142734.jpeg")</f>
        <v>https://dpmzos25m8ivg.cloudfront.net/Documentos/631/16408234763/6311640823476311092023142734.jpeg</v>
      </c>
      <c r="H5880" s="4" t="s">
        <v>14451</v>
      </c>
    </row>
    <row r="5881" spans="1:8" x14ac:dyDescent="0.25">
      <c r="A5881" s="2" t="s">
        <v>5909</v>
      </c>
      <c r="B5881" s="3"/>
      <c r="C5881" s="3"/>
      <c r="D5881" s="3"/>
      <c r="E5881" s="5" t="str">
        <f>HYPERLINK("https://dpmzos25m8ivg.cloudfront.net/Documentos/631/16409425805/6311640942580511092023115840.pdf","https://dpmzos25m8ivg.cloudfront.net/Documentos/631/16409425805/6311640942580511092023115840.pdf")</f>
        <v>https://dpmzos25m8ivg.cloudfront.net/Documentos/631/16409425805/6311640942580511092023115840.pdf</v>
      </c>
      <c r="F5881" s="5" t="str">
        <f>HYPERLINK("https://dpmzos25m8ivg.cloudfront.net/Documentos/631/16409425805/6311640942580511092023115848.pdf","https://dpmzos25m8ivg.cloudfront.net/Documentos/631/16409425805/6311640942580511092023115848.pdf")</f>
        <v>https://dpmzos25m8ivg.cloudfront.net/Documentos/631/16409425805/6311640942580511092023115848.pdf</v>
      </c>
      <c r="G5881" s="5" t="str">
        <f>HYPERLINK("https://dpmzos25m8ivg.cloudfront.net/Documentos/631/16409425805/6311640942580511092023115859.pdf","https://dpmzos25m8ivg.cloudfront.net/Documentos/631/16409425805/6311640942580511092023115859.pdf")</f>
        <v>https://dpmzos25m8ivg.cloudfront.net/Documentos/631/16409425805/6311640942580511092023115859.pdf</v>
      </c>
      <c r="H5881" s="4" t="s">
        <v>14452</v>
      </c>
    </row>
    <row r="5882" spans="1:8" x14ac:dyDescent="0.25">
      <c r="A5882" s="2" t="s">
        <v>5910</v>
      </c>
      <c r="B5882" s="3"/>
      <c r="C5882" s="3"/>
      <c r="D5882" s="3"/>
      <c r="E5882" s="5" t="str">
        <f>HYPERLINK("https://dpmzos25m8ivg.cloudfront.net/Documentos/631/16413670754/6311641367075405092023102855.pdf","https://dpmzos25m8ivg.cloudfront.net/Documentos/631/16413670754/6311641367075405092023102855.pdf")</f>
        <v>https://dpmzos25m8ivg.cloudfront.net/Documentos/631/16413670754/6311641367075405092023102855.pdf</v>
      </c>
      <c r="F5882" s="5" t="str">
        <f>HYPERLINK("https://dpmzos25m8ivg.cloudfront.net/Documentos/631/16413670754/6311641367075405092023102902.pdf","https://dpmzos25m8ivg.cloudfront.net/Documentos/631/16413670754/6311641367075405092023102902.pdf")</f>
        <v>https://dpmzos25m8ivg.cloudfront.net/Documentos/631/16413670754/6311641367075405092023102902.pdf</v>
      </c>
      <c r="G5882" s="5" t="str">
        <f>HYPERLINK("https://dpmzos25m8ivg.cloudfront.net/Documentos/631/16413670754/6311641367075405092023102907.pdf","https://dpmzos25m8ivg.cloudfront.net/Documentos/631/16413670754/6311641367075405092023102907.pdf")</f>
        <v>https://dpmzos25m8ivg.cloudfront.net/Documentos/631/16413670754/6311641367075405092023102907.pdf</v>
      </c>
      <c r="H5882" s="4" t="s">
        <v>14453</v>
      </c>
    </row>
    <row r="5883" spans="1:8" x14ac:dyDescent="0.25">
      <c r="A5883" s="2" t="s">
        <v>5911</v>
      </c>
      <c r="B5883" s="3"/>
      <c r="C5883" s="3"/>
      <c r="D5883" s="3"/>
      <c r="E5883" s="5" t="str">
        <f>HYPERLINK("https://dpmzos25m8ivg.cloudfront.net/Documentos/631/16450200707/6311645020070705092023123633.pdf","https://dpmzos25m8ivg.cloudfront.net/Documentos/631/16450200707/6311645020070705092023123633.pdf")</f>
        <v>https://dpmzos25m8ivg.cloudfront.net/Documentos/631/16450200707/6311645020070705092023123633.pdf</v>
      </c>
      <c r="F5883" s="5" t="str">
        <f>HYPERLINK("https://dpmzos25m8ivg.cloudfront.net/Documentos/631/16450200707/6311645020070705092023123626.pdf","https://dpmzos25m8ivg.cloudfront.net/Documentos/631/16450200707/6311645020070705092023123626.pdf")</f>
        <v>https://dpmzos25m8ivg.cloudfront.net/Documentos/631/16450200707/6311645020070705092023123626.pdf</v>
      </c>
      <c r="G5883" s="5" t="str">
        <f>HYPERLINK("https://dpmzos25m8ivg.cloudfront.net/Documentos/631/16450200707/AR52736311645020070705092023123614.pdf","https://dpmzos25m8ivg.cloudfront.net/Documentos/631/16450200707/6311645020070705092023123614.pdf")</f>
        <v>https://dpmzos25m8ivg.cloudfront.net/Documentos/631/16450200707/6311645020070705092023123614.pdf</v>
      </c>
      <c r="H5883" s="4" t="s">
        <v>14454</v>
      </c>
    </row>
    <row r="5884" spans="1:8" x14ac:dyDescent="0.25">
      <c r="A5884" s="2" t="s">
        <v>5912</v>
      </c>
      <c r="B5884" s="3"/>
      <c r="C5884" s="3"/>
      <c r="D5884" s="3"/>
      <c r="E5884" s="5" t="str">
        <f>HYPERLINK("https://dpmzos25m8ivg.cloudfront.net/Documentos/631/16462138742/6311646213874210092023174339.jpg","https://dpmzos25m8ivg.cloudfront.net/Documentos/631/16462138742/6311646213874210092023174339.jpg")</f>
        <v>https://dpmzos25m8ivg.cloudfront.net/Documentos/631/16462138742/6311646213874210092023174339.jpg</v>
      </c>
      <c r="F5884" s="5" t="str">
        <f>HYPERLINK("https://dpmzos25m8ivg.cloudfront.net/Documentos/631/16462138742/6311646213874210092023174353.jpg","https://dpmzos25m8ivg.cloudfront.net/Documentos/631/16462138742/6311646213874210092023174353.jpg")</f>
        <v>https://dpmzos25m8ivg.cloudfront.net/Documentos/631/16462138742/6311646213874210092023174353.jpg</v>
      </c>
      <c r="G5884" s="5" t="str">
        <f>HYPERLINK("https://dpmzos25m8ivg.cloudfront.net/Documentos/631/16462138742/6311646213874210092023174409.jpg","https://dpmzos25m8ivg.cloudfront.net/Documentos/631/16462138742/6311646213874210092023174409.jpg")</f>
        <v>https://dpmzos25m8ivg.cloudfront.net/Documentos/631/16462138742/6311646213874210092023174409.jpg</v>
      </c>
      <c r="H5884" s="4" t="s">
        <v>14455</v>
      </c>
    </row>
    <row r="5885" spans="1:8" x14ac:dyDescent="0.25">
      <c r="A5885" s="2" t="s">
        <v>5913</v>
      </c>
      <c r="B5885" s="3"/>
      <c r="C5885" s="3"/>
      <c r="D5885" s="3"/>
      <c r="E5885" s="5" t="str">
        <f>HYPERLINK("https://dpmzos25m8ivg.cloudfront.net/Documentos/631/16466674843/6311646667484307092023213531.pdf","https://dpmzos25m8ivg.cloudfront.net/Documentos/631/16466674843/6311646667484307092023213531.pdf")</f>
        <v>https://dpmzos25m8ivg.cloudfront.net/Documentos/631/16466674843/6311646667484307092023213531.pdf</v>
      </c>
      <c r="F5885" s="5" t="str">
        <f>HYPERLINK("https://dpmzos25m8ivg.cloudfront.net/Documentos/631/16466674843/6311646667484307092023213603.pdf","https://dpmzos25m8ivg.cloudfront.net/Documentos/631/16466674843/6311646667484307092023213603.pdf")</f>
        <v>https://dpmzos25m8ivg.cloudfront.net/Documentos/631/16466674843/6311646667484307092023213603.pdf</v>
      </c>
      <c r="G5885" s="5" t="str">
        <f>HYPERLINK("https://dpmzos25m8ivg.cloudfront.net/Documentos/631/16466674843/6311646667484307092023213616.pdf","https://dpmzos25m8ivg.cloudfront.net/Documentos/631/16466674843/6311646667484307092023213616.pdf")</f>
        <v>https://dpmzos25m8ivg.cloudfront.net/Documentos/631/16466674843/6311646667484307092023213616.pdf</v>
      </c>
      <c r="H5885" s="4" t="s">
        <v>14456</v>
      </c>
    </row>
    <row r="5886" spans="1:8" x14ac:dyDescent="0.25">
      <c r="A5886" s="2" t="s">
        <v>5914</v>
      </c>
      <c r="B5886" s="3"/>
      <c r="C5886" s="3"/>
      <c r="D5886" s="3"/>
      <c r="E5886" s="5" t="str">
        <f>HYPERLINK("https://dpmzos25m8ivg.cloudfront.net/Documentos/631/16472268649/6311647226864914092023160516.pdf","https://dpmzos25m8ivg.cloudfront.net/Documentos/631/16472268649/6311647226864914092023160516.pdf")</f>
        <v>https://dpmzos25m8ivg.cloudfront.net/Documentos/631/16472268649/6311647226864914092023160516.pdf</v>
      </c>
      <c r="F5886" s="5" t="str">
        <f>HYPERLINK("https://dpmzos25m8ivg.cloudfront.net/Documentos/631/16472268649/6311647226864914092023160609.pdf","https://dpmzos25m8ivg.cloudfront.net/Documentos/631/16472268649/6311647226864914092023160609.pdf")</f>
        <v>https://dpmzos25m8ivg.cloudfront.net/Documentos/631/16472268649/6311647226864914092023160609.pdf</v>
      </c>
      <c r="G5886" s="5" t="str">
        <f>HYPERLINK("https://dpmzos25m8ivg.cloudfront.net/Documentos/631/16472268649/6311647226864914092023160633.pdf","https://dpmzos25m8ivg.cloudfront.net/Documentos/631/16472268649/6311647226864914092023160633.pdf")</f>
        <v>https://dpmzos25m8ivg.cloudfront.net/Documentos/631/16472268649/6311647226864914092023160633.pdf</v>
      </c>
      <c r="H5886" s="4" t="s">
        <v>14457</v>
      </c>
    </row>
    <row r="5887" spans="1:8" x14ac:dyDescent="0.25">
      <c r="A5887" s="2" t="s">
        <v>5915</v>
      </c>
      <c r="B5887" s="3"/>
      <c r="C5887" s="3"/>
      <c r="D5887" s="3"/>
      <c r="E5887" s="5" t="str">
        <f>HYPERLINK("https://dpmzos25m8ivg.cloudfront.net/Documentos/631/16477171759/6311647717175905092023091953.jpeg","https://dpmzos25m8ivg.cloudfront.net/Documentos/631/16477171759/6311647717175905092023091953.jpeg")</f>
        <v>https://dpmzos25m8ivg.cloudfront.net/Documentos/631/16477171759/6311647717175905092023091953.jpeg</v>
      </c>
      <c r="F5887" s="5" t="str">
        <f>HYPERLINK("https://dpmzos25m8ivg.cloudfront.net/Documentos/631/16477171759/6311647717175905092023092000.jpeg","https://dpmzos25m8ivg.cloudfront.net/Documentos/631/16477171759/6311647717175905092023092000.jpeg")</f>
        <v>https://dpmzos25m8ivg.cloudfront.net/Documentos/631/16477171759/6311647717175905092023092000.jpeg</v>
      </c>
      <c r="G5887" s="5" t="str">
        <f>HYPERLINK("https://dpmzos25m8ivg.cloudfront.net/Documentos/631/16477171759/6311647717175905092023092007.jpeg","https://dpmzos25m8ivg.cloudfront.net/Documentos/631/16477171759/6311647717175905092023092007.jpeg")</f>
        <v>https://dpmzos25m8ivg.cloudfront.net/Documentos/631/16477171759/6311647717175905092023092007.jpeg</v>
      </c>
      <c r="H5887" s="4" t="s">
        <v>14458</v>
      </c>
    </row>
    <row r="5888" spans="1:8" x14ac:dyDescent="0.25">
      <c r="A5888" s="2" t="s">
        <v>5916</v>
      </c>
      <c r="B5888" s="3"/>
      <c r="C5888" s="3"/>
      <c r="D5888" s="3"/>
      <c r="E5888" s="5" t="str">
        <f>HYPERLINK("https://dpmzos25m8ivg.cloudfront.net/Documentos/631/16480188748/6311648018874811092023144759.pdf","https://dpmzos25m8ivg.cloudfront.net/Documentos/631/16480188748/6311648018874811092023144759.pdf")</f>
        <v>https://dpmzos25m8ivg.cloudfront.net/Documentos/631/16480188748/6311648018874811092023144759.pdf</v>
      </c>
      <c r="F5888" s="5" t="str">
        <f>HYPERLINK("https://dpmzos25m8ivg.cloudfront.net/Documentos/631/16480188748/6311648018874811092023144812.pdf","https://dpmzos25m8ivg.cloudfront.net/Documentos/631/16480188748/6311648018874811092023144812.pdf")</f>
        <v>https://dpmzos25m8ivg.cloudfront.net/Documentos/631/16480188748/6311648018874811092023144812.pdf</v>
      </c>
      <c r="G5888" s="5" t="str">
        <f>HYPERLINK("https://dpmzos25m8ivg.cloudfront.net/Documentos/631/16480188748/6311648018874811092023144829.pdf","https://dpmzos25m8ivg.cloudfront.net/Documentos/631/16480188748/6311648018874811092023144829.pdf")</f>
        <v>https://dpmzos25m8ivg.cloudfront.net/Documentos/631/16480188748/6311648018874811092023144829.pdf</v>
      </c>
      <c r="H5888" s="4" t="s">
        <v>14459</v>
      </c>
    </row>
    <row r="5889" spans="1:8" x14ac:dyDescent="0.25">
      <c r="A5889" s="2" t="s">
        <v>5917</v>
      </c>
      <c r="B5889" s="3"/>
      <c r="C5889" s="3"/>
      <c r="D5889" s="3"/>
      <c r="E5889" s="5" t="str">
        <f>HYPERLINK("https://dpmzos25m8ivg.cloudfront.net/Documentos/631/16480488709/6311648048870911092023121955.pdf","https://dpmzos25m8ivg.cloudfront.net/Documentos/631/16480488709/6311648048870911092023121955.pdf")</f>
        <v>https://dpmzos25m8ivg.cloudfront.net/Documentos/631/16480488709/6311648048870911092023121955.pdf</v>
      </c>
      <c r="F5889" s="5" t="str">
        <f>HYPERLINK("https://dpmzos25m8ivg.cloudfront.net/Documentos/631/16480488709/6311648048870911092023122004.pdf","https://dpmzos25m8ivg.cloudfront.net/Documentos/631/16480488709/6311648048870911092023122004.pdf")</f>
        <v>https://dpmzos25m8ivg.cloudfront.net/Documentos/631/16480488709/6311648048870911092023122004.pdf</v>
      </c>
      <c r="G5889" s="5" t="str">
        <f>HYPERLINK("https://dpmzos25m8ivg.cloudfront.net/Documentos/631/16480488709/6311648048870911092023122021.pdf","https://dpmzos25m8ivg.cloudfront.net/Documentos/631/16480488709/6311648048870911092023122021.pdf")</f>
        <v>https://dpmzos25m8ivg.cloudfront.net/Documentos/631/16480488709/6311648048870911092023122021.pdf</v>
      </c>
      <c r="H5889" s="4" t="s">
        <v>14460</v>
      </c>
    </row>
    <row r="5890" spans="1:8" x14ac:dyDescent="0.25">
      <c r="A5890" s="2" t="s">
        <v>5918</v>
      </c>
      <c r="B5890" s="3"/>
      <c r="C5890" s="3"/>
      <c r="D5890" s="3"/>
      <c r="E5890" s="5" t="str">
        <f>HYPERLINK("https://dpmzos25m8ivg.cloudfront.net/Documentos/631/16481740860/6311648174086005092023121911.pdf","https://dpmzos25m8ivg.cloudfront.net/Documentos/631/16481740860/6311648174086005092023121911.pdf")</f>
        <v>https://dpmzos25m8ivg.cloudfront.net/Documentos/631/16481740860/6311648174086005092023121911.pdf</v>
      </c>
      <c r="F5890" s="5" t="str">
        <f>HYPERLINK("https://dpmzos25m8ivg.cloudfront.net/Documentos/631/16481740860/6311648174086005092023121938.pdf","https://dpmzos25m8ivg.cloudfront.net/Documentos/631/16481740860/6311648174086005092023121938.pdf")</f>
        <v>https://dpmzos25m8ivg.cloudfront.net/Documentos/631/16481740860/6311648174086005092023121938.pdf</v>
      </c>
      <c r="G5890" s="5" t="str">
        <f>HYPERLINK("https://dpmzos25m8ivg.cloudfront.net/Documentos/631/16481740860/6311648174086005092023122004.pdf","https://dpmzos25m8ivg.cloudfront.net/Documentos/631/16481740860/6311648174086005092023122004.pdf")</f>
        <v>https://dpmzos25m8ivg.cloudfront.net/Documentos/631/16481740860/6311648174086005092023122004.pdf</v>
      </c>
      <c r="H5890" s="4" t="s">
        <v>14461</v>
      </c>
    </row>
    <row r="5891" spans="1:8" x14ac:dyDescent="0.25">
      <c r="A5891" s="2" t="s">
        <v>5919</v>
      </c>
      <c r="B5891" s="3"/>
      <c r="C5891" s="3"/>
      <c r="D5891" s="3"/>
      <c r="E5891" s="5" t="str">
        <f>HYPERLINK("https://dpmzos25m8ivg.cloudfront.net/Documentos/631/16506071729/6311650607172911092023161535.pdf","https://dpmzos25m8ivg.cloudfront.net/Documentos/631/16506071729/6311650607172911092023161535.pdf")</f>
        <v>https://dpmzos25m8ivg.cloudfront.net/Documentos/631/16506071729/6311650607172911092023161535.pdf</v>
      </c>
      <c r="F5891" s="5" t="str">
        <f>HYPERLINK("https://dpmzos25m8ivg.cloudfront.net/Documentos/631/16506071729/6311650607172911092023161542.pdf","https://dpmzos25m8ivg.cloudfront.net/Documentos/631/16506071729/6311650607172911092023161542.pdf")</f>
        <v>https://dpmzos25m8ivg.cloudfront.net/Documentos/631/16506071729/6311650607172911092023161542.pdf</v>
      </c>
      <c r="G5891" s="5" t="str">
        <f>HYPERLINK("https://dpmzos25m8ivg.cloudfront.net/Documentos/631/16506071729/6311650607172911092023161550.pdf","https://dpmzos25m8ivg.cloudfront.net/Documentos/631/16506071729/6311650607172911092023161550.pdf")</f>
        <v>https://dpmzos25m8ivg.cloudfront.net/Documentos/631/16506071729/6311650607172911092023161550.pdf</v>
      </c>
      <c r="H5891" s="4" t="s">
        <v>14462</v>
      </c>
    </row>
    <row r="5892" spans="1:8" x14ac:dyDescent="0.25">
      <c r="A5892" s="2" t="s">
        <v>5920</v>
      </c>
      <c r="B5892" s="16" t="s">
        <v>2358</v>
      </c>
      <c r="C5892" s="3"/>
      <c r="D5892" s="3"/>
      <c r="E5892" s="5" t="str">
        <f>HYPERLINK("https://dpmzos25m8ivg.cloudfront.net/Documentos/631/16519325813/6311651932581306092023183224.pdf","https://dpmzos25m8ivg.cloudfront.net/Documentos/631/16519325813/6311651932581306092023183224.pdf")</f>
        <v>https://dpmzos25m8ivg.cloudfront.net/Documentos/631/16519325813/6311651932581306092023183224.pdf</v>
      </c>
      <c r="F5892" s="5" t="str">
        <f>HYPERLINK("https://dpmzos25m8ivg.cloudfront.net/Documentos/631/16519325813/6311651932581306092023183254.pdf","https://dpmzos25m8ivg.cloudfront.net/Documentos/631/16519325813/6311651932581306092023183254.pdf")</f>
        <v>https://dpmzos25m8ivg.cloudfront.net/Documentos/631/16519325813/6311651932581306092023183254.pdf</v>
      </c>
      <c r="G5892" s="5" t="str">
        <f>HYPERLINK("https://dpmzos25m8ivg.cloudfront.net/Documentos/631/16519325813/6311651932581306092023183323.pdf","https://dpmzos25m8ivg.cloudfront.net/Documentos/631/16519325813/6311651932581306092023183323.pdf")</f>
        <v>https://dpmzos25m8ivg.cloudfront.net/Documentos/631/16519325813/6311651932581306092023183323.pdf</v>
      </c>
      <c r="H5892" s="5" t="s">
        <v>14463</v>
      </c>
    </row>
    <row r="5893" spans="1:8" x14ac:dyDescent="0.25">
      <c r="A5893" s="2" t="s">
        <v>5921</v>
      </c>
      <c r="B5893" s="3"/>
      <c r="C5893" s="3"/>
      <c r="D5893" s="3"/>
      <c r="E5893" s="5" t="str">
        <f>HYPERLINK("https://dpmzos25m8ivg.cloudfront.net/Documentos/631/16522763788/6311652276378811092023120308.pdf","https://dpmzos25m8ivg.cloudfront.net/Documentos/631/16522763788/6311652276378811092023120308.pdf")</f>
        <v>https://dpmzos25m8ivg.cloudfront.net/Documentos/631/16522763788/6311652276378811092023120308.pdf</v>
      </c>
      <c r="F5893" s="5" t="str">
        <f>HYPERLINK("https://dpmzos25m8ivg.cloudfront.net/Documentos/631/16522763788/6311652276378811092023120320.pdf","https://dpmzos25m8ivg.cloudfront.net/Documentos/631/16522763788/6311652276378811092023120320.pdf")</f>
        <v>https://dpmzos25m8ivg.cloudfront.net/Documentos/631/16522763788/6311652276378811092023120320.pdf</v>
      </c>
      <c r="G5893" s="5" t="str">
        <f>HYPERLINK("https://dpmzos25m8ivg.cloudfront.net/Documentos/631/16522763788/6311652276378811092023120330.pdf","https://dpmzos25m8ivg.cloudfront.net/Documentos/631/16522763788/6311652276378811092023120330.pdf")</f>
        <v>https://dpmzos25m8ivg.cloudfront.net/Documentos/631/16522763788/6311652276378811092023120330.pdf</v>
      </c>
      <c r="H5893" s="4" t="s">
        <v>14464</v>
      </c>
    </row>
    <row r="5894" spans="1:8" x14ac:dyDescent="0.25">
      <c r="A5894" s="2" t="s">
        <v>5922</v>
      </c>
      <c r="B5894" s="3"/>
      <c r="C5894" s="3"/>
      <c r="D5894" s="3"/>
      <c r="E5894" s="5" t="str">
        <f>HYPERLINK("https://dpmzos25m8ivg.cloudfront.net/Documentos/631/16530402705/6311653040270510092023230434.pdf","https://dpmzos25m8ivg.cloudfront.net/Documentos/631/16530402705/6311653040270510092023230434.pdf")</f>
        <v>https://dpmzos25m8ivg.cloudfront.net/Documentos/631/16530402705/6311653040270510092023230434.pdf</v>
      </c>
      <c r="F5894" s="5" t="str">
        <f>HYPERLINK("https://dpmzos25m8ivg.cloudfront.net/Documentos/631/16530402705/6311653040270510092023230607.pdf","https://dpmzos25m8ivg.cloudfront.net/Documentos/631/16530402705/6311653040270510092023230607.pdf")</f>
        <v>https://dpmzos25m8ivg.cloudfront.net/Documentos/631/16530402705/6311653040270510092023230607.pdf</v>
      </c>
      <c r="G5894" s="5" t="str">
        <f>HYPERLINK("https://dpmzos25m8ivg.cloudfront.net/Documentos/631/16530402705/6311653040270510092023230639.pdf","https://dpmzos25m8ivg.cloudfront.net/Documentos/631/16530402705/6311653040270510092023230639.pdf")</f>
        <v>https://dpmzos25m8ivg.cloudfront.net/Documentos/631/16530402705/6311653040270510092023230639.pdf</v>
      </c>
      <c r="H5894" s="4" t="s">
        <v>14465</v>
      </c>
    </row>
    <row r="5895" spans="1:8" x14ac:dyDescent="0.25">
      <c r="A5895" s="2" t="s">
        <v>5923</v>
      </c>
      <c r="B5895" s="3" t="s">
        <v>8</v>
      </c>
      <c r="C5895" s="3"/>
      <c r="D5895" s="3"/>
      <c r="E5895" s="5" t="str">
        <f>HYPERLINK("https://dpmzos25m8ivg.cloudfront.net/Documentos/631/16532180378/6311653218037811092023134900.pdf","https://dpmzos25m8ivg.cloudfront.net/Documentos/631/16532180378/6311653218037811092023134900.pdf")</f>
        <v>https://dpmzos25m8ivg.cloudfront.net/Documentos/631/16532180378/6311653218037811092023134900.pdf</v>
      </c>
      <c r="F5895" s="5" t="str">
        <f>HYPERLINK("https://dpmzos25m8ivg.cloudfront.net/Documentos/631/16532180378/6311653218037811092023134927.pdf","https://dpmzos25m8ivg.cloudfront.net/Documentos/631/16532180378/6311653218037811092023134927.pdf")</f>
        <v>https://dpmzos25m8ivg.cloudfront.net/Documentos/631/16532180378/6311653218037811092023134927.pdf</v>
      </c>
      <c r="G5895" s="5" t="str">
        <f>HYPERLINK("https://dpmzos25m8ivg.cloudfront.net/Documentos/631/16532180378/6311653218037811092023135013.pdf","https://dpmzos25m8ivg.cloudfront.net/Documentos/631/16532180378/6311653218037811092023135013.pdf")</f>
        <v>https://dpmzos25m8ivg.cloudfront.net/Documentos/631/16532180378/6311653218037811092023135013.pdf</v>
      </c>
      <c r="H5895" s="4" t="s">
        <v>14466</v>
      </c>
    </row>
    <row r="5896" spans="1:8" x14ac:dyDescent="0.25">
      <c r="A5896" s="21" t="s">
        <v>5924</v>
      </c>
      <c r="B5896" s="24"/>
      <c r="C5896" s="3"/>
      <c r="D5896" s="3"/>
      <c r="E5896" s="5" t="str">
        <f>HYPERLINK("https://dpmzos25m8ivg.cloudfront.net/Documentos/631/16536362705/6311653636270511092023121630.pdf","https://dpmzos25m8ivg.cloudfront.net/Documentos/631/16536362705/6311653636270511092023121630.pdf")</f>
        <v>https://dpmzos25m8ivg.cloudfront.net/Documentos/631/16536362705/6311653636270511092023121630.pdf</v>
      </c>
      <c r="F5896" s="5" t="str">
        <f>HYPERLINK("https://dpmzos25m8ivg.cloudfront.net/Documentos/631/16536362705/6311653636270511092023121646.pdf","https://dpmzos25m8ivg.cloudfront.net/Documentos/631/16536362705/6311653636270511092023121646.pdf")</f>
        <v>https://dpmzos25m8ivg.cloudfront.net/Documentos/631/16536362705/6311653636270511092023121646.pdf</v>
      </c>
      <c r="G5896" s="5" t="str">
        <f>HYPERLINK("https://dpmzos25m8ivg.cloudfront.net/Documentos/631/16536362705/6311653636270511092023121702.pdf","https://dpmzos25m8ivg.cloudfront.net/Documentos/631/16536362705/6311653636270511092023121702.pdf")</f>
        <v>https://dpmzos25m8ivg.cloudfront.net/Documentos/631/16536362705/6311653636270511092023121702.pdf</v>
      </c>
      <c r="H5896" s="4" t="s">
        <v>14467</v>
      </c>
    </row>
    <row r="5897" spans="1:8" x14ac:dyDescent="0.25">
      <c r="A5897" s="2" t="s">
        <v>5925</v>
      </c>
      <c r="B5897" s="3"/>
      <c r="C5897" s="3"/>
      <c r="D5897" s="3"/>
      <c r="E5897" s="5" t="str">
        <f>HYPERLINK("https://dpmzos25m8ivg.cloudfront.net/Documentos/631/16568707899/6311656870789911092023152247.pdf","https://dpmzos25m8ivg.cloudfront.net/Documentos/631/16568707899/6311656870789911092023152247.pdf")</f>
        <v>https://dpmzos25m8ivg.cloudfront.net/Documentos/631/16568707899/6311656870789911092023152247.pdf</v>
      </c>
      <c r="F5897" s="5" t="str">
        <f>HYPERLINK("https://dpmzos25m8ivg.cloudfront.net/Documentos/631/16568707899/6311656870789911092023152305.pdf","https://dpmzos25m8ivg.cloudfront.net/Documentos/631/16568707899/6311656870789911092023152305.pdf")</f>
        <v>https://dpmzos25m8ivg.cloudfront.net/Documentos/631/16568707899/6311656870789911092023152305.pdf</v>
      </c>
      <c r="G5897" s="5" t="str">
        <f>HYPERLINK("https://dpmzos25m8ivg.cloudfront.net/Documentos/631/16568707899/6311656870789911092023152321.pdf","https://dpmzos25m8ivg.cloudfront.net/Documentos/631/16568707899/6311656870789911092023152321.pdf")</f>
        <v>https://dpmzos25m8ivg.cloudfront.net/Documentos/631/16568707899/6311656870789911092023152321.pdf</v>
      </c>
      <c r="H5897" s="4" t="s">
        <v>14468</v>
      </c>
    </row>
    <row r="5898" spans="1:8" x14ac:dyDescent="0.25">
      <c r="A5898" s="2" t="s">
        <v>5926</v>
      </c>
      <c r="B5898" s="3"/>
      <c r="C5898" s="3"/>
      <c r="D5898" s="3"/>
      <c r="E5898" s="5" t="str">
        <f>HYPERLINK("https://dpmzos25m8ivg.cloudfront.net/Documentos/631/16570918729/6311657091872914092023014525.pdf","https://dpmzos25m8ivg.cloudfront.net/Documentos/631/16570918729/6311657091872914092023014525.pdf")</f>
        <v>https://dpmzos25m8ivg.cloudfront.net/Documentos/631/16570918729/6311657091872914092023014525.pdf</v>
      </c>
      <c r="F5898" s="5" t="str">
        <f>HYPERLINK("https://dpmzos25m8ivg.cloudfront.net/Documentos/631/16570918729/6311657091872914092023014558.pdf","https://dpmzos25m8ivg.cloudfront.net/Documentos/631/16570918729/6311657091872914092023014558.pdf")</f>
        <v>https://dpmzos25m8ivg.cloudfront.net/Documentos/631/16570918729/6311657091872914092023014558.pdf</v>
      </c>
      <c r="G5898" s="5" t="str">
        <f>HYPERLINK("https://dpmzos25m8ivg.cloudfront.net/Documentos/631/16570918729/6311657091872914092023014631.pdf","https://dpmzos25m8ivg.cloudfront.net/Documentos/631/16570918729/6311657091872914092023014631.pdf")</f>
        <v>https://dpmzos25m8ivg.cloudfront.net/Documentos/631/16570918729/6311657091872914092023014631.pdf</v>
      </c>
      <c r="H5898" s="4" t="s">
        <v>14469</v>
      </c>
    </row>
    <row r="5899" spans="1:8" x14ac:dyDescent="0.25">
      <c r="A5899" s="2" t="s">
        <v>5927</v>
      </c>
      <c r="B5899" s="3"/>
      <c r="C5899" s="3"/>
      <c r="D5899" s="3"/>
      <c r="E5899" s="5" t="str">
        <f>HYPERLINK("https://dpmzos25m8ivg.cloudfront.net/Documentos/631/16610331723/6311661033172311092023124609.pdf","https://dpmzos25m8ivg.cloudfront.net/Documentos/631/16610331723/6311661033172311092023124609.pdf")</f>
        <v>https://dpmzos25m8ivg.cloudfront.net/Documentos/631/16610331723/6311661033172311092023124609.pdf</v>
      </c>
      <c r="F5899" s="5" t="str">
        <f>HYPERLINK("https://dpmzos25m8ivg.cloudfront.net/Documentos/631/16610331723/6311661033172311092023124639.pdf","https://dpmzos25m8ivg.cloudfront.net/Documentos/631/16610331723/6311661033172311092023124639.pdf")</f>
        <v>https://dpmzos25m8ivg.cloudfront.net/Documentos/631/16610331723/6311661033172311092023124639.pdf</v>
      </c>
      <c r="G5899" s="5" t="str">
        <f>HYPERLINK("https://dpmzos25m8ivg.cloudfront.net/Documentos/631/16610331723/6311661033172311092023124657.pdf","https://dpmzos25m8ivg.cloudfront.net/Documentos/631/16610331723/6311661033172311092023124657.pdf")</f>
        <v>https://dpmzos25m8ivg.cloudfront.net/Documentos/631/16610331723/6311661033172311092023124657.pdf</v>
      </c>
      <c r="H5899" s="4" t="s">
        <v>14470</v>
      </c>
    </row>
    <row r="5900" spans="1:8" x14ac:dyDescent="0.25">
      <c r="A5900" s="2" t="s">
        <v>5928</v>
      </c>
      <c r="B5900" s="16" t="s">
        <v>2358</v>
      </c>
      <c r="C5900" s="3"/>
      <c r="D5900" s="3"/>
      <c r="E5900" s="5" t="str">
        <f>HYPERLINK("https://dpmzos25m8ivg.cloudfront.net/Documentos/631/16652697742/6311665269774210092023190742.jpeg","https://dpmzos25m8ivg.cloudfront.net/Documentos/631/16652697742/6311665269774210092023190742.jpeg")</f>
        <v>https://dpmzos25m8ivg.cloudfront.net/Documentos/631/16652697742/6311665269774210092023190742.jpeg</v>
      </c>
      <c r="F5900" s="5" t="str">
        <f>HYPERLINK("https://dpmzos25m8ivg.cloudfront.net/Documentos/631/16652697742/6311665269774210092023190758.jpeg","https://dpmzos25m8ivg.cloudfront.net/Documentos/631/16652697742/6311665269774210092023190758.jpeg")</f>
        <v>https://dpmzos25m8ivg.cloudfront.net/Documentos/631/16652697742/6311665269774210092023190758.jpeg</v>
      </c>
      <c r="G5900" s="5" t="str">
        <f>HYPERLINK("https://dpmzos25m8ivg.cloudfront.net/Documentos/631/16652697742/6311665269774210092023190813.jpeg","https://dpmzos25m8ivg.cloudfront.net/Documentos/631/16652697742/6311665269774210092023190813.jpeg")</f>
        <v>https://dpmzos25m8ivg.cloudfront.net/Documentos/631/16652697742/6311665269774210092023190813.jpeg</v>
      </c>
      <c r="H5900" s="5" t="s">
        <v>14471</v>
      </c>
    </row>
    <row r="5901" spans="1:8" x14ac:dyDescent="0.25">
      <c r="A5901" s="2" t="s">
        <v>5929</v>
      </c>
      <c r="B5901" s="3"/>
      <c r="C5901" s="3"/>
      <c r="D5901" s="3"/>
      <c r="E5901" s="5" t="str">
        <f>HYPERLINK("https://dpmzos25m8ivg.cloudfront.net/Documentos/631/16685934751/6311668593475109092023103812.jpeg","https://dpmzos25m8ivg.cloudfront.net/Documentos/631/16685934751/6311668593475109092023103812.jpeg")</f>
        <v>https://dpmzos25m8ivg.cloudfront.net/Documentos/631/16685934751/6311668593475109092023103812.jpeg</v>
      </c>
      <c r="F5901" s="5" t="str">
        <f>HYPERLINK("https://dpmzos25m8ivg.cloudfront.net/Documentos/631/16685934751/6311668593475109092023103818.jpeg","https://dpmzos25m8ivg.cloudfront.net/Documentos/631/16685934751/6311668593475109092023103818.jpeg")</f>
        <v>https://dpmzos25m8ivg.cloudfront.net/Documentos/631/16685934751/6311668593475109092023103818.jpeg</v>
      </c>
      <c r="G5901" s="5" t="str">
        <f>HYPERLINK("https://dpmzos25m8ivg.cloudfront.net/Documentos/631/16685934751/6311668593475109092023103823.jpeg","https://dpmzos25m8ivg.cloudfront.net/Documentos/631/16685934751/6311668593475109092023103823.jpeg")</f>
        <v>https://dpmzos25m8ivg.cloudfront.net/Documentos/631/16685934751/6311668593475109092023103823.jpeg</v>
      </c>
      <c r="H5901" s="4" t="s">
        <v>14472</v>
      </c>
    </row>
    <row r="5902" spans="1:8" x14ac:dyDescent="0.25">
      <c r="A5902" s="2" t="s">
        <v>5930</v>
      </c>
      <c r="B5902" s="3" t="s">
        <v>8</v>
      </c>
      <c r="C5902" s="3"/>
      <c r="D5902" s="3"/>
      <c r="E5902" s="5" t="str">
        <f>HYPERLINK("https://dpmzos25m8ivg.cloudfront.net/Documentos/631/16687495720/6311668749572011092023090942.pdf","https://dpmzos25m8ivg.cloudfront.net/Documentos/631/16687495720/6311668749572011092023090942.pdf")</f>
        <v>https://dpmzos25m8ivg.cloudfront.net/Documentos/631/16687495720/6311668749572011092023090942.pdf</v>
      </c>
      <c r="F5902" s="5" t="str">
        <f>HYPERLINK("https://dpmzos25m8ivg.cloudfront.net/Documentos/631/16687495720/6311668749572011092023090958.pdf","https://dpmzos25m8ivg.cloudfront.net/Documentos/631/16687495720/6311668749572011092023090958.pdf")</f>
        <v>https://dpmzos25m8ivg.cloudfront.net/Documentos/631/16687495720/6311668749572011092023090958.pdf</v>
      </c>
      <c r="G5902" s="5" t="str">
        <f>HYPERLINK("https://dpmzos25m8ivg.cloudfront.net/Documentos/631/16687495720/6311668749572011092023091018.pdf","https://dpmzos25m8ivg.cloudfront.net/Documentos/631/16687495720/6311668749572011092023091018.pdf")</f>
        <v>https://dpmzos25m8ivg.cloudfront.net/Documentos/631/16687495720/6311668749572011092023091018.pdf</v>
      </c>
      <c r="H5902" s="4" t="s">
        <v>14473</v>
      </c>
    </row>
    <row r="5903" spans="1:8" x14ac:dyDescent="0.25">
      <c r="A5903" s="2" t="s">
        <v>5931</v>
      </c>
      <c r="B5903" s="19" t="s">
        <v>3385</v>
      </c>
      <c r="C5903" s="3"/>
      <c r="D5903" s="3"/>
      <c r="E5903" s="5" t="str">
        <f>HYPERLINK("https://dpmzos25m8ivg.cloudfront.net/Documentos/631/16712657776/6311671265777613092023134837.pdf","https://dpmzos25m8ivg.cloudfront.net/Documentos/631/16712657776/6311671265777613092023134837.pdf")</f>
        <v>https://dpmzos25m8ivg.cloudfront.net/Documentos/631/16712657776/6311671265777613092023134837.pdf</v>
      </c>
      <c r="F5903" s="5" t="str">
        <f>HYPERLINK("https://dpmzos25m8ivg.cloudfront.net/Documentos/631/16712657776/6311671265777613092023134905.pdf","https://dpmzos25m8ivg.cloudfront.net/Documentos/631/16712657776/6311671265777613092023134905.pdf")</f>
        <v>https://dpmzos25m8ivg.cloudfront.net/Documentos/631/16712657776/6311671265777613092023134905.pdf</v>
      </c>
      <c r="G5903" s="5" t="str">
        <f>HYPERLINK("https://dpmzos25m8ivg.cloudfront.net/Documentos/631/16712657776/6311671265777613092023134915.pdf","https://dpmzos25m8ivg.cloudfront.net/Documentos/631/16712657776/6311671265777613092023134915.pdf")</f>
        <v>https://dpmzos25m8ivg.cloudfront.net/Documentos/631/16712657776/6311671265777613092023134915.pdf</v>
      </c>
      <c r="H5903" s="4" t="s">
        <v>14474</v>
      </c>
    </row>
    <row r="5904" spans="1:8" x14ac:dyDescent="0.25">
      <c r="A5904" s="2" t="s">
        <v>5932</v>
      </c>
      <c r="B5904" s="3"/>
      <c r="C5904" s="3"/>
      <c r="D5904" s="3"/>
      <c r="E5904" s="5" t="str">
        <f>HYPERLINK("https://dpmzos25m8ivg.cloudfront.net/Documentos/631/16718576743/6311671857674308092023175042.pdf","https://dpmzos25m8ivg.cloudfront.net/Documentos/631/16718576743/6311671857674308092023175042.pdf")</f>
        <v>https://dpmzos25m8ivg.cloudfront.net/Documentos/631/16718576743/6311671857674308092023175042.pdf</v>
      </c>
      <c r="F5904" s="5" t="str">
        <f>HYPERLINK("https://dpmzos25m8ivg.cloudfront.net/Documentos/631/16718576743/6311671857674308092023175054.pdf","https://dpmzos25m8ivg.cloudfront.net/Documentos/631/16718576743/6311671857674308092023175054.pdf")</f>
        <v>https://dpmzos25m8ivg.cloudfront.net/Documentos/631/16718576743/6311671857674308092023175054.pdf</v>
      </c>
      <c r="G5904" s="5" t="str">
        <f>HYPERLINK("https://dpmzos25m8ivg.cloudfront.net/Documentos/631/16718576743/6311671857674308092023175105.pdf","https://dpmzos25m8ivg.cloudfront.net/Documentos/631/16718576743/6311671857674308092023175105.pdf")</f>
        <v>https://dpmzos25m8ivg.cloudfront.net/Documentos/631/16718576743/6311671857674308092023175105.pdf</v>
      </c>
      <c r="H5904" s="4" t="s">
        <v>14475</v>
      </c>
    </row>
    <row r="5905" spans="1:8" x14ac:dyDescent="0.25">
      <c r="A5905" s="2" t="s">
        <v>5933</v>
      </c>
      <c r="B5905" s="3"/>
      <c r="C5905" s="3"/>
      <c r="D5905" s="3"/>
      <c r="E5905" s="5" t="str">
        <f>HYPERLINK("https://dpmzos25m8ivg.cloudfront.net/Documentos/631/16727654719/6311672765471910092023210239.pdf","https://dpmzos25m8ivg.cloudfront.net/Documentos/631/16727654719/6311672765471910092023210239.pdf")</f>
        <v>https://dpmzos25m8ivg.cloudfront.net/Documentos/631/16727654719/6311672765471910092023210239.pdf</v>
      </c>
      <c r="F5905" s="5" t="str">
        <f>HYPERLINK("https://dpmzos25m8ivg.cloudfront.net/Documentos/631/16727654719/6311672765471910092023210313.pdf","https://dpmzos25m8ivg.cloudfront.net/Documentos/631/16727654719/6311672765471910092023210313.pdf")</f>
        <v>https://dpmzos25m8ivg.cloudfront.net/Documentos/631/16727654719/6311672765471910092023210313.pdf</v>
      </c>
      <c r="G5905" s="5" t="str">
        <f>HYPERLINK("https://dpmzos25m8ivg.cloudfront.net/Documentos/631/16727654719/6311672765471910092023210332.pdf","https://dpmzos25m8ivg.cloudfront.net/Documentos/631/16727654719/6311672765471910092023210332.pdf")</f>
        <v>https://dpmzos25m8ivg.cloudfront.net/Documentos/631/16727654719/6311672765471910092023210332.pdf</v>
      </c>
      <c r="H5905" s="4" t="s">
        <v>14476</v>
      </c>
    </row>
    <row r="5906" spans="1:8" x14ac:dyDescent="0.25">
      <c r="A5906" s="2" t="s">
        <v>5934</v>
      </c>
      <c r="B5906" s="16" t="s">
        <v>2358</v>
      </c>
      <c r="C5906" s="3"/>
      <c r="D5906" s="3"/>
      <c r="E5906" s="5" t="str">
        <f>HYPERLINK("https://dpmzos25m8ivg.cloudfront.net/Documentos/631/16739829721/6311673982972110092023220540.pdf","https://dpmzos25m8ivg.cloudfront.net/Documentos/631/16739829721/6311673982972110092023220540.pdf")</f>
        <v>https://dpmzos25m8ivg.cloudfront.net/Documentos/631/16739829721/6311673982972110092023220540.pdf</v>
      </c>
      <c r="F5906" s="5" t="str">
        <f>HYPERLINK("https://dpmzos25m8ivg.cloudfront.net/Documentos/631/16739829721/6311673982972110092023220612.pdf","https://dpmzos25m8ivg.cloudfront.net/Documentos/631/16739829721/6311673982972110092023220612.pdf")</f>
        <v>https://dpmzos25m8ivg.cloudfront.net/Documentos/631/16739829721/6311673982972110092023220612.pdf</v>
      </c>
      <c r="G5906" s="5" t="str">
        <f>HYPERLINK("https://dpmzos25m8ivg.cloudfront.net/Documentos/631/16739829721/6311673982972110092023220628.pdf","https://dpmzos25m8ivg.cloudfront.net/Documentos/631/16739829721/6311673982972110092023220628.pdf")</f>
        <v>https://dpmzos25m8ivg.cloudfront.net/Documentos/631/16739829721/6311673982972110092023220628.pdf</v>
      </c>
      <c r="H5906" s="5" t="s">
        <v>14477</v>
      </c>
    </row>
    <row r="5907" spans="1:8" x14ac:dyDescent="0.25">
      <c r="A5907" s="2" t="s">
        <v>5935</v>
      </c>
      <c r="B5907" s="3"/>
      <c r="C5907" s="3"/>
      <c r="D5907" s="3"/>
      <c r="E5907" s="5" t="str">
        <f>HYPERLINK("https://dpmzos25m8ivg.cloudfront.net/Documentos/631/16745307731/6311674530773111092023170038.jpeg","https://dpmzos25m8ivg.cloudfront.net/Documentos/631/16745307731/6311674530773111092023170038.jpeg")</f>
        <v>https://dpmzos25m8ivg.cloudfront.net/Documentos/631/16745307731/6311674530773111092023170038.jpeg</v>
      </c>
      <c r="F5907" s="5" t="str">
        <f>HYPERLINK("https://dpmzos25m8ivg.cloudfront.net/Documentos/631/16745307731/6311674530773111092023170108.jpeg","https://dpmzos25m8ivg.cloudfront.net/Documentos/631/16745307731/6311674530773111092023170108.jpeg")</f>
        <v>https://dpmzos25m8ivg.cloudfront.net/Documentos/631/16745307731/6311674530773111092023170108.jpeg</v>
      </c>
      <c r="G5907" s="5" t="str">
        <f>HYPERLINK("https://dpmzos25m8ivg.cloudfront.net/Documentos/631/16745307731/6311674530773111092023170121.jpeg","https://dpmzos25m8ivg.cloudfront.net/Documentos/631/16745307731/6311674530773111092023170121.jpeg")</f>
        <v>https://dpmzos25m8ivg.cloudfront.net/Documentos/631/16745307731/6311674530773111092023170121.jpeg</v>
      </c>
      <c r="H5907" s="4" t="s">
        <v>14478</v>
      </c>
    </row>
    <row r="5908" spans="1:8" x14ac:dyDescent="0.25">
      <c r="A5908" s="2" t="s">
        <v>5936</v>
      </c>
      <c r="B5908" s="3"/>
      <c r="C5908" s="3"/>
      <c r="D5908" s="3"/>
      <c r="E5908" s="5" t="str">
        <f>HYPERLINK("https://dpmzos25m8ivg.cloudfront.net/Documentos/631/16755171778/6311675517177811092023081900.jpeg","https://dpmzos25m8ivg.cloudfront.net/Documentos/631/16755171778/6311675517177811092023081900.jpeg")</f>
        <v>https://dpmzos25m8ivg.cloudfront.net/Documentos/631/16755171778/6311675517177811092023081900.jpeg</v>
      </c>
      <c r="F5908" s="5" t="str">
        <f>HYPERLINK("https://dpmzos25m8ivg.cloudfront.net/Documentos/631/16755171778/6311675517177811092023082017.jpeg","https://dpmzos25m8ivg.cloudfront.net/Documentos/631/16755171778/6311675517177811092023082017.jpeg")</f>
        <v>https://dpmzos25m8ivg.cloudfront.net/Documentos/631/16755171778/6311675517177811092023082017.jpeg</v>
      </c>
      <c r="G5908" s="5" t="str">
        <f>HYPERLINK("https://dpmzos25m8ivg.cloudfront.net/Documentos/631/16755171778/6311675517177811092023082256.jpeg","https://dpmzos25m8ivg.cloudfront.net/Documentos/631/16755171778/6311675517177811092023082256.jpeg")</f>
        <v>https://dpmzos25m8ivg.cloudfront.net/Documentos/631/16755171778/6311675517177811092023082256.jpeg</v>
      </c>
      <c r="H5908" s="4" t="s">
        <v>14479</v>
      </c>
    </row>
    <row r="5909" spans="1:8" x14ac:dyDescent="0.25">
      <c r="A5909" s="2" t="s">
        <v>5937</v>
      </c>
      <c r="B5909" s="3"/>
      <c r="C5909" s="3"/>
      <c r="D5909" s="3"/>
      <c r="E5909" s="5" t="str">
        <f>HYPERLINK("https://dpmzos25m8ivg.cloudfront.net/Documentos/631/16763455828/6311676345582808092023163347.pdf","https://dpmzos25m8ivg.cloudfront.net/Documentos/631/16763455828/6311676345582808092023163347.pdf")</f>
        <v>https://dpmzos25m8ivg.cloudfront.net/Documentos/631/16763455828/6311676345582808092023163347.pdf</v>
      </c>
      <c r="F5909" s="5" t="str">
        <f>HYPERLINK("https://dpmzos25m8ivg.cloudfront.net/Documentos/631/16763455828/6311676345582808092023163542.pdf","https://dpmzos25m8ivg.cloudfront.net/Documentos/631/16763455828/6311676345582808092023163542.pdf")</f>
        <v>https://dpmzos25m8ivg.cloudfront.net/Documentos/631/16763455828/6311676345582808092023163542.pdf</v>
      </c>
      <c r="G5909" s="5" t="str">
        <f>HYPERLINK("https://dpmzos25m8ivg.cloudfront.net/Documentos/631/16763455828/6311676345582808092023163630.pdf","https://dpmzos25m8ivg.cloudfront.net/Documentos/631/16763455828/6311676345582808092023163630.pdf")</f>
        <v>https://dpmzos25m8ivg.cloudfront.net/Documentos/631/16763455828/6311676345582808092023163630.pdf</v>
      </c>
      <c r="H5909" s="4" t="s">
        <v>14480</v>
      </c>
    </row>
    <row r="5910" spans="1:8" x14ac:dyDescent="0.25">
      <c r="A5910" s="2" t="s">
        <v>5938</v>
      </c>
      <c r="B5910" s="3"/>
      <c r="C5910" s="3"/>
      <c r="D5910" s="3"/>
      <c r="E5910" s="5" t="str">
        <f>HYPERLINK("https://dpmzos25m8ivg.cloudfront.net/Documentos/631/16792475149/6311679247514914092023115144.pdf","https://dpmzos25m8ivg.cloudfront.net/Documentos/631/16792475149/6311679247514914092023115144.pdf")</f>
        <v>https://dpmzos25m8ivg.cloudfront.net/Documentos/631/16792475149/6311679247514914092023115144.pdf</v>
      </c>
      <c r="F5910" s="5" t="str">
        <f>HYPERLINK("https://dpmzos25m8ivg.cloudfront.net/Documentos/631/16792475149/6311679247514914092023103508.pdf","https://dpmzos25m8ivg.cloudfront.net/Documentos/631/16792475149/6311679247514914092023103508.pdf")</f>
        <v>https://dpmzos25m8ivg.cloudfront.net/Documentos/631/16792475149/6311679247514914092023103508.pdf</v>
      </c>
      <c r="G5910" s="5" t="str">
        <f>HYPERLINK("https://dpmzos25m8ivg.cloudfront.net/Documentos/631/16792475149/6311679247514914092023103558.pdf","https://dpmzos25m8ivg.cloudfront.net/Documentos/631/16792475149/6311679247514914092023103558.pdf")</f>
        <v>https://dpmzos25m8ivg.cloudfront.net/Documentos/631/16792475149/6311679247514914092023103558.pdf</v>
      </c>
      <c r="H5910" s="4" t="s">
        <v>14481</v>
      </c>
    </row>
    <row r="5911" spans="1:8" x14ac:dyDescent="0.25">
      <c r="A5911" s="2" t="s">
        <v>5939</v>
      </c>
      <c r="B5911" s="3"/>
      <c r="C5911" s="3"/>
      <c r="D5911" s="3"/>
      <c r="E5911" s="5" t="str">
        <f>HYPERLINK("https://dpmzos25m8ivg.cloudfront.net/Documentos/631/16803231801/6311680323180106092023003037.pdf","https://dpmzos25m8ivg.cloudfront.net/Documentos/631/16803231801/6311680323180106092023003037.pdf")</f>
        <v>https://dpmzos25m8ivg.cloudfront.net/Documentos/631/16803231801/6311680323180106092023003037.pdf</v>
      </c>
      <c r="F5911" s="5" t="str">
        <f>HYPERLINK("https://dpmzos25m8ivg.cloudfront.net/Documentos/631/16803231801/6311680323180106092023003051.pdf","https://dpmzos25m8ivg.cloudfront.net/Documentos/631/16803231801/6311680323180106092023003051.pdf")</f>
        <v>https://dpmzos25m8ivg.cloudfront.net/Documentos/631/16803231801/6311680323180106092023003051.pdf</v>
      </c>
      <c r="G5911" s="5" t="str">
        <f>HYPERLINK("https://dpmzos25m8ivg.cloudfront.net/Documentos/631/16803231801/6311680323180106092023003102.pdf","https://dpmzos25m8ivg.cloudfront.net/Documentos/631/16803231801/6311680323180106092023003102.pdf")</f>
        <v>https://dpmzos25m8ivg.cloudfront.net/Documentos/631/16803231801/6311680323180106092023003102.pdf</v>
      </c>
      <c r="H5911" s="4" t="s">
        <v>14482</v>
      </c>
    </row>
    <row r="5912" spans="1:8" x14ac:dyDescent="0.25">
      <c r="A5912" s="2" t="s">
        <v>5940</v>
      </c>
      <c r="B5912" s="3"/>
      <c r="C5912" s="3"/>
      <c r="D5912" s="3"/>
      <c r="E5912" s="5" t="str">
        <f>HYPERLINK("https://dpmzos25m8ivg.cloudfront.net/Documentos/631/16809279733/6311680927973308092023151633.pdf","https://dpmzos25m8ivg.cloudfront.net/Documentos/631/16809279733/6311680927973308092023151633.pdf")</f>
        <v>https://dpmzos25m8ivg.cloudfront.net/Documentos/631/16809279733/6311680927973308092023151633.pdf</v>
      </c>
      <c r="F5912" s="5" t="str">
        <f>HYPERLINK("https://dpmzos25m8ivg.cloudfront.net/Documentos/631/16809279733/6311680927973308092023151742.pdf","https://dpmzos25m8ivg.cloudfront.net/Documentos/631/16809279733/6311680927973308092023151742.pdf")</f>
        <v>https://dpmzos25m8ivg.cloudfront.net/Documentos/631/16809279733/6311680927973308092023151742.pdf</v>
      </c>
      <c r="G5912" s="5" t="str">
        <f>HYPERLINK("https://dpmzos25m8ivg.cloudfront.net/Documentos/631/16809279733/6311680927973308092023151752.pdf","https://dpmzos25m8ivg.cloudfront.net/Documentos/631/16809279733/6311680927973308092023151752.pdf")</f>
        <v>https://dpmzos25m8ivg.cloudfront.net/Documentos/631/16809279733/6311680927973308092023151752.pdf</v>
      </c>
      <c r="H5912" s="4" t="s">
        <v>14483</v>
      </c>
    </row>
    <row r="5913" spans="1:8" x14ac:dyDescent="0.25">
      <c r="A5913" s="2" t="s">
        <v>5941</v>
      </c>
      <c r="B5913" s="3"/>
      <c r="C5913" s="3"/>
      <c r="D5913" s="3"/>
      <c r="E5913" s="5" t="str">
        <f>HYPERLINK("https://dpmzos25m8ivg.cloudfront.net/Documentos/631/16815822796/6311681582279611092023161317.jpeg","https://dpmzos25m8ivg.cloudfront.net/Documentos/631/16815822796/6311681582279611092023161317.jpeg")</f>
        <v>https://dpmzos25m8ivg.cloudfront.net/Documentos/631/16815822796/6311681582279611092023161317.jpeg</v>
      </c>
      <c r="F5913" s="5" t="str">
        <f>HYPERLINK("https://dpmzos25m8ivg.cloudfront.net/Documentos/631/16815822796/6311681582279611092023161333.jpeg","https://dpmzos25m8ivg.cloudfront.net/Documentos/631/16815822796/6311681582279611092023161333.jpeg")</f>
        <v>https://dpmzos25m8ivg.cloudfront.net/Documentos/631/16815822796/6311681582279611092023161333.jpeg</v>
      </c>
      <c r="G5913" s="5" t="str">
        <f>HYPERLINK("https://dpmzos25m8ivg.cloudfront.net/Documentos/631/16815822796/6311681582279611092023161347.jpeg","https://dpmzos25m8ivg.cloudfront.net/Documentos/631/16815822796/6311681582279611092023161347.jpeg")</f>
        <v>https://dpmzos25m8ivg.cloudfront.net/Documentos/631/16815822796/6311681582279611092023161347.jpeg</v>
      </c>
      <c r="H5913" s="4" t="s">
        <v>14484</v>
      </c>
    </row>
    <row r="5914" spans="1:8" x14ac:dyDescent="0.25">
      <c r="A5914" s="2" t="s">
        <v>5942</v>
      </c>
      <c r="B5914" s="3"/>
      <c r="C5914" s="3"/>
      <c r="D5914" s="3"/>
      <c r="E5914" s="5" t="str">
        <f>HYPERLINK("https://dpmzos25m8ivg.cloudfront.net/Documentos/631/16817688795/6311681768879511092023134125.pdf","https://dpmzos25m8ivg.cloudfront.net/Documentos/631/16817688795/6311681768879511092023134125.pdf")</f>
        <v>https://dpmzos25m8ivg.cloudfront.net/Documentos/631/16817688795/6311681768879511092023134125.pdf</v>
      </c>
      <c r="F5914" s="5" t="str">
        <f>HYPERLINK("https://dpmzos25m8ivg.cloudfront.net/Documentos/631/16817688795/6311681768879511092023134148.pdf","https://dpmzos25m8ivg.cloudfront.net/Documentos/631/16817688795/6311681768879511092023134148.pdf")</f>
        <v>https://dpmzos25m8ivg.cloudfront.net/Documentos/631/16817688795/6311681768879511092023134148.pdf</v>
      </c>
      <c r="G5914" s="5" t="str">
        <f>HYPERLINK("https://dpmzos25m8ivg.cloudfront.net/Documentos/631/16817688795/6311681768879511092023134210.pdf","https://dpmzos25m8ivg.cloudfront.net/Documentos/631/16817688795/6311681768879511092023134210.pdf")</f>
        <v>https://dpmzos25m8ivg.cloudfront.net/Documentos/631/16817688795/6311681768879511092023134210.pdf</v>
      </c>
      <c r="H5914" s="4" t="s">
        <v>14485</v>
      </c>
    </row>
    <row r="5915" spans="1:8" x14ac:dyDescent="0.25">
      <c r="A5915" s="2" t="s">
        <v>5943</v>
      </c>
      <c r="B5915" s="3"/>
      <c r="C5915" s="3"/>
      <c r="D5915" s="3"/>
      <c r="E5915" s="5" t="str">
        <f>HYPERLINK("https://dpmzos25m8ivg.cloudfront.net/Documentos/631/16843688713/6311684368871305092023084412.pdf","https://dpmzos25m8ivg.cloudfront.net/Documentos/631/16843688713/6311684368871305092023084412.pdf")</f>
        <v>https://dpmzos25m8ivg.cloudfront.net/Documentos/631/16843688713/6311684368871305092023084412.pdf</v>
      </c>
      <c r="F5915" s="5" t="str">
        <f>HYPERLINK("https://dpmzos25m8ivg.cloudfront.net/Documentos/631/16843688713/6311684368871305092023084420.pdf","https://dpmzos25m8ivg.cloudfront.net/Documentos/631/16843688713/6311684368871305092023084420.pdf")</f>
        <v>https://dpmzos25m8ivg.cloudfront.net/Documentos/631/16843688713/6311684368871305092023084420.pdf</v>
      </c>
      <c r="G5915" s="5" t="str">
        <f>HYPERLINK("https://dpmzos25m8ivg.cloudfront.net/Documentos/631/16843688713/6311684368871305092023084432.pdf","https://dpmzos25m8ivg.cloudfront.net/Documentos/631/16843688713/6311684368871305092023084432.pdf")</f>
        <v>https://dpmzos25m8ivg.cloudfront.net/Documentos/631/16843688713/6311684368871305092023084432.pdf</v>
      </c>
      <c r="H5915" s="4" t="s">
        <v>14486</v>
      </c>
    </row>
    <row r="5916" spans="1:8" x14ac:dyDescent="0.25">
      <c r="A5916" s="2" t="s">
        <v>5944</v>
      </c>
      <c r="B5916" s="3"/>
      <c r="C5916" s="3"/>
      <c r="D5916" s="3"/>
      <c r="E5916" s="5" t="str">
        <f>HYPERLINK("https://dpmzos25m8ivg.cloudfront.net/Documentos/631/16849512757/6311684951275711092023165500.pdf","https://dpmzos25m8ivg.cloudfront.net/Documentos/631/16849512757/6311684951275711092023165500.pdf")</f>
        <v>https://dpmzos25m8ivg.cloudfront.net/Documentos/631/16849512757/6311684951275711092023165500.pdf</v>
      </c>
      <c r="F5916" s="5" t="str">
        <f>HYPERLINK("https://dpmzos25m8ivg.cloudfront.net/Documentos/631/16849512757/6311684951275711092023165514.pdf","https://dpmzos25m8ivg.cloudfront.net/Documentos/631/16849512757/6311684951275711092023165514.pdf")</f>
        <v>https://dpmzos25m8ivg.cloudfront.net/Documentos/631/16849512757/6311684951275711092023165514.pdf</v>
      </c>
      <c r="G5916" s="5" t="str">
        <f>HYPERLINK("https://dpmzos25m8ivg.cloudfront.net/Documentos/631/16849512757/6311684951275711092023165530.pdf","https://dpmzos25m8ivg.cloudfront.net/Documentos/631/16849512757/6311684951275711092023165530.pdf")</f>
        <v>https://dpmzos25m8ivg.cloudfront.net/Documentos/631/16849512757/6311684951275711092023165530.pdf</v>
      </c>
      <c r="H5916" s="4" t="s">
        <v>14487</v>
      </c>
    </row>
    <row r="5917" spans="1:8" x14ac:dyDescent="0.25">
      <c r="A5917" s="2" t="s">
        <v>5945</v>
      </c>
      <c r="B5917" s="3" t="s">
        <v>8</v>
      </c>
      <c r="C5917" s="3"/>
      <c r="D5917" s="3"/>
      <c r="E5917" s="5" t="str">
        <f>HYPERLINK("https://dpmzos25m8ivg.cloudfront.net/Documentos/631/16895698752/6311689569875205092023170739.pdf","https://dpmzos25m8ivg.cloudfront.net/Documentos/631/16895698752/6311689569875205092023170739.pdf")</f>
        <v>https://dpmzos25m8ivg.cloudfront.net/Documentos/631/16895698752/6311689569875205092023170739.pdf</v>
      </c>
      <c r="F5917" s="5" t="str">
        <f>HYPERLINK("https://dpmzos25m8ivg.cloudfront.net/Documentos/631/16895698752/6311689569875205092023170751.pdf","https://dpmzos25m8ivg.cloudfront.net/Documentos/631/16895698752/6311689569875205092023170751.pdf")</f>
        <v>https://dpmzos25m8ivg.cloudfront.net/Documentos/631/16895698752/6311689569875205092023170751.pdf</v>
      </c>
      <c r="G5917" s="5" t="str">
        <f>HYPERLINK("https://dpmzos25m8ivg.cloudfront.net/Documentos/631/16895698752/6311689569875205092023170803.pdf","https://dpmzos25m8ivg.cloudfront.net/Documentos/631/16895698752/6311689569875205092023170803.pdf")</f>
        <v>https://dpmzos25m8ivg.cloudfront.net/Documentos/631/16895698752/6311689569875205092023170803.pdf</v>
      </c>
      <c r="H5917" s="4" t="s">
        <v>14488</v>
      </c>
    </row>
    <row r="5918" spans="1:8" x14ac:dyDescent="0.25">
      <c r="A5918" s="2" t="s">
        <v>5946</v>
      </c>
      <c r="B5918" s="3"/>
      <c r="C5918" s="3"/>
      <c r="D5918" s="3"/>
      <c r="E5918" s="5" t="str">
        <f>HYPERLINK("https://dpmzos25m8ivg.cloudfront.net/Documentos/631/16898929780/6311689892978010092023213019.jpg","https://dpmzos25m8ivg.cloudfront.net/Documentos/631/16898929780/6311689892978010092023213019.jpg")</f>
        <v>https://dpmzos25m8ivg.cloudfront.net/Documentos/631/16898929780/6311689892978010092023213019.jpg</v>
      </c>
      <c r="F5918" s="5" t="str">
        <f>HYPERLINK("https://dpmzos25m8ivg.cloudfront.net/Documentos/631/16898929780/6311689892978010092023213046.jpg","https://dpmzos25m8ivg.cloudfront.net/Documentos/631/16898929780/6311689892978010092023213046.jpg")</f>
        <v>https://dpmzos25m8ivg.cloudfront.net/Documentos/631/16898929780/6311689892978010092023213046.jpg</v>
      </c>
      <c r="G5918" s="5" t="str">
        <f>HYPERLINK("https://dpmzos25m8ivg.cloudfront.net/Documentos/631/16898929780/6311689892978010092023213110.jpg","https://dpmzos25m8ivg.cloudfront.net/Documentos/631/16898929780/6311689892978010092023213110.jpg")</f>
        <v>https://dpmzos25m8ivg.cloudfront.net/Documentos/631/16898929780/6311689892978010092023213110.jpg</v>
      </c>
      <c r="H5918" s="4" t="s">
        <v>14489</v>
      </c>
    </row>
    <row r="5919" spans="1:8" x14ac:dyDescent="0.25">
      <c r="A5919" s="2" t="s">
        <v>5947</v>
      </c>
      <c r="B5919" s="3"/>
      <c r="C5919" s="3"/>
      <c r="D5919" s="3"/>
      <c r="E5919" s="5" t="str">
        <f>HYPERLINK("https://dpmzos25m8ivg.cloudfront.net/Documentos/631/16914939705/6311691493970506092023105551.pdf","https://dpmzos25m8ivg.cloudfront.net/Documentos/631/16914939705/6311691493970506092023105551.pdf")</f>
        <v>https://dpmzos25m8ivg.cloudfront.net/Documentos/631/16914939705/6311691493970506092023105551.pdf</v>
      </c>
      <c r="F5919" s="5" t="str">
        <f>HYPERLINK("https://dpmzos25m8ivg.cloudfront.net/Documentos/631/16914939705/6311691493970506092023105601.pdf","https://dpmzos25m8ivg.cloudfront.net/Documentos/631/16914939705/6311691493970506092023105601.pdf")</f>
        <v>https://dpmzos25m8ivg.cloudfront.net/Documentos/631/16914939705/6311691493970506092023105601.pdf</v>
      </c>
      <c r="G5919" s="5" t="str">
        <f>HYPERLINK("https://dpmzos25m8ivg.cloudfront.net/Documentos/631/16914939705/6311691493970506092023105612.pdf","https://dpmzos25m8ivg.cloudfront.net/Documentos/631/16914939705/6311691493970506092023105612.pdf")</f>
        <v>https://dpmzos25m8ivg.cloudfront.net/Documentos/631/16914939705/6311691493970506092023105612.pdf</v>
      </c>
      <c r="H5919" s="4" t="s">
        <v>14490</v>
      </c>
    </row>
    <row r="5920" spans="1:8" x14ac:dyDescent="0.25">
      <c r="A5920" s="2" t="s">
        <v>5948</v>
      </c>
      <c r="B5920" s="16" t="s">
        <v>2358</v>
      </c>
      <c r="C5920" s="3"/>
      <c r="D5920" s="3"/>
      <c r="E5920" s="5" t="str">
        <f>HYPERLINK("https://dpmzos25m8ivg.cloudfront.net/Documentos/631/16914981817/6311691498181706092023000207.pdf","https://dpmzos25m8ivg.cloudfront.net/Documentos/631/16914981817/6311691498181706092023000207.pdf")</f>
        <v>https://dpmzos25m8ivg.cloudfront.net/Documentos/631/16914981817/6311691498181706092023000207.pdf</v>
      </c>
      <c r="F5920" s="5" t="str">
        <f>HYPERLINK("https://dpmzos25m8ivg.cloudfront.net/Documentos/631/16914981817/6311691498181706092023000307.pdf","https://dpmzos25m8ivg.cloudfront.net/Documentos/631/16914981817/6311691498181706092023000307.pdf")</f>
        <v>https://dpmzos25m8ivg.cloudfront.net/Documentos/631/16914981817/6311691498181706092023000307.pdf</v>
      </c>
      <c r="G5920" s="5" t="str">
        <f>HYPERLINK("https://dpmzos25m8ivg.cloudfront.net/Documentos/631/16914981817/6311691498181706092023002922.pdf","https://dpmzos25m8ivg.cloudfront.net/Documentos/631/16914981817/6311691498181706092023002922.pdf")</f>
        <v>https://dpmzos25m8ivg.cloudfront.net/Documentos/631/16914981817/6311691498181706092023002922.pdf</v>
      </c>
      <c r="H5920" s="5" t="s">
        <v>14491</v>
      </c>
    </row>
    <row r="5921" spans="1:8" x14ac:dyDescent="0.25">
      <c r="A5921" s="2" t="s">
        <v>5949</v>
      </c>
      <c r="B5921" s="3"/>
      <c r="C5921" s="3"/>
      <c r="D5921" s="3"/>
      <c r="E5921" s="5" t="str">
        <f>HYPERLINK("https://dpmzos25m8ivg.cloudfront.net/Documentos/631/16923601754/6311692360175408092023153928.pdf","https://dpmzos25m8ivg.cloudfront.net/Documentos/631/16923601754/6311692360175408092023153928.pdf")</f>
        <v>https://dpmzos25m8ivg.cloudfront.net/Documentos/631/16923601754/6311692360175408092023153928.pdf</v>
      </c>
      <c r="F5921" s="5" t="str">
        <f>HYPERLINK("https://dpmzos25m8ivg.cloudfront.net/Documentos/631/16923601754/6311692360175408092023153938.pdf","https://dpmzos25m8ivg.cloudfront.net/Documentos/631/16923601754/6311692360175408092023153938.pdf")</f>
        <v>https://dpmzos25m8ivg.cloudfront.net/Documentos/631/16923601754/6311692360175408092023153938.pdf</v>
      </c>
      <c r="G5921" s="5" t="str">
        <f>HYPERLINK("https://dpmzos25m8ivg.cloudfront.net/Documentos/631/16923601754/6311692360175408092023153946.pdf","https://dpmzos25m8ivg.cloudfront.net/Documentos/631/16923601754/6311692360175408092023153946.pdf")</f>
        <v>https://dpmzos25m8ivg.cloudfront.net/Documentos/631/16923601754/6311692360175408092023153946.pdf</v>
      </c>
      <c r="H5921" s="4" t="s">
        <v>14492</v>
      </c>
    </row>
    <row r="5922" spans="1:8" x14ac:dyDescent="0.25">
      <c r="A5922" s="2" t="s">
        <v>5950</v>
      </c>
      <c r="B5922" s="3"/>
      <c r="C5922" s="3"/>
      <c r="D5922" s="3"/>
      <c r="E5922" s="5" t="str">
        <f>HYPERLINK("https://dpmzos25m8ivg.cloudfront.net/Documentos/631/16924667716/6311692466771605092023203552.pdf","https://dpmzos25m8ivg.cloudfront.net/Documentos/631/16924667716/6311692466771605092023203552.pdf")</f>
        <v>https://dpmzos25m8ivg.cloudfront.net/Documentos/631/16924667716/6311692466771605092023203552.pdf</v>
      </c>
      <c r="F5922" s="5" t="str">
        <f>HYPERLINK("https://dpmzos25m8ivg.cloudfront.net/Documentos/631/16924667716/6311692466771605092023203626.pdf","https://dpmzos25m8ivg.cloudfront.net/Documentos/631/16924667716/6311692466771605092023203626.pdf")</f>
        <v>https://dpmzos25m8ivg.cloudfront.net/Documentos/631/16924667716/6311692466771605092023203626.pdf</v>
      </c>
      <c r="G5922" s="5" t="str">
        <f>HYPERLINK("https://dpmzos25m8ivg.cloudfront.net/Documentos/631/16924667716/6311692466771605092023203638.pdf","https://dpmzos25m8ivg.cloudfront.net/Documentos/631/16924667716/6311692466771605092023203638.pdf")</f>
        <v>https://dpmzos25m8ivg.cloudfront.net/Documentos/631/16924667716/6311692466771605092023203638.pdf</v>
      </c>
      <c r="H5922" s="4" t="s">
        <v>14493</v>
      </c>
    </row>
    <row r="5923" spans="1:8" x14ac:dyDescent="0.25">
      <c r="A5923" s="2" t="s">
        <v>5951</v>
      </c>
      <c r="B5923" s="16" t="s">
        <v>2358</v>
      </c>
      <c r="C5923" s="3"/>
      <c r="D5923" s="3"/>
      <c r="E5923" s="5" t="str">
        <f>HYPERLINK("https://dpmzos25m8ivg.cloudfront.net/Documentos/631/16947587700/6311694758770011092023165148.pdf","https://dpmzos25m8ivg.cloudfront.net/Documentos/631/16947587700/6311694758770011092023165148.pdf")</f>
        <v>https://dpmzos25m8ivg.cloudfront.net/Documentos/631/16947587700/6311694758770011092023165148.pdf</v>
      </c>
      <c r="F5923" s="5" t="str">
        <f>HYPERLINK("https://dpmzos25m8ivg.cloudfront.net/Documentos/631/16947587700/6311694758770011092023165215.pdf","https://dpmzos25m8ivg.cloudfront.net/Documentos/631/16947587700/6311694758770011092023165215.pdf")</f>
        <v>https://dpmzos25m8ivg.cloudfront.net/Documentos/631/16947587700/6311694758770011092023165215.pdf</v>
      </c>
      <c r="G5923" s="5" t="str">
        <f>HYPERLINK("https://dpmzos25m8ivg.cloudfront.net/Documentos/631/16947587700/6311694758770011092023165246.pdf","https://dpmzos25m8ivg.cloudfront.net/Documentos/631/16947587700/6311694758770011092023165246.pdf")</f>
        <v>https://dpmzos25m8ivg.cloudfront.net/Documentos/631/16947587700/6311694758770011092023165246.pdf</v>
      </c>
      <c r="H5923" s="5" t="s">
        <v>14494</v>
      </c>
    </row>
    <row r="5924" spans="1:8" x14ac:dyDescent="0.25">
      <c r="A5924" s="2" t="s">
        <v>5952</v>
      </c>
      <c r="B5924" s="3"/>
      <c r="C5924" s="3"/>
      <c r="D5924" s="3"/>
      <c r="E5924" s="5" t="str">
        <f>HYPERLINK("https://dpmzos25m8ivg.cloudfront.net/Documentos/631/16950511817/6311695051181711092023113113.jpg","https://dpmzos25m8ivg.cloudfront.net/Documentos/631/16950511817/6311695051181711092023113113.jpg")</f>
        <v>https://dpmzos25m8ivg.cloudfront.net/Documentos/631/16950511817/6311695051181711092023113113.jpg</v>
      </c>
      <c r="F5924" s="5" t="str">
        <f>HYPERLINK("https://dpmzos25m8ivg.cloudfront.net/Documentos/631/16950511817/6311695051181711092023113155.jpg","https://dpmzos25m8ivg.cloudfront.net/Documentos/631/16950511817/6311695051181711092023113155.jpg")</f>
        <v>https://dpmzos25m8ivg.cloudfront.net/Documentos/631/16950511817/6311695051181711092023113155.jpg</v>
      </c>
      <c r="G5924" s="5" t="str">
        <f>HYPERLINK("https://dpmzos25m8ivg.cloudfront.net/Documentos/631/16950511817/6311695051181711092023113250.jpg","https://dpmzos25m8ivg.cloudfront.net/Documentos/631/16950511817/6311695051181711092023113250.jpg")</f>
        <v>https://dpmzos25m8ivg.cloudfront.net/Documentos/631/16950511817/6311695051181711092023113250.jpg</v>
      </c>
      <c r="H5924" s="4" t="s">
        <v>14495</v>
      </c>
    </row>
    <row r="5925" spans="1:8" x14ac:dyDescent="0.25">
      <c r="A5925" s="2" t="s">
        <v>5953</v>
      </c>
      <c r="B5925" s="3"/>
      <c r="C5925" s="3"/>
      <c r="D5925" s="3"/>
      <c r="E5925" s="5" t="str">
        <f>HYPERLINK("https://dpmzos25m8ivg.cloudfront.net/Documentos/631/16953907762/6311695390776210092023145208.pdf","https://dpmzos25m8ivg.cloudfront.net/Documentos/631/16953907762/6311695390776210092023145208.pdf")</f>
        <v>https://dpmzos25m8ivg.cloudfront.net/Documentos/631/16953907762/6311695390776210092023145208.pdf</v>
      </c>
      <c r="F5925" s="5" t="str">
        <f>HYPERLINK("https://dpmzos25m8ivg.cloudfront.net/Documentos/631/16953907762/6311695390776210092023145228.pdf","https://dpmzos25m8ivg.cloudfront.net/Documentos/631/16953907762/6311695390776210092023145228.pdf")</f>
        <v>https://dpmzos25m8ivg.cloudfront.net/Documentos/631/16953907762/6311695390776210092023145228.pdf</v>
      </c>
      <c r="G5925" s="5" t="str">
        <f>HYPERLINK("https://dpmzos25m8ivg.cloudfront.net/Documentos/631/16953907762/6311695390776210092023145250.pdf","https://dpmzos25m8ivg.cloudfront.net/Documentos/631/16953907762/6311695390776210092023145250.pdf")</f>
        <v>https://dpmzos25m8ivg.cloudfront.net/Documentos/631/16953907762/6311695390776210092023145250.pdf</v>
      </c>
      <c r="H5925" s="4" t="s">
        <v>14496</v>
      </c>
    </row>
    <row r="5926" spans="1:8" x14ac:dyDescent="0.25">
      <c r="A5926" s="2" t="s">
        <v>5954</v>
      </c>
      <c r="B5926" s="3"/>
      <c r="C5926" s="3"/>
      <c r="D5926" s="3"/>
      <c r="E5926" s="5" t="str">
        <f>HYPERLINK("https://dpmzos25m8ivg.cloudfront.net/Documentos/631/16961517676/6311696151767613092023232139.pdf","https://dpmzos25m8ivg.cloudfront.net/Documentos/631/16961517676/6311696151767613092023232139.pdf")</f>
        <v>https://dpmzos25m8ivg.cloudfront.net/Documentos/631/16961517676/6311696151767613092023232139.pdf</v>
      </c>
      <c r="F5926" s="5" t="str">
        <f>HYPERLINK("https://dpmzos25m8ivg.cloudfront.net/Documentos/631/16961517676/6311696151767613092023232148.pdf","https://dpmzos25m8ivg.cloudfront.net/Documentos/631/16961517676/6311696151767613092023232148.pdf")</f>
        <v>https://dpmzos25m8ivg.cloudfront.net/Documentos/631/16961517676/6311696151767613092023232148.pdf</v>
      </c>
      <c r="G5926" s="5" t="str">
        <f>HYPERLINK("https://dpmzos25m8ivg.cloudfront.net/Documentos/631/16961517676/6311696151767613092023232157.pdf","https://dpmzos25m8ivg.cloudfront.net/Documentos/631/16961517676/6311696151767613092023232157.pdf")</f>
        <v>https://dpmzos25m8ivg.cloudfront.net/Documentos/631/16961517676/6311696151767613092023232157.pdf</v>
      </c>
      <c r="H5926" s="4" t="s">
        <v>14497</v>
      </c>
    </row>
    <row r="5927" spans="1:8" x14ac:dyDescent="0.25">
      <c r="A5927" s="2" t="s">
        <v>5955</v>
      </c>
      <c r="B5927" s="3" t="s">
        <v>8</v>
      </c>
      <c r="C5927" s="3"/>
      <c r="D5927" s="3"/>
      <c r="E5927" s="5" t="str">
        <f>HYPERLINK("https://dpmzos25m8ivg.cloudfront.net/Documentos/631/16968768771/6311696876877108092023182029.pdf","https://dpmzos25m8ivg.cloudfront.net/Documentos/631/16968768771/6311696876877108092023182029.pdf")</f>
        <v>https://dpmzos25m8ivg.cloudfront.net/Documentos/631/16968768771/6311696876877108092023182029.pdf</v>
      </c>
      <c r="F5927" s="5" t="str">
        <f>HYPERLINK("https://dpmzos25m8ivg.cloudfront.net/Documentos/631/16968768771/6311696876877108092023182041.pdf","https://dpmzos25m8ivg.cloudfront.net/Documentos/631/16968768771/6311696876877108092023182041.pdf")</f>
        <v>https://dpmzos25m8ivg.cloudfront.net/Documentos/631/16968768771/6311696876877108092023182041.pdf</v>
      </c>
      <c r="G5927" s="5" t="str">
        <f>HYPERLINK("https://dpmzos25m8ivg.cloudfront.net/Documentos/631/16968768771/6311696876877108092023182055.pdf","https://dpmzos25m8ivg.cloudfront.net/Documentos/631/16968768771/6311696876877108092023182055.pdf")</f>
        <v>https://dpmzos25m8ivg.cloudfront.net/Documentos/631/16968768771/6311696876877108092023182055.pdf</v>
      </c>
      <c r="H5927" s="4" t="s">
        <v>14498</v>
      </c>
    </row>
    <row r="5928" spans="1:8" x14ac:dyDescent="0.25">
      <c r="A5928" s="2" t="s">
        <v>5956</v>
      </c>
      <c r="B5928" s="16" t="s">
        <v>2358</v>
      </c>
      <c r="C5928" s="3"/>
      <c r="D5928" s="3"/>
      <c r="E5928" s="5" t="str">
        <f>HYPERLINK("https://dpmzos25m8ivg.cloudfront.net/Documentos/631/16972658713/6311697265871310092023223121.jpeg","https://dpmzos25m8ivg.cloudfront.net/Documentos/631/16972658713/6311697265871310092023223121.jpeg")</f>
        <v>https://dpmzos25m8ivg.cloudfront.net/Documentos/631/16972658713/6311697265871310092023223121.jpeg</v>
      </c>
      <c r="F5928" s="5" t="str">
        <f>HYPERLINK("https://dpmzos25m8ivg.cloudfront.net/Documentos/631/16972658713/6311697265871310092023223131.jpeg","https://dpmzos25m8ivg.cloudfront.net/Documentos/631/16972658713/6311697265871310092023223131.jpeg")</f>
        <v>https://dpmzos25m8ivg.cloudfront.net/Documentos/631/16972658713/6311697265871310092023223131.jpeg</v>
      </c>
      <c r="G5928" s="5" t="str">
        <f>HYPERLINK("https://dpmzos25m8ivg.cloudfront.net/Documentos/631/16972658713/6311697265871310092023223142.jpeg","https://dpmzos25m8ivg.cloudfront.net/Documentos/631/16972658713/6311697265871310092023223142.jpeg")</f>
        <v>https://dpmzos25m8ivg.cloudfront.net/Documentos/631/16972658713/6311697265871310092023223142.jpeg</v>
      </c>
      <c r="H5928" s="5" t="s">
        <v>14499</v>
      </c>
    </row>
    <row r="5929" spans="1:8" x14ac:dyDescent="0.25">
      <c r="A5929" s="2" t="s">
        <v>5957</v>
      </c>
      <c r="B5929" s="3"/>
      <c r="C5929" s="3"/>
      <c r="D5929" s="3"/>
      <c r="E5929" s="5" t="str">
        <f>HYPERLINK("https://dpmzos25m8ivg.cloudfront.net/Documentos/631/16980799746/6311698079974610092023205728.pdf","https://dpmzos25m8ivg.cloudfront.net/Documentos/631/16980799746/6311698079974610092023205728.pdf")</f>
        <v>https://dpmzos25m8ivg.cloudfront.net/Documentos/631/16980799746/6311698079974610092023205728.pdf</v>
      </c>
      <c r="F5929" s="5" t="str">
        <f>HYPERLINK("https://dpmzos25m8ivg.cloudfront.net/Documentos/631/16980799746/6311698079974610092023205740.pdf","https://dpmzos25m8ivg.cloudfront.net/Documentos/631/16980799746/6311698079974610092023205740.pdf")</f>
        <v>https://dpmzos25m8ivg.cloudfront.net/Documentos/631/16980799746/6311698079974610092023205740.pdf</v>
      </c>
      <c r="G5929" s="5" t="str">
        <f>HYPERLINK("https://dpmzos25m8ivg.cloudfront.net/Documentos/631/16980799746/6311698079974610092023205753.pdf","https://dpmzos25m8ivg.cloudfront.net/Documentos/631/16980799746/6311698079974610092023205753.pdf")</f>
        <v>https://dpmzos25m8ivg.cloudfront.net/Documentos/631/16980799746/6311698079974610092023205753.pdf</v>
      </c>
      <c r="H5929" s="4" t="s">
        <v>14500</v>
      </c>
    </row>
    <row r="5930" spans="1:8" x14ac:dyDescent="0.25">
      <c r="A5930" s="2" t="s">
        <v>5958</v>
      </c>
      <c r="B5930" s="3"/>
      <c r="C5930" s="3"/>
      <c r="D5930" s="3"/>
      <c r="E5930" s="5" t="str">
        <f>HYPERLINK("https://dpmzos25m8ivg.cloudfront.net/Documentos/631/16989354712/6311698935471214092023161733.pdf","https://dpmzos25m8ivg.cloudfront.net/Documentos/631/16989354712/6311698935471214092023161733.pdf")</f>
        <v>https://dpmzos25m8ivg.cloudfront.net/Documentos/631/16989354712/6311698935471214092023161733.pdf</v>
      </c>
      <c r="F5930" s="5" t="str">
        <f>HYPERLINK("https://dpmzos25m8ivg.cloudfront.net/Documentos/631/16989354712/6311698935471214092023161742.pdf","https://dpmzos25m8ivg.cloudfront.net/Documentos/631/16989354712/6311698935471214092023161742.pdf")</f>
        <v>https://dpmzos25m8ivg.cloudfront.net/Documentos/631/16989354712/6311698935471214092023161742.pdf</v>
      </c>
      <c r="G5930" s="5" t="str">
        <f>HYPERLINK("https://dpmzos25m8ivg.cloudfront.net/Documentos/631/16989354712/6311698935471214092023161751.pdf","https://dpmzos25m8ivg.cloudfront.net/Documentos/631/16989354712/6311698935471214092023161751.pdf")</f>
        <v>https://dpmzos25m8ivg.cloudfront.net/Documentos/631/16989354712/6311698935471214092023161751.pdf</v>
      </c>
      <c r="H5930" s="4" t="s">
        <v>14501</v>
      </c>
    </row>
    <row r="5931" spans="1:8" x14ac:dyDescent="0.25">
      <c r="A5931" s="2" t="s">
        <v>5959</v>
      </c>
      <c r="B5931" s="3"/>
      <c r="C5931" s="3"/>
      <c r="D5931" s="3"/>
      <c r="E5931" s="5" t="str">
        <f>HYPERLINK("https://dpmzos25m8ivg.cloudfront.net/Documentos/631/16990664770/6311699066477011092023144302.pdf","https://dpmzos25m8ivg.cloudfront.net/Documentos/631/16990664770/6311699066477011092023144302.pdf")</f>
        <v>https://dpmzos25m8ivg.cloudfront.net/Documentos/631/16990664770/6311699066477011092023144302.pdf</v>
      </c>
      <c r="F5931" s="5" t="str">
        <f>HYPERLINK("https://dpmzos25m8ivg.cloudfront.net/Documentos/631/16990664770/6311699066477011092023144412.pdf","https://dpmzos25m8ivg.cloudfront.net/Documentos/631/16990664770/6311699066477011092023144412.pdf")</f>
        <v>https://dpmzos25m8ivg.cloudfront.net/Documentos/631/16990664770/6311699066477011092023144412.pdf</v>
      </c>
      <c r="G5931" s="5" t="str">
        <f>HYPERLINK("https://dpmzos25m8ivg.cloudfront.net/Documentos/631/16990664770/6311699066477011092023144419.pdf","https://dpmzos25m8ivg.cloudfront.net/Documentos/631/16990664770/6311699066477011092023144419.pdf")</f>
        <v>https://dpmzos25m8ivg.cloudfront.net/Documentos/631/16990664770/6311699066477011092023144419.pdf</v>
      </c>
      <c r="H5931" s="4" t="s">
        <v>14502</v>
      </c>
    </row>
    <row r="5932" spans="1:8" x14ac:dyDescent="0.25">
      <c r="A5932" s="2" t="s">
        <v>5960</v>
      </c>
      <c r="B5932" s="3"/>
      <c r="C5932" s="3"/>
      <c r="D5932" s="3"/>
      <c r="E5932" s="5" t="str">
        <f>HYPERLINK("https://dpmzos25m8ivg.cloudfront.net/Documentos/631/16990807717/6311699080771711092023142904.pdf","https://dpmzos25m8ivg.cloudfront.net/Documentos/631/16990807717/6311699080771711092023142904.pdf")</f>
        <v>https://dpmzos25m8ivg.cloudfront.net/Documentos/631/16990807717/6311699080771711092023142904.pdf</v>
      </c>
      <c r="F5932" s="5" t="str">
        <f>HYPERLINK("https://dpmzos25m8ivg.cloudfront.net/Documentos/631/16990807717/6311699080771711092023142917.pdf","https://dpmzos25m8ivg.cloudfront.net/Documentos/631/16990807717/6311699080771711092023142917.pdf")</f>
        <v>https://dpmzos25m8ivg.cloudfront.net/Documentos/631/16990807717/6311699080771711092023142917.pdf</v>
      </c>
      <c r="G5932" s="5" t="str">
        <f>HYPERLINK("https://dpmzos25m8ivg.cloudfront.net/Documentos/631/16990807717/6311699080771711092023142928.pdf","https://dpmzos25m8ivg.cloudfront.net/Documentos/631/16990807717/6311699080771711092023142928.pdf")</f>
        <v>https://dpmzos25m8ivg.cloudfront.net/Documentos/631/16990807717/6311699080771711092023142928.pdf</v>
      </c>
      <c r="H5932" s="4" t="s">
        <v>14503</v>
      </c>
    </row>
    <row r="5933" spans="1:8" x14ac:dyDescent="0.25">
      <c r="A5933" s="2" t="s">
        <v>5961</v>
      </c>
      <c r="B5933" s="3"/>
      <c r="C5933" s="3"/>
      <c r="D5933" s="3"/>
      <c r="E5933" s="5" t="str">
        <f>HYPERLINK("https://dpmzos25m8ivg.cloudfront.net/Documentos/631/16990834790/6311699083479008092023135426.jpeg","https://dpmzos25m8ivg.cloudfront.net/Documentos/631/16990834790/6311699083479008092023135426.jpeg")</f>
        <v>https://dpmzos25m8ivg.cloudfront.net/Documentos/631/16990834790/6311699083479008092023135426.jpeg</v>
      </c>
      <c r="F5933" s="5" t="str">
        <f>HYPERLINK("https://dpmzos25m8ivg.cloudfront.net/Documentos/631/16990834790/6311699083479008092023135439.jpeg","https://dpmzos25m8ivg.cloudfront.net/Documentos/631/16990834790/6311699083479008092023135439.jpeg")</f>
        <v>https://dpmzos25m8ivg.cloudfront.net/Documentos/631/16990834790/6311699083479008092023135439.jpeg</v>
      </c>
      <c r="G5933" s="5" t="str">
        <f>HYPERLINK("https://dpmzos25m8ivg.cloudfront.net/Documentos/631/16990834790/6311699083479005092023230842.jpeg","https://dpmzos25m8ivg.cloudfront.net/Documentos/631/16990834790/6311699083479005092023230842.jpeg")</f>
        <v>https://dpmzos25m8ivg.cloudfront.net/Documentos/631/16990834790/6311699083479005092023230842.jpeg</v>
      </c>
      <c r="H5933" s="4" t="s">
        <v>14504</v>
      </c>
    </row>
    <row r="5934" spans="1:8" x14ac:dyDescent="0.25">
      <c r="A5934" s="2" t="s">
        <v>5962</v>
      </c>
      <c r="B5934" s="3"/>
      <c r="C5934" s="3"/>
      <c r="D5934" s="3"/>
      <c r="E5934" s="5" t="str">
        <f>HYPERLINK("https://dpmzos25m8ivg.cloudfront.net/Documentos/631/16991433748/6311699143374811092023161911.jpeg","https://dpmzos25m8ivg.cloudfront.net/Documentos/631/16991433748/6311699143374811092023161911.jpeg")</f>
        <v>https://dpmzos25m8ivg.cloudfront.net/Documentos/631/16991433748/6311699143374811092023161911.jpeg</v>
      </c>
      <c r="F5934" s="5" t="str">
        <f>HYPERLINK("https://dpmzos25m8ivg.cloudfront.net/Documentos/631/16991433748/6311699143374811092023161843.jpeg","https://dpmzos25m8ivg.cloudfront.net/Documentos/631/16991433748/6311699143374811092023161843.jpeg")</f>
        <v>https://dpmzos25m8ivg.cloudfront.net/Documentos/631/16991433748/6311699143374811092023161843.jpeg</v>
      </c>
      <c r="G5934" s="5" t="str">
        <f>HYPERLINK("https://dpmzos25m8ivg.cloudfront.net/Documentos/631/16991433748/6311699143374811092023161810.jpeg","https://dpmzos25m8ivg.cloudfront.net/Documentos/631/16991433748/6311699143374811092023161810.jpeg")</f>
        <v>https://dpmzos25m8ivg.cloudfront.net/Documentos/631/16991433748/6311699143374811092023161810.jpeg</v>
      </c>
      <c r="H5934" s="4" t="s">
        <v>14505</v>
      </c>
    </row>
    <row r="5935" spans="1:8" x14ac:dyDescent="0.25">
      <c r="A5935" s="2" t="s">
        <v>5963</v>
      </c>
      <c r="B5935" s="16" t="s">
        <v>2358</v>
      </c>
      <c r="C5935" s="3"/>
      <c r="D5935" s="3"/>
      <c r="E5935" s="5" t="str">
        <f>HYPERLINK("https://dpmzos25m8ivg.cloudfront.net/Documentos/631/17002727800/6311700272780006092023011523.pdf","https://dpmzos25m8ivg.cloudfront.net/Documentos/631/17002727800/6311700272780006092023011523.pdf")</f>
        <v>https://dpmzos25m8ivg.cloudfront.net/Documentos/631/17002727800/6311700272780006092023011523.pdf</v>
      </c>
      <c r="F5935" s="5" t="str">
        <f>HYPERLINK("https://dpmzos25m8ivg.cloudfront.net/Documentos/631/17002727800/6311700272780006092023011545.pdf","https://dpmzos25m8ivg.cloudfront.net/Documentos/631/17002727800/6311700272780006092023011545.pdf")</f>
        <v>https://dpmzos25m8ivg.cloudfront.net/Documentos/631/17002727800/6311700272780006092023011545.pdf</v>
      </c>
      <c r="G5935" s="5" t="str">
        <f>HYPERLINK("https://dpmzos25m8ivg.cloudfront.net/Documentos/631/17002727800/6311700272780006092023011615.pdf","https://dpmzos25m8ivg.cloudfront.net/Documentos/631/17002727800/6311700272780006092023011615.pdf")</f>
        <v>https://dpmzos25m8ivg.cloudfront.net/Documentos/631/17002727800/6311700272780006092023011615.pdf</v>
      </c>
      <c r="H5935" s="5" t="s">
        <v>14506</v>
      </c>
    </row>
    <row r="5936" spans="1:8" x14ac:dyDescent="0.25">
      <c r="A5936" s="2" t="s">
        <v>5964</v>
      </c>
      <c r="B5936" s="3"/>
      <c r="C5936" s="3"/>
      <c r="D5936" s="3"/>
      <c r="E5936" s="5" t="str">
        <f>HYPERLINK("https://dpmzos25m8ivg.cloudfront.net/Documentos/631/17006544700/6311700654470006092023200601.pdf","https://dpmzos25m8ivg.cloudfront.net/Documentos/631/17006544700/6311700654470006092023200601.pdf")</f>
        <v>https://dpmzos25m8ivg.cloudfront.net/Documentos/631/17006544700/6311700654470006092023200601.pdf</v>
      </c>
      <c r="F5936" s="5" t="str">
        <f>HYPERLINK("https://dpmzos25m8ivg.cloudfront.net/Documentos/631/17006544700/6311700654470006092023200623.pdf","https://dpmzos25m8ivg.cloudfront.net/Documentos/631/17006544700/6311700654470006092023200623.pdf")</f>
        <v>https://dpmzos25m8ivg.cloudfront.net/Documentos/631/17006544700/6311700654470006092023200623.pdf</v>
      </c>
      <c r="G5936" s="5" t="str">
        <f>HYPERLINK("https://dpmzos25m8ivg.cloudfront.net/Documentos/631/17006544700/6311700654470006092023200651.pdf","https://dpmzos25m8ivg.cloudfront.net/Documentos/631/17006544700/6311700654470006092023200651.pdf")</f>
        <v>https://dpmzos25m8ivg.cloudfront.net/Documentos/631/17006544700/6311700654470006092023200651.pdf</v>
      </c>
      <c r="H5936" s="4" t="s">
        <v>14507</v>
      </c>
    </row>
    <row r="5937" spans="1:8" x14ac:dyDescent="0.25">
      <c r="A5937" s="11" t="s">
        <v>5965</v>
      </c>
      <c r="B5937" s="19" t="s">
        <v>3385</v>
      </c>
      <c r="C5937" s="3"/>
      <c r="D5937" s="3"/>
      <c r="E5937" s="5" t="str">
        <f>HYPERLINK("https://dpmzos25m8ivg.cloudfront.net/Documentos/631/17020550789/6311702055078905092023121448.pdf","https://dpmzos25m8ivg.cloudfront.net/Documentos/631/17020550789/6311702055078905092023121448.pdf")</f>
        <v>https://dpmzos25m8ivg.cloudfront.net/Documentos/631/17020550789/6311702055078905092023121448.pdf</v>
      </c>
      <c r="F5937" s="5" t="str">
        <f>HYPERLINK("https://dpmzos25m8ivg.cloudfront.net/Documentos/631/17020550789/6311702055078905092023121511.pdf","https://dpmzos25m8ivg.cloudfront.net/Documentos/631/17020550789/6311702055078905092023121511.pdf")</f>
        <v>https://dpmzos25m8ivg.cloudfront.net/Documentos/631/17020550789/6311702055078905092023121511.pdf</v>
      </c>
      <c r="G5937" s="5" t="str">
        <f>HYPERLINK("https://dpmzos25m8ivg.cloudfront.net/Documentos/631/17020550789/6311702055078905092023121521.pdf","https://dpmzos25m8ivg.cloudfront.net/Documentos/631/17020550789/6311702055078905092023121521.pdf")</f>
        <v>https://dpmzos25m8ivg.cloudfront.net/Documentos/631/17020550789/6311702055078905092023121521.pdf</v>
      </c>
      <c r="H5937" s="4" t="s">
        <v>14508</v>
      </c>
    </row>
    <row r="5938" spans="1:8" x14ac:dyDescent="0.25">
      <c r="A5938" s="2" t="s">
        <v>5966</v>
      </c>
      <c r="B5938" s="3"/>
      <c r="C5938" s="3"/>
      <c r="D5938" s="3"/>
      <c r="E5938" s="5" t="str">
        <f>HYPERLINK("https://dpmzos25m8ivg.cloudfront.net/Documentos/631/17028346706/6311702834670611092023095113.pdf","https://dpmzos25m8ivg.cloudfront.net/Documentos/631/17028346706/6311702834670611092023095113.pdf")</f>
        <v>https://dpmzos25m8ivg.cloudfront.net/Documentos/631/17028346706/6311702834670611092023095113.pdf</v>
      </c>
      <c r="F5938" s="5" t="str">
        <f>HYPERLINK("https://dpmzos25m8ivg.cloudfront.net/Documentos/631/17028346706/6311702834670611092023095126.pdf","https://dpmzos25m8ivg.cloudfront.net/Documentos/631/17028346706/6311702834670611092023095126.pdf")</f>
        <v>https://dpmzos25m8ivg.cloudfront.net/Documentos/631/17028346706/6311702834670611092023095126.pdf</v>
      </c>
      <c r="G5938" s="5" t="str">
        <f>HYPERLINK("https://dpmzos25m8ivg.cloudfront.net/Documentos/631/17028346706/6311702834670611092023095140.pdf","https://dpmzos25m8ivg.cloudfront.net/Documentos/631/17028346706/6311702834670611092023095140.pdf")</f>
        <v>https://dpmzos25m8ivg.cloudfront.net/Documentos/631/17028346706/6311702834670611092023095140.pdf</v>
      </c>
      <c r="H5938" s="4" t="s">
        <v>14509</v>
      </c>
    </row>
    <row r="5939" spans="1:8" x14ac:dyDescent="0.25">
      <c r="A5939" s="2" t="s">
        <v>5967</v>
      </c>
      <c r="B5939" s="3"/>
      <c r="C5939" s="3"/>
      <c r="D5939" s="3"/>
      <c r="E5939" s="5" t="str">
        <f>HYPERLINK("https://dpmzos25m8ivg.cloudfront.net/Documentos/631/17029540727/6311702954072707092023075626.pdf","https://dpmzos25m8ivg.cloudfront.net/Documentos/631/17029540727/6311702954072707092023075626.pdf")</f>
        <v>https://dpmzos25m8ivg.cloudfront.net/Documentos/631/17029540727/6311702954072707092023075626.pdf</v>
      </c>
      <c r="F5939" s="5" t="str">
        <f>HYPERLINK("https://dpmzos25m8ivg.cloudfront.net/Documentos/631/17029540727/6311702954072707092023075634.pdf","https://dpmzos25m8ivg.cloudfront.net/Documentos/631/17029540727/6311702954072707092023075634.pdf")</f>
        <v>https://dpmzos25m8ivg.cloudfront.net/Documentos/631/17029540727/6311702954072707092023075634.pdf</v>
      </c>
      <c r="G5939" s="5" t="str">
        <f>HYPERLINK("https://dpmzos25m8ivg.cloudfront.net/Documentos/631/17029540727/6311702954072707092023075644.pdf","https://dpmzos25m8ivg.cloudfront.net/Documentos/631/17029540727/6311702954072707092023075644.pdf")</f>
        <v>https://dpmzos25m8ivg.cloudfront.net/Documentos/631/17029540727/6311702954072707092023075644.pdf</v>
      </c>
      <c r="H5939" s="4" t="s">
        <v>14510</v>
      </c>
    </row>
    <row r="5940" spans="1:8" x14ac:dyDescent="0.25">
      <c r="A5940" s="2" t="s">
        <v>5968</v>
      </c>
      <c r="B5940" s="16" t="s">
        <v>2358</v>
      </c>
      <c r="C5940" s="3"/>
      <c r="D5940" s="3"/>
      <c r="E5940" s="5" t="str">
        <f>HYPERLINK("https://dpmzos25m8ivg.cloudfront.net/Documentos/631/17032330770/6311703233077011092023132851.pdf","https://dpmzos25m8ivg.cloudfront.net/Documentos/631/17032330770/6311703233077011092023132851.pdf")</f>
        <v>https://dpmzos25m8ivg.cloudfront.net/Documentos/631/17032330770/6311703233077011092023132851.pdf</v>
      </c>
      <c r="F5940" s="5" t="str">
        <f>HYPERLINK("https://dpmzos25m8ivg.cloudfront.net/Documentos/631/17032330770/6311703233077011092023132859.pdf","https://dpmzos25m8ivg.cloudfront.net/Documentos/631/17032330770/6311703233077011092023132859.pdf")</f>
        <v>https://dpmzos25m8ivg.cloudfront.net/Documentos/631/17032330770/6311703233077011092023132859.pdf</v>
      </c>
      <c r="G5940" s="5" t="str">
        <f>HYPERLINK("https://dpmzos25m8ivg.cloudfront.net/Documentos/631/17032330770/6311703233077011092023132908.pdf","https://dpmzos25m8ivg.cloudfront.net/Documentos/631/17032330770/6311703233077011092023132908.pdf")</f>
        <v>https://dpmzos25m8ivg.cloudfront.net/Documentos/631/17032330770/6311703233077011092023132908.pdf</v>
      </c>
      <c r="H5940" s="5" t="s">
        <v>14511</v>
      </c>
    </row>
    <row r="5941" spans="1:8" x14ac:dyDescent="0.25">
      <c r="A5941" s="2" t="s">
        <v>5969</v>
      </c>
      <c r="B5941" s="3"/>
      <c r="C5941" s="3"/>
      <c r="D5941" s="3"/>
      <c r="E5941" s="5" t="str">
        <f>HYPERLINK("https://dpmzos25m8ivg.cloudfront.net/Documentos/631/17035831754/6311703583175411092023160923.jpg","https://dpmzos25m8ivg.cloudfront.net/Documentos/631/17035831754/6311703583175411092023160923.jpg")</f>
        <v>https://dpmzos25m8ivg.cloudfront.net/Documentos/631/17035831754/6311703583175411092023160923.jpg</v>
      </c>
      <c r="F5941" s="5" t="str">
        <f>HYPERLINK("https://dpmzos25m8ivg.cloudfront.net/Documentos/631/17035831754/6311703583175411092023160939.jpg","https://dpmzos25m8ivg.cloudfront.net/Documentos/631/17035831754/6311703583175411092023160939.jpg")</f>
        <v>https://dpmzos25m8ivg.cloudfront.net/Documentos/631/17035831754/6311703583175411092023160939.jpg</v>
      </c>
      <c r="G5941" s="5" t="str">
        <f>HYPERLINK("https://dpmzos25m8ivg.cloudfront.net/Documentos/631/17035831754/6311703583175411092023160957.jpg","https://dpmzos25m8ivg.cloudfront.net/Documentos/631/17035831754/6311703583175411092023160957.jpg")</f>
        <v>https://dpmzos25m8ivg.cloudfront.net/Documentos/631/17035831754/6311703583175411092023160957.jpg</v>
      </c>
      <c r="H5941" s="4" t="s">
        <v>14512</v>
      </c>
    </row>
    <row r="5942" spans="1:8" x14ac:dyDescent="0.25">
      <c r="A5942" s="2" t="s">
        <v>5970</v>
      </c>
      <c r="B5942" s="3"/>
      <c r="C5942" s="3"/>
      <c r="D5942" s="3"/>
      <c r="E5942" s="5" t="str">
        <f>HYPERLINK("https://dpmzos25m8ivg.cloudfront.net/Documentos/631/17036572841/6311703657284105092023142533.pdf","https://dpmzos25m8ivg.cloudfront.net/Documentos/631/17036572841/6311703657284105092023142533.pdf")</f>
        <v>https://dpmzos25m8ivg.cloudfront.net/Documentos/631/17036572841/6311703657284105092023142533.pdf</v>
      </c>
      <c r="F5942" s="5" t="str">
        <f>HYPERLINK("https://dpmzos25m8ivg.cloudfront.net/Documentos/631/17036572841/6311703657284105092023142544.pdf","https://dpmzos25m8ivg.cloudfront.net/Documentos/631/17036572841/6311703657284105092023142544.pdf")</f>
        <v>https://dpmzos25m8ivg.cloudfront.net/Documentos/631/17036572841/6311703657284105092023142544.pdf</v>
      </c>
      <c r="G5942" s="5" t="str">
        <f>HYPERLINK("https://dpmzos25m8ivg.cloudfront.net/Documentos/631/17036572841/6311703657284105092023142554.pdf","https://dpmzos25m8ivg.cloudfront.net/Documentos/631/17036572841/6311703657284105092023142554.pdf")</f>
        <v>https://dpmzos25m8ivg.cloudfront.net/Documentos/631/17036572841/6311703657284105092023142554.pdf</v>
      </c>
      <c r="H5942" s="4" t="s">
        <v>14513</v>
      </c>
    </row>
    <row r="5943" spans="1:8" x14ac:dyDescent="0.25">
      <c r="A5943" s="2" t="s">
        <v>5971</v>
      </c>
      <c r="B5943" s="3"/>
      <c r="C5943" s="3"/>
      <c r="D5943" s="3"/>
      <c r="E5943" s="5" t="str">
        <f>HYPERLINK("https://dpmzos25m8ivg.cloudfront.net/Documentos/631/17072988823/6311707298882311092023162243.pdf","https://dpmzos25m8ivg.cloudfront.net/Documentos/631/17072988823/6311707298882311092023162243.pdf")</f>
        <v>https://dpmzos25m8ivg.cloudfront.net/Documentos/631/17072988823/6311707298882311092023162243.pdf</v>
      </c>
      <c r="F5943" s="5" t="str">
        <f>HYPERLINK("https://dpmzos25m8ivg.cloudfront.net/Documentos/631/17072988823/6311707298882311092023162413.pdf","https://dpmzos25m8ivg.cloudfront.net/Documentos/631/17072988823/6311707298882311092023162413.pdf")</f>
        <v>https://dpmzos25m8ivg.cloudfront.net/Documentos/631/17072988823/6311707298882311092023162413.pdf</v>
      </c>
      <c r="G5943" s="5" t="str">
        <f>HYPERLINK("https://dpmzos25m8ivg.cloudfront.net/Documentos/631/17072988823/6311707298882311092023162513.pdf","https://dpmzos25m8ivg.cloudfront.net/Documentos/631/17072988823/6311707298882311092023162513.pdf")</f>
        <v>https://dpmzos25m8ivg.cloudfront.net/Documentos/631/17072988823/6311707298882311092023162513.pdf</v>
      </c>
      <c r="H5943" s="4" t="s">
        <v>14514</v>
      </c>
    </row>
    <row r="5944" spans="1:8" x14ac:dyDescent="0.25">
      <c r="A5944" s="2" t="s">
        <v>5972</v>
      </c>
      <c r="B5944" s="3"/>
      <c r="C5944" s="3"/>
      <c r="D5944" s="3"/>
      <c r="E5944" s="5" t="str">
        <f>HYPERLINK("https://dpmzos25m8ivg.cloudfront.net/Documentos/631/17083097720/6311708309772007092023130149.jpg","https://dpmzos25m8ivg.cloudfront.net/Documentos/631/17083097720/6311708309772007092023130149.jpg")</f>
        <v>https://dpmzos25m8ivg.cloudfront.net/Documentos/631/17083097720/6311708309772007092023130149.jpg</v>
      </c>
      <c r="F5944" s="5" t="str">
        <f>HYPERLINK("https://dpmzos25m8ivg.cloudfront.net/Documentos/631/17083097720/6311708309772007092023130158.jpg","https://dpmzos25m8ivg.cloudfront.net/Documentos/631/17083097720/6311708309772007092023130158.jpg")</f>
        <v>https://dpmzos25m8ivg.cloudfront.net/Documentos/631/17083097720/6311708309772007092023130158.jpg</v>
      </c>
      <c r="G5944" s="5" t="str">
        <f>HYPERLINK("https://dpmzos25m8ivg.cloudfront.net/Documentos/631/17083097720/6311708309772007092023130207.jpg","https://dpmzos25m8ivg.cloudfront.net/Documentos/631/17083097720/6311708309772007092023130207.jpg")</f>
        <v>https://dpmzos25m8ivg.cloudfront.net/Documentos/631/17083097720/6311708309772007092023130207.jpg</v>
      </c>
      <c r="H5944" s="4" t="s">
        <v>14515</v>
      </c>
    </row>
    <row r="5945" spans="1:8" x14ac:dyDescent="0.25">
      <c r="A5945" s="2" t="s">
        <v>5973</v>
      </c>
      <c r="B5945" s="3"/>
      <c r="C5945" s="3"/>
      <c r="D5945" s="3"/>
      <c r="E5945" s="5" t="str">
        <f>HYPERLINK("https://dpmzos25m8ivg.cloudfront.net/Documentos/631/17083714789/6311708371478908092023174030.pdf","https://dpmzos25m8ivg.cloudfront.net/Documentos/631/17083714789/6311708371478908092023174030.pdf")</f>
        <v>https://dpmzos25m8ivg.cloudfront.net/Documentos/631/17083714789/6311708371478908092023174030.pdf</v>
      </c>
      <c r="F5945" s="5" t="str">
        <f>HYPERLINK("https://dpmzos25m8ivg.cloudfront.net/Documentos/631/17083714789/6311708371478908092023174048.pdf","https://dpmzos25m8ivg.cloudfront.net/Documentos/631/17083714789/6311708371478908092023174048.pdf")</f>
        <v>https://dpmzos25m8ivg.cloudfront.net/Documentos/631/17083714789/6311708371478908092023174048.pdf</v>
      </c>
      <c r="G5945" s="5" t="str">
        <f>HYPERLINK("https://dpmzos25m8ivg.cloudfront.net/Documentos/631/17083714789/6311708371478908092023174058.pdf","https://dpmzos25m8ivg.cloudfront.net/Documentos/631/17083714789/6311708371478908092023174058.pdf")</f>
        <v>https://dpmzos25m8ivg.cloudfront.net/Documentos/631/17083714789/6311708371478908092023174058.pdf</v>
      </c>
      <c r="H5945" s="4" t="s">
        <v>14516</v>
      </c>
    </row>
    <row r="5946" spans="1:8" x14ac:dyDescent="0.25">
      <c r="A5946" s="2" t="s">
        <v>5974</v>
      </c>
      <c r="B5946" s="3"/>
      <c r="C5946" s="3"/>
      <c r="D5946" s="3"/>
      <c r="E5946" s="5" t="str">
        <f>HYPERLINK("https://dpmzos25m8ivg.cloudfront.net/Documentos/631/17083962766/6311708396276610092023182915.pdf","https://dpmzos25m8ivg.cloudfront.net/Documentos/631/17083962766/6311708396276610092023182915.pdf")</f>
        <v>https://dpmzos25m8ivg.cloudfront.net/Documentos/631/17083962766/6311708396276610092023182915.pdf</v>
      </c>
      <c r="F5946" s="5" t="str">
        <f>HYPERLINK("https://dpmzos25m8ivg.cloudfront.net/Documentos/631/17083962766/6311708396276610092023182927.pdf","https://dpmzos25m8ivg.cloudfront.net/Documentos/631/17083962766/6311708396276610092023182927.pdf")</f>
        <v>https://dpmzos25m8ivg.cloudfront.net/Documentos/631/17083962766/6311708396276610092023182927.pdf</v>
      </c>
      <c r="G5946" s="5" t="str">
        <f>HYPERLINK("https://dpmzos25m8ivg.cloudfront.net/Documentos/631/17083962766/6311708396276610092023182939.pdf","https://dpmzos25m8ivg.cloudfront.net/Documentos/631/17083962766/6311708396276610092023182939.pdf")</f>
        <v>https://dpmzos25m8ivg.cloudfront.net/Documentos/631/17083962766/6311708396276610092023182939.pdf</v>
      </c>
      <c r="H5946" s="4" t="s">
        <v>14517</v>
      </c>
    </row>
    <row r="5947" spans="1:8" x14ac:dyDescent="0.25">
      <c r="A5947" s="2" t="s">
        <v>5975</v>
      </c>
      <c r="B5947" s="3"/>
      <c r="C5947" s="3"/>
      <c r="D5947" s="3"/>
      <c r="E5947" s="5" t="str">
        <f>HYPERLINK("https://dpmzos25m8ivg.cloudfront.net/Documentos/631/17095141754/6311709514175405092023211836.pdf","https://dpmzos25m8ivg.cloudfront.net/Documentos/631/17095141754/6311709514175405092023211836.pdf")</f>
        <v>https://dpmzos25m8ivg.cloudfront.net/Documentos/631/17095141754/6311709514175405092023211836.pdf</v>
      </c>
      <c r="F5947" s="5" t="str">
        <f>HYPERLINK("https://dpmzos25m8ivg.cloudfront.net/Documentos/631/17095141754/6311709514175405092023211847.pdf","https://dpmzos25m8ivg.cloudfront.net/Documentos/631/17095141754/6311709514175405092023211847.pdf")</f>
        <v>https://dpmzos25m8ivg.cloudfront.net/Documentos/631/17095141754/6311709514175405092023211847.pdf</v>
      </c>
      <c r="G5947" s="5" t="str">
        <f>HYPERLINK("https://dpmzos25m8ivg.cloudfront.net/Documentos/631/17095141754/6311709514175405092023211917.pdf","https://dpmzos25m8ivg.cloudfront.net/Documentos/631/17095141754/6311709514175405092023211917.pdf")</f>
        <v>https://dpmzos25m8ivg.cloudfront.net/Documentos/631/17095141754/6311709514175405092023211917.pdf</v>
      </c>
      <c r="H5947" s="4" t="s">
        <v>14518</v>
      </c>
    </row>
    <row r="5948" spans="1:8" x14ac:dyDescent="0.25">
      <c r="A5948" s="2" t="s">
        <v>5976</v>
      </c>
      <c r="B5948" s="3" t="s">
        <v>8</v>
      </c>
      <c r="C5948" s="3"/>
      <c r="D5948" s="3"/>
      <c r="E5948" s="5" t="str">
        <f>HYPERLINK("https://dpmzos25m8ivg.cloudfront.net/Documentos/631/17100934710/6311710093471011092023105533.pdf","https://dpmzos25m8ivg.cloudfront.net/Documentos/631/17100934710/6311710093471011092023105533.pdf")</f>
        <v>https://dpmzos25m8ivg.cloudfront.net/Documentos/631/17100934710/6311710093471011092023105533.pdf</v>
      </c>
      <c r="F5948" s="5" t="str">
        <f>HYPERLINK("https://dpmzos25m8ivg.cloudfront.net/Documentos/631/17100934710/6311710093471011092023105543.pdf","https://dpmzos25m8ivg.cloudfront.net/Documentos/631/17100934710/6311710093471011092023105543.pdf")</f>
        <v>https://dpmzos25m8ivg.cloudfront.net/Documentos/631/17100934710/6311710093471011092023105543.pdf</v>
      </c>
      <c r="G5948" s="5" t="str">
        <f>HYPERLINK("https://dpmzos25m8ivg.cloudfront.net/Documentos/631/17100934710/6311710093471011092023105601.pdf","https://dpmzos25m8ivg.cloudfront.net/Documentos/631/17100934710/6311710093471011092023105601.pdf")</f>
        <v>https://dpmzos25m8ivg.cloudfront.net/Documentos/631/17100934710/6311710093471011092023105601.pdf</v>
      </c>
      <c r="H5948" s="4" t="s">
        <v>14519</v>
      </c>
    </row>
    <row r="5949" spans="1:8" x14ac:dyDescent="0.25">
      <c r="A5949" s="2" t="s">
        <v>5977</v>
      </c>
      <c r="B5949" s="3" t="s">
        <v>8</v>
      </c>
      <c r="C5949" s="3"/>
      <c r="D5949" s="3"/>
      <c r="E5949" s="5" t="str">
        <f>HYPERLINK("https://dpmzos25m8ivg.cloudfront.net/Documentos/631/17110741877/6311711074187714092023150055.pdf","https://dpmzos25m8ivg.cloudfront.net/Documentos/631/17110741877/6311711074187714092023150055.pdf")</f>
        <v>https://dpmzos25m8ivg.cloudfront.net/Documentos/631/17110741877/6311711074187714092023150055.pdf</v>
      </c>
      <c r="F5949" s="5" t="str">
        <f>HYPERLINK("https://dpmzos25m8ivg.cloudfront.net/Documentos/631/17110741877/6311711074187714092023150108.pdf","https://dpmzos25m8ivg.cloudfront.net/Documentos/631/17110741877/6311711074187714092023150108.pdf")</f>
        <v>https://dpmzos25m8ivg.cloudfront.net/Documentos/631/17110741877/6311711074187714092023150108.pdf</v>
      </c>
      <c r="G5949" s="5" t="str">
        <f>HYPERLINK("https://dpmzos25m8ivg.cloudfront.net/Documentos/631/17110741877/6311711074187714092023150120.pdf","https://dpmzos25m8ivg.cloudfront.net/Documentos/631/17110741877/6311711074187714092023150120.pdf")</f>
        <v>https://dpmzos25m8ivg.cloudfront.net/Documentos/631/17110741877/6311711074187714092023150120.pdf</v>
      </c>
      <c r="H5949" s="4" t="s">
        <v>14520</v>
      </c>
    </row>
    <row r="5950" spans="1:8" x14ac:dyDescent="0.25">
      <c r="A5950" s="2" t="s">
        <v>5978</v>
      </c>
      <c r="B5950" s="3"/>
      <c r="C5950" s="3"/>
      <c r="D5950" s="3"/>
      <c r="E5950" s="5" t="str">
        <f>HYPERLINK("https://dpmzos25m8ivg.cloudfront.net/Documentos/631/17131411752/6311713141175211092023090120.pdf","https://dpmzos25m8ivg.cloudfront.net/Documentos/631/17131411752/6311713141175211092023090120.pdf")</f>
        <v>https://dpmzos25m8ivg.cloudfront.net/Documentos/631/17131411752/6311713141175211092023090120.pdf</v>
      </c>
      <c r="F5950" s="5" t="str">
        <f>HYPERLINK("https://dpmzos25m8ivg.cloudfront.net/Documentos/631/17131411752/6311713141175211092023090140.pdf","https://dpmzos25m8ivg.cloudfront.net/Documentos/631/17131411752/6311713141175211092023090140.pdf")</f>
        <v>https://dpmzos25m8ivg.cloudfront.net/Documentos/631/17131411752/6311713141175211092023090140.pdf</v>
      </c>
      <c r="G5950" s="5" t="str">
        <f>HYPERLINK("https://dpmzos25m8ivg.cloudfront.net/Documentos/631/17131411752/6311713141175211092023090154.pdf","https://dpmzos25m8ivg.cloudfront.net/Documentos/631/17131411752/6311713141175211092023090154.pdf")</f>
        <v>https://dpmzos25m8ivg.cloudfront.net/Documentos/631/17131411752/6311713141175211092023090154.pdf</v>
      </c>
      <c r="H5950" s="4" t="s">
        <v>14521</v>
      </c>
    </row>
    <row r="5951" spans="1:8" x14ac:dyDescent="0.25">
      <c r="A5951" s="2" t="s">
        <v>5979</v>
      </c>
      <c r="B5951" s="3"/>
      <c r="C5951" s="3"/>
      <c r="D5951" s="3"/>
      <c r="E5951" s="5" t="str">
        <f>HYPERLINK("https://dpmzos25m8ivg.cloudfront.net/Documentos/631/17132104799/6311713210479911092023100944.pdf","https://dpmzos25m8ivg.cloudfront.net/Documentos/631/17132104799/6311713210479911092023100944.pdf")</f>
        <v>https://dpmzos25m8ivg.cloudfront.net/Documentos/631/17132104799/6311713210479911092023100944.pdf</v>
      </c>
      <c r="F5951" s="5" t="str">
        <f>HYPERLINK("https://dpmzos25m8ivg.cloudfront.net/Documentos/631/17132104799/6311713210479911092023100951.pdf","https://dpmzos25m8ivg.cloudfront.net/Documentos/631/17132104799/6311713210479911092023100951.pdf")</f>
        <v>https://dpmzos25m8ivg.cloudfront.net/Documentos/631/17132104799/6311713210479911092023100951.pdf</v>
      </c>
      <c r="G5951" s="5" t="str">
        <f>HYPERLINK("https://dpmzos25m8ivg.cloudfront.net/Documentos/631/17132104799/6311713210479911092023100957.pdf","https://dpmzos25m8ivg.cloudfront.net/Documentos/631/17132104799/6311713210479911092023100957.pdf")</f>
        <v>https://dpmzos25m8ivg.cloudfront.net/Documentos/631/17132104799/6311713210479911092023100957.pdf</v>
      </c>
      <c r="H5951" s="4" t="s">
        <v>14522</v>
      </c>
    </row>
    <row r="5952" spans="1:8" x14ac:dyDescent="0.25">
      <c r="A5952" s="2" t="s">
        <v>5980</v>
      </c>
      <c r="B5952" s="3"/>
      <c r="C5952" s="3"/>
      <c r="D5952" s="3"/>
      <c r="E5952" s="5" t="str">
        <f>HYPERLINK("https://dpmzos25m8ivg.cloudfront.net/Documentos/631/17150265782/6311715026578211092023160556.pdf","https://dpmzos25m8ivg.cloudfront.net/Documentos/631/17150265782/6311715026578211092023160556.pdf")</f>
        <v>https://dpmzos25m8ivg.cloudfront.net/Documentos/631/17150265782/6311715026578211092023160556.pdf</v>
      </c>
      <c r="F5952" s="5" t="str">
        <f>HYPERLINK("https://dpmzos25m8ivg.cloudfront.net/Documentos/631/17150265782/6311715026578211092023160608.pdf","https://dpmzos25m8ivg.cloudfront.net/Documentos/631/17150265782/6311715026578211092023160608.pdf")</f>
        <v>https://dpmzos25m8ivg.cloudfront.net/Documentos/631/17150265782/6311715026578211092023160608.pdf</v>
      </c>
      <c r="G5952" s="5" t="str">
        <f>HYPERLINK("https://dpmzos25m8ivg.cloudfront.net/Documentos/631/17150265782/6311715026578211092023160621.pdf","https://dpmzos25m8ivg.cloudfront.net/Documentos/631/17150265782/6311715026578211092023160621.pdf")</f>
        <v>https://dpmzos25m8ivg.cloudfront.net/Documentos/631/17150265782/6311715026578211092023160621.pdf</v>
      </c>
      <c r="H5952" s="4" t="s">
        <v>14523</v>
      </c>
    </row>
    <row r="5953" spans="1:8" x14ac:dyDescent="0.25">
      <c r="A5953" s="2" t="s">
        <v>5981</v>
      </c>
      <c r="B5953" s="3"/>
      <c r="C5953" s="3"/>
      <c r="D5953" s="3"/>
      <c r="E5953" s="5" t="str">
        <f>HYPERLINK("https://dpmzos25m8ivg.cloudfront.net/Documentos/631/17154602783/6311715460278311092023142511.pdf","https://dpmzos25m8ivg.cloudfront.net/Documentos/631/17154602783/6311715460278311092023142511.pdf")</f>
        <v>https://dpmzos25m8ivg.cloudfront.net/Documentos/631/17154602783/6311715460278311092023142511.pdf</v>
      </c>
      <c r="F5953" s="5" t="str">
        <f>HYPERLINK("https://dpmzos25m8ivg.cloudfront.net/Documentos/631/17154602783/6311715460278311092023142606.pdf","https://dpmzos25m8ivg.cloudfront.net/Documentos/631/17154602783/6311715460278311092023142606.pdf")</f>
        <v>https://dpmzos25m8ivg.cloudfront.net/Documentos/631/17154602783/6311715460278311092023142606.pdf</v>
      </c>
      <c r="G5953" s="5" t="str">
        <f>HYPERLINK("https://dpmzos25m8ivg.cloudfront.net/Documentos/631/17154602783/6311715460278311092023142619.pdf","https://dpmzos25m8ivg.cloudfront.net/Documentos/631/17154602783/6311715460278311092023142619.pdf")</f>
        <v>https://dpmzos25m8ivg.cloudfront.net/Documentos/631/17154602783/6311715460278311092023142619.pdf</v>
      </c>
      <c r="H5953" s="4" t="s">
        <v>14524</v>
      </c>
    </row>
    <row r="5954" spans="1:8" x14ac:dyDescent="0.25">
      <c r="A5954" s="2" t="s">
        <v>5982</v>
      </c>
      <c r="B5954" s="16" t="s">
        <v>2358</v>
      </c>
      <c r="C5954" s="3"/>
      <c r="D5954" s="3"/>
      <c r="E5954" s="5" t="str">
        <f>HYPERLINK("https://dpmzos25m8ivg.cloudfront.net/Documentos/631/17171991865/6311717199186508092023164446.pdf","https://dpmzos25m8ivg.cloudfront.net/Documentos/631/17171991865/6311717199186508092023164446.pdf")</f>
        <v>https://dpmzos25m8ivg.cloudfront.net/Documentos/631/17171991865/6311717199186508092023164446.pdf</v>
      </c>
      <c r="F5954" s="5" t="str">
        <f>HYPERLINK("https://dpmzos25m8ivg.cloudfront.net/Documentos/631/17171991865/6311717199186508092023164453.pdf","https://dpmzos25m8ivg.cloudfront.net/Documentos/631/17171991865/6311717199186508092023164453.pdf")</f>
        <v>https://dpmzos25m8ivg.cloudfront.net/Documentos/631/17171991865/6311717199186508092023164453.pdf</v>
      </c>
      <c r="G5954" s="5" t="str">
        <f>HYPERLINK("https://dpmzos25m8ivg.cloudfront.net/Documentos/631/17171991865/6311717199186508092023164504.pdf","https://dpmzos25m8ivg.cloudfront.net/Documentos/631/17171991865/6311717199186508092023164504.pdf")</f>
        <v>https://dpmzos25m8ivg.cloudfront.net/Documentos/631/17171991865/6311717199186508092023164504.pdf</v>
      </c>
      <c r="H5954" s="5" t="s">
        <v>14525</v>
      </c>
    </row>
    <row r="5955" spans="1:8" x14ac:dyDescent="0.25">
      <c r="A5955" s="2" t="s">
        <v>5983</v>
      </c>
      <c r="B5955" s="3"/>
      <c r="C5955" s="3"/>
      <c r="D5955" s="3"/>
      <c r="E5955" s="5" t="str">
        <f>HYPERLINK("https://dpmzos25m8ivg.cloudfront.net/Documentos/631/17177628754/6311717762875407092023113829.pdf","https://dpmzos25m8ivg.cloudfront.net/Documentos/631/17177628754/6311717762875407092023113829.pdf")</f>
        <v>https://dpmzos25m8ivg.cloudfront.net/Documentos/631/17177628754/6311717762875407092023113829.pdf</v>
      </c>
      <c r="F5955" s="5" t="str">
        <f>HYPERLINK("https://dpmzos25m8ivg.cloudfront.net/Documentos/631/17177628754/6311717762875407092023113838.pdf","https://dpmzos25m8ivg.cloudfront.net/Documentos/631/17177628754/6311717762875407092023113838.pdf")</f>
        <v>https://dpmzos25m8ivg.cloudfront.net/Documentos/631/17177628754/6311717762875407092023113838.pdf</v>
      </c>
      <c r="G5955" s="5" t="str">
        <f>HYPERLINK("https://dpmzos25m8ivg.cloudfront.net/Documentos/631/17177628754/6311717762875407092023113845.pdf","https://dpmzos25m8ivg.cloudfront.net/Documentos/631/17177628754/6311717762875407092023113845.pdf")</f>
        <v>https://dpmzos25m8ivg.cloudfront.net/Documentos/631/17177628754/6311717762875407092023113845.pdf</v>
      </c>
      <c r="H5955" s="4" t="s">
        <v>14526</v>
      </c>
    </row>
    <row r="5956" spans="1:8" x14ac:dyDescent="0.25">
      <c r="A5956" s="2" t="s">
        <v>5984</v>
      </c>
      <c r="B5956" s="3"/>
      <c r="C5956" s="3"/>
      <c r="D5956" s="3"/>
      <c r="E5956" s="5" t="str">
        <f>HYPERLINK("https://dpmzos25m8ivg.cloudfront.net/Documentos/631/17221845743/6311722184574305092023132906.jpg","https://dpmzos25m8ivg.cloudfront.net/Documentos/631/17221845743/6311722184574305092023132906.jpg")</f>
        <v>https://dpmzos25m8ivg.cloudfront.net/Documentos/631/17221845743/6311722184574305092023132906.jpg</v>
      </c>
      <c r="F5956" s="5" t="str">
        <f>HYPERLINK("https://dpmzos25m8ivg.cloudfront.net/Documentos/631/17221845743/6311722184574305092023132914.jpg","https://dpmzos25m8ivg.cloudfront.net/Documentos/631/17221845743/6311722184574305092023132914.jpg")</f>
        <v>https://dpmzos25m8ivg.cloudfront.net/Documentos/631/17221845743/6311722184574305092023132914.jpg</v>
      </c>
      <c r="G5956" s="5" t="str">
        <f>HYPERLINK("https://dpmzos25m8ivg.cloudfront.net/Documentos/631/17221845743/6311722184574305092023132922.jpg","https://dpmzos25m8ivg.cloudfront.net/Documentos/631/17221845743/6311722184574305092023132922.jpg")</f>
        <v>https://dpmzos25m8ivg.cloudfront.net/Documentos/631/17221845743/6311722184574305092023132922.jpg</v>
      </c>
      <c r="H5956" s="4" t="s">
        <v>14527</v>
      </c>
    </row>
    <row r="5957" spans="1:8" x14ac:dyDescent="0.25">
      <c r="A5957" s="2" t="s">
        <v>5985</v>
      </c>
      <c r="B5957" s="3" t="s">
        <v>8</v>
      </c>
      <c r="C5957" s="3"/>
      <c r="D5957" s="3"/>
      <c r="E5957" s="5" t="str">
        <f>HYPERLINK("https://dpmzos25m8ivg.cloudfront.net/Documentos/631/17226009773/6311722600977310092023135748.pdf","https://dpmzos25m8ivg.cloudfront.net/Documentos/631/17226009773/6311722600977310092023135748.pdf")</f>
        <v>https://dpmzos25m8ivg.cloudfront.net/Documentos/631/17226009773/6311722600977310092023135748.pdf</v>
      </c>
      <c r="F5957" s="5" t="str">
        <f>HYPERLINK("https://dpmzos25m8ivg.cloudfront.net/Documentos/631/17226009773/6311722600977310092023135740.pdf","https://dpmzos25m8ivg.cloudfront.net/Documentos/631/17226009773/6311722600977310092023135740.pdf")</f>
        <v>https://dpmzos25m8ivg.cloudfront.net/Documentos/631/17226009773/6311722600977310092023135740.pdf</v>
      </c>
      <c r="G5957" s="5" t="str">
        <f>HYPERLINK("https://dpmzos25m8ivg.cloudfront.net/Documentos/631/17226009773/6311722600977310092023135733.pdf","https://dpmzos25m8ivg.cloudfront.net/Documentos/631/17226009773/6311722600977310092023135733.pdf")</f>
        <v>https://dpmzos25m8ivg.cloudfront.net/Documentos/631/17226009773/6311722600977310092023135733.pdf</v>
      </c>
      <c r="H5957" s="4" t="s">
        <v>14528</v>
      </c>
    </row>
    <row r="5958" spans="1:8" x14ac:dyDescent="0.25">
      <c r="A5958" s="2" t="s">
        <v>5986</v>
      </c>
      <c r="B5958" s="16" t="s">
        <v>2358</v>
      </c>
      <c r="C5958" s="3"/>
      <c r="D5958" s="3"/>
      <c r="E5958" s="5" t="str">
        <f>HYPERLINK("https://dpmzos25m8ivg.cloudfront.net/Documentos/631/17245089701/6311724508970105092023091523.pdf","https://dpmzos25m8ivg.cloudfront.net/Documentos/631/17245089701/6311724508970105092023091523.pdf")</f>
        <v>https://dpmzos25m8ivg.cloudfront.net/Documentos/631/17245089701/6311724508970105092023091523.pdf</v>
      </c>
      <c r="F5958" s="5" t="str">
        <f>HYPERLINK("https://dpmzos25m8ivg.cloudfront.net/Documentos/631/17245089701/6311724508970105092023091543.pdf","https://dpmzos25m8ivg.cloudfront.net/Documentos/631/17245089701/6311724508970105092023091543.pdf")</f>
        <v>https://dpmzos25m8ivg.cloudfront.net/Documentos/631/17245089701/6311724508970105092023091543.pdf</v>
      </c>
      <c r="G5958" s="5" t="str">
        <f>HYPERLINK("https://dpmzos25m8ivg.cloudfront.net/Documentos/631/17245089701/6311724508970105092023091555.pdf","https://dpmzos25m8ivg.cloudfront.net/Documentos/631/17245089701/6311724508970105092023091555.pdf")</f>
        <v>https://dpmzos25m8ivg.cloudfront.net/Documentos/631/17245089701/6311724508970105092023091555.pdf</v>
      </c>
      <c r="H5958" s="5" t="s">
        <v>14529</v>
      </c>
    </row>
    <row r="5959" spans="1:8" x14ac:dyDescent="0.25">
      <c r="A5959" s="2" t="s">
        <v>5987</v>
      </c>
      <c r="B5959" s="3"/>
      <c r="C5959" s="3"/>
      <c r="D5959" s="3"/>
      <c r="E5959" s="5" t="str">
        <f>HYPERLINK("https://dpmzos25m8ivg.cloudfront.net/Documentos/631/17247875780/6311724787578006092023115937.pdf","https://dpmzos25m8ivg.cloudfront.net/Documentos/631/17247875780/6311724787578006092023115937.pdf")</f>
        <v>https://dpmzos25m8ivg.cloudfront.net/Documentos/631/17247875780/6311724787578006092023115937.pdf</v>
      </c>
      <c r="F5959" s="5" t="str">
        <f>HYPERLINK("https://dpmzos25m8ivg.cloudfront.net/Documentos/631/17247875780/6311724787578006092023120045.pdf","https://dpmzos25m8ivg.cloudfront.net/Documentos/631/17247875780/6311724787578006092023120045.pdf")</f>
        <v>https://dpmzos25m8ivg.cloudfront.net/Documentos/631/17247875780/6311724787578006092023120045.pdf</v>
      </c>
      <c r="G5959" s="5" t="str">
        <f>HYPERLINK("https://dpmzos25m8ivg.cloudfront.net/Documentos/631/17247875780/6311724787578006092023120056.pdf","https://dpmzos25m8ivg.cloudfront.net/Documentos/631/17247875780/6311724787578006092023120056.pdf")</f>
        <v>https://dpmzos25m8ivg.cloudfront.net/Documentos/631/17247875780/6311724787578006092023120056.pdf</v>
      </c>
      <c r="H5959" s="4" t="s">
        <v>14530</v>
      </c>
    </row>
    <row r="5960" spans="1:8" x14ac:dyDescent="0.25">
      <c r="A5960" s="2" t="s">
        <v>5988</v>
      </c>
      <c r="B5960" s="16" t="s">
        <v>2358</v>
      </c>
      <c r="C5960" s="3"/>
      <c r="D5960" s="3"/>
      <c r="E5960" s="5" t="str">
        <f>HYPERLINK("https://dpmzos25m8ivg.cloudfront.net/Documentos/631/17264533751/6311726453375107092023173823.pdf","https://dpmzos25m8ivg.cloudfront.net/Documentos/631/17264533751/6311726453375107092023173823.pdf")</f>
        <v>https://dpmzos25m8ivg.cloudfront.net/Documentos/631/17264533751/6311726453375107092023173823.pdf</v>
      </c>
      <c r="F5960" s="5" t="str">
        <f>HYPERLINK("https://dpmzos25m8ivg.cloudfront.net/Documentos/631/17264533751/6311726453375107092023173315.pdf","https://dpmzos25m8ivg.cloudfront.net/Documentos/631/17264533751/6311726453375107092023173315.pdf")</f>
        <v>https://dpmzos25m8ivg.cloudfront.net/Documentos/631/17264533751/6311726453375107092023173315.pdf</v>
      </c>
      <c r="G5960" s="5" t="str">
        <f>HYPERLINK("https://dpmzos25m8ivg.cloudfront.net/Documentos/631/17264533751/6311726453375107092023173322.pdf","https://dpmzos25m8ivg.cloudfront.net/Documentos/631/17264533751/6311726453375107092023173322.pdf")</f>
        <v>https://dpmzos25m8ivg.cloudfront.net/Documentos/631/17264533751/6311726453375107092023173322.pdf</v>
      </c>
      <c r="H5960" s="5" t="s">
        <v>14531</v>
      </c>
    </row>
    <row r="5961" spans="1:8" x14ac:dyDescent="0.25">
      <c r="A5961" s="2" t="s">
        <v>5989</v>
      </c>
      <c r="B5961" s="16" t="s">
        <v>2358</v>
      </c>
      <c r="C5961" s="3"/>
      <c r="D5961" s="3"/>
      <c r="E5961" s="5" t="str">
        <f>HYPERLINK("https://dpmzos25m8ivg.cloudfront.net/Documentos/631/17305566802/6311730556680211092023113107.pdf","https://dpmzos25m8ivg.cloudfront.net/Documentos/631/17305566802/6311730556680211092023113107.pdf")</f>
        <v>https://dpmzos25m8ivg.cloudfront.net/Documentos/631/17305566802/6311730556680211092023113107.pdf</v>
      </c>
      <c r="F5961" s="5" t="str">
        <f>HYPERLINK("https://dpmzos25m8ivg.cloudfront.net/Documentos/631/17305566802/6311730556680211092023113116.pdf","https://dpmzos25m8ivg.cloudfront.net/Documentos/631/17305566802/6311730556680211092023113116.pdf")</f>
        <v>https://dpmzos25m8ivg.cloudfront.net/Documentos/631/17305566802/6311730556680211092023113116.pdf</v>
      </c>
      <c r="G5961" s="5" t="str">
        <f>HYPERLINK("https://dpmzos25m8ivg.cloudfront.net/Documentos/631/17305566802/6311730556680211092023113124.pdf","https://dpmzos25m8ivg.cloudfront.net/Documentos/631/17305566802/6311730556680211092023113124.pdf")</f>
        <v>https://dpmzos25m8ivg.cloudfront.net/Documentos/631/17305566802/6311730556680211092023113124.pdf</v>
      </c>
      <c r="H5961" s="5" t="s">
        <v>14532</v>
      </c>
    </row>
    <row r="5962" spans="1:8" x14ac:dyDescent="0.25">
      <c r="A5962" s="2" t="s">
        <v>5990</v>
      </c>
      <c r="B5962" s="3"/>
      <c r="C5962" s="3"/>
      <c r="D5962" s="3"/>
      <c r="E5962" s="5" t="str">
        <f>HYPERLINK("https://dpmzos25m8ivg.cloudfront.net/Documentos/631/17306724770/6311730672477011092023130320.pdf","https://dpmzos25m8ivg.cloudfront.net/Documentos/631/17306724770/6311730672477011092023130320.pdf")</f>
        <v>https://dpmzos25m8ivg.cloudfront.net/Documentos/631/17306724770/6311730672477011092023130320.pdf</v>
      </c>
      <c r="F5962" s="5" t="str">
        <f>HYPERLINK("https://dpmzos25m8ivg.cloudfront.net/Documentos/631/17306724770/6311730672477011092023130312.pdf","https://dpmzos25m8ivg.cloudfront.net/Documentos/631/17306724770/6311730672477011092023130312.pdf")</f>
        <v>https://dpmzos25m8ivg.cloudfront.net/Documentos/631/17306724770/6311730672477011092023130312.pdf</v>
      </c>
      <c r="G5962" s="5" t="str">
        <f>HYPERLINK("https://dpmzos25m8ivg.cloudfront.net/Documentos/631/17306724770/6311730672477011092023125939.pdf","https://dpmzos25m8ivg.cloudfront.net/Documentos/631/17306724770/6311730672477011092023125939.pdf")</f>
        <v>https://dpmzos25m8ivg.cloudfront.net/Documentos/631/17306724770/6311730672477011092023125939.pdf</v>
      </c>
      <c r="H5962" s="4" t="s">
        <v>14533</v>
      </c>
    </row>
    <row r="5963" spans="1:8" x14ac:dyDescent="0.25">
      <c r="A5963" s="2" t="s">
        <v>5991</v>
      </c>
      <c r="B5963" s="3"/>
      <c r="C5963" s="3"/>
      <c r="D5963" s="3"/>
      <c r="E5963" s="5" t="str">
        <f>HYPERLINK("https://dpmzos25m8ivg.cloudfront.net/Documentos/631/17325543824/6311732554382414092023114236.jpg","https://dpmzos25m8ivg.cloudfront.net/Documentos/631/17325543824/6311732554382414092023114236.jpg")</f>
        <v>https://dpmzos25m8ivg.cloudfront.net/Documentos/631/17325543824/6311732554382414092023114236.jpg</v>
      </c>
      <c r="F5963" s="5" t="str">
        <f>HYPERLINK("https://dpmzos25m8ivg.cloudfront.net/Documentos/631/17325543824/6311732554382414092023114313.jpg","https://dpmzos25m8ivg.cloudfront.net/Documentos/631/17325543824/6311732554382414092023114313.jpg")</f>
        <v>https://dpmzos25m8ivg.cloudfront.net/Documentos/631/17325543824/6311732554382414092023114313.jpg</v>
      </c>
      <c r="G5963" s="5" t="str">
        <f>HYPERLINK("https://dpmzos25m8ivg.cloudfront.net/Documentos/631/17325543824/6311732554382414092023114355.jpg","https://dpmzos25m8ivg.cloudfront.net/Documentos/631/17325543824/6311732554382414092023114355.jpg")</f>
        <v>https://dpmzos25m8ivg.cloudfront.net/Documentos/631/17325543824/6311732554382414092023114355.jpg</v>
      </c>
      <c r="H5963" s="4" t="s">
        <v>14534</v>
      </c>
    </row>
    <row r="5964" spans="1:8" x14ac:dyDescent="0.25">
      <c r="A5964" s="2" t="s">
        <v>5992</v>
      </c>
      <c r="B5964" s="16" t="s">
        <v>2358</v>
      </c>
      <c r="C5964" s="3"/>
      <c r="D5964" s="3"/>
      <c r="E5964" s="5" t="str">
        <f>HYPERLINK("https://dpmzos25m8ivg.cloudfront.net/Documentos/631/17333084744/6311733308474405092023173819.pdf","https://dpmzos25m8ivg.cloudfront.net/Documentos/631/17333084744/6311733308474405092023173819.pdf")</f>
        <v>https://dpmzos25m8ivg.cloudfront.net/Documentos/631/17333084744/6311733308474405092023173819.pdf</v>
      </c>
      <c r="F5964" s="5" t="str">
        <f>HYPERLINK("https://dpmzos25m8ivg.cloudfront.net/Documentos/631/17333084744/6311733308474405092023173828.pdf","https://dpmzos25m8ivg.cloudfront.net/Documentos/631/17333084744/6311733308474405092023173828.pdf")</f>
        <v>https://dpmzos25m8ivg.cloudfront.net/Documentos/631/17333084744/6311733308474405092023173828.pdf</v>
      </c>
      <c r="G5964" s="5" t="str">
        <f>HYPERLINK("https://dpmzos25m8ivg.cloudfront.net/Documentos/631/17333084744/6311733308474405092023173842.pdf","https://dpmzos25m8ivg.cloudfront.net/Documentos/631/17333084744/6311733308474405092023173842.pdf")</f>
        <v>https://dpmzos25m8ivg.cloudfront.net/Documentos/631/17333084744/6311733308474405092023173842.pdf</v>
      </c>
      <c r="H5964" s="5" t="s">
        <v>14535</v>
      </c>
    </row>
    <row r="5965" spans="1:8" x14ac:dyDescent="0.25">
      <c r="A5965" s="2" t="s">
        <v>5993</v>
      </c>
      <c r="B5965" s="3"/>
      <c r="C5965" s="3"/>
      <c r="D5965" s="3"/>
      <c r="E5965" s="5" t="str">
        <f>HYPERLINK("https://dpmzos25m8ivg.cloudfront.net/Documentos/631/17348624758/6311734862475811092023161735.jpg","https://dpmzos25m8ivg.cloudfront.net/Documentos/631/17348624758/6311734862475811092023161735.jpg")</f>
        <v>https://dpmzos25m8ivg.cloudfront.net/Documentos/631/17348624758/6311734862475811092023161735.jpg</v>
      </c>
      <c r="F5965" s="5" t="str">
        <f>HYPERLINK("https://dpmzos25m8ivg.cloudfront.net/Documentos/631/17348624758/6311734862475811092023162017.jpg","https://dpmzos25m8ivg.cloudfront.net/Documentos/631/17348624758/6311734862475811092023162017.jpg")</f>
        <v>https://dpmzos25m8ivg.cloudfront.net/Documentos/631/17348624758/6311734862475811092023162017.jpg</v>
      </c>
      <c r="G5965" s="5" t="str">
        <f>HYPERLINK("https://dpmzos25m8ivg.cloudfront.net/Documentos/631/17348624758/6311734862475811092023162130.jpg","https://dpmzos25m8ivg.cloudfront.net/Documentos/631/17348624758/6311734862475811092023162130.jpg")</f>
        <v>https://dpmzos25m8ivg.cloudfront.net/Documentos/631/17348624758/6311734862475811092023162130.jpg</v>
      </c>
      <c r="H5965" s="4" t="s">
        <v>14536</v>
      </c>
    </row>
    <row r="5966" spans="1:8" x14ac:dyDescent="0.25">
      <c r="A5966" s="2" t="s">
        <v>5994</v>
      </c>
      <c r="B5966" s="3"/>
      <c r="C5966" s="3"/>
      <c r="D5966" s="3"/>
      <c r="E5966" s="5" t="str">
        <f>HYPERLINK("https://dpmzos25m8ivg.cloudfront.net/Documentos/631/17351242739/6311735124273911092023150752.pdf","https://dpmzos25m8ivg.cloudfront.net/Documentos/631/17351242739/6311735124273911092023150752.pdf")</f>
        <v>https://dpmzos25m8ivg.cloudfront.net/Documentos/631/17351242739/6311735124273911092023150752.pdf</v>
      </c>
      <c r="F5966" s="5" t="str">
        <f>HYPERLINK("https://dpmzos25m8ivg.cloudfront.net/Documentos/631/17351242739/6311735124273911092023150800.pdf","https://dpmzos25m8ivg.cloudfront.net/Documentos/631/17351242739/6311735124273911092023150800.pdf")</f>
        <v>https://dpmzos25m8ivg.cloudfront.net/Documentos/631/17351242739/6311735124273911092023150800.pdf</v>
      </c>
      <c r="G5966" s="5" t="str">
        <f>HYPERLINK("https://dpmzos25m8ivg.cloudfront.net/Documentos/631/17351242739/6311735124273911092023150807.pdf","https://dpmzos25m8ivg.cloudfront.net/Documentos/631/17351242739/6311735124273911092023150807.pdf")</f>
        <v>https://dpmzos25m8ivg.cloudfront.net/Documentos/631/17351242739/6311735124273911092023150807.pdf</v>
      </c>
      <c r="H5966" s="4" t="s">
        <v>14537</v>
      </c>
    </row>
    <row r="5967" spans="1:8" x14ac:dyDescent="0.25">
      <c r="A5967" s="2" t="s">
        <v>5995</v>
      </c>
      <c r="B5967" s="3"/>
      <c r="C5967" s="3"/>
      <c r="D5967" s="3"/>
      <c r="E5967" s="5" t="str">
        <f>HYPERLINK("https://dpmzos25m8ivg.cloudfront.net/Documentos/631/17353146761/6311735314676106092023162632.pdf","https://dpmzos25m8ivg.cloudfront.net/Documentos/631/17353146761/6311735314676106092023162632.pdf")</f>
        <v>https://dpmzos25m8ivg.cloudfront.net/Documentos/631/17353146761/6311735314676106092023162632.pdf</v>
      </c>
      <c r="F5967" s="5" t="str">
        <f>HYPERLINK("https://dpmzos25m8ivg.cloudfront.net/Documentos/631/17353146761/6311735314676106092023162649.pdf","https://dpmzos25m8ivg.cloudfront.net/Documentos/631/17353146761/6311735314676106092023162649.pdf")</f>
        <v>https://dpmzos25m8ivg.cloudfront.net/Documentos/631/17353146761/6311735314676106092023162649.pdf</v>
      </c>
      <c r="G5967" s="5" t="str">
        <f>HYPERLINK("https://dpmzos25m8ivg.cloudfront.net/Documentos/631/17353146761/6311735314676106092023162705.pdf","https://dpmzos25m8ivg.cloudfront.net/Documentos/631/17353146761/6311735314676106092023162705.pdf")</f>
        <v>https://dpmzos25m8ivg.cloudfront.net/Documentos/631/17353146761/6311735314676106092023162705.pdf</v>
      </c>
      <c r="H5967" s="4" t="s">
        <v>14538</v>
      </c>
    </row>
    <row r="5968" spans="1:8" x14ac:dyDescent="0.25">
      <c r="A5968" s="2" t="s">
        <v>5996</v>
      </c>
      <c r="B5968" s="3"/>
      <c r="C5968" s="3"/>
      <c r="D5968" s="3"/>
      <c r="E5968" s="5" t="str">
        <f>HYPERLINK("https://dpmzos25m8ivg.cloudfront.net/Documentos/631/17357561720/6311735756172011092023170126.pdf","https://dpmzos25m8ivg.cloudfront.net/Documentos/631/17357561720/6311735756172011092023170126.pdf")</f>
        <v>https://dpmzos25m8ivg.cloudfront.net/Documentos/631/17357561720/6311735756172011092023170126.pdf</v>
      </c>
      <c r="F5968" s="5" t="str">
        <f>HYPERLINK("https://dpmzos25m8ivg.cloudfront.net/Documentos/631/17357561720/6311735756172011092023170134.pdf","https://dpmzos25m8ivg.cloudfront.net/Documentos/631/17357561720/6311735756172011092023170134.pdf")</f>
        <v>https://dpmzos25m8ivg.cloudfront.net/Documentos/631/17357561720/6311735756172011092023170134.pdf</v>
      </c>
      <c r="G5968" s="5" t="str">
        <f>HYPERLINK("https://dpmzos25m8ivg.cloudfront.net/Documentos/631/17357561720/6311735756172011092023170144.pdf","https://dpmzos25m8ivg.cloudfront.net/Documentos/631/17357561720/6311735756172011092023170144.pdf")</f>
        <v>https://dpmzos25m8ivg.cloudfront.net/Documentos/631/17357561720/6311735756172011092023170144.pdf</v>
      </c>
      <c r="H5968" s="4" t="s">
        <v>14539</v>
      </c>
    </row>
    <row r="5969" spans="1:8" x14ac:dyDescent="0.25">
      <c r="A5969" s="2" t="s">
        <v>5997</v>
      </c>
      <c r="B5969" s="3"/>
      <c r="C5969" s="3"/>
      <c r="D5969" s="3"/>
      <c r="E5969" s="5" t="str">
        <f>HYPERLINK(E5958,"https://dpmzos25m8ivg.cloudfront.net/Documentos/631/17374432798/6311737443279811092023154032.jpg")</f>
        <v>https://dpmzos25m8ivg.cloudfront.net/Documentos/631/17374432798/6311737443279811092023154032.jpg</v>
      </c>
      <c r="F5969" s="5" t="str">
        <f>HYPERLINK("https://dpmzos25m8ivg.cloudfront.net/Documentos/631/17374432798/6311737443279811092023154043.jpg","https://dpmzos25m8ivg.cloudfront.net/Documentos/631/17374432798/6311737443279811092023154043.jpg")</f>
        <v>https://dpmzos25m8ivg.cloudfront.net/Documentos/631/17374432798/6311737443279811092023154043.jpg</v>
      </c>
      <c r="G5969" s="5" t="str">
        <f>HYPERLINK("https://dpmzos25m8ivg.cloudfront.net/Documentos/631/17374432798/6311737443279811092023154055.jpg","https://dpmzos25m8ivg.cloudfront.net/Documentos/631/17374432798/6311737443279811092023154055.jpg")</f>
        <v>https://dpmzos25m8ivg.cloudfront.net/Documentos/631/17374432798/6311737443279811092023154055.jpg</v>
      </c>
      <c r="H5969" s="4" t="s">
        <v>14540</v>
      </c>
    </row>
    <row r="5970" spans="1:8" x14ac:dyDescent="0.25">
      <c r="A5970" s="2" t="s">
        <v>5998</v>
      </c>
      <c r="B5970" s="3"/>
      <c r="C5970" s="3"/>
      <c r="D5970" s="3"/>
      <c r="E5970" s="5" t="str">
        <f>HYPERLINK("https://dpmzos25m8ivg.cloudfront.net/Documentos/631/17378906743/6311737890674306092023100314.pdf","https://dpmzos25m8ivg.cloudfront.net/Documentos/631/17378906743/6311737890674306092023100314.pdf")</f>
        <v>https://dpmzos25m8ivg.cloudfront.net/Documentos/631/17378906743/6311737890674306092023100314.pdf</v>
      </c>
      <c r="F5970" s="5" t="str">
        <f>HYPERLINK("https://dpmzos25m8ivg.cloudfront.net/Documentos/631/17378906743/6311737890674306092023100321.pdf","https://dpmzos25m8ivg.cloudfront.net/Documentos/631/17378906743/6311737890674306092023100321.pdf")</f>
        <v>https://dpmzos25m8ivg.cloudfront.net/Documentos/631/17378906743/6311737890674306092023100321.pdf</v>
      </c>
      <c r="G5970" s="5" t="str">
        <f>HYPERLINK("https://dpmzos25m8ivg.cloudfront.net/Documentos/631/17378906743/6311737890674306092023100328.pdf","https://dpmzos25m8ivg.cloudfront.net/Documentos/631/17378906743/6311737890674306092023100328.pdf")</f>
        <v>https://dpmzos25m8ivg.cloudfront.net/Documentos/631/17378906743/6311737890674306092023100328.pdf</v>
      </c>
      <c r="H5970" s="4" t="s">
        <v>14541</v>
      </c>
    </row>
    <row r="5971" spans="1:8" x14ac:dyDescent="0.25">
      <c r="A5971" s="2" t="s">
        <v>5999</v>
      </c>
      <c r="B5971" s="3"/>
      <c r="C5971" s="3"/>
      <c r="D5971" s="3"/>
      <c r="E5971" s="5" t="str">
        <f>HYPERLINK("https://dpmzos25m8ivg.cloudfront.net/Documentos/631/17400313770/6311740031377011092023142343.pdf","https://dpmzos25m8ivg.cloudfront.net/Documentos/631/17400313770/6311740031377011092023142343.pdf")</f>
        <v>https://dpmzos25m8ivg.cloudfront.net/Documentos/631/17400313770/6311740031377011092023142343.pdf</v>
      </c>
      <c r="F5971" s="5" t="str">
        <f>HYPERLINK("https://dpmzos25m8ivg.cloudfront.net/Documentos/631/17400313770/6311740031377011092023142356.pdf","https://dpmzos25m8ivg.cloudfront.net/Documentos/631/17400313770/6311740031377011092023142356.pdf")</f>
        <v>https://dpmzos25m8ivg.cloudfront.net/Documentos/631/17400313770/6311740031377011092023142356.pdf</v>
      </c>
      <c r="G5971" s="5" t="str">
        <f>HYPERLINK("https://dpmzos25m8ivg.cloudfront.net/Documentos/631/17400313770/6311740031377011092023142407.pdf","https://dpmzos25m8ivg.cloudfront.net/Documentos/631/17400313770/6311740031377011092023142407.pdf")</f>
        <v>https://dpmzos25m8ivg.cloudfront.net/Documentos/631/17400313770/6311740031377011092023142407.pdf</v>
      </c>
      <c r="H5971" s="4" t="s">
        <v>14542</v>
      </c>
    </row>
    <row r="5972" spans="1:8" x14ac:dyDescent="0.25">
      <c r="A5972" s="2" t="s">
        <v>6000</v>
      </c>
      <c r="B5972" s="3" t="s">
        <v>8</v>
      </c>
      <c r="C5972" s="3"/>
      <c r="D5972" s="3"/>
      <c r="E5972" s="5" t="str">
        <f>HYPERLINK("https://dpmzos25m8ivg.cloudfront.net/Documentos/631/17420461775/6311742046177507092023094242.pdf","https://dpmzos25m8ivg.cloudfront.net/Documentos/631/17420461775/6311742046177507092023094242.pdf")</f>
        <v>https://dpmzos25m8ivg.cloudfront.net/Documentos/631/17420461775/6311742046177507092023094242.pdf</v>
      </c>
      <c r="F5972" s="5" t="str">
        <f>HYPERLINK("https://dpmzos25m8ivg.cloudfront.net/Documentos/631/17420461775/6311742046177507092023094357.pdf","https://dpmzos25m8ivg.cloudfront.net/Documentos/631/17420461775/6311742046177507092023094357.pdf")</f>
        <v>https://dpmzos25m8ivg.cloudfront.net/Documentos/631/17420461775/6311742046177507092023094357.pdf</v>
      </c>
      <c r="G5972" s="5" t="str">
        <f>HYPERLINK("https://dpmzos25m8ivg.cloudfront.net/Documentos/631/17420461775/6311742046177507092023094609.pdf","https://dpmzos25m8ivg.cloudfront.net/Documentos/631/17420461775/6311742046177507092023094609.pdf")</f>
        <v>https://dpmzos25m8ivg.cloudfront.net/Documentos/631/17420461775/6311742046177507092023094609.pdf</v>
      </c>
      <c r="H5972" s="4" t="s">
        <v>14543</v>
      </c>
    </row>
    <row r="5973" spans="1:8" x14ac:dyDescent="0.25">
      <c r="A5973" s="2" t="s">
        <v>6001</v>
      </c>
      <c r="B5973" s="3"/>
      <c r="C5973" s="3"/>
      <c r="D5973" s="3"/>
      <c r="E5973" s="5" t="str">
        <f>HYPERLINK("https://dpmzos25m8ivg.cloudfront.net/Documentos/631/17422414766/6311742241476608092023154309.pdf","https://dpmzos25m8ivg.cloudfront.net/Documentos/631/17422414766/6311742241476608092023154309.pdf")</f>
        <v>https://dpmzos25m8ivg.cloudfront.net/Documentos/631/17422414766/6311742241476608092023154309.pdf</v>
      </c>
      <c r="F5973" s="5" t="str">
        <f>HYPERLINK("https://dpmzos25m8ivg.cloudfront.net/Documentos/631/17422414766/6311742241476608092023154321.pdf","https://dpmzos25m8ivg.cloudfront.net/Documentos/631/17422414766/6311742241476608092023154321.pdf")</f>
        <v>https://dpmzos25m8ivg.cloudfront.net/Documentos/631/17422414766/6311742241476608092023154321.pdf</v>
      </c>
      <c r="G5973" s="5" t="str">
        <f>HYPERLINK("https://dpmzos25m8ivg.cloudfront.net/Documentos/631/17422414766/6311742241476608092023154334.pdf","https://dpmzos25m8ivg.cloudfront.net/Documentos/631/17422414766/6311742241476608092023154334.pdf")</f>
        <v>https://dpmzos25m8ivg.cloudfront.net/Documentos/631/17422414766/6311742241476608092023154334.pdf</v>
      </c>
      <c r="H5973" s="4" t="s">
        <v>14544</v>
      </c>
    </row>
    <row r="5974" spans="1:8" x14ac:dyDescent="0.25">
      <c r="A5974" s="2" t="s">
        <v>6002</v>
      </c>
      <c r="B5974" s="3" t="s">
        <v>8</v>
      </c>
      <c r="C5974" s="3"/>
      <c r="D5974" s="3"/>
      <c r="E5974" s="5" t="str">
        <f>HYPERLINK("https://dpmzos25m8ivg.cloudfront.net/Documentos/631/17445262733/6311744526273311092023122612.pdf","https://dpmzos25m8ivg.cloudfront.net/Documentos/631/17445262733/6311744526273311092023122612.pdf")</f>
        <v>https://dpmzos25m8ivg.cloudfront.net/Documentos/631/17445262733/6311744526273311092023122612.pdf</v>
      </c>
      <c r="F5974" s="5" t="str">
        <f>HYPERLINK("https://dpmzos25m8ivg.cloudfront.net/Documentos/631/17445262733/6311744526273311092023122619.pdf","https://dpmzos25m8ivg.cloudfront.net/Documentos/631/17445262733/6311744526273311092023122619.pdf")</f>
        <v>https://dpmzos25m8ivg.cloudfront.net/Documentos/631/17445262733/6311744526273311092023122619.pdf</v>
      </c>
      <c r="G5974" s="5" t="str">
        <f>HYPERLINK("https://dpmzos25m8ivg.cloudfront.net/Documentos/631/17445262733/6311744526273311092023122631.pdf","https://dpmzos25m8ivg.cloudfront.net/Documentos/631/17445262733/6311744526273311092023122631.pdf")</f>
        <v>https://dpmzos25m8ivg.cloudfront.net/Documentos/631/17445262733/6311744526273311092023122631.pdf</v>
      </c>
      <c r="H5974" s="4" t="s">
        <v>14545</v>
      </c>
    </row>
    <row r="5975" spans="1:8" x14ac:dyDescent="0.25">
      <c r="A5975" s="2" t="s">
        <v>6003</v>
      </c>
      <c r="B5975" s="3"/>
      <c r="C5975" s="3"/>
      <c r="D5975" s="3"/>
      <c r="E5975" s="5" t="str">
        <f>HYPERLINK("https://dpmzos25m8ivg.cloudfront.net/Documentos/631/17445292721/6311744529272108092023111403.pdf","https://dpmzos25m8ivg.cloudfront.net/Documentos/631/17445292721/6311744529272108092023111403.pdf")</f>
        <v>https://dpmzos25m8ivg.cloudfront.net/Documentos/631/17445292721/6311744529272108092023111403.pdf</v>
      </c>
      <c r="F5975" s="5" t="str">
        <f>HYPERLINK("https://dpmzos25m8ivg.cloudfront.net/Documentos/631/17445292721/6311744529272108092023111442.pdf","https://dpmzos25m8ivg.cloudfront.net/Documentos/631/17445292721/6311744529272108092023111442.pdf")</f>
        <v>https://dpmzos25m8ivg.cloudfront.net/Documentos/631/17445292721/6311744529272108092023111442.pdf</v>
      </c>
      <c r="G5975" s="5" t="str">
        <f>HYPERLINK("https://dpmzos25m8ivg.cloudfront.net/Documentos/631/17445292721/6311744529272108092023111510.pdf","https://dpmzos25m8ivg.cloudfront.net/Documentos/631/17445292721/6311744529272108092023111510.pdf")</f>
        <v>https://dpmzos25m8ivg.cloudfront.net/Documentos/631/17445292721/6311744529272108092023111510.pdf</v>
      </c>
      <c r="H5975" s="4" t="s">
        <v>14546</v>
      </c>
    </row>
    <row r="5976" spans="1:8" x14ac:dyDescent="0.25">
      <c r="A5976" s="2" t="s">
        <v>6004</v>
      </c>
      <c r="B5976" s="3"/>
      <c r="C5976" s="3"/>
      <c r="D5976" s="3"/>
      <c r="E5976" s="5" t="str">
        <f>HYPERLINK("https://dpmzos25m8ivg.cloudfront.net/Documentos/631/17480323808/6311748032380806092023142025.pdf","https://dpmzos25m8ivg.cloudfront.net/Documentos/631/17480323808/6311748032380806092023142025.pdf")</f>
        <v>https://dpmzos25m8ivg.cloudfront.net/Documentos/631/17480323808/6311748032380806092023142025.pdf</v>
      </c>
      <c r="F5976" s="5" t="str">
        <f>HYPERLINK("https://dpmzos25m8ivg.cloudfront.net/Documentos/631/17480323808/6311748032380806092023142037.pdf","https://dpmzos25m8ivg.cloudfront.net/Documentos/631/17480323808/6311748032380806092023142037.pdf")</f>
        <v>https://dpmzos25m8ivg.cloudfront.net/Documentos/631/17480323808/6311748032380806092023142037.pdf</v>
      </c>
      <c r="G5976" s="5" t="str">
        <f>HYPERLINK("https://dpmzos25m8ivg.cloudfront.net/Documentos/631/17480323808/6311748032380806092023142048.pdf","https://dpmzos25m8ivg.cloudfront.net/Documentos/631/17480323808/6311748032380806092023142048.pdf")</f>
        <v>https://dpmzos25m8ivg.cloudfront.net/Documentos/631/17480323808/6311748032380806092023142048.pdf</v>
      </c>
      <c r="H5976" s="4" t="s">
        <v>14547</v>
      </c>
    </row>
    <row r="5977" spans="1:8" x14ac:dyDescent="0.25">
      <c r="A5977" s="2" t="s">
        <v>6005</v>
      </c>
      <c r="B5977" s="3"/>
      <c r="C5977" s="3"/>
      <c r="D5977" s="3"/>
      <c r="E5977" s="5" t="str">
        <f>HYPERLINK("https://dpmzos25m8ivg.cloudfront.net/Documentos/631/17509314780/6311750931478011092023140801.pdf","https://dpmzos25m8ivg.cloudfront.net/Documentos/631/17509314780/6311750931478011092023140801.pdf")</f>
        <v>https://dpmzos25m8ivg.cloudfront.net/Documentos/631/17509314780/6311750931478011092023140801.pdf</v>
      </c>
      <c r="F5977" s="5" t="str">
        <f>HYPERLINK("https://dpmzos25m8ivg.cloudfront.net/Documentos/631/17509314780/6311750931478011092023140754.pdf","https://dpmzos25m8ivg.cloudfront.net/Documentos/631/17509314780/6311750931478011092023140754.pdf")</f>
        <v>https://dpmzos25m8ivg.cloudfront.net/Documentos/631/17509314780/6311750931478011092023140754.pdf</v>
      </c>
      <c r="G5977" s="5" t="str">
        <f>HYPERLINK("https://dpmzos25m8ivg.cloudfront.net/Documentos/631/17509314780/6311750931478011092023140745.pdf","https://dpmzos25m8ivg.cloudfront.net/Documentos/631/17509314780/6311750931478011092023140745.pdf")</f>
        <v>https://dpmzos25m8ivg.cloudfront.net/Documentos/631/17509314780/6311750931478011092023140745.pdf</v>
      </c>
      <c r="H5977" s="4" t="s">
        <v>14548</v>
      </c>
    </row>
    <row r="5978" spans="1:8" x14ac:dyDescent="0.25">
      <c r="A5978" s="2" t="s">
        <v>6006</v>
      </c>
      <c r="B5978" s="3"/>
      <c r="C5978" s="3"/>
      <c r="D5978" s="3"/>
      <c r="E5978" s="5" t="str">
        <f>HYPERLINK("https://dpmzos25m8ivg.cloudfront.net/Documentos/631/17533729846/6311753372984608092023150937.pdf","https://dpmzos25m8ivg.cloudfront.net/Documentos/631/17533729846/6311753372984608092023150937.pdf")</f>
        <v>https://dpmzos25m8ivg.cloudfront.net/Documentos/631/17533729846/6311753372984608092023150937.pdf</v>
      </c>
      <c r="F5978" s="5" t="str">
        <f>HYPERLINK("https://dpmzos25m8ivg.cloudfront.net/Documentos/631/17533729846/6311753372984608092023151014.pdf","https://dpmzos25m8ivg.cloudfront.net/Documentos/631/17533729846/6311753372984608092023151014.pdf")</f>
        <v>https://dpmzos25m8ivg.cloudfront.net/Documentos/631/17533729846/6311753372984608092023151014.pdf</v>
      </c>
      <c r="G5978" s="5" t="str">
        <f>HYPERLINK("https://dpmzos25m8ivg.cloudfront.net/Documentos/631/17533729846/6311753372984608092023151030.pdf","https://dpmzos25m8ivg.cloudfront.net/Documentos/631/17533729846/6311753372984608092023151030.pdf")</f>
        <v>https://dpmzos25m8ivg.cloudfront.net/Documentos/631/17533729846/6311753372984608092023151030.pdf</v>
      </c>
      <c r="H5978" s="4" t="s">
        <v>14549</v>
      </c>
    </row>
    <row r="5979" spans="1:8" x14ac:dyDescent="0.25">
      <c r="A5979" s="2" t="s">
        <v>6007</v>
      </c>
      <c r="B5979" s="16" t="s">
        <v>2358</v>
      </c>
      <c r="C5979" s="3"/>
      <c r="D5979" s="3"/>
      <c r="E5979" s="5" t="str">
        <f>HYPERLINK("https://dpmzos25m8ivg.cloudfront.net/Documentos/631/17540391707/6311754039170711092023143036.pdf","https://dpmzos25m8ivg.cloudfront.net/Documentos/631/17540391707/6311754039170711092023143036.pdf")</f>
        <v>https://dpmzos25m8ivg.cloudfront.net/Documentos/631/17540391707/6311754039170711092023143036.pdf</v>
      </c>
      <c r="F5979" s="5" t="str">
        <f>HYPERLINK("https://dpmzos25m8ivg.cloudfront.net/Documentos/631/17540391707/6311754039170711092023143047.pdf","https://dpmzos25m8ivg.cloudfront.net/Documentos/631/17540391707/6311754039170711092023143047.pdf")</f>
        <v>https://dpmzos25m8ivg.cloudfront.net/Documentos/631/17540391707/6311754039170711092023143047.pdf</v>
      </c>
      <c r="G5979" s="5" t="str">
        <f>HYPERLINK("https://dpmzos25m8ivg.cloudfront.net/Documentos/631/17540391707/6311754039170711092023143059.pdf","https://dpmzos25m8ivg.cloudfront.net/Documentos/631/17540391707/6311754039170711092023143059.pdf")</f>
        <v>https://dpmzos25m8ivg.cloudfront.net/Documentos/631/17540391707/6311754039170711092023143059.pdf</v>
      </c>
      <c r="H5979" s="5" t="s">
        <v>14550</v>
      </c>
    </row>
    <row r="5980" spans="1:8" x14ac:dyDescent="0.25">
      <c r="A5980" s="2" t="s">
        <v>6008</v>
      </c>
      <c r="B5980" s="16" t="s">
        <v>2358</v>
      </c>
      <c r="C5980" s="3"/>
      <c r="D5980" s="3"/>
      <c r="E5980" s="5" t="str">
        <f>HYPERLINK("https://dpmzos25m8ivg.cloudfront.net/Documentos/631/17549194726/6311754919472611092023145154.pdf","https://dpmzos25m8ivg.cloudfront.net/Documentos/631/17549194726/6311754919472611092023145154.pdf")</f>
        <v>https://dpmzos25m8ivg.cloudfront.net/Documentos/631/17549194726/6311754919472611092023145154.pdf</v>
      </c>
      <c r="F5980" s="5" t="str">
        <f>HYPERLINK("https://dpmzos25m8ivg.cloudfront.net/Documentos/631/17549194726/6311754919472611092023145203.pdf","https://dpmzos25m8ivg.cloudfront.net/Documentos/631/17549194726/6311754919472611092023145203.pdf")</f>
        <v>https://dpmzos25m8ivg.cloudfront.net/Documentos/631/17549194726/6311754919472611092023145203.pdf</v>
      </c>
      <c r="G5980" s="5" t="str">
        <f>HYPERLINK("https://dpmzos25m8ivg.cloudfront.net/Documentos/631/17549194726/6311754919472611092023145212.pdf","https://dpmzos25m8ivg.cloudfront.net/Documentos/631/17549194726/6311754919472611092023145212.pdf")</f>
        <v>https://dpmzos25m8ivg.cloudfront.net/Documentos/631/17549194726/6311754919472611092023145212.pdf</v>
      </c>
      <c r="H5980" s="5" t="s">
        <v>14551</v>
      </c>
    </row>
    <row r="5981" spans="1:8" x14ac:dyDescent="0.25">
      <c r="A5981" s="2" t="s">
        <v>6009</v>
      </c>
      <c r="B5981" s="3"/>
      <c r="C5981" s="3"/>
      <c r="D5981" s="3"/>
      <c r="E5981" s="5" t="str">
        <f>HYPERLINK("https://dpmzos25m8ivg.cloudfront.net/Documentos/631/17555458780/6311755545878013092023221511.pdf","https://dpmzos25m8ivg.cloudfront.net/Documentos/631/17555458780/6311755545878013092023221511.pdf")</f>
        <v>https://dpmzos25m8ivg.cloudfront.net/Documentos/631/17555458780/6311755545878013092023221511.pdf</v>
      </c>
      <c r="F5981" s="5" t="str">
        <f>HYPERLINK("https://dpmzos25m8ivg.cloudfront.net/Documentos/631/17555458780/6311755545878013092023221525.pdf","https://dpmzos25m8ivg.cloudfront.net/Documentos/631/17555458780/6311755545878013092023221525.pdf")</f>
        <v>https://dpmzos25m8ivg.cloudfront.net/Documentos/631/17555458780/6311755545878013092023221525.pdf</v>
      </c>
      <c r="G5981" s="5" t="str">
        <f>HYPERLINK("https://dpmzos25m8ivg.cloudfront.net/Documentos/631/17555458780/6311755545878013092023221538.pdf","https://dpmzos25m8ivg.cloudfront.net/Documentos/631/17555458780/6311755545878013092023221538.pdf")</f>
        <v>https://dpmzos25m8ivg.cloudfront.net/Documentos/631/17555458780/6311755545878013092023221538.pdf</v>
      </c>
      <c r="H5981" s="4" t="s">
        <v>14552</v>
      </c>
    </row>
    <row r="5982" spans="1:8" x14ac:dyDescent="0.25">
      <c r="A5982" s="2" t="s">
        <v>6010</v>
      </c>
      <c r="B5982" s="3" t="s">
        <v>8</v>
      </c>
      <c r="C5982" s="3"/>
      <c r="D5982" s="3"/>
      <c r="E5982" s="5" t="str">
        <f>HYPERLINK("https://dpmzos25m8ivg.cloudfront.net/Documentos/631/17572725775/6311757272577511092023070622.jpg","https://dpmzos25m8ivg.cloudfront.net/Documentos/631/17572725775/6311757272577511092023070622.jpg")</f>
        <v>https://dpmzos25m8ivg.cloudfront.net/Documentos/631/17572725775/6311757272577511092023070622.jpg</v>
      </c>
      <c r="F5982" s="5" t="str">
        <f>HYPERLINK("https://dpmzos25m8ivg.cloudfront.net/Documentos/631/17572725775/6311757272577511092023064837.pdf","https://dpmzos25m8ivg.cloudfront.net/Documentos/631/17572725775/6311757272577511092023064837.pdf")</f>
        <v>https://dpmzos25m8ivg.cloudfront.net/Documentos/631/17572725775/6311757272577511092023064837.pdf</v>
      </c>
      <c r="G5982" s="5" t="str">
        <f>HYPERLINK("https://dpmzos25m8ivg.cloudfront.net/Documentos/631/17572725775/6311757272577511092023064846.pdf","https://dpmzos25m8ivg.cloudfront.net/Documentos/631/17572725775/6311757272577511092023064846.pdf")</f>
        <v>https://dpmzos25m8ivg.cloudfront.net/Documentos/631/17572725775/6311757272577511092023064846.pdf</v>
      </c>
      <c r="H5982" s="4" t="s">
        <v>14553</v>
      </c>
    </row>
    <row r="5983" spans="1:8" x14ac:dyDescent="0.25">
      <c r="A5983" s="2" t="s">
        <v>6011</v>
      </c>
      <c r="B5983" s="3" t="s">
        <v>8</v>
      </c>
      <c r="C5983" s="3"/>
      <c r="D5983" s="3"/>
      <c r="E5983" s="5" t="str">
        <f>HYPERLINK("https://dpmzos25m8ivg.cloudfront.net/Documentos/631/17590532878/6311759053287813092023094719.pdf","https://dpmzos25m8ivg.cloudfront.net/Documentos/631/17590532878/6311759053287813092023094719.pdf")</f>
        <v>https://dpmzos25m8ivg.cloudfront.net/Documentos/631/17590532878/6311759053287813092023094719.pdf</v>
      </c>
      <c r="F5983" s="5" t="str">
        <f>HYPERLINK("https://dpmzos25m8ivg.cloudfront.net/Documentos/631/17590532878/6311759053287813092023094733.pdf","https://dpmzos25m8ivg.cloudfront.net/Documentos/631/17590532878/6311759053287813092023094733.pdf")</f>
        <v>https://dpmzos25m8ivg.cloudfront.net/Documentos/631/17590532878/6311759053287813092023094733.pdf</v>
      </c>
      <c r="G5983" s="5" t="str">
        <f>HYPERLINK("https://dpmzos25m8ivg.cloudfront.net/Documentos/631/17590532878/6311759053287813092023094748.pdf","https://dpmzos25m8ivg.cloudfront.net/Documentos/631/17590532878/6311759053287813092023094748.pdf")</f>
        <v>https://dpmzos25m8ivg.cloudfront.net/Documentos/631/17590532878/6311759053287813092023094748.pdf</v>
      </c>
      <c r="H5983" s="4" t="s">
        <v>14554</v>
      </c>
    </row>
    <row r="5984" spans="1:8" x14ac:dyDescent="0.25">
      <c r="A5984" s="2" t="s">
        <v>6012</v>
      </c>
      <c r="B5984" s="3"/>
      <c r="C5984" s="3"/>
      <c r="D5984" s="3"/>
      <c r="E5984" s="5" t="str">
        <f>HYPERLINK("https://dpmzos25m8ivg.cloudfront.net/Documentos/631/17591815792/6311759181579206092023145731.pdf","https://dpmzos25m8ivg.cloudfront.net/Documentos/631/17591815792/6311759181579206092023145731.pdf")</f>
        <v>https://dpmzos25m8ivg.cloudfront.net/Documentos/631/17591815792/6311759181579206092023145731.pdf</v>
      </c>
      <c r="F5984" s="5" t="str">
        <f>HYPERLINK("https://dpmzos25m8ivg.cloudfront.net/Documentos/631/17591815792/6311759181579206092023145146.pdf","https://dpmzos25m8ivg.cloudfront.net/Documentos/631/17591815792/6311759181579206092023145146.pdf")</f>
        <v>https://dpmzos25m8ivg.cloudfront.net/Documentos/631/17591815792/6311759181579206092023145146.pdf</v>
      </c>
      <c r="G5984" s="5" t="str">
        <f>HYPERLINK("https://dpmzos25m8ivg.cloudfront.net/Documentos/631/17591815792/6311759181579206092023144629.pdf","https://dpmzos25m8ivg.cloudfront.net/Documentos/631/17591815792/6311759181579206092023144629.pdf")</f>
        <v>https://dpmzos25m8ivg.cloudfront.net/Documentos/631/17591815792/6311759181579206092023144629.pdf</v>
      </c>
      <c r="H5984" s="4" t="s">
        <v>14555</v>
      </c>
    </row>
    <row r="5985" spans="1:8" x14ac:dyDescent="0.25">
      <c r="A5985" s="2" t="s">
        <v>6013</v>
      </c>
      <c r="B5985" s="3"/>
      <c r="C5985" s="3"/>
      <c r="D5985" s="3"/>
      <c r="E5985" s="5" t="str">
        <f>HYPERLINK("https://dpmzos25m8ivg.cloudfront.net/Documentos/631/17603504783/6311760350478306092023093824.jpg","https://dpmzos25m8ivg.cloudfront.net/Documentos/631/17603504783/6311760350478306092023093824.jpg")</f>
        <v>https://dpmzos25m8ivg.cloudfront.net/Documentos/631/17603504783/6311760350478306092023093824.jpg</v>
      </c>
      <c r="F5985" s="5" t="str">
        <f>HYPERLINK("https://dpmzos25m8ivg.cloudfront.net/Documentos/631/17603504783/6311760350478306092023093842.jpg","https://dpmzos25m8ivg.cloudfront.net/Documentos/631/17603504783/6311760350478306092023093842.jpg")</f>
        <v>https://dpmzos25m8ivg.cloudfront.net/Documentos/631/17603504783/6311760350478306092023093842.jpg</v>
      </c>
      <c r="G5985" s="5" t="str">
        <f>HYPERLINK("https://dpmzos25m8ivg.cloudfront.net/Documentos/631/17603504783/6311760350478306092023093859.jpg","https://dpmzos25m8ivg.cloudfront.net/Documentos/631/17603504783/6311760350478306092023093859.jpg")</f>
        <v>https://dpmzos25m8ivg.cloudfront.net/Documentos/631/17603504783/6311760350478306092023093859.jpg</v>
      </c>
      <c r="H5985" s="4" t="s">
        <v>14556</v>
      </c>
    </row>
    <row r="5986" spans="1:8" x14ac:dyDescent="0.25">
      <c r="A5986" s="2" t="s">
        <v>6014</v>
      </c>
      <c r="B5986" s="3" t="s">
        <v>8</v>
      </c>
      <c r="C5986" s="3"/>
      <c r="D5986" s="3"/>
      <c r="E5986" s="5" t="str">
        <f>HYPERLINK("https://dpmzos25m8ivg.cloudfront.net/Documentos/631/17609767760/6311760976776008092023222852.pdf","https://dpmzos25m8ivg.cloudfront.net/Documentos/631/17609767760/6311760976776008092023222852.pdf")</f>
        <v>https://dpmzos25m8ivg.cloudfront.net/Documentos/631/17609767760/6311760976776008092023222852.pdf</v>
      </c>
      <c r="F5986" s="5" t="str">
        <f>HYPERLINK("https://dpmzos25m8ivg.cloudfront.net/Documentos/631/17609767760/6311760976776008092023222906.pdf","https://dpmzos25m8ivg.cloudfront.net/Documentos/631/17609767760/6311760976776008092023222906.pdf")</f>
        <v>https://dpmzos25m8ivg.cloudfront.net/Documentos/631/17609767760/6311760976776008092023222906.pdf</v>
      </c>
      <c r="G5986" s="5" t="str">
        <f>HYPERLINK("https://dpmzos25m8ivg.cloudfront.net/Documentos/631/17609767760/6311760976776008092023222940.pdf","https://dpmzos25m8ivg.cloudfront.net/Documentos/631/17609767760/6311760976776008092023222940.pdf")</f>
        <v>https://dpmzos25m8ivg.cloudfront.net/Documentos/631/17609767760/6311760976776008092023222940.pdf</v>
      </c>
      <c r="H5986" s="4" t="s">
        <v>14557</v>
      </c>
    </row>
    <row r="5987" spans="1:8" x14ac:dyDescent="0.25">
      <c r="A5987" s="11" t="s">
        <v>6015</v>
      </c>
      <c r="B5987" s="19" t="s">
        <v>3385</v>
      </c>
      <c r="C5987" s="3"/>
      <c r="D5987" s="3"/>
      <c r="E5987" s="5" t="str">
        <f>HYPERLINK("https://dpmzos25m8ivg.cloudfront.net/Documentos/631/17620331867/6311762033186711092023161505.jpg","https://dpmzos25m8ivg.cloudfront.net/Documentos/631/17620331867/6311762033186711092023161505.jpg")</f>
        <v>https://dpmzos25m8ivg.cloudfront.net/Documentos/631/17620331867/6311762033186711092023161505.jpg</v>
      </c>
      <c r="F5987" s="5" t="str">
        <f>HYPERLINK("https://dpmzos25m8ivg.cloudfront.net/Documentos/631/17620331867/6311762033186711092023161645.jpg","https://dpmzos25m8ivg.cloudfront.net/Documentos/631/17620331867/6311762033186711092023161645.jpg")</f>
        <v>https://dpmzos25m8ivg.cloudfront.net/Documentos/631/17620331867/6311762033186711092023161645.jpg</v>
      </c>
      <c r="G5987" s="5" t="str">
        <f>HYPERLINK("https://dpmzos25m8ivg.cloudfront.net/Documentos/631/17620331867/6311762033186711092023162035.jpg","https://dpmzos25m8ivg.cloudfront.net/Documentos/631/17620331867/6311762033186711092023162035.jpg")</f>
        <v>https://dpmzos25m8ivg.cloudfront.net/Documentos/631/17620331867/6311762033186711092023162035.jpg</v>
      </c>
      <c r="H5987" s="4" t="s">
        <v>14558</v>
      </c>
    </row>
    <row r="5988" spans="1:8" x14ac:dyDescent="0.25">
      <c r="A5988" s="2" t="s">
        <v>6016</v>
      </c>
      <c r="B5988" s="3"/>
      <c r="C5988" s="3"/>
      <c r="D5988" s="3"/>
      <c r="E5988" s="5" t="str">
        <f>HYPERLINK("https://dpmzos25m8ivg.cloudfront.net/Documentos/631/17623418831/6311762341883105092023220242.pdf","https://dpmzos25m8ivg.cloudfront.net/Documentos/631/17623418831/6311762341883105092023220242.pdf")</f>
        <v>https://dpmzos25m8ivg.cloudfront.net/Documentos/631/17623418831/6311762341883105092023220242.pdf</v>
      </c>
      <c r="F5988" s="5" t="str">
        <f>HYPERLINK("https://dpmzos25m8ivg.cloudfront.net/Documentos/631/17623418831/6311762341883105092023220254.pdf","https://dpmzos25m8ivg.cloudfront.net/Documentos/631/17623418831/6311762341883105092023220254.pdf")</f>
        <v>https://dpmzos25m8ivg.cloudfront.net/Documentos/631/17623418831/6311762341883105092023220254.pdf</v>
      </c>
      <c r="G5988" s="5" t="str">
        <f>HYPERLINK("https://dpmzos25m8ivg.cloudfront.net/Documentos/631/17623418831/6311762341883105092023220309.pdf","https://dpmzos25m8ivg.cloudfront.net/Documentos/631/17623418831/6311762341883105092023220309.pdf")</f>
        <v>https://dpmzos25m8ivg.cloudfront.net/Documentos/631/17623418831/6311762341883105092023220309.pdf</v>
      </c>
      <c r="H5988" s="4" t="s">
        <v>14559</v>
      </c>
    </row>
    <row r="5989" spans="1:8" x14ac:dyDescent="0.25">
      <c r="A5989" s="2" t="s">
        <v>6017</v>
      </c>
      <c r="B5989" s="3"/>
      <c r="C5989" s="3"/>
      <c r="D5989" s="3"/>
      <c r="E5989" s="5" t="str">
        <f>HYPERLINK("https://dpmzos25m8ivg.cloudfront.net/Documentos/631/17638781716/6311763878171611092023160546.pdf","https://dpmzos25m8ivg.cloudfront.net/Documentos/631/17638781716/6311763878171611092023160546.pdf")</f>
        <v>https://dpmzos25m8ivg.cloudfront.net/Documentos/631/17638781716/6311763878171611092023160546.pdf</v>
      </c>
      <c r="F5989" s="5" t="str">
        <f>HYPERLINK("https://dpmzos25m8ivg.cloudfront.net/Documentos/631/17638781716/6311763878171611092023160600.pdf","https://dpmzos25m8ivg.cloudfront.net/Documentos/631/17638781716/6311763878171611092023160600.pdf")</f>
        <v>https://dpmzos25m8ivg.cloudfront.net/Documentos/631/17638781716/6311763878171611092023160600.pdf</v>
      </c>
      <c r="G5989" s="5" t="str">
        <f>HYPERLINK("https://dpmzos25m8ivg.cloudfront.net/Documentos/631/17638781716/6311763878171611092023160619.pdf","https://dpmzos25m8ivg.cloudfront.net/Documentos/631/17638781716/6311763878171611092023160619.pdf")</f>
        <v>https://dpmzos25m8ivg.cloudfront.net/Documentos/631/17638781716/6311763878171611092023160619.pdf</v>
      </c>
      <c r="H5989" s="4" t="s">
        <v>14560</v>
      </c>
    </row>
    <row r="5990" spans="1:8" x14ac:dyDescent="0.25">
      <c r="A5990" s="2" t="s">
        <v>6018</v>
      </c>
      <c r="B5990" s="3"/>
      <c r="C5990" s="3"/>
      <c r="D5990" s="3"/>
      <c r="E5990" s="5" t="str">
        <f>HYPERLINK("https://dpmzos25m8ivg.cloudfront.net/Documentos/631/17704657747/6311770465774713092023003700.jpeg","https://dpmzos25m8ivg.cloudfront.net/Documentos/631/17704657747/6311770465774713092023003700.jpeg")</f>
        <v>https://dpmzos25m8ivg.cloudfront.net/Documentos/631/17704657747/6311770465774713092023003700.jpeg</v>
      </c>
      <c r="F5990" s="5" t="str">
        <f>HYPERLINK("https://dpmzos25m8ivg.cloudfront.net/Documentos/631/17704657747/6311770465774713092023003716.jpeg","https://dpmzos25m8ivg.cloudfront.net/Documentos/631/17704657747/6311770465774713092023003716.jpeg")</f>
        <v>https://dpmzos25m8ivg.cloudfront.net/Documentos/631/17704657747/6311770465774713092023003716.jpeg</v>
      </c>
      <c r="G5990" s="5" t="str">
        <f>HYPERLINK("https://dpmzos25m8ivg.cloudfront.net/Documentos/631/17704657747/6311770465774713092023003752.jpeg","https://dpmzos25m8ivg.cloudfront.net/Documentos/631/17704657747/6311770465774713092023003752.jpeg")</f>
        <v>https://dpmzos25m8ivg.cloudfront.net/Documentos/631/17704657747/6311770465774713092023003752.jpeg</v>
      </c>
      <c r="H5990" s="4" t="s">
        <v>14561</v>
      </c>
    </row>
    <row r="5991" spans="1:8" x14ac:dyDescent="0.25">
      <c r="A5991" s="2" t="s">
        <v>6019</v>
      </c>
      <c r="B5991" s="3" t="s">
        <v>8</v>
      </c>
      <c r="C5991" s="3"/>
      <c r="D5991" s="3"/>
      <c r="E5991" s="5" t="str">
        <f>HYPERLINK("https://dpmzos25m8ivg.cloudfront.net/Documentos/631/17750694781/6311775069478108092023013948.pdf","https://dpmzos25m8ivg.cloudfront.net/Documentos/631/17750694781/6311775069478108092023013948.pdf")</f>
        <v>https://dpmzos25m8ivg.cloudfront.net/Documentos/631/17750694781/6311775069478108092023013948.pdf</v>
      </c>
      <c r="F5991" s="5" t="str">
        <f>HYPERLINK("https://dpmzos25m8ivg.cloudfront.net/Documentos/631/17750694781/6311775069478108092023014114.pdf","https://dpmzos25m8ivg.cloudfront.net/Documentos/631/17750694781/6311775069478108092023014114.pdf")</f>
        <v>https://dpmzos25m8ivg.cloudfront.net/Documentos/631/17750694781/6311775069478108092023014114.pdf</v>
      </c>
      <c r="G5991" s="5" t="str">
        <f>HYPERLINK("https://dpmzos25m8ivg.cloudfront.net/Documentos/631/17750694781/6311775069478108092023014300.pdf","https://dpmzos25m8ivg.cloudfront.net/Documentos/631/17750694781/6311775069478108092023014300.pdf")</f>
        <v>https://dpmzos25m8ivg.cloudfront.net/Documentos/631/17750694781/6311775069478108092023014300.pdf</v>
      </c>
      <c r="H5991" s="4" t="s">
        <v>14562</v>
      </c>
    </row>
    <row r="5992" spans="1:8" x14ac:dyDescent="0.25">
      <c r="A5992" s="2" t="s">
        <v>6020</v>
      </c>
      <c r="B5992" s="3"/>
      <c r="C5992" s="3"/>
      <c r="D5992" s="3"/>
      <c r="E5992" s="5" t="str">
        <f>HYPERLINK("https://dpmzos25m8ivg.cloudfront.net/Documentos/631/17755038793/6311775503879311092023133539.jpeg","https://dpmzos25m8ivg.cloudfront.net/Documentos/631/17755038793/6311775503879311092023133539.jpeg")</f>
        <v>https://dpmzos25m8ivg.cloudfront.net/Documentos/631/17755038793/6311775503879311092023133539.jpeg</v>
      </c>
      <c r="F5992" s="5" t="str">
        <f>HYPERLINK("https://dpmzos25m8ivg.cloudfront.net/Documentos/631/17755038793/6311775503879311092023133554.jpeg","https://dpmzos25m8ivg.cloudfront.net/Documentos/631/17755038793/6311775503879311092023133554.jpeg")</f>
        <v>https://dpmzos25m8ivg.cloudfront.net/Documentos/631/17755038793/6311775503879311092023133554.jpeg</v>
      </c>
      <c r="G5992" s="5" t="str">
        <f>HYPERLINK("https://dpmzos25m8ivg.cloudfront.net/Documentos/631/17755038793/6311775503879311092023133604.jpeg","https://dpmzos25m8ivg.cloudfront.net/Documentos/631/17755038793/6311775503879311092023133604.jpeg")</f>
        <v>https://dpmzos25m8ivg.cloudfront.net/Documentos/631/17755038793/6311775503879311092023133604.jpeg</v>
      </c>
      <c r="H5992" s="4" t="s">
        <v>14563</v>
      </c>
    </row>
    <row r="5993" spans="1:8" x14ac:dyDescent="0.25">
      <c r="A5993" s="2" t="s">
        <v>6021</v>
      </c>
      <c r="B5993" s="3"/>
      <c r="C5993" s="3"/>
      <c r="D5993" s="3"/>
      <c r="E5993" s="5" t="str">
        <f>HYPERLINK("https://dpmzos25m8ivg.cloudfront.net/Documentos/631/17762433740/6311776243374011092023164249.pdf","https://dpmzos25m8ivg.cloudfront.net/Documentos/631/17762433740/6311776243374011092023164249.pdf")</f>
        <v>https://dpmzos25m8ivg.cloudfront.net/Documentos/631/17762433740/6311776243374011092023164249.pdf</v>
      </c>
      <c r="F5993" s="5" t="str">
        <f>HYPERLINK("https://dpmzos25m8ivg.cloudfront.net/Documentos/631/17762433740/6311776243374011092023164258.pdf","https://dpmzos25m8ivg.cloudfront.net/Documentos/631/17762433740/6311776243374011092023164258.pdf")</f>
        <v>https://dpmzos25m8ivg.cloudfront.net/Documentos/631/17762433740/6311776243374011092023164258.pdf</v>
      </c>
      <c r="G5993" s="5" t="str">
        <f>HYPERLINK("https://dpmzos25m8ivg.cloudfront.net/Documentos/631/17762433740/6311776243374011092023164308.pdf","https://dpmzos25m8ivg.cloudfront.net/Documentos/631/17762433740/6311776243374011092023164308.pdf")</f>
        <v>https://dpmzos25m8ivg.cloudfront.net/Documentos/631/17762433740/6311776243374011092023164308.pdf</v>
      </c>
      <c r="H5993" s="4" t="s">
        <v>14564</v>
      </c>
    </row>
    <row r="5994" spans="1:8" x14ac:dyDescent="0.25">
      <c r="A5994" s="2" t="s">
        <v>6022</v>
      </c>
      <c r="B5994" s="3"/>
      <c r="C5994" s="3"/>
      <c r="D5994" s="3"/>
      <c r="E5994" s="5" t="str">
        <f>HYPERLINK("https://dpmzos25m8ivg.cloudfront.net/Documentos/631/17787191716/6311778719171611092023151429.pdf","https://dpmzos25m8ivg.cloudfront.net/Documentos/631/17787191716/6311778719171611092023151429.pdf")</f>
        <v>https://dpmzos25m8ivg.cloudfront.net/Documentos/631/17787191716/6311778719171611092023151429.pdf</v>
      </c>
      <c r="F5994" s="5" t="str">
        <f>HYPERLINK("https://dpmzos25m8ivg.cloudfront.net/Documentos/631/17787191716/6311778719171611092023151438.pdf","https://dpmzos25m8ivg.cloudfront.net/Documentos/631/17787191716/6311778719171611092023151438.pdf")</f>
        <v>https://dpmzos25m8ivg.cloudfront.net/Documentos/631/17787191716/6311778719171611092023151438.pdf</v>
      </c>
      <c r="G5994" s="5" t="str">
        <f>HYPERLINK("https://dpmzos25m8ivg.cloudfront.net/Documentos/631/17787191716/6311778719171611092023151446.pdf","https://dpmzos25m8ivg.cloudfront.net/Documentos/631/17787191716/6311778719171611092023151446.pdf")</f>
        <v>https://dpmzos25m8ivg.cloudfront.net/Documentos/631/17787191716/6311778719171611092023151446.pdf</v>
      </c>
      <c r="H5994" s="4" t="s">
        <v>14565</v>
      </c>
    </row>
    <row r="5995" spans="1:8" x14ac:dyDescent="0.25">
      <c r="A5995" s="2" t="s">
        <v>6023</v>
      </c>
      <c r="B5995" s="16" t="s">
        <v>2358</v>
      </c>
      <c r="C5995" s="3"/>
      <c r="D5995" s="3"/>
      <c r="E5995" s="5" t="str">
        <f>HYPERLINK("https://dpmzos25m8ivg.cloudfront.net/Documentos/631/17788065706/6311778806570605092023094648.pdf","https://dpmzos25m8ivg.cloudfront.net/Documentos/631/17788065706/6311778806570605092023094648.pdf")</f>
        <v>https://dpmzos25m8ivg.cloudfront.net/Documentos/631/17788065706/6311778806570605092023094648.pdf</v>
      </c>
      <c r="F5995" s="5" t="str">
        <f>HYPERLINK("https://dpmzos25m8ivg.cloudfront.net/Documentos/631/17788065706/6311778806570605092023094709.pdf","https://dpmzos25m8ivg.cloudfront.net/Documentos/631/17788065706/6311778806570605092023094709.pdf")</f>
        <v>https://dpmzos25m8ivg.cloudfront.net/Documentos/631/17788065706/6311778806570605092023094709.pdf</v>
      </c>
      <c r="G5995" s="5" t="str">
        <f>HYPERLINK("https://dpmzos25m8ivg.cloudfront.net/Documentos/631/17788065706/6311778806570605092023094727.pdf","https://dpmzos25m8ivg.cloudfront.net/Documentos/631/17788065706/6311778806570605092023094727.pdf")</f>
        <v>https://dpmzos25m8ivg.cloudfront.net/Documentos/631/17788065706/6311778806570605092023094727.pdf</v>
      </c>
      <c r="H5995" s="5" t="s">
        <v>14566</v>
      </c>
    </row>
    <row r="5996" spans="1:8" x14ac:dyDescent="0.25">
      <c r="A5996" s="2" t="s">
        <v>6024</v>
      </c>
      <c r="B5996" s="3"/>
      <c r="C5996" s="3"/>
      <c r="D5996" s="3"/>
      <c r="E5996" s="5" t="str">
        <f>HYPERLINK("https://dpmzos25m8ivg.cloudfront.net/Documentos/631/17798860711/6311779886071111092023125019.jpg","https://dpmzos25m8ivg.cloudfront.net/Documentos/631/17798860711/6311779886071111092023125019.jpg")</f>
        <v>https://dpmzos25m8ivg.cloudfront.net/Documentos/631/17798860711/6311779886071111092023125019.jpg</v>
      </c>
      <c r="F5996" s="5" t="str">
        <f>HYPERLINK("https://dpmzos25m8ivg.cloudfront.net/Documentos/631/17798860711/6311779886071111092023125044.jpg","https://dpmzos25m8ivg.cloudfront.net/Documentos/631/17798860711/6311779886071111092023125044.jpg")</f>
        <v>https://dpmzos25m8ivg.cloudfront.net/Documentos/631/17798860711/6311779886071111092023125044.jpg</v>
      </c>
      <c r="G5996" s="5" t="str">
        <f>HYPERLINK("https://dpmzos25m8ivg.cloudfront.net/Documentos/631/17798860711/6311779886071111092023125132.jpg","https://dpmzos25m8ivg.cloudfront.net/Documentos/631/17798860711/6311779886071111092023125132.jpg")</f>
        <v>https://dpmzos25m8ivg.cloudfront.net/Documentos/631/17798860711/6311779886071111092023125132.jpg</v>
      </c>
      <c r="H5996" s="4" t="s">
        <v>14567</v>
      </c>
    </row>
    <row r="5997" spans="1:8" x14ac:dyDescent="0.25">
      <c r="A5997" s="2" t="s">
        <v>6025</v>
      </c>
      <c r="B5997" s="3"/>
      <c r="C5997" s="3"/>
      <c r="D5997" s="3"/>
      <c r="E5997" s="5" t="str">
        <f>HYPERLINK("https://dpmzos25m8ivg.cloudfront.net/Documentos/631/17872835770/6311787283577011092023163213.pdf","https://dpmzos25m8ivg.cloudfront.net/Documentos/631/17872835770/6311787283577011092023163213.pdf")</f>
        <v>https://dpmzos25m8ivg.cloudfront.net/Documentos/631/17872835770/6311787283577011092023163213.pdf</v>
      </c>
      <c r="F5997" s="5" t="str">
        <f>HYPERLINK("https://dpmzos25m8ivg.cloudfront.net/Documentos/631/17872835770/6311787283577011092023163228.pdf","https://dpmzos25m8ivg.cloudfront.net/Documentos/631/17872835770/6311787283577011092023163228.pdf")</f>
        <v>https://dpmzos25m8ivg.cloudfront.net/Documentos/631/17872835770/6311787283577011092023163228.pdf</v>
      </c>
      <c r="G5997" s="5" t="str">
        <f>HYPERLINK("https://dpmzos25m8ivg.cloudfront.net/Documentos/631/17872835770/6311787283577011092023163242.pdf","https://dpmzos25m8ivg.cloudfront.net/Documentos/631/17872835770/6311787283577011092023163242.pdf")</f>
        <v>https://dpmzos25m8ivg.cloudfront.net/Documentos/631/17872835770/6311787283577011092023163242.pdf</v>
      </c>
      <c r="H5997" s="4" t="s">
        <v>14568</v>
      </c>
    </row>
    <row r="5998" spans="1:8" x14ac:dyDescent="0.25">
      <c r="A5998" s="2" t="s">
        <v>6026</v>
      </c>
      <c r="B5998" s="3"/>
      <c r="C5998" s="3"/>
      <c r="D5998" s="3"/>
      <c r="E5998" s="5" t="str">
        <f>HYPERLINK("https://dpmzos25m8ivg.cloudfront.net/Documentos/631/17875939755/6311787593975510092023221450.pdf","https://dpmzos25m8ivg.cloudfront.net/Documentos/631/17875939755/6311787593975510092023221450.pdf")</f>
        <v>https://dpmzos25m8ivg.cloudfront.net/Documentos/631/17875939755/6311787593975510092023221450.pdf</v>
      </c>
      <c r="F5998" s="5" t="str">
        <f>HYPERLINK("https://dpmzos25m8ivg.cloudfront.net/Documentos/631/17875939755/6311787593975510092023221503.pdf","https://dpmzos25m8ivg.cloudfront.net/Documentos/631/17875939755/6311787593975510092023221503.pdf")</f>
        <v>https://dpmzos25m8ivg.cloudfront.net/Documentos/631/17875939755/6311787593975510092023221503.pdf</v>
      </c>
      <c r="G5998" s="5" t="str">
        <f>HYPERLINK("https://dpmzos25m8ivg.cloudfront.net/Documentos/631/17875939755/6311787593975510092023221511.pdf","https://dpmzos25m8ivg.cloudfront.net/Documentos/631/17875939755/6311787593975510092023221511.pdf")</f>
        <v>https://dpmzos25m8ivg.cloudfront.net/Documentos/631/17875939755/6311787593975510092023221511.pdf</v>
      </c>
      <c r="H5998" s="4" t="s">
        <v>14569</v>
      </c>
    </row>
    <row r="5999" spans="1:8" x14ac:dyDescent="0.25">
      <c r="A5999" s="2" t="s">
        <v>6027</v>
      </c>
      <c r="B5999" s="3"/>
      <c r="C5999" s="3"/>
      <c r="D5999" s="3"/>
      <c r="E5999" s="5" t="str">
        <f>HYPERLINK("https://dpmzos25m8ivg.cloudfront.net/Documentos/631/17888945708/6311788894570809092023173853.jpg","https://dpmzos25m8ivg.cloudfront.net/Documentos/631/17888945708/6311788894570809092023173853.jpg")</f>
        <v>https://dpmzos25m8ivg.cloudfront.net/Documentos/631/17888945708/6311788894570809092023173853.jpg</v>
      </c>
      <c r="F5999" s="5" t="str">
        <f>HYPERLINK("https://dpmzos25m8ivg.cloudfront.net/Documentos/631/17888945708/6311788894570809092023173915.jpg","https://dpmzos25m8ivg.cloudfront.net/Documentos/631/17888945708/6311788894570809092023173915.jpg")</f>
        <v>https://dpmzos25m8ivg.cloudfront.net/Documentos/631/17888945708/6311788894570809092023173915.jpg</v>
      </c>
      <c r="G5999" s="5" t="str">
        <f>HYPERLINK("https://dpmzos25m8ivg.cloudfront.net/Documentos/631/17888945708/6311788894570809092023173934.jpg","https://dpmzos25m8ivg.cloudfront.net/Documentos/631/17888945708/6311788894570809092023173934.jpg")</f>
        <v>https://dpmzos25m8ivg.cloudfront.net/Documentos/631/17888945708/6311788894570809092023173934.jpg</v>
      </c>
      <c r="H5999" s="4" t="s">
        <v>14570</v>
      </c>
    </row>
    <row r="6000" spans="1:8" x14ac:dyDescent="0.25">
      <c r="A6000" s="2" t="s">
        <v>6028</v>
      </c>
      <c r="B6000" s="19" t="s">
        <v>3385</v>
      </c>
      <c r="C6000" s="3"/>
      <c r="D6000" s="3"/>
      <c r="E6000" s="5" t="str">
        <f>HYPERLINK("https://dpmzos25m8ivg.cloudfront.net/Documentos/631/17896595745/6311789659574511092023164554.pdf","https://dpmzos25m8ivg.cloudfront.net/Documentos/631/17896595745/6311789659574511092023164554.pdf")</f>
        <v>https://dpmzos25m8ivg.cloudfront.net/Documentos/631/17896595745/6311789659574511092023164554.pdf</v>
      </c>
      <c r="F6000" s="5" t="str">
        <f>HYPERLINK("https://dpmzos25m8ivg.cloudfront.net/Documentos/631/17896595745/6311789659574511092023164601.pdf","https://dpmzos25m8ivg.cloudfront.net/Documentos/631/17896595745/6311789659574511092023164601.pdf")</f>
        <v>https://dpmzos25m8ivg.cloudfront.net/Documentos/631/17896595745/6311789659574511092023164601.pdf</v>
      </c>
      <c r="G6000" s="5" t="str">
        <f>HYPERLINK("https://dpmzos25m8ivg.cloudfront.net/Documentos/631/17896595745/6311789659574511092023164609.pdf","https://dpmzos25m8ivg.cloudfront.net/Documentos/631/17896595745/6311789659574511092023164609.pdf")</f>
        <v>https://dpmzos25m8ivg.cloudfront.net/Documentos/631/17896595745/6311789659574511092023164609.pdf</v>
      </c>
      <c r="H6000" s="4" t="s">
        <v>14571</v>
      </c>
    </row>
    <row r="6001" spans="1:8" x14ac:dyDescent="0.25">
      <c r="A6001" s="2" t="s">
        <v>6029</v>
      </c>
      <c r="B6001" s="3"/>
      <c r="C6001" s="3"/>
      <c r="D6001" s="3"/>
      <c r="E6001" s="5" t="str">
        <f>HYPERLINK("https://dpmzos25m8ivg.cloudfront.net/Documentos/631/17912260781/6311791226078114092023160807.jpeg","https://dpmzos25m8ivg.cloudfront.net/Documentos/631/17912260781/6311791226078114092023160807.jpeg")</f>
        <v>https://dpmzos25m8ivg.cloudfront.net/Documentos/631/17912260781/6311791226078114092023160807.jpeg</v>
      </c>
      <c r="F6001" s="5" t="str">
        <f>HYPERLINK("https://dpmzos25m8ivg.cloudfront.net/Documentos/631/17912260781/6311791226078114092023160816.jpeg","https://dpmzos25m8ivg.cloudfront.net/Documentos/631/17912260781/6311791226078114092023160816.jpeg")</f>
        <v>https://dpmzos25m8ivg.cloudfront.net/Documentos/631/17912260781/6311791226078114092023160816.jpeg</v>
      </c>
      <c r="G6001" s="5" t="str">
        <f>HYPERLINK("https://dpmzos25m8ivg.cloudfront.net/Documentos/631/17912260781/6311791226078114092023160831.jpeg","https://dpmzos25m8ivg.cloudfront.net/Documentos/631/17912260781/6311791226078114092023160831.jpeg")</f>
        <v>https://dpmzos25m8ivg.cloudfront.net/Documentos/631/17912260781/6311791226078114092023160831.jpeg</v>
      </c>
      <c r="H6001" s="4" t="s">
        <v>14572</v>
      </c>
    </row>
    <row r="6002" spans="1:8" x14ac:dyDescent="0.25">
      <c r="A6002" s="2" t="s">
        <v>6030</v>
      </c>
      <c r="B6002" s="3"/>
      <c r="C6002" s="3"/>
      <c r="D6002" s="3"/>
      <c r="E6002" s="5" t="str">
        <f>HYPERLINK("https://dpmzos25m8ivg.cloudfront.net/Documentos/631/17942228711/6311794222871106092023004943.pdf","https://dpmzos25m8ivg.cloudfront.net/Documentos/631/17942228711/6311794222871106092023004943.pdf")</f>
        <v>https://dpmzos25m8ivg.cloudfront.net/Documentos/631/17942228711/6311794222871106092023004943.pdf</v>
      </c>
      <c r="F6002" s="5" t="str">
        <f>HYPERLINK("https://dpmzos25m8ivg.cloudfront.net/Documentos/631/17942228711/6311794222871106092023004958.pdf","https://dpmzos25m8ivg.cloudfront.net/Documentos/631/17942228711/6311794222871106092023004958.pdf")</f>
        <v>https://dpmzos25m8ivg.cloudfront.net/Documentos/631/17942228711/6311794222871106092023004958.pdf</v>
      </c>
      <c r="G6002" s="5" t="str">
        <f>HYPERLINK("https://dpmzos25m8ivg.cloudfront.net/Documentos/631/17942228711/6311794222871106092023005013.pdf","https://dpmzos25m8ivg.cloudfront.net/Documentos/631/17942228711/6311794222871106092023005013.pdf")</f>
        <v>https://dpmzos25m8ivg.cloudfront.net/Documentos/631/17942228711/6311794222871106092023005013.pdf</v>
      </c>
      <c r="H6002" s="4" t="s">
        <v>14573</v>
      </c>
    </row>
    <row r="6003" spans="1:8" x14ac:dyDescent="0.25">
      <c r="A6003" s="2" t="s">
        <v>6031</v>
      </c>
      <c r="B6003" s="3"/>
      <c r="C6003" s="3"/>
      <c r="D6003" s="3"/>
      <c r="E6003" s="5" t="str">
        <f>HYPERLINK("https://dpmzos25m8ivg.cloudfront.net/Documentos/631/17986373750/6311798637375010092023135200.pdf","https://dpmzos25m8ivg.cloudfront.net/Documentos/631/17986373750/6311798637375010092023135200.pdf")</f>
        <v>https://dpmzos25m8ivg.cloudfront.net/Documentos/631/17986373750/6311798637375010092023135200.pdf</v>
      </c>
      <c r="F6003" s="5" t="str">
        <f>HYPERLINK("https://dpmzos25m8ivg.cloudfront.net/Documentos/631/17986373750/6311798637375010092023135242.pdf","https://dpmzos25m8ivg.cloudfront.net/Documentos/631/17986373750/6311798637375010092023135242.pdf")</f>
        <v>https://dpmzos25m8ivg.cloudfront.net/Documentos/631/17986373750/6311798637375010092023135242.pdf</v>
      </c>
      <c r="G6003" s="5" t="str">
        <f>HYPERLINK("https://dpmzos25m8ivg.cloudfront.net/Documentos/631/17986373750/6311798637375010092023135305.pdf","https://dpmzos25m8ivg.cloudfront.net/Documentos/631/17986373750/6311798637375010092023135305.pdf")</f>
        <v>https://dpmzos25m8ivg.cloudfront.net/Documentos/631/17986373750/6311798637375010092023135305.pdf</v>
      </c>
      <c r="H6003" s="4" t="s">
        <v>14574</v>
      </c>
    </row>
    <row r="6004" spans="1:8" x14ac:dyDescent="0.25">
      <c r="A6004" s="2" t="s">
        <v>6032</v>
      </c>
      <c r="B6004" s="3"/>
      <c r="C6004" s="3"/>
      <c r="D6004" s="3"/>
      <c r="E6004" s="5" t="str">
        <f>HYPERLINK("https://dpmzos25m8ivg.cloudfront.net/Documentos/631/17999223751/6311799922375106092023165744.jpeg","https://dpmzos25m8ivg.cloudfront.net/Documentos/631/17999223751/6311799922375106092023165744.jpeg")</f>
        <v>https://dpmzos25m8ivg.cloudfront.net/Documentos/631/17999223751/6311799922375106092023165744.jpeg</v>
      </c>
      <c r="F6004" s="5" t="str">
        <f>HYPERLINK("https://dpmzos25m8ivg.cloudfront.net/Documentos/631/17999223751/6311799922375106092023165759.jpeg","https://dpmzos25m8ivg.cloudfront.net/Documentos/631/17999223751/6311799922375106092023165759.jpeg")</f>
        <v>https://dpmzos25m8ivg.cloudfront.net/Documentos/631/17999223751/6311799922375106092023165759.jpeg</v>
      </c>
      <c r="G6004" s="5" t="str">
        <f>HYPERLINK("https://dpmzos25m8ivg.cloudfront.net/Documentos/631/17999223751/6311799922375106092023165815.jpeg","https://dpmzos25m8ivg.cloudfront.net/Documentos/631/17999223751/6311799922375106092023165815.jpeg")</f>
        <v>https://dpmzos25m8ivg.cloudfront.net/Documentos/631/17999223751/6311799922375106092023165815.jpeg</v>
      </c>
      <c r="H6004" s="4" t="s">
        <v>14575</v>
      </c>
    </row>
    <row r="6005" spans="1:8" x14ac:dyDescent="0.25">
      <c r="A6005" s="2" t="s">
        <v>6033</v>
      </c>
      <c r="B6005" s="3" t="s">
        <v>8</v>
      </c>
      <c r="C6005" s="3"/>
      <c r="D6005" s="3"/>
      <c r="E6005" s="5" t="str">
        <f>HYPERLINK("https://dpmzos25m8ivg.cloudfront.net/Documentos/631/18003453801/6311800345380107092023105417.pdf","https://dpmzos25m8ivg.cloudfront.net/Documentos/631/18003453801/6311800345380107092023105417.pdf")</f>
        <v>https://dpmzos25m8ivg.cloudfront.net/Documentos/631/18003453801/6311800345380107092023105417.pdf</v>
      </c>
      <c r="F6005" s="5" t="str">
        <f>HYPERLINK("https://dpmzos25m8ivg.cloudfront.net/Documentos/631/18003453801/6311800345380107092023105435.pdf","https://dpmzos25m8ivg.cloudfront.net/Documentos/631/18003453801/6311800345380107092023105435.pdf")</f>
        <v>https://dpmzos25m8ivg.cloudfront.net/Documentos/631/18003453801/6311800345380107092023105435.pdf</v>
      </c>
      <c r="G6005" s="5" t="str">
        <f>HYPERLINK("https://dpmzos25m8ivg.cloudfront.net/Documentos/631/18003453801/6311800345380107092023105745.pdf","https://dpmzos25m8ivg.cloudfront.net/Documentos/631/18003453801/6311800345380107092023105745.pdf")</f>
        <v>https://dpmzos25m8ivg.cloudfront.net/Documentos/631/18003453801/6311800345380107092023105745.pdf</v>
      </c>
      <c r="H6005" s="4" t="s">
        <v>14576</v>
      </c>
    </row>
    <row r="6006" spans="1:8" x14ac:dyDescent="0.25">
      <c r="A6006" s="2" t="s">
        <v>6034</v>
      </c>
      <c r="B6006" s="3"/>
      <c r="C6006" s="3"/>
      <c r="D6006" s="3"/>
      <c r="E6006" s="5" t="str">
        <f>HYPERLINK("https://dpmzos25m8ivg.cloudfront.net/Documentos/631/18007771751/6311800777175105092023210538.jpg","https://dpmzos25m8ivg.cloudfront.net/Documentos/631/18007771751/6311800777175105092023210538.jpg")</f>
        <v>https://dpmzos25m8ivg.cloudfront.net/Documentos/631/18007771751/6311800777175105092023210538.jpg</v>
      </c>
      <c r="F6006" s="5" t="str">
        <f>HYPERLINK("https://dpmzos25m8ivg.cloudfront.net/Documentos/631/18007771751/6311800777175105092023210558.jpg","https://dpmzos25m8ivg.cloudfront.net/Documentos/631/18007771751/6311800777175105092023210558.jpg")</f>
        <v>https://dpmzos25m8ivg.cloudfront.net/Documentos/631/18007771751/6311800777175105092023210558.jpg</v>
      </c>
      <c r="G6006" s="5" t="str">
        <f>HYPERLINK("https://dpmzos25m8ivg.cloudfront.net/Documentos/631/18007771751/6311800777175105092023210623.jpg","https://dpmzos25m8ivg.cloudfront.net/Documentos/631/18007771751/6311800777175105092023210623.jpg")</f>
        <v>https://dpmzos25m8ivg.cloudfront.net/Documentos/631/18007771751/6311800777175105092023210623.jpg</v>
      </c>
      <c r="H6006" s="4" t="s">
        <v>14577</v>
      </c>
    </row>
    <row r="6007" spans="1:8" x14ac:dyDescent="0.25">
      <c r="A6007" s="2" t="s">
        <v>6035</v>
      </c>
      <c r="B6007" s="3"/>
      <c r="C6007" s="3"/>
      <c r="D6007" s="3"/>
      <c r="E6007" s="5" t="str">
        <f>HYPERLINK("https://dpmzos25m8ivg.cloudfront.net/Documentos/631/18009127736/6311800912773606092023153051.pdf","https://dpmzos25m8ivg.cloudfront.net/Documentos/631/18009127736/6311800912773606092023153051.pdf")</f>
        <v>https://dpmzos25m8ivg.cloudfront.net/Documentos/631/18009127736/6311800912773606092023153051.pdf</v>
      </c>
      <c r="F6007" s="5" t="str">
        <f>HYPERLINK("https://dpmzos25m8ivg.cloudfront.net/Documentos/631/18009127736/6311800912773606092023153059.pdf","https://dpmzos25m8ivg.cloudfront.net/Documentos/631/18009127736/6311800912773606092023153059.pdf")</f>
        <v>https://dpmzos25m8ivg.cloudfront.net/Documentos/631/18009127736/6311800912773606092023153059.pdf</v>
      </c>
      <c r="G6007" s="5" t="str">
        <f>HYPERLINK("https://dpmzos25m8ivg.cloudfront.net/Documentos/631/18009127736/6311800912773606092023153110.pdf","https://dpmzos25m8ivg.cloudfront.net/Documentos/631/18009127736/6311800912773606092023153110.pdf")</f>
        <v>https://dpmzos25m8ivg.cloudfront.net/Documentos/631/18009127736/6311800912773606092023153110.pdf</v>
      </c>
      <c r="H6007" s="4" t="s">
        <v>14578</v>
      </c>
    </row>
    <row r="6008" spans="1:8" x14ac:dyDescent="0.25">
      <c r="A6008" s="2" t="s">
        <v>6036</v>
      </c>
      <c r="B6008" s="3"/>
      <c r="C6008" s="3"/>
      <c r="D6008" s="3"/>
      <c r="E6008" s="5" t="str">
        <f>HYPERLINK("https://dpmzos25m8ivg.cloudfront.net/Documentos/631/18026980867/6311802698086707092023162529.pdf","https://dpmzos25m8ivg.cloudfront.net/Documentos/631/18026980867/6311802698086707092023162529.pdf")</f>
        <v>https://dpmzos25m8ivg.cloudfront.net/Documentos/631/18026980867/6311802698086707092023162529.pdf</v>
      </c>
      <c r="F6008" s="5" t="str">
        <f>HYPERLINK("https://dpmzos25m8ivg.cloudfront.net/Documentos/631/18026980867/6311802698086707092023162603.pdf","https://dpmzos25m8ivg.cloudfront.net/Documentos/631/18026980867/6311802698086707092023162603.pdf")</f>
        <v>https://dpmzos25m8ivg.cloudfront.net/Documentos/631/18026980867/6311802698086707092023162603.pdf</v>
      </c>
      <c r="G6008" s="5" t="str">
        <f>HYPERLINK("https://dpmzos25m8ivg.cloudfront.net/Documentos/631/18026980867/6311802698086707092023162621.pdf","https://dpmzos25m8ivg.cloudfront.net/Documentos/631/18026980867/6311802698086707092023162621.pdf")</f>
        <v>https://dpmzos25m8ivg.cloudfront.net/Documentos/631/18026980867/6311802698086707092023162621.pdf</v>
      </c>
      <c r="H6008" s="4" t="s">
        <v>14579</v>
      </c>
    </row>
    <row r="6009" spans="1:8" x14ac:dyDescent="0.25">
      <c r="A6009" s="2" t="s">
        <v>6037</v>
      </c>
      <c r="B6009" s="3"/>
      <c r="C6009" s="3"/>
      <c r="D6009" s="3"/>
      <c r="E6009" s="5" t="str">
        <f>HYPERLINK("https://dpmzos25m8ivg.cloudfront.net/Documentos/631/18029220758/6311802922075812092023181917.jpg","https://dpmzos25m8ivg.cloudfront.net/Documentos/631/18029220758/6311802922075812092023181917.jpg")</f>
        <v>https://dpmzos25m8ivg.cloudfront.net/Documentos/631/18029220758/6311802922075812092023181917.jpg</v>
      </c>
      <c r="F6009" s="5" t="str">
        <f>HYPERLINK("https://dpmzos25m8ivg.cloudfront.net/Documentos/631/18029220758/6311802922075812092023183835.jpg","https://dpmzos25m8ivg.cloudfront.net/Documentos/631/18029220758/6311802922075812092023183835.jpg")</f>
        <v>https://dpmzos25m8ivg.cloudfront.net/Documentos/631/18029220758/6311802922075812092023183835.jpg</v>
      </c>
      <c r="G6009" s="5" t="str">
        <f>HYPERLINK("https://dpmzos25m8ivg.cloudfront.net/Documentos/631/18029220758/6311802922075812092023183908.jpg","https://dpmzos25m8ivg.cloudfront.net/Documentos/631/18029220758/6311802922075812092023183908.jpg")</f>
        <v>https://dpmzos25m8ivg.cloudfront.net/Documentos/631/18029220758/6311802922075812092023183908.jpg</v>
      </c>
      <c r="H6009" s="4" t="s">
        <v>14580</v>
      </c>
    </row>
    <row r="6010" spans="1:8" x14ac:dyDescent="0.25">
      <c r="A6010" s="2" t="s">
        <v>6038</v>
      </c>
      <c r="B6010" s="3"/>
      <c r="C6010" s="3"/>
      <c r="D6010" s="3"/>
      <c r="E6010" s="5" t="str">
        <f>HYPERLINK("https://dpmzos25m8ivg.cloudfront.net/Documentos/631/18072845810/6311807284581011092023161942.pdf","https://dpmzos25m8ivg.cloudfront.net/Documentos/631/18072845810/6311807284581011092023161942.pdf")</f>
        <v>https://dpmzos25m8ivg.cloudfront.net/Documentos/631/18072845810/6311807284581011092023161942.pdf</v>
      </c>
      <c r="F6010" s="5" t="str">
        <f>HYPERLINK("https://dpmzos25m8ivg.cloudfront.net/Documentos/631/18072845810/6311807284581011092023162014.pdf","https://dpmzos25m8ivg.cloudfront.net/Documentos/631/18072845810/6311807284581011092023162014.pdf")</f>
        <v>https://dpmzos25m8ivg.cloudfront.net/Documentos/631/18072845810/6311807284581011092023162014.pdf</v>
      </c>
      <c r="G6010" s="5" t="str">
        <f>HYPERLINK("https://dpmzos25m8ivg.cloudfront.net/Documentos/631/18072845810/6311807284581011092023162024.pdf","https://dpmzos25m8ivg.cloudfront.net/Documentos/631/18072845810/6311807284581011092023162024.pdf")</f>
        <v>https://dpmzos25m8ivg.cloudfront.net/Documentos/631/18072845810/6311807284581011092023162024.pdf</v>
      </c>
      <c r="H6010" s="4" t="s">
        <v>14581</v>
      </c>
    </row>
    <row r="6011" spans="1:8" x14ac:dyDescent="0.25">
      <c r="A6011" s="2" t="s">
        <v>6039</v>
      </c>
      <c r="B6011" s="3"/>
      <c r="C6011" s="3"/>
      <c r="D6011" s="3"/>
      <c r="E6011" s="5" t="str">
        <f>HYPERLINK("https://dpmzos25m8ivg.cloudfront.net/Documentos/631/18124934797/6311812493479711092023143930.pdf","https://dpmzos25m8ivg.cloudfront.net/Documentos/631/18124934797/6311812493479711092023143930.pdf")</f>
        <v>https://dpmzos25m8ivg.cloudfront.net/Documentos/631/18124934797/6311812493479711092023143930.pdf</v>
      </c>
      <c r="F6011" s="5" t="str">
        <f>HYPERLINK("https://dpmzos25m8ivg.cloudfront.net/Documentos/631/18124934797/6311812493479711092023143946.pdf","https://dpmzos25m8ivg.cloudfront.net/Documentos/631/18124934797/6311812493479711092023143946.pdf")</f>
        <v>https://dpmzos25m8ivg.cloudfront.net/Documentos/631/18124934797/6311812493479711092023143946.pdf</v>
      </c>
      <c r="G6011" s="5" t="str">
        <f>HYPERLINK("https://dpmzos25m8ivg.cloudfront.net/Documentos/631/18124934797/6311812493479711092023144002.pdf","https://dpmzos25m8ivg.cloudfront.net/Documentos/631/18124934797/6311812493479711092023144002.pdf")</f>
        <v>https://dpmzos25m8ivg.cloudfront.net/Documentos/631/18124934797/6311812493479711092023144002.pdf</v>
      </c>
      <c r="H6011" s="4" t="s">
        <v>14582</v>
      </c>
    </row>
    <row r="6012" spans="1:8" x14ac:dyDescent="0.25">
      <c r="A6012" s="2" t="s">
        <v>6040</v>
      </c>
      <c r="B6012" s="3"/>
      <c r="C6012" s="3"/>
      <c r="D6012" s="3"/>
      <c r="E6012" s="5" t="str">
        <f>HYPERLINK("https://dpmzos25m8ivg.cloudfront.net/Documentos/631/18164606804/6311816460680407092023222002.pdf","https://dpmzos25m8ivg.cloudfront.net/Documentos/631/18164606804/6311816460680407092023222002.pdf")</f>
        <v>https://dpmzos25m8ivg.cloudfront.net/Documentos/631/18164606804/6311816460680407092023222002.pdf</v>
      </c>
      <c r="F6012" s="5" t="str">
        <f>HYPERLINK("https://dpmzos25m8ivg.cloudfront.net/Documentos/631/18164606804/6311816460680407092023222019.pdf","https://dpmzos25m8ivg.cloudfront.net/Documentos/631/18164606804/6311816460680407092023222019.pdf")</f>
        <v>https://dpmzos25m8ivg.cloudfront.net/Documentos/631/18164606804/6311816460680407092023222019.pdf</v>
      </c>
      <c r="G6012" s="5" t="str">
        <f>HYPERLINK("https://dpmzos25m8ivg.cloudfront.net/Documentos/631/18164606804/6311816460680407092023222032.pdf","https://dpmzos25m8ivg.cloudfront.net/Documentos/631/18164606804/6311816460680407092023222032.pdf")</f>
        <v>https://dpmzos25m8ivg.cloudfront.net/Documentos/631/18164606804/6311816460680407092023222032.pdf</v>
      </c>
      <c r="H6012" s="4" t="s">
        <v>14583</v>
      </c>
    </row>
    <row r="6013" spans="1:8" x14ac:dyDescent="0.25">
      <c r="A6013" s="2" t="s">
        <v>6041</v>
      </c>
      <c r="B6013" s="3"/>
      <c r="C6013" s="3"/>
      <c r="D6013" s="3"/>
      <c r="E6013" s="5" t="str">
        <f>HYPERLINK("https://dpmzos25m8ivg.cloudfront.net/Documentos/631/18164955736/6311816495573607092023203918.pdf","https://dpmzos25m8ivg.cloudfront.net/Documentos/631/18164955736/6311816495573607092023203918.pdf")</f>
        <v>https://dpmzos25m8ivg.cloudfront.net/Documentos/631/18164955736/6311816495573607092023203918.pdf</v>
      </c>
      <c r="F6013" s="5" t="str">
        <f>HYPERLINK("https://dpmzos25m8ivg.cloudfront.net/Documentos/631/18164955736/6311816495573607092023203941.pdf","https://dpmzos25m8ivg.cloudfront.net/Documentos/631/18164955736/6311816495573607092023203941.pdf")</f>
        <v>https://dpmzos25m8ivg.cloudfront.net/Documentos/631/18164955736/6311816495573607092023203941.pdf</v>
      </c>
      <c r="G6013" s="5" t="str">
        <f>HYPERLINK("https://dpmzos25m8ivg.cloudfront.net/Documentos/631/18164955736/6311816495573607092023204014.pdf","https://dpmzos25m8ivg.cloudfront.net/Documentos/631/18164955736/6311816495573607092023204014.pdf")</f>
        <v>https://dpmzos25m8ivg.cloudfront.net/Documentos/631/18164955736/6311816495573607092023204014.pdf</v>
      </c>
      <c r="H6013" s="4" t="s">
        <v>14584</v>
      </c>
    </row>
    <row r="6014" spans="1:8" x14ac:dyDescent="0.25">
      <c r="A6014" s="2" t="s">
        <v>6042</v>
      </c>
      <c r="B6014" s="19" t="s">
        <v>3385</v>
      </c>
      <c r="C6014" s="3"/>
      <c r="D6014" s="3"/>
      <c r="E6014" s="5" t="str">
        <f>HYPERLINK("https://dpmzos25m8ivg.cloudfront.net/Documentos/631/18167907708/6311816790770811092023143553.jpeg","https://dpmzos25m8ivg.cloudfront.net/Documentos/631/18167907708/6311816790770811092023143553.jpeg")</f>
        <v>https://dpmzos25m8ivg.cloudfront.net/Documentos/631/18167907708/6311816790770811092023143553.jpeg</v>
      </c>
      <c r="F6014" s="5" t="str">
        <f>HYPERLINK("https://dpmzos25m8ivg.cloudfront.net/Documentos/631/18167907708/6311816790770811092023143607.jpeg","https://dpmzos25m8ivg.cloudfront.net/Documentos/631/18167907708/6311816790770811092023143607.jpeg")</f>
        <v>https://dpmzos25m8ivg.cloudfront.net/Documentos/631/18167907708/6311816790770811092023143607.jpeg</v>
      </c>
      <c r="G6014" s="5" t="str">
        <f>HYPERLINK("https://dpmzos25m8ivg.cloudfront.net/Documentos/631/18167907708/6311816790770811092023143626.jpeg","https://dpmzos25m8ivg.cloudfront.net/Documentos/631/18167907708/6311816790770811092023143626.jpeg")</f>
        <v>https://dpmzos25m8ivg.cloudfront.net/Documentos/631/18167907708/6311816790770811092023143626.jpeg</v>
      </c>
      <c r="H6014" s="4" t="s">
        <v>14585</v>
      </c>
    </row>
    <row r="6015" spans="1:8" x14ac:dyDescent="0.25">
      <c r="A6015" s="2" t="s">
        <v>6043</v>
      </c>
      <c r="B6015" s="3" t="s">
        <v>8</v>
      </c>
      <c r="C6015" s="3"/>
      <c r="D6015" s="3"/>
      <c r="E6015" s="5" t="str">
        <f>HYPERLINK("https://dpmzos25m8ivg.cloudfront.net/Documentos/631/18204706790/6311820470679010092023165223.pdf","https://dpmzos25m8ivg.cloudfront.net/Documentos/631/18204706790/6311820470679010092023165223.pdf")</f>
        <v>https://dpmzos25m8ivg.cloudfront.net/Documentos/631/18204706790/6311820470679010092023165223.pdf</v>
      </c>
      <c r="F6015" s="5" t="str">
        <f>HYPERLINK("https://dpmzos25m8ivg.cloudfront.net/Documentos/631/18204706790/6311820470679010092023170330.pdf","https://dpmzos25m8ivg.cloudfront.net/Documentos/631/18204706790/6311820470679010092023170330.pdf")</f>
        <v>https://dpmzos25m8ivg.cloudfront.net/Documentos/631/18204706790/6311820470679010092023170330.pdf</v>
      </c>
      <c r="G6015" s="5" t="str">
        <f>HYPERLINK("https://dpmzos25m8ivg.cloudfront.net/Documentos/631/18204706790/6311820470679010092023170345.pdf","https://dpmzos25m8ivg.cloudfront.net/Documentos/631/18204706790/6311820470679010092023170345.pdf")</f>
        <v>https://dpmzos25m8ivg.cloudfront.net/Documentos/631/18204706790/6311820470679010092023170345.pdf</v>
      </c>
      <c r="H6015" s="4" t="s">
        <v>14586</v>
      </c>
    </row>
    <row r="6016" spans="1:8" x14ac:dyDescent="0.25">
      <c r="A6016" s="2" t="s">
        <v>6044</v>
      </c>
      <c r="B6016" s="3"/>
      <c r="C6016" s="3"/>
      <c r="D6016" s="3"/>
      <c r="E6016" s="5" t="str">
        <f>HYPERLINK("https://dpmzos25m8ivg.cloudfront.net/Documentos/631/18213102762/6311821310276210092023234111.pdf","https://dpmzos25m8ivg.cloudfront.net/Documentos/631/18213102762/6311821310276210092023234111.pdf")</f>
        <v>https://dpmzos25m8ivg.cloudfront.net/Documentos/631/18213102762/6311821310276210092023234111.pdf</v>
      </c>
      <c r="F6016" s="5" t="str">
        <f>HYPERLINK("https://dpmzos25m8ivg.cloudfront.net/Documentos/631/18213102762/6311821310276210092023234146.pdf","https://dpmzos25m8ivg.cloudfront.net/Documentos/631/18213102762/6311821310276210092023234146.pdf")</f>
        <v>https://dpmzos25m8ivg.cloudfront.net/Documentos/631/18213102762/6311821310276210092023234146.pdf</v>
      </c>
      <c r="G6016" s="5" t="str">
        <f>HYPERLINK("https://dpmzos25m8ivg.cloudfront.net/Documentos/631/18213102762/6311821310276210092023234159.pdf","https://dpmzos25m8ivg.cloudfront.net/Documentos/631/18213102762/6311821310276210092023234159.pdf")</f>
        <v>https://dpmzos25m8ivg.cloudfront.net/Documentos/631/18213102762/6311821310276210092023234159.pdf</v>
      </c>
      <c r="H6016" s="4" t="s">
        <v>14587</v>
      </c>
    </row>
    <row r="6017" spans="1:8" x14ac:dyDescent="0.25">
      <c r="A6017" s="2" t="s">
        <v>6045</v>
      </c>
      <c r="B6017" s="3"/>
      <c r="C6017" s="3"/>
      <c r="D6017" s="3"/>
      <c r="E6017" s="5" t="str">
        <f>HYPERLINK("https://dpmzos25m8ivg.cloudfront.net/Documentos/631/18223384841/6311822338484111092023150837.pdf","https://dpmzos25m8ivg.cloudfront.net/Documentos/631/18223384841/6311822338484111092023150837.pdf")</f>
        <v>https://dpmzos25m8ivg.cloudfront.net/Documentos/631/18223384841/6311822338484111092023150837.pdf</v>
      </c>
      <c r="F6017" s="5" t="str">
        <f>HYPERLINK("https://dpmzos25m8ivg.cloudfront.net/Documentos/631/18223384841/6311822338484111092023150847.pdf","https://dpmzos25m8ivg.cloudfront.net/Documentos/631/18223384841/6311822338484111092023150847.pdf")</f>
        <v>https://dpmzos25m8ivg.cloudfront.net/Documentos/631/18223384841/6311822338484111092023150847.pdf</v>
      </c>
      <c r="G6017" s="5" t="str">
        <f>HYPERLINK("https://dpmzos25m8ivg.cloudfront.net/Documentos/631/18223384841/6311822338484111092023150858.pdf","https://dpmzos25m8ivg.cloudfront.net/Documentos/631/18223384841/6311822338484111092023150858.pdf")</f>
        <v>https://dpmzos25m8ivg.cloudfront.net/Documentos/631/18223384841/6311822338484111092023150858.pdf</v>
      </c>
      <c r="H6017" s="4" t="s">
        <v>14588</v>
      </c>
    </row>
    <row r="6018" spans="1:8" x14ac:dyDescent="0.25">
      <c r="A6018" s="2" t="s">
        <v>6046</v>
      </c>
      <c r="B6018" s="3"/>
      <c r="C6018" s="3"/>
      <c r="D6018" s="3"/>
      <c r="E6018" s="5" t="str">
        <f>HYPERLINK("https://dpmzos25m8ivg.cloudfront.net/Documentos/631/18227702899/6311822770289911092023120855.jpg","https://dpmzos25m8ivg.cloudfront.net/Documentos/631/18227702899/6311822770289911092023120855.jpg")</f>
        <v>https://dpmzos25m8ivg.cloudfront.net/Documentos/631/18227702899/6311822770289911092023120855.jpg</v>
      </c>
      <c r="F6018" s="5" t="str">
        <f>HYPERLINK("https://dpmzos25m8ivg.cloudfront.net/Documentos/631/18227702899/6311822770289911092023120917.jpg","https://dpmzos25m8ivg.cloudfront.net/Documentos/631/18227702899/6311822770289911092023120917.jpg")</f>
        <v>https://dpmzos25m8ivg.cloudfront.net/Documentos/631/18227702899/6311822770289911092023120917.jpg</v>
      </c>
      <c r="G6018" s="5" t="str">
        <f>HYPERLINK("https://dpmzos25m8ivg.cloudfront.net/Documentos/631/18227702899/6311822770289911092023120938.jpg","https://dpmzos25m8ivg.cloudfront.net/Documentos/631/18227702899/6311822770289911092023120938.jpg")</f>
        <v>https://dpmzos25m8ivg.cloudfront.net/Documentos/631/18227702899/6311822770289911092023120938.jpg</v>
      </c>
      <c r="H6018" s="4" t="s">
        <v>14589</v>
      </c>
    </row>
    <row r="6019" spans="1:8" x14ac:dyDescent="0.25">
      <c r="A6019" s="2" t="s">
        <v>6047</v>
      </c>
      <c r="B6019" s="3"/>
      <c r="C6019" s="3"/>
      <c r="D6019" s="3"/>
      <c r="E6019" s="5" t="str">
        <f>HYPERLINK("https://dpmzos25m8ivg.cloudfront.net/Documentos/631/18242196796/6311824219679611092023123418.pdf","https://dpmzos25m8ivg.cloudfront.net/Documentos/631/18242196796/6311824219679611092023123418.pdf")</f>
        <v>https://dpmzos25m8ivg.cloudfront.net/Documentos/631/18242196796/6311824219679611092023123418.pdf</v>
      </c>
      <c r="F6019" s="5" t="str">
        <f>HYPERLINK("https://dpmzos25m8ivg.cloudfront.net/Documentos/631/18242196796/6311824219679611092023123426.pdf","https://dpmzos25m8ivg.cloudfront.net/Documentos/631/18242196796/6311824219679611092023123426.pdf")</f>
        <v>https://dpmzos25m8ivg.cloudfront.net/Documentos/631/18242196796/6311824219679611092023123426.pdf</v>
      </c>
      <c r="G6019" s="5" t="str">
        <f>HYPERLINK("https://dpmzos25m8ivg.cloudfront.net/Documentos/631/18242196796/6311824219679611092023123434.pdf","https://dpmzos25m8ivg.cloudfront.net/Documentos/631/18242196796/6311824219679611092023123434.pdf")</f>
        <v>https://dpmzos25m8ivg.cloudfront.net/Documentos/631/18242196796/6311824219679611092023123434.pdf</v>
      </c>
      <c r="H6019" s="4" t="s">
        <v>14590</v>
      </c>
    </row>
    <row r="6020" spans="1:8" x14ac:dyDescent="0.25">
      <c r="A6020" s="2" t="s">
        <v>6048</v>
      </c>
      <c r="B6020" s="3"/>
      <c r="C6020" s="3"/>
      <c r="D6020" s="3"/>
      <c r="E6020" s="5" t="str">
        <f>HYPERLINK("https://dpmzos25m8ivg.cloudfront.net/Documentos/631/18242777764/6311824277776411092023153738.pdf","https://dpmzos25m8ivg.cloudfront.net/Documentos/631/18242777764/6311824277776411092023153738.pdf")</f>
        <v>https://dpmzos25m8ivg.cloudfront.net/Documentos/631/18242777764/6311824277776411092023153738.pdf</v>
      </c>
      <c r="F6020" s="5" t="str">
        <f>HYPERLINK("https://dpmzos25m8ivg.cloudfront.net/Documentos/631/18242777764/6311824277776411092023153758.pdf","https://dpmzos25m8ivg.cloudfront.net/Documentos/631/18242777764/6311824277776411092023153758.pdf")</f>
        <v>https://dpmzos25m8ivg.cloudfront.net/Documentos/631/18242777764/6311824277776411092023153758.pdf</v>
      </c>
      <c r="G6020" s="5" t="str">
        <f>HYPERLINK("https://dpmzos25m8ivg.cloudfront.net/Documentos/631/18242777764/6311824277776411092023153817.pdf","https://dpmzos25m8ivg.cloudfront.net/Documentos/631/18242777764/6311824277776411092023153817.pdf")</f>
        <v>https://dpmzos25m8ivg.cloudfront.net/Documentos/631/18242777764/6311824277776411092023153817.pdf</v>
      </c>
      <c r="H6020" s="4" t="s">
        <v>14591</v>
      </c>
    </row>
    <row r="6021" spans="1:8" x14ac:dyDescent="0.25">
      <c r="A6021" s="2" t="s">
        <v>6049</v>
      </c>
      <c r="B6021" s="3"/>
      <c r="C6021" s="3"/>
      <c r="D6021" s="3"/>
      <c r="E6021" s="5" t="str">
        <f>HYPERLINK("https://dpmzos25m8ivg.cloudfront.net/Documentos/631/18250820738/6311825082073811092023123752.pdf","https://dpmzos25m8ivg.cloudfront.net/Documentos/631/18250820738/6311825082073811092023123752.pdf")</f>
        <v>https://dpmzos25m8ivg.cloudfront.net/Documentos/631/18250820738/6311825082073811092023123752.pdf</v>
      </c>
      <c r="F6021" s="5" t="str">
        <f>HYPERLINK("https://dpmzos25m8ivg.cloudfront.net/Documentos/631/18250820738/6311825082073811092023163030.pdf","https://dpmzos25m8ivg.cloudfront.net/Documentos/631/18250820738/6311825082073811092023163030.pdf")</f>
        <v>https://dpmzos25m8ivg.cloudfront.net/Documentos/631/18250820738/6311825082073811092023163030.pdf</v>
      </c>
      <c r="G6021" s="5" t="str">
        <f>HYPERLINK("https://dpmzos25m8ivg.cloudfront.net/Documentos/631/18250820738/6311825082073811092023163038.pdf","https://dpmzos25m8ivg.cloudfront.net/Documentos/631/18250820738/6311825082073811092023163038.pdf")</f>
        <v>https://dpmzos25m8ivg.cloudfront.net/Documentos/631/18250820738/6311825082073811092023163038.pdf</v>
      </c>
      <c r="H6021" s="4" t="s">
        <v>14592</v>
      </c>
    </row>
    <row r="6022" spans="1:8" x14ac:dyDescent="0.25">
      <c r="A6022" s="2" t="s">
        <v>6050</v>
      </c>
      <c r="B6022" s="3" t="s">
        <v>8</v>
      </c>
      <c r="C6022" s="3"/>
      <c r="D6022" s="3"/>
      <c r="E6022" s="5" t="str">
        <f>HYPERLINK("https://dpmzos25m8ivg.cloudfront.net/Documentos/631/18282769797/6311828276979711092023093752.pdf","https://dpmzos25m8ivg.cloudfront.net/Documentos/631/18282769797/6311828276979711092023093752.pdf")</f>
        <v>https://dpmzos25m8ivg.cloudfront.net/Documentos/631/18282769797/6311828276979711092023093752.pdf</v>
      </c>
      <c r="F6022" s="5" t="str">
        <f>HYPERLINK("https://dpmzos25m8ivg.cloudfront.net/Documentos/631/18282769797/6311828276979711092023093810.pdf","https://dpmzos25m8ivg.cloudfront.net/Documentos/631/18282769797/6311828276979711092023093810.pdf")</f>
        <v>https://dpmzos25m8ivg.cloudfront.net/Documentos/631/18282769797/6311828276979711092023093810.pdf</v>
      </c>
      <c r="G6022" s="5" t="str">
        <f>HYPERLINK("https://dpmzos25m8ivg.cloudfront.net/Documentos/631/18282769797/6311828276979711092023103827.pdf","https://dpmzos25m8ivg.cloudfront.net/Documentos/631/18282769797/6311828276979711092023103827.pdf")</f>
        <v>https://dpmzos25m8ivg.cloudfront.net/Documentos/631/18282769797/6311828276979711092023103827.pdf</v>
      </c>
      <c r="H6022" s="4" t="s">
        <v>14593</v>
      </c>
    </row>
    <row r="6023" spans="1:8" x14ac:dyDescent="0.25">
      <c r="A6023" s="2" t="s">
        <v>6051</v>
      </c>
      <c r="B6023" s="3"/>
      <c r="C6023" s="3"/>
      <c r="D6023" s="3"/>
      <c r="E6023" s="5" t="str">
        <f>HYPERLINK("https://dpmzos25m8ivg.cloudfront.net/Documentos/631/18287851726/6311828785172605092023115712.pdf","https://dpmzos25m8ivg.cloudfront.net/Documentos/631/18287851726/6311828785172605092023115712.pdf")</f>
        <v>https://dpmzos25m8ivg.cloudfront.net/Documentos/631/18287851726/6311828785172605092023115712.pdf</v>
      </c>
      <c r="F6023" s="5" t="str">
        <f>HYPERLINK("https://dpmzos25m8ivg.cloudfront.net/Documentos/631/18287851726/6311828785172605092023115720.pdf","https://dpmzos25m8ivg.cloudfront.net/Documentos/631/18287851726/6311828785172605092023115720.pdf")</f>
        <v>https://dpmzos25m8ivg.cloudfront.net/Documentos/631/18287851726/6311828785172605092023115720.pdf</v>
      </c>
      <c r="G6023" s="5" t="str">
        <f>HYPERLINK("https://dpmzos25m8ivg.cloudfront.net/Documentos/631/18287851726/6311828785172605092023115733.pdf","https://dpmzos25m8ivg.cloudfront.net/Documentos/631/18287851726/6311828785172605092023115733.pdf")</f>
        <v>https://dpmzos25m8ivg.cloudfront.net/Documentos/631/18287851726/6311828785172605092023115733.pdf</v>
      </c>
      <c r="H6023" s="4" t="s">
        <v>14594</v>
      </c>
    </row>
    <row r="6024" spans="1:8" x14ac:dyDescent="0.25">
      <c r="A6024" s="2" t="s">
        <v>6052</v>
      </c>
      <c r="B6024" s="3"/>
      <c r="C6024" s="3"/>
      <c r="D6024" s="3"/>
      <c r="E6024" s="5" t="str">
        <f>HYPERLINK("https://dpmzos25m8ivg.cloudfront.net/Documentos/631/18298914724/6311829891472405092023160534.jpg","https://dpmzos25m8ivg.cloudfront.net/Documentos/631/18298914724/6311829891472405092023160534.jpg")</f>
        <v>https://dpmzos25m8ivg.cloudfront.net/Documentos/631/18298914724/6311829891472405092023160534.jpg</v>
      </c>
      <c r="F6024" s="5" t="str">
        <f>HYPERLINK("https://dpmzos25m8ivg.cloudfront.net/Documentos/631/18298914724/6311829891472405092023160554.jpg","https://dpmzos25m8ivg.cloudfront.net/Documentos/631/18298914724/6311829891472405092023160554.jpg")</f>
        <v>https://dpmzos25m8ivg.cloudfront.net/Documentos/631/18298914724/6311829891472405092023160554.jpg</v>
      </c>
      <c r="G6024" s="5" t="str">
        <f>HYPERLINK("https://dpmzos25m8ivg.cloudfront.net/Documentos/631/18298914724/6311829891472405092023160615.jpg","https://dpmzos25m8ivg.cloudfront.net/Documentos/631/18298914724/6311829891472405092023160615.jpg")</f>
        <v>https://dpmzos25m8ivg.cloudfront.net/Documentos/631/18298914724/6311829891472405092023160615.jpg</v>
      </c>
      <c r="H6024" s="4" t="s">
        <v>14595</v>
      </c>
    </row>
    <row r="6025" spans="1:8" x14ac:dyDescent="0.25">
      <c r="A6025" s="2" t="s">
        <v>6053</v>
      </c>
      <c r="B6025" s="3"/>
      <c r="C6025" s="3"/>
      <c r="D6025" s="3"/>
      <c r="E6025" s="5" t="str">
        <f>HYPERLINK("https://dpmzos25m8ivg.cloudfront.net/Documentos/631/18300032754/6311830003275411092023153205.jpeg","https://dpmzos25m8ivg.cloudfront.net/Documentos/631/18300032754/6311830003275411092023153205.jpeg")</f>
        <v>https://dpmzos25m8ivg.cloudfront.net/Documentos/631/18300032754/6311830003275411092023153205.jpeg</v>
      </c>
      <c r="F6025" s="5" t="str">
        <f>HYPERLINK("https://dpmzos25m8ivg.cloudfront.net/Documentos/631/18300032754/6311830003275411092023153522.jpeg","https://dpmzos25m8ivg.cloudfront.net/Documentos/631/18300032754/6311830003275411092023153522.jpeg")</f>
        <v>https://dpmzos25m8ivg.cloudfront.net/Documentos/631/18300032754/6311830003275411092023153522.jpeg</v>
      </c>
      <c r="G6025" s="5" t="str">
        <f>HYPERLINK("https://dpmzos25m8ivg.cloudfront.net/Documentos/631/18300032754/6311830003275411092023153917.jpeg","https://dpmzos25m8ivg.cloudfront.net/Documentos/631/18300032754/6311830003275411092023153917.jpeg")</f>
        <v>https://dpmzos25m8ivg.cloudfront.net/Documentos/631/18300032754/6311830003275411092023153917.jpeg</v>
      </c>
      <c r="H6025" s="4" t="s">
        <v>14596</v>
      </c>
    </row>
    <row r="6026" spans="1:8" x14ac:dyDescent="0.25">
      <c r="A6026" s="2" t="s">
        <v>6054</v>
      </c>
      <c r="B6026" s="3"/>
      <c r="C6026" s="3"/>
      <c r="D6026" s="3"/>
      <c r="E6026" s="5" t="str">
        <f>HYPERLINK("https://dpmzos25m8ivg.cloudfront.net/Documentos/631/18311401870/6311831140187006092023112701.pdf","https://dpmzos25m8ivg.cloudfront.net/Documentos/631/18311401870/6311831140187006092023112701.pdf")</f>
        <v>https://dpmzos25m8ivg.cloudfront.net/Documentos/631/18311401870/6311831140187006092023112701.pdf</v>
      </c>
      <c r="F6026" s="5" t="str">
        <f>HYPERLINK("https://dpmzos25m8ivg.cloudfront.net/Documentos/631/18311401870/6311831140187006092023112804.pdf","https://dpmzos25m8ivg.cloudfront.net/Documentos/631/18311401870/6311831140187006092023112804.pdf")</f>
        <v>https://dpmzos25m8ivg.cloudfront.net/Documentos/631/18311401870/6311831140187006092023112804.pdf</v>
      </c>
      <c r="G6026" s="5" t="str">
        <f>HYPERLINK("https://dpmzos25m8ivg.cloudfront.net/Documentos/631/18311401870/6311831140187006092023112826.pdf","https://dpmzos25m8ivg.cloudfront.net/Documentos/631/18311401870/6311831140187006092023112826.pdf")</f>
        <v>https://dpmzos25m8ivg.cloudfront.net/Documentos/631/18311401870/6311831140187006092023112826.pdf</v>
      </c>
      <c r="H6026" s="4" t="s">
        <v>14597</v>
      </c>
    </row>
    <row r="6027" spans="1:8" x14ac:dyDescent="0.25">
      <c r="A6027" s="2" t="s">
        <v>6055</v>
      </c>
      <c r="B6027" s="3"/>
      <c r="C6027" s="3"/>
      <c r="D6027" s="3"/>
      <c r="E6027" s="5" t="str">
        <f>HYPERLINK("https://dpmzos25m8ivg.cloudfront.net/Documentos/631/18329795713/6311832979571310092023002618.pdf","https://dpmzos25m8ivg.cloudfront.net/Documentos/631/18329795713/6311832979571310092023002618.pdf")</f>
        <v>https://dpmzos25m8ivg.cloudfront.net/Documentos/631/18329795713/6311832979571310092023002618.pdf</v>
      </c>
      <c r="F6027" s="5" t="str">
        <f>HYPERLINK("https://dpmzos25m8ivg.cloudfront.net/Documentos/631/18329795713/6311832979571310092023002630.pdf","https://dpmzos25m8ivg.cloudfront.net/Documentos/631/18329795713/6311832979571310092023002630.pdf")</f>
        <v>https://dpmzos25m8ivg.cloudfront.net/Documentos/631/18329795713/6311832979571310092023002630.pdf</v>
      </c>
      <c r="G6027" s="5" t="str">
        <f>HYPERLINK("https://dpmzos25m8ivg.cloudfront.net/Documentos/631/18329795713/6311832979571310092023002642.pdf","https://dpmzos25m8ivg.cloudfront.net/Documentos/631/18329795713/6311832979571310092023002642.pdf")</f>
        <v>https://dpmzos25m8ivg.cloudfront.net/Documentos/631/18329795713/6311832979571310092023002642.pdf</v>
      </c>
      <c r="H6027" s="4" t="s">
        <v>14598</v>
      </c>
    </row>
    <row r="6028" spans="1:8" x14ac:dyDescent="0.25">
      <c r="A6028" s="2" t="s">
        <v>6056</v>
      </c>
      <c r="B6028" s="3"/>
      <c r="C6028" s="3"/>
      <c r="D6028" s="3"/>
      <c r="E6028" s="5" t="str">
        <f>HYPERLINK("https://dpmzos25m8ivg.cloudfront.net/Documentos/631/18414486487/6311841448648707092023205834.pdf","https://dpmzos25m8ivg.cloudfront.net/Documentos/631/18414486487/6311841448648707092023205834.pdf")</f>
        <v>https://dpmzos25m8ivg.cloudfront.net/Documentos/631/18414486487/6311841448648707092023205834.pdf</v>
      </c>
      <c r="F6028" s="5" t="str">
        <f>HYPERLINK("https://dpmzos25m8ivg.cloudfront.net/Documentos/631/18414486487/6311841448648707092023211046.pdf","https://dpmzos25m8ivg.cloudfront.net/Documentos/631/18414486487/6311841448648707092023211046.pdf")</f>
        <v>https://dpmzos25m8ivg.cloudfront.net/Documentos/631/18414486487/6311841448648707092023211046.pdf</v>
      </c>
      <c r="G6028" s="5" t="str">
        <f>HYPERLINK("https://dpmzos25m8ivg.cloudfront.net/Documentos/631/18414486487/6311841448648707092023211103.pdf","https://dpmzos25m8ivg.cloudfront.net/Documentos/631/18414486487/6311841448648707092023211103.pdf")</f>
        <v>https://dpmzos25m8ivg.cloudfront.net/Documentos/631/18414486487/6311841448648707092023211103.pdf</v>
      </c>
      <c r="H6028" s="4" t="s">
        <v>14599</v>
      </c>
    </row>
    <row r="6029" spans="1:8" x14ac:dyDescent="0.25">
      <c r="A6029" s="2" t="s">
        <v>6057</v>
      </c>
      <c r="B6029" s="3" t="s">
        <v>8</v>
      </c>
      <c r="C6029" s="3"/>
      <c r="D6029" s="3"/>
      <c r="E6029" s="5" t="str">
        <f>HYPERLINK("https://dpmzos25m8ivg.cloudfront.net/Documentos/631/18415683766/6311841568376611092023110127.pdf","https://dpmzos25m8ivg.cloudfront.net/Documentos/631/18415683766/6311841568376611092023110127.pdf")</f>
        <v>https://dpmzos25m8ivg.cloudfront.net/Documentos/631/18415683766/6311841568376611092023110127.pdf</v>
      </c>
      <c r="F6029" s="5" t="str">
        <f>HYPERLINK("https://dpmzos25m8ivg.cloudfront.net/Documentos/631/18415683766/6311841568376611092023110135.pdf","https://dpmzos25m8ivg.cloudfront.net/Documentos/631/18415683766/6311841568376611092023110135.pdf")</f>
        <v>https://dpmzos25m8ivg.cloudfront.net/Documentos/631/18415683766/6311841568376611092023110135.pdf</v>
      </c>
      <c r="G6029" s="5" t="str">
        <f>HYPERLINK("https://dpmzos25m8ivg.cloudfront.net/Documentos/631/18415683766/6311841568376611092023110141.pdf","https://dpmzos25m8ivg.cloudfront.net/Documentos/631/18415683766/6311841568376611092023110141.pdf")</f>
        <v>https://dpmzos25m8ivg.cloudfront.net/Documentos/631/18415683766/6311841568376611092023110141.pdf</v>
      </c>
      <c r="H6029" s="4" t="s">
        <v>14600</v>
      </c>
    </row>
    <row r="6030" spans="1:8" x14ac:dyDescent="0.25">
      <c r="A6030" s="2" t="s">
        <v>6058</v>
      </c>
      <c r="B6030" s="3"/>
      <c r="C6030" s="3"/>
      <c r="D6030" s="3"/>
      <c r="E6030" s="5" t="str">
        <f>HYPERLINK("https://dpmzos25m8ivg.cloudfront.net/Documentos/631/18421288504/6311842128850408092023163042.pdf","https://dpmzos25m8ivg.cloudfront.net/Documentos/631/18421288504/6311842128850408092023163042.pdf")</f>
        <v>https://dpmzos25m8ivg.cloudfront.net/Documentos/631/18421288504/6311842128850408092023163042.pdf</v>
      </c>
      <c r="F6030" s="5" t="str">
        <f>HYPERLINK("https://dpmzos25m8ivg.cloudfront.net/Documentos/631/18421288504/6311842128850408092023163117.pdf","https://dpmzos25m8ivg.cloudfront.net/Documentos/631/18421288504/6311842128850408092023163117.pdf")</f>
        <v>https://dpmzos25m8ivg.cloudfront.net/Documentos/631/18421288504/6311842128850408092023163117.pdf</v>
      </c>
      <c r="G6030" s="5" t="str">
        <f>HYPERLINK("https://dpmzos25m8ivg.cloudfront.net/Documentos/631/18421288504/6311842128850408092023163150.pdf","https://dpmzos25m8ivg.cloudfront.net/Documentos/631/18421288504/6311842128850408092023163150.pdf")</f>
        <v>https://dpmzos25m8ivg.cloudfront.net/Documentos/631/18421288504/6311842128850408092023163150.pdf</v>
      </c>
      <c r="H6030" s="4" t="s">
        <v>14601</v>
      </c>
    </row>
    <row r="6031" spans="1:8" x14ac:dyDescent="0.25">
      <c r="A6031" s="2" t="s">
        <v>6059</v>
      </c>
      <c r="B6031" s="3"/>
      <c r="C6031" s="3"/>
      <c r="D6031" s="3"/>
      <c r="E6031" s="5" t="str">
        <f>HYPERLINK("https://dpmzos25m8ivg.cloudfront.net/Documentos/631/18433074725/6311843307472511092023111430.jpeg","https://dpmzos25m8ivg.cloudfront.net/Documentos/631/18433074725/6311843307472511092023111430.jpeg")</f>
        <v>https://dpmzos25m8ivg.cloudfront.net/Documentos/631/18433074725/6311843307472511092023111430.jpeg</v>
      </c>
      <c r="F6031" s="5" t="str">
        <f>HYPERLINK("https://dpmzos25m8ivg.cloudfront.net/Documentos/631/18433074725/6311843307472511092023111447.jpeg","https://dpmzos25m8ivg.cloudfront.net/Documentos/631/18433074725/6311843307472511092023111447.jpeg")</f>
        <v>https://dpmzos25m8ivg.cloudfront.net/Documentos/631/18433074725/6311843307472511092023111447.jpeg</v>
      </c>
      <c r="G6031" s="5" t="str">
        <f>HYPERLINK("https://dpmzos25m8ivg.cloudfront.net/Documentos/631/18433074725/6311843307472511092023111459.jpeg","https://dpmzos25m8ivg.cloudfront.net/Documentos/631/18433074725/6311843307472511092023111459.jpeg")</f>
        <v>https://dpmzos25m8ivg.cloudfront.net/Documentos/631/18433074725/6311843307472511092023111459.jpeg</v>
      </c>
      <c r="H6031" s="4" t="s">
        <v>14602</v>
      </c>
    </row>
    <row r="6032" spans="1:8" x14ac:dyDescent="0.25">
      <c r="A6032" s="2" t="s">
        <v>6060</v>
      </c>
      <c r="B6032" s="16" t="s">
        <v>2358</v>
      </c>
      <c r="C6032" s="3"/>
      <c r="D6032" s="3"/>
      <c r="E6032" s="5" t="str">
        <f>HYPERLINK("https://dpmzos25m8ivg.cloudfront.net/Documentos/631/18463543740/6311846354374010092023231750.pdf","https://dpmzos25m8ivg.cloudfront.net/Documentos/631/18463543740/6311846354374010092023231750.pdf")</f>
        <v>https://dpmzos25m8ivg.cloudfront.net/Documentos/631/18463543740/6311846354374010092023231750.pdf</v>
      </c>
      <c r="F6032" s="5" t="str">
        <f>HYPERLINK("https://dpmzos25m8ivg.cloudfront.net/Documentos/631/18463543740/6311846354374010092023231805.pdf","https://dpmzos25m8ivg.cloudfront.net/Documentos/631/18463543740/6311846354374010092023231805.pdf")</f>
        <v>https://dpmzos25m8ivg.cloudfront.net/Documentos/631/18463543740/6311846354374010092023231805.pdf</v>
      </c>
      <c r="G6032" s="5" t="str">
        <f>HYPERLINK("https://dpmzos25m8ivg.cloudfront.net/Documentos/631/18463543740/6311846354374010092023231821.pdf","https://dpmzos25m8ivg.cloudfront.net/Documentos/631/18463543740/6311846354374010092023231821.pdf")</f>
        <v>https://dpmzos25m8ivg.cloudfront.net/Documentos/631/18463543740/6311846354374010092023231821.pdf</v>
      </c>
      <c r="H6032" s="5" t="s">
        <v>14603</v>
      </c>
    </row>
    <row r="6033" spans="1:8" x14ac:dyDescent="0.25">
      <c r="A6033" s="2" t="s">
        <v>6061</v>
      </c>
      <c r="B6033" s="19" t="s">
        <v>3385</v>
      </c>
      <c r="C6033" s="3"/>
      <c r="D6033" s="3"/>
      <c r="E6033" s="5" t="str">
        <f>HYPERLINK("https://dpmzos25m8ivg.cloudfront.net/Documentos/631/18466594850/6311846659485011092023104730.jpg","https://dpmzos25m8ivg.cloudfront.net/Documentos/631/18466594850/6311846659485011092023104730.jpg")</f>
        <v>https://dpmzos25m8ivg.cloudfront.net/Documentos/631/18466594850/6311846659485011092023104730.jpg</v>
      </c>
      <c r="F6033" s="5" t="str">
        <f>HYPERLINK("https://dpmzos25m8ivg.cloudfront.net/Documentos/631/18466594850/6311846659485011092023104755.jpg","https://dpmzos25m8ivg.cloudfront.net/Documentos/631/18466594850/6311846659485011092023104755.jpg")</f>
        <v>https://dpmzos25m8ivg.cloudfront.net/Documentos/631/18466594850/6311846659485011092023104755.jpg</v>
      </c>
      <c r="G6033" s="5" t="str">
        <f>HYPERLINK("https://dpmzos25m8ivg.cloudfront.net/Documentos/631/18466594850/6311846659485011092023104822.jpg","https://dpmzos25m8ivg.cloudfront.net/Documentos/631/18466594850/6311846659485011092023104822.jpg")</f>
        <v>https://dpmzos25m8ivg.cloudfront.net/Documentos/631/18466594850/6311846659485011092023104822.jpg</v>
      </c>
      <c r="H6033" s="4" t="s">
        <v>14604</v>
      </c>
    </row>
    <row r="6034" spans="1:8" x14ac:dyDescent="0.25">
      <c r="A6034" s="2" t="s">
        <v>6062</v>
      </c>
      <c r="B6034" s="3" t="s">
        <v>8</v>
      </c>
      <c r="C6034" s="3"/>
      <c r="D6034" s="3"/>
      <c r="E6034" s="5" t="str">
        <f>HYPERLINK("https://dpmzos25m8ivg.cloudfront.net/Documentos/631/18479026774/6311847902677406092023084817.pdf","https://dpmzos25m8ivg.cloudfront.net/Documentos/631/18479026774/6311847902677406092023084817.pdf")</f>
        <v>https://dpmzos25m8ivg.cloudfront.net/Documentos/631/18479026774/6311847902677406092023084817.pdf</v>
      </c>
      <c r="F6034" s="5" t="str">
        <f>HYPERLINK("https://dpmzos25m8ivg.cloudfront.net/Documentos/631/18479026774/6311847902677406092023084825.pdf","https://dpmzos25m8ivg.cloudfront.net/Documentos/631/18479026774/6311847902677406092023084825.pdf")</f>
        <v>https://dpmzos25m8ivg.cloudfront.net/Documentos/631/18479026774/6311847902677406092023084825.pdf</v>
      </c>
      <c r="G6034" s="5" t="str">
        <f>HYPERLINK("https://dpmzos25m8ivg.cloudfront.net/Documentos/631/18479026774/6311847902677406092023084834.pdf","https://dpmzos25m8ivg.cloudfront.net/Documentos/631/18479026774/6311847902677406092023084834.pdf")</f>
        <v>https://dpmzos25m8ivg.cloudfront.net/Documentos/631/18479026774/6311847902677406092023084834.pdf</v>
      </c>
      <c r="H6034" s="4" t="s">
        <v>14605</v>
      </c>
    </row>
    <row r="6035" spans="1:8" x14ac:dyDescent="0.25">
      <c r="A6035" s="2" t="s">
        <v>6063</v>
      </c>
      <c r="B6035" s="3"/>
      <c r="C6035" s="3"/>
      <c r="D6035" s="3"/>
      <c r="E6035" s="5" t="str">
        <f>HYPERLINK("https://dpmzos25m8ivg.cloudfront.net/Documentos/631/18489426805/6311848942680505092023154426.pdf","https://dpmzos25m8ivg.cloudfront.net/Documentos/631/18489426805/6311848942680505092023154426.pdf")</f>
        <v>https://dpmzos25m8ivg.cloudfront.net/Documentos/631/18489426805/6311848942680505092023154426.pdf</v>
      </c>
      <c r="F6035" s="5" t="str">
        <f>HYPERLINK("https://dpmzos25m8ivg.cloudfront.net/Documentos/631/18489426805/6311848942680505092023154440.pdf","https://dpmzos25m8ivg.cloudfront.net/Documentos/631/18489426805/6311848942680505092023154440.pdf")</f>
        <v>https://dpmzos25m8ivg.cloudfront.net/Documentos/631/18489426805/6311848942680505092023154440.pdf</v>
      </c>
      <c r="G6035" s="5" t="str">
        <f>HYPERLINK("https://dpmzos25m8ivg.cloudfront.net/Documentos/631/18489426805/6311848942680505092023154451.pdf","https://dpmzos25m8ivg.cloudfront.net/Documentos/631/18489426805/6311848942680505092023154451.pdf")</f>
        <v>https://dpmzos25m8ivg.cloudfront.net/Documentos/631/18489426805/6311848942680505092023154451.pdf</v>
      </c>
      <c r="H6035" s="4" t="s">
        <v>14606</v>
      </c>
    </row>
    <row r="6036" spans="1:8" x14ac:dyDescent="0.25">
      <c r="A6036" s="2" t="s">
        <v>6064</v>
      </c>
      <c r="B6036" s="3"/>
      <c r="C6036" s="3"/>
      <c r="D6036" s="3"/>
      <c r="E6036" s="5" t="str">
        <f>HYPERLINK("https://dpmzos25m8ivg.cloudfront.net/Documentos/631/18531825830/6311853182583007092023092122.jpg","https://dpmzos25m8ivg.cloudfront.net/Documentos/631/18531825830/6311853182583007092023092122.jpg")</f>
        <v>https://dpmzos25m8ivg.cloudfront.net/Documentos/631/18531825830/6311853182583007092023092122.jpg</v>
      </c>
      <c r="F6036" s="5" t="str">
        <f>HYPERLINK("https://dpmzos25m8ivg.cloudfront.net/Documentos/631/18531825830/6311853182583009092023001845.jpg","https://dpmzos25m8ivg.cloudfront.net/Documentos/631/18531825830/6311853182583009092023001845.jpg")</f>
        <v>https://dpmzos25m8ivg.cloudfront.net/Documentos/631/18531825830/6311853182583009092023001845.jpg</v>
      </c>
      <c r="G6036" s="5" t="str">
        <f>HYPERLINK("https://dpmzos25m8ivg.cloudfront.net/Documentos/631/18531825830/6311853182583007092023092201.jpg","https://dpmzos25m8ivg.cloudfront.net/Documentos/631/18531825830/6311853182583007092023092201.jpg")</f>
        <v>https://dpmzos25m8ivg.cloudfront.net/Documentos/631/18531825830/6311853182583007092023092201.jpg</v>
      </c>
      <c r="H6036" s="4" t="s">
        <v>14607</v>
      </c>
    </row>
    <row r="6037" spans="1:8" x14ac:dyDescent="0.25">
      <c r="A6037" s="2" t="s">
        <v>6065</v>
      </c>
      <c r="B6037" s="19" t="s">
        <v>3385</v>
      </c>
      <c r="C6037" s="3"/>
      <c r="D6037" s="3"/>
      <c r="E6037" s="5" t="str">
        <f>HYPERLINK("https://dpmzos25m8ivg.cloudfront.net/Documentos/631/18554222717/6311855422271714092023164913.pdf","https://dpmzos25m8ivg.cloudfront.net/Documentos/631/18554222717/6311855422271714092023164913.pdf")</f>
        <v>https://dpmzos25m8ivg.cloudfront.net/Documentos/631/18554222717/6311855422271714092023164913.pdf</v>
      </c>
      <c r="F6037" s="5" t="str">
        <f>HYPERLINK("https://dpmzos25m8ivg.cloudfront.net/Documentos/631/18554222717/6311855422271714092023165143.pdf","https://dpmzos25m8ivg.cloudfront.net/Documentos/631/18554222717/6311855422271714092023165143.pdf")</f>
        <v>https://dpmzos25m8ivg.cloudfront.net/Documentos/631/18554222717/6311855422271714092023165143.pdf</v>
      </c>
      <c r="G6037" s="5" t="str">
        <f>HYPERLINK("https://dpmzos25m8ivg.cloudfront.net/Documentos/631/18554222717/6311855422271714092023165212.pdf","https://dpmzos25m8ivg.cloudfront.net/Documentos/631/18554222717/6311855422271714092023165212.pdf")</f>
        <v>https://dpmzos25m8ivg.cloudfront.net/Documentos/631/18554222717/6311855422271714092023165212.pdf</v>
      </c>
      <c r="H6037" s="4" t="s">
        <v>14608</v>
      </c>
    </row>
    <row r="6038" spans="1:8" x14ac:dyDescent="0.25">
      <c r="A6038" s="2" t="s">
        <v>6066</v>
      </c>
      <c r="B6038" s="3"/>
      <c r="C6038" s="3"/>
      <c r="D6038" s="3"/>
      <c r="E6038" s="5" t="str">
        <f>HYPERLINK("https://dpmzos25m8ivg.cloudfront.net/Documentos/631/18579940788/6311857994078811092023110851.pdf","https://dpmzos25m8ivg.cloudfront.net/Documentos/631/18579940788/6311857994078811092023110851.pdf")</f>
        <v>https://dpmzos25m8ivg.cloudfront.net/Documentos/631/18579940788/6311857994078811092023110851.pdf</v>
      </c>
      <c r="F6038" s="5" t="str">
        <f>HYPERLINK("https://dpmzos25m8ivg.cloudfront.net/Documentos/631/18579940788/6311857994078811092023110911.pdf","https://dpmzos25m8ivg.cloudfront.net/Documentos/631/18579940788/6311857994078811092023110911.pdf")</f>
        <v>https://dpmzos25m8ivg.cloudfront.net/Documentos/631/18579940788/6311857994078811092023110911.pdf</v>
      </c>
      <c r="G6038" s="5" t="str">
        <f>HYPERLINK("https://dpmzos25m8ivg.cloudfront.net/Documentos/631/18579940788/6311857994078811092023110920.pdf","https://dpmzos25m8ivg.cloudfront.net/Documentos/631/18579940788/6311857994078811092023110920.pdf")</f>
        <v>https://dpmzos25m8ivg.cloudfront.net/Documentos/631/18579940788/6311857994078811092023110920.pdf</v>
      </c>
      <c r="H6038" s="4" t="s">
        <v>14609</v>
      </c>
    </row>
    <row r="6039" spans="1:8" x14ac:dyDescent="0.25">
      <c r="A6039" s="2" t="s">
        <v>6067</v>
      </c>
      <c r="B6039" s="3"/>
      <c r="C6039" s="3"/>
      <c r="D6039" s="3"/>
      <c r="E6039" s="5" t="str">
        <f>HYPERLINK("https://dpmzos25m8ivg.cloudfront.net/Documentos/631/18628811702/6311862881170206092023162232.pdf","https://dpmzos25m8ivg.cloudfront.net/Documentos/631/18628811702/6311862881170206092023162232.pdf")</f>
        <v>https://dpmzos25m8ivg.cloudfront.net/Documentos/631/18628811702/6311862881170206092023162232.pdf</v>
      </c>
      <c r="F6039" s="5" t="str">
        <f>HYPERLINK("https://dpmzos25m8ivg.cloudfront.net/Documentos/631/18628811702/6311862881170206092023162202.pdf","https://dpmzos25m8ivg.cloudfront.net/Documentos/631/18628811702/6311862881170206092023162202.pdf")</f>
        <v>https://dpmzos25m8ivg.cloudfront.net/Documentos/631/18628811702/6311862881170206092023162202.pdf</v>
      </c>
      <c r="G6039" s="5" t="str">
        <f>HYPERLINK("https://dpmzos25m8ivg.cloudfront.net/Documentos/631/18628811702/6311862881170206092023162100.pdf","https://dpmzos25m8ivg.cloudfront.net/Documentos/631/18628811702/6311862881170206092023162100.pdf")</f>
        <v>https://dpmzos25m8ivg.cloudfront.net/Documentos/631/18628811702/6311862881170206092023162100.pdf</v>
      </c>
      <c r="H6039" s="4" t="s">
        <v>14610</v>
      </c>
    </row>
    <row r="6040" spans="1:8" x14ac:dyDescent="0.25">
      <c r="A6040" s="2" t="s">
        <v>6068</v>
      </c>
      <c r="B6040" s="3"/>
      <c r="C6040" s="3"/>
      <c r="D6040" s="3"/>
      <c r="E6040" s="5" t="str">
        <f>HYPERLINK("https://dpmzos25m8ivg.cloudfront.net/Documentos/631/18654846798/6311865484679811092023161733.pdf","https://dpmzos25m8ivg.cloudfront.net/Documentos/631/18654846798/6311865484679811092023161733.pdf")</f>
        <v>https://dpmzos25m8ivg.cloudfront.net/Documentos/631/18654846798/6311865484679811092023161733.pdf</v>
      </c>
      <c r="F6040" s="5" t="str">
        <f>HYPERLINK("https://dpmzos25m8ivg.cloudfront.net/Documentos/631/18654846798/6311865484679811092023161748.pdf","https://dpmzos25m8ivg.cloudfront.net/Documentos/631/18654846798/6311865484679811092023161748.pdf")</f>
        <v>https://dpmzos25m8ivg.cloudfront.net/Documentos/631/18654846798/6311865484679811092023161748.pdf</v>
      </c>
      <c r="G6040" s="5" t="str">
        <f>HYPERLINK("https://dpmzos25m8ivg.cloudfront.net/Documentos/631/18654846798/6311865484679811092023161804.pdf","https://dpmzos25m8ivg.cloudfront.net/Documentos/631/18654846798/6311865484679811092023161804.pdf")</f>
        <v>https://dpmzos25m8ivg.cloudfront.net/Documentos/631/18654846798/6311865484679811092023161804.pdf</v>
      </c>
      <c r="H6040" s="4" t="s">
        <v>14611</v>
      </c>
    </row>
    <row r="6041" spans="1:8" x14ac:dyDescent="0.25">
      <c r="A6041" s="11" t="s">
        <v>6069</v>
      </c>
      <c r="B6041" s="19" t="s">
        <v>3385</v>
      </c>
      <c r="C6041" s="3"/>
      <c r="D6041" s="3"/>
      <c r="E6041" s="5" t="str">
        <f>HYPERLINK("https://dpmzos25m8ivg.cloudfront.net/Documentos/631/18667812781/6311866781278108092023114059.pdf","https://dpmzos25m8ivg.cloudfront.net/Documentos/631/18667812781/6311866781278108092023114059.pdf")</f>
        <v>https://dpmzos25m8ivg.cloudfront.net/Documentos/631/18667812781/6311866781278108092023114059.pdf</v>
      </c>
      <c r="F6041" s="5" t="str">
        <f>HYPERLINK("https://dpmzos25m8ivg.cloudfront.net/Documentos/631/18667812781/6311866781278108092023114133.pdf","https://dpmzos25m8ivg.cloudfront.net/Documentos/631/18667812781/6311866781278108092023114133.pdf")</f>
        <v>https://dpmzos25m8ivg.cloudfront.net/Documentos/631/18667812781/6311866781278108092023114133.pdf</v>
      </c>
      <c r="G6041" s="5" t="str">
        <f>HYPERLINK("https://dpmzos25m8ivg.cloudfront.net/Documentos/631/18667812781/6311866781278108092023114227.pdf","https://dpmzos25m8ivg.cloudfront.net/Documentos/631/18667812781/6311866781278108092023114227.pdf")</f>
        <v>https://dpmzos25m8ivg.cloudfront.net/Documentos/631/18667812781/6311866781278108092023114227.pdf</v>
      </c>
      <c r="H6041" s="4" t="s">
        <v>14612</v>
      </c>
    </row>
    <row r="6042" spans="1:8" x14ac:dyDescent="0.25">
      <c r="A6042" s="2" t="s">
        <v>6070</v>
      </c>
      <c r="B6042" s="16" t="s">
        <v>2358</v>
      </c>
      <c r="C6042" s="3"/>
      <c r="D6042" s="3"/>
      <c r="E6042" s="5" t="str">
        <f>HYPERLINK("https://dpmzos25m8ivg.cloudfront.net/Documentos/631/18729301823/6311872930182307092023135601.pdf","https://dpmzos25m8ivg.cloudfront.net/Documentos/631/18729301823/6311872930182307092023135601.pdf")</f>
        <v>https://dpmzos25m8ivg.cloudfront.net/Documentos/631/18729301823/6311872930182307092023135601.pdf</v>
      </c>
      <c r="F6042" s="5" t="str">
        <f>HYPERLINK("https://dpmzos25m8ivg.cloudfront.net/Documentos/631/18729301823/6311872930182307092023135612.pdf","https://dpmzos25m8ivg.cloudfront.net/Documentos/631/18729301823/6311872930182307092023135612.pdf")</f>
        <v>https://dpmzos25m8ivg.cloudfront.net/Documentos/631/18729301823/6311872930182307092023135612.pdf</v>
      </c>
      <c r="G6042" s="5" t="str">
        <f>HYPERLINK("https://dpmzos25m8ivg.cloudfront.net/Documentos/631/18729301823/6311872930182307092023135625.pdf","https://dpmzos25m8ivg.cloudfront.net/Documentos/631/18729301823/6311872930182307092023135625.pdf")</f>
        <v>https://dpmzos25m8ivg.cloudfront.net/Documentos/631/18729301823/6311872930182307092023135625.pdf</v>
      </c>
      <c r="H6042" s="5" t="s">
        <v>14613</v>
      </c>
    </row>
    <row r="6043" spans="1:8" x14ac:dyDescent="0.25">
      <c r="A6043" s="2" t="s">
        <v>6071</v>
      </c>
      <c r="B6043" s="16" t="s">
        <v>2358</v>
      </c>
      <c r="C6043" s="3"/>
      <c r="D6043" s="3"/>
      <c r="E6043" s="5" t="str">
        <f>HYPERLINK("https://dpmzos25m8ivg.cloudfront.net/Documentos/631/18759093897/6311875909389711092023001943.jpeg","https://dpmzos25m8ivg.cloudfront.net/Documentos/631/18759093897/6311875909389711092023001943.jpeg")</f>
        <v>https://dpmzos25m8ivg.cloudfront.net/Documentos/631/18759093897/6311875909389711092023001943.jpeg</v>
      </c>
      <c r="F6043" s="5" t="str">
        <f>HYPERLINK("https://dpmzos25m8ivg.cloudfront.net/Documentos/631/18759093897/6311875909389711092023002043.jpeg","https://dpmzos25m8ivg.cloudfront.net/Documentos/631/18759093897/6311875909389711092023002043.jpeg")</f>
        <v>https://dpmzos25m8ivg.cloudfront.net/Documentos/631/18759093897/6311875909389711092023002043.jpeg</v>
      </c>
      <c r="G6043" s="5" t="str">
        <f>HYPERLINK("https://dpmzos25m8ivg.cloudfront.net/Documentos/631/18759093897/6311875909389711092023002108.jpeg","https://dpmzos25m8ivg.cloudfront.net/Documentos/631/18759093897/6311875909389711092023002108.jpeg")</f>
        <v>https://dpmzos25m8ivg.cloudfront.net/Documentos/631/18759093897/6311875909389711092023002108.jpeg</v>
      </c>
      <c r="H6043" s="5" t="s">
        <v>14614</v>
      </c>
    </row>
    <row r="6044" spans="1:8" x14ac:dyDescent="0.25">
      <c r="A6044" s="2" t="s">
        <v>6072</v>
      </c>
      <c r="B6044" s="3"/>
      <c r="C6044" s="3"/>
      <c r="D6044" s="3"/>
      <c r="E6044" s="5" t="str">
        <f>HYPERLINK("https://dpmzos25m8ivg.cloudfront.net/Documentos/631/18766915732/6311876691573211092023155731.pdf","https://dpmzos25m8ivg.cloudfront.net/Documentos/631/18766915732/6311876691573211092023155731.pdf")</f>
        <v>https://dpmzos25m8ivg.cloudfront.net/Documentos/631/18766915732/6311876691573211092023155731.pdf</v>
      </c>
      <c r="F6044" s="5" t="str">
        <f>HYPERLINK("https://dpmzos25m8ivg.cloudfront.net/Documentos/631/18766915732/6311876691573211092023155809.pdf","https://dpmzos25m8ivg.cloudfront.net/Documentos/631/18766915732/6311876691573211092023155809.pdf")</f>
        <v>https://dpmzos25m8ivg.cloudfront.net/Documentos/631/18766915732/6311876691573211092023155809.pdf</v>
      </c>
      <c r="G6044" s="5" t="str">
        <f>HYPERLINK("https://dpmzos25m8ivg.cloudfront.net/Documentos/631/18766915732/6311876691573211092023155818.pdf","https://dpmzos25m8ivg.cloudfront.net/Documentos/631/18766915732/6311876691573211092023155818.pdf")</f>
        <v>https://dpmzos25m8ivg.cloudfront.net/Documentos/631/18766915732/6311876691573211092023155818.pdf</v>
      </c>
      <c r="H6044" s="4" t="s">
        <v>14615</v>
      </c>
    </row>
    <row r="6045" spans="1:8" x14ac:dyDescent="0.25">
      <c r="A6045" s="2" t="s">
        <v>6073</v>
      </c>
      <c r="B6045" s="3"/>
      <c r="C6045" s="3"/>
      <c r="D6045" s="3"/>
      <c r="E6045" s="5" t="str">
        <f>HYPERLINK("https://dpmzos25m8ivg.cloudfront.net/Documentos/631/18775335727/6311877533572713092023095528.pdf","https://dpmzos25m8ivg.cloudfront.net/Documentos/631/18775335727/6311877533572713092023095528.pdf")</f>
        <v>https://dpmzos25m8ivg.cloudfront.net/Documentos/631/18775335727/6311877533572713092023095528.pdf</v>
      </c>
      <c r="F6045" s="5" t="str">
        <f>HYPERLINK("https://dpmzos25m8ivg.cloudfront.net/Documentos/631/18775335727/6311877533572713092023095546.pdf","https://dpmzos25m8ivg.cloudfront.net/Documentos/631/18775335727/6311877533572713092023095546.pdf")</f>
        <v>https://dpmzos25m8ivg.cloudfront.net/Documentos/631/18775335727/6311877533572713092023095546.pdf</v>
      </c>
      <c r="G6045" s="5" t="str">
        <f>HYPERLINK("https://dpmzos25m8ivg.cloudfront.net/Documentos/631/18775335727/6311877533572713092023095602.pdf","https://dpmzos25m8ivg.cloudfront.net/Documentos/631/18775335727/6311877533572713092023095602.pdf")</f>
        <v>https://dpmzos25m8ivg.cloudfront.net/Documentos/631/18775335727/6311877533572713092023095602.pdf</v>
      </c>
      <c r="H6045" s="4" t="s">
        <v>14616</v>
      </c>
    </row>
    <row r="6046" spans="1:8" x14ac:dyDescent="0.25">
      <c r="A6046" s="2" t="s">
        <v>6074</v>
      </c>
      <c r="B6046" s="3"/>
      <c r="C6046" s="3"/>
      <c r="D6046" s="3"/>
      <c r="E6046" s="5" t="str">
        <f>HYPERLINK("https://dpmzos25m8ivg.cloudfront.net/Documentos/631/18884343763/6311888434376311092023141104.pdf","https://dpmzos25m8ivg.cloudfront.net/Documentos/631/18884343763/6311888434376311092023141104.pdf")</f>
        <v>https://dpmzos25m8ivg.cloudfront.net/Documentos/631/18884343763/6311888434376311092023141104.pdf</v>
      </c>
      <c r="F6046" s="5" t="str">
        <f>HYPERLINK("https://dpmzos25m8ivg.cloudfront.net/Documentos/631/18884343763/6311888434376311092023141111.pdf","https://dpmzos25m8ivg.cloudfront.net/Documentos/631/18884343763/6311888434376311092023141111.pdf")</f>
        <v>https://dpmzos25m8ivg.cloudfront.net/Documentos/631/18884343763/6311888434376311092023141111.pdf</v>
      </c>
      <c r="G6046" s="5" t="str">
        <f>HYPERLINK("https://dpmzos25m8ivg.cloudfront.net/Documentos/631/18884343763/6311888434376311092023141119.pdf","https://dpmzos25m8ivg.cloudfront.net/Documentos/631/18884343763/6311888434376311092023141119.pdf")</f>
        <v>https://dpmzos25m8ivg.cloudfront.net/Documentos/631/18884343763/6311888434376311092023141119.pdf</v>
      </c>
      <c r="H6046" s="4" t="s">
        <v>14617</v>
      </c>
    </row>
    <row r="6047" spans="1:8" x14ac:dyDescent="0.25">
      <c r="A6047" s="2" t="s">
        <v>6075</v>
      </c>
      <c r="B6047" s="3"/>
      <c r="C6047" s="3"/>
      <c r="D6047" s="3"/>
      <c r="E6047" s="5" t="str">
        <f>HYPERLINK("https://dpmzos25m8ivg.cloudfront.net/Documentos/631/18965844894/6311896584489411092023163212.pdf","https://dpmzos25m8ivg.cloudfront.net/Documentos/631/18965844894/6311896584489411092023163212.pdf")</f>
        <v>https://dpmzos25m8ivg.cloudfront.net/Documentos/631/18965844894/6311896584489411092023163212.pdf</v>
      </c>
      <c r="F6047" s="5" t="str">
        <f>HYPERLINK("https://dpmzos25m8ivg.cloudfront.net/Documentos/631/18965844894/6311896584489411092023163334.pdf","https://dpmzos25m8ivg.cloudfront.net/Documentos/631/18965844894/6311896584489411092023163334.pdf")</f>
        <v>https://dpmzos25m8ivg.cloudfront.net/Documentos/631/18965844894/6311896584489411092023163334.pdf</v>
      </c>
      <c r="G6047" s="5" t="str">
        <f>HYPERLINK("https://dpmzos25m8ivg.cloudfront.net/Documentos/631/18965844894/6311896584489411092023163526.pdf","https://dpmzos25m8ivg.cloudfront.net/Documentos/631/18965844894/6311896584489411092023163526.pdf")</f>
        <v>https://dpmzos25m8ivg.cloudfront.net/Documentos/631/18965844894/6311896584489411092023163526.pdf</v>
      </c>
      <c r="H6047" s="4" t="s">
        <v>14618</v>
      </c>
    </row>
    <row r="6048" spans="1:8" x14ac:dyDescent="0.25">
      <c r="A6048" s="2" t="s">
        <v>6076</v>
      </c>
      <c r="B6048" s="3"/>
      <c r="C6048" s="3"/>
      <c r="D6048" s="3"/>
      <c r="E6048" s="5" t="str">
        <f>HYPERLINK("https://dpmzos25m8ivg.cloudfront.net/Documentos/631/18975069885/6311897506988505092023174116.jpg","https://dpmzos25m8ivg.cloudfront.net/Documentos/631/18975069885/6311897506988505092023174116.jpg")</f>
        <v>https://dpmzos25m8ivg.cloudfront.net/Documentos/631/18975069885/6311897506988505092023174116.jpg</v>
      </c>
      <c r="F6048" s="5" t="str">
        <f>HYPERLINK("https://dpmzos25m8ivg.cloudfront.net/Documentos/631/18975069885/6311897506988505092023174129.jpg","https://dpmzos25m8ivg.cloudfront.net/Documentos/631/18975069885/6311897506988505092023174129.jpg")</f>
        <v>https://dpmzos25m8ivg.cloudfront.net/Documentos/631/18975069885/6311897506988505092023174129.jpg</v>
      </c>
      <c r="G6048" s="5" t="str">
        <f>HYPERLINK("https://dpmzos25m8ivg.cloudfront.net/Documentos/631/18975069885/6311897506988505092023174140.jpg","https://dpmzos25m8ivg.cloudfront.net/Documentos/631/18975069885/6311897506988505092023174140.jpg")</f>
        <v>https://dpmzos25m8ivg.cloudfront.net/Documentos/631/18975069885/6311897506988505092023174140.jpg</v>
      </c>
      <c r="H6048" s="4" t="s">
        <v>14619</v>
      </c>
    </row>
    <row r="6049" spans="1:8" x14ac:dyDescent="0.25">
      <c r="A6049" s="2" t="s">
        <v>6077</v>
      </c>
      <c r="B6049" s="3"/>
      <c r="C6049" s="3"/>
      <c r="D6049" s="3"/>
      <c r="E6049" s="5" t="str">
        <f>HYPERLINK("https://dpmzos25m8ivg.cloudfront.net/Documentos/631/18992246706/6311899224670606092023172657.pdf","https://dpmzos25m8ivg.cloudfront.net/Documentos/631/18992246706/6311899224670606092023172657.pdf")</f>
        <v>https://dpmzos25m8ivg.cloudfront.net/Documentos/631/18992246706/6311899224670606092023172657.pdf</v>
      </c>
      <c r="F6049" s="5" t="str">
        <f>HYPERLINK("https://dpmzos25m8ivg.cloudfront.net/Documentos/631/18992246706/6311899224670606092023172710.pdf","https://dpmzos25m8ivg.cloudfront.net/Documentos/631/18992246706/6311899224670606092023172710.pdf")</f>
        <v>https://dpmzos25m8ivg.cloudfront.net/Documentos/631/18992246706/6311899224670606092023172710.pdf</v>
      </c>
      <c r="G6049" s="5" t="str">
        <f>HYPERLINK("https://dpmzos25m8ivg.cloudfront.net/Documentos/631/18992246706/6311899224670606092023172732.pdf","https://dpmzos25m8ivg.cloudfront.net/Documentos/631/18992246706/6311899224670606092023172732.pdf")</f>
        <v>https://dpmzos25m8ivg.cloudfront.net/Documentos/631/18992246706/6311899224670606092023172732.pdf</v>
      </c>
      <c r="H6049" s="4" t="s">
        <v>14620</v>
      </c>
    </row>
    <row r="6050" spans="1:8" x14ac:dyDescent="0.25">
      <c r="A6050" s="2" t="s">
        <v>6078</v>
      </c>
      <c r="B6050" s="3"/>
      <c r="C6050" s="3"/>
      <c r="D6050" s="3"/>
      <c r="E6050" s="5" t="str">
        <f>HYPERLINK("https://dpmzos25m8ivg.cloudfront.net/Documentos/631/19065062726/6311906506272611092023162659.pdf","https://dpmzos25m8ivg.cloudfront.net/Documentos/631/19065062726/6311906506272611092023162659.pdf")</f>
        <v>https://dpmzos25m8ivg.cloudfront.net/Documentos/631/19065062726/6311906506272611092023162659.pdf</v>
      </c>
      <c r="F6050" s="5" t="str">
        <f>HYPERLINK("https://dpmzos25m8ivg.cloudfront.net/Documentos/631/19065062726/6311906506272611092023162708.pdf","https://dpmzos25m8ivg.cloudfront.net/Documentos/631/19065062726/6311906506272611092023162708.pdf")</f>
        <v>https://dpmzos25m8ivg.cloudfront.net/Documentos/631/19065062726/6311906506272611092023162708.pdf</v>
      </c>
      <c r="G6050" s="5" t="str">
        <f>HYPERLINK("https://dpmzos25m8ivg.cloudfront.net/Documentos/631/19065062726/6311906506272611092023162716.pdf","https://dpmzos25m8ivg.cloudfront.net/Documentos/631/19065062726/6311906506272611092023162716.pdf")</f>
        <v>https://dpmzos25m8ivg.cloudfront.net/Documentos/631/19065062726/6311906506272611092023162716.pdf</v>
      </c>
      <c r="H6050" s="4" t="s">
        <v>14621</v>
      </c>
    </row>
    <row r="6051" spans="1:8" x14ac:dyDescent="0.25">
      <c r="A6051" s="2" t="s">
        <v>6079</v>
      </c>
      <c r="B6051" s="3"/>
      <c r="C6051" s="3"/>
      <c r="D6051" s="3"/>
      <c r="E6051" s="5" t="str">
        <f>HYPERLINK("https://dpmzos25m8ivg.cloudfront.net/Documentos/631/19071138860/6311907113886011092023153014.pdf","https://dpmzos25m8ivg.cloudfront.net/Documentos/631/19071138860/6311907113886011092023153014.pdf")</f>
        <v>https://dpmzos25m8ivg.cloudfront.net/Documentos/631/19071138860/6311907113886011092023153014.pdf</v>
      </c>
      <c r="F6051" s="5" t="str">
        <f>HYPERLINK("https://dpmzos25m8ivg.cloudfront.net/Documentos/631/19071138860/6311907113886011092023153029.pdf","https://dpmzos25m8ivg.cloudfront.net/Documentos/631/19071138860/6311907113886011092023153029.pdf")</f>
        <v>https://dpmzos25m8ivg.cloudfront.net/Documentos/631/19071138860/6311907113886011092023153029.pdf</v>
      </c>
      <c r="G6051" s="5" t="str">
        <f>HYPERLINK("https://dpmzos25m8ivg.cloudfront.net/Documentos/631/19071138860/6311907113886011092023153038.pdf","https://dpmzos25m8ivg.cloudfront.net/Documentos/631/19071138860/6311907113886011092023153038.pdf")</f>
        <v>https://dpmzos25m8ivg.cloudfront.net/Documentos/631/19071138860/6311907113886011092023153038.pdf</v>
      </c>
      <c r="H6051" s="4" t="s">
        <v>14622</v>
      </c>
    </row>
    <row r="6052" spans="1:8" x14ac:dyDescent="0.25">
      <c r="A6052" s="2" t="s">
        <v>6080</v>
      </c>
      <c r="B6052" s="16" t="s">
        <v>2358</v>
      </c>
      <c r="C6052" s="3"/>
      <c r="D6052" s="3"/>
      <c r="E6052" s="5" t="str">
        <f>HYPERLINK("https://dpmzos25m8ivg.cloudfront.net/Documentos/631/19131238718/6311913123871814092023170848.pdf","https://dpmzos25m8ivg.cloudfront.net/Documentos/631/19131238718/6311913123871814092023170848.pdf")</f>
        <v>https://dpmzos25m8ivg.cloudfront.net/Documentos/631/19131238718/6311913123871814092023170848.pdf</v>
      </c>
      <c r="F6052" s="5" t="str">
        <f>HYPERLINK("https://dpmzos25m8ivg.cloudfront.net/Documentos/631/19131238718/6311913123871814092023170828.pdf","https://dpmzos25m8ivg.cloudfront.net/Documentos/631/19131238718/6311913123871814092023170828.pdf")</f>
        <v>https://dpmzos25m8ivg.cloudfront.net/Documentos/631/19131238718/6311913123871814092023170828.pdf</v>
      </c>
      <c r="G6052" s="5" t="str">
        <f>HYPERLINK("https://dpmzos25m8ivg.cloudfront.net/Documentos/631/19131238718/6311913123871814092023170821.pdf","https://dpmzos25m8ivg.cloudfront.net/Documentos/631/19131238718/6311913123871814092023170821.pdf")</f>
        <v>https://dpmzos25m8ivg.cloudfront.net/Documentos/631/19131238718/6311913123871814092023170821.pdf</v>
      </c>
      <c r="H6052" s="5" t="s">
        <v>14623</v>
      </c>
    </row>
    <row r="6053" spans="1:8" x14ac:dyDescent="0.25">
      <c r="A6053" s="2" t="s">
        <v>6081</v>
      </c>
      <c r="B6053" s="3"/>
      <c r="C6053" s="3"/>
      <c r="D6053" s="3"/>
      <c r="E6053" s="5" t="str">
        <f>HYPERLINK("https://dpmzos25m8ivg.cloudfront.net/Documentos/631/19185923737/6311918592373711092023134336.pdf","https://dpmzos25m8ivg.cloudfront.net/Documentos/631/19185923737/6311918592373711092023134336.pdf")</f>
        <v>https://dpmzos25m8ivg.cloudfront.net/Documentos/631/19185923737/6311918592373711092023134336.pdf</v>
      </c>
      <c r="F6053" s="5" t="str">
        <f>HYPERLINK("https://dpmzos25m8ivg.cloudfront.net/Documentos/631/19185923737/6311918592373711092023134348.pdf","https://dpmzos25m8ivg.cloudfront.net/Documentos/631/19185923737/6311918592373711092023134348.pdf")</f>
        <v>https://dpmzos25m8ivg.cloudfront.net/Documentos/631/19185923737/6311918592373711092023134348.pdf</v>
      </c>
      <c r="G6053" s="5" t="str">
        <f>HYPERLINK("https://dpmzos25m8ivg.cloudfront.net/Documentos/631/19185923737/6311918592373711092023134403.pdf","https://dpmzos25m8ivg.cloudfront.net/Documentos/631/19185923737/6311918592373711092023134403.pdf")</f>
        <v>https://dpmzos25m8ivg.cloudfront.net/Documentos/631/19185923737/6311918592373711092023134403.pdf</v>
      </c>
      <c r="H6053" s="4" t="s">
        <v>14624</v>
      </c>
    </row>
    <row r="6054" spans="1:8" x14ac:dyDescent="0.25">
      <c r="A6054" s="2" t="s">
        <v>6082</v>
      </c>
      <c r="B6054" s="3"/>
      <c r="C6054" s="3"/>
      <c r="D6054" s="3"/>
      <c r="E6054" s="5" t="str">
        <f>HYPERLINK("https://dpmzos25m8ivg.cloudfront.net/Documentos/631/19237980736/6311923798073610092023191303.pdf","https://dpmzos25m8ivg.cloudfront.net/Documentos/631/19237980736/6311923798073610092023191303.pdf")</f>
        <v>https://dpmzos25m8ivg.cloudfront.net/Documentos/631/19237980736/6311923798073610092023191303.pdf</v>
      </c>
      <c r="F6054" s="5" t="str">
        <f>HYPERLINK("https://dpmzos25m8ivg.cloudfront.net/Documentos/631/19237980736/6311923798073610092023191608.pdf","https://dpmzos25m8ivg.cloudfront.net/Documentos/631/19237980736/6311923798073610092023191608.pdf")</f>
        <v>https://dpmzos25m8ivg.cloudfront.net/Documentos/631/19237980736/6311923798073610092023191608.pdf</v>
      </c>
      <c r="G6054" s="5" t="str">
        <f>HYPERLINK("https://dpmzos25m8ivg.cloudfront.net/Documentos/631/19237980736/6311923798073610092023191629.pdf","https://dpmzos25m8ivg.cloudfront.net/Documentos/631/19237980736/6311923798073610092023191629.pdf")</f>
        <v>https://dpmzos25m8ivg.cloudfront.net/Documentos/631/19237980736/6311923798073610092023191629.pdf</v>
      </c>
      <c r="H6054" s="4" t="s">
        <v>14625</v>
      </c>
    </row>
    <row r="6055" spans="1:8" x14ac:dyDescent="0.25">
      <c r="A6055" s="2" t="s">
        <v>6083</v>
      </c>
      <c r="B6055" s="3"/>
      <c r="C6055" s="3"/>
      <c r="D6055" s="3"/>
      <c r="E6055" s="5" t="str">
        <f>HYPERLINK("https://dpmzos25m8ivg.cloudfront.net/Documentos/631/19246685725/6311924668572508092023154331.pdf","https://dpmzos25m8ivg.cloudfront.net/Documentos/631/19246685725/6311924668572508092023154331.pdf")</f>
        <v>https://dpmzos25m8ivg.cloudfront.net/Documentos/631/19246685725/6311924668572508092023154331.pdf</v>
      </c>
      <c r="F6055" s="5" t="str">
        <f>HYPERLINK("https://dpmzos25m8ivg.cloudfront.net/Documentos/631/19246685725/6311924668572508092023154338.pdf","https://dpmzos25m8ivg.cloudfront.net/Documentos/631/19246685725/6311924668572508092023154338.pdf")</f>
        <v>https://dpmzos25m8ivg.cloudfront.net/Documentos/631/19246685725/6311924668572508092023154338.pdf</v>
      </c>
      <c r="G6055" s="5" t="str">
        <f>HYPERLINK("https://dpmzos25m8ivg.cloudfront.net/Documentos/631/19246685725/6311924668572508092023154348.pdf","https://dpmzos25m8ivg.cloudfront.net/Documentos/631/19246685725/6311924668572508092023154348.pdf")</f>
        <v>https://dpmzos25m8ivg.cloudfront.net/Documentos/631/19246685725/6311924668572508092023154348.pdf</v>
      </c>
      <c r="H6055" s="4" t="s">
        <v>14626</v>
      </c>
    </row>
    <row r="6056" spans="1:8" x14ac:dyDescent="0.25">
      <c r="A6056" s="2" t="s">
        <v>6084</v>
      </c>
      <c r="B6056" s="3"/>
      <c r="C6056" s="3"/>
      <c r="D6056" s="3"/>
      <c r="E6056" s="5" t="str">
        <f>HYPERLINK("https://dpmzos25m8ivg.cloudfront.net/Documentos/631/19254524840/6311925452484011092023113108.pdf","https://dpmzos25m8ivg.cloudfront.net/Documentos/631/19254524840/6311925452484011092023113108.pdf")</f>
        <v>https://dpmzos25m8ivg.cloudfront.net/Documentos/631/19254524840/6311925452484011092023113108.pdf</v>
      </c>
      <c r="F6056" s="5" t="str">
        <f>HYPERLINK("https://dpmzos25m8ivg.cloudfront.net/Documentos/631/19254524840/6311925452484011092023113208.pdf","https://dpmzos25m8ivg.cloudfront.net/Documentos/631/19254524840/6311925452484011092023113208.pdf")</f>
        <v>https://dpmzos25m8ivg.cloudfront.net/Documentos/631/19254524840/6311925452484011092023113208.pdf</v>
      </c>
      <c r="G6056" s="5" t="str">
        <f>HYPERLINK("https://dpmzos25m8ivg.cloudfront.net/Documentos/631/19254524840/6311925452484011092023113225.pdf","https://dpmzos25m8ivg.cloudfront.net/Documentos/631/19254524840/6311925452484011092023113225.pdf")</f>
        <v>https://dpmzos25m8ivg.cloudfront.net/Documentos/631/19254524840/6311925452484011092023113225.pdf</v>
      </c>
      <c r="H6056" s="4" t="s">
        <v>14627</v>
      </c>
    </row>
    <row r="6057" spans="1:8" x14ac:dyDescent="0.25">
      <c r="A6057" s="2" t="s">
        <v>6085</v>
      </c>
      <c r="B6057" s="3"/>
      <c r="C6057" s="3"/>
      <c r="D6057" s="3"/>
      <c r="E6057" s="5" t="str">
        <f>HYPERLINK("https://dpmzos25m8ivg.cloudfront.net/Documentos/631/19272911869/6311927291186909092023193220.pdf","https://dpmzos25m8ivg.cloudfront.net/Documentos/631/19272911869/6311927291186909092023193220.pdf")</f>
        <v>https://dpmzos25m8ivg.cloudfront.net/Documentos/631/19272911869/6311927291186909092023193220.pdf</v>
      </c>
      <c r="F6057" s="5" t="str">
        <f>HYPERLINK("https://dpmzos25m8ivg.cloudfront.net/Documentos/631/19272911869/6311927291186909092023193300.pdf","https://dpmzos25m8ivg.cloudfront.net/Documentos/631/19272911869/6311927291186909092023193300.pdf")</f>
        <v>https://dpmzos25m8ivg.cloudfront.net/Documentos/631/19272911869/6311927291186909092023193300.pdf</v>
      </c>
      <c r="G6057" s="5" t="str">
        <f>HYPERLINK("https://dpmzos25m8ivg.cloudfront.net/Documentos/631/19272911869/6311927291186909092023193312.pdf","https://dpmzos25m8ivg.cloudfront.net/Documentos/631/19272911869/6311927291186909092023193312.pdf")</f>
        <v>https://dpmzos25m8ivg.cloudfront.net/Documentos/631/19272911869/6311927291186909092023193312.pdf</v>
      </c>
      <c r="H6057" s="4" t="s">
        <v>14628</v>
      </c>
    </row>
    <row r="6058" spans="1:8" x14ac:dyDescent="0.25">
      <c r="A6058" s="2" t="s">
        <v>6086</v>
      </c>
      <c r="B6058" s="3"/>
      <c r="C6058" s="3"/>
      <c r="D6058" s="3"/>
      <c r="E6058" s="5" t="str">
        <f>HYPERLINK("https://dpmzos25m8ivg.cloudfront.net/Documentos/631/19293587769/6311929358776911092023154235.pdf","https://dpmzos25m8ivg.cloudfront.net/Documentos/631/19293587769/6311929358776911092023154235.pdf")</f>
        <v>https://dpmzos25m8ivg.cloudfront.net/Documentos/631/19293587769/6311929358776911092023154235.pdf</v>
      </c>
      <c r="F6058" s="5" t="str">
        <f>HYPERLINK("https://dpmzos25m8ivg.cloudfront.net/Documentos/631/19293587769/6311929358776911092023154254.pdf","https://dpmzos25m8ivg.cloudfront.net/Documentos/631/19293587769/6311929358776911092023154254.pdf")</f>
        <v>https://dpmzos25m8ivg.cloudfront.net/Documentos/631/19293587769/6311929358776911092023154254.pdf</v>
      </c>
      <c r="G6058" s="5" t="str">
        <f>HYPERLINK("https://dpmzos25m8ivg.cloudfront.net/Documentos/631/19293587769/6311929358776911092023154309.pdf","https://dpmzos25m8ivg.cloudfront.net/Documentos/631/19293587769/6311929358776911092023154309.pdf")</f>
        <v>https://dpmzos25m8ivg.cloudfront.net/Documentos/631/19293587769/6311929358776911092023154309.pdf</v>
      </c>
      <c r="H6058" s="4" t="s">
        <v>14629</v>
      </c>
    </row>
    <row r="6059" spans="1:8" x14ac:dyDescent="0.25">
      <c r="A6059" s="2" t="s">
        <v>6087</v>
      </c>
      <c r="B6059" s="3"/>
      <c r="C6059" s="3"/>
      <c r="D6059" s="3"/>
      <c r="E6059" s="5" t="str">
        <f>HYPERLINK("https://dpmzos25m8ivg.cloudfront.net/Documentos/631/19295402723/6311929540272311092023142225.pdf","https://dpmzos25m8ivg.cloudfront.net/Documentos/631/19295402723/6311929540272311092023142225.pdf")</f>
        <v>https://dpmzos25m8ivg.cloudfront.net/Documentos/631/19295402723/6311929540272311092023142225.pdf</v>
      </c>
      <c r="F6059" s="5" t="str">
        <f>HYPERLINK("https://dpmzos25m8ivg.cloudfront.net/Documentos/631/19295402723/6311929540272311092023142249.pdf","https://dpmzos25m8ivg.cloudfront.net/Documentos/631/19295402723/6311929540272311092023142249.pdf")</f>
        <v>https://dpmzos25m8ivg.cloudfront.net/Documentos/631/19295402723/6311929540272311092023142249.pdf</v>
      </c>
      <c r="G6059" s="5" t="str">
        <f>HYPERLINK("https://dpmzos25m8ivg.cloudfront.net/Documentos/631/19295402723/6311929540272311092023142321.pdf","https://dpmzos25m8ivg.cloudfront.net/Documentos/631/19295402723/6311929540272311092023142321.pdf")</f>
        <v>https://dpmzos25m8ivg.cloudfront.net/Documentos/631/19295402723/6311929540272311092023142321.pdf</v>
      </c>
      <c r="H6059" s="4" t="s">
        <v>14630</v>
      </c>
    </row>
    <row r="6060" spans="1:8" x14ac:dyDescent="0.25">
      <c r="A6060" s="2" t="s">
        <v>6088</v>
      </c>
      <c r="B6060" s="16" t="s">
        <v>2358</v>
      </c>
      <c r="C6060" s="3"/>
      <c r="D6060" s="3"/>
      <c r="E6060" s="5" t="str">
        <f>HYPERLINK("https://dpmzos25m8ivg.cloudfront.net/Documentos/631/19356847878/6311935684787804092023220110.pdf","https://dpmzos25m8ivg.cloudfront.net/Documentos/631/19356847878/6311935684787804092023220110.pdf")</f>
        <v>https://dpmzos25m8ivg.cloudfront.net/Documentos/631/19356847878/6311935684787804092023220110.pdf</v>
      </c>
      <c r="F6060" s="5" t="str">
        <f>HYPERLINK("https://dpmzos25m8ivg.cloudfront.net/Documentos/631/19356847878/6311935684787804092023220952.pdf","https://dpmzos25m8ivg.cloudfront.net/Documentos/631/19356847878/6311935684787804092023220952.pdf")</f>
        <v>https://dpmzos25m8ivg.cloudfront.net/Documentos/631/19356847878/6311935684787804092023220952.pdf</v>
      </c>
      <c r="G6060" s="5" t="str">
        <f>HYPERLINK("https://dpmzos25m8ivg.cloudfront.net/Documentos/631/19356847878/6311935684787804092023221328.pdf","https://dpmzos25m8ivg.cloudfront.net/Documentos/631/19356847878/6311935684787804092023221328.pdf")</f>
        <v>https://dpmzos25m8ivg.cloudfront.net/Documentos/631/19356847878/6311935684787804092023221328.pdf</v>
      </c>
      <c r="H6060" s="5" t="s">
        <v>14631</v>
      </c>
    </row>
    <row r="6061" spans="1:8" x14ac:dyDescent="0.25">
      <c r="A6061" s="2" t="s">
        <v>6089</v>
      </c>
      <c r="B6061" s="3"/>
      <c r="C6061" s="3"/>
      <c r="D6061" s="3"/>
      <c r="E6061" s="5" t="str">
        <f>HYPERLINK("https://dpmzos25m8ivg.cloudfront.net/Documentos/631/19435153798/6311943515379811092023151914.pdf","https://dpmzos25m8ivg.cloudfront.net/Documentos/631/19435153798/6311943515379811092023151914.pdf")</f>
        <v>https://dpmzos25m8ivg.cloudfront.net/Documentos/631/19435153798/6311943515379811092023151914.pdf</v>
      </c>
      <c r="F6061" s="5" t="str">
        <f>HYPERLINK("https://dpmzos25m8ivg.cloudfront.net/Documentos/631/19435153798/6311943515379811092023151921.pdf","https://dpmzos25m8ivg.cloudfront.net/Documentos/631/19435153798/6311943515379811092023151921.pdf")</f>
        <v>https://dpmzos25m8ivg.cloudfront.net/Documentos/631/19435153798/6311943515379811092023151921.pdf</v>
      </c>
      <c r="G6061" s="5" t="str">
        <f>HYPERLINK("https://dpmzos25m8ivg.cloudfront.net/Documentos/631/19435153798/6311943515379811092023151928.pdf","https://dpmzos25m8ivg.cloudfront.net/Documentos/631/19435153798/6311943515379811092023151928.pdf")</f>
        <v>https://dpmzos25m8ivg.cloudfront.net/Documentos/631/19435153798/6311943515379811092023151928.pdf</v>
      </c>
      <c r="H6061" s="4" t="s">
        <v>14632</v>
      </c>
    </row>
    <row r="6062" spans="1:8" x14ac:dyDescent="0.25">
      <c r="A6062" s="2" t="s">
        <v>6090</v>
      </c>
      <c r="B6062" s="3" t="s">
        <v>8</v>
      </c>
      <c r="C6062" s="3"/>
      <c r="D6062" s="3"/>
      <c r="E6062" s="5" t="str">
        <f>HYPERLINK("https://dpmzos25m8ivg.cloudfront.net/Documentos/631/19470864727/6311947086472711092023131930.jpg","https://dpmzos25m8ivg.cloudfront.net/Documentos/631/19470864727/6311947086472711092023131930.jpg")</f>
        <v>https://dpmzos25m8ivg.cloudfront.net/Documentos/631/19470864727/6311947086472711092023131930.jpg</v>
      </c>
      <c r="F6062" s="5" t="str">
        <f>HYPERLINK("https://dpmzos25m8ivg.cloudfront.net/Documentos/631/19470864727/6311947086472711092023132001.jpg","https://dpmzos25m8ivg.cloudfront.net/Documentos/631/19470864727/6311947086472711092023132001.jpg")</f>
        <v>https://dpmzos25m8ivg.cloudfront.net/Documentos/631/19470864727/6311947086472711092023132001.jpg</v>
      </c>
      <c r="G6062" s="5" t="str">
        <f>HYPERLINK("https://dpmzos25m8ivg.cloudfront.net/Documentos/631/19470864727/6311947086472711092023132032.jpg","https://dpmzos25m8ivg.cloudfront.net/Documentos/631/19470864727/6311947086472711092023132032.jpg")</f>
        <v>https://dpmzos25m8ivg.cloudfront.net/Documentos/631/19470864727/6311947086472711092023132032.jpg</v>
      </c>
      <c r="H6062" s="4" t="s">
        <v>14633</v>
      </c>
    </row>
    <row r="6063" spans="1:8" x14ac:dyDescent="0.25">
      <c r="A6063" s="2" t="s">
        <v>6091</v>
      </c>
      <c r="B6063" s="3"/>
      <c r="C6063" s="3"/>
      <c r="D6063" s="3"/>
      <c r="E6063" s="5" t="str">
        <f>HYPERLINK("https://dpmzos25m8ivg.cloudfront.net/Documentos/631/19473424876/6311947342487611092023121013.pdf","https://dpmzos25m8ivg.cloudfront.net/Documentos/631/19473424876/6311947342487611092023121013.pdf")</f>
        <v>https://dpmzos25m8ivg.cloudfront.net/Documentos/631/19473424876/6311947342487611092023121013.pdf</v>
      </c>
      <c r="F6063" s="5" t="str">
        <f>HYPERLINK("https://dpmzos25m8ivg.cloudfront.net/Documentos/631/19473424876/6311947342487611092023121023.pdf","https://dpmzos25m8ivg.cloudfront.net/Documentos/631/19473424876/6311947342487611092023121023.pdf")</f>
        <v>https://dpmzos25m8ivg.cloudfront.net/Documentos/631/19473424876/6311947342487611092023121023.pdf</v>
      </c>
      <c r="G6063" s="5" t="str">
        <f>HYPERLINK("https://dpmzos25m8ivg.cloudfront.net/Documentos/631/19473424876/6311947342487611092023121039.pdf","https://dpmzos25m8ivg.cloudfront.net/Documentos/631/19473424876/6311947342487611092023121039.pdf")</f>
        <v>https://dpmzos25m8ivg.cloudfront.net/Documentos/631/19473424876/6311947342487611092023121039.pdf</v>
      </c>
      <c r="H6063" s="4" t="s">
        <v>14634</v>
      </c>
    </row>
    <row r="6064" spans="1:8" x14ac:dyDescent="0.25">
      <c r="A6064" s="2" t="s">
        <v>6092</v>
      </c>
      <c r="B6064" s="19" t="s">
        <v>3385</v>
      </c>
      <c r="C6064" s="3"/>
      <c r="D6064" s="3"/>
      <c r="E6064" s="5" t="str">
        <f>HYPERLINK("https://dpmzos25m8ivg.cloudfront.net/Documentos/631/19475949828/6311947594982809092023151255.jpg","https://dpmzos25m8ivg.cloudfront.net/Documentos/631/19475949828/6311947594982809092023151255.jpg")</f>
        <v>https://dpmzos25m8ivg.cloudfront.net/Documentos/631/19475949828/6311947594982809092023151255.jpg</v>
      </c>
      <c r="F6064" s="5" t="str">
        <f>HYPERLINK("https://dpmzos25m8ivg.cloudfront.net/Documentos/631/19475949828/6311947594982809092023151825.jpg","https://dpmzos25m8ivg.cloudfront.net/Documentos/631/19475949828/6311947594982809092023151825.jpg")</f>
        <v>https://dpmzos25m8ivg.cloudfront.net/Documentos/631/19475949828/6311947594982809092023151825.jpg</v>
      </c>
      <c r="G6064" s="5" t="str">
        <f>HYPERLINK("https://dpmzos25m8ivg.cloudfront.net/Documentos/631/19475949828/6311947594982809092023151908.jpg","https://dpmzos25m8ivg.cloudfront.net/Documentos/631/19475949828/6311947594982809092023151908.jpg")</f>
        <v>https://dpmzos25m8ivg.cloudfront.net/Documentos/631/19475949828/6311947594982809092023151908.jpg</v>
      </c>
      <c r="H6064" s="4" t="s">
        <v>14635</v>
      </c>
    </row>
    <row r="6065" spans="1:8" x14ac:dyDescent="0.25">
      <c r="A6065" s="2" t="s">
        <v>6093</v>
      </c>
      <c r="B6065" s="3"/>
      <c r="C6065" s="3"/>
      <c r="D6065" s="3"/>
      <c r="E6065" s="5" t="str">
        <f>HYPERLINK("https://dpmzos25m8ivg.cloudfront.net/Documentos/631/19482527836/6311948252783606092023002209.pdf","https://dpmzos25m8ivg.cloudfront.net/Documentos/631/19482527836/6311948252783606092023002209.pdf")</f>
        <v>https://dpmzos25m8ivg.cloudfront.net/Documentos/631/19482527836/6311948252783606092023002209.pdf</v>
      </c>
      <c r="F6065" s="5" t="str">
        <f>HYPERLINK("https://dpmzos25m8ivg.cloudfront.net/Documentos/631/19482527836/6311948252783606092023002218.pdf","https://dpmzos25m8ivg.cloudfront.net/Documentos/631/19482527836/6311948252783606092023002218.pdf")</f>
        <v>https://dpmzos25m8ivg.cloudfront.net/Documentos/631/19482527836/6311948252783606092023002218.pdf</v>
      </c>
      <c r="G6065" s="5" t="str">
        <f>HYPERLINK("https://dpmzos25m8ivg.cloudfront.net/Documentos/631/19482527836/6311948252783606092023002229.pdf","https://dpmzos25m8ivg.cloudfront.net/Documentos/631/19482527836/6311948252783606092023002229.pdf")</f>
        <v>https://dpmzos25m8ivg.cloudfront.net/Documentos/631/19482527836/6311948252783606092023002229.pdf</v>
      </c>
      <c r="H6065" s="4" t="s">
        <v>14636</v>
      </c>
    </row>
    <row r="6066" spans="1:8" x14ac:dyDescent="0.25">
      <c r="A6066" s="2" t="s">
        <v>6094</v>
      </c>
      <c r="B6066" s="3"/>
      <c r="C6066" s="3"/>
      <c r="D6066" s="3"/>
      <c r="E6066" s="5" t="str">
        <f>HYPERLINK("https://dpmzos25m8ivg.cloudfront.net/Documentos/631/19587408888/6311958740888811092023114116.pdf","https://dpmzos25m8ivg.cloudfront.net/Documentos/631/19587408888/6311958740888811092023114116.pdf")</f>
        <v>https://dpmzos25m8ivg.cloudfront.net/Documentos/631/19587408888/6311958740888811092023114116.pdf</v>
      </c>
      <c r="F6066" s="5" t="str">
        <f>HYPERLINK("https://dpmzos25m8ivg.cloudfront.net/Documentos/631/19587408888/6311958740888811092023114128.pdf","https://dpmzos25m8ivg.cloudfront.net/Documentos/631/19587408888/6311958740888811092023114128.pdf")</f>
        <v>https://dpmzos25m8ivg.cloudfront.net/Documentos/631/19587408888/6311958740888811092023114128.pdf</v>
      </c>
      <c r="G6066" s="5" t="str">
        <f>HYPERLINK("https://dpmzos25m8ivg.cloudfront.net/Documentos/631/19587408888/6311958740888811092023114141.pdf","https://dpmzos25m8ivg.cloudfront.net/Documentos/631/19587408888/6311958740888811092023114141.pdf")</f>
        <v>https://dpmzos25m8ivg.cloudfront.net/Documentos/631/19587408888/6311958740888811092023114141.pdf</v>
      </c>
      <c r="H6066" s="4" t="s">
        <v>14637</v>
      </c>
    </row>
    <row r="6067" spans="1:8" x14ac:dyDescent="0.25">
      <c r="A6067" s="2" t="s">
        <v>6095</v>
      </c>
      <c r="B6067" s="3"/>
      <c r="C6067" s="3"/>
      <c r="D6067" s="3"/>
      <c r="E6067" s="5" t="str">
        <f>HYPERLINK("https://dpmzos25m8ivg.cloudfront.net/Documentos/631/19610311750/6311961031175006092023105902.pdf","https://dpmzos25m8ivg.cloudfront.net/Documentos/631/19610311750/6311961031175006092023105902.pdf")</f>
        <v>https://dpmzos25m8ivg.cloudfront.net/Documentos/631/19610311750/6311961031175006092023105902.pdf</v>
      </c>
      <c r="F6067" s="5" t="str">
        <f>HYPERLINK("https://dpmzos25m8ivg.cloudfront.net/Documentos/631/19610311750/6311961031175006092023105912.pdf","https://dpmzos25m8ivg.cloudfront.net/Documentos/631/19610311750/6311961031175006092023105912.pdf")</f>
        <v>https://dpmzos25m8ivg.cloudfront.net/Documentos/631/19610311750/6311961031175006092023105912.pdf</v>
      </c>
      <c r="G6067" s="5" t="str">
        <f>HYPERLINK("https://dpmzos25m8ivg.cloudfront.net/Documentos/631/19610311750/6311961031175006092023105919.pdf","https://dpmzos25m8ivg.cloudfront.net/Documentos/631/19610311750/6311961031175006092023105919.pdf")</f>
        <v>https://dpmzos25m8ivg.cloudfront.net/Documentos/631/19610311750/6311961031175006092023105919.pdf</v>
      </c>
      <c r="H6067" s="4" t="s">
        <v>14638</v>
      </c>
    </row>
    <row r="6068" spans="1:8" x14ac:dyDescent="0.25">
      <c r="A6068" s="2" t="s">
        <v>6096</v>
      </c>
      <c r="B6068" s="3" t="s">
        <v>8</v>
      </c>
      <c r="C6068" s="3"/>
      <c r="D6068" s="3"/>
      <c r="E6068" s="5" t="str">
        <f>HYPERLINK("https://dpmzos25m8ivg.cloudfront.net/Documentos/631/19616257846/6311961625784611092023125742.pdf","https://dpmzos25m8ivg.cloudfront.net/Documentos/631/19616257846/6311961625784611092023125742.pdf")</f>
        <v>https://dpmzos25m8ivg.cloudfront.net/Documentos/631/19616257846/6311961625784611092023125742.pdf</v>
      </c>
      <c r="F6068" s="5" t="str">
        <f>HYPERLINK("https://dpmzos25m8ivg.cloudfront.net/Documentos/631/19616257846/6311961625784611092023125825.pdf","https://dpmzos25m8ivg.cloudfront.net/Documentos/631/19616257846/6311961625784611092023125825.pdf")</f>
        <v>https://dpmzos25m8ivg.cloudfront.net/Documentos/631/19616257846/6311961625784611092023125825.pdf</v>
      </c>
      <c r="G6068" s="5" t="str">
        <f>HYPERLINK("https://dpmzos25m8ivg.cloudfront.net/Documentos/631/19616257846/6311961625784611092023125908.pdf","https://dpmzos25m8ivg.cloudfront.net/Documentos/631/19616257846/6311961625784611092023125908.pdf")</f>
        <v>https://dpmzos25m8ivg.cloudfront.net/Documentos/631/19616257846/6311961625784611092023125908.pdf</v>
      </c>
      <c r="H6068" s="4" t="s">
        <v>14639</v>
      </c>
    </row>
    <row r="6069" spans="1:8" x14ac:dyDescent="0.25">
      <c r="A6069" s="2" t="s">
        <v>6097</v>
      </c>
      <c r="B6069" s="16" t="s">
        <v>2358</v>
      </c>
      <c r="C6069" s="3"/>
      <c r="D6069" s="3"/>
      <c r="E6069" s="5" t="str">
        <f>HYPERLINK("https://dpmzos25m8ivg.cloudfront.net/Documentos/631/19626933844/6311962693384408092023151117.jpg","https://dpmzos25m8ivg.cloudfront.net/Documentos/631/19626933844/6311962693384408092023151117.jpg")</f>
        <v>https://dpmzos25m8ivg.cloudfront.net/Documentos/631/19626933844/6311962693384408092023151117.jpg</v>
      </c>
      <c r="F6069" s="5" t="str">
        <f>HYPERLINK("https://dpmzos25m8ivg.cloudfront.net/Documentos/631/19626933844/6311962693384408092023151140.jpg","https://dpmzos25m8ivg.cloudfront.net/Documentos/631/19626933844/6311962693384408092023151140.jpg")</f>
        <v>https://dpmzos25m8ivg.cloudfront.net/Documentos/631/19626933844/6311962693384408092023151140.jpg</v>
      </c>
      <c r="G6069" s="5" t="str">
        <f>HYPERLINK("https://dpmzos25m8ivg.cloudfront.net/Documentos/631/19626933844/6311962693384408092023151354.jpg","https://dpmzos25m8ivg.cloudfront.net/Documentos/631/19626933844/6311962693384408092023151354.jpg")</f>
        <v>https://dpmzos25m8ivg.cloudfront.net/Documentos/631/19626933844/6311962693384408092023151354.jpg</v>
      </c>
      <c r="H6069" s="5" t="s">
        <v>14640</v>
      </c>
    </row>
    <row r="6070" spans="1:8" x14ac:dyDescent="0.25">
      <c r="A6070" s="2" t="s">
        <v>6098</v>
      </c>
      <c r="B6070" s="3"/>
      <c r="C6070" s="3"/>
      <c r="D6070" s="3"/>
      <c r="E6070" s="5" t="str">
        <f>HYPERLINK("https://dpmzos25m8ivg.cloudfront.net/Documentos/631/19649058770/6311964905877006092023214827.pdf","https://dpmzos25m8ivg.cloudfront.net/Documentos/631/19649058770/6311964905877006092023214827.pdf")</f>
        <v>https://dpmzos25m8ivg.cloudfront.net/Documentos/631/19649058770/6311964905877006092023214827.pdf</v>
      </c>
      <c r="F6070" s="5" t="str">
        <f>HYPERLINK("https://dpmzos25m8ivg.cloudfront.net/Documentos/631/19649058770/6311964905877006092023214836.pdf","https://dpmzos25m8ivg.cloudfront.net/Documentos/631/19649058770/6311964905877006092023214836.pdf")</f>
        <v>https://dpmzos25m8ivg.cloudfront.net/Documentos/631/19649058770/6311964905877006092023214836.pdf</v>
      </c>
      <c r="G6070" s="5" t="str">
        <f>HYPERLINK("https://dpmzos25m8ivg.cloudfront.net/Documentos/631/19649058770/6311964905877006092023214847.pdf","https://dpmzos25m8ivg.cloudfront.net/Documentos/631/19649058770/6311964905877006092023214847.pdf")</f>
        <v>https://dpmzos25m8ivg.cloudfront.net/Documentos/631/19649058770/6311964905877006092023214847.pdf</v>
      </c>
      <c r="H6070" s="4" t="s">
        <v>14641</v>
      </c>
    </row>
    <row r="6071" spans="1:8" x14ac:dyDescent="0.25">
      <c r="A6071" s="2" t="s">
        <v>6099</v>
      </c>
      <c r="B6071" s="3" t="s">
        <v>8</v>
      </c>
      <c r="C6071" s="3"/>
      <c r="D6071" s="3"/>
      <c r="E6071" s="5" t="str">
        <f>HYPERLINK("https://dpmzos25m8ivg.cloudfront.net/Documentos/631/19673737878/6311967373787813092023210711.jpg","https://dpmzos25m8ivg.cloudfront.net/Documentos/631/19673737878/6311967373787813092023210711.jpg")</f>
        <v>https://dpmzos25m8ivg.cloudfront.net/Documentos/631/19673737878/6311967373787813092023210711.jpg</v>
      </c>
      <c r="F6071" s="5" t="str">
        <f>HYPERLINK("https://dpmzos25m8ivg.cloudfront.net/Documentos/631/19673737878/6311967373787813092023210746.jpg","https://dpmzos25m8ivg.cloudfront.net/Documentos/631/19673737878/6311967373787813092023210746.jpg")</f>
        <v>https://dpmzos25m8ivg.cloudfront.net/Documentos/631/19673737878/6311967373787813092023210746.jpg</v>
      </c>
      <c r="G6071" s="5" t="str">
        <f>HYPERLINK("https://dpmzos25m8ivg.cloudfront.net/Documentos/631/19673737878/6311967373787813092023210814.jpg","https://dpmzos25m8ivg.cloudfront.net/Documentos/631/19673737878/6311967373787813092023210814.jpg")</f>
        <v>https://dpmzos25m8ivg.cloudfront.net/Documentos/631/19673737878/6311967373787813092023210814.jpg</v>
      </c>
      <c r="H6071" s="4" t="s">
        <v>14642</v>
      </c>
    </row>
    <row r="6072" spans="1:8" x14ac:dyDescent="0.25">
      <c r="A6072" s="2" t="s">
        <v>6100</v>
      </c>
      <c r="B6072" s="3"/>
      <c r="C6072" s="3"/>
      <c r="D6072" s="3"/>
      <c r="E6072" s="5" t="str">
        <f>HYPERLINK("https://dpmzos25m8ivg.cloudfront.net/Documentos/631/19744808870/6311974480887010092023082739.jpg","https://dpmzos25m8ivg.cloudfront.net/Documentos/631/19744808870/6311974480887010092023082739.jpg")</f>
        <v>https://dpmzos25m8ivg.cloudfront.net/Documentos/631/19744808870/6311974480887010092023082739.jpg</v>
      </c>
      <c r="F6072" s="5" t="str">
        <f>HYPERLINK("https://dpmzos25m8ivg.cloudfront.net/Documentos/631/19744808870/6311974480887010092023082759.jpg","https://dpmzos25m8ivg.cloudfront.net/Documentos/631/19744808870/6311974480887010092023082759.jpg")</f>
        <v>https://dpmzos25m8ivg.cloudfront.net/Documentos/631/19744808870/6311974480887010092023082759.jpg</v>
      </c>
      <c r="G6072" s="5" t="str">
        <f>HYPERLINK("https://dpmzos25m8ivg.cloudfront.net/Documentos/631/19744808870/6311974480887010092023082833.jpg","https://dpmzos25m8ivg.cloudfront.net/Documentos/631/19744808870/6311974480887010092023082833.jpg")</f>
        <v>https://dpmzos25m8ivg.cloudfront.net/Documentos/631/19744808870/6311974480887010092023082833.jpg</v>
      </c>
      <c r="H6072" s="4" t="s">
        <v>14643</v>
      </c>
    </row>
    <row r="6073" spans="1:8" x14ac:dyDescent="0.25">
      <c r="A6073" s="2" t="s">
        <v>6101</v>
      </c>
      <c r="B6073" s="16" t="s">
        <v>2358</v>
      </c>
      <c r="C6073" s="3"/>
      <c r="D6073" s="3"/>
      <c r="E6073" s="5" t="str">
        <f>HYPERLINK("https://dpmzos25m8ivg.cloudfront.net/Documentos/631/19916929866/6311991692986611092023152131.pdf","https://dpmzos25m8ivg.cloudfront.net/Documentos/631/19916929866/6311991692986611092023152131.pdf")</f>
        <v>https://dpmzos25m8ivg.cloudfront.net/Documentos/631/19916929866/6311991692986611092023152131.pdf</v>
      </c>
      <c r="F6073" s="5" t="str">
        <f>HYPERLINK("https://dpmzos25m8ivg.cloudfront.net/Documentos/631/19916929866/6311991692986611092023152158.pdf","https://dpmzos25m8ivg.cloudfront.net/Documentos/631/19916929866/6311991692986611092023152158.pdf")</f>
        <v>https://dpmzos25m8ivg.cloudfront.net/Documentos/631/19916929866/6311991692986611092023152158.pdf</v>
      </c>
      <c r="G6073" s="5" t="str">
        <f>HYPERLINK("https://dpmzos25m8ivg.cloudfront.net/Documentos/631/19916929866/6311991692986611092023152214.pdf","https://dpmzos25m8ivg.cloudfront.net/Documentos/631/19916929866/6311991692986611092023152214.pdf")</f>
        <v>https://dpmzos25m8ivg.cloudfront.net/Documentos/631/19916929866/6311991692986611092023152214.pdf</v>
      </c>
      <c r="H6073" s="5" t="s">
        <v>14644</v>
      </c>
    </row>
    <row r="6074" spans="1:8" x14ac:dyDescent="0.25">
      <c r="A6074" s="2" t="s">
        <v>6102</v>
      </c>
      <c r="B6074" s="3"/>
      <c r="C6074" s="3"/>
      <c r="D6074" s="3"/>
      <c r="E6074" s="5" t="str">
        <f>HYPERLINK("https://dpmzos25m8ivg.cloudfront.net/Documentos/631/20004335880/6312000433588008092023112655.jpg","https://dpmzos25m8ivg.cloudfront.net/Documentos/631/20004335880/6312000433588008092023112655.jpg")</f>
        <v>https://dpmzos25m8ivg.cloudfront.net/Documentos/631/20004335880/6312000433588008092023112655.jpg</v>
      </c>
      <c r="F6074" s="5" t="str">
        <f>HYPERLINK("https://dpmzos25m8ivg.cloudfront.net/Documentos/631/20004335880/6312000433588008092023112704.jpg","https://dpmzos25m8ivg.cloudfront.net/Documentos/631/20004335880/6312000433588008092023112704.jpg")</f>
        <v>https://dpmzos25m8ivg.cloudfront.net/Documentos/631/20004335880/6312000433588008092023112704.jpg</v>
      </c>
      <c r="G6074" s="5" t="str">
        <f>HYPERLINK("https://dpmzos25m8ivg.cloudfront.net/Documentos/631/20004335880/6312000433588008092023112713.jpg","https://dpmzos25m8ivg.cloudfront.net/Documentos/631/20004335880/6312000433588008092023112713.jpg")</f>
        <v>https://dpmzos25m8ivg.cloudfront.net/Documentos/631/20004335880/6312000433588008092023112713.jpg</v>
      </c>
      <c r="H6074" s="4" t="s">
        <v>14645</v>
      </c>
    </row>
    <row r="6075" spans="1:8" x14ac:dyDescent="0.25">
      <c r="A6075" s="2" t="s">
        <v>6103</v>
      </c>
      <c r="B6075" s="3"/>
      <c r="C6075" s="3"/>
      <c r="D6075" s="3"/>
      <c r="E6075" s="5" t="str">
        <f>HYPERLINK("https://dpmzos25m8ivg.cloudfront.net/Documentos/631/20023355832/6312002335583205092023223621.pdf","https://dpmzos25m8ivg.cloudfront.net/Documentos/631/20023355832/6312002335583205092023223621.pdf")</f>
        <v>https://dpmzos25m8ivg.cloudfront.net/Documentos/631/20023355832/6312002335583205092023223621.pdf</v>
      </c>
      <c r="F6075" s="5" t="str">
        <f>HYPERLINK("https://dpmzos25m8ivg.cloudfront.net/Documentos/631/20023355832/6312002335583205092023223612.pdf","https://dpmzos25m8ivg.cloudfront.net/Documentos/631/20023355832/6312002335583205092023223612.pdf")</f>
        <v>https://dpmzos25m8ivg.cloudfront.net/Documentos/631/20023355832/6312002335583205092023223612.pdf</v>
      </c>
      <c r="G6075" s="5" t="str">
        <f>HYPERLINK("https://dpmzos25m8ivg.cloudfront.net/Documentos/631/20023355832/6312002335583205092023223036.pdf","https://dpmzos25m8ivg.cloudfront.net/Documentos/631/20023355832/6312002335583205092023223036.pdf")</f>
        <v>https://dpmzos25m8ivg.cloudfront.net/Documentos/631/20023355832/6312002335583205092023223036.pdf</v>
      </c>
      <c r="H6075" s="4" t="s">
        <v>14646</v>
      </c>
    </row>
    <row r="6076" spans="1:8" x14ac:dyDescent="0.25">
      <c r="A6076" s="2" t="s">
        <v>6104</v>
      </c>
      <c r="B6076" s="3"/>
      <c r="C6076" s="3"/>
      <c r="D6076" s="3"/>
      <c r="E6076" s="5" t="str">
        <f>HYPERLINK("https://dpmzos25m8ivg.cloudfront.net/Documentos/631/20029845220/6312002984522005092023132612.pdf","https://dpmzos25m8ivg.cloudfront.net/Documentos/631/20029845220/6312002984522005092023132612.pdf")</f>
        <v>https://dpmzos25m8ivg.cloudfront.net/Documentos/631/20029845220/6312002984522005092023132612.pdf</v>
      </c>
      <c r="F6076" s="5" t="str">
        <f>HYPERLINK("https://dpmzos25m8ivg.cloudfront.net/Documentos/631/20029845220/6312002984522005092023132712.pdf","https://dpmzos25m8ivg.cloudfront.net/Documentos/631/20029845220/6312002984522005092023132712.pdf")</f>
        <v>https://dpmzos25m8ivg.cloudfront.net/Documentos/631/20029845220/6312002984522005092023132712.pdf</v>
      </c>
      <c r="G6076" s="5" t="str">
        <f>HYPERLINK("https://dpmzos25m8ivg.cloudfront.net/Documentos/631/20029845220/6312002984522005092023132743.pdf","https://dpmzos25m8ivg.cloudfront.net/Documentos/631/20029845220/6312002984522005092023132743.pdf")</f>
        <v>https://dpmzos25m8ivg.cloudfront.net/Documentos/631/20029845220/6312002984522005092023132743.pdf</v>
      </c>
      <c r="H6076" s="4" t="s">
        <v>14647</v>
      </c>
    </row>
    <row r="6077" spans="1:8" x14ac:dyDescent="0.25">
      <c r="A6077" s="2" t="s">
        <v>6105</v>
      </c>
      <c r="B6077" s="3"/>
      <c r="C6077" s="3"/>
      <c r="D6077" s="3"/>
      <c r="E6077" s="5" t="str">
        <f>HYPERLINK("https://dpmzos25m8ivg.cloudfront.net/Documentos/631/20032772777/6312003277277708092023133824.pdf","https://dpmzos25m8ivg.cloudfront.net/Documentos/631/20032772777/6312003277277708092023133824.pdf")</f>
        <v>https://dpmzos25m8ivg.cloudfront.net/Documentos/631/20032772777/6312003277277708092023133824.pdf</v>
      </c>
      <c r="F6077" s="5" t="str">
        <f>HYPERLINK("https://dpmzos25m8ivg.cloudfront.net/Documentos/631/20032772777/6312003277277708092023133815.pdf","https://dpmzos25m8ivg.cloudfront.net/Documentos/631/20032772777/6312003277277708092023133815.pdf")</f>
        <v>https://dpmzos25m8ivg.cloudfront.net/Documentos/631/20032772777/6312003277277708092023133815.pdf</v>
      </c>
      <c r="G6077" s="5" t="str">
        <f>HYPERLINK("https://dpmzos25m8ivg.cloudfront.net/Documentos/631/20032772777/6312003277277708092023133803.pdf","https://dpmzos25m8ivg.cloudfront.net/Documentos/631/20032772777/6312003277277708092023133803.pdf")</f>
        <v>https://dpmzos25m8ivg.cloudfront.net/Documentos/631/20032772777/6312003277277708092023133803.pdf</v>
      </c>
      <c r="H6077" s="4" t="s">
        <v>14648</v>
      </c>
    </row>
    <row r="6078" spans="1:8" x14ac:dyDescent="0.25">
      <c r="A6078" s="2" t="s">
        <v>6106</v>
      </c>
      <c r="B6078" s="16" t="s">
        <v>2358</v>
      </c>
      <c r="C6078" s="3"/>
      <c r="D6078" s="3"/>
      <c r="E6078" s="5" t="str">
        <f>HYPERLINK("https://dpmzos25m8ivg.cloudfront.net/Documentos/631/20203780272/6312020378027210092023235056.pdf","https://dpmzos25m8ivg.cloudfront.net/Documentos/631/20203780272/6312020378027210092023235056.pdf")</f>
        <v>https://dpmzos25m8ivg.cloudfront.net/Documentos/631/20203780272/6312020378027210092023235056.pdf</v>
      </c>
      <c r="F6078" s="5" t="str">
        <f>HYPERLINK("https://dpmzos25m8ivg.cloudfront.net/Documentos/631/20203780272/6312020378027210092023235124.pdf","https://dpmzos25m8ivg.cloudfront.net/Documentos/631/20203780272/6312020378027210092023235124.pdf")</f>
        <v>https://dpmzos25m8ivg.cloudfront.net/Documentos/631/20203780272/6312020378027210092023235124.pdf</v>
      </c>
      <c r="G6078" s="5" t="str">
        <f>HYPERLINK("https://dpmzos25m8ivg.cloudfront.net/Documentos/631/20203780272/6312020378027210092023235158.pdf","https://dpmzos25m8ivg.cloudfront.net/Documentos/631/20203780272/6312020378027210092023235158.pdf")</f>
        <v>https://dpmzos25m8ivg.cloudfront.net/Documentos/631/20203780272/6312020378027210092023235158.pdf</v>
      </c>
      <c r="H6078" s="5" t="s">
        <v>14649</v>
      </c>
    </row>
    <row r="6079" spans="1:8" x14ac:dyDescent="0.25">
      <c r="A6079" s="2" t="s">
        <v>6107</v>
      </c>
      <c r="B6079" s="3"/>
      <c r="C6079" s="3"/>
      <c r="D6079" s="3"/>
      <c r="E6079" s="5" t="str">
        <f>HYPERLINK("https://dpmzos25m8ivg.cloudfront.net/Documentos/631/20419350810/6312041935081011092023125443.pdf","https://dpmzos25m8ivg.cloudfront.net/Documentos/631/20419350810/6312041935081011092023125443.pdf")</f>
        <v>https://dpmzos25m8ivg.cloudfront.net/Documentos/631/20419350810/6312041935081011092023125443.pdf</v>
      </c>
      <c r="F6079" s="5" t="str">
        <f>HYPERLINK("https://dpmzos25m8ivg.cloudfront.net/Documentos/631/20419350810/6312041935081011092023125646.pdf","https://dpmzos25m8ivg.cloudfront.net/Documentos/631/20419350810/6312041935081011092023125646.pdf")</f>
        <v>https://dpmzos25m8ivg.cloudfront.net/Documentos/631/20419350810/6312041935081011092023125646.pdf</v>
      </c>
      <c r="G6079" s="5" t="str">
        <f>HYPERLINK("https://dpmzos25m8ivg.cloudfront.net/Documentos/631/20419350810/6312041935081011092023125854.pdf","https://dpmzos25m8ivg.cloudfront.net/Documentos/631/20419350810/6312041935081011092023125854.pdf")</f>
        <v>https://dpmzos25m8ivg.cloudfront.net/Documentos/631/20419350810/6312041935081011092023125854.pdf</v>
      </c>
      <c r="H6079" s="4" t="s">
        <v>14650</v>
      </c>
    </row>
    <row r="6080" spans="1:8" x14ac:dyDescent="0.25">
      <c r="A6080" s="2" t="s">
        <v>6108</v>
      </c>
      <c r="B6080" s="3" t="s">
        <v>8</v>
      </c>
      <c r="C6080" s="3"/>
      <c r="D6080" s="3"/>
      <c r="E6080" s="5" t="str">
        <f>HYPERLINK("https://dpmzos25m8ivg.cloudfront.net/Documentos/631/20514455837/6312051445583705092023093354.pdf","https://dpmzos25m8ivg.cloudfront.net/Documentos/631/20514455837/6312051445583705092023093354.pdf")</f>
        <v>https://dpmzos25m8ivg.cloudfront.net/Documentos/631/20514455837/6312051445583705092023093354.pdf</v>
      </c>
      <c r="F6080" s="5" t="str">
        <f>HYPERLINK("https://dpmzos25m8ivg.cloudfront.net/Documentos/631/20514455837/6312051445583705092023093407.pdf","https://dpmzos25m8ivg.cloudfront.net/Documentos/631/20514455837/6312051445583705092023093407.pdf")</f>
        <v>https://dpmzos25m8ivg.cloudfront.net/Documentos/631/20514455837/6312051445583705092023093407.pdf</v>
      </c>
      <c r="G6080" s="5" t="str">
        <f>HYPERLINK("https://dpmzos25m8ivg.cloudfront.net/Documentos/631/20514455837/6312051445583705092023093420.pdf","https://dpmzos25m8ivg.cloudfront.net/Documentos/631/20514455837/6312051445583705092023093420.pdf")</f>
        <v>https://dpmzos25m8ivg.cloudfront.net/Documentos/631/20514455837/6312051445583705092023093420.pdf</v>
      </c>
      <c r="H6080" s="4" t="s">
        <v>14651</v>
      </c>
    </row>
    <row r="6081" spans="1:8" x14ac:dyDescent="0.25">
      <c r="A6081" s="2" t="s">
        <v>6109</v>
      </c>
      <c r="B6081" s="3"/>
      <c r="C6081" s="3"/>
      <c r="D6081" s="3"/>
      <c r="E6081" s="5" t="str">
        <f>HYPERLINK("https://dpmzos25m8ivg.cloudfront.net/Documentos/631/20515549860/6312051554986005092023102110.pdf","https://dpmzos25m8ivg.cloudfront.net/Documentos/631/20515549860/6312051554986005092023102110.pdf")</f>
        <v>https://dpmzos25m8ivg.cloudfront.net/Documentos/631/20515549860/6312051554986005092023102110.pdf</v>
      </c>
      <c r="F6081" s="5" t="str">
        <f>HYPERLINK("https://dpmzos25m8ivg.cloudfront.net/Documentos/631/20515549860/6312051554986005092023102127.pdf","https://dpmzos25m8ivg.cloudfront.net/Documentos/631/20515549860/6312051554986005092023102127.pdf")</f>
        <v>https://dpmzos25m8ivg.cloudfront.net/Documentos/631/20515549860/6312051554986005092023102127.pdf</v>
      </c>
      <c r="G6081" s="5" t="str">
        <f>HYPERLINK("https://dpmzos25m8ivg.cloudfront.net/Documentos/631/20515549860/6312051554986005092023102203.pdf","https://dpmzos25m8ivg.cloudfront.net/Documentos/631/20515549860/6312051554986005092023102203.pdf")</f>
        <v>https://dpmzos25m8ivg.cloudfront.net/Documentos/631/20515549860/6312051554986005092023102203.pdf</v>
      </c>
      <c r="H6081" s="4" t="s">
        <v>14652</v>
      </c>
    </row>
    <row r="6082" spans="1:8" x14ac:dyDescent="0.25">
      <c r="A6082" s="2" t="s">
        <v>6110</v>
      </c>
      <c r="B6082" s="16" t="s">
        <v>2358</v>
      </c>
      <c r="C6082" s="3"/>
      <c r="D6082" s="3"/>
      <c r="E6082" s="5" t="str">
        <f>HYPERLINK("https://dpmzos25m8ivg.cloudfront.net/Documentos/631/20539804860/6312053980486007092023202943.pdf","https://dpmzos25m8ivg.cloudfront.net/Documentos/631/20539804860/6312053980486007092023202943.pdf")</f>
        <v>https://dpmzos25m8ivg.cloudfront.net/Documentos/631/20539804860/6312053980486007092023202943.pdf</v>
      </c>
      <c r="F6082" s="5" t="str">
        <f>HYPERLINK("https://dpmzos25m8ivg.cloudfront.net/Documentos/631/20539804860/6312053980486007092023202953.pdf","https://dpmzos25m8ivg.cloudfront.net/Documentos/631/20539804860/6312053980486007092023202953.pdf")</f>
        <v>https://dpmzos25m8ivg.cloudfront.net/Documentos/631/20539804860/6312053980486007092023202953.pdf</v>
      </c>
      <c r="G6082" s="5" t="str">
        <f>HYPERLINK("https://dpmzos25m8ivg.cloudfront.net/Documentos/631/20539804860/AR61346312053980486007092023203006.pdf","https://dpmzos25m8ivg.cloudfront.net/Documentos/631/20539804860/6312053980486007092023203006.pdf")</f>
        <v>https://dpmzos25m8ivg.cloudfront.net/Documentos/631/20539804860/6312053980486007092023203006.pdf</v>
      </c>
      <c r="H6082" s="5" t="s">
        <v>14653</v>
      </c>
    </row>
    <row r="6083" spans="1:8" x14ac:dyDescent="0.25">
      <c r="A6083" s="2" t="s">
        <v>6111</v>
      </c>
      <c r="B6083" s="3"/>
      <c r="C6083" s="3"/>
      <c r="D6083" s="3"/>
      <c r="E6083" s="5" t="str">
        <f>HYPERLINK("https://dpmzos25m8ivg.cloudfront.net/Documentos/631/20661088200/6312066108820008092023100059.pdf","https://dpmzos25m8ivg.cloudfront.net/Documentos/631/20661088200/6312066108820008092023100059.pdf")</f>
        <v>https://dpmzos25m8ivg.cloudfront.net/Documentos/631/20661088200/6312066108820008092023100059.pdf</v>
      </c>
      <c r="F6083" s="5" t="str">
        <f>HYPERLINK("https://dpmzos25m8ivg.cloudfront.net/Documentos/631/20661088200/6312066108820008092023100140.pdf","https://dpmzos25m8ivg.cloudfront.net/Documentos/631/20661088200/6312066108820008092023100140.pdf")</f>
        <v>https://dpmzos25m8ivg.cloudfront.net/Documentos/631/20661088200/6312066108820008092023100140.pdf</v>
      </c>
      <c r="G6083" s="5" t="str">
        <f>HYPERLINK("https://dpmzos25m8ivg.cloudfront.net/Documentos/631/20661088200/6312066108820008092023100248.pdf","https://dpmzos25m8ivg.cloudfront.net/Documentos/631/20661088200/6312066108820008092023100248.pdf")</f>
        <v>https://dpmzos25m8ivg.cloudfront.net/Documentos/631/20661088200/6312066108820008092023100248.pdf</v>
      </c>
      <c r="H6083" s="4" t="s">
        <v>14654</v>
      </c>
    </row>
    <row r="6084" spans="1:8" x14ac:dyDescent="0.25">
      <c r="A6084" s="2" t="s">
        <v>6112</v>
      </c>
      <c r="B6084" s="16" t="s">
        <v>2358</v>
      </c>
      <c r="C6084" s="3"/>
      <c r="D6084" s="3"/>
      <c r="E6084" s="5" t="str">
        <f>HYPERLINK("https://dpmzos25m8ivg.cloudfront.net/Documentos/631/20828179204/6312082817920411092023133044.pdf","https://dpmzos25m8ivg.cloudfront.net/Documentos/631/20828179204/6312082817920411092023133044.pdf")</f>
        <v>https://dpmzos25m8ivg.cloudfront.net/Documentos/631/20828179204/6312082817920411092023133044.pdf</v>
      </c>
      <c r="F6084" s="5" t="str">
        <f>HYPERLINK("https://dpmzos25m8ivg.cloudfront.net/Documentos/631/20828179204/6312082817920411092023133059.pdf","https://dpmzos25m8ivg.cloudfront.net/Documentos/631/20828179204/6312082817920411092023133059.pdf")</f>
        <v>https://dpmzos25m8ivg.cloudfront.net/Documentos/631/20828179204/6312082817920411092023133059.pdf</v>
      </c>
      <c r="G6084" s="5" t="str">
        <f>HYPERLINK("https://dpmzos25m8ivg.cloudfront.net/Documentos/631/20828179204/6312082817920411092023133112.pdf","https://dpmzos25m8ivg.cloudfront.net/Documentos/631/20828179204/6312082817920411092023133112.pdf")</f>
        <v>https://dpmzos25m8ivg.cloudfront.net/Documentos/631/20828179204/6312082817920411092023133112.pdf</v>
      </c>
      <c r="H6084" s="5" t="s">
        <v>14655</v>
      </c>
    </row>
    <row r="6085" spans="1:8" x14ac:dyDescent="0.25">
      <c r="A6085" s="2" t="s">
        <v>6113</v>
      </c>
      <c r="B6085" s="3"/>
      <c r="C6085" s="3"/>
      <c r="D6085" s="3"/>
      <c r="E6085" s="5" t="str">
        <f>HYPERLINK("https://dpmzos25m8ivg.cloudfront.net/Documentos/631/20930356691/6312093035669111092023142156.pdf","https://dpmzos25m8ivg.cloudfront.net/Documentos/631/20930356691/6312093035669111092023142156.pdf")</f>
        <v>https://dpmzos25m8ivg.cloudfront.net/Documentos/631/20930356691/6312093035669111092023142156.pdf</v>
      </c>
      <c r="F6085" s="5" t="str">
        <f>HYPERLINK("https://dpmzos25m8ivg.cloudfront.net/Documentos/631/20930356691/6312093035669111092023142231.pdf","https://dpmzos25m8ivg.cloudfront.net/Documentos/631/20930356691/6312093035669111092023142231.pdf")</f>
        <v>https://dpmzos25m8ivg.cloudfront.net/Documentos/631/20930356691/6312093035669111092023142231.pdf</v>
      </c>
      <c r="G6085" s="5" t="str">
        <f>HYPERLINK("https://dpmzos25m8ivg.cloudfront.net/Documentos/631/20930356691/6312093035669111092023143605.pdf","https://dpmzos25m8ivg.cloudfront.net/Documentos/631/20930356691/6312093035669111092023143605.pdf")</f>
        <v>https://dpmzos25m8ivg.cloudfront.net/Documentos/631/20930356691/6312093035669111092023143605.pdf</v>
      </c>
      <c r="H6085" s="4" t="s">
        <v>14656</v>
      </c>
    </row>
    <row r="6086" spans="1:8" x14ac:dyDescent="0.25">
      <c r="A6086" s="2" t="s">
        <v>6114</v>
      </c>
      <c r="B6086" s="16" t="s">
        <v>2358</v>
      </c>
      <c r="C6086" s="3"/>
      <c r="D6086" s="3"/>
      <c r="E6086" s="5" t="str">
        <f>HYPERLINK("https://dpmzos25m8ivg.cloudfront.net/Documentos/631/21172854572/6312117285457206092023171941.pdf","https://dpmzos25m8ivg.cloudfront.net/Documentos/631/21172854572/6312117285457206092023171941.pdf")</f>
        <v>https://dpmzos25m8ivg.cloudfront.net/Documentos/631/21172854572/6312117285457206092023171941.pdf</v>
      </c>
      <c r="F6086" s="5" t="str">
        <f>HYPERLINK("https://dpmzos25m8ivg.cloudfront.net/Documentos/631/21172854572/6312117285457206092023171915.pdf","https://dpmzos25m8ivg.cloudfront.net/Documentos/631/21172854572/6312117285457206092023171915.pdf")</f>
        <v>https://dpmzos25m8ivg.cloudfront.net/Documentos/631/21172854572/6312117285457206092023171915.pdf</v>
      </c>
      <c r="G6086" s="5" t="str">
        <f>HYPERLINK("https://dpmzos25m8ivg.cloudfront.net/Documentos/631/21172854572/6312117285457206092023172009.pdf","https://dpmzos25m8ivg.cloudfront.net/Documentos/631/21172854572/6312117285457206092023172009.pdf")</f>
        <v>https://dpmzos25m8ivg.cloudfront.net/Documentos/631/21172854572/6312117285457206092023172009.pdf</v>
      </c>
      <c r="H6086" s="5" t="s">
        <v>14657</v>
      </c>
    </row>
    <row r="6087" spans="1:8" x14ac:dyDescent="0.25">
      <c r="A6087" s="2" t="s">
        <v>6115</v>
      </c>
      <c r="B6087" s="3"/>
      <c r="C6087" s="3"/>
      <c r="D6087" s="3"/>
      <c r="E6087" s="5" t="str">
        <f>HYPERLINK("https://dpmzos25m8ivg.cloudfront.net/Documentos/631/21273937830/6312127393783005092023201634.jpeg","https://dpmzos25m8ivg.cloudfront.net/Documentos/631/21273937830/6312127393783005092023201634.jpeg")</f>
        <v>https://dpmzos25m8ivg.cloudfront.net/Documentos/631/21273937830/6312127393783005092023201634.jpeg</v>
      </c>
      <c r="F6087" s="5" t="str">
        <f>HYPERLINK("https://dpmzos25m8ivg.cloudfront.net/Documentos/631/21273937830/6312127393783005092023201654.jpeg","https://dpmzos25m8ivg.cloudfront.net/Documentos/631/21273937830/6312127393783005092023201654.jpeg")</f>
        <v>https://dpmzos25m8ivg.cloudfront.net/Documentos/631/21273937830/6312127393783005092023201654.jpeg</v>
      </c>
      <c r="G6087" s="5" t="str">
        <f>HYPERLINK("https://dpmzos25m8ivg.cloudfront.net/Documentos/631/21273937830/6312127393783005092023201507.jpeg","https://dpmzos25m8ivg.cloudfront.net/Documentos/631/21273937830/6312127393783005092023201507.jpeg")</f>
        <v>https://dpmzos25m8ivg.cloudfront.net/Documentos/631/21273937830/6312127393783005092023201507.jpeg</v>
      </c>
      <c r="H6087" s="4" t="s">
        <v>14658</v>
      </c>
    </row>
    <row r="6088" spans="1:8" x14ac:dyDescent="0.25">
      <c r="A6088" s="2" t="s">
        <v>6116</v>
      </c>
      <c r="B6088" s="3"/>
      <c r="C6088" s="3"/>
      <c r="D6088" s="3"/>
      <c r="E6088" s="5" t="str">
        <f>HYPERLINK("https://dpmzos25m8ivg.cloudfront.net/Documentos/631/21326207504/6312132620750408092023112158.jpg","https://dpmzos25m8ivg.cloudfront.net/Documentos/631/21326207504/6312132620750408092023112158.jpg")</f>
        <v>https://dpmzos25m8ivg.cloudfront.net/Documentos/631/21326207504/6312132620750408092023112158.jpg</v>
      </c>
      <c r="F6088" s="5" t="str">
        <f>HYPERLINK("https://dpmzos25m8ivg.cloudfront.net/Documentos/631/21326207504/6312132620750408092023112224.jpg","https://dpmzos25m8ivg.cloudfront.net/Documentos/631/21326207504/6312132620750408092023112224.jpg")</f>
        <v>https://dpmzos25m8ivg.cloudfront.net/Documentos/631/21326207504/6312132620750408092023112224.jpg</v>
      </c>
      <c r="G6088" s="5" t="str">
        <f>HYPERLINK("https://dpmzos25m8ivg.cloudfront.net/Documentos/631/21326207504/6312132620750408092023112252.jpg","https://dpmzos25m8ivg.cloudfront.net/Documentos/631/21326207504/6312132620750408092023112252.jpg")</f>
        <v>https://dpmzos25m8ivg.cloudfront.net/Documentos/631/21326207504/6312132620750408092023112252.jpg</v>
      </c>
      <c r="H6088" s="4" t="s">
        <v>14659</v>
      </c>
    </row>
    <row r="6089" spans="1:8" x14ac:dyDescent="0.25">
      <c r="A6089" s="2" t="s">
        <v>6117</v>
      </c>
      <c r="B6089" s="3"/>
      <c r="C6089" s="3"/>
      <c r="D6089" s="3"/>
      <c r="E6089" s="5" t="str">
        <f>HYPERLINK("https://dpmzos25m8ivg.cloudfront.net/Documentos/631/21390899870/6312139089987011092023154818.jpg","https://dpmzos25m8ivg.cloudfront.net/Documentos/631/21390899870/6312139089987011092023154818.jpg")</f>
        <v>https://dpmzos25m8ivg.cloudfront.net/Documentos/631/21390899870/6312139089987011092023154818.jpg</v>
      </c>
      <c r="F6089" s="5" t="str">
        <f>HYPERLINK("https://dpmzos25m8ivg.cloudfront.net/Documentos/631/21390899870/6312139089987011092023154844.jpg","https://dpmzos25m8ivg.cloudfront.net/Documentos/631/21390899870/6312139089987011092023154844.jpg")</f>
        <v>https://dpmzos25m8ivg.cloudfront.net/Documentos/631/21390899870/6312139089987011092023154844.jpg</v>
      </c>
      <c r="G6089" s="5" t="str">
        <f>HYPERLINK("https://dpmzos25m8ivg.cloudfront.net/Documentos/631/21390899870/6312139089987011092023154924.jpg","https://dpmzos25m8ivg.cloudfront.net/Documentos/631/21390899870/6312139089987011092023154924.jpg")</f>
        <v>https://dpmzos25m8ivg.cloudfront.net/Documentos/631/21390899870/6312139089987011092023154924.jpg</v>
      </c>
      <c r="H6089" s="4" t="s">
        <v>14660</v>
      </c>
    </row>
    <row r="6090" spans="1:8" x14ac:dyDescent="0.25">
      <c r="A6090" s="2" t="s">
        <v>6118</v>
      </c>
      <c r="B6090" s="3"/>
      <c r="C6090" s="3"/>
      <c r="D6090" s="3"/>
      <c r="E6090" s="5" t="str">
        <f>HYPERLINK("https://dpmzos25m8ivg.cloudfront.net/Documentos/631/21399242822/6312139924282205092023100624.pdf","https://dpmzos25m8ivg.cloudfront.net/Documentos/631/21399242822/6312139924282205092023100624.pdf")</f>
        <v>https://dpmzos25m8ivg.cloudfront.net/Documentos/631/21399242822/6312139924282205092023100624.pdf</v>
      </c>
      <c r="F6090" s="5" t="str">
        <f>HYPERLINK("https://dpmzos25m8ivg.cloudfront.net/Documentos/631/21399242822/6312139924282205092023100635.pdf","https://dpmzos25m8ivg.cloudfront.net/Documentos/631/21399242822/6312139924282205092023100635.pdf")</f>
        <v>https://dpmzos25m8ivg.cloudfront.net/Documentos/631/21399242822/6312139924282205092023100635.pdf</v>
      </c>
      <c r="G6090" s="5" t="str">
        <f>HYPERLINK("https://dpmzos25m8ivg.cloudfront.net/Documentos/631/21399242822/6312139924282205092023100645.pdf","https://dpmzos25m8ivg.cloudfront.net/Documentos/631/21399242822/6312139924282205092023100645.pdf")</f>
        <v>https://dpmzos25m8ivg.cloudfront.net/Documentos/631/21399242822/6312139924282205092023100645.pdf</v>
      </c>
      <c r="H6090" s="4" t="s">
        <v>14661</v>
      </c>
    </row>
    <row r="6091" spans="1:8" x14ac:dyDescent="0.25">
      <c r="A6091" s="2" t="s">
        <v>6119</v>
      </c>
      <c r="B6091" s="3"/>
      <c r="C6091" s="3"/>
      <c r="D6091" s="3"/>
      <c r="E6091" s="5" t="str">
        <f>HYPERLINK("https://dpmzos25m8ivg.cloudfront.net/Documentos/631/21406826880/6312140682688008092023160758.pdf","https://dpmzos25m8ivg.cloudfront.net/Documentos/631/21406826880/6312140682688008092023160758.pdf")</f>
        <v>https://dpmzos25m8ivg.cloudfront.net/Documentos/631/21406826880/6312140682688008092023160758.pdf</v>
      </c>
      <c r="F6091" s="5" t="str">
        <f>HYPERLINK("https://dpmzos25m8ivg.cloudfront.net/Documentos/631/21406826880/6312140682688008092023160817.pdf","https://dpmzos25m8ivg.cloudfront.net/Documentos/631/21406826880/6312140682688008092023160817.pdf")</f>
        <v>https://dpmzos25m8ivg.cloudfront.net/Documentos/631/21406826880/6312140682688008092023160817.pdf</v>
      </c>
      <c r="G6091" s="5" t="str">
        <f>HYPERLINK("https://dpmzos25m8ivg.cloudfront.net/Documentos/631/21406826880/6312140682688008092023160835.pdf","https://dpmzos25m8ivg.cloudfront.net/Documentos/631/21406826880/6312140682688008092023160835.pdf")</f>
        <v>https://dpmzos25m8ivg.cloudfront.net/Documentos/631/21406826880/6312140682688008092023160835.pdf</v>
      </c>
      <c r="H6091" s="4" t="s">
        <v>14662</v>
      </c>
    </row>
    <row r="6092" spans="1:8" x14ac:dyDescent="0.25">
      <c r="A6092" s="2" t="s">
        <v>6120</v>
      </c>
      <c r="B6092" s="3"/>
      <c r="C6092" s="3"/>
      <c r="D6092" s="3"/>
      <c r="E6092" s="5" t="str">
        <f>HYPERLINK("https://dpmzos25m8ivg.cloudfront.net/Documentos/631/21437815120/6312143781512005092023190300.jpg","https://dpmzos25m8ivg.cloudfront.net/Documentos/631/21437815120/6312143781512005092023190300.jpg")</f>
        <v>https://dpmzos25m8ivg.cloudfront.net/Documentos/631/21437815120/6312143781512005092023190300.jpg</v>
      </c>
      <c r="F6092" s="5" t="str">
        <f>HYPERLINK("https://dpmzos25m8ivg.cloudfront.net/Documentos/631/21437815120/6312143781512005092023190356.jpg","https://dpmzos25m8ivg.cloudfront.net/Documentos/631/21437815120/6312143781512005092023190356.jpg")</f>
        <v>https://dpmzos25m8ivg.cloudfront.net/Documentos/631/21437815120/6312143781512005092023190356.jpg</v>
      </c>
      <c r="G6092" s="5" t="str">
        <f>HYPERLINK("https://dpmzos25m8ivg.cloudfront.net/Documentos/631/21437815120/6312143781512005092023190423.jpg","https://dpmzos25m8ivg.cloudfront.net/Documentos/631/21437815120/6312143781512005092023190423.jpg")</f>
        <v>https://dpmzos25m8ivg.cloudfront.net/Documentos/631/21437815120/6312143781512005092023190423.jpg</v>
      </c>
      <c r="H6092" s="4" t="s">
        <v>14663</v>
      </c>
    </row>
    <row r="6093" spans="1:8" x14ac:dyDescent="0.25">
      <c r="A6093" s="2" t="s">
        <v>6121</v>
      </c>
      <c r="B6093" s="16" t="s">
        <v>2358</v>
      </c>
      <c r="C6093" s="3"/>
      <c r="D6093" s="3"/>
      <c r="E6093" s="5" t="str">
        <f>HYPERLINK("https://dpmzos25m8ivg.cloudfront.net/Documentos/631/21476504806/6312147650480614092023154145.pdf","https://dpmzos25m8ivg.cloudfront.net/Documentos/631/21476504806/6312147650480614092023154145.pdf")</f>
        <v>https://dpmzos25m8ivg.cloudfront.net/Documentos/631/21476504806/6312147650480614092023154145.pdf</v>
      </c>
      <c r="F6093" s="5" t="str">
        <f>HYPERLINK("https://dpmzos25m8ivg.cloudfront.net/Documentos/631/21476504806/6312147650480614092023154216.pdf","https://dpmzos25m8ivg.cloudfront.net/Documentos/631/21476504806/6312147650480614092023154216.pdf")</f>
        <v>https://dpmzos25m8ivg.cloudfront.net/Documentos/631/21476504806/6312147650480614092023154216.pdf</v>
      </c>
      <c r="G6093" s="5" t="str">
        <f>HYPERLINK("https://dpmzos25m8ivg.cloudfront.net/Documentos/631/21476504806/6312147650480614092023154239.pdf","https://dpmzos25m8ivg.cloudfront.net/Documentos/631/21476504806/6312147650480614092023154239.pdf")</f>
        <v>https://dpmzos25m8ivg.cloudfront.net/Documentos/631/21476504806/6312147650480614092023154239.pdf</v>
      </c>
      <c r="H6093" s="5" t="s">
        <v>14664</v>
      </c>
    </row>
    <row r="6094" spans="1:8" x14ac:dyDescent="0.25">
      <c r="A6094" s="2" t="s">
        <v>6122</v>
      </c>
      <c r="B6094" s="3"/>
      <c r="C6094" s="3"/>
      <c r="D6094" s="3"/>
      <c r="E6094" s="5" t="str">
        <f>HYPERLINK("https://dpmzos25m8ivg.cloudfront.net/Documentos/631/21538977850/6312153897785006092023130244.jpg","https://dpmzos25m8ivg.cloudfront.net/Documentos/631/21538977850/6312153897785006092023130244.jpg")</f>
        <v>https://dpmzos25m8ivg.cloudfront.net/Documentos/631/21538977850/6312153897785006092023130244.jpg</v>
      </c>
      <c r="F6094" s="5" t="str">
        <f>HYPERLINK("https://dpmzos25m8ivg.cloudfront.net/Documentos/631/21538977850/6312153897785006092023130320.jpg","https://dpmzos25m8ivg.cloudfront.net/Documentos/631/21538977850/6312153897785006092023130320.jpg")</f>
        <v>https://dpmzos25m8ivg.cloudfront.net/Documentos/631/21538977850/6312153897785006092023130320.jpg</v>
      </c>
      <c r="G6094" s="5" t="str">
        <f>HYPERLINK("https://dpmzos25m8ivg.cloudfront.net/Documentos/631/21538977850/6312153897785006092023130447.jpg","https://dpmzos25m8ivg.cloudfront.net/Documentos/631/21538977850/6312153897785006092023130447.jpg")</f>
        <v>https://dpmzos25m8ivg.cloudfront.net/Documentos/631/21538977850/6312153897785006092023130447.jpg</v>
      </c>
      <c r="H6094" s="4" t="s">
        <v>14665</v>
      </c>
    </row>
    <row r="6095" spans="1:8" x14ac:dyDescent="0.25">
      <c r="A6095" s="2" t="s">
        <v>6123</v>
      </c>
      <c r="B6095" s="3"/>
      <c r="C6095" s="3"/>
      <c r="D6095" s="3"/>
      <c r="E6095" s="5" t="str">
        <f>HYPERLINK("https://dpmzos25m8ivg.cloudfront.net/Documentos/631/21570947848/6312157094784805092023175410.jpeg","https://dpmzos25m8ivg.cloudfront.net/Documentos/631/21570947848/6312157094784805092023175410.jpeg")</f>
        <v>https://dpmzos25m8ivg.cloudfront.net/Documentos/631/21570947848/6312157094784805092023175410.jpeg</v>
      </c>
      <c r="F6095" s="5" t="str">
        <f>HYPERLINK("https://dpmzos25m8ivg.cloudfront.net/Documentos/631/21570947848/6312157094784805092023175907.jpeg","https://dpmzos25m8ivg.cloudfront.net/Documentos/631/21570947848/6312157094784805092023175907.jpeg")</f>
        <v>https://dpmzos25m8ivg.cloudfront.net/Documentos/631/21570947848/6312157094784805092023175907.jpeg</v>
      </c>
      <c r="G6095" s="5" t="str">
        <f>HYPERLINK("https://dpmzos25m8ivg.cloudfront.net/Documentos/631/21570947848/6312157094784805092023180120.jpeg","https://dpmzos25m8ivg.cloudfront.net/Documentos/631/21570947848/6312157094784805092023180120.jpeg")</f>
        <v>https://dpmzos25m8ivg.cloudfront.net/Documentos/631/21570947848/6312157094784805092023180120.jpeg</v>
      </c>
      <c r="H6095" s="4" t="s">
        <v>14666</v>
      </c>
    </row>
    <row r="6096" spans="1:8" x14ac:dyDescent="0.25">
      <c r="A6096" s="2" t="s">
        <v>6124</v>
      </c>
      <c r="B6096" s="19" t="s">
        <v>3385</v>
      </c>
      <c r="C6096" s="3"/>
      <c r="D6096" s="3"/>
      <c r="E6096" s="5" t="str">
        <f>HYPERLINK("https://dpmzos25m8ivg.cloudfront.net/Documentos/631/21572961821/6312157296182105092023203124.pdf","https://dpmzos25m8ivg.cloudfront.net/Documentos/631/21572961821/6312157296182105092023203124.pdf")</f>
        <v>https://dpmzos25m8ivg.cloudfront.net/Documentos/631/21572961821/6312157296182105092023203124.pdf</v>
      </c>
      <c r="F6096" s="5" t="str">
        <f>HYPERLINK("https://dpmzos25m8ivg.cloudfront.net/Documentos/631/21572961821/6312157296182105092023203143.pdf","https://dpmzos25m8ivg.cloudfront.net/Documentos/631/21572961821/6312157296182105092023203143.pdf")</f>
        <v>https://dpmzos25m8ivg.cloudfront.net/Documentos/631/21572961821/6312157296182105092023203143.pdf</v>
      </c>
      <c r="G6096" s="5" t="str">
        <f>HYPERLINK("https://dpmzos25m8ivg.cloudfront.net/Documentos/631/21572961821/6312157296182105092023203203.pdf","https://dpmzos25m8ivg.cloudfront.net/Documentos/631/21572961821/6312157296182105092023203203.pdf")</f>
        <v>https://dpmzos25m8ivg.cloudfront.net/Documentos/631/21572961821/6312157296182105092023203203.pdf</v>
      </c>
      <c r="H6096" s="4" t="s">
        <v>14667</v>
      </c>
    </row>
    <row r="6097" spans="1:8" x14ac:dyDescent="0.25">
      <c r="A6097" s="2" t="s">
        <v>6125</v>
      </c>
      <c r="B6097" s="3"/>
      <c r="C6097" s="3"/>
      <c r="D6097" s="3"/>
      <c r="E6097" s="5" t="str">
        <f>HYPERLINK("https://dpmzos25m8ivg.cloudfront.net/Documentos/631/21579430805/6312157943080506092023001447.pdf","https://dpmzos25m8ivg.cloudfront.net/Documentos/631/21579430805/6312157943080506092023001447.pdf")</f>
        <v>https://dpmzos25m8ivg.cloudfront.net/Documentos/631/21579430805/6312157943080506092023001447.pdf</v>
      </c>
      <c r="F6097" s="5" t="str">
        <f>HYPERLINK("https://dpmzos25m8ivg.cloudfront.net/Documentos/631/21579430805/6312157943080506092023001501.pdf","https://dpmzos25m8ivg.cloudfront.net/Documentos/631/21579430805/6312157943080506092023001501.pdf")</f>
        <v>https://dpmzos25m8ivg.cloudfront.net/Documentos/631/21579430805/6312157943080506092023001501.pdf</v>
      </c>
      <c r="G6097" s="5" t="str">
        <f>HYPERLINK("https://dpmzos25m8ivg.cloudfront.net/Documentos/631/21579430805/6312157943080506092023001511.pdf","https://dpmzos25m8ivg.cloudfront.net/Documentos/631/21579430805/6312157943080506092023001511.pdf")</f>
        <v>https://dpmzos25m8ivg.cloudfront.net/Documentos/631/21579430805/6312157943080506092023001511.pdf</v>
      </c>
      <c r="H6097" s="4" t="s">
        <v>14668</v>
      </c>
    </row>
    <row r="6098" spans="1:8" x14ac:dyDescent="0.25">
      <c r="A6098" s="2" t="s">
        <v>6126</v>
      </c>
      <c r="B6098" s="16" t="s">
        <v>2358</v>
      </c>
      <c r="C6098" s="3"/>
      <c r="D6098" s="3"/>
      <c r="E6098" s="5" t="str">
        <f>HYPERLINK("https://dpmzos25m8ivg.cloudfront.net/Documentos/631/21699268878/6312169926887811092023163507.pdf","https://dpmzos25m8ivg.cloudfront.net/Documentos/631/21699268878/6312169926887811092023163507.pdf")</f>
        <v>https://dpmzos25m8ivg.cloudfront.net/Documentos/631/21699268878/6312169926887811092023163507.pdf</v>
      </c>
      <c r="F6098" s="5" t="str">
        <f>HYPERLINK("https://dpmzos25m8ivg.cloudfront.net/Documentos/631/21699268878/6312169926887811092023161826.pdf","https://dpmzos25m8ivg.cloudfront.net/Documentos/631/21699268878/6312169926887811092023161826.pdf")</f>
        <v>https://dpmzos25m8ivg.cloudfront.net/Documentos/631/21699268878/6312169926887811092023161826.pdf</v>
      </c>
      <c r="G6098" s="5" t="str">
        <f>HYPERLINK("https://dpmzos25m8ivg.cloudfront.net/Documentos/631/21699268878/6312169926887811092023161903.pdf","https://dpmzos25m8ivg.cloudfront.net/Documentos/631/21699268878/6312169926887811092023161903.pdf")</f>
        <v>https://dpmzos25m8ivg.cloudfront.net/Documentos/631/21699268878/6312169926887811092023161903.pdf</v>
      </c>
      <c r="H6098" s="5" t="s">
        <v>14669</v>
      </c>
    </row>
    <row r="6099" spans="1:8" x14ac:dyDescent="0.25">
      <c r="A6099" s="2" t="s">
        <v>6127</v>
      </c>
      <c r="B6099" s="3"/>
      <c r="C6099" s="3"/>
      <c r="D6099" s="3"/>
      <c r="E6099" s="5" t="str">
        <f>HYPERLINK("https://dpmzos25m8ivg.cloudfront.net/Documentos/631/21715663888/6312171566388811092023093936.pdf","https://dpmzos25m8ivg.cloudfront.net/Documentos/631/21715663888/6312171566388811092023093936.pdf")</f>
        <v>https://dpmzos25m8ivg.cloudfront.net/Documentos/631/21715663888/6312171566388811092023093936.pdf</v>
      </c>
      <c r="F6099" s="5" t="str">
        <f>HYPERLINK("https://dpmzos25m8ivg.cloudfront.net/Documentos/631/21715663888/6312171566388811092023093954.pdf","https://dpmzos25m8ivg.cloudfront.net/Documentos/631/21715663888/6312171566388811092023093954.pdf")</f>
        <v>https://dpmzos25m8ivg.cloudfront.net/Documentos/631/21715663888/6312171566388811092023093954.pdf</v>
      </c>
      <c r="G6099" s="5" t="str">
        <f>HYPERLINK("https://dpmzos25m8ivg.cloudfront.net/Documentos/631/21715663888/6312171566388811092023094012.pdf","https://dpmzos25m8ivg.cloudfront.net/Documentos/631/21715663888/6312171566388811092023094012.pdf")</f>
        <v>https://dpmzos25m8ivg.cloudfront.net/Documentos/631/21715663888/6312171566388811092023094012.pdf</v>
      </c>
      <c r="H6099" s="4" t="s">
        <v>14670</v>
      </c>
    </row>
    <row r="6100" spans="1:8" x14ac:dyDescent="0.25">
      <c r="A6100" s="2" t="s">
        <v>6128</v>
      </c>
      <c r="B6100" s="3"/>
      <c r="C6100" s="3"/>
      <c r="D6100" s="3"/>
      <c r="E6100" s="5" t="str">
        <f>HYPERLINK("https://dpmzos25m8ivg.cloudfront.net/Documentos/631/21722190884/6312172219088413092023150312.pdf","https://dpmzos25m8ivg.cloudfront.net/Documentos/631/21722190884/6312172219088413092023150312.pdf")</f>
        <v>https://dpmzos25m8ivg.cloudfront.net/Documentos/631/21722190884/6312172219088413092023150312.pdf</v>
      </c>
      <c r="F6100" s="5" t="str">
        <f>HYPERLINK("https://dpmzos25m8ivg.cloudfront.net/Documentos/631/21722190884/6312172219088413092023151016.pdf","https://dpmzos25m8ivg.cloudfront.net/Documentos/631/21722190884/6312172219088413092023151016.pdf")</f>
        <v>https://dpmzos25m8ivg.cloudfront.net/Documentos/631/21722190884/6312172219088413092023151016.pdf</v>
      </c>
      <c r="G6100" s="5" t="str">
        <f>HYPERLINK("https://dpmzos25m8ivg.cloudfront.net/Documentos/631/21722190884/6312172219088413092023150551.pdf","https://dpmzos25m8ivg.cloudfront.net/Documentos/631/21722190884/6312172219088413092023150551.pdf")</f>
        <v>https://dpmzos25m8ivg.cloudfront.net/Documentos/631/21722190884/6312172219088413092023150551.pdf</v>
      </c>
      <c r="H6100" s="4" t="s">
        <v>14671</v>
      </c>
    </row>
    <row r="6101" spans="1:8" x14ac:dyDescent="0.25">
      <c r="A6101" s="2" t="s">
        <v>6129</v>
      </c>
      <c r="B6101" s="3" t="s">
        <v>8</v>
      </c>
      <c r="C6101" s="3"/>
      <c r="D6101" s="3"/>
      <c r="E6101" s="5" t="str">
        <f>HYPERLINK("https://dpmzos25m8ivg.cloudfront.net/Documentos/631/21804913871/6312180491387105092023170233.pdf","https://dpmzos25m8ivg.cloudfront.net/Documentos/631/21804913871/6312180491387105092023170233.pdf")</f>
        <v>https://dpmzos25m8ivg.cloudfront.net/Documentos/631/21804913871/6312180491387105092023170233.pdf</v>
      </c>
      <c r="F6101" s="5" t="str">
        <f>HYPERLINK("https://dpmzos25m8ivg.cloudfront.net/Documentos/631/21804913871/6312180491387105092023170255.pdf","https://dpmzos25m8ivg.cloudfront.net/Documentos/631/21804913871/6312180491387105092023170255.pdf")</f>
        <v>https://dpmzos25m8ivg.cloudfront.net/Documentos/631/21804913871/6312180491387105092023170255.pdf</v>
      </c>
      <c r="G6101" s="5" t="str">
        <f>HYPERLINK("https://dpmzos25m8ivg.cloudfront.net/Documentos/631/21804913871/6312180491387105092023170323.pdf","https://dpmzos25m8ivg.cloudfront.net/Documentos/631/21804913871/6312180491387105092023170323.pdf")</f>
        <v>https://dpmzos25m8ivg.cloudfront.net/Documentos/631/21804913871/6312180491387105092023170323.pdf</v>
      </c>
      <c r="H6101" s="4" t="s">
        <v>14672</v>
      </c>
    </row>
    <row r="6102" spans="1:8" x14ac:dyDescent="0.25">
      <c r="A6102" s="2" t="s">
        <v>6130</v>
      </c>
      <c r="B6102" s="3"/>
      <c r="C6102" s="3"/>
      <c r="D6102" s="3"/>
      <c r="E6102" s="5" t="str">
        <f>HYPERLINK("https://dpmzos25m8ivg.cloudfront.net/Documentos/631/21830561855/6312183056185511092023155050.jpeg","https://dpmzos25m8ivg.cloudfront.net/Documentos/631/21830561855/6312183056185511092023155050.jpeg")</f>
        <v>https://dpmzos25m8ivg.cloudfront.net/Documentos/631/21830561855/6312183056185511092023155050.jpeg</v>
      </c>
      <c r="F6102" s="5" t="str">
        <f>HYPERLINK("https://dpmzos25m8ivg.cloudfront.net/Documentos/631/21830561855/6312183056185511092023155102.jpeg","https://dpmzos25m8ivg.cloudfront.net/Documentos/631/21830561855/6312183056185511092023155102.jpeg")</f>
        <v>https://dpmzos25m8ivg.cloudfront.net/Documentos/631/21830561855/6312183056185511092023155102.jpeg</v>
      </c>
      <c r="G6102" s="5" t="str">
        <f>HYPERLINK("https://dpmzos25m8ivg.cloudfront.net/Documentos/631/21830561855/6312183056185511092023155115.jpeg","https://dpmzos25m8ivg.cloudfront.net/Documentos/631/21830561855/6312183056185511092023155115.jpeg")</f>
        <v>https://dpmzos25m8ivg.cloudfront.net/Documentos/631/21830561855/6312183056185511092023155115.jpeg</v>
      </c>
      <c r="H6102" s="4" t="s">
        <v>14673</v>
      </c>
    </row>
    <row r="6103" spans="1:8" x14ac:dyDescent="0.25">
      <c r="A6103" s="2" t="s">
        <v>6131</v>
      </c>
      <c r="B6103" s="16" t="s">
        <v>2358</v>
      </c>
      <c r="C6103" s="3"/>
      <c r="D6103" s="3"/>
      <c r="E6103" s="5" t="str">
        <f>HYPERLINK("https://dpmzos25m8ivg.cloudfront.net/Documentos/631/21854593846/6312185459384607092023224034.pdf","https://dpmzos25m8ivg.cloudfront.net/Documentos/631/21854593846/6312185459384607092023224034.pdf")</f>
        <v>https://dpmzos25m8ivg.cloudfront.net/Documentos/631/21854593846/6312185459384607092023224034.pdf</v>
      </c>
      <c r="F6103" s="5" t="str">
        <f>HYPERLINK("https://dpmzos25m8ivg.cloudfront.net/Documentos/631/21854593846/6312185459384607092023224051.pdf","https://dpmzos25m8ivg.cloudfront.net/Documentos/631/21854593846/6312185459384607092023224051.pdf")</f>
        <v>https://dpmzos25m8ivg.cloudfront.net/Documentos/631/21854593846/6312185459384607092023224051.pdf</v>
      </c>
      <c r="G6103" s="5" t="str">
        <f>HYPERLINK("https://dpmzos25m8ivg.cloudfront.net/Documentos/631/21854593846/6312185459384607092023224103.pdf","https://dpmzos25m8ivg.cloudfront.net/Documentos/631/21854593846/6312185459384607092023224103.pdf")</f>
        <v>https://dpmzos25m8ivg.cloudfront.net/Documentos/631/21854593846/6312185459384607092023224103.pdf</v>
      </c>
      <c r="H6103" s="5" t="s">
        <v>14674</v>
      </c>
    </row>
    <row r="6104" spans="1:8" x14ac:dyDescent="0.25">
      <c r="A6104" s="2" t="s">
        <v>6132</v>
      </c>
      <c r="B6104" s="3"/>
      <c r="C6104" s="3"/>
      <c r="D6104" s="3"/>
      <c r="E6104" s="5" t="str">
        <f>HYPERLINK("https://dpmzos25m8ivg.cloudfront.net/Documentos/631/21877227838/6312187722783810092023210625.pdf","https://dpmzos25m8ivg.cloudfront.net/Documentos/631/21877227838/6312187722783810092023210625.pdf")</f>
        <v>https://dpmzos25m8ivg.cloudfront.net/Documentos/631/21877227838/6312187722783810092023210625.pdf</v>
      </c>
      <c r="F6104" s="5" t="str">
        <f>HYPERLINK("https://dpmzos25m8ivg.cloudfront.net/Documentos/631/21877227838/6312187722783810092023210644.pdf","https://dpmzos25m8ivg.cloudfront.net/Documentos/631/21877227838/6312187722783810092023210644.pdf")</f>
        <v>https://dpmzos25m8ivg.cloudfront.net/Documentos/631/21877227838/6312187722783810092023210644.pdf</v>
      </c>
      <c r="G6104" s="5" t="str">
        <f>HYPERLINK("https://dpmzos25m8ivg.cloudfront.net/Documentos/631/21877227838/6312187722783810092023210705.pdf","https://dpmzos25m8ivg.cloudfront.net/Documentos/631/21877227838/6312187722783810092023210705.pdf")</f>
        <v>https://dpmzos25m8ivg.cloudfront.net/Documentos/631/21877227838/6312187722783810092023210705.pdf</v>
      </c>
      <c r="H6104" s="4" t="s">
        <v>14675</v>
      </c>
    </row>
    <row r="6105" spans="1:8" x14ac:dyDescent="0.25">
      <c r="A6105" s="2" t="s">
        <v>6133</v>
      </c>
      <c r="B6105" s="3" t="s">
        <v>8</v>
      </c>
      <c r="C6105" s="3"/>
      <c r="D6105" s="3"/>
      <c r="E6105" s="5" t="str">
        <f>HYPERLINK("https://dpmzos25m8ivg.cloudfront.net/Documentos/631/21994190884/6312199419088411092023084952.pdf","https://dpmzos25m8ivg.cloudfront.net/Documentos/631/21994190884/6312199419088411092023084952.pdf")</f>
        <v>https://dpmzos25m8ivg.cloudfront.net/Documentos/631/21994190884/6312199419088411092023084952.pdf</v>
      </c>
      <c r="F6105" s="5" t="str">
        <f>HYPERLINK("https://dpmzos25m8ivg.cloudfront.net/Documentos/631/21994190884/6312199419088411092023085007.pdf","https://dpmzos25m8ivg.cloudfront.net/Documentos/631/21994190884/6312199419088411092023085007.pdf")</f>
        <v>https://dpmzos25m8ivg.cloudfront.net/Documentos/631/21994190884/6312199419088411092023085007.pdf</v>
      </c>
      <c r="G6105" s="5" t="str">
        <f>HYPERLINK("https://dpmzos25m8ivg.cloudfront.net/Documentos/631/21994190884/6312199419088411092023085023.pdf","https://dpmzos25m8ivg.cloudfront.net/Documentos/631/21994190884/6312199419088411092023085023.pdf")</f>
        <v>https://dpmzos25m8ivg.cloudfront.net/Documentos/631/21994190884/6312199419088411092023085023.pdf</v>
      </c>
      <c r="H6105" s="4" t="s">
        <v>14676</v>
      </c>
    </row>
    <row r="6106" spans="1:8" x14ac:dyDescent="0.25">
      <c r="A6106" s="2" t="s">
        <v>6134</v>
      </c>
      <c r="B6106" s="3"/>
      <c r="C6106" s="3"/>
      <c r="D6106" s="3"/>
      <c r="E6106" s="5" t="str">
        <f>HYPERLINK("https://dpmzos25m8ivg.cloudfront.net/Documentos/631/21996123840/6312199612384011092023120350.pdf","https://dpmzos25m8ivg.cloudfront.net/Documentos/631/21996123840/6312199612384011092023120350.pdf")</f>
        <v>https://dpmzos25m8ivg.cloudfront.net/Documentos/631/21996123840/6312199612384011092023120350.pdf</v>
      </c>
      <c r="F6106" s="5" t="str">
        <f>HYPERLINK("https://dpmzos25m8ivg.cloudfront.net/Documentos/631/21996123840/6312199612384011092023120419.pdf","https://dpmzos25m8ivg.cloudfront.net/Documentos/631/21996123840/6312199612384011092023120419.pdf")</f>
        <v>https://dpmzos25m8ivg.cloudfront.net/Documentos/631/21996123840/6312199612384011092023120419.pdf</v>
      </c>
      <c r="G6106" s="5" t="str">
        <f>HYPERLINK("https://dpmzos25m8ivg.cloudfront.net/Documentos/631/21996123840/6312199612384011092023120430.pdf","https://dpmzos25m8ivg.cloudfront.net/Documentos/631/21996123840/6312199612384011092023120430.pdf")</f>
        <v>https://dpmzos25m8ivg.cloudfront.net/Documentos/631/21996123840/6312199612384011092023120430.pdf</v>
      </c>
      <c r="H6106" s="4" t="s">
        <v>14677</v>
      </c>
    </row>
    <row r="6107" spans="1:8" x14ac:dyDescent="0.25">
      <c r="A6107" s="2" t="s">
        <v>6135</v>
      </c>
      <c r="B6107" s="3"/>
      <c r="C6107" s="3"/>
      <c r="D6107" s="3"/>
      <c r="E6107" s="5" t="str">
        <f>HYPERLINK("https://dpmzos25m8ivg.cloudfront.net/Documentos/631/22016609800/6312201660980007092023075043.pdf","https://dpmzos25m8ivg.cloudfront.net/Documentos/631/22016609800/6312201660980007092023075043.pdf")</f>
        <v>https://dpmzos25m8ivg.cloudfront.net/Documentos/631/22016609800/6312201660980007092023075043.pdf</v>
      </c>
      <c r="F6107" s="5" t="str">
        <f>HYPERLINK("https://dpmzos25m8ivg.cloudfront.net/Documentos/631/22016609800/6312201660980007092023075109.pdf","https://dpmzos25m8ivg.cloudfront.net/Documentos/631/22016609800/6312201660980007092023075109.pdf")</f>
        <v>https://dpmzos25m8ivg.cloudfront.net/Documentos/631/22016609800/6312201660980007092023075109.pdf</v>
      </c>
      <c r="G6107" s="5" t="str">
        <f>HYPERLINK("https://dpmzos25m8ivg.cloudfront.net/Documentos/631/22016609800/6312201660980007092023075129.pdf","https://dpmzos25m8ivg.cloudfront.net/Documentos/631/22016609800/6312201660980007092023075129.pdf")</f>
        <v>https://dpmzos25m8ivg.cloudfront.net/Documentos/631/22016609800/6312201660980007092023075129.pdf</v>
      </c>
      <c r="H6107" s="4" t="s">
        <v>14678</v>
      </c>
    </row>
    <row r="6108" spans="1:8" x14ac:dyDescent="0.25">
      <c r="A6108" s="2" t="s">
        <v>6136</v>
      </c>
      <c r="B6108" s="16" t="s">
        <v>2358</v>
      </c>
      <c r="C6108" s="3"/>
      <c r="D6108" s="3"/>
      <c r="E6108" s="5" t="str">
        <f>HYPERLINK("https://dpmzos25m8ivg.cloudfront.net/Documentos/631/22037657803/6312203765780310092023103607.jpg","https://dpmzos25m8ivg.cloudfront.net/Documentos/631/22037657803/6312203765780310092023103607.jpg")</f>
        <v>https://dpmzos25m8ivg.cloudfront.net/Documentos/631/22037657803/6312203765780310092023103607.jpg</v>
      </c>
      <c r="F6108" s="5" t="str">
        <f>HYPERLINK("https://dpmzos25m8ivg.cloudfront.net/Documentos/631/22037657803/6312203765780310092023103624.jpg","https://dpmzos25m8ivg.cloudfront.net/Documentos/631/22037657803/6312203765780310092023103624.jpg")</f>
        <v>https://dpmzos25m8ivg.cloudfront.net/Documentos/631/22037657803/6312203765780310092023103624.jpg</v>
      </c>
      <c r="G6108" s="5" t="str">
        <f>HYPERLINK("https://dpmzos25m8ivg.cloudfront.net/Documentos/631/22037657803/6312203765780310092023103639.jpg","https://dpmzos25m8ivg.cloudfront.net/Documentos/631/22037657803/6312203765780310092023103639.jpg")</f>
        <v>https://dpmzos25m8ivg.cloudfront.net/Documentos/631/22037657803/6312203765780310092023103639.jpg</v>
      </c>
      <c r="H6108" s="5" t="s">
        <v>14679</v>
      </c>
    </row>
    <row r="6109" spans="1:8" x14ac:dyDescent="0.25">
      <c r="A6109" s="2" t="s">
        <v>6137</v>
      </c>
      <c r="B6109" s="16" t="s">
        <v>2358</v>
      </c>
      <c r="C6109" s="3"/>
      <c r="D6109" s="3"/>
      <c r="E6109" s="5" t="str">
        <f>HYPERLINK("https://dpmzos25m8ivg.cloudfront.net/Documentos/631/22041891890/6312204189189013092023232130.pdf","https://dpmzos25m8ivg.cloudfront.net/Documentos/631/22041891890/6312204189189013092023232130.pdf")</f>
        <v>https://dpmzos25m8ivg.cloudfront.net/Documentos/631/22041891890/6312204189189013092023232130.pdf</v>
      </c>
      <c r="F6109" s="5" t="str">
        <f>HYPERLINK("https://dpmzos25m8ivg.cloudfront.net/Documentos/631/22041891890/6312204189189013092023232119.pdf","https://dpmzos25m8ivg.cloudfront.net/Documentos/631/22041891890/6312204189189013092023232119.pdf")</f>
        <v>https://dpmzos25m8ivg.cloudfront.net/Documentos/631/22041891890/6312204189189013092023232119.pdf</v>
      </c>
      <c r="G6109" s="5" t="str">
        <f>HYPERLINK("https://dpmzos25m8ivg.cloudfront.net/Documentos/631/22041891890/6312204189189013092023232110.pdf","https://dpmzos25m8ivg.cloudfront.net/Documentos/631/22041891890/6312204189189013092023232110.pdf")</f>
        <v>https://dpmzos25m8ivg.cloudfront.net/Documentos/631/22041891890/6312204189189013092023232110.pdf</v>
      </c>
      <c r="H6109" s="5" t="s">
        <v>14680</v>
      </c>
    </row>
    <row r="6110" spans="1:8" x14ac:dyDescent="0.25">
      <c r="A6110" s="2" t="s">
        <v>6138</v>
      </c>
      <c r="B6110" s="16" t="s">
        <v>2358</v>
      </c>
      <c r="C6110" s="3"/>
      <c r="D6110" s="3"/>
      <c r="E6110" s="5" t="str">
        <f>HYPERLINK("https://dpmzos25m8ivg.cloudfront.net/Documentos/631/22066445843/6312206644584311092023131046.pdf","https://dpmzos25m8ivg.cloudfront.net/Documentos/631/22066445843/6312206644584311092023131046.pdf")</f>
        <v>https://dpmzos25m8ivg.cloudfront.net/Documentos/631/22066445843/6312206644584311092023131046.pdf</v>
      </c>
      <c r="F6110" s="5" t="str">
        <f>HYPERLINK("https://dpmzos25m8ivg.cloudfront.net/Documentos/631/22066445843/6312206644584311092023131105.pdf","https://dpmzos25m8ivg.cloudfront.net/Documentos/631/22066445843/6312206644584311092023131105.pdf")</f>
        <v>https://dpmzos25m8ivg.cloudfront.net/Documentos/631/22066445843/6312206644584311092023131105.pdf</v>
      </c>
      <c r="G6110" s="5" t="str">
        <f>HYPERLINK("https://dpmzos25m8ivg.cloudfront.net/Documentos/631/22066445843/6312206644584311092023131142.pdf","https://dpmzos25m8ivg.cloudfront.net/Documentos/631/22066445843/6312206644584311092023131142.pdf")</f>
        <v>https://dpmzos25m8ivg.cloudfront.net/Documentos/631/22066445843/6312206644584311092023131142.pdf</v>
      </c>
      <c r="H6110" s="5" t="s">
        <v>14681</v>
      </c>
    </row>
    <row r="6111" spans="1:8" x14ac:dyDescent="0.25">
      <c r="A6111" s="2" t="s">
        <v>6139</v>
      </c>
      <c r="B6111" s="3"/>
      <c r="C6111" s="3"/>
      <c r="D6111" s="3"/>
      <c r="E6111" s="5" t="str">
        <f>HYPERLINK("https://dpmzos25m8ivg.cloudfront.net/Documentos/631/22075468885/6312207546888511092023171434.pdf","https://dpmzos25m8ivg.cloudfront.net/Documentos/631/22075468885/6312207546888511092023171434.pdf")</f>
        <v>https://dpmzos25m8ivg.cloudfront.net/Documentos/631/22075468885/6312207546888511092023171434.pdf</v>
      </c>
      <c r="F6111" s="5" t="str">
        <f>HYPERLINK("https://dpmzos25m8ivg.cloudfront.net/Documentos/631/22075468885/6312207546888511092023171447.pdf","https://dpmzos25m8ivg.cloudfront.net/Documentos/631/22075468885/6312207546888511092023171447.pdf")</f>
        <v>https://dpmzos25m8ivg.cloudfront.net/Documentos/631/22075468885/6312207546888511092023171447.pdf</v>
      </c>
      <c r="G6111" s="5" t="str">
        <f>HYPERLINK("https://dpmzos25m8ivg.cloudfront.net/Documentos/631/22075468885/6312207546888511092023171500.pdf","https://dpmzos25m8ivg.cloudfront.net/Documentos/631/22075468885/6312207546888511092023171500.pdf")</f>
        <v>https://dpmzos25m8ivg.cloudfront.net/Documentos/631/22075468885/6312207546888511092023171500.pdf</v>
      </c>
      <c r="H6111" s="4" t="s">
        <v>14682</v>
      </c>
    </row>
    <row r="6112" spans="1:8" x14ac:dyDescent="0.25">
      <c r="A6112" s="2" t="s">
        <v>6140</v>
      </c>
      <c r="B6112" s="3"/>
      <c r="C6112" s="3"/>
      <c r="D6112" s="3"/>
      <c r="E6112" s="5" t="str">
        <f>HYPERLINK("https://dpmzos25m8ivg.cloudfront.net/Documentos/631/22076264825/6312207626482505092023132344.pdf","https://dpmzos25m8ivg.cloudfront.net/Documentos/631/22076264825/6312207626482505092023132344.pdf")</f>
        <v>https://dpmzos25m8ivg.cloudfront.net/Documentos/631/22076264825/6312207626482505092023132344.pdf</v>
      </c>
      <c r="F6112" s="5" t="str">
        <f>HYPERLINK("https://dpmzos25m8ivg.cloudfront.net/Documentos/631/22076264825/6312207626482505092023132403.pdf","https://dpmzos25m8ivg.cloudfront.net/Documentos/631/22076264825/6312207626482505092023132403.pdf")</f>
        <v>https://dpmzos25m8ivg.cloudfront.net/Documentos/631/22076264825/6312207626482505092023132403.pdf</v>
      </c>
      <c r="G6112" s="5" t="str">
        <f>HYPERLINK("https://dpmzos25m8ivg.cloudfront.net/Documentos/631/22076264825/6312207626482505092023132412.pdf","https://dpmzos25m8ivg.cloudfront.net/Documentos/631/22076264825/6312207626482505092023132412.pdf")</f>
        <v>https://dpmzos25m8ivg.cloudfront.net/Documentos/631/22076264825/6312207626482505092023132412.pdf</v>
      </c>
      <c r="H6112" s="4" t="s">
        <v>14683</v>
      </c>
    </row>
    <row r="6113" spans="1:8" x14ac:dyDescent="0.25">
      <c r="A6113" s="2" t="s">
        <v>6141</v>
      </c>
      <c r="B6113" s="3"/>
      <c r="C6113" s="3"/>
      <c r="D6113" s="3"/>
      <c r="E6113" s="5" t="str">
        <f>HYPERLINK("https://dpmzos25m8ivg.cloudfront.net/Documentos/631/22088581820/6312208858182005092023123554.jpg","https://dpmzos25m8ivg.cloudfront.net/Documentos/631/22088581820/6312208858182005092023123554.jpg")</f>
        <v>https://dpmzos25m8ivg.cloudfront.net/Documentos/631/22088581820/6312208858182005092023123554.jpg</v>
      </c>
      <c r="F6113" s="5" t="str">
        <f>HYPERLINK("https://dpmzos25m8ivg.cloudfront.net/Documentos/631/22088581820/6312208858182005092023123610.jpg","https://dpmzos25m8ivg.cloudfront.net/Documentos/631/22088581820/6312208858182005092023123610.jpg")</f>
        <v>https://dpmzos25m8ivg.cloudfront.net/Documentos/631/22088581820/6312208858182005092023123610.jpg</v>
      </c>
      <c r="G6113" s="5" t="str">
        <f>HYPERLINK("https://dpmzos25m8ivg.cloudfront.net/Documentos/631/22088581820/6312208858182005092023123632.jpg","https://dpmzos25m8ivg.cloudfront.net/Documentos/631/22088581820/6312208858182005092023123632.jpg")</f>
        <v>https://dpmzos25m8ivg.cloudfront.net/Documentos/631/22088581820/6312208858182005092023123632.jpg</v>
      </c>
      <c r="H6113" s="4" t="s">
        <v>14684</v>
      </c>
    </row>
    <row r="6114" spans="1:8" x14ac:dyDescent="0.25">
      <c r="A6114" s="2" t="s">
        <v>6142</v>
      </c>
      <c r="B6114" s="3"/>
      <c r="C6114" s="3"/>
      <c r="D6114" s="3"/>
      <c r="E6114" s="5" t="str">
        <f>HYPERLINK("https://dpmzos25m8ivg.cloudfront.net/Documentos/631/22133385827/6312213338582711092023121219.pdf","https://dpmzos25m8ivg.cloudfront.net/Documentos/631/22133385827/6312213338582711092023121219.pdf")</f>
        <v>https://dpmzos25m8ivg.cloudfront.net/Documentos/631/22133385827/6312213338582711092023121219.pdf</v>
      </c>
      <c r="F6114" s="5" t="str">
        <f>HYPERLINK("https://dpmzos25m8ivg.cloudfront.net/Documentos/631/22133385827/6312213338582711092023121235.pdf","https://dpmzos25m8ivg.cloudfront.net/Documentos/631/22133385827/6312213338582711092023121235.pdf")</f>
        <v>https://dpmzos25m8ivg.cloudfront.net/Documentos/631/22133385827/6312213338582711092023121235.pdf</v>
      </c>
      <c r="G6114" s="5" t="str">
        <f>HYPERLINK("https://dpmzos25m8ivg.cloudfront.net/Documentos/631/22133385827/6312213338582711092023121244.pdf","https://dpmzos25m8ivg.cloudfront.net/Documentos/631/22133385827/6312213338582711092023121244.pdf")</f>
        <v>https://dpmzos25m8ivg.cloudfront.net/Documentos/631/22133385827/6312213338582711092023121244.pdf</v>
      </c>
      <c r="H6114" s="4" t="s">
        <v>14685</v>
      </c>
    </row>
    <row r="6115" spans="1:8" x14ac:dyDescent="0.25">
      <c r="A6115" s="2" t="s">
        <v>6143</v>
      </c>
      <c r="B6115" s="3"/>
      <c r="C6115" s="3"/>
      <c r="D6115" s="3"/>
      <c r="E6115" s="5" t="str">
        <f>HYPERLINK("https://dpmzos25m8ivg.cloudfront.net/Documentos/631/22219510425/6312221951042507092023111648.jpeg","https://dpmzos25m8ivg.cloudfront.net/Documentos/631/22219510425/6312221951042507092023111648.jpeg")</f>
        <v>https://dpmzos25m8ivg.cloudfront.net/Documentos/631/22219510425/6312221951042507092023111648.jpeg</v>
      </c>
      <c r="F6115" s="5" t="str">
        <f>HYPERLINK("https://dpmzos25m8ivg.cloudfront.net/Documentos/631/22219510425/6312221951042507092023111704.jpeg","https://dpmzos25m8ivg.cloudfront.net/Documentos/631/22219510425/6312221951042507092023111704.jpeg")</f>
        <v>https://dpmzos25m8ivg.cloudfront.net/Documentos/631/22219510425/6312221951042507092023111704.jpeg</v>
      </c>
      <c r="G6115" s="5" t="str">
        <f>HYPERLINK("https://dpmzos25m8ivg.cloudfront.net/Documentos/631/22219510425/6312221951042507092023111718.jpeg","https://dpmzos25m8ivg.cloudfront.net/Documentos/631/22219510425/6312221951042507092023111718.jpeg")</f>
        <v>https://dpmzos25m8ivg.cloudfront.net/Documentos/631/22219510425/6312221951042507092023111718.jpeg</v>
      </c>
      <c r="H6115" s="4" t="s">
        <v>14686</v>
      </c>
    </row>
    <row r="6116" spans="1:8" x14ac:dyDescent="0.25">
      <c r="A6116" s="2" t="s">
        <v>6144</v>
      </c>
      <c r="B6116" s="3"/>
      <c r="C6116" s="3"/>
      <c r="D6116" s="3"/>
      <c r="E6116" s="5" t="str">
        <f>HYPERLINK("https://dpmzos25m8ivg.cloudfront.net/Documentos/631/22254129015/6312225412901506092023190604.pdf","https://dpmzos25m8ivg.cloudfront.net/Documentos/631/22254129015/6312225412901506092023190604.pdf")</f>
        <v>https://dpmzos25m8ivg.cloudfront.net/Documentos/631/22254129015/6312225412901506092023190604.pdf</v>
      </c>
      <c r="F6116" s="5" t="str">
        <f>HYPERLINK("https://dpmzos25m8ivg.cloudfront.net/Documentos/631/22254129015/6312225412901506092023190612.pdf","https://dpmzos25m8ivg.cloudfront.net/Documentos/631/22254129015/6312225412901506092023190612.pdf")</f>
        <v>https://dpmzos25m8ivg.cloudfront.net/Documentos/631/22254129015/6312225412901506092023190612.pdf</v>
      </c>
      <c r="G6116" s="5" t="str">
        <f>HYPERLINK("https://dpmzos25m8ivg.cloudfront.net/Documentos/631/22254129015/6312225412901506092023190621.pdf","https://dpmzos25m8ivg.cloudfront.net/Documentos/631/22254129015/6312225412901506092023190621.pdf")</f>
        <v>https://dpmzos25m8ivg.cloudfront.net/Documentos/631/22254129015/6312225412901506092023190621.pdf</v>
      </c>
      <c r="H6116" s="4" t="s">
        <v>14687</v>
      </c>
    </row>
    <row r="6117" spans="1:8" x14ac:dyDescent="0.25">
      <c r="A6117" s="2" t="s">
        <v>6145</v>
      </c>
      <c r="B6117" s="3"/>
      <c r="C6117" s="3"/>
      <c r="D6117" s="3"/>
      <c r="E6117" s="5" t="str">
        <f>HYPERLINK("https://dpmzos25m8ivg.cloudfront.net/Documentos/631/22270163885/6312227016388511092023140233.pdf","https://dpmzos25m8ivg.cloudfront.net/Documentos/631/22270163885/6312227016388511092023140233.pdf")</f>
        <v>https://dpmzos25m8ivg.cloudfront.net/Documentos/631/22270163885/6312227016388511092023140233.pdf</v>
      </c>
      <c r="F6117" s="5" t="str">
        <f>HYPERLINK("https://dpmzos25m8ivg.cloudfront.net/Documentos/631/22270163885/6312227016388511092023140303.pdf","https://dpmzos25m8ivg.cloudfront.net/Documentos/631/22270163885/6312227016388511092023140303.pdf")</f>
        <v>https://dpmzos25m8ivg.cloudfront.net/Documentos/631/22270163885/6312227016388511092023140303.pdf</v>
      </c>
      <c r="G6117" s="5" t="str">
        <f>HYPERLINK("https://dpmzos25m8ivg.cloudfront.net/Documentos/631/22270163885/6312227016388511092023140353.pdf","https://dpmzos25m8ivg.cloudfront.net/Documentos/631/22270163885/6312227016388511092023140353.pdf")</f>
        <v>https://dpmzos25m8ivg.cloudfront.net/Documentos/631/22270163885/6312227016388511092023140353.pdf</v>
      </c>
      <c r="H6117" s="4" t="s">
        <v>14688</v>
      </c>
    </row>
    <row r="6118" spans="1:8" x14ac:dyDescent="0.25">
      <c r="A6118" s="2" t="s">
        <v>6146</v>
      </c>
      <c r="B6118" s="3"/>
      <c r="C6118" s="3"/>
      <c r="D6118" s="3"/>
      <c r="E6118" s="5" t="str">
        <f>HYPERLINK("https://dpmzos25m8ivg.cloudfront.net/Documentos/631/22294164806/6312229416480608092023111013.pdf","https://dpmzos25m8ivg.cloudfront.net/Documentos/631/22294164806/6312229416480608092023111013.pdf")</f>
        <v>https://dpmzos25m8ivg.cloudfront.net/Documentos/631/22294164806/6312229416480608092023111013.pdf</v>
      </c>
      <c r="F6118" s="5" t="str">
        <f>HYPERLINK("https://dpmzos25m8ivg.cloudfront.net/Documentos/631/22294164806/6312229416480608092023111543.pdf","https://dpmzos25m8ivg.cloudfront.net/Documentos/631/22294164806/6312229416480608092023111543.pdf")</f>
        <v>https://dpmzos25m8ivg.cloudfront.net/Documentos/631/22294164806/6312229416480608092023111543.pdf</v>
      </c>
      <c r="G6118" s="5" t="str">
        <f>HYPERLINK("https://dpmzos25m8ivg.cloudfront.net/Documentos/631/22294164806/6312229416480608092023111639.pdf","https://dpmzos25m8ivg.cloudfront.net/Documentos/631/22294164806/6312229416480608092023111639.pdf")</f>
        <v>https://dpmzos25m8ivg.cloudfront.net/Documentos/631/22294164806/6312229416480608092023111639.pdf</v>
      </c>
      <c r="H6118" s="4" t="s">
        <v>14689</v>
      </c>
    </row>
    <row r="6119" spans="1:8" x14ac:dyDescent="0.25">
      <c r="A6119" s="2" t="s">
        <v>6147</v>
      </c>
      <c r="B6119" s="3"/>
      <c r="C6119" s="3"/>
      <c r="D6119" s="3"/>
      <c r="E6119" s="5" t="str">
        <f>HYPERLINK("https://dpmzos25m8ivg.cloudfront.net/Documentos/631/22312083850/6312231208385013092023154944.jpg","https://dpmzos25m8ivg.cloudfront.net/Documentos/631/22312083850/6312231208385013092023154944.jpg")</f>
        <v>https://dpmzos25m8ivg.cloudfront.net/Documentos/631/22312083850/6312231208385013092023154944.jpg</v>
      </c>
      <c r="F6119" s="5" t="str">
        <f>HYPERLINK("https://dpmzos25m8ivg.cloudfront.net/Documentos/631/22312083850/6312231208385013092023155051.jpg","https://dpmzos25m8ivg.cloudfront.net/Documentos/631/22312083850/6312231208385013092023155051.jpg")</f>
        <v>https://dpmzos25m8ivg.cloudfront.net/Documentos/631/22312083850/6312231208385013092023155051.jpg</v>
      </c>
      <c r="G6119" s="5" t="str">
        <f>HYPERLINK("https://dpmzos25m8ivg.cloudfront.net/Documentos/631/22312083850/6312231208385013092023155132.jpg","https://dpmzos25m8ivg.cloudfront.net/Documentos/631/22312083850/6312231208385013092023155132.jpg")</f>
        <v>https://dpmzos25m8ivg.cloudfront.net/Documentos/631/22312083850/6312231208385013092023155132.jpg</v>
      </c>
      <c r="H6119" s="4" t="s">
        <v>14690</v>
      </c>
    </row>
    <row r="6120" spans="1:8" x14ac:dyDescent="0.25">
      <c r="A6120" s="2" t="s">
        <v>6148</v>
      </c>
      <c r="B6120" s="3"/>
      <c r="C6120" s="3"/>
      <c r="D6120" s="3"/>
      <c r="E6120" s="5" t="str">
        <f>HYPERLINK("https://dpmzos25m8ivg.cloudfront.net/Documentos/631/22340796830/6312234079683006092023110407.jpg","https://dpmzos25m8ivg.cloudfront.net/Documentos/631/22340796830/6312234079683006092023110407.jpg")</f>
        <v>https://dpmzos25m8ivg.cloudfront.net/Documentos/631/22340796830/6312234079683006092023110407.jpg</v>
      </c>
      <c r="F6120" s="5" t="str">
        <f>HYPERLINK("https://dpmzos25m8ivg.cloudfront.net/Documentos/631/22340796830/6312234079683006092023110417.jpg","https://dpmzos25m8ivg.cloudfront.net/Documentos/631/22340796830/6312234079683006092023110417.jpg")</f>
        <v>https://dpmzos25m8ivg.cloudfront.net/Documentos/631/22340796830/6312234079683006092023110417.jpg</v>
      </c>
      <c r="G6120" s="5" t="str">
        <f>HYPERLINK("https://dpmzos25m8ivg.cloudfront.net/Documentos/631/22340796830/6312234079683006092023110426.jpg","https://dpmzos25m8ivg.cloudfront.net/Documentos/631/22340796830/6312234079683006092023110426.jpg")</f>
        <v>https://dpmzos25m8ivg.cloudfront.net/Documentos/631/22340796830/6312234079683006092023110426.jpg</v>
      </c>
      <c r="H6120" s="4" t="s">
        <v>14691</v>
      </c>
    </row>
    <row r="6121" spans="1:8" x14ac:dyDescent="0.25">
      <c r="A6121" s="2" t="s">
        <v>6149</v>
      </c>
      <c r="B6121" s="3"/>
      <c r="C6121" s="3"/>
      <c r="D6121" s="3"/>
      <c r="E6121" s="5" t="str">
        <f>HYPERLINK("https://dpmzos25m8ivg.cloudfront.net/Documentos/631/22383711845/6312238371184505092023132306.pdf","https://dpmzos25m8ivg.cloudfront.net/Documentos/631/22383711845/6312238371184505092023132306.pdf")</f>
        <v>https://dpmzos25m8ivg.cloudfront.net/Documentos/631/22383711845/6312238371184505092023132306.pdf</v>
      </c>
      <c r="F6121" s="5" t="str">
        <f>HYPERLINK("https://dpmzos25m8ivg.cloudfront.net/Documentos/631/22383711845/6312238371184505092023132319.pdf","https://dpmzos25m8ivg.cloudfront.net/Documentos/631/22383711845/6312238371184505092023132319.pdf")</f>
        <v>https://dpmzos25m8ivg.cloudfront.net/Documentos/631/22383711845/6312238371184505092023132319.pdf</v>
      </c>
      <c r="G6121" s="5" t="str">
        <f>HYPERLINK("https://dpmzos25m8ivg.cloudfront.net/Documentos/631/22383711845/6312238371184505092023132331.pdf","https://dpmzos25m8ivg.cloudfront.net/Documentos/631/22383711845/6312238371184505092023132331.pdf")</f>
        <v>https://dpmzos25m8ivg.cloudfront.net/Documentos/631/22383711845/6312238371184505092023132331.pdf</v>
      </c>
      <c r="H6121" s="4" t="s">
        <v>14692</v>
      </c>
    </row>
    <row r="6122" spans="1:8" x14ac:dyDescent="0.25">
      <c r="A6122" s="2" t="s">
        <v>6150</v>
      </c>
      <c r="B6122" s="3"/>
      <c r="C6122" s="3"/>
      <c r="D6122" s="3"/>
      <c r="E6122" s="5" t="str">
        <f>HYPERLINK("https://dpmzos25m8ivg.cloudfront.net/Documentos/631/22407995368/6312240799536805092023155848.jpg","https://dpmzos25m8ivg.cloudfront.net/Documentos/631/22407995368/6312240799536805092023155848.jpg")</f>
        <v>https://dpmzos25m8ivg.cloudfront.net/Documentos/631/22407995368/6312240799536805092023155848.jpg</v>
      </c>
      <c r="F6122" s="5" t="str">
        <f>HYPERLINK("https://dpmzos25m8ivg.cloudfront.net/Documentos/631/22407995368/6312240799536805092023171027.jpg","https://dpmzos25m8ivg.cloudfront.net/Documentos/631/22407995368/6312240799536805092023171027.jpg")</f>
        <v>https://dpmzos25m8ivg.cloudfront.net/Documentos/631/22407995368/6312240799536805092023171027.jpg</v>
      </c>
      <c r="G6122" s="5" t="str">
        <f>HYPERLINK("https://dpmzos25m8ivg.cloudfront.net/Documentos/631/22407995368/6312240799536805092023205956.jpg","https://dpmzos25m8ivg.cloudfront.net/Documentos/631/22407995368/6312240799536805092023205956.jpg")</f>
        <v>https://dpmzos25m8ivg.cloudfront.net/Documentos/631/22407995368/6312240799536805092023205956.jpg</v>
      </c>
      <c r="H6122" s="4" t="s">
        <v>14693</v>
      </c>
    </row>
    <row r="6123" spans="1:8" x14ac:dyDescent="0.25">
      <c r="A6123" s="2" t="s">
        <v>6151</v>
      </c>
      <c r="B6123" s="3"/>
      <c r="C6123" s="3"/>
      <c r="D6123" s="3"/>
      <c r="E6123" s="5" t="str">
        <f>HYPERLINK("https://dpmzos25m8ivg.cloudfront.net/Documentos/631/22417149842/6312241714984214092023152101.pdf","https://dpmzos25m8ivg.cloudfront.net/Documentos/631/22417149842/6312241714984214092023152101.pdf")</f>
        <v>https://dpmzos25m8ivg.cloudfront.net/Documentos/631/22417149842/6312241714984214092023152101.pdf</v>
      </c>
      <c r="F6123" s="5" t="str">
        <f>HYPERLINK("https://dpmzos25m8ivg.cloudfront.net/Documentos/631/22417149842/6312241714984214092023152200.pdf","https://dpmzos25m8ivg.cloudfront.net/Documentos/631/22417149842/6312241714984214092023152200.pdf")</f>
        <v>https://dpmzos25m8ivg.cloudfront.net/Documentos/631/22417149842/6312241714984214092023152200.pdf</v>
      </c>
      <c r="G6123" s="5" t="str">
        <f>HYPERLINK("https://dpmzos25m8ivg.cloudfront.net/Documentos/631/22417149842/6312241714984214092023152229.pdf","https://dpmzos25m8ivg.cloudfront.net/Documentos/631/22417149842/6312241714984214092023152229.pdf")</f>
        <v>https://dpmzos25m8ivg.cloudfront.net/Documentos/631/22417149842/6312241714984214092023152229.pdf</v>
      </c>
      <c r="H6123" s="4" t="s">
        <v>14694</v>
      </c>
    </row>
    <row r="6124" spans="1:8" x14ac:dyDescent="0.25">
      <c r="A6124" s="2" t="s">
        <v>6152</v>
      </c>
      <c r="B6124" s="3"/>
      <c r="C6124" s="3"/>
      <c r="D6124" s="3"/>
      <c r="E6124" s="5" t="str">
        <f>HYPERLINK("https://dpmzos25m8ivg.cloudfront.net/Documentos/631/22442548879/6312244254887911092023154657.pdf","https://dpmzos25m8ivg.cloudfront.net/Documentos/631/22442548879/6312244254887911092023154657.pdf")</f>
        <v>https://dpmzos25m8ivg.cloudfront.net/Documentos/631/22442548879/6312244254887911092023154657.pdf</v>
      </c>
      <c r="F6124" s="5" t="str">
        <f>HYPERLINK("https://dpmzos25m8ivg.cloudfront.net/Documentos/631/22442548879/6312244254887911092023154713.pdf","https://dpmzos25m8ivg.cloudfront.net/Documentos/631/22442548879/6312244254887911092023154713.pdf")</f>
        <v>https://dpmzos25m8ivg.cloudfront.net/Documentos/631/22442548879/6312244254887911092023154713.pdf</v>
      </c>
      <c r="G6124" s="5" t="str">
        <f>HYPERLINK("https://dpmzos25m8ivg.cloudfront.net/Documentos/631/22442548879/6312244254887911092023154750.pdf","https://dpmzos25m8ivg.cloudfront.net/Documentos/631/22442548879/6312244254887911092023154750.pdf")</f>
        <v>https://dpmzos25m8ivg.cloudfront.net/Documentos/631/22442548879/6312244254887911092023154750.pdf</v>
      </c>
      <c r="H6124" s="4" t="s">
        <v>14695</v>
      </c>
    </row>
    <row r="6125" spans="1:8" x14ac:dyDescent="0.25">
      <c r="A6125" s="2" t="s">
        <v>6153</v>
      </c>
      <c r="B6125" s="3"/>
      <c r="C6125" s="3"/>
      <c r="D6125" s="3"/>
      <c r="E6125" s="5" t="str">
        <f>HYPERLINK("https://dpmzos25m8ivg.cloudfront.net/Documentos/631/22444457803/6312244445780310092023124600.pdf","https://dpmzos25m8ivg.cloudfront.net/Documentos/631/22444457803/6312244445780310092023124600.pdf")</f>
        <v>https://dpmzos25m8ivg.cloudfront.net/Documentos/631/22444457803/6312244445780310092023124600.pdf</v>
      </c>
      <c r="F6125" s="5" t="str">
        <f>HYPERLINK("https://dpmzos25m8ivg.cloudfront.net/Documentos/631/22444457803/6312244445780310092023124609.pdf","https://dpmzos25m8ivg.cloudfront.net/Documentos/631/22444457803/6312244445780310092023124609.pdf")</f>
        <v>https://dpmzos25m8ivg.cloudfront.net/Documentos/631/22444457803/6312244445780310092023124609.pdf</v>
      </c>
      <c r="G6125" s="5" t="str">
        <f>HYPERLINK("https://dpmzos25m8ivg.cloudfront.net/Documentos/631/22444457803/6312244445780310092023124617.pdf","https://dpmzos25m8ivg.cloudfront.net/Documentos/631/22444457803/6312244445780310092023124617.pdf")</f>
        <v>https://dpmzos25m8ivg.cloudfront.net/Documentos/631/22444457803/6312244445780310092023124617.pdf</v>
      </c>
      <c r="H6125" s="4" t="s">
        <v>14696</v>
      </c>
    </row>
    <row r="6126" spans="1:8" x14ac:dyDescent="0.25">
      <c r="A6126" s="2" t="s">
        <v>6154</v>
      </c>
      <c r="B6126" s="16" t="s">
        <v>2358</v>
      </c>
      <c r="C6126" s="3"/>
      <c r="D6126" s="3"/>
      <c r="E6126" s="5" t="str">
        <f>HYPERLINK("https://dpmzos25m8ivg.cloudfront.net/Documentos/631/22445123801/6312244512380114092023134052.pdf","https://dpmzos25m8ivg.cloudfront.net/Documentos/631/22445123801/6312244512380114092023134052.pdf")</f>
        <v>https://dpmzos25m8ivg.cloudfront.net/Documentos/631/22445123801/6312244512380114092023134052.pdf</v>
      </c>
      <c r="F6126" s="5" t="str">
        <f>HYPERLINK("https://dpmzos25m8ivg.cloudfront.net/Documentos/631/22445123801/6312244512380114092023134111.pdf","https://dpmzos25m8ivg.cloudfront.net/Documentos/631/22445123801/6312244512380114092023134111.pdf")</f>
        <v>https://dpmzos25m8ivg.cloudfront.net/Documentos/631/22445123801/6312244512380114092023134111.pdf</v>
      </c>
      <c r="G6126" s="5" t="str">
        <f>HYPERLINK("https://dpmzos25m8ivg.cloudfront.net/Documentos/631/22445123801/6312244512380114092023134127.pdf","https://dpmzos25m8ivg.cloudfront.net/Documentos/631/22445123801/6312244512380114092023134127.pdf")</f>
        <v>https://dpmzos25m8ivg.cloudfront.net/Documentos/631/22445123801/6312244512380114092023134127.pdf</v>
      </c>
      <c r="H6126" s="5" t="s">
        <v>14697</v>
      </c>
    </row>
    <row r="6127" spans="1:8" x14ac:dyDescent="0.25">
      <c r="A6127" s="2" t="s">
        <v>6155</v>
      </c>
      <c r="B6127" s="3" t="s">
        <v>8</v>
      </c>
      <c r="C6127" s="3"/>
      <c r="D6127" s="3"/>
      <c r="E6127" s="5" t="str">
        <f>HYPERLINK("https://dpmzos25m8ivg.cloudfront.net/Documentos/631/22524139808/6312252413980809092023124847.pdf","https://dpmzos25m8ivg.cloudfront.net/Documentos/631/22524139808/6312252413980809092023124847.pdf")</f>
        <v>https://dpmzos25m8ivg.cloudfront.net/Documentos/631/22524139808/6312252413980809092023124847.pdf</v>
      </c>
      <c r="F6127" s="5" t="str">
        <f>HYPERLINK("https://dpmzos25m8ivg.cloudfront.net/Documentos/631/22524139808/6312252413980809092023124856.pdf","https://dpmzos25m8ivg.cloudfront.net/Documentos/631/22524139808/6312252413980809092023124856.pdf")</f>
        <v>https://dpmzos25m8ivg.cloudfront.net/Documentos/631/22524139808/6312252413980809092023124856.pdf</v>
      </c>
      <c r="G6127" s="5" t="str">
        <f>HYPERLINK("https://dpmzos25m8ivg.cloudfront.net/Documentos/631/22524139808/6312252413980809092023124904.pdf","https://dpmzos25m8ivg.cloudfront.net/Documentos/631/22524139808/6312252413980809092023124904.pdf")</f>
        <v>https://dpmzos25m8ivg.cloudfront.net/Documentos/631/22524139808/6312252413980809092023124904.pdf</v>
      </c>
      <c r="H6127" s="4" t="s">
        <v>14698</v>
      </c>
    </row>
    <row r="6128" spans="1:8" x14ac:dyDescent="0.25">
      <c r="A6128" s="2" t="s">
        <v>6156</v>
      </c>
      <c r="B6128" s="3"/>
      <c r="C6128" s="3"/>
      <c r="D6128" s="3"/>
      <c r="E6128" s="5" t="str">
        <f>HYPERLINK("https://dpmzos25m8ivg.cloudfront.net/Documentos/631/22556551879/6312255655187909092023213248.pdf","https://dpmzos25m8ivg.cloudfront.net/Documentos/631/22556551879/6312255655187909092023213248.pdf")</f>
        <v>https://dpmzos25m8ivg.cloudfront.net/Documentos/631/22556551879/6312255655187909092023213248.pdf</v>
      </c>
      <c r="F6128" s="5" t="str">
        <f>HYPERLINK("https://dpmzos25m8ivg.cloudfront.net/Documentos/631/22556551879/6312255655187909092023213303.pdf","https://dpmzos25m8ivg.cloudfront.net/Documentos/631/22556551879/6312255655187909092023213303.pdf")</f>
        <v>https://dpmzos25m8ivg.cloudfront.net/Documentos/631/22556551879/6312255655187909092023213303.pdf</v>
      </c>
      <c r="G6128" s="5" t="str">
        <f>HYPERLINK("https://dpmzos25m8ivg.cloudfront.net/Documentos/631/22556551879/6312255655187909092023213426.pdf","https://dpmzos25m8ivg.cloudfront.net/Documentos/631/22556551879/6312255655187909092023213426.pdf")</f>
        <v>https://dpmzos25m8ivg.cloudfront.net/Documentos/631/22556551879/6312255655187909092023213426.pdf</v>
      </c>
      <c r="H6128" s="4" t="s">
        <v>14699</v>
      </c>
    </row>
    <row r="6129" spans="1:8" x14ac:dyDescent="0.25">
      <c r="A6129" s="2" t="s">
        <v>6157</v>
      </c>
      <c r="B6129" s="3" t="s">
        <v>8</v>
      </c>
      <c r="C6129" s="3"/>
      <c r="D6129" s="3"/>
      <c r="E6129" s="5" t="str">
        <f>HYPERLINK("https://dpmzos25m8ivg.cloudfront.net/Documentos/631/22789572879/6312278957287906092023013613.pdf","https://dpmzos25m8ivg.cloudfront.net/Documentos/631/22789572879/6312278957287906092023013613.pdf")</f>
        <v>https://dpmzos25m8ivg.cloudfront.net/Documentos/631/22789572879/6312278957287906092023013613.pdf</v>
      </c>
      <c r="F6129" s="5" t="str">
        <f>HYPERLINK("https://dpmzos25m8ivg.cloudfront.net/Documentos/631/22789572879/6312278957287906092023014111.pdf","https://dpmzos25m8ivg.cloudfront.net/Documentos/631/22789572879/6312278957287906092023014111.pdf")</f>
        <v>https://dpmzos25m8ivg.cloudfront.net/Documentos/631/22789572879/6312278957287906092023014111.pdf</v>
      </c>
      <c r="G6129" s="5" t="str">
        <f>HYPERLINK("https://dpmzos25m8ivg.cloudfront.net/Documentos/631/22789572879/6312278957287906092023014130.pdf","https://dpmzos25m8ivg.cloudfront.net/Documentos/631/22789572879/6312278957287906092023014130.pdf")</f>
        <v>https://dpmzos25m8ivg.cloudfront.net/Documentos/631/22789572879/6312278957287906092023014130.pdf</v>
      </c>
      <c r="H6129" s="4" t="s">
        <v>14700</v>
      </c>
    </row>
    <row r="6130" spans="1:8" x14ac:dyDescent="0.25">
      <c r="A6130" s="2" t="s">
        <v>6158</v>
      </c>
      <c r="B6130" s="3"/>
      <c r="C6130" s="3"/>
      <c r="D6130" s="3"/>
      <c r="E6130" s="5" t="str">
        <f>HYPERLINK("https://dpmzos25m8ivg.cloudfront.net/Documentos/631/22798165806/6312279816580613092023205737.jpg","https://dpmzos25m8ivg.cloudfront.net/Documentos/631/22798165806/6312279816580613092023205737.jpg")</f>
        <v>https://dpmzos25m8ivg.cloudfront.net/Documentos/631/22798165806/6312279816580613092023205737.jpg</v>
      </c>
      <c r="F6130" s="5" t="str">
        <f>HYPERLINK("https://dpmzos25m8ivg.cloudfront.net/Documentos/631/22798165806/6312279816580613092023205754.jpg","https://dpmzos25m8ivg.cloudfront.net/Documentos/631/22798165806/6312279816580613092023205754.jpg")</f>
        <v>https://dpmzos25m8ivg.cloudfront.net/Documentos/631/22798165806/6312279816580613092023205754.jpg</v>
      </c>
      <c r="G6130" s="5" t="str">
        <f>HYPERLINK("https://dpmzos25m8ivg.cloudfront.net/Documentos/631/22798165806/6312279816580613092023205806.jpg","https://dpmzos25m8ivg.cloudfront.net/Documentos/631/22798165806/6312279816580613092023205806.jpg")</f>
        <v>https://dpmzos25m8ivg.cloudfront.net/Documentos/631/22798165806/6312279816580613092023205806.jpg</v>
      </c>
      <c r="H6130" s="4" t="s">
        <v>14701</v>
      </c>
    </row>
    <row r="6131" spans="1:8" x14ac:dyDescent="0.25">
      <c r="A6131" s="2" t="s">
        <v>6159</v>
      </c>
      <c r="B6131" s="3"/>
      <c r="C6131" s="3"/>
      <c r="D6131" s="3"/>
      <c r="E6131" s="5" t="str">
        <f>HYPERLINK("https://dpmzos25m8ivg.cloudfront.net/Documentos/631/22798821835/6312279882183507092023141120.pdf","https://dpmzos25m8ivg.cloudfront.net/Documentos/631/22798821835/6312279882183507092023141120.pdf")</f>
        <v>https://dpmzos25m8ivg.cloudfront.net/Documentos/631/22798821835/6312279882183507092023141120.pdf</v>
      </c>
      <c r="F6131" s="5" t="str">
        <f>HYPERLINK("https://dpmzos25m8ivg.cloudfront.net/Documentos/631/22798821835/6312279882183507092023141135.pdf","https://dpmzos25m8ivg.cloudfront.net/Documentos/631/22798821835/6312279882183507092023141135.pdf")</f>
        <v>https://dpmzos25m8ivg.cloudfront.net/Documentos/631/22798821835/6312279882183507092023141135.pdf</v>
      </c>
      <c r="G6131" s="5" t="str">
        <f>HYPERLINK("https://dpmzos25m8ivg.cloudfront.net/Documentos/631/22798821835/6312279882183507092023141146.pdf","https://dpmzos25m8ivg.cloudfront.net/Documentos/631/22798821835/6312279882183507092023141146.pdf")</f>
        <v>https://dpmzos25m8ivg.cloudfront.net/Documentos/631/22798821835/6312279882183507092023141146.pdf</v>
      </c>
      <c r="H6131" s="4" t="s">
        <v>14702</v>
      </c>
    </row>
    <row r="6132" spans="1:8" x14ac:dyDescent="0.25">
      <c r="A6132" s="2" t="s">
        <v>6160</v>
      </c>
      <c r="B6132" s="3"/>
      <c r="C6132" s="3"/>
      <c r="D6132" s="3"/>
      <c r="E6132" s="5" t="str">
        <f>HYPERLINK("https://dpmzos25m8ivg.cloudfront.net/Documentos/631/22801232823/6312280123282305092023171129.pdf","https://dpmzos25m8ivg.cloudfront.net/Documentos/631/22801232823/6312280123282305092023171129.pdf")</f>
        <v>https://dpmzos25m8ivg.cloudfront.net/Documentos/631/22801232823/6312280123282305092023171129.pdf</v>
      </c>
      <c r="F6132" s="5" t="str">
        <f>HYPERLINK("https://dpmzos25m8ivg.cloudfront.net/Documentos/631/22801232823/6312280123282305092023171136.pdf","https://dpmzos25m8ivg.cloudfront.net/Documentos/631/22801232823/6312280123282305092023171136.pdf")</f>
        <v>https://dpmzos25m8ivg.cloudfront.net/Documentos/631/22801232823/6312280123282305092023171136.pdf</v>
      </c>
      <c r="G6132" s="5" t="str">
        <f>HYPERLINK("https://dpmzos25m8ivg.cloudfront.net/Documentos/631/22801232823/6312280123282305092023171155.pdf","https://dpmzos25m8ivg.cloudfront.net/Documentos/631/22801232823/6312280123282305092023171155.pdf")</f>
        <v>https://dpmzos25m8ivg.cloudfront.net/Documentos/631/22801232823/6312280123282305092023171155.pdf</v>
      </c>
      <c r="H6132" s="4" t="s">
        <v>14703</v>
      </c>
    </row>
    <row r="6133" spans="1:8" x14ac:dyDescent="0.25">
      <c r="A6133" s="2" t="s">
        <v>6161</v>
      </c>
      <c r="B6133" s="3"/>
      <c r="C6133" s="3"/>
      <c r="D6133" s="3"/>
      <c r="E6133" s="5" t="str">
        <f>HYPERLINK("https://dpmzos25m8ivg.cloudfront.net/Documentos/631/22806075300/6312280607530008092023131552.jpeg","https://dpmzos25m8ivg.cloudfront.net/Documentos/631/22806075300/6312280607530008092023131552.jpeg")</f>
        <v>https://dpmzos25m8ivg.cloudfront.net/Documentos/631/22806075300/6312280607530008092023131552.jpeg</v>
      </c>
      <c r="F6133" s="5" t="str">
        <f>HYPERLINK("https://dpmzos25m8ivg.cloudfront.net/Documentos/631/22806075300/6312280607530008092023131626.jpeg","https://dpmzos25m8ivg.cloudfront.net/Documentos/631/22806075300/6312280607530008092023131626.jpeg")</f>
        <v>https://dpmzos25m8ivg.cloudfront.net/Documentos/631/22806075300/6312280607530008092023131626.jpeg</v>
      </c>
      <c r="G6133" s="5" t="str">
        <f>HYPERLINK("https://dpmzos25m8ivg.cloudfront.net/Documentos/631/22806075300/6312280607530008092023131637.jpeg","https://dpmzos25m8ivg.cloudfront.net/Documentos/631/22806075300/6312280607530008092023131637.jpeg")</f>
        <v>https://dpmzos25m8ivg.cloudfront.net/Documentos/631/22806075300/6312280607530008092023131637.jpeg</v>
      </c>
      <c r="H6133" s="4" t="s">
        <v>14704</v>
      </c>
    </row>
    <row r="6134" spans="1:8" x14ac:dyDescent="0.25">
      <c r="A6134" s="2" t="s">
        <v>6162</v>
      </c>
      <c r="B6134" s="19" t="s">
        <v>3385</v>
      </c>
      <c r="C6134" s="3"/>
      <c r="D6134" s="3"/>
      <c r="E6134" s="5" t="str">
        <f>HYPERLINK("https://dpmzos25m8ivg.cloudfront.net/Documentos/631/22860185704/6312286018570406092023191940.jpeg","https://dpmzos25m8ivg.cloudfront.net/Documentos/631/22860185704/6312286018570406092023191940.jpeg")</f>
        <v>https://dpmzos25m8ivg.cloudfront.net/Documentos/631/22860185704/6312286018570406092023191940.jpeg</v>
      </c>
      <c r="F6134" s="5" t="str">
        <f>HYPERLINK("https://dpmzos25m8ivg.cloudfront.net/Documentos/631/22860185704/6312286018570406092023191952.jpeg","https://dpmzos25m8ivg.cloudfront.net/Documentos/631/22860185704/6312286018570406092023191952.jpeg")</f>
        <v>https://dpmzos25m8ivg.cloudfront.net/Documentos/631/22860185704/6312286018570406092023191952.jpeg</v>
      </c>
      <c r="G6134" s="5" t="str">
        <f>HYPERLINK("https://dpmzos25m8ivg.cloudfront.net/Documentos/631/22860185704/6312286018570406092023192003.jpeg","https://dpmzos25m8ivg.cloudfront.net/Documentos/631/22860185704/6312286018570406092023192003.jpeg")</f>
        <v>https://dpmzos25m8ivg.cloudfront.net/Documentos/631/22860185704/6312286018570406092023192003.jpeg</v>
      </c>
      <c r="H6134" s="4" t="s">
        <v>14705</v>
      </c>
    </row>
    <row r="6135" spans="1:8" x14ac:dyDescent="0.25">
      <c r="A6135" s="2" t="s">
        <v>6163</v>
      </c>
      <c r="B6135" s="3"/>
      <c r="C6135" s="3"/>
      <c r="D6135" s="3"/>
      <c r="E6135" s="5" t="str">
        <f>HYPERLINK("https://dpmzos25m8ivg.cloudfront.net/Documentos/631/22865159809/6312286515980907092023125347.pdf","https://dpmzos25m8ivg.cloudfront.net/Documentos/631/22865159809/6312286515980907092023125347.pdf")</f>
        <v>https://dpmzos25m8ivg.cloudfront.net/Documentos/631/22865159809/6312286515980907092023125347.pdf</v>
      </c>
      <c r="F6135" s="5" t="str">
        <f>HYPERLINK("https://dpmzos25m8ivg.cloudfront.net/Documentos/631/22865159809/6312286515980907092023125413.pdf","https://dpmzos25m8ivg.cloudfront.net/Documentos/631/22865159809/6312286515980907092023125413.pdf")</f>
        <v>https://dpmzos25m8ivg.cloudfront.net/Documentos/631/22865159809/6312286515980907092023125413.pdf</v>
      </c>
      <c r="G6135" s="5" t="str">
        <f>HYPERLINK("https://dpmzos25m8ivg.cloudfront.net/Documentos/631/22865159809/6312286515980907092023125436.pdf","https://dpmzos25m8ivg.cloudfront.net/Documentos/631/22865159809/6312286515980907092023125436.pdf")</f>
        <v>https://dpmzos25m8ivg.cloudfront.net/Documentos/631/22865159809/6312286515980907092023125436.pdf</v>
      </c>
      <c r="H6135" s="4" t="s">
        <v>14706</v>
      </c>
    </row>
    <row r="6136" spans="1:8" x14ac:dyDescent="0.25">
      <c r="A6136" s="2" t="s">
        <v>6164</v>
      </c>
      <c r="B6136" s="3" t="s">
        <v>8</v>
      </c>
      <c r="C6136" s="3"/>
      <c r="D6136" s="3"/>
      <c r="E6136" s="5" t="str">
        <f>HYPERLINK("https://dpmzos25m8ivg.cloudfront.net/Documentos/631/22916227814/6312291622781414092023153748.jpg","https://dpmzos25m8ivg.cloudfront.net/Documentos/631/22916227814/6312291622781414092023153748.jpg")</f>
        <v>https://dpmzos25m8ivg.cloudfront.net/Documentos/631/22916227814/6312291622781414092023153748.jpg</v>
      </c>
      <c r="F6136" s="5" t="str">
        <f>HYPERLINK("https://dpmzos25m8ivg.cloudfront.net/Documentos/631/22916227814/6312291622781414092023164129.pdf","https://dpmzos25m8ivg.cloudfront.net/Documentos/631/22916227814/6312291622781414092023164129.pdf")</f>
        <v>https://dpmzos25m8ivg.cloudfront.net/Documentos/631/22916227814/6312291622781414092023164129.pdf</v>
      </c>
      <c r="G6136" s="5" t="str">
        <f>HYPERLINK("https://dpmzos25m8ivg.cloudfront.net/Documentos/631/22916227814/6312291622781414092023153913.jpg","https://dpmzos25m8ivg.cloudfront.net/Documentos/631/22916227814/6312291622781414092023153913.jpg")</f>
        <v>https://dpmzos25m8ivg.cloudfront.net/Documentos/631/22916227814/6312291622781414092023153913.jpg</v>
      </c>
      <c r="H6136" s="4" t="s">
        <v>14707</v>
      </c>
    </row>
    <row r="6137" spans="1:8" x14ac:dyDescent="0.25">
      <c r="A6137" s="2" t="s">
        <v>6165</v>
      </c>
      <c r="B6137" s="3"/>
      <c r="C6137" s="3"/>
      <c r="D6137" s="3"/>
      <c r="E6137" s="5" t="str">
        <f>HYPERLINK("https://dpmzos25m8ivg.cloudfront.net/Documentos/631/22919743864/6312291974386411092023162502.pdf","https://dpmzos25m8ivg.cloudfront.net/Documentos/631/22919743864/6312291974386411092023162502.pdf")</f>
        <v>https://dpmzos25m8ivg.cloudfront.net/Documentos/631/22919743864/6312291974386411092023162502.pdf</v>
      </c>
      <c r="F6137" s="5" t="str">
        <f>HYPERLINK("https://dpmzos25m8ivg.cloudfront.net/Documentos/631/22919743864/6312291974386411092023162512.pdf","https://dpmzos25m8ivg.cloudfront.net/Documentos/631/22919743864/6312291974386411092023162512.pdf")</f>
        <v>https://dpmzos25m8ivg.cloudfront.net/Documentos/631/22919743864/6312291974386411092023162512.pdf</v>
      </c>
      <c r="G6137" s="5" t="str">
        <f>HYPERLINK("https://dpmzos25m8ivg.cloudfront.net/Documentos/631/22919743864/6312291974386411092023162520.pdf","https://dpmzos25m8ivg.cloudfront.net/Documentos/631/22919743864/6312291974386411092023162520.pdf")</f>
        <v>https://dpmzos25m8ivg.cloudfront.net/Documentos/631/22919743864/6312291974386411092023162520.pdf</v>
      </c>
      <c r="H6137" s="4" t="s">
        <v>14708</v>
      </c>
    </row>
    <row r="6138" spans="1:8" x14ac:dyDescent="0.25">
      <c r="A6138" s="2" t="s">
        <v>6166</v>
      </c>
      <c r="B6138" s="3"/>
      <c r="C6138" s="3"/>
      <c r="D6138" s="3"/>
      <c r="E6138" s="5" t="str">
        <f>HYPERLINK("https://dpmzos25m8ivg.cloudfront.net/Documentos/631/22950555802/6312295055580211092023153340.jpg","https://dpmzos25m8ivg.cloudfront.net/Documentos/631/22950555802/6312295055580211092023153340.jpg")</f>
        <v>https://dpmzos25m8ivg.cloudfront.net/Documentos/631/22950555802/6312295055580211092023153340.jpg</v>
      </c>
      <c r="F6138" s="5" t="str">
        <f>HYPERLINK("https://dpmzos25m8ivg.cloudfront.net/Documentos/631/22950555802/6312295055580211092023153410.jpg","https://dpmzos25m8ivg.cloudfront.net/Documentos/631/22950555802/6312295055580211092023153410.jpg")</f>
        <v>https://dpmzos25m8ivg.cloudfront.net/Documentos/631/22950555802/6312295055580211092023153410.jpg</v>
      </c>
      <c r="G6138" s="5" t="str">
        <f>HYPERLINK("https://dpmzos25m8ivg.cloudfront.net/Documentos/631/22950555802/6312295055580211092023153434.jpg","https://dpmzos25m8ivg.cloudfront.net/Documentos/631/22950555802/6312295055580211092023153434.jpg")</f>
        <v>https://dpmzos25m8ivg.cloudfront.net/Documentos/631/22950555802/6312295055580211092023153434.jpg</v>
      </c>
      <c r="H6138" s="4" t="s">
        <v>14709</v>
      </c>
    </row>
    <row r="6139" spans="1:8" x14ac:dyDescent="0.25">
      <c r="A6139" s="2" t="s">
        <v>6167</v>
      </c>
      <c r="B6139" s="3" t="s">
        <v>8</v>
      </c>
      <c r="C6139" s="3"/>
      <c r="D6139" s="3"/>
      <c r="E6139" s="5" t="str">
        <f>HYPERLINK("https://dpmzos25m8ivg.cloudfront.net/Documentos/631/22969664895/6312296966489511092023134306.pdf","https://dpmzos25m8ivg.cloudfront.net/Documentos/631/22969664895/6312296966489511092023134306.pdf")</f>
        <v>https://dpmzos25m8ivg.cloudfront.net/Documentos/631/22969664895/6312296966489511092023134306.pdf</v>
      </c>
      <c r="F6139" s="5" t="str">
        <f>HYPERLINK("https://dpmzos25m8ivg.cloudfront.net/Documentos/631/22969664895/AR63406312296966489511092023134321.pdf","https://dpmzos25m8ivg.cloudfront.net/Documentos/631/22969664895/6312296966489511092023134321.pdf")</f>
        <v>https://dpmzos25m8ivg.cloudfront.net/Documentos/631/22969664895/6312296966489511092023134321.pdf</v>
      </c>
      <c r="G6139" s="5" t="str">
        <f>HYPERLINK("https://dpmzos25m8ivg.cloudfront.net/Documentos/631/22969664895/6312296966489511092023134357.pdf","https://dpmzos25m8ivg.cloudfront.net/Documentos/631/22969664895/6312296966489511092023134357.pdf")</f>
        <v>https://dpmzos25m8ivg.cloudfront.net/Documentos/631/22969664895/6312296966489511092023134357.pdf</v>
      </c>
      <c r="H6139" s="4" t="s">
        <v>14710</v>
      </c>
    </row>
    <row r="6140" spans="1:8" x14ac:dyDescent="0.25">
      <c r="A6140" s="2" t="s">
        <v>6168</v>
      </c>
      <c r="B6140" s="3"/>
      <c r="C6140" s="3"/>
      <c r="D6140" s="3"/>
      <c r="E6140" s="5" t="str">
        <f>HYPERLINK("https://dpmzos25m8ivg.cloudfront.net/Documentos/631/22977855858/6312297785585806092023100346.jpg","https://dpmzos25m8ivg.cloudfront.net/Documentos/631/22977855858/6312297785585806092023100346.jpg")</f>
        <v>https://dpmzos25m8ivg.cloudfront.net/Documentos/631/22977855858/6312297785585806092023100346.jpg</v>
      </c>
      <c r="F6140" s="5" t="str">
        <f>HYPERLINK("https://dpmzos25m8ivg.cloudfront.net/Documentos/631/22977855858/6312297785585806092023100418.jpg","https://dpmzos25m8ivg.cloudfront.net/Documentos/631/22977855858/6312297785585806092023100418.jpg")</f>
        <v>https://dpmzos25m8ivg.cloudfront.net/Documentos/631/22977855858/6312297785585806092023100418.jpg</v>
      </c>
      <c r="G6140" s="5" t="str">
        <f>HYPERLINK("https://dpmzos25m8ivg.cloudfront.net/Documentos/631/22977855858/6312297785585806092023100444.jpg","https://dpmzos25m8ivg.cloudfront.net/Documentos/631/22977855858/6312297785585806092023100444.jpg")</f>
        <v>https://dpmzos25m8ivg.cloudfront.net/Documentos/631/22977855858/6312297785585806092023100444.jpg</v>
      </c>
      <c r="H6140" s="4" t="s">
        <v>14711</v>
      </c>
    </row>
    <row r="6141" spans="1:8" x14ac:dyDescent="0.25">
      <c r="A6141" s="2" t="s">
        <v>6169</v>
      </c>
      <c r="B6141" s="3"/>
      <c r="C6141" s="3"/>
      <c r="D6141" s="3"/>
      <c r="E6141" s="5" t="str">
        <f>HYPERLINK("https://dpmzos25m8ivg.cloudfront.net/Documentos/631/23037990821/6312303799082111092023115556.pdf","https://dpmzos25m8ivg.cloudfront.net/Documentos/631/23037990821/6312303799082111092023115556.pdf")</f>
        <v>https://dpmzos25m8ivg.cloudfront.net/Documentos/631/23037990821/6312303799082111092023115556.pdf</v>
      </c>
      <c r="F6141" s="5" t="str">
        <f>HYPERLINK("https://dpmzos25m8ivg.cloudfront.net/Documentos/631/23037990821/6312303799082111092023115621.pdf","https://dpmzos25m8ivg.cloudfront.net/Documentos/631/23037990821/6312303799082111092023115621.pdf")</f>
        <v>https://dpmzos25m8ivg.cloudfront.net/Documentos/631/23037990821/6312303799082111092023115621.pdf</v>
      </c>
      <c r="G6141" s="5" t="str">
        <f>HYPERLINK("https://dpmzos25m8ivg.cloudfront.net/Documentos/631/23037990821/6312303799082111092023115634.pdf","https://dpmzos25m8ivg.cloudfront.net/Documentos/631/23037990821/6312303799082111092023115634.pdf")</f>
        <v>https://dpmzos25m8ivg.cloudfront.net/Documentos/631/23037990821/6312303799082111092023115634.pdf</v>
      </c>
      <c r="H6141" s="4" t="s">
        <v>14712</v>
      </c>
    </row>
    <row r="6142" spans="1:8" x14ac:dyDescent="0.25">
      <c r="A6142" s="2" t="s">
        <v>6170</v>
      </c>
      <c r="B6142" s="3"/>
      <c r="C6142" s="3"/>
      <c r="D6142" s="3"/>
      <c r="E6142" s="5" t="str">
        <f>HYPERLINK("https://dpmzos25m8ivg.cloudfront.net/Documentos/631/23098416840/6312309841684011092023112843.pdf","https://dpmzos25m8ivg.cloudfront.net/Documentos/631/23098416840/6312309841684011092023112843.pdf")</f>
        <v>https://dpmzos25m8ivg.cloudfront.net/Documentos/631/23098416840/6312309841684011092023112843.pdf</v>
      </c>
      <c r="F6142" s="5" t="str">
        <f>HYPERLINK("https://dpmzos25m8ivg.cloudfront.net/Documentos/631/23098416840/6312309841684011092023112858.pdf","https://dpmzos25m8ivg.cloudfront.net/Documentos/631/23098416840/6312309841684011092023112858.pdf")</f>
        <v>https://dpmzos25m8ivg.cloudfront.net/Documentos/631/23098416840/6312309841684011092023112858.pdf</v>
      </c>
      <c r="G6142" s="5" t="str">
        <f>HYPERLINK("https://dpmzos25m8ivg.cloudfront.net/Documentos/631/23098416840/6312309841684011092023112905.pdf","https://dpmzos25m8ivg.cloudfront.net/Documentos/631/23098416840/6312309841684011092023112905.pdf")</f>
        <v>https://dpmzos25m8ivg.cloudfront.net/Documentos/631/23098416840/6312309841684011092023112905.pdf</v>
      </c>
      <c r="H6142" s="4" t="s">
        <v>14713</v>
      </c>
    </row>
    <row r="6143" spans="1:8" x14ac:dyDescent="0.25">
      <c r="A6143" s="2" t="s">
        <v>6171</v>
      </c>
      <c r="B6143" s="3"/>
      <c r="C6143" s="3"/>
      <c r="D6143" s="3"/>
      <c r="E6143" s="5" t="str">
        <f>HYPERLINK("https://dpmzos25m8ivg.cloudfront.net/Documentos/631/23125012953/6312312501295313092023151910.pdf","https://dpmzos25m8ivg.cloudfront.net/Documentos/631/23125012953/6312312501295313092023151910.pdf")</f>
        <v>https://dpmzos25m8ivg.cloudfront.net/Documentos/631/23125012953/6312312501295313092023151910.pdf</v>
      </c>
      <c r="F6143" s="5" t="str">
        <f>HYPERLINK("https://dpmzos25m8ivg.cloudfront.net/Documentos/631/23125012953/6312312501295313092023151926.pdf","https://dpmzos25m8ivg.cloudfront.net/Documentos/631/23125012953/6312312501295313092023151926.pdf")</f>
        <v>https://dpmzos25m8ivg.cloudfront.net/Documentos/631/23125012953/6312312501295313092023151926.pdf</v>
      </c>
      <c r="G6143" s="5" t="str">
        <f>HYPERLINK("https://dpmzos25m8ivg.cloudfront.net/Documentos/631/23125012953/6312312501295313092023151945.pdf","https://dpmzos25m8ivg.cloudfront.net/Documentos/631/23125012953/6312312501295313092023151945.pdf")</f>
        <v>https://dpmzos25m8ivg.cloudfront.net/Documentos/631/23125012953/6312312501295313092023151945.pdf</v>
      </c>
      <c r="H6143" s="4" t="s">
        <v>14714</v>
      </c>
    </row>
    <row r="6144" spans="1:8" x14ac:dyDescent="0.25">
      <c r="A6144" s="2" t="s">
        <v>6172</v>
      </c>
      <c r="B6144" s="3"/>
      <c r="C6144" s="3"/>
      <c r="D6144" s="3"/>
      <c r="E6144" s="5" t="str">
        <f>HYPERLINK("https://dpmzos25m8ivg.cloudfront.net/Documentos/631/23319064835/6312331906483511092023083855.pdf","https://dpmzos25m8ivg.cloudfront.net/Documentos/631/23319064835/6312331906483511092023083855.pdf")</f>
        <v>https://dpmzos25m8ivg.cloudfront.net/Documentos/631/23319064835/6312331906483511092023083855.pdf</v>
      </c>
      <c r="F6144" s="5" t="str">
        <f>HYPERLINK("https://dpmzos25m8ivg.cloudfront.net/Documentos/631/23319064835/6312331906483511092023083903.pdf","https://dpmzos25m8ivg.cloudfront.net/Documentos/631/23319064835/6312331906483511092023083903.pdf")</f>
        <v>https://dpmzos25m8ivg.cloudfront.net/Documentos/631/23319064835/6312331906483511092023083903.pdf</v>
      </c>
      <c r="G6144" s="5" t="str">
        <f>HYPERLINK("https://dpmzos25m8ivg.cloudfront.net/Documentos/631/23319064835/6312331906483511092023083910.pdf","https://dpmzos25m8ivg.cloudfront.net/Documentos/631/23319064835/6312331906483511092023083910.pdf")</f>
        <v>https://dpmzos25m8ivg.cloudfront.net/Documentos/631/23319064835/6312331906483511092023083910.pdf</v>
      </c>
      <c r="H6144" s="4" t="s">
        <v>14715</v>
      </c>
    </row>
    <row r="6145" spans="1:8" x14ac:dyDescent="0.25">
      <c r="A6145" s="2" t="s">
        <v>6173</v>
      </c>
      <c r="B6145" s="3"/>
      <c r="C6145" s="3"/>
      <c r="D6145" s="3"/>
      <c r="E6145" s="5" t="str">
        <f>HYPERLINK("https://dpmzos25m8ivg.cloudfront.net/Documentos/631/23397544882/6312339754488205092023211015.jpeg","https://dpmzos25m8ivg.cloudfront.net/Documentos/631/23397544882/6312339754488205092023211015.jpeg")</f>
        <v>https://dpmzos25m8ivg.cloudfront.net/Documentos/631/23397544882/6312339754488205092023211015.jpeg</v>
      </c>
      <c r="F6145" s="5" t="str">
        <f>HYPERLINK("https://dpmzos25m8ivg.cloudfront.net/Documentos/631/23397544882/6312339754488205092023210059.jpeg","https://dpmzos25m8ivg.cloudfront.net/Documentos/631/23397544882/6312339754488205092023210059.jpeg")</f>
        <v>https://dpmzos25m8ivg.cloudfront.net/Documentos/631/23397544882/6312339754488205092023210059.jpeg</v>
      </c>
      <c r="G6145" s="5" t="str">
        <f>HYPERLINK("https://dpmzos25m8ivg.cloudfront.net/Documentos/631/23397544882/6312339754488205092023211037.jpeg","https://dpmzos25m8ivg.cloudfront.net/Documentos/631/23397544882/6312339754488205092023211037.jpeg")</f>
        <v>https://dpmzos25m8ivg.cloudfront.net/Documentos/631/23397544882/6312339754488205092023211037.jpeg</v>
      </c>
      <c r="H6145" s="4" t="s">
        <v>14716</v>
      </c>
    </row>
    <row r="6146" spans="1:8" x14ac:dyDescent="0.25">
      <c r="A6146" s="2" t="s">
        <v>6174</v>
      </c>
      <c r="B6146" s="3"/>
      <c r="C6146" s="3"/>
      <c r="D6146" s="3"/>
      <c r="E6146" s="5" t="str">
        <f>HYPERLINK("https://dpmzos25m8ivg.cloudfront.net/Documentos/631/23472372842/6312347237284205092023144543.pdf","https://dpmzos25m8ivg.cloudfront.net/Documentos/631/23472372842/6312347237284205092023144543.pdf")</f>
        <v>https://dpmzos25m8ivg.cloudfront.net/Documentos/631/23472372842/6312347237284205092023144543.pdf</v>
      </c>
      <c r="F6146" s="5" t="str">
        <f>HYPERLINK("https://dpmzos25m8ivg.cloudfront.net/Documentos/631/23472372842/6312347237284205092023144550.pdf","https://dpmzos25m8ivg.cloudfront.net/Documentos/631/23472372842/6312347237284205092023144550.pdf")</f>
        <v>https://dpmzos25m8ivg.cloudfront.net/Documentos/631/23472372842/6312347237284205092023144550.pdf</v>
      </c>
      <c r="G6146" s="5" t="str">
        <f>HYPERLINK("https://dpmzos25m8ivg.cloudfront.net/Documentos/631/23472372842/6312347237284205092023144557.pdf","https://dpmzos25m8ivg.cloudfront.net/Documentos/631/23472372842/6312347237284205092023144557.pdf")</f>
        <v>https://dpmzos25m8ivg.cloudfront.net/Documentos/631/23472372842/6312347237284205092023144557.pdf</v>
      </c>
      <c r="H6146" s="4" t="s">
        <v>14717</v>
      </c>
    </row>
    <row r="6147" spans="1:8" x14ac:dyDescent="0.25">
      <c r="A6147" s="2" t="s">
        <v>6175</v>
      </c>
      <c r="B6147" s="3"/>
      <c r="C6147" s="3"/>
      <c r="D6147" s="3"/>
      <c r="E6147" s="5" t="str">
        <f>HYPERLINK("https://dpmzos25m8ivg.cloudfront.net/Documentos/631/23574964870/6312357496487009092023230044.pdf","https://dpmzos25m8ivg.cloudfront.net/Documentos/631/23574964870/6312357496487009092023230044.pdf")</f>
        <v>https://dpmzos25m8ivg.cloudfront.net/Documentos/631/23574964870/6312357496487009092023230044.pdf</v>
      </c>
      <c r="F6147" s="5" t="str">
        <f>HYPERLINK("https://dpmzos25m8ivg.cloudfront.net/Documentos/631/23574964870/6312357496487009092023230107.pdf","https://dpmzos25m8ivg.cloudfront.net/Documentos/631/23574964870/6312357496487009092023230107.pdf")</f>
        <v>https://dpmzos25m8ivg.cloudfront.net/Documentos/631/23574964870/6312357496487009092023230107.pdf</v>
      </c>
      <c r="G6147" s="5" t="str">
        <f>HYPERLINK("https://dpmzos25m8ivg.cloudfront.net/Documentos/631/23574964870/6312357496487009092023230130.pdf","https://dpmzos25m8ivg.cloudfront.net/Documentos/631/23574964870/6312357496487009092023230130.pdf")</f>
        <v>https://dpmzos25m8ivg.cloudfront.net/Documentos/631/23574964870/6312357496487009092023230130.pdf</v>
      </c>
      <c r="H6147" s="4" t="s">
        <v>14718</v>
      </c>
    </row>
    <row r="6148" spans="1:8" x14ac:dyDescent="0.25">
      <c r="A6148" s="2" t="s">
        <v>6176</v>
      </c>
      <c r="B6148" s="3"/>
      <c r="C6148" s="3"/>
      <c r="D6148" s="3"/>
      <c r="E6148" s="5" t="str">
        <f>HYPERLINK("https://dpmzos25m8ivg.cloudfront.net/Documentos/631/23667256809/6312366725680914092023120910.pdf","https://dpmzos25m8ivg.cloudfront.net/Documentos/631/23667256809/6312366725680914092023120910.pdf")</f>
        <v>https://dpmzos25m8ivg.cloudfront.net/Documentos/631/23667256809/6312366725680914092023120910.pdf</v>
      </c>
      <c r="F6148" s="5" t="str">
        <f>HYPERLINK("https://dpmzos25m8ivg.cloudfront.net/Documentos/631/23667256809/6312366725680914092023120933.pdf","https://dpmzos25m8ivg.cloudfront.net/Documentos/631/23667256809/6312366725680914092023120933.pdf")</f>
        <v>https://dpmzos25m8ivg.cloudfront.net/Documentos/631/23667256809/6312366725680914092023120933.pdf</v>
      </c>
      <c r="G6148" s="5" t="str">
        <f>HYPERLINK("https://dpmzos25m8ivg.cloudfront.net/Documentos/631/23667256809/6312366725680914092023120945.pdf","https://dpmzos25m8ivg.cloudfront.net/Documentos/631/23667256809/6312366725680914092023120945.pdf")</f>
        <v>https://dpmzos25m8ivg.cloudfront.net/Documentos/631/23667256809/6312366725680914092023120945.pdf</v>
      </c>
      <c r="H6148" s="4" t="s">
        <v>14719</v>
      </c>
    </row>
    <row r="6149" spans="1:8" x14ac:dyDescent="0.25">
      <c r="A6149" s="2" t="s">
        <v>6177</v>
      </c>
      <c r="B6149" s="3"/>
      <c r="C6149" s="3"/>
      <c r="D6149" s="3"/>
      <c r="E6149" s="5" t="str">
        <f>HYPERLINK("https://dpmzos25m8ivg.cloudfront.net/Documentos/631/23669698809/6312366969880911092023124549.jpeg","https://dpmzos25m8ivg.cloudfront.net/Documentos/631/23669698809/6312366969880911092023124549.jpeg")</f>
        <v>https://dpmzos25m8ivg.cloudfront.net/Documentos/631/23669698809/6312366969880911092023124549.jpeg</v>
      </c>
      <c r="F6149" s="5" t="str">
        <f>HYPERLINK("https://dpmzos25m8ivg.cloudfront.net/Documentos/631/23669698809/6312366969880911092023124701.jpeg","https://dpmzos25m8ivg.cloudfront.net/Documentos/631/23669698809/6312366969880911092023124701.jpeg")</f>
        <v>https://dpmzos25m8ivg.cloudfront.net/Documentos/631/23669698809/6312366969880911092023124701.jpeg</v>
      </c>
      <c r="G6149" s="5" t="str">
        <f>HYPERLINK("https://dpmzos25m8ivg.cloudfront.net/Documentos/631/23669698809/6312366969880911092023124817.jpeg","https://dpmzos25m8ivg.cloudfront.net/Documentos/631/23669698809/6312366969880911092023124817.jpeg")</f>
        <v>https://dpmzos25m8ivg.cloudfront.net/Documentos/631/23669698809/6312366969880911092023124817.jpeg</v>
      </c>
      <c r="H6149" s="4" t="s">
        <v>14720</v>
      </c>
    </row>
    <row r="6150" spans="1:8" x14ac:dyDescent="0.25">
      <c r="A6150" s="2" t="s">
        <v>6178</v>
      </c>
      <c r="B6150" s="3"/>
      <c r="C6150" s="3"/>
      <c r="D6150" s="3"/>
      <c r="E6150" s="5" t="str">
        <f>HYPERLINK("https://dpmzos25m8ivg.cloudfront.net/Documentos/631/23775439870/6312377543987013092023220902.pdf","https://dpmzos25m8ivg.cloudfront.net/Documentos/631/23775439870/6312377543987013092023220902.pdf")</f>
        <v>https://dpmzos25m8ivg.cloudfront.net/Documentos/631/23775439870/6312377543987013092023220902.pdf</v>
      </c>
      <c r="F6150" s="5" t="str">
        <f>HYPERLINK("https://dpmzos25m8ivg.cloudfront.net/Documentos/631/23775439870/6312377543987013092023220914.pdf","https://dpmzos25m8ivg.cloudfront.net/Documentos/631/23775439870/6312377543987013092023220914.pdf")</f>
        <v>https://dpmzos25m8ivg.cloudfront.net/Documentos/631/23775439870/6312377543987013092023220914.pdf</v>
      </c>
      <c r="G6150" s="5" t="str">
        <f>HYPERLINK("https://dpmzos25m8ivg.cloudfront.net/Documentos/631/23775439870/6312377543987013092023220928.pdf","https://dpmzos25m8ivg.cloudfront.net/Documentos/631/23775439870/6312377543987013092023220928.pdf")</f>
        <v>https://dpmzos25m8ivg.cloudfront.net/Documentos/631/23775439870/6312377543987013092023220928.pdf</v>
      </c>
      <c r="H6150" s="4" t="s">
        <v>14721</v>
      </c>
    </row>
    <row r="6151" spans="1:8" x14ac:dyDescent="0.25">
      <c r="A6151" s="2" t="s">
        <v>6179</v>
      </c>
      <c r="B6151" s="3"/>
      <c r="C6151" s="3"/>
      <c r="D6151" s="3"/>
      <c r="E6151" s="5" t="str">
        <f>HYPERLINK("https://dpmzos25m8ivg.cloudfront.net/Documentos/631/23867957053/6312386795705309092023012243.jpg","https://dpmzos25m8ivg.cloudfront.net/Documentos/631/23867957053/6312386795705309092023012243.jpg")</f>
        <v>https://dpmzos25m8ivg.cloudfront.net/Documentos/631/23867957053/6312386795705309092023012243.jpg</v>
      </c>
      <c r="F6151" s="5" t="str">
        <f>HYPERLINK("https://dpmzos25m8ivg.cloudfront.net/Documentos/631/23867957053/6312386795705309092023012334.jpg","https://dpmzos25m8ivg.cloudfront.net/Documentos/631/23867957053/6312386795705309092023012334.jpg")</f>
        <v>https://dpmzos25m8ivg.cloudfront.net/Documentos/631/23867957053/6312386795705309092023012334.jpg</v>
      </c>
      <c r="G6151" s="5" t="str">
        <f>HYPERLINK("https://dpmzos25m8ivg.cloudfront.net/Documentos/631/23867957053/6312386795705309092023012408.jpg","https://dpmzos25m8ivg.cloudfront.net/Documentos/631/23867957053/6312386795705309092023012408.jpg")</f>
        <v>https://dpmzos25m8ivg.cloudfront.net/Documentos/631/23867957053/6312386795705309092023012408.jpg</v>
      </c>
      <c r="H6151" s="4" t="s">
        <v>14722</v>
      </c>
    </row>
    <row r="6152" spans="1:8" x14ac:dyDescent="0.25">
      <c r="A6152" s="2" t="s">
        <v>6180</v>
      </c>
      <c r="B6152" s="3"/>
      <c r="C6152" s="3"/>
      <c r="D6152" s="3"/>
      <c r="E6152" s="5" t="str">
        <f>HYPERLINK("https://dpmzos25m8ivg.cloudfront.net/Documentos/631/23874562549/6312387456254905092023115317.pdf","https://dpmzos25m8ivg.cloudfront.net/Documentos/631/23874562549/6312387456254905092023115317.pdf")</f>
        <v>https://dpmzos25m8ivg.cloudfront.net/Documentos/631/23874562549/6312387456254905092023115317.pdf</v>
      </c>
      <c r="F6152" s="5" t="str">
        <f>HYPERLINK("https://dpmzos25m8ivg.cloudfront.net/Documentos/631/23874562549/6312387456254905092023115338.pdf","https://dpmzos25m8ivg.cloudfront.net/Documentos/631/23874562549/6312387456254905092023115338.pdf")</f>
        <v>https://dpmzos25m8ivg.cloudfront.net/Documentos/631/23874562549/6312387456254905092023115338.pdf</v>
      </c>
      <c r="G6152" s="5" t="str">
        <f>HYPERLINK("https://dpmzos25m8ivg.cloudfront.net/Documentos/631/23874562549/6312387456254905092023115356.pdf","https://dpmzos25m8ivg.cloudfront.net/Documentos/631/23874562549/6312387456254905092023115356.pdf")</f>
        <v>https://dpmzos25m8ivg.cloudfront.net/Documentos/631/23874562549/6312387456254905092023115356.pdf</v>
      </c>
      <c r="H6152" s="4" t="s">
        <v>14723</v>
      </c>
    </row>
    <row r="6153" spans="1:8" x14ac:dyDescent="0.25">
      <c r="A6153" s="2" t="s">
        <v>6181</v>
      </c>
      <c r="B6153" s="3"/>
      <c r="C6153" s="3"/>
      <c r="D6153" s="3"/>
      <c r="E6153" s="5" t="str">
        <f>HYPERLINK("https://dpmzos25m8ivg.cloudfront.net/Documentos/631/23888736811/6312388873681105092023112646.pdf","https://dpmzos25m8ivg.cloudfront.net/Documentos/631/23888736811/6312388873681105092023112646.pdf")</f>
        <v>https://dpmzos25m8ivg.cloudfront.net/Documentos/631/23888736811/6312388873681105092023112646.pdf</v>
      </c>
      <c r="F6153" s="5" t="str">
        <f>HYPERLINK("https://dpmzos25m8ivg.cloudfront.net/Documentos/631/23888736811/6312388873681105092023112654.pdf","https://dpmzos25m8ivg.cloudfront.net/Documentos/631/23888736811/6312388873681105092023112654.pdf")</f>
        <v>https://dpmzos25m8ivg.cloudfront.net/Documentos/631/23888736811/6312388873681105092023112654.pdf</v>
      </c>
      <c r="G6153" s="5" t="str">
        <f>HYPERLINK("https://dpmzos25m8ivg.cloudfront.net/Documentos/631/23888736811/6312388873681105092023112706.pdf","https://dpmzos25m8ivg.cloudfront.net/Documentos/631/23888736811/6312388873681105092023112706.pdf")</f>
        <v>https://dpmzos25m8ivg.cloudfront.net/Documentos/631/23888736811/6312388873681105092023112706.pdf</v>
      </c>
      <c r="H6153" s="4" t="s">
        <v>14724</v>
      </c>
    </row>
    <row r="6154" spans="1:8" x14ac:dyDescent="0.25">
      <c r="A6154" s="2" t="s">
        <v>6182</v>
      </c>
      <c r="B6154" s="3" t="s">
        <v>8</v>
      </c>
      <c r="C6154" s="3"/>
      <c r="D6154" s="3"/>
      <c r="E6154" s="5" t="str">
        <f>HYPERLINK("https://dpmzos25m8ivg.cloudfront.net/Documentos/631/23957565472/6312395756547209092023001849.jpg","https://dpmzos25m8ivg.cloudfront.net/Documentos/631/23957565472/6312395756547209092023001849.jpg")</f>
        <v>https://dpmzos25m8ivg.cloudfront.net/Documentos/631/23957565472/6312395756547209092023001849.jpg</v>
      </c>
      <c r="F6154" s="5" t="str">
        <f>HYPERLINK("https://dpmzos25m8ivg.cloudfront.net/Documentos/631/23957565472/6312395756547209092023001907.jpg","https://dpmzos25m8ivg.cloudfront.net/Documentos/631/23957565472/6312395756547209092023001907.jpg")</f>
        <v>https://dpmzos25m8ivg.cloudfront.net/Documentos/631/23957565472/6312395756547209092023001907.jpg</v>
      </c>
      <c r="G6154" s="5" t="str">
        <f>HYPERLINK("https://dpmzos25m8ivg.cloudfront.net/Documentos/631/23957565472/6312395756547209092023001934.jpg","https://dpmzos25m8ivg.cloudfront.net/Documentos/631/23957565472/6312395756547209092023001934.jpg")</f>
        <v>https://dpmzos25m8ivg.cloudfront.net/Documentos/631/23957565472/6312395756547209092023001934.jpg</v>
      </c>
      <c r="H6154" s="4" t="s">
        <v>14725</v>
      </c>
    </row>
    <row r="6155" spans="1:8" x14ac:dyDescent="0.25">
      <c r="A6155" s="2" t="s">
        <v>6183</v>
      </c>
      <c r="B6155" s="3"/>
      <c r="C6155" s="3"/>
      <c r="D6155" s="3"/>
      <c r="E6155" s="5" t="str">
        <f>HYPERLINK("https://dpmzos25m8ivg.cloudfront.net/Documentos/631/24022241500/6312402224150010092023213424.pdf","https://dpmzos25m8ivg.cloudfront.net/Documentos/631/24022241500/6312402224150010092023213424.pdf")</f>
        <v>https://dpmzos25m8ivg.cloudfront.net/Documentos/631/24022241500/6312402224150010092023213424.pdf</v>
      </c>
      <c r="F6155" s="5" t="str">
        <f>HYPERLINK("https://dpmzos25m8ivg.cloudfront.net/Documentos/631/24022241500/6312402224150010092023213632.pdf","https://dpmzos25m8ivg.cloudfront.net/Documentos/631/24022241500/6312402224150010092023213632.pdf")</f>
        <v>https://dpmzos25m8ivg.cloudfront.net/Documentos/631/24022241500/6312402224150010092023213632.pdf</v>
      </c>
      <c r="G6155" s="5" t="str">
        <f>HYPERLINK("https://dpmzos25m8ivg.cloudfront.net/Documentos/631/24022241500/6312402224150010092023213653.pdf","https://dpmzos25m8ivg.cloudfront.net/Documentos/631/24022241500/6312402224150010092023213653.pdf")</f>
        <v>https://dpmzos25m8ivg.cloudfront.net/Documentos/631/24022241500/6312402224150010092023213653.pdf</v>
      </c>
      <c r="H6155" s="4" t="s">
        <v>14726</v>
      </c>
    </row>
    <row r="6156" spans="1:8" x14ac:dyDescent="0.25">
      <c r="A6156" s="2" t="s">
        <v>6184</v>
      </c>
      <c r="B6156" s="16" t="s">
        <v>2358</v>
      </c>
      <c r="C6156" s="3"/>
      <c r="D6156" s="3"/>
      <c r="E6156" s="5" t="str">
        <f>HYPERLINK("https://dpmzos25m8ivg.cloudfront.net/Documentos/631/24226432649/6312422643264906092023181013.pdf","https://dpmzos25m8ivg.cloudfront.net/Documentos/631/24226432649/6312422643264906092023181013.pdf")</f>
        <v>https://dpmzos25m8ivg.cloudfront.net/Documentos/631/24226432649/6312422643264906092023181013.pdf</v>
      </c>
      <c r="F6156" s="5" t="str">
        <f>HYPERLINK("https://dpmzos25m8ivg.cloudfront.net/Documentos/631/24226432649/6312422643264906092023181117.pdf","https://dpmzos25m8ivg.cloudfront.net/Documentos/631/24226432649/6312422643264906092023181117.pdf")</f>
        <v>https://dpmzos25m8ivg.cloudfront.net/Documentos/631/24226432649/6312422643264906092023181117.pdf</v>
      </c>
      <c r="G6156" s="5" t="str">
        <f>HYPERLINK("https://dpmzos25m8ivg.cloudfront.net/Documentos/631/24226432649/6312422643264906092023181143.pdf","https://dpmzos25m8ivg.cloudfront.net/Documentos/631/24226432649/6312422643264906092023181143.pdf")</f>
        <v>https://dpmzos25m8ivg.cloudfront.net/Documentos/631/24226432649/6312422643264906092023181143.pdf</v>
      </c>
      <c r="H6156" s="5" t="s">
        <v>14727</v>
      </c>
    </row>
    <row r="6157" spans="1:8" x14ac:dyDescent="0.25">
      <c r="A6157" s="2" t="s">
        <v>6185</v>
      </c>
      <c r="B6157" s="3"/>
      <c r="C6157" s="3"/>
      <c r="D6157" s="3"/>
      <c r="E6157" s="5" t="str">
        <f>HYPERLINK("https://dpmzos25m8ivg.cloudfront.net/Documentos/631/24327743291/6312432774329113092023165053.pdf","https://dpmzos25m8ivg.cloudfront.net/Documentos/631/24327743291/6312432774329113092023165053.pdf")</f>
        <v>https://dpmzos25m8ivg.cloudfront.net/Documentos/631/24327743291/6312432774329113092023165053.pdf</v>
      </c>
      <c r="F6157" s="5" t="str">
        <f>HYPERLINK("https://dpmzos25m8ivg.cloudfront.net/Documentos/631/24327743291/6312432774329113092023170038.pdf","https://dpmzos25m8ivg.cloudfront.net/Documentos/631/24327743291/6312432774329113092023170038.pdf")</f>
        <v>https://dpmzos25m8ivg.cloudfront.net/Documentos/631/24327743291/6312432774329113092023170038.pdf</v>
      </c>
      <c r="G6157" s="5" t="str">
        <f>HYPERLINK("https://dpmzos25m8ivg.cloudfront.net/Documentos/631/24327743291/6312432774329113092023171103.pdf","https://dpmzos25m8ivg.cloudfront.net/Documentos/631/24327743291/6312432774329113092023171103.pdf")</f>
        <v>https://dpmzos25m8ivg.cloudfront.net/Documentos/631/24327743291/6312432774329113092023171103.pdf</v>
      </c>
      <c r="H6157" s="4" t="s">
        <v>14728</v>
      </c>
    </row>
    <row r="6158" spans="1:8" x14ac:dyDescent="0.25">
      <c r="A6158" s="2" t="s">
        <v>6186</v>
      </c>
      <c r="B6158" s="3"/>
      <c r="C6158" s="3"/>
      <c r="D6158" s="3"/>
      <c r="E6158" s="5" t="str">
        <f>HYPERLINK("https://dpmzos25m8ivg.cloudfront.net/Documentos/631/24449164334/6312444916433407092023171812.jpg","https://dpmzos25m8ivg.cloudfront.net/Documentos/631/24449164334/6312444916433407092023171812.jpg")</f>
        <v>https://dpmzos25m8ivg.cloudfront.net/Documentos/631/24449164334/6312444916433407092023171812.jpg</v>
      </c>
      <c r="F6158" s="5" t="str">
        <f>HYPERLINK("https://dpmzos25m8ivg.cloudfront.net/Documentos/631/24449164334/6312444916433407092023171824.jpg","https://dpmzos25m8ivg.cloudfront.net/Documentos/631/24449164334/6312444916433407092023171824.jpg")</f>
        <v>https://dpmzos25m8ivg.cloudfront.net/Documentos/631/24449164334/6312444916433407092023171824.jpg</v>
      </c>
      <c r="G6158" s="5" t="str">
        <f>HYPERLINK("https://dpmzos25m8ivg.cloudfront.net/Documentos/631/24449164334/6312444916433407092023171834.jpg","https://dpmzos25m8ivg.cloudfront.net/Documentos/631/24449164334/6312444916433407092023171834.jpg")</f>
        <v>https://dpmzos25m8ivg.cloudfront.net/Documentos/631/24449164334/6312444916433407092023171834.jpg</v>
      </c>
      <c r="H6158" s="4" t="s">
        <v>14729</v>
      </c>
    </row>
    <row r="6159" spans="1:8" x14ac:dyDescent="0.25">
      <c r="A6159" s="2" t="s">
        <v>6187</v>
      </c>
      <c r="B6159" s="3"/>
      <c r="C6159" s="3"/>
      <c r="D6159" s="3"/>
      <c r="E6159" s="5" t="str">
        <f>HYPERLINK("https://dpmzos25m8ivg.cloudfront.net/Documentos/631/24699441807/6312469944180711092023132818.jpg","https://dpmzos25m8ivg.cloudfront.net/Documentos/631/24699441807/6312469944180711092023132818.jpg")</f>
        <v>https://dpmzos25m8ivg.cloudfront.net/Documentos/631/24699441807/6312469944180711092023132818.jpg</v>
      </c>
      <c r="F6159" s="5" t="str">
        <f>HYPERLINK("https://dpmzos25m8ivg.cloudfront.net/Documentos/631/24699441807/6312469944180711092023133131.jpg","https://dpmzos25m8ivg.cloudfront.net/Documentos/631/24699441807/6312469944180711092023133131.jpg")</f>
        <v>https://dpmzos25m8ivg.cloudfront.net/Documentos/631/24699441807/6312469944180711092023133131.jpg</v>
      </c>
      <c r="G6159" s="5" t="str">
        <f>HYPERLINK("https://dpmzos25m8ivg.cloudfront.net/Documentos/631/24699441807/6312469944180711092023133140.jpg","https://dpmzos25m8ivg.cloudfront.net/Documentos/631/24699441807/6312469944180711092023133140.jpg")</f>
        <v>https://dpmzos25m8ivg.cloudfront.net/Documentos/631/24699441807/6312469944180711092023133140.jpg</v>
      </c>
      <c r="H6159" s="4" t="s">
        <v>14730</v>
      </c>
    </row>
    <row r="6160" spans="1:8" x14ac:dyDescent="0.25">
      <c r="A6160" s="2" t="s">
        <v>6188</v>
      </c>
      <c r="B6160" s="3"/>
      <c r="C6160" s="3"/>
      <c r="D6160" s="3"/>
      <c r="E6160" s="5" t="str">
        <f>HYPERLINK("https://dpmzos25m8ivg.cloudfront.net/Documentos/631/24780108870/6312478010887010092023115210.jpg","https://dpmzos25m8ivg.cloudfront.net/Documentos/631/24780108870/6312478010887010092023115210.jpg")</f>
        <v>https://dpmzos25m8ivg.cloudfront.net/Documentos/631/24780108870/6312478010887010092023115210.jpg</v>
      </c>
      <c r="F6160" s="5" t="str">
        <f>HYPERLINK("https://dpmzos25m8ivg.cloudfront.net/Documentos/631/24780108870/6312478010887010092023115222.jpg","https://dpmzos25m8ivg.cloudfront.net/Documentos/631/24780108870/6312478010887010092023115222.jpg")</f>
        <v>https://dpmzos25m8ivg.cloudfront.net/Documentos/631/24780108870/6312478010887010092023115222.jpg</v>
      </c>
      <c r="G6160" s="5" t="str">
        <f>HYPERLINK("https://dpmzos25m8ivg.cloudfront.net/Documentos/631/24780108870/6312478010887010092023115235.jpg","https://dpmzos25m8ivg.cloudfront.net/Documentos/631/24780108870/6312478010887010092023115235.jpg")</f>
        <v>https://dpmzos25m8ivg.cloudfront.net/Documentos/631/24780108870/6312478010887010092023115235.jpg</v>
      </c>
      <c r="H6160" s="4" t="s">
        <v>14731</v>
      </c>
    </row>
    <row r="6161" spans="1:8" x14ac:dyDescent="0.25">
      <c r="A6161" s="2" t="s">
        <v>6189</v>
      </c>
      <c r="B6161" s="3"/>
      <c r="C6161" s="3"/>
      <c r="D6161" s="3"/>
      <c r="E6161" s="5" t="str">
        <f>HYPERLINK("https://dpmzos25m8ivg.cloudfront.net/Documentos/631/24801291287/6312480129128705092023232719.pdf","https://dpmzos25m8ivg.cloudfront.net/Documentos/631/24801291287/6312480129128705092023232719.pdf")</f>
        <v>https://dpmzos25m8ivg.cloudfront.net/Documentos/631/24801291287/6312480129128705092023232719.pdf</v>
      </c>
      <c r="F6161" s="5" t="str">
        <f>HYPERLINK("https://dpmzos25m8ivg.cloudfront.net/Documentos/631/24801291287/6312480129128705092023232744.pdf","https://dpmzos25m8ivg.cloudfront.net/Documentos/631/24801291287/6312480129128705092023232744.pdf")</f>
        <v>https://dpmzos25m8ivg.cloudfront.net/Documentos/631/24801291287/6312480129128705092023232744.pdf</v>
      </c>
      <c r="G6161" s="5" t="str">
        <f>HYPERLINK("https://dpmzos25m8ivg.cloudfront.net/Documentos/631/24801291287/6312480129128705092023232807.pdf","https://dpmzos25m8ivg.cloudfront.net/Documentos/631/24801291287/6312480129128705092023232807.pdf")</f>
        <v>https://dpmzos25m8ivg.cloudfront.net/Documentos/631/24801291287/6312480129128705092023232807.pdf</v>
      </c>
      <c r="H6161" s="4" t="s">
        <v>14732</v>
      </c>
    </row>
    <row r="6162" spans="1:8" x14ac:dyDescent="0.25">
      <c r="A6162" s="2" t="s">
        <v>6190</v>
      </c>
      <c r="B6162" s="3"/>
      <c r="C6162" s="3"/>
      <c r="D6162" s="3"/>
      <c r="E6162" s="5" t="str">
        <f>HYPERLINK("https://dpmzos25m8ivg.cloudfront.net/Documentos/631/24809169871/6312480916987113092023161341.pdf","https://dpmzos25m8ivg.cloudfront.net/Documentos/631/24809169871/6312480916987113092023161341.pdf")</f>
        <v>https://dpmzos25m8ivg.cloudfront.net/Documentos/631/24809169871/6312480916987113092023161341.pdf</v>
      </c>
      <c r="F6162" s="5" t="str">
        <f>HYPERLINK("https://dpmzos25m8ivg.cloudfront.net/Documentos/631/24809169871/6312480916987113092023161359.pdf","https://dpmzos25m8ivg.cloudfront.net/Documentos/631/24809169871/6312480916987113092023161359.pdf")</f>
        <v>https://dpmzos25m8ivg.cloudfront.net/Documentos/631/24809169871/6312480916987113092023161359.pdf</v>
      </c>
      <c r="G6162" s="5" t="str">
        <f>HYPERLINK("https://dpmzos25m8ivg.cloudfront.net/Documentos/631/24809169871/6312480916987113092023161418.pdf","https://dpmzos25m8ivg.cloudfront.net/Documentos/631/24809169871/6312480916987113092023161418.pdf")</f>
        <v>https://dpmzos25m8ivg.cloudfront.net/Documentos/631/24809169871/6312480916987113092023161418.pdf</v>
      </c>
      <c r="H6162" s="4" t="s">
        <v>14733</v>
      </c>
    </row>
    <row r="6163" spans="1:8" x14ac:dyDescent="0.25">
      <c r="A6163" s="2" t="s">
        <v>6191</v>
      </c>
      <c r="B6163" s="3"/>
      <c r="C6163" s="3"/>
      <c r="D6163" s="3"/>
      <c r="E6163" s="5" t="str">
        <f>HYPERLINK("https://dpmzos25m8ivg.cloudfront.net/Documentos/631/24822035204/6312482203520405092023110819.pdf","https://dpmzos25m8ivg.cloudfront.net/Documentos/631/24822035204/6312482203520405092023110819.pdf")</f>
        <v>https://dpmzos25m8ivg.cloudfront.net/Documentos/631/24822035204/6312482203520405092023110819.pdf</v>
      </c>
      <c r="F6163" s="5" t="str">
        <f>HYPERLINK("https://dpmzos25m8ivg.cloudfront.net/Documentos/631/24822035204/6312482203520405092023110833.pdf","https://dpmzos25m8ivg.cloudfront.net/Documentos/631/24822035204/6312482203520405092023110833.pdf")</f>
        <v>https://dpmzos25m8ivg.cloudfront.net/Documentos/631/24822035204/6312482203520405092023110833.pdf</v>
      </c>
      <c r="G6163" s="5" t="str">
        <f>HYPERLINK("https://dpmzos25m8ivg.cloudfront.net/Documentos/631/24822035204/6312482203520405092023110851.pdf","https://dpmzos25m8ivg.cloudfront.net/Documentos/631/24822035204/6312482203520405092023110851.pdf")</f>
        <v>https://dpmzos25m8ivg.cloudfront.net/Documentos/631/24822035204/6312482203520405092023110851.pdf</v>
      </c>
      <c r="H6163" s="4" t="s">
        <v>14734</v>
      </c>
    </row>
    <row r="6164" spans="1:8" x14ac:dyDescent="0.25">
      <c r="A6164" s="2" t="s">
        <v>6192</v>
      </c>
      <c r="B6164" s="3"/>
      <c r="C6164" s="3"/>
      <c r="D6164" s="3"/>
      <c r="E6164" s="5" t="str">
        <f>HYPERLINK("https://dpmzos25m8ivg.cloudfront.net/Documentos/631/24831367885/6312483136788507092023174230.jpg","https://dpmzos25m8ivg.cloudfront.net/Documentos/631/24831367885/6312483136788507092023174230.jpg")</f>
        <v>https://dpmzos25m8ivg.cloudfront.net/Documentos/631/24831367885/6312483136788507092023174230.jpg</v>
      </c>
      <c r="F6164" s="5" t="str">
        <f>HYPERLINK("https://dpmzos25m8ivg.cloudfront.net/Documentos/631/24831367885/6312483136788507092023174308.jpg","https://dpmzos25m8ivg.cloudfront.net/Documentos/631/24831367885/6312483136788507092023174308.jpg")</f>
        <v>https://dpmzos25m8ivg.cloudfront.net/Documentos/631/24831367885/6312483136788507092023174308.jpg</v>
      </c>
      <c r="G6164" s="5" t="str">
        <f>HYPERLINK("https://dpmzos25m8ivg.cloudfront.net/Documentos/631/24831367885/6312483136788507092023174341.jpg","https://dpmzos25m8ivg.cloudfront.net/Documentos/631/24831367885/6312483136788507092023174341.jpg")</f>
        <v>https://dpmzos25m8ivg.cloudfront.net/Documentos/631/24831367885/6312483136788507092023174341.jpg</v>
      </c>
      <c r="H6164" s="4" t="s">
        <v>14735</v>
      </c>
    </row>
    <row r="6165" spans="1:8" x14ac:dyDescent="0.25">
      <c r="A6165" s="2" t="s">
        <v>6193</v>
      </c>
      <c r="B6165" s="3"/>
      <c r="C6165" s="3"/>
      <c r="D6165" s="3"/>
      <c r="E6165" s="5" t="str">
        <f>HYPERLINK("https://dpmzos25m8ivg.cloudfront.net/Documentos/631/24840897832/6312484089783210092023230043.pdf","https://dpmzos25m8ivg.cloudfront.net/Documentos/631/24840897832/6312484089783210092023230043.pdf")</f>
        <v>https://dpmzos25m8ivg.cloudfront.net/Documentos/631/24840897832/6312484089783210092023230043.pdf</v>
      </c>
      <c r="F6165" s="5" t="str">
        <f>HYPERLINK("https://dpmzos25m8ivg.cloudfront.net/Documentos/631/24840897832/6312484089783210092023230109.pdf","https://dpmzos25m8ivg.cloudfront.net/Documentos/631/24840897832/6312484089783210092023230109.pdf")</f>
        <v>https://dpmzos25m8ivg.cloudfront.net/Documentos/631/24840897832/6312484089783210092023230109.pdf</v>
      </c>
      <c r="G6165" s="5" t="str">
        <f>HYPERLINK("https://dpmzos25m8ivg.cloudfront.net/Documentos/631/24840897832/6312484089783210092023230127.pdf","https://dpmzos25m8ivg.cloudfront.net/Documentos/631/24840897832/6312484089783210092023230127.pdf")</f>
        <v>https://dpmzos25m8ivg.cloudfront.net/Documentos/631/24840897832/6312484089783210092023230127.pdf</v>
      </c>
      <c r="H6165" s="4" t="s">
        <v>14736</v>
      </c>
    </row>
    <row r="6166" spans="1:8" x14ac:dyDescent="0.25">
      <c r="A6166" s="2" t="s">
        <v>6194</v>
      </c>
      <c r="B6166" s="3"/>
      <c r="C6166" s="3"/>
      <c r="D6166" s="3"/>
      <c r="E6166" s="5" t="str">
        <f>HYPERLINK("https://dpmzos25m8ivg.cloudfront.net/Documentos/631/24863007833/6312486300783308092023130151.pdf","https://dpmzos25m8ivg.cloudfront.net/Documentos/631/24863007833/6312486300783308092023130151.pdf")</f>
        <v>https://dpmzos25m8ivg.cloudfront.net/Documentos/631/24863007833/6312486300783308092023130151.pdf</v>
      </c>
      <c r="F6166" s="5" t="str">
        <f>HYPERLINK("https://dpmzos25m8ivg.cloudfront.net/Documentos/631/24863007833/6312486300783308092023130240.pdf","https://dpmzos25m8ivg.cloudfront.net/Documentos/631/24863007833/6312486300783308092023130240.pdf")</f>
        <v>https://dpmzos25m8ivg.cloudfront.net/Documentos/631/24863007833/6312486300783308092023130240.pdf</v>
      </c>
      <c r="G6166" s="5" t="str">
        <f>HYPERLINK("https://dpmzos25m8ivg.cloudfront.net/Documentos/631/24863007833/6312486300783308092023134112.pdf","https://dpmzos25m8ivg.cloudfront.net/Documentos/631/24863007833/6312486300783308092023134112.pdf")</f>
        <v>https://dpmzos25m8ivg.cloudfront.net/Documentos/631/24863007833/6312486300783308092023134112.pdf</v>
      </c>
      <c r="H6166" s="4" t="s">
        <v>14737</v>
      </c>
    </row>
    <row r="6167" spans="1:8" x14ac:dyDescent="0.25">
      <c r="A6167" s="2" t="s">
        <v>6195</v>
      </c>
      <c r="B6167" s="3"/>
      <c r="C6167" s="3"/>
      <c r="D6167" s="3"/>
      <c r="E6167" s="5" t="str">
        <f>HYPERLINK("https://dpmzos25m8ivg.cloudfront.net/Documentos/631/24925394827/6312492539482706092023201423.pdf","https://dpmzos25m8ivg.cloudfront.net/Documentos/631/24925394827/6312492539482706092023201423.pdf")</f>
        <v>https://dpmzos25m8ivg.cloudfront.net/Documentos/631/24925394827/6312492539482706092023201423.pdf</v>
      </c>
      <c r="F6167" s="5" t="str">
        <f>HYPERLINK("https://dpmzos25m8ivg.cloudfront.net/Documentos/631/24925394827/6312492539482706092023201447.pdf","https://dpmzos25m8ivg.cloudfront.net/Documentos/631/24925394827/6312492539482706092023201447.pdf")</f>
        <v>https://dpmzos25m8ivg.cloudfront.net/Documentos/631/24925394827/6312492539482706092023201447.pdf</v>
      </c>
      <c r="G6167" s="5" t="str">
        <f>HYPERLINK("https://dpmzos25m8ivg.cloudfront.net/Documentos/631/24925394827/6312492539482706092023201507.pdf","https://dpmzos25m8ivg.cloudfront.net/Documentos/631/24925394827/6312492539482706092023201507.pdf")</f>
        <v>https://dpmzos25m8ivg.cloudfront.net/Documentos/631/24925394827/6312492539482706092023201507.pdf</v>
      </c>
      <c r="H6167" s="4" t="s">
        <v>14738</v>
      </c>
    </row>
    <row r="6168" spans="1:8" x14ac:dyDescent="0.25">
      <c r="A6168" s="2" t="s">
        <v>6196</v>
      </c>
      <c r="B6168" s="3"/>
      <c r="C6168" s="3"/>
      <c r="D6168" s="3"/>
      <c r="E6168" s="5" t="str">
        <f>HYPERLINK("https://dpmzos25m8ivg.cloudfront.net/Documentos/631/24965856830/6312496585683013092023175446.pdf","https://dpmzos25m8ivg.cloudfront.net/Documentos/631/24965856830/6312496585683013092023175446.pdf")</f>
        <v>https://dpmzos25m8ivg.cloudfront.net/Documentos/631/24965856830/6312496585683013092023175446.pdf</v>
      </c>
      <c r="F6168" s="5" t="str">
        <f>HYPERLINK("https://dpmzos25m8ivg.cloudfront.net/Documentos/631/24965856830/6312496585683013092023175456.pdf","https://dpmzos25m8ivg.cloudfront.net/Documentos/631/24965856830/6312496585683013092023175456.pdf")</f>
        <v>https://dpmzos25m8ivg.cloudfront.net/Documentos/631/24965856830/6312496585683013092023175456.pdf</v>
      </c>
      <c r="G6168" s="5" t="str">
        <f>HYPERLINK("https://dpmzos25m8ivg.cloudfront.net/Documentos/631/24965856830/6312496585683013092023175506.pdf","https://dpmzos25m8ivg.cloudfront.net/Documentos/631/24965856830/6312496585683013092023175506.pdf")</f>
        <v>https://dpmzos25m8ivg.cloudfront.net/Documentos/631/24965856830/6312496585683013092023175506.pdf</v>
      </c>
      <c r="H6168" s="4" t="s">
        <v>14739</v>
      </c>
    </row>
    <row r="6169" spans="1:8" x14ac:dyDescent="0.25">
      <c r="A6169" s="2" t="s">
        <v>6197</v>
      </c>
      <c r="B6169" s="3"/>
      <c r="C6169" s="3"/>
      <c r="D6169" s="3"/>
      <c r="E6169" s="5" t="str">
        <f>HYPERLINK("https://dpmzos25m8ivg.cloudfront.net/Documentos/631/24983011862/6312498301186205092023223845.pdf","https://dpmzos25m8ivg.cloudfront.net/Documentos/631/24983011862/6312498301186205092023223845.pdf")</f>
        <v>https://dpmzos25m8ivg.cloudfront.net/Documentos/631/24983011862/6312498301186205092023223845.pdf</v>
      </c>
      <c r="F6169" s="5" t="str">
        <f>HYPERLINK("https://dpmzos25m8ivg.cloudfront.net/Documentos/631/24983011862/6312498301186205092023223855.pdf","https://dpmzos25m8ivg.cloudfront.net/Documentos/631/24983011862/6312498301186205092023223855.pdf")</f>
        <v>https://dpmzos25m8ivg.cloudfront.net/Documentos/631/24983011862/6312498301186205092023223855.pdf</v>
      </c>
      <c r="G6169" s="5" t="str">
        <f>HYPERLINK("https://dpmzos25m8ivg.cloudfront.net/Documentos/631/24983011862/6312498301186205092023223911.pdf","https://dpmzos25m8ivg.cloudfront.net/Documentos/631/24983011862/6312498301186205092023223911.pdf")</f>
        <v>https://dpmzos25m8ivg.cloudfront.net/Documentos/631/24983011862/6312498301186205092023223911.pdf</v>
      </c>
      <c r="H6169" s="4" t="s">
        <v>14740</v>
      </c>
    </row>
    <row r="6170" spans="1:8" x14ac:dyDescent="0.25">
      <c r="A6170" s="2" t="s">
        <v>6198</v>
      </c>
      <c r="B6170" s="3" t="s">
        <v>8</v>
      </c>
      <c r="C6170" s="3"/>
      <c r="D6170" s="3"/>
      <c r="E6170" s="5" t="str">
        <f>HYPERLINK("https://dpmzos25m8ivg.cloudfront.net/Documentos/631/24984473851/6312498447385109092023220640.jpeg","https://dpmzos25m8ivg.cloudfront.net/Documentos/631/24984473851/6312498447385109092023220640.jpeg")</f>
        <v>https://dpmzos25m8ivg.cloudfront.net/Documentos/631/24984473851/6312498447385109092023220640.jpeg</v>
      </c>
      <c r="F6170" s="5" t="str">
        <f>HYPERLINK("https://dpmzos25m8ivg.cloudfront.net/Documentos/631/24984473851/6312498447385109092023220721.jpeg","https://dpmzos25m8ivg.cloudfront.net/Documentos/631/24984473851/6312498447385109092023220721.jpeg")</f>
        <v>https://dpmzos25m8ivg.cloudfront.net/Documentos/631/24984473851/6312498447385109092023220721.jpeg</v>
      </c>
      <c r="G6170" s="5" t="str">
        <f>HYPERLINK("https://dpmzos25m8ivg.cloudfront.net/Documentos/631/24984473851/6312498447385109092023220736.jpeg","https://dpmzos25m8ivg.cloudfront.net/Documentos/631/24984473851/6312498447385109092023220736.jpeg")</f>
        <v>https://dpmzos25m8ivg.cloudfront.net/Documentos/631/24984473851/6312498447385109092023220736.jpeg</v>
      </c>
      <c r="H6170" s="4" t="s">
        <v>14741</v>
      </c>
    </row>
    <row r="6171" spans="1:8" x14ac:dyDescent="0.25">
      <c r="A6171" s="2" t="s">
        <v>6199</v>
      </c>
      <c r="B6171" s="3" t="s">
        <v>8</v>
      </c>
      <c r="C6171" s="3"/>
      <c r="D6171" s="3"/>
      <c r="E6171" s="5" t="str">
        <f>HYPERLINK("https://dpmzos25m8ivg.cloudfront.net/Documentos/631/25080549840/6312508054984011092023152515.pdf","https://dpmzos25m8ivg.cloudfront.net/Documentos/631/25080549840/6312508054984011092023152515.pdf")</f>
        <v>https://dpmzos25m8ivg.cloudfront.net/Documentos/631/25080549840/6312508054984011092023152515.pdf</v>
      </c>
      <c r="F6171" s="5" t="str">
        <f>HYPERLINK("https://dpmzos25m8ivg.cloudfront.net/Documentos/631/25080549840/6312508054984011092023152544.pdf","https://dpmzos25m8ivg.cloudfront.net/Documentos/631/25080549840/6312508054984011092023152544.pdf")</f>
        <v>https://dpmzos25m8ivg.cloudfront.net/Documentos/631/25080549840/6312508054984011092023152544.pdf</v>
      </c>
      <c r="G6171" s="5" t="str">
        <f>HYPERLINK("https://dpmzos25m8ivg.cloudfront.net/Documentos/631/25080549840/6312508054984011092023152614.pdf","https://dpmzos25m8ivg.cloudfront.net/Documentos/631/25080549840/6312508054984011092023152614.pdf")</f>
        <v>https://dpmzos25m8ivg.cloudfront.net/Documentos/631/25080549840/6312508054984011092023152614.pdf</v>
      </c>
      <c r="H6171" s="4" t="s">
        <v>14742</v>
      </c>
    </row>
    <row r="6172" spans="1:8" x14ac:dyDescent="0.25">
      <c r="A6172" s="2" t="s">
        <v>6200</v>
      </c>
      <c r="B6172" s="3"/>
      <c r="C6172" s="3"/>
      <c r="D6172" s="3"/>
      <c r="E6172" s="5" t="str">
        <f>HYPERLINK("https://dpmzos25m8ivg.cloudfront.net/Documentos/631/25122927898/6312512292789810092023224950.pdf","https://dpmzos25m8ivg.cloudfront.net/Documentos/631/25122927898/6312512292789810092023224950.pdf")</f>
        <v>https://dpmzos25m8ivg.cloudfront.net/Documentos/631/25122927898/6312512292789810092023224950.pdf</v>
      </c>
      <c r="F6172" s="5" t="str">
        <f>HYPERLINK("https://dpmzos25m8ivg.cloudfront.net/Documentos/631/25122927898/6312512292789810092023225001.pdf","https://dpmzos25m8ivg.cloudfront.net/Documentos/631/25122927898/6312512292789810092023225001.pdf")</f>
        <v>https://dpmzos25m8ivg.cloudfront.net/Documentos/631/25122927898/6312512292789810092023225001.pdf</v>
      </c>
      <c r="G6172" s="5" t="str">
        <f>HYPERLINK("https://dpmzos25m8ivg.cloudfront.net/Documentos/631/25122927898/6312512292789810092023225013.pdf","https://dpmzos25m8ivg.cloudfront.net/Documentos/631/25122927898/6312512292789810092023225013.pdf")</f>
        <v>https://dpmzos25m8ivg.cloudfront.net/Documentos/631/25122927898/6312512292789810092023225013.pdf</v>
      </c>
      <c r="H6172" s="4" t="s">
        <v>14743</v>
      </c>
    </row>
    <row r="6173" spans="1:8" x14ac:dyDescent="0.25">
      <c r="A6173" s="2" t="s">
        <v>6201</v>
      </c>
      <c r="B6173" s="3"/>
      <c r="C6173" s="3"/>
      <c r="D6173" s="3"/>
      <c r="E6173" s="5" t="str">
        <f>HYPERLINK("https://dpmzos25m8ivg.cloudfront.net/Documentos/631/25127781859/6312512778185906092023170204.jpeg","https://dpmzos25m8ivg.cloudfront.net/Documentos/631/25127781859/6312512778185906092023170204.jpeg")</f>
        <v>https://dpmzos25m8ivg.cloudfront.net/Documentos/631/25127781859/6312512778185906092023170204.jpeg</v>
      </c>
      <c r="F6173" s="5" t="str">
        <f>HYPERLINK("https://dpmzos25m8ivg.cloudfront.net/Documentos/631/25127781859/6312512778185906092023170358.jpeg","https://dpmzos25m8ivg.cloudfront.net/Documentos/631/25127781859/6312512778185906092023170358.jpeg")</f>
        <v>https://dpmzos25m8ivg.cloudfront.net/Documentos/631/25127781859/6312512778185906092023170358.jpeg</v>
      </c>
      <c r="G6173" s="5" t="str">
        <f>HYPERLINK("https://dpmzos25m8ivg.cloudfront.net/Documentos/631/25127781859/6312512778185906092023170411.jpeg","https://dpmzos25m8ivg.cloudfront.net/Documentos/631/25127781859/6312512778185906092023170411.jpeg")</f>
        <v>https://dpmzos25m8ivg.cloudfront.net/Documentos/631/25127781859/6312512778185906092023170411.jpeg</v>
      </c>
      <c r="H6173" s="4" t="s">
        <v>14744</v>
      </c>
    </row>
    <row r="6174" spans="1:8" x14ac:dyDescent="0.25">
      <c r="A6174" s="2" t="s">
        <v>6202</v>
      </c>
      <c r="B6174" s="3"/>
      <c r="C6174" s="3"/>
      <c r="D6174" s="3"/>
      <c r="E6174" s="5" t="str">
        <f>HYPERLINK("https://dpmzos25m8ivg.cloudfront.net/Documentos/631/25152549859/6312515254985911092023004429.pdf","https://dpmzos25m8ivg.cloudfront.net/Documentos/631/25152549859/6312515254985911092023004429.pdf")</f>
        <v>https://dpmzos25m8ivg.cloudfront.net/Documentos/631/25152549859/6312515254985911092023004429.pdf</v>
      </c>
      <c r="F6174" s="5" t="str">
        <f>HYPERLINK("https://dpmzos25m8ivg.cloudfront.net/Documentos/631/25152549859/6312515254985911092023004446.pdf","https://dpmzos25m8ivg.cloudfront.net/Documentos/631/25152549859/6312515254985911092023004446.pdf")</f>
        <v>https://dpmzos25m8ivg.cloudfront.net/Documentos/631/25152549859/6312515254985911092023004446.pdf</v>
      </c>
      <c r="G6174" s="5" t="str">
        <f>HYPERLINK("https://dpmzos25m8ivg.cloudfront.net/Documentos/631/25152549859/6312515254985911092023004503.pdf","https://dpmzos25m8ivg.cloudfront.net/Documentos/631/25152549859/6312515254985911092023004503.pdf")</f>
        <v>https://dpmzos25m8ivg.cloudfront.net/Documentos/631/25152549859/6312515254985911092023004503.pdf</v>
      </c>
      <c r="H6174" s="4" t="s">
        <v>14745</v>
      </c>
    </row>
    <row r="6175" spans="1:8" x14ac:dyDescent="0.25">
      <c r="A6175" s="2" t="s">
        <v>6203</v>
      </c>
      <c r="B6175" s="16" t="s">
        <v>2358</v>
      </c>
      <c r="C6175" s="3"/>
      <c r="D6175" s="3"/>
      <c r="E6175" s="5" t="str">
        <f>HYPERLINK("https://dpmzos25m8ivg.cloudfront.net/Documentos/631/25186949515/6312518694951509092023165617.pdf","https://dpmzos25m8ivg.cloudfront.net/Documentos/631/25186949515/6312518694951509092023165617.pdf")</f>
        <v>https://dpmzos25m8ivg.cloudfront.net/Documentos/631/25186949515/6312518694951509092023165617.pdf</v>
      </c>
      <c r="F6175" s="5" t="str">
        <f>HYPERLINK("https://dpmzos25m8ivg.cloudfront.net/Documentos/631/25186949515/6312518694951509092023165718.pdf","https://dpmzos25m8ivg.cloudfront.net/Documentos/631/25186949515/6312518694951509092023165718.pdf")</f>
        <v>https://dpmzos25m8ivg.cloudfront.net/Documentos/631/25186949515/6312518694951509092023165718.pdf</v>
      </c>
      <c r="G6175" s="5" t="str">
        <f>HYPERLINK("https://dpmzos25m8ivg.cloudfront.net/Documentos/631/25186949515/6312518694951509092023170709.pdf","https://dpmzos25m8ivg.cloudfront.net/Documentos/631/25186949515/6312518694951509092023170709.pdf")</f>
        <v>https://dpmzos25m8ivg.cloudfront.net/Documentos/631/25186949515/6312518694951509092023170709.pdf</v>
      </c>
      <c r="H6175" s="5" t="s">
        <v>14746</v>
      </c>
    </row>
    <row r="6176" spans="1:8" x14ac:dyDescent="0.25">
      <c r="A6176" s="2" t="s">
        <v>6204</v>
      </c>
      <c r="B6176" s="3"/>
      <c r="C6176" s="3"/>
      <c r="D6176" s="3"/>
      <c r="E6176" s="5" t="str">
        <f>HYPERLINK("https://dpmzos25m8ivg.cloudfront.net/Documentos/631/25344047843/6312534404784311092023140302.pdf","https://dpmzos25m8ivg.cloudfront.net/Documentos/631/25344047843/6312534404784311092023140302.pdf")</f>
        <v>https://dpmzos25m8ivg.cloudfront.net/Documentos/631/25344047843/6312534404784311092023140302.pdf</v>
      </c>
      <c r="F6176" s="5" t="str">
        <f>HYPERLINK("https://dpmzos25m8ivg.cloudfront.net/Documentos/631/25344047843/6312534404784311092023140323.pdf","https://dpmzos25m8ivg.cloudfront.net/Documentos/631/25344047843/6312534404784311092023140323.pdf")</f>
        <v>https://dpmzos25m8ivg.cloudfront.net/Documentos/631/25344047843/6312534404784311092023140323.pdf</v>
      </c>
      <c r="G6176" s="5" t="str">
        <f>HYPERLINK("https://dpmzos25m8ivg.cloudfront.net/Documentos/631/25344047843/6312534404784311092023140342.pdf","https://dpmzos25m8ivg.cloudfront.net/Documentos/631/25344047843/6312534404784311092023140342.pdf")</f>
        <v>https://dpmzos25m8ivg.cloudfront.net/Documentos/631/25344047843/6312534404784311092023140342.pdf</v>
      </c>
      <c r="H6176" s="4" t="s">
        <v>14747</v>
      </c>
    </row>
    <row r="6177" spans="1:8" x14ac:dyDescent="0.25">
      <c r="A6177" s="2" t="s">
        <v>6205</v>
      </c>
      <c r="B6177" s="3"/>
      <c r="C6177" s="3"/>
      <c r="D6177" s="3"/>
      <c r="E6177" s="5" t="str">
        <f>HYPERLINK("https://dpmzos25m8ivg.cloudfront.net/Documentos/631/25389512839/6312538951283911092023155130.pdf","https://dpmzos25m8ivg.cloudfront.net/Documentos/631/25389512839/6312538951283911092023155130.pdf")</f>
        <v>https://dpmzos25m8ivg.cloudfront.net/Documentos/631/25389512839/6312538951283911092023155130.pdf</v>
      </c>
      <c r="F6177" s="5" t="str">
        <f>HYPERLINK("https://dpmzos25m8ivg.cloudfront.net/Documentos/631/25389512839/6312538951283911092023155148.pdf","https://dpmzos25m8ivg.cloudfront.net/Documentos/631/25389512839/6312538951283911092023155148.pdf")</f>
        <v>https://dpmzos25m8ivg.cloudfront.net/Documentos/631/25389512839/6312538951283911092023155148.pdf</v>
      </c>
      <c r="G6177" s="5" t="str">
        <f>HYPERLINK("https://dpmzos25m8ivg.cloudfront.net/Documentos/631/25389512839/6312538951283911092023155355.pdf","https://dpmzos25m8ivg.cloudfront.net/Documentos/631/25389512839/6312538951283911092023155355.pdf")</f>
        <v>https://dpmzos25m8ivg.cloudfront.net/Documentos/631/25389512839/6312538951283911092023155355.pdf</v>
      </c>
      <c r="H6177" s="4" t="s">
        <v>14748</v>
      </c>
    </row>
    <row r="6178" spans="1:8" x14ac:dyDescent="0.25">
      <c r="A6178" s="2" t="s">
        <v>6206</v>
      </c>
      <c r="B6178" s="16" t="s">
        <v>2358</v>
      </c>
      <c r="C6178" s="3"/>
      <c r="D6178" s="3"/>
      <c r="E6178" s="5" t="str">
        <f>HYPERLINK("https://dpmzos25m8ivg.cloudfront.net/Documentos/631/25446776860/6312544677686011092023171724.pdf","https://dpmzos25m8ivg.cloudfront.net/Documentos/631/25446776860/6312544677686011092023171724.pdf")</f>
        <v>https://dpmzos25m8ivg.cloudfront.net/Documentos/631/25446776860/6312544677686011092023171724.pdf</v>
      </c>
      <c r="F6178" s="5" t="str">
        <f>HYPERLINK("https://dpmzos25m8ivg.cloudfront.net/Documentos/631/25446776860/6312544677686011092023171845.pdf","https://dpmzos25m8ivg.cloudfront.net/Documentos/631/25446776860/6312544677686011092023171845.pdf")</f>
        <v>https://dpmzos25m8ivg.cloudfront.net/Documentos/631/25446776860/6312544677686011092023171845.pdf</v>
      </c>
      <c r="G6178" s="5" t="str">
        <f>HYPERLINK("https://dpmzos25m8ivg.cloudfront.net/Documentos/631/25446776860/6312544677686011092023171932.pdf","https://dpmzos25m8ivg.cloudfront.net/Documentos/631/25446776860/6312544677686011092023171932.pdf")</f>
        <v>https://dpmzos25m8ivg.cloudfront.net/Documentos/631/25446776860/6312544677686011092023171932.pdf</v>
      </c>
      <c r="H6178" s="5" t="s">
        <v>14749</v>
      </c>
    </row>
    <row r="6179" spans="1:8" x14ac:dyDescent="0.25">
      <c r="A6179" s="2" t="s">
        <v>6207</v>
      </c>
      <c r="B6179" s="3"/>
      <c r="C6179" s="3"/>
      <c r="D6179" s="3"/>
      <c r="E6179" s="5" t="str">
        <f>HYPERLINK("https://dpmzos25m8ivg.cloudfront.net/Documentos/631/25468430525/6312546843052510092023202655.jpg","https://dpmzos25m8ivg.cloudfront.net/Documentos/631/25468430525/6312546843052510092023202655.jpg")</f>
        <v>https://dpmzos25m8ivg.cloudfront.net/Documentos/631/25468430525/6312546843052510092023202655.jpg</v>
      </c>
      <c r="F6179" s="5" t="str">
        <f>HYPERLINK("https://dpmzos25m8ivg.cloudfront.net/Documentos/631/25468430525/6312546843052510092023202723.jpg","https://dpmzos25m8ivg.cloudfront.net/Documentos/631/25468430525/6312546843052510092023202723.jpg")</f>
        <v>https://dpmzos25m8ivg.cloudfront.net/Documentos/631/25468430525/6312546843052510092023202723.jpg</v>
      </c>
      <c r="G6179" s="5" t="str">
        <f>HYPERLINK("https://dpmzos25m8ivg.cloudfront.net/Documentos/631/25468430525/6312546843052510092023202754.jpg","https://dpmzos25m8ivg.cloudfront.net/Documentos/631/25468430525/6312546843052510092023202754.jpg")</f>
        <v>https://dpmzos25m8ivg.cloudfront.net/Documentos/631/25468430525/6312546843052510092023202754.jpg</v>
      </c>
      <c r="H6179" s="4" t="s">
        <v>14750</v>
      </c>
    </row>
    <row r="6180" spans="1:8" x14ac:dyDescent="0.25">
      <c r="A6180" s="2" t="s">
        <v>6208</v>
      </c>
      <c r="B6180" s="3"/>
      <c r="C6180" s="3"/>
      <c r="D6180" s="3"/>
      <c r="E6180" s="5" t="str">
        <f>HYPERLINK("https://dpmzos25m8ivg.cloudfront.net/Documentos/631/25504130832/6312550413083209092023233443.jpg","https://dpmzos25m8ivg.cloudfront.net/Documentos/631/25504130832/6312550413083209092023233443.jpg")</f>
        <v>https://dpmzos25m8ivg.cloudfront.net/Documentos/631/25504130832/6312550413083209092023233443.jpg</v>
      </c>
      <c r="F6180" s="5" t="str">
        <f>HYPERLINK("https://dpmzos25m8ivg.cloudfront.net/Documentos/631/25504130832/6312550413083209092023233517.jpg","https://dpmzos25m8ivg.cloudfront.net/Documentos/631/25504130832/6312550413083209092023233517.jpg")</f>
        <v>https://dpmzos25m8ivg.cloudfront.net/Documentos/631/25504130832/6312550413083209092023233517.jpg</v>
      </c>
      <c r="G6180" s="5" t="str">
        <f>HYPERLINK("https://dpmzos25m8ivg.cloudfront.net/Documentos/631/25504130832/6312550413083209092023233543.jpg","https://dpmzos25m8ivg.cloudfront.net/Documentos/631/25504130832/6312550413083209092023233543.jpg")</f>
        <v>https://dpmzos25m8ivg.cloudfront.net/Documentos/631/25504130832/6312550413083209092023233543.jpg</v>
      </c>
      <c r="H6180" s="4" t="s">
        <v>14751</v>
      </c>
    </row>
    <row r="6181" spans="1:8" x14ac:dyDescent="0.25">
      <c r="A6181" s="2" t="s">
        <v>6209</v>
      </c>
      <c r="B6181" s="19" t="s">
        <v>3385</v>
      </c>
      <c r="C6181" s="3"/>
      <c r="D6181" s="3"/>
      <c r="E6181" s="5" t="str">
        <f>HYPERLINK("https://dpmzos25m8ivg.cloudfront.net/Documentos/631/25509233591/6312550923359109092023201221.jpg","https://dpmzos25m8ivg.cloudfront.net/Documentos/631/25509233591/6312550923359109092023201221.jpg")</f>
        <v>https://dpmzos25m8ivg.cloudfront.net/Documentos/631/25509233591/6312550923359109092023201221.jpg</v>
      </c>
      <c r="F6181" s="5" t="str">
        <f>HYPERLINK("https://dpmzos25m8ivg.cloudfront.net/Documentos/631/25509233591/6312550923359109092023201454.jpg","https://dpmzos25m8ivg.cloudfront.net/Documentos/631/25509233591/6312550923359109092023201454.jpg")</f>
        <v>https://dpmzos25m8ivg.cloudfront.net/Documentos/631/25509233591/6312550923359109092023201454.jpg</v>
      </c>
      <c r="G6181" s="5" t="str">
        <f>HYPERLINK("https://dpmzos25m8ivg.cloudfront.net/Documentos/631/25509233591/6312550923359109092023201513.jpg","https://dpmzos25m8ivg.cloudfront.net/Documentos/631/25509233591/6312550923359109092023201513.jpg")</f>
        <v>https://dpmzos25m8ivg.cloudfront.net/Documentos/631/25509233591/6312550923359109092023201513.jpg</v>
      </c>
      <c r="H6181" s="4" t="s">
        <v>14752</v>
      </c>
    </row>
    <row r="6182" spans="1:8" x14ac:dyDescent="0.25">
      <c r="A6182" s="2" t="s">
        <v>6210</v>
      </c>
      <c r="B6182" s="16" t="s">
        <v>2358</v>
      </c>
      <c r="C6182" s="3"/>
      <c r="D6182" s="3"/>
      <c r="E6182" s="5" t="str">
        <f>HYPERLINK("https://dpmzos25m8ivg.cloudfront.net/Documentos/631/25512445871/6312551244587106092023113754.jpg","https://dpmzos25m8ivg.cloudfront.net/Documentos/631/25512445871/6312551244587106092023113754.jpg")</f>
        <v>https://dpmzos25m8ivg.cloudfront.net/Documentos/631/25512445871/6312551244587106092023113754.jpg</v>
      </c>
      <c r="F6182" s="5" t="str">
        <f>HYPERLINK("https://dpmzos25m8ivg.cloudfront.net/Documentos/631/25512445871/6312551244587106092023113807.jpg","https://dpmzos25m8ivg.cloudfront.net/Documentos/631/25512445871/6312551244587106092023113807.jpg")</f>
        <v>https://dpmzos25m8ivg.cloudfront.net/Documentos/631/25512445871/6312551244587106092023113807.jpg</v>
      </c>
      <c r="G6182" s="5" t="str">
        <f>HYPERLINK("https://dpmzos25m8ivg.cloudfront.net/Documentos/631/25512445871/6312551244587106092023113830.jpg","https://dpmzos25m8ivg.cloudfront.net/Documentos/631/25512445871/6312551244587106092023113830.jpg")</f>
        <v>https://dpmzos25m8ivg.cloudfront.net/Documentos/631/25512445871/6312551244587106092023113830.jpg</v>
      </c>
      <c r="H6182" s="5" t="s">
        <v>14753</v>
      </c>
    </row>
    <row r="6183" spans="1:8" x14ac:dyDescent="0.25">
      <c r="A6183" s="2" t="s">
        <v>6211</v>
      </c>
      <c r="B6183" s="3"/>
      <c r="C6183" s="3"/>
      <c r="D6183" s="3"/>
      <c r="E6183" s="5" t="str">
        <f>HYPERLINK("https://dpmzos25m8ivg.cloudfront.net/Documentos/631/25540219880/6312554021988011092023140038.pdf","https://dpmzos25m8ivg.cloudfront.net/Documentos/631/25540219880/6312554021988011092023140038.pdf")</f>
        <v>https://dpmzos25m8ivg.cloudfront.net/Documentos/631/25540219880/6312554021988011092023140038.pdf</v>
      </c>
      <c r="F6183" s="5" t="str">
        <f>HYPERLINK("https://dpmzos25m8ivg.cloudfront.net/Documentos/631/25540219880/6312554021988011092023142209.pdf","https://dpmzos25m8ivg.cloudfront.net/Documentos/631/25540219880/6312554021988011092023142209.pdf")</f>
        <v>https://dpmzos25m8ivg.cloudfront.net/Documentos/631/25540219880/6312554021988011092023142209.pdf</v>
      </c>
      <c r="G6183" s="5" t="str">
        <f>HYPERLINK("https://dpmzos25m8ivg.cloudfront.net/Documentos/631/25540219880/6312554021988011092023142224.pdf","https://dpmzos25m8ivg.cloudfront.net/Documentos/631/25540219880/6312554021988011092023142224.pdf")</f>
        <v>https://dpmzos25m8ivg.cloudfront.net/Documentos/631/25540219880/6312554021988011092023142224.pdf</v>
      </c>
      <c r="H6183" s="4" t="s">
        <v>14754</v>
      </c>
    </row>
    <row r="6184" spans="1:8" x14ac:dyDescent="0.25">
      <c r="A6184" s="2" t="s">
        <v>6212</v>
      </c>
      <c r="B6184" s="16" t="s">
        <v>2358</v>
      </c>
      <c r="C6184" s="3"/>
      <c r="D6184" s="3"/>
      <c r="E6184" s="5" t="str">
        <f>HYPERLINK("https://dpmzos25m8ivg.cloudfront.net/Documentos/631/25557339817/6312555733981711092023162440.jpeg","https://dpmzos25m8ivg.cloudfront.net/Documentos/631/25557339817/6312555733981711092023162440.jpeg")</f>
        <v>https://dpmzos25m8ivg.cloudfront.net/Documentos/631/25557339817/6312555733981711092023162440.jpeg</v>
      </c>
      <c r="F6184" s="5" t="str">
        <f>HYPERLINK("https://dpmzos25m8ivg.cloudfront.net/Documentos/631/25557339817/6312555733981711092023162458.jpeg","https://dpmzos25m8ivg.cloudfront.net/Documentos/631/25557339817/6312555733981711092023162458.jpeg")</f>
        <v>https://dpmzos25m8ivg.cloudfront.net/Documentos/631/25557339817/6312555733981711092023162458.jpeg</v>
      </c>
      <c r="G6184" s="5" t="str">
        <f>HYPERLINK("https://dpmzos25m8ivg.cloudfront.net/Documentos/631/25557339817/6312555733981711092023162517.jpeg","https://dpmzos25m8ivg.cloudfront.net/Documentos/631/25557339817/6312555733981711092023162517.jpeg")</f>
        <v>https://dpmzos25m8ivg.cloudfront.net/Documentos/631/25557339817/6312555733981711092023162517.jpeg</v>
      </c>
      <c r="H6184" s="5" t="s">
        <v>14755</v>
      </c>
    </row>
    <row r="6185" spans="1:8" x14ac:dyDescent="0.25">
      <c r="A6185" s="2" t="s">
        <v>6213</v>
      </c>
      <c r="B6185" s="3"/>
      <c r="C6185" s="3"/>
      <c r="D6185" s="3"/>
      <c r="E6185" s="5" t="str">
        <f>HYPERLINK("https://dpmzos25m8ivg.cloudfront.net/Documentos/631/25580728387/6312558072838711092023150923.pdf","https://dpmzos25m8ivg.cloudfront.net/Documentos/631/25580728387/6312558072838711092023150923.pdf")</f>
        <v>https://dpmzos25m8ivg.cloudfront.net/Documentos/631/25580728387/6312558072838711092023150923.pdf</v>
      </c>
      <c r="F6185" s="5" t="str">
        <f>HYPERLINK("https://dpmzos25m8ivg.cloudfront.net/Documentos/631/25580728387/6312558072838711092023150933.pdf","https://dpmzos25m8ivg.cloudfront.net/Documentos/631/25580728387/6312558072838711092023150933.pdf")</f>
        <v>https://dpmzos25m8ivg.cloudfront.net/Documentos/631/25580728387/6312558072838711092023150933.pdf</v>
      </c>
      <c r="G6185" s="5" t="str">
        <f>HYPERLINK("https://dpmzos25m8ivg.cloudfront.net/Documentos/631/25580728387/6312558072838711092023150942.pdf","https://dpmzos25m8ivg.cloudfront.net/Documentos/631/25580728387/6312558072838711092023150942.pdf")</f>
        <v>https://dpmzos25m8ivg.cloudfront.net/Documentos/631/25580728387/6312558072838711092023150942.pdf</v>
      </c>
      <c r="H6185" s="4" t="s">
        <v>14756</v>
      </c>
    </row>
    <row r="6186" spans="1:8" x14ac:dyDescent="0.25">
      <c r="A6186" s="2" t="s">
        <v>6214</v>
      </c>
      <c r="B6186" s="3"/>
      <c r="C6186" s="3"/>
      <c r="D6186" s="3"/>
      <c r="E6186" s="5" t="str">
        <f>HYPERLINK("https://dpmzos25m8ivg.cloudfront.net/Documentos/631/25619961826/6312561996182611092023152147.jpg","https://dpmzos25m8ivg.cloudfront.net/Documentos/631/25619961826/6312561996182611092023152147.jpg")</f>
        <v>https://dpmzos25m8ivg.cloudfront.net/Documentos/631/25619961826/6312561996182611092023152147.jpg</v>
      </c>
      <c r="F6186" s="5" t="str">
        <f>HYPERLINK("https://dpmzos25m8ivg.cloudfront.net/Documentos/631/25619961826/6312561996182611092023152225.jpg","https://dpmzos25m8ivg.cloudfront.net/Documentos/631/25619961826/6312561996182611092023152225.jpg")</f>
        <v>https://dpmzos25m8ivg.cloudfront.net/Documentos/631/25619961826/6312561996182611092023152225.jpg</v>
      </c>
      <c r="G6186" s="5" t="str">
        <f>HYPERLINK("https://dpmzos25m8ivg.cloudfront.net/Documentos/631/25619961826/6312561996182611092023152243.jpg","https://dpmzos25m8ivg.cloudfront.net/Documentos/631/25619961826/6312561996182611092023152243.jpg")</f>
        <v>https://dpmzos25m8ivg.cloudfront.net/Documentos/631/25619961826/6312561996182611092023152243.jpg</v>
      </c>
      <c r="H6186" s="4" t="s">
        <v>14757</v>
      </c>
    </row>
    <row r="6187" spans="1:8" x14ac:dyDescent="0.25">
      <c r="A6187" s="11" t="s">
        <v>6215</v>
      </c>
      <c r="B6187" s="19" t="s">
        <v>3385</v>
      </c>
      <c r="C6187" s="3"/>
      <c r="D6187" s="3"/>
      <c r="E6187" s="5" t="str">
        <f>HYPERLINK("https://dpmzos25m8ivg.cloudfront.net/Documentos/631/25646649897/6312564664989709092023163935.jpg","https://dpmzos25m8ivg.cloudfront.net/Documentos/631/25646649897/6312564664989709092023163935.jpg")</f>
        <v>https://dpmzos25m8ivg.cloudfront.net/Documentos/631/25646649897/6312564664989709092023163935.jpg</v>
      </c>
      <c r="F6187" s="5" t="str">
        <f>HYPERLINK("https://dpmzos25m8ivg.cloudfront.net/Documentos/631/25646649897/6312564664989709092023164001.jpg","https://dpmzos25m8ivg.cloudfront.net/Documentos/631/25646649897/6312564664989709092023164001.jpg")</f>
        <v>https://dpmzos25m8ivg.cloudfront.net/Documentos/631/25646649897/6312564664989709092023164001.jpg</v>
      </c>
      <c r="G6187" s="5" t="str">
        <f>HYPERLINK("https://dpmzos25m8ivg.cloudfront.net/Documentos/631/25646649897/6312564664989709092023164024.jpg","https://dpmzos25m8ivg.cloudfront.net/Documentos/631/25646649897/6312564664989709092023164024.jpg")</f>
        <v>https://dpmzos25m8ivg.cloudfront.net/Documentos/631/25646649897/6312564664989709092023164024.jpg</v>
      </c>
      <c r="H6187" s="4" t="s">
        <v>14758</v>
      </c>
    </row>
    <row r="6188" spans="1:8" x14ac:dyDescent="0.25">
      <c r="A6188" s="2" t="s">
        <v>6216</v>
      </c>
      <c r="B6188" s="19" t="s">
        <v>3385</v>
      </c>
      <c r="C6188" s="3"/>
      <c r="D6188" s="3"/>
      <c r="E6188" s="5" t="str">
        <f>HYPERLINK("https://dpmzos25m8ivg.cloudfront.net/Documentos/631/25682800850/6312568280085005092023110404.pdf","https://dpmzos25m8ivg.cloudfront.net/Documentos/631/25682800850/6312568280085005092023110404.pdf")</f>
        <v>https://dpmzos25m8ivg.cloudfront.net/Documentos/631/25682800850/6312568280085005092023110404.pdf</v>
      </c>
      <c r="F6188" s="5" t="str">
        <f>HYPERLINK("https://dpmzos25m8ivg.cloudfront.net/Documentos/631/25682800850/6312568280085005092023110422.pdf","https://dpmzos25m8ivg.cloudfront.net/Documentos/631/25682800850/6312568280085005092023110422.pdf")</f>
        <v>https://dpmzos25m8ivg.cloudfront.net/Documentos/631/25682800850/6312568280085005092023110422.pdf</v>
      </c>
      <c r="G6188" s="5" t="str">
        <f>HYPERLINK("https://dpmzos25m8ivg.cloudfront.net/Documentos/631/25682800850/6312568280085005092023110437.pdf","https://dpmzos25m8ivg.cloudfront.net/Documentos/631/25682800850/6312568280085005092023110437.pdf")</f>
        <v>https://dpmzos25m8ivg.cloudfront.net/Documentos/631/25682800850/6312568280085005092023110437.pdf</v>
      </c>
      <c r="H6188" s="4" t="s">
        <v>14759</v>
      </c>
    </row>
    <row r="6189" spans="1:8" x14ac:dyDescent="0.25">
      <c r="A6189" s="2" t="s">
        <v>6217</v>
      </c>
      <c r="B6189" s="3"/>
      <c r="C6189" s="3"/>
      <c r="D6189" s="3"/>
      <c r="E6189" s="5" t="str">
        <f>HYPERLINK("https://dpmzos25m8ivg.cloudfront.net/Documentos/631/25694218809/6312569421880911092023121857.jpg","https://dpmzos25m8ivg.cloudfront.net/Documentos/631/25694218809/6312569421880911092023121857.jpg")</f>
        <v>https://dpmzos25m8ivg.cloudfront.net/Documentos/631/25694218809/6312569421880911092023121857.jpg</v>
      </c>
      <c r="F6189" s="5" t="str">
        <f>HYPERLINK("https://dpmzos25m8ivg.cloudfront.net/Documentos/631/25694218809/6312569421880911092023122026.jpg","https://dpmzos25m8ivg.cloudfront.net/Documentos/631/25694218809/6312569421880911092023122026.jpg")</f>
        <v>https://dpmzos25m8ivg.cloudfront.net/Documentos/631/25694218809/6312569421880911092023122026.jpg</v>
      </c>
      <c r="G6189" s="5" t="str">
        <f>HYPERLINK("https://dpmzos25m8ivg.cloudfront.net/Documentos/631/25694218809/6312569421880911092023122039.jpg","https://dpmzos25m8ivg.cloudfront.net/Documentos/631/25694218809/6312569421880911092023122039.jpg")</f>
        <v>https://dpmzos25m8ivg.cloudfront.net/Documentos/631/25694218809/6312569421880911092023122039.jpg</v>
      </c>
      <c r="H6189" s="4" t="s">
        <v>14760</v>
      </c>
    </row>
    <row r="6190" spans="1:8" x14ac:dyDescent="0.25">
      <c r="A6190" s="2" t="s">
        <v>6218</v>
      </c>
      <c r="B6190" s="3"/>
      <c r="C6190" s="3"/>
      <c r="D6190" s="3"/>
      <c r="E6190" s="5" t="str">
        <f>HYPERLINK("https://dpmzos25m8ivg.cloudfront.net/Documentos/631/25721121831/6312572112183108092023092958.pdf","https://dpmzos25m8ivg.cloudfront.net/Documentos/631/25721121831/6312572112183108092023092958.pdf")</f>
        <v>https://dpmzos25m8ivg.cloudfront.net/Documentos/631/25721121831/6312572112183108092023092958.pdf</v>
      </c>
      <c r="F6190" s="5" t="str">
        <f>HYPERLINK("https://dpmzos25m8ivg.cloudfront.net/Documentos/631/25721121831/6312572112183108092023093004.pdf","https://dpmzos25m8ivg.cloudfront.net/Documentos/631/25721121831/6312572112183108092023093004.pdf")</f>
        <v>https://dpmzos25m8ivg.cloudfront.net/Documentos/631/25721121831/6312572112183108092023093004.pdf</v>
      </c>
      <c r="G6190" s="5" t="str">
        <f>HYPERLINK("https://dpmzos25m8ivg.cloudfront.net/Documentos/631/25721121831/6312572112183108092023093013.pdf","https://dpmzos25m8ivg.cloudfront.net/Documentos/631/25721121831/6312572112183108092023093013.pdf")</f>
        <v>https://dpmzos25m8ivg.cloudfront.net/Documentos/631/25721121831/6312572112183108092023093013.pdf</v>
      </c>
      <c r="H6190" s="4" t="s">
        <v>14761</v>
      </c>
    </row>
    <row r="6191" spans="1:8" x14ac:dyDescent="0.25">
      <c r="A6191" s="2" t="s">
        <v>6219</v>
      </c>
      <c r="B6191" s="3"/>
      <c r="C6191" s="3"/>
      <c r="D6191" s="3"/>
      <c r="E6191" s="5" t="str">
        <f>HYPERLINK("https://dpmzos25m8ivg.cloudfront.net/Documentos/631/25743254869/6312574325486911092023024500.jpg","https://dpmzos25m8ivg.cloudfront.net/Documentos/631/25743254869/6312574325486911092023024500.jpg")</f>
        <v>https://dpmzos25m8ivg.cloudfront.net/Documentos/631/25743254869/6312574325486911092023024500.jpg</v>
      </c>
      <c r="F6191" s="5" t="str">
        <f>HYPERLINK("https://dpmzos25m8ivg.cloudfront.net/Documentos/631/25743254869/6312574325486911092023024522.jpg","https://dpmzos25m8ivg.cloudfront.net/Documentos/631/25743254869/6312574325486911092023024522.jpg")</f>
        <v>https://dpmzos25m8ivg.cloudfront.net/Documentos/631/25743254869/6312574325486911092023024522.jpg</v>
      </c>
      <c r="G6191" s="5" t="str">
        <f>HYPERLINK("https://dpmzos25m8ivg.cloudfront.net/Documentos/631/25743254869/6312574325486911092023024540.jpg","https://dpmzos25m8ivg.cloudfront.net/Documentos/631/25743254869/6312574325486911092023024540.jpg")</f>
        <v>https://dpmzos25m8ivg.cloudfront.net/Documentos/631/25743254869/6312574325486911092023024540.jpg</v>
      </c>
      <c r="H6191" s="4" t="s">
        <v>14762</v>
      </c>
    </row>
    <row r="6192" spans="1:8" x14ac:dyDescent="0.25">
      <c r="A6192" s="2" t="s">
        <v>6220</v>
      </c>
      <c r="B6192" s="16" t="s">
        <v>2358</v>
      </c>
      <c r="C6192" s="3"/>
      <c r="D6192" s="3"/>
      <c r="E6192" s="5" t="str">
        <f>HYPERLINK("https://dpmzos25m8ivg.cloudfront.net/Documentos/631/25765680682/6312576568068211092023125914.pdf","https://dpmzos25m8ivg.cloudfront.net/Documentos/631/25765680682/6312576568068211092023125914.pdf")</f>
        <v>https://dpmzos25m8ivg.cloudfront.net/Documentos/631/25765680682/6312576568068211092023125914.pdf</v>
      </c>
      <c r="F6192" s="5" t="str">
        <f>HYPERLINK("https://dpmzos25m8ivg.cloudfront.net/Documentos/631/25765680682/6312576568068211092023130040.pdf","https://dpmzos25m8ivg.cloudfront.net/Documentos/631/25765680682/6312576568068211092023130040.pdf")</f>
        <v>https://dpmzos25m8ivg.cloudfront.net/Documentos/631/25765680682/6312576568068211092023130040.pdf</v>
      </c>
      <c r="G6192" s="5" t="str">
        <f>HYPERLINK("https://dpmzos25m8ivg.cloudfront.net/Documentos/631/25765680682/6312576568068211092023130105.pdf","https://dpmzos25m8ivg.cloudfront.net/Documentos/631/25765680682/6312576568068211092023130105.pdf")</f>
        <v>https://dpmzos25m8ivg.cloudfront.net/Documentos/631/25765680682/6312576568068211092023130105.pdf</v>
      </c>
      <c r="H6192" s="5" t="s">
        <v>14763</v>
      </c>
    </row>
    <row r="6193" spans="1:8" x14ac:dyDescent="0.25">
      <c r="A6193" s="2" t="s">
        <v>6221</v>
      </c>
      <c r="B6193" s="3"/>
      <c r="C6193" s="3"/>
      <c r="D6193" s="3"/>
      <c r="E6193" s="5" t="str">
        <f>HYPERLINK("https://dpmzos25m8ivg.cloudfront.net/Documentos/631/25778026846/6312577802684605092023142724.pdf","https://dpmzos25m8ivg.cloudfront.net/Documentos/631/25778026846/6312577802684605092023142724.pdf")</f>
        <v>https://dpmzos25m8ivg.cloudfront.net/Documentos/631/25778026846/6312577802684605092023142724.pdf</v>
      </c>
      <c r="F6193" s="5" t="str">
        <f>HYPERLINK("https://dpmzos25m8ivg.cloudfront.net/Documentos/631/25778026846/6312577802684605092023142748.pdf","https://dpmzos25m8ivg.cloudfront.net/Documentos/631/25778026846/6312577802684605092023142748.pdf")</f>
        <v>https://dpmzos25m8ivg.cloudfront.net/Documentos/631/25778026846/6312577802684605092023142748.pdf</v>
      </c>
      <c r="G6193" s="5" t="str">
        <f>HYPERLINK("https://dpmzos25m8ivg.cloudfront.net/Documentos/631/25778026846/6312577802684605092023142802.pdf","https://dpmzos25m8ivg.cloudfront.net/Documentos/631/25778026846/6312577802684605092023142802.pdf")</f>
        <v>https://dpmzos25m8ivg.cloudfront.net/Documentos/631/25778026846/6312577802684605092023142802.pdf</v>
      </c>
      <c r="H6193" s="4" t="s">
        <v>14764</v>
      </c>
    </row>
    <row r="6194" spans="1:8" x14ac:dyDescent="0.25">
      <c r="A6194" s="2" t="s">
        <v>6222</v>
      </c>
      <c r="B6194" s="3"/>
      <c r="C6194" s="3"/>
      <c r="D6194" s="3"/>
      <c r="E6194" s="5" t="str">
        <f>HYPERLINK("https://dpmzos25m8ivg.cloudfront.net/Documentos/631/25808328829/6312580832882910092023173252.pdf","https://dpmzos25m8ivg.cloudfront.net/Documentos/631/25808328829/6312580832882910092023173252.pdf")</f>
        <v>https://dpmzos25m8ivg.cloudfront.net/Documentos/631/25808328829/6312580832882910092023173252.pdf</v>
      </c>
      <c r="F6194" s="5" t="str">
        <f>HYPERLINK("https://dpmzos25m8ivg.cloudfront.net/Documentos/631/25808328829/6312580832882910092023173312.pdf","https://dpmzos25m8ivg.cloudfront.net/Documentos/631/25808328829/6312580832882910092023173312.pdf")</f>
        <v>https://dpmzos25m8ivg.cloudfront.net/Documentos/631/25808328829/6312580832882910092023173312.pdf</v>
      </c>
      <c r="G6194" s="5" t="str">
        <f>HYPERLINK("https://dpmzos25m8ivg.cloudfront.net/Documentos/631/25808328829/6312580832882910092023173335.pdf","https://dpmzos25m8ivg.cloudfront.net/Documentos/631/25808328829/6312580832882910092023173335.pdf")</f>
        <v>https://dpmzos25m8ivg.cloudfront.net/Documentos/631/25808328829/6312580832882910092023173335.pdf</v>
      </c>
      <c r="H6194" s="4" t="s">
        <v>14765</v>
      </c>
    </row>
    <row r="6195" spans="1:8" x14ac:dyDescent="0.25">
      <c r="A6195" s="2" t="s">
        <v>6223</v>
      </c>
      <c r="B6195" s="3"/>
      <c r="C6195" s="3"/>
      <c r="D6195" s="3"/>
      <c r="E6195" s="5" t="str">
        <f>HYPERLINK("https://dpmzos25m8ivg.cloudfront.net/Documentos/631/25824980845/6312582498084505092023110635.jpg","https://dpmzos25m8ivg.cloudfront.net/Documentos/631/25824980845/6312582498084505092023110635.jpg")</f>
        <v>https://dpmzos25m8ivg.cloudfront.net/Documentos/631/25824980845/6312582498084505092023110635.jpg</v>
      </c>
      <c r="F6195" s="5" t="str">
        <f>HYPERLINK("https://dpmzos25m8ivg.cloudfront.net/Documentos/631/25824980845/6312582498084505092023110642.jpg","https://dpmzos25m8ivg.cloudfront.net/Documentos/631/25824980845/6312582498084505092023110642.jpg")</f>
        <v>https://dpmzos25m8ivg.cloudfront.net/Documentos/631/25824980845/6312582498084505092023110642.jpg</v>
      </c>
      <c r="G6195" s="5" t="str">
        <f>HYPERLINK("https://dpmzos25m8ivg.cloudfront.net/Documentos/631/25824980845/6312582498084505092023110653.jpg","https://dpmzos25m8ivg.cloudfront.net/Documentos/631/25824980845/6312582498084505092023110653.jpg")</f>
        <v>https://dpmzos25m8ivg.cloudfront.net/Documentos/631/25824980845/6312582498084505092023110653.jpg</v>
      </c>
      <c r="H6195" s="4" t="s">
        <v>14766</v>
      </c>
    </row>
    <row r="6196" spans="1:8" x14ac:dyDescent="0.25">
      <c r="A6196" s="2" t="s">
        <v>6224</v>
      </c>
      <c r="B6196" s="3"/>
      <c r="C6196" s="3"/>
      <c r="D6196" s="3"/>
      <c r="E6196" s="5" t="str">
        <f>HYPERLINK("https://dpmzos25m8ivg.cloudfront.net/Documentos/631/25897269882/6312589726988211092023151743.pdf","https://dpmzos25m8ivg.cloudfront.net/Documentos/631/25897269882/6312589726988211092023151743.pdf")</f>
        <v>https://dpmzos25m8ivg.cloudfront.net/Documentos/631/25897269882/6312589726988211092023151743.pdf</v>
      </c>
      <c r="F6196" s="5" t="str">
        <f>HYPERLINK("https://dpmzos25m8ivg.cloudfront.net/Documentos/631/25897269882/6312589726988211092023151758.pdf","https://dpmzos25m8ivg.cloudfront.net/Documentos/631/25897269882/6312589726988211092023151758.pdf")</f>
        <v>https://dpmzos25m8ivg.cloudfront.net/Documentos/631/25897269882/6312589726988211092023151758.pdf</v>
      </c>
      <c r="G6196" s="5" t="str">
        <f>HYPERLINK("https://dpmzos25m8ivg.cloudfront.net/Documentos/631/25897269882/6312589726988211092023151808.pdf","https://dpmzos25m8ivg.cloudfront.net/Documentos/631/25897269882/6312589726988211092023151808.pdf")</f>
        <v>https://dpmzos25m8ivg.cloudfront.net/Documentos/631/25897269882/6312589726988211092023151808.pdf</v>
      </c>
      <c r="H6196" s="4" t="s">
        <v>14767</v>
      </c>
    </row>
    <row r="6197" spans="1:8" x14ac:dyDescent="0.25">
      <c r="A6197" s="2" t="s">
        <v>6225</v>
      </c>
      <c r="B6197" s="3"/>
      <c r="C6197" s="3"/>
      <c r="D6197" s="3"/>
      <c r="E6197" s="5" t="str">
        <f>HYPERLINK("https://dpmzos25m8ivg.cloudfront.net/Documentos/631/25952994504/6312595299450411092023144831.pdf","https://dpmzos25m8ivg.cloudfront.net/Documentos/631/25952994504/6312595299450411092023144831.pdf")</f>
        <v>https://dpmzos25m8ivg.cloudfront.net/Documentos/631/25952994504/6312595299450411092023144831.pdf</v>
      </c>
      <c r="F6197" s="5" t="str">
        <f>HYPERLINK("https://dpmzos25m8ivg.cloudfront.net/Documentos/631/25952994504/6312595299450411092023144846.pdf","https://dpmzos25m8ivg.cloudfront.net/Documentos/631/25952994504/6312595299450411092023144846.pdf")</f>
        <v>https://dpmzos25m8ivg.cloudfront.net/Documentos/631/25952994504/6312595299450411092023144846.pdf</v>
      </c>
      <c r="G6197" s="5" t="str">
        <f>HYPERLINK("https://dpmzos25m8ivg.cloudfront.net/Documentos/631/25952994504/6312595299450411092023144903.pdf","https://dpmzos25m8ivg.cloudfront.net/Documentos/631/25952994504/6312595299450411092023144903.pdf")</f>
        <v>https://dpmzos25m8ivg.cloudfront.net/Documentos/631/25952994504/6312595299450411092023144903.pdf</v>
      </c>
      <c r="H6197" s="4" t="s">
        <v>14768</v>
      </c>
    </row>
    <row r="6198" spans="1:8" x14ac:dyDescent="0.25">
      <c r="A6198" s="2" t="s">
        <v>6226</v>
      </c>
      <c r="B6198" s="3"/>
      <c r="C6198" s="3"/>
      <c r="D6198" s="3"/>
      <c r="E6198" s="5" t="str">
        <f>HYPERLINK("https://dpmzos25m8ivg.cloudfront.net/Documentos/631/25962553837/6312596255383705092023132157.jpeg","https://dpmzos25m8ivg.cloudfront.net/Documentos/631/25962553837/6312596255383705092023132157.jpeg")</f>
        <v>https://dpmzos25m8ivg.cloudfront.net/Documentos/631/25962553837/6312596255383705092023132157.jpeg</v>
      </c>
      <c r="F6198" s="5" t="str">
        <f>HYPERLINK("https://dpmzos25m8ivg.cloudfront.net/Documentos/631/25962553837/6312596255383705092023132210.jpeg","https://dpmzos25m8ivg.cloudfront.net/Documentos/631/25962553837/6312596255383705092023132210.jpeg")</f>
        <v>https://dpmzos25m8ivg.cloudfront.net/Documentos/631/25962553837/6312596255383705092023132210.jpeg</v>
      </c>
      <c r="G6198" s="5" t="str">
        <f>HYPERLINK("https://dpmzos25m8ivg.cloudfront.net/Documentos/631/25962553837/6312596255383705092023132223.jpeg","https://dpmzos25m8ivg.cloudfront.net/Documentos/631/25962553837/6312596255383705092023132223.jpeg")</f>
        <v>https://dpmzos25m8ivg.cloudfront.net/Documentos/631/25962553837/6312596255383705092023132223.jpeg</v>
      </c>
      <c r="H6198" s="4" t="s">
        <v>14769</v>
      </c>
    </row>
    <row r="6199" spans="1:8" x14ac:dyDescent="0.25">
      <c r="A6199" s="2" t="s">
        <v>6227</v>
      </c>
      <c r="B6199" s="16" t="s">
        <v>2358</v>
      </c>
      <c r="C6199" s="3"/>
      <c r="D6199" s="3"/>
      <c r="E6199" s="5" t="str">
        <f>HYPERLINK("https://dpmzos25m8ivg.cloudfront.net/Documentos/631/25989744846/6312598974484610092023222050.pdf","https://dpmzos25m8ivg.cloudfront.net/Documentos/631/25989744846/6312598974484610092023222050.pdf")</f>
        <v>https://dpmzos25m8ivg.cloudfront.net/Documentos/631/25989744846/6312598974484610092023222050.pdf</v>
      </c>
      <c r="F6199" s="5" t="str">
        <f>HYPERLINK("https://dpmzos25m8ivg.cloudfront.net/Documentos/631/25989744846/6312598974484610092023222206.pdf","https://dpmzos25m8ivg.cloudfront.net/Documentos/631/25989744846/6312598974484610092023222206.pdf")</f>
        <v>https://dpmzos25m8ivg.cloudfront.net/Documentos/631/25989744846/6312598974484610092023222206.pdf</v>
      </c>
      <c r="G6199" s="5" t="str">
        <f>HYPERLINK("https://dpmzos25m8ivg.cloudfront.net/Documentos/631/25989744846/6312598974484610092023222639.pdf","https://dpmzos25m8ivg.cloudfront.net/Documentos/631/25989744846/6312598974484610092023222639.pdf")</f>
        <v>https://dpmzos25m8ivg.cloudfront.net/Documentos/631/25989744846/6312598974484610092023222639.pdf</v>
      </c>
      <c r="H6199" s="5" t="s">
        <v>14770</v>
      </c>
    </row>
    <row r="6200" spans="1:8" x14ac:dyDescent="0.25">
      <c r="A6200" s="2" t="s">
        <v>6228</v>
      </c>
      <c r="B6200" s="16" t="s">
        <v>2358</v>
      </c>
      <c r="C6200" s="3"/>
      <c r="D6200" s="3"/>
      <c r="E6200" s="5" t="str">
        <f>HYPERLINK("https://dpmzos25m8ivg.cloudfront.net/Documentos/631/26019484858/6312601948485809092023151537.pdf","https://dpmzos25m8ivg.cloudfront.net/Documentos/631/26019484858/6312601948485809092023151537.pdf")</f>
        <v>https://dpmzos25m8ivg.cloudfront.net/Documentos/631/26019484858/6312601948485809092023151537.pdf</v>
      </c>
      <c r="F6200" s="5" t="str">
        <f>HYPERLINK("https://dpmzos25m8ivg.cloudfront.net/Documentos/631/26019484858/6312601948485809092023151610.pdf","https://dpmzos25m8ivg.cloudfront.net/Documentos/631/26019484858/6312601948485809092023151610.pdf")</f>
        <v>https://dpmzos25m8ivg.cloudfront.net/Documentos/631/26019484858/6312601948485809092023151610.pdf</v>
      </c>
      <c r="G6200" s="5" t="str">
        <f>HYPERLINK("https://dpmzos25m8ivg.cloudfront.net/Documentos/631/26019484858/6312601948485809092023151625.pdf","https://dpmzos25m8ivg.cloudfront.net/Documentos/631/26019484858/6312601948485809092023151625.pdf")</f>
        <v>https://dpmzos25m8ivg.cloudfront.net/Documentos/631/26019484858/6312601948485809092023151625.pdf</v>
      </c>
      <c r="H6200" s="5" t="s">
        <v>14771</v>
      </c>
    </row>
    <row r="6201" spans="1:8" x14ac:dyDescent="0.25">
      <c r="A6201" s="2" t="s">
        <v>6229</v>
      </c>
      <c r="B6201" s="3"/>
      <c r="C6201" s="3"/>
      <c r="D6201" s="3"/>
      <c r="E6201" s="5" t="str">
        <f>HYPERLINK("https://dpmzos25m8ivg.cloudfront.net/Documentos/631/26054511866/6312605451186611092023153535.jpg","https://dpmzos25m8ivg.cloudfront.net/Documentos/631/26054511866/6312605451186611092023153535.jpg")</f>
        <v>https://dpmzos25m8ivg.cloudfront.net/Documentos/631/26054511866/6312605451186611092023153535.jpg</v>
      </c>
      <c r="F6201" s="5" t="str">
        <f>HYPERLINK("https://dpmzos25m8ivg.cloudfront.net/Documentos/631/26054511866/6312605451186611092023153508.jpg","https://dpmzos25m8ivg.cloudfront.net/Documentos/631/26054511866/6312605451186611092023153508.jpg")</f>
        <v>https://dpmzos25m8ivg.cloudfront.net/Documentos/631/26054511866/6312605451186611092023153508.jpg</v>
      </c>
      <c r="G6201" s="5" t="str">
        <f>HYPERLINK("https://dpmzos25m8ivg.cloudfront.net/Documentos/631/26054511866/6312605451186611092023153441.jpg","https://dpmzos25m8ivg.cloudfront.net/Documentos/631/26054511866/6312605451186611092023153441.jpg")</f>
        <v>https://dpmzos25m8ivg.cloudfront.net/Documentos/631/26054511866/6312605451186611092023153441.jpg</v>
      </c>
      <c r="H6201" s="4" t="s">
        <v>14772</v>
      </c>
    </row>
    <row r="6202" spans="1:8" x14ac:dyDescent="0.25">
      <c r="A6202" s="2" t="s">
        <v>6230</v>
      </c>
      <c r="B6202" s="3"/>
      <c r="C6202" s="3"/>
      <c r="D6202" s="3"/>
      <c r="E6202" s="5" t="str">
        <f>HYPERLINK("https://dpmzos25m8ivg.cloudfront.net/Documentos/631/26069350472/6312606935047206092023135957.pdf","https://dpmzos25m8ivg.cloudfront.net/Documentos/631/26069350472/6312606935047206092023135957.pdf")</f>
        <v>https://dpmzos25m8ivg.cloudfront.net/Documentos/631/26069350472/6312606935047206092023135957.pdf</v>
      </c>
      <c r="F6202" s="5" t="str">
        <f>HYPERLINK("https://dpmzos25m8ivg.cloudfront.net/Documentos/631/26069350472/6312606935047206092023140024.pdf","https://dpmzos25m8ivg.cloudfront.net/Documentos/631/26069350472/6312606935047206092023140024.pdf")</f>
        <v>https://dpmzos25m8ivg.cloudfront.net/Documentos/631/26069350472/6312606935047206092023140024.pdf</v>
      </c>
      <c r="G6202" s="5" t="str">
        <f>HYPERLINK("https://dpmzos25m8ivg.cloudfront.net/Documentos/631/26069350472/6312606935047206092023140049.pdf","https://dpmzos25m8ivg.cloudfront.net/Documentos/631/26069350472/6312606935047206092023140049.pdf")</f>
        <v>https://dpmzos25m8ivg.cloudfront.net/Documentos/631/26069350472/6312606935047206092023140049.pdf</v>
      </c>
      <c r="H6202" s="4" t="s">
        <v>14773</v>
      </c>
    </row>
    <row r="6203" spans="1:8" x14ac:dyDescent="0.25">
      <c r="A6203" s="2" t="s">
        <v>6231</v>
      </c>
      <c r="B6203" s="3" t="s">
        <v>8</v>
      </c>
      <c r="C6203" s="3"/>
      <c r="D6203" s="3"/>
      <c r="E6203" s="5" t="str">
        <f>HYPERLINK("https://dpmzos25m8ivg.cloudfront.net/Documentos/631/26149209830/6312614920983006092023154457.jpeg","https://dpmzos25m8ivg.cloudfront.net/Documentos/631/26149209830/6312614920983006092023154457.jpeg")</f>
        <v>https://dpmzos25m8ivg.cloudfront.net/Documentos/631/26149209830/6312614920983006092023154457.jpeg</v>
      </c>
      <c r="F6203" s="5" t="str">
        <f>HYPERLINK("https://dpmzos25m8ivg.cloudfront.net/Documentos/631/26149209830/6312614920983006092023154505.jpeg","https://dpmzos25m8ivg.cloudfront.net/Documentos/631/26149209830/6312614920983006092023154505.jpeg")</f>
        <v>https://dpmzos25m8ivg.cloudfront.net/Documentos/631/26149209830/6312614920983006092023154505.jpeg</v>
      </c>
      <c r="G6203" s="5" t="str">
        <f>HYPERLINK("https://dpmzos25m8ivg.cloudfront.net/Documentos/631/26149209830/6312614920983006092023154512.jpeg","https://dpmzos25m8ivg.cloudfront.net/Documentos/631/26149209830/6312614920983006092023154512.jpeg")</f>
        <v>https://dpmzos25m8ivg.cloudfront.net/Documentos/631/26149209830/6312614920983006092023154512.jpeg</v>
      </c>
      <c r="H6203" s="4" t="s">
        <v>14774</v>
      </c>
    </row>
    <row r="6204" spans="1:8" x14ac:dyDescent="0.25">
      <c r="A6204" s="2" t="s">
        <v>6232</v>
      </c>
      <c r="B6204" s="3"/>
      <c r="C6204" s="3"/>
      <c r="D6204" s="3"/>
      <c r="E6204" s="5" t="str">
        <f>HYPERLINK("https://dpmzos25m8ivg.cloudfront.net/Documentos/631/26157306572/6312615730657211092023121127.pdf","https://dpmzos25m8ivg.cloudfront.net/Documentos/631/26157306572/6312615730657211092023121127.pdf")</f>
        <v>https://dpmzos25m8ivg.cloudfront.net/Documentos/631/26157306572/6312615730657211092023121127.pdf</v>
      </c>
      <c r="F6204" s="5" t="str">
        <f>HYPERLINK("https://dpmzos25m8ivg.cloudfront.net/Documentos/631/26157306572/6312615730657211092023121142.pdf","https://dpmzos25m8ivg.cloudfront.net/Documentos/631/26157306572/6312615730657211092023121142.pdf")</f>
        <v>https://dpmzos25m8ivg.cloudfront.net/Documentos/631/26157306572/6312615730657211092023121142.pdf</v>
      </c>
      <c r="G6204" s="5" t="str">
        <f>HYPERLINK("https://dpmzos25m8ivg.cloudfront.net/Documentos/631/26157306572/6312615730657211092023121157.pdf","https://dpmzos25m8ivg.cloudfront.net/Documentos/631/26157306572/6312615730657211092023121157.pdf")</f>
        <v>https://dpmzos25m8ivg.cloudfront.net/Documentos/631/26157306572/6312615730657211092023121157.pdf</v>
      </c>
      <c r="H6204" s="4" t="s">
        <v>14775</v>
      </c>
    </row>
    <row r="6205" spans="1:8" x14ac:dyDescent="0.25">
      <c r="A6205" s="2" t="s">
        <v>6233</v>
      </c>
      <c r="B6205" s="3"/>
      <c r="C6205" s="3"/>
      <c r="D6205" s="3"/>
      <c r="E6205" s="5" t="str">
        <f>HYPERLINK("https://dpmzos25m8ivg.cloudfront.net/Documentos/631/26171320803/6312617132080310092023231646.pdf","https://dpmzos25m8ivg.cloudfront.net/Documentos/631/26171320803/6312617132080310092023231646.pdf")</f>
        <v>https://dpmzos25m8ivg.cloudfront.net/Documentos/631/26171320803/6312617132080310092023231646.pdf</v>
      </c>
      <c r="F6205" s="5" t="str">
        <f>HYPERLINK("https://dpmzos25m8ivg.cloudfront.net/Documentos/631/26171320803/6312617132080310092023231706.pdf","https://dpmzos25m8ivg.cloudfront.net/Documentos/631/26171320803/6312617132080310092023231706.pdf")</f>
        <v>https://dpmzos25m8ivg.cloudfront.net/Documentos/631/26171320803/6312617132080310092023231706.pdf</v>
      </c>
      <c r="G6205" s="5" t="str">
        <f>HYPERLINK("https://dpmzos25m8ivg.cloudfront.net/Documentos/631/26171320803/6312617132080310092023231720.pdf","https://dpmzos25m8ivg.cloudfront.net/Documentos/631/26171320803/6312617132080310092023231720.pdf")</f>
        <v>https://dpmzos25m8ivg.cloudfront.net/Documentos/631/26171320803/6312617132080310092023231720.pdf</v>
      </c>
      <c r="H6205" s="4" t="s">
        <v>14776</v>
      </c>
    </row>
    <row r="6206" spans="1:8" x14ac:dyDescent="0.25">
      <c r="A6206" s="2" t="s">
        <v>6234</v>
      </c>
      <c r="B6206" s="3" t="s">
        <v>8</v>
      </c>
      <c r="C6206" s="3"/>
      <c r="D6206" s="3"/>
      <c r="E6206" s="5" t="str">
        <f>HYPERLINK("https://dpmzos25m8ivg.cloudfront.net/Documentos/631/26187641884/6312618764188411092023161336.pdf","https://dpmzos25m8ivg.cloudfront.net/Documentos/631/26187641884/6312618764188411092023161336.pdf")</f>
        <v>https://dpmzos25m8ivg.cloudfront.net/Documentos/631/26187641884/6312618764188411092023161336.pdf</v>
      </c>
      <c r="F6206" s="5" t="str">
        <f>HYPERLINK("https://dpmzos25m8ivg.cloudfront.net/Documentos/631/26187641884/6312618764188411092023162302.pdf","https://dpmzos25m8ivg.cloudfront.net/Documentos/631/26187641884/6312618764188411092023162302.pdf")</f>
        <v>https://dpmzos25m8ivg.cloudfront.net/Documentos/631/26187641884/6312618764188411092023162302.pdf</v>
      </c>
      <c r="G6206" s="5" t="str">
        <f>HYPERLINK("https://dpmzos25m8ivg.cloudfront.net/Documentos/631/26187641884/6312618764188411092023162335.pdf","https://dpmzos25m8ivg.cloudfront.net/Documentos/631/26187641884/6312618764188411092023162335.pdf")</f>
        <v>https://dpmzos25m8ivg.cloudfront.net/Documentos/631/26187641884/6312618764188411092023162335.pdf</v>
      </c>
      <c r="H6206" s="4" t="s">
        <v>14777</v>
      </c>
    </row>
    <row r="6207" spans="1:8" x14ac:dyDescent="0.25">
      <c r="A6207" s="2" t="s">
        <v>6235</v>
      </c>
      <c r="B6207" s="3"/>
      <c r="C6207" s="3"/>
      <c r="D6207" s="3"/>
      <c r="E6207" s="5" t="str">
        <f>HYPERLINK("https://dpmzos25m8ivg.cloudfront.net/Documentos/631/26199909801/6312619990980110092023230638.jpg","https://dpmzos25m8ivg.cloudfront.net/Documentos/631/26199909801/6312619990980110092023230638.jpg")</f>
        <v>https://dpmzos25m8ivg.cloudfront.net/Documentos/631/26199909801/6312619990980110092023230638.jpg</v>
      </c>
      <c r="F6207" s="5" t="str">
        <f>HYPERLINK("https://dpmzos25m8ivg.cloudfront.net/Documentos/631/26199909801/6312619990980110092023230656.jpg","https://dpmzos25m8ivg.cloudfront.net/Documentos/631/26199909801/6312619990980110092023230656.jpg")</f>
        <v>https://dpmzos25m8ivg.cloudfront.net/Documentos/631/26199909801/6312619990980110092023230656.jpg</v>
      </c>
      <c r="G6207" s="5" t="str">
        <f>HYPERLINK("https://dpmzos25m8ivg.cloudfront.net/Documentos/631/26199909801/6312619990980110092023230714.jpg","https://dpmzos25m8ivg.cloudfront.net/Documentos/631/26199909801/6312619990980110092023230714.jpg")</f>
        <v>https://dpmzos25m8ivg.cloudfront.net/Documentos/631/26199909801/6312619990980110092023230714.jpg</v>
      </c>
      <c r="H6207" s="4" t="s">
        <v>14778</v>
      </c>
    </row>
    <row r="6208" spans="1:8" x14ac:dyDescent="0.25">
      <c r="A6208" s="2" t="s">
        <v>6236</v>
      </c>
      <c r="B6208" s="3"/>
      <c r="C6208" s="3"/>
      <c r="D6208" s="3"/>
      <c r="E6208" s="5" t="str">
        <f>HYPERLINK("https://dpmzos25m8ivg.cloudfront.net/Documentos/631/26248114862/6312624811486210092023191203.pdf","https://dpmzos25m8ivg.cloudfront.net/Documentos/631/26248114862/6312624811486210092023191203.pdf")</f>
        <v>https://dpmzos25m8ivg.cloudfront.net/Documentos/631/26248114862/6312624811486210092023191203.pdf</v>
      </c>
      <c r="F6208" s="5" t="str">
        <f>HYPERLINK("https://dpmzos25m8ivg.cloudfront.net/Documentos/631/26248114862/6312624811486210092023191234.pdf","https://dpmzos25m8ivg.cloudfront.net/Documentos/631/26248114862/6312624811486210092023191234.pdf")</f>
        <v>https://dpmzos25m8ivg.cloudfront.net/Documentos/631/26248114862/6312624811486210092023191234.pdf</v>
      </c>
      <c r="G6208" s="5" t="str">
        <f>HYPERLINK("https://dpmzos25m8ivg.cloudfront.net/Documentos/631/26248114862/6312624811486210092023191346.pdf","https://dpmzos25m8ivg.cloudfront.net/Documentos/631/26248114862/6312624811486210092023191346.pdf")</f>
        <v>https://dpmzos25m8ivg.cloudfront.net/Documentos/631/26248114862/6312624811486210092023191346.pdf</v>
      </c>
      <c r="H6208" s="4" t="s">
        <v>14779</v>
      </c>
    </row>
    <row r="6209" spans="1:8" x14ac:dyDescent="0.25">
      <c r="A6209" s="2" t="s">
        <v>6237</v>
      </c>
      <c r="B6209" s="3"/>
      <c r="C6209" s="3"/>
      <c r="D6209" s="3"/>
      <c r="E6209" s="5" t="str">
        <f>HYPERLINK("https://dpmzos25m8ivg.cloudfront.net/Documentos/631/26286020837/6312628602083706092023162836.pdf","https://dpmzos25m8ivg.cloudfront.net/Documentos/631/26286020837/6312628602083706092023162836.pdf")</f>
        <v>https://dpmzos25m8ivg.cloudfront.net/Documentos/631/26286020837/6312628602083706092023162836.pdf</v>
      </c>
      <c r="F6209" s="5" t="str">
        <f>HYPERLINK("https://dpmzos25m8ivg.cloudfront.net/Documentos/631/26286020837/6312628602083706092023162844.pdf","https://dpmzos25m8ivg.cloudfront.net/Documentos/631/26286020837/6312628602083706092023162844.pdf")</f>
        <v>https://dpmzos25m8ivg.cloudfront.net/Documentos/631/26286020837/6312628602083706092023162844.pdf</v>
      </c>
      <c r="G6209" s="5" t="str">
        <f>HYPERLINK("https://dpmzos25m8ivg.cloudfront.net/Documentos/631/26286020837/6312628602083706092023162853.pdf","https://dpmzos25m8ivg.cloudfront.net/Documentos/631/26286020837/6312628602083706092023162853.pdf")</f>
        <v>https://dpmzos25m8ivg.cloudfront.net/Documentos/631/26286020837/6312628602083706092023162853.pdf</v>
      </c>
      <c r="H6209" s="4" t="s">
        <v>14780</v>
      </c>
    </row>
    <row r="6210" spans="1:8" x14ac:dyDescent="0.25">
      <c r="A6210" s="2" t="s">
        <v>6238</v>
      </c>
      <c r="B6210" s="3" t="s">
        <v>8</v>
      </c>
      <c r="C6210" s="3"/>
      <c r="D6210" s="3"/>
      <c r="E6210" s="5" t="str">
        <f>HYPERLINK("https://dpmzos25m8ivg.cloudfront.net/Documentos/631/26339569803/6312633956980311092023000245.jpg","https://dpmzos25m8ivg.cloudfront.net/Documentos/631/26339569803/6312633956980311092023000245.jpg")</f>
        <v>https://dpmzos25m8ivg.cloudfront.net/Documentos/631/26339569803/6312633956980311092023000245.jpg</v>
      </c>
      <c r="F6210" s="5" t="str">
        <f>HYPERLINK("https://dpmzos25m8ivg.cloudfront.net/Documentos/631/26339569803/6312633956980311092023000343.jpg","https://dpmzos25m8ivg.cloudfront.net/Documentos/631/26339569803/6312633956980311092023000343.jpg")</f>
        <v>https://dpmzos25m8ivg.cloudfront.net/Documentos/631/26339569803/6312633956980311092023000343.jpg</v>
      </c>
      <c r="G6210" s="5" t="str">
        <f>HYPERLINK("https://dpmzos25m8ivg.cloudfront.net/Documentos/631/26339569803/6312633956980311092023000357.jpg","https://dpmzos25m8ivg.cloudfront.net/Documentos/631/26339569803/6312633956980311092023000357.jpg")</f>
        <v>https://dpmzos25m8ivg.cloudfront.net/Documentos/631/26339569803/6312633956980311092023000357.jpg</v>
      </c>
      <c r="H6210" s="4" t="s">
        <v>14781</v>
      </c>
    </row>
    <row r="6211" spans="1:8" x14ac:dyDescent="0.25">
      <c r="A6211" s="2" t="s">
        <v>6239</v>
      </c>
      <c r="B6211" s="3"/>
      <c r="C6211" s="3"/>
      <c r="D6211" s="3"/>
      <c r="E6211" s="5" t="str">
        <f>HYPERLINK("https://dpmzos25m8ivg.cloudfront.net/Documentos/631/26378707880/6312637870788013092023213759.jpg","https://dpmzos25m8ivg.cloudfront.net/Documentos/631/26378707880/6312637870788013092023213759.jpg")</f>
        <v>https://dpmzos25m8ivg.cloudfront.net/Documentos/631/26378707880/6312637870788013092023213759.jpg</v>
      </c>
      <c r="F6211" s="5" t="str">
        <f>HYPERLINK("https://dpmzos25m8ivg.cloudfront.net/Documentos/631/26378707880/6312637870788013092023213826.jpg","https://dpmzos25m8ivg.cloudfront.net/Documentos/631/26378707880/6312637870788013092023213826.jpg")</f>
        <v>https://dpmzos25m8ivg.cloudfront.net/Documentos/631/26378707880/6312637870788013092023213826.jpg</v>
      </c>
      <c r="G6211" s="5" t="str">
        <f>HYPERLINK("https://dpmzos25m8ivg.cloudfront.net/Documentos/631/26378707880/6312637870788013092023213850.jpg","https://dpmzos25m8ivg.cloudfront.net/Documentos/631/26378707880/6312637870788013092023213850.jpg")</f>
        <v>https://dpmzos25m8ivg.cloudfront.net/Documentos/631/26378707880/6312637870788013092023213850.jpg</v>
      </c>
      <c r="H6211" s="4" t="s">
        <v>14782</v>
      </c>
    </row>
    <row r="6212" spans="1:8" x14ac:dyDescent="0.25">
      <c r="A6212" s="2" t="s">
        <v>6240</v>
      </c>
      <c r="B6212" s="16" t="s">
        <v>2358</v>
      </c>
      <c r="C6212" s="3"/>
      <c r="D6212" s="3"/>
      <c r="E6212" s="5" t="str">
        <f>HYPERLINK("https://dpmzos25m8ivg.cloudfront.net/Documentos/631/26391161852/6312639116185211092023112320.jpg","https://dpmzos25m8ivg.cloudfront.net/Documentos/631/26391161852/6312639116185211092023112320.jpg")</f>
        <v>https://dpmzos25m8ivg.cloudfront.net/Documentos/631/26391161852/6312639116185211092023112320.jpg</v>
      </c>
      <c r="F6212" s="5" t="str">
        <f>HYPERLINK("https://dpmzos25m8ivg.cloudfront.net/Documentos/631/26391161852/6312639116185211092023112353.jpg","https://dpmzos25m8ivg.cloudfront.net/Documentos/631/26391161852/6312639116185211092023112353.jpg")</f>
        <v>https://dpmzos25m8ivg.cloudfront.net/Documentos/631/26391161852/6312639116185211092023112353.jpg</v>
      </c>
      <c r="G6212" s="5" t="str">
        <f>HYPERLINK("https://dpmzos25m8ivg.cloudfront.net/Documentos/631/26391161852/6312639116185211092023112420.jpg","https://dpmzos25m8ivg.cloudfront.net/Documentos/631/26391161852/6312639116185211092023112420.jpg")</f>
        <v>https://dpmzos25m8ivg.cloudfront.net/Documentos/631/26391161852/6312639116185211092023112420.jpg</v>
      </c>
      <c r="H6212" s="5" t="s">
        <v>14783</v>
      </c>
    </row>
    <row r="6213" spans="1:8" x14ac:dyDescent="0.25">
      <c r="A6213" s="2" t="s">
        <v>6241</v>
      </c>
      <c r="B6213" s="16" t="s">
        <v>2358</v>
      </c>
      <c r="C6213" s="3"/>
      <c r="D6213" s="3"/>
      <c r="E6213" s="5" t="str">
        <f>HYPERLINK("https://dpmzos25m8ivg.cloudfront.net/Documentos/631/26397124894/6312639712489411092023101858.jpg","https://dpmzos25m8ivg.cloudfront.net/Documentos/631/26397124894/6312639712489411092023101858.jpg")</f>
        <v>https://dpmzos25m8ivg.cloudfront.net/Documentos/631/26397124894/6312639712489411092023101858.jpg</v>
      </c>
      <c r="F6213" s="5" t="str">
        <f>HYPERLINK("https://dpmzos25m8ivg.cloudfront.net/Documentos/631/26397124894/6312639712489411092023101934.jpg","https://dpmzos25m8ivg.cloudfront.net/Documentos/631/26397124894/6312639712489411092023101934.jpg")</f>
        <v>https://dpmzos25m8ivg.cloudfront.net/Documentos/631/26397124894/6312639712489411092023101934.jpg</v>
      </c>
      <c r="G6213" s="5" t="str">
        <f>HYPERLINK("https://dpmzos25m8ivg.cloudfront.net/Documentos/631/26397124894/6312639712489411092023102001.jpg","https://dpmzos25m8ivg.cloudfront.net/Documentos/631/26397124894/6312639712489411092023102001.jpg")</f>
        <v>https://dpmzos25m8ivg.cloudfront.net/Documentos/631/26397124894/6312639712489411092023102001.jpg</v>
      </c>
      <c r="H6213" s="5" t="s">
        <v>14784</v>
      </c>
    </row>
    <row r="6214" spans="1:8" x14ac:dyDescent="0.25">
      <c r="A6214" s="2" t="s">
        <v>6242</v>
      </c>
      <c r="B6214" s="3" t="s">
        <v>8</v>
      </c>
      <c r="C6214" s="3"/>
      <c r="D6214" s="3"/>
      <c r="E6214" s="5" t="str">
        <f>HYPERLINK("https://dpmzos25m8ivg.cloudfront.net/Documentos/631/26421504884/6312642150488414092023120732.jpg","https://dpmzos25m8ivg.cloudfront.net/Documentos/631/26421504884/6312642150488414092023120732.jpg")</f>
        <v>https://dpmzos25m8ivg.cloudfront.net/Documentos/631/26421504884/6312642150488414092023120732.jpg</v>
      </c>
      <c r="F6214" s="5" t="str">
        <f>HYPERLINK("https://dpmzos25m8ivg.cloudfront.net/Documentos/631/26421504884/6312642150488414092023121155.pdf","https://dpmzos25m8ivg.cloudfront.net/Documentos/631/26421504884/6312642150488414092023121155.pdf")</f>
        <v>https://dpmzos25m8ivg.cloudfront.net/Documentos/631/26421504884/6312642150488414092023121155.pdf</v>
      </c>
      <c r="G6214" s="5" t="str">
        <f>HYPERLINK("https://dpmzos25m8ivg.cloudfront.net/Documentos/631/26421504884/6312642150488414092023121234.pdf","https://dpmzos25m8ivg.cloudfront.net/Documentos/631/26421504884/6312642150488414092023121234.pdf")</f>
        <v>https://dpmzos25m8ivg.cloudfront.net/Documentos/631/26421504884/6312642150488414092023121234.pdf</v>
      </c>
      <c r="H6214" s="4" t="s">
        <v>14785</v>
      </c>
    </row>
    <row r="6215" spans="1:8" x14ac:dyDescent="0.25">
      <c r="A6215" s="2" t="s">
        <v>6243</v>
      </c>
      <c r="B6215" s="3" t="s">
        <v>8</v>
      </c>
      <c r="C6215" s="3"/>
      <c r="D6215" s="3"/>
      <c r="E6215" s="5" t="str">
        <f>HYPERLINK("https://dpmzos25m8ivg.cloudfront.net/Documentos/631/26472154805/6312647215480506092023155120.pdf","https://dpmzos25m8ivg.cloudfront.net/Documentos/631/26472154805/6312647215480506092023155120.pdf")</f>
        <v>https://dpmzos25m8ivg.cloudfront.net/Documentos/631/26472154805/6312647215480506092023155120.pdf</v>
      </c>
      <c r="F6215" s="5" t="str">
        <f>HYPERLINK("https://dpmzos25m8ivg.cloudfront.net/Documentos/631/26472154805/6312647215480506092023155342.pdf","https://dpmzos25m8ivg.cloudfront.net/Documentos/631/26472154805/6312647215480506092023155342.pdf")</f>
        <v>https://dpmzos25m8ivg.cloudfront.net/Documentos/631/26472154805/6312647215480506092023155342.pdf</v>
      </c>
      <c r="G6215" s="5" t="str">
        <f>HYPERLINK("https://dpmzos25m8ivg.cloudfront.net/Documentos/631/26472154805/6312647215480506092023155646.pdf","https://dpmzos25m8ivg.cloudfront.net/Documentos/631/26472154805/6312647215480506092023155646.pdf")</f>
        <v>https://dpmzos25m8ivg.cloudfront.net/Documentos/631/26472154805/6312647215480506092023155646.pdf</v>
      </c>
      <c r="H6215" s="4" t="s">
        <v>14786</v>
      </c>
    </row>
    <row r="6216" spans="1:8" x14ac:dyDescent="0.25">
      <c r="A6216" s="2" t="s">
        <v>6244</v>
      </c>
      <c r="B6216" s="3" t="s">
        <v>8</v>
      </c>
      <c r="C6216" s="3"/>
      <c r="D6216" s="3"/>
      <c r="E6216" s="5" t="str">
        <f>HYPERLINK("https://dpmzos25m8ivg.cloudfront.net/Documentos/631/26532855847/6312653285584711092023155547.pdf","https://dpmzos25m8ivg.cloudfront.net/Documentos/631/26532855847/6312653285584711092023155547.pdf")</f>
        <v>https://dpmzos25m8ivg.cloudfront.net/Documentos/631/26532855847/6312653285584711092023155547.pdf</v>
      </c>
      <c r="F6216" s="5" t="str">
        <f>HYPERLINK("https://dpmzos25m8ivg.cloudfront.net/Documentos/631/26532855847/6312653285584711092023155600.pdf","https://dpmzos25m8ivg.cloudfront.net/Documentos/631/26532855847/6312653285584711092023155600.pdf")</f>
        <v>https://dpmzos25m8ivg.cloudfront.net/Documentos/631/26532855847/6312653285584711092023155600.pdf</v>
      </c>
      <c r="G6216" s="5" t="str">
        <f>HYPERLINK("https://dpmzos25m8ivg.cloudfront.net/Documentos/631/26532855847/6312653285584711092023155612.pdf","https://dpmzos25m8ivg.cloudfront.net/Documentos/631/26532855847/6312653285584711092023155612.pdf")</f>
        <v>https://dpmzos25m8ivg.cloudfront.net/Documentos/631/26532855847/6312653285584711092023155612.pdf</v>
      </c>
      <c r="H6216" s="4" t="s">
        <v>14787</v>
      </c>
    </row>
    <row r="6217" spans="1:8" x14ac:dyDescent="0.25">
      <c r="A6217" s="2" t="s">
        <v>6245</v>
      </c>
      <c r="B6217" s="3"/>
      <c r="C6217" s="3"/>
      <c r="D6217" s="3"/>
      <c r="E6217" s="5" t="str">
        <f>HYPERLINK("https://dpmzos25m8ivg.cloudfront.net/Documentos/631/26551082807/6312655108280709092023163943.pdf","https://dpmzos25m8ivg.cloudfront.net/Documentos/631/26551082807/6312655108280709092023163943.pdf")</f>
        <v>https://dpmzos25m8ivg.cloudfront.net/Documentos/631/26551082807/6312655108280709092023163943.pdf</v>
      </c>
      <c r="F6217" s="5" t="str">
        <f>HYPERLINK("https://dpmzos25m8ivg.cloudfront.net/Documentos/631/26551082807/6312655108280709092023163956.pdf","https://dpmzos25m8ivg.cloudfront.net/Documentos/631/26551082807/6312655108280709092023163956.pdf")</f>
        <v>https://dpmzos25m8ivg.cloudfront.net/Documentos/631/26551082807/6312655108280709092023163956.pdf</v>
      </c>
      <c r="G6217" s="5" t="str">
        <f>HYPERLINK("https://dpmzos25m8ivg.cloudfront.net/Documentos/631/26551082807/6312655108280709092023164009.pdf","https://dpmzos25m8ivg.cloudfront.net/Documentos/631/26551082807/6312655108280709092023164009.pdf")</f>
        <v>https://dpmzos25m8ivg.cloudfront.net/Documentos/631/26551082807/6312655108280709092023164009.pdf</v>
      </c>
      <c r="H6217" s="4" t="s">
        <v>14788</v>
      </c>
    </row>
    <row r="6218" spans="1:8" x14ac:dyDescent="0.25">
      <c r="A6218" s="2" t="s">
        <v>6246</v>
      </c>
      <c r="B6218" s="16" t="s">
        <v>2358</v>
      </c>
      <c r="C6218" s="3"/>
      <c r="D6218" s="3"/>
      <c r="E6218" s="5" t="str">
        <f>HYPERLINK("https://dpmzos25m8ivg.cloudfront.net/Documentos/631/26559308863/6312655930886305092023170320.jpeg","https://dpmzos25m8ivg.cloudfront.net/Documentos/631/26559308863/6312655930886305092023170320.jpeg")</f>
        <v>https://dpmzos25m8ivg.cloudfront.net/Documentos/631/26559308863/6312655930886305092023170320.jpeg</v>
      </c>
      <c r="F6218" s="5" t="str">
        <f>HYPERLINK("https://dpmzos25m8ivg.cloudfront.net/Documentos/631/26559308863/6312655930886305092023162301.pdf","https://dpmzos25m8ivg.cloudfront.net/Documentos/631/26559308863/6312655930886305092023162301.pdf")</f>
        <v>https://dpmzos25m8ivg.cloudfront.net/Documentos/631/26559308863/6312655930886305092023162301.pdf</v>
      </c>
      <c r="G6218" s="5" t="str">
        <f>HYPERLINK("https://dpmzos25m8ivg.cloudfront.net/Documentos/631/26559308863/6312655930886305092023162318.pdf","https://dpmzos25m8ivg.cloudfront.net/Documentos/631/26559308863/6312655930886305092023162318.pdf")</f>
        <v>https://dpmzos25m8ivg.cloudfront.net/Documentos/631/26559308863/6312655930886305092023162318.pdf</v>
      </c>
      <c r="H6218" s="5" t="s">
        <v>14789</v>
      </c>
    </row>
    <row r="6219" spans="1:8" x14ac:dyDescent="0.25">
      <c r="A6219" s="2" t="s">
        <v>6247</v>
      </c>
      <c r="B6219" s="3"/>
      <c r="C6219" s="3"/>
      <c r="D6219" s="3"/>
      <c r="E6219" s="5" t="str">
        <f>HYPERLINK("https://dpmzos25m8ivg.cloudfront.net/Documentos/631/26578585893/6312657858589311092023152852.pdf","https://dpmzos25m8ivg.cloudfront.net/Documentos/631/26578585893/6312657858589311092023152852.pdf")</f>
        <v>https://dpmzos25m8ivg.cloudfront.net/Documentos/631/26578585893/6312657858589311092023152852.pdf</v>
      </c>
      <c r="F6219" s="5" t="str">
        <f>HYPERLINK("https://dpmzos25m8ivg.cloudfront.net/Documentos/631/26578585893/6312657858589311092023152911.pdf","https://dpmzos25m8ivg.cloudfront.net/Documentos/631/26578585893/6312657858589311092023152911.pdf")</f>
        <v>https://dpmzos25m8ivg.cloudfront.net/Documentos/631/26578585893/6312657858589311092023152911.pdf</v>
      </c>
      <c r="G6219" s="5" t="str">
        <f>HYPERLINK("https://dpmzos25m8ivg.cloudfront.net/Documentos/631/26578585893/6312657858589311092023152931.pdf","https://dpmzos25m8ivg.cloudfront.net/Documentos/631/26578585893/6312657858589311092023152931.pdf")</f>
        <v>https://dpmzos25m8ivg.cloudfront.net/Documentos/631/26578585893/6312657858589311092023152931.pdf</v>
      </c>
      <c r="H6219" s="4" t="s">
        <v>14790</v>
      </c>
    </row>
    <row r="6220" spans="1:8" x14ac:dyDescent="0.25">
      <c r="A6220" s="2" t="s">
        <v>6248</v>
      </c>
      <c r="B6220" s="3"/>
      <c r="C6220" s="3"/>
      <c r="D6220" s="3"/>
      <c r="E6220" s="5" t="str">
        <f>HYPERLINK("https://dpmzos25m8ivg.cloudfront.net/Documentos/631/26733807874/6312673380787411092023160625.jpg","https://dpmzos25m8ivg.cloudfront.net/Documentos/631/26733807874/6312673380787411092023160625.jpg")</f>
        <v>https://dpmzos25m8ivg.cloudfront.net/Documentos/631/26733807874/6312673380787411092023160625.jpg</v>
      </c>
      <c r="F6220" s="5" t="str">
        <f>HYPERLINK("https://dpmzos25m8ivg.cloudfront.net/Documentos/631/26733807874/6312673380787411092023160652.jpg","https://dpmzos25m8ivg.cloudfront.net/Documentos/631/26733807874/6312673380787411092023160652.jpg")</f>
        <v>https://dpmzos25m8ivg.cloudfront.net/Documentos/631/26733807874/6312673380787411092023160652.jpg</v>
      </c>
      <c r="G6220" s="5" t="str">
        <f>HYPERLINK("https://dpmzos25m8ivg.cloudfront.net/Documentos/631/26733807874/6312673380787411092023160719.jpg","https://dpmzos25m8ivg.cloudfront.net/Documentos/631/26733807874/6312673380787411092023160719.jpg")</f>
        <v>https://dpmzos25m8ivg.cloudfront.net/Documentos/631/26733807874/6312673380787411092023160719.jpg</v>
      </c>
      <c r="H6220" s="4" t="s">
        <v>14791</v>
      </c>
    </row>
    <row r="6221" spans="1:8" x14ac:dyDescent="0.25">
      <c r="A6221" s="2" t="s">
        <v>6249</v>
      </c>
      <c r="B6221" s="3"/>
      <c r="C6221" s="3"/>
      <c r="D6221" s="3"/>
      <c r="E6221" s="5" t="str">
        <f>HYPERLINK("https://dpmzos25m8ivg.cloudfront.net/Documentos/631/26738732368/6312673873236805092023165256.pdf","https://dpmzos25m8ivg.cloudfront.net/Documentos/631/26738732368/6312673873236805092023165256.pdf")</f>
        <v>https://dpmzos25m8ivg.cloudfront.net/Documentos/631/26738732368/6312673873236805092023165256.pdf</v>
      </c>
      <c r="F6221" s="5" t="str">
        <f>HYPERLINK("https://dpmzos25m8ivg.cloudfront.net/Documentos/631/26738732368/6312673873236805092023165313.pdf","https://dpmzos25m8ivg.cloudfront.net/Documentos/631/26738732368/6312673873236805092023165313.pdf")</f>
        <v>https://dpmzos25m8ivg.cloudfront.net/Documentos/631/26738732368/6312673873236805092023165313.pdf</v>
      </c>
      <c r="G6221" s="5" t="str">
        <f>HYPERLINK("https://dpmzos25m8ivg.cloudfront.net/Documentos/631/26738732368/6312673873236805092023165337.pdf","https://dpmzos25m8ivg.cloudfront.net/Documentos/631/26738732368/6312673873236805092023165337.pdf")</f>
        <v>https://dpmzos25m8ivg.cloudfront.net/Documentos/631/26738732368/6312673873236805092023165337.pdf</v>
      </c>
      <c r="H6221" s="4" t="s">
        <v>14792</v>
      </c>
    </row>
    <row r="6222" spans="1:8" x14ac:dyDescent="0.25">
      <c r="A6222" s="2" t="s">
        <v>6250</v>
      </c>
      <c r="B6222" s="3"/>
      <c r="C6222" s="3"/>
      <c r="D6222" s="3"/>
      <c r="E6222" s="5" t="str">
        <f>HYPERLINK("https://dpmzos25m8ivg.cloudfront.net/Documentos/631/26750879802/6312675087980208092023173716.pdf","https://dpmzos25m8ivg.cloudfront.net/Documentos/631/26750879802/6312675087980208092023173716.pdf")</f>
        <v>https://dpmzos25m8ivg.cloudfront.net/Documentos/631/26750879802/6312675087980208092023173716.pdf</v>
      </c>
      <c r="F6222" s="5" t="str">
        <f>HYPERLINK("https://dpmzos25m8ivg.cloudfront.net/Documentos/631/26750879802/6312675087980208092023173730.pdf","https://dpmzos25m8ivg.cloudfront.net/Documentos/631/26750879802/6312675087980208092023173730.pdf")</f>
        <v>https://dpmzos25m8ivg.cloudfront.net/Documentos/631/26750879802/6312675087980208092023173730.pdf</v>
      </c>
      <c r="G6222" s="5" t="str">
        <f>HYPERLINK("https://dpmzos25m8ivg.cloudfront.net/Documentos/631/26750879802/6312675087980208092023173752.pdf","https://dpmzos25m8ivg.cloudfront.net/Documentos/631/26750879802/6312675087980208092023173752.pdf")</f>
        <v>https://dpmzos25m8ivg.cloudfront.net/Documentos/631/26750879802/6312675087980208092023173752.pdf</v>
      </c>
      <c r="H6222" s="4" t="s">
        <v>14793</v>
      </c>
    </row>
    <row r="6223" spans="1:8" x14ac:dyDescent="0.25">
      <c r="A6223" s="2" t="s">
        <v>6251</v>
      </c>
      <c r="B6223" s="3"/>
      <c r="C6223" s="3"/>
      <c r="D6223" s="3"/>
      <c r="E6223" s="5" t="str">
        <f>HYPERLINK("https://dpmzos25m8ivg.cloudfront.net/Documentos/631/26769159830/6312676915983006092023105024.pdf","https://dpmzos25m8ivg.cloudfront.net/Documentos/631/26769159830/6312676915983006092023105024.pdf")</f>
        <v>https://dpmzos25m8ivg.cloudfront.net/Documentos/631/26769159830/6312676915983006092023105024.pdf</v>
      </c>
      <c r="F6223" s="5" t="str">
        <f>HYPERLINK("https://dpmzos25m8ivg.cloudfront.net/Documentos/631/26769159830/6312676915983006092023105032.pdf","https://dpmzos25m8ivg.cloudfront.net/Documentos/631/26769159830/6312676915983006092023105032.pdf")</f>
        <v>https://dpmzos25m8ivg.cloudfront.net/Documentos/631/26769159830/6312676915983006092023105032.pdf</v>
      </c>
      <c r="G6223" s="5" t="str">
        <f>HYPERLINK("https://dpmzos25m8ivg.cloudfront.net/Documentos/631/26769159830/6312676915983006092023105046.pdf","https://dpmzos25m8ivg.cloudfront.net/Documentos/631/26769159830/6312676915983006092023105046.pdf")</f>
        <v>https://dpmzos25m8ivg.cloudfront.net/Documentos/631/26769159830/6312676915983006092023105046.pdf</v>
      </c>
      <c r="H6223" s="4" t="s">
        <v>14794</v>
      </c>
    </row>
    <row r="6224" spans="1:8" x14ac:dyDescent="0.25">
      <c r="A6224" s="2" t="s">
        <v>6252</v>
      </c>
      <c r="B6224" s="3"/>
      <c r="C6224" s="3"/>
      <c r="D6224" s="3"/>
      <c r="E6224" s="5" t="str">
        <f>HYPERLINK("https://dpmzos25m8ivg.cloudfront.net/Documentos/631/26840020886/6312684002088613092023223909.pdf","https://dpmzos25m8ivg.cloudfront.net/Documentos/631/26840020886/6312684002088613092023223909.pdf")</f>
        <v>https://dpmzos25m8ivg.cloudfront.net/Documentos/631/26840020886/6312684002088613092023223909.pdf</v>
      </c>
      <c r="F6224" s="5" t="str">
        <f>HYPERLINK("https://dpmzos25m8ivg.cloudfront.net/Documentos/631/26840020886/6312684002088613092023223921.pdf","https://dpmzos25m8ivg.cloudfront.net/Documentos/631/26840020886/6312684002088613092023223921.pdf")</f>
        <v>https://dpmzos25m8ivg.cloudfront.net/Documentos/631/26840020886/6312684002088613092023223921.pdf</v>
      </c>
      <c r="G6224" s="5" t="str">
        <f>HYPERLINK("https://dpmzos25m8ivg.cloudfront.net/Documentos/631/26840020886/6312684002088613092023223933.pdf","https://dpmzos25m8ivg.cloudfront.net/Documentos/631/26840020886/6312684002088613092023223933.pdf")</f>
        <v>https://dpmzos25m8ivg.cloudfront.net/Documentos/631/26840020886/6312684002088613092023223933.pdf</v>
      </c>
      <c r="H6224" s="4" t="s">
        <v>14795</v>
      </c>
    </row>
    <row r="6225" spans="1:8" x14ac:dyDescent="0.25">
      <c r="A6225" s="2" t="s">
        <v>6253</v>
      </c>
      <c r="B6225" s="3"/>
      <c r="C6225" s="3"/>
      <c r="D6225" s="3"/>
      <c r="E6225" s="5" t="str">
        <f>HYPERLINK("https://dpmzos25m8ivg.cloudfront.net/Documentos/631/26844611803/6312684461180311092023164705.pdf","https://dpmzos25m8ivg.cloudfront.net/Documentos/631/26844611803/6312684461180311092023164705.pdf")</f>
        <v>https://dpmzos25m8ivg.cloudfront.net/Documentos/631/26844611803/6312684461180311092023164705.pdf</v>
      </c>
      <c r="F6225" s="5" t="str">
        <f>HYPERLINK("https://dpmzos25m8ivg.cloudfront.net/Documentos/631/26844611803/6312684461180311092023164719.pdf","https://dpmzos25m8ivg.cloudfront.net/Documentos/631/26844611803/6312684461180311092023164719.pdf")</f>
        <v>https://dpmzos25m8ivg.cloudfront.net/Documentos/631/26844611803/6312684461180311092023164719.pdf</v>
      </c>
      <c r="G6225" s="5" t="str">
        <f>HYPERLINK("https://dpmzos25m8ivg.cloudfront.net/Documentos/631/26844611803/6312684461180311092023164734.pdf","https://dpmzos25m8ivg.cloudfront.net/Documentos/631/26844611803/6312684461180311092023164734.pdf")</f>
        <v>https://dpmzos25m8ivg.cloudfront.net/Documentos/631/26844611803/6312684461180311092023164734.pdf</v>
      </c>
      <c r="H6225" s="4" t="s">
        <v>14796</v>
      </c>
    </row>
    <row r="6226" spans="1:8" x14ac:dyDescent="0.25">
      <c r="A6226" s="2" t="s">
        <v>6254</v>
      </c>
      <c r="B6226" s="3"/>
      <c r="C6226" s="3"/>
      <c r="D6226" s="3"/>
      <c r="E6226" s="5" t="str">
        <f>HYPERLINK("https://dpmzos25m8ivg.cloudfront.net/Documentos/631/26853990110/6312685399011011092023001339.pdf","https://dpmzos25m8ivg.cloudfront.net/Documentos/631/26853990110/6312685399011011092023001339.pdf")</f>
        <v>https://dpmzos25m8ivg.cloudfront.net/Documentos/631/26853990110/6312685399011011092023001339.pdf</v>
      </c>
      <c r="F6226" s="5" t="str">
        <f>HYPERLINK("https://dpmzos25m8ivg.cloudfront.net/Documentos/631/26853990110/6312685399011011092023001406.pdf","https://dpmzos25m8ivg.cloudfront.net/Documentos/631/26853990110/6312685399011011092023001406.pdf")</f>
        <v>https://dpmzos25m8ivg.cloudfront.net/Documentos/631/26853990110/6312685399011011092023001406.pdf</v>
      </c>
      <c r="G6226" s="5" t="str">
        <f>HYPERLINK("https://dpmzos25m8ivg.cloudfront.net/Documentos/631/26853990110/6312685399011011092023001424.pdf","https://dpmzos25m8ivg.cloudfront.net/Documentos/631/26853990110/6312685399011011092023001424.pdf")</f>
        <v>https://dpmzos25m8ivg.cloudfront.net/Documentos/631/26853990110/6312685399011011092023001424.pdf</v>
      </c>
      <c r="H6226" s="4" t="s">
        <v>14797</v>
      </c>
    </row>
    <row r="6227" spans="1:8" x14ac:dyDescent="0.25">
      <c r="A6227" s="2" t="s">
        <v>6255</v>
      </c>
      <c r="B6227" s="3"/>
      <c r="C6227" s="3"/>
      <c r="D6227" s="3"/>
      <c r="E6227" s="5" t="str">
        <f>HYPERLINK("https://dpmzos25m8ivg.cloudfront.net/Documentos/631/26863062895/6312686306289510092023130731.pdf","https://dpmzos25m8ivg.cloudfront.net/Documentos/631/26863062895/6312686306289510092023130731.pdf")</f>
        <v>https://dpmzos25m8ivg.cloudfront.net/Documentos/631/26863062895/6312686306289510092023130731.pdf</v>
      </c>
      <c r="F6227" s="5" t="str">
        <f>HYPERLINK("https://dpmzos25m8ivg.cloudfront.net/Documentos/631/26863062895/6312686306289510092023130740.pdf","https://dpmzos25m8ivg.cloudfront.net/Documentos/631/26863062895/6312686306289510092023130740.pdf")</f>
        <v>https://dpmzos25m8ivg.cloudfront.net/Documentos/631/26863062895/6312686306289510092023130740.pdf</v>
      </c>
      <c r="G6227" s="5" t="str">
        <f>HYPERLINK("https://dpmzos25m8ivg.cloudfront.net/Documentos/631/26863062895/6312686306289510092023130747.pdf","https://dpmzos25m8ivg.cloudfront.net/Documentos/631/26863062895/6312686306289510092023130747.pdf")</f>
        <v>https://dpmzos25m8ivg.cloudfront.net/Documentos/631/26863062895/6312686306289510092023130747.pdf</v>
      </c>
      <c r="H6227" s="4" t="s">
        <v>14798</v>
      </c>
    </row>
    <row r="6228" spans="1:8" x14ac:dyDescent="0.25">
      <c r="A6228" s="2" t="s">
        <v>6256</v>
      </c>
      <c r="B6228" s="16" t="s">
        <v>2358</v>
      </c>
      <c r="C6228" s="3"/>
      <c r="D6228" s="3"/>
      <c r="E6228" s="5" t="str">
        <f>HYPERLINK("https://dpmzos25m8ivg.cloudfront.net/Documentos/631/26899736349/6312689973634906092023002810.jpg","https://dpmzos25m8ivg.cloudfront.net/Documentos/631/26899736349/6312689973634906092023002810.jpg")</f>
        <v>https://dpmzos25m8ivg.cloudfront.net/Documentos/631/26899736349/6312689973634906092023002810.jpg</v>
      </c>
      <c r="F6228" s="5" t="str">
        <f>HYPERLINK("https://dpmzos25m8ivg.cloudfront.net/Documentos/631/26899736349/6312689973634906092023002829.jpg","https://dpmzos25m8ivg.cloudfront.net/Documentos/631/26899736349/6312689973634906092023002829.jpg")</f>
        <v>https://dpmzos25m8ivg.cloudfront.net/Documentos/631/26899736349/6312689973634906092023002829.jpg</v>
      </c>
      <c r="G6228" s="5" t="str">
        <f>HYPERLINK("https://dpmzos25m8ivg.cloudfront.net/Documentos/631/26899736349/6312689973634906092023002911.jpg","https://dpmzos25m8ivg.cloudfront.net/Documentos/631/26899736349/6312689973634906092023002911.jpg")</f>
        <v>https://dpmzos25m8ivg.cloudfront.net/Documentos/631/26899736349/6312689973634906092023002911.jpg</v>
      </c>
      <c r="H6228" s="5" t="s">
        <v>14799</v>
      </c>
    </row>
    <row r="6229" spans="1:8" x14ac:dyDescent="0.25">
      <c r="A6229" s="2" t="s">
        <v>6257</v>
      </c>
      <c r="B6229" s="16" t="s">
        <v>2358</v>
      </c>
      <c r="C6229" s="3"/>
      <c r="D6229" s="3"/>
      <c r="E6229" s="5" t="str">
        <f>HYPERLINK("https://dpmzos25m8ivg.cloudfront.net/Documentos/631/26925642865/6312692564286511092023163940.pdf","https://dpmzos25m8ivg.cloudfront.net/Documentos/631/26925642865/6312692564286511092023163940.pdf")</f>
        <v>https://dpmzos25m8ivg.cloudfront.net/Documentos/631/26925642865/6312692564286511092023163940.pdf</v>
      </c>
      <c r="F6229" s="5" t="str">
        <f>HYPERLINK("https://dpmzos25m8ivg.cloudfront.net/Documentos/631/26925642865/6312692564286511092023164004.pdf","https://dpmzos25m8ivg.cloudfront.net/Documentos/631/26925642865/6312692564286511092023164004.pdf")</f>
        <v>https://dpmzos25m8ivg.cloudfront.net/Documentos/631/26925642865/6312692564286511092023164004.pdf</v>
      </c>
      <c r="G6229" s="5" t="str">
        <f>HYPERLINK("https://dpmzos25m8ivg.cloudfront.net/Documentos/631/26925642865/6312692564286511092023164015.pdf","https://dpmzos25m8ivg.cloudfront.net/Documentos/631/26925642865/6312692564286511092023164015.pdf")</f>
        <v>https://dpmzos25m8ivg.cloudfront.net/Documentos/631/26925642865/6312692564286511092023164015.pdf</v>
      </c>
      <c r="H6229" s="5" t="s">
        <v>14800</v>
      </c>
    </row>
    <row r="6230" spans="1:8" x14ac:dyDescent="0.25">
      <c r="A6230" s="2" t="s">
        <v>6258</v>
      </c>
      <c r="B6230" s="3" t="s">
        <v>8</v>
      </c>
      <c r="C6230" s="3"/>
      <c r="D6230" s="3"/>
      <c r="E6230" s="5" t="str">
        <f>HYPERLINK("https://dpmzos25m8ivg.cloudfront.net/Documentos/631/26969474810/6312696947481005092023131847.pdf","https://dpmzos25m8ivg.cloudfront.net/Documentos/631/26969474810/6312696947481005092023131847.pdf")</f>
        <v>https://dpmzos25m8ivg.cloudfront.net/Documentos/631/26969474810/6312696947481005092023131847.pdf</v>
      </c>
      <c r="F6230" s="5" t="str">
        <f>HYPERLINK("https://dpmzos25m8ivg.cloudfront.net/Documentos/631/26969474810/6312696947481005092023131857.pdf","https://dpmzos25m8ivg.cloudfront.net/Documentos/631/26969474810/6312696947481005092023131857.pdf")</f>
        <v>https://dpmzos25m8ivg.cloudfront.net/Documentos/631/26969474810/6312696947481005092023131857.pdf</v>
      </c>
      <c r="G6230" s="5" t="str">
        <f>HYPERLINK("https://dpmzos25m8ivg.cloudfront.net/Documentos/631/26969474810/6312696947481005092023131907.pdf","https://dpmzos25m8ivg.cloudfront.net/Documentos/631/26969474810/6312696947481005092023131907.pdf")</f>
        <v>https://dpmzos25m8ivg.cloudfront.net/Documentos/631/26969474810/6312696947481005092023131907.pdf</v>
      </c>
      <c r="H6230" s="4" t="s">
        <v>14801</v>
      </c>
    </row>
    <row r="6231" spans="1:8" x14ac:dyDescent="0.25">
      <c r="A6231" s="2" t="s">
        <v>6259</v>
      </c>
      <c r="B6231" s="3"/>
      <c r="C6231" s="3"/>
      <c r="D6231" s="3"/>
      <c r="E6231" s="5" t="str">
        <f>HYPERLINK("https://dpmzos25m8ivg.cloudfront.net/Documentos/631/26972528860/6312697252886011092023114913.pdf","https://dpmzos25m8ivg.cloudfront.net/Documentos/631/26972528860/6312697252886011092023114913.pdf")</f>
        <v>https://dpmzos25m8ivg.cloudfront.net/Documentos/631/26972528860/6312697252886011092023114913.pdf</v>
      </c>
      <c r="F6231" s="5" t="str">
        <f>HYPERLINK("https://dpmzos25m8ivg.cloudfront.net/Documentos/631/26972528860/6312697252886011092023114927.pdf","https://dpmzos25m8ivg.cloudfront.net/Documentos/631/26972528860/6312697252886011092023114927.pdf")</f>
        <v>https://dpmzos25m8ivg.cloudfront.net/Documentos/631/26972528860/6312697252886011092023114927.pdf</v>
      </c>
      <c r="G6231" s="5" t="str">
        <f>HYPERLINK("https://dpmzos25m8ivg.cloudfront.net/Documentos/631/26972528860/6312697252886011092023115002.pdf","https://dpmzos25m8ivg.cloudfront.net/Documentos/631/26972528860/6312697252886011092023115002.pdf")</f>
        <v>https://dpmzos25m8ivg.cloudfront.net/Documentos/631/26972528860/6312697252886011092023115002.pdf</v>
      </c>
      <c r="H6231" s="4" t="s">
        <v>14802</v>
      </c>
    </row>
    <row r="6232" spans="1:8" x14ac:dyDescent="0.25">
      <c r="A6232" s="2" t="s">
        <v>6260</v>
      </c>
      <c r="B6232" s="16" t="s">
        <v>2358</v>
      </c>
      <c r="C6232" s="3"/>
      <c r="D6232" s="3"/>
      <c r="E6232" s="5" t="str">
        <f>HYPERLINK("https://dpmzos25m8ivg.cloudfront.net/Documentos/631/26981231840/6312698123184010092023210707.pdf","https://dpmzos25m8ivg.cloudfront.net/Documentos/631/26981231840/6312698123184010092023210707.pdf")</f>
        <v>https://dpmzos25m8ivg.cloudfront.net/Documentos/631/26981231840/6312698123184010092023210707.pdf</v>
      </c>
      <c r="F6232" s="5" t="str">
        <f>HYPERLINK("https://dpmzos25m8ivg.cloudfront.net/Documentos/631/26981231840/6312698123184010092023210742.pdf","https://dpmzos25m8ivg.cloudfront.net/Documentos/631/26981231840/6312698123184010092023210742.pdf")</f>
        <v>https://dpmzos25m8ivg.cloudfront.net/Documentos/631/26981231840/6312698123184010092023210742.pdf</v>
      </c>
      <c r="G6232" s="5" t="str">
        <f>HYPERLINK("https://dpmzos25m8ivg.cloudfront.net/Documentos/631/26981231840/6312698123184010092023210818.pdf","https://dpmzos25m8ivg.cloudfront.net/Documentos/631/26981231840/6312698123184010092023210818.pdf")</f>
        <v>https://dpmzos25m8ivg.cloudfront.net/Documentos/631/26981231840/6312698123184010092023210818.pdf</v>
      </c>
      <c r="H6232" s="5" t="s">
        <v>14803</v>
      </c>
    </row>
    <row r="6233" spans="1:8" x14ac:dyDescent="0.25">
      <c r="A6233" s="2" t="s">
        <v>6261</v>
      </c>
      <c r="B6233" s="3"/>
      <c r="C6233" s="3"/>
      <c r="D6233" s="3"/>
      <c r="E6233" s="5" t="str">
        <f>HYPERLINK("https://dpmzos25m8ivg.cloudfront.net/Documentos/631/26998592817/6312699859281711092023090413.pdf","https://dpmzos25m8ivg.cloudfront.net/Documentos/631/26998592817/6312699859281711092023090413.pdf")</f>
        <v>https://dpmzos25m8ivg.cloudfront.net/Documentos/631/26998592817/6312699859281711092023090413.pdf</v>
      </c>
      <c r="F6233" s="5" t="str">
        <f>HYPERLINK("https://dpmzos25m8ivg.cloudfront.net/Documentos/631/26998592817/6312699859281711092023090432.pdf","https://dpmzos25m8ivg.cloudfront.net/Documentos/631/26998592817/6312699859281711092023090432.pdf")</f>
        <v>https://dpmzos25m8ivg.cloudfront.net/Documentos/631/26998592817/6312699859281711092023090432.pdf</v>
      </c>
      <c r="G6233" s="5" t="str">
        <f>HYPERLINK("https://dpmzos25m8ivg.cloudfront.net/Documentos/631/26998592817/6312699859281711092023090448.pdf","https://dpmzos25m8ivg.cloudfront.net/Documentos/631/26998592817/6312699859281711092023090448.pdf")</f>
        <v>https://dpmzos25m8ivg.cloudfront.net/Documentos/631/26998592817/6312699859281711092023090448.pdf</v>
      </c>
      <c r="H6233" s="4" t="s">
        <v>14804</v>
      </c>
    </row>
    <row r="6234" spans="1:8" x14ac:dyDescent="0.25">
      <c r="A6234" s="2" t="s">
        <v>6262</v>
      </c>
      <c r="B6234" s="3"/>
      <c r="C6234" s="3"/>
      <c r="D6234" s="3"/>
      <c r="E6234" s="5" t="str">
        <f>HYPERLINK("https://dpmzos25m8ivg.cloudfront.net/Documentos/631/27040681862/6312704068186206092023095701.pdf","https://dpmzos25m8ivg.cloudfront.net/Documentos/631/27040681862/6312704068186206092023095701.pdf")</f>
        <v>https://dpmzos25m8ivg.cloudfront.net/Documentos/631/27040681862/6312704068186206092023095701.pdf</v>
      </c>
      <c r="F6234" s="5" t="str">
        <f>HYPERLINK("https://dpmzos25m8ivg.cloudfront.net/Documentos/631/27040681862/6312704068186206092023095733.pdf","https://dpmzos25m8ivg.cloudfront.net/Documentos/631/27040681862/6312704068186206092023095733.pdf")</f>
        <v>https://dpmzos25m8ivg.cloudfront.net/Documentos/631/27040681862/6312704068186206092023095733.pdf</v>
      </c>
      <c r="G6234" s="5" t="str">
        <f>HYPERLINK("https://dpmzos25m8ivg.cloudfront.net/Documentos/631/27040681862/6312704068186206092023095753.pdf","https://dpmzos25m8ivg.cloudfront.net/Documentos/631/27040681862/6312704068186206092023095753.pdf")</f>
        <v>https://dpmzos25m8ivg.cloudfront.net/Documentos/631/27040681862/6312704068186206092023095753.pdf</v>
      </c>
      <c r="H6234" s="4" t="s">
        <v>14805</v>
      </c>
    </row>
    <row r="6235" spans="1:8" x14ac:dyDescent="0.25">
      <c r="A6235" s="2" t="s">
        <v>6263</v>
      </c>
      <c r="B6235" s="3"/>
      <c r="C6235" s="3"/>
      <c r="D6235" s="3"/>
      <c r="E6235" s="5" t="str">
        <f>HYPERLINK("https://dpmzos25m8ivg.cloudfront.net/Documentos/631/27156144898/6312715614489811092023154359.pdf","https://dpmzos25m8ivg.cloudfront.net/Documentos/631/27156144898/6312715614489811092023154359.pdf")</f>
        <v>https://dpmzos25m8ivg.cloudfront.net/Documentos/631/27156144898/6312715614489811092023154359.pdf</v>
      </c>
      <c r="F6235" s="5" t="str">
        <f>HYPERLINK("https://dpmzos25m8ivg.cloudfront.net/Documentos/631/27156144898/6312715614489811092023154411.pdf","https://dpmzos25m8ivg.cloudfront.net/Documentos/631/27156144898/6312715614489811092023154411.pdf")</f>
        <v>https://dpmzos25m8ivg.cloudfront.net/Documentos/631/27156144898/6312715614489811092023154411.pdf</v>
      </c>
      <c r="G6235" s="5" t="str">
        <f>HYPERLINK("https://dpmzos25m8ivg.cloudfront.net/Documentos/631/27156144898/6312715614489811092023154424.pdf","https://dpmzos25m8ivg.cloudfront.net/Documentos/631/27156144898/6312715614489811092023154424.pdf")</f>
        <v>https://dpmzos25m8ivg.cloudfront.net/Documentos/631/27156144898/6312715614489811092023154424.pdf</v>
      </c>
      <c r="H6235" s="4" t="s">
        <v>14806</v>
      </c>
    </row>
    <row r="6236" spans="1:8" x14ac:dyDescent="0.25">
      <c r="A6236" s="2" t="s">
        <v>6264</v>
      </c>
      <c r="B6236" s="3"/>
      <c r="C6236" s="3"/>
      <c r="D6236" s="3"/>
      <c r="E6236" s="5" t="str">
        <f>HYPERLINK("https://dpmzos25m8ivg.cloudfront.net/Documentos/631/27177657860/6312717765786005092023232517.pdf","https://dpmzos25m8ivg.cloudfront.net/Documentos/631/27177657860/6312717765786005092023232517.pdf")</f>
        <v>https://dpmzos25m8ivg.cloudfront.net/Documentos/631/27177657860/6312717765786005092023232517.pdf</v>
      </c>
      <c r="F6236" s="5" t="str">
        <f>HYPERLINK("https://dpmzos25m8ivg.cloudfront.net/Documentos/631/27177657860/6312717765786005092023232534.pdf","https://dpmzos25m8ivg.cloudfront.net/Documentos/631/27177657860/6312717765786005092023232534.pdf")</f>
        <v>https://dpmzos25m8ivg.cloudfront.net/Documentos/631/27177657860/6312717765786005092023232534.pdf</v>
      </c>
      <c r="G6236" s="5" t="str">
        <f>HYPERLINK("https://dpmzos25m8ivg.cloudfront.net/Documentos/631/27177657860/6312717765786005092023232549.pdf","https://dpmzos25m8ivg.cloudfront.net/Documentos/631/27177657860/6312717765786005092023232549.pdf")</f>
        <v>https://dpmzos25m8ivg.cloudfront.net/Documentos/631/27177657860/6312717765786005092023232549.pdf</v>
      </c>
      <c r="H6236" s="4" t="s">
        <v>14807</v>
      </c>
    </row>
    <row r="6237" spans="1:8" x14ac:dyDescent="0.25">
      <c r="A6237" s="2" t="s">
        <v>6265</v>
      </c>
      <c r="B6237" s="3" t="s">
        <v>8</v>
      </c>
      <c r="C6237" s="3"/>
      <c r="D6237" s="3"/>
      <c r="E6237" s="5" t="str">
        <f>HYPERLINK("https://dpmzos25m8ivg.cloudfront.net/Documentos/631/27181683829/6312718168382911092023113052.pdf","https://dpmzos25m8ivg.cloudfront.net/Documentos/631/27181683829/6312718168382911092023113052.pdf")</f>
        <v>https://dpmzos25m8ivg.cloudfront.net/Documentos/631/27181683829/6312718168382911092023113052.pdf</v>
      </c>
      <c r="F6237" s="5" t="str">
        <f>HYPERLINK("https://dpmzos25m8ivg.cloudfront.net/Documentos/631/27181683829/6312718168382911092023113200.pdf","https://dpmzos25m8ivg.cloudfront.net/Documentos/631/27181683829/6312718168382911092023113200.pdf")</f>
        <v>https://dpmzos25m8ivg.cloudfront.net/Documentos/631/27181683829/6312718168382911092023113200.pdf</v>
      </c>
      <c r="G6237" s="5" t="str">
        <f>HYPERLINK("https://dpmzos25m8ivg.cloudfront.net/Documentos/631/27181683829/6312718168382911092023113254.pdf","https://dpmzos25m8ivg.cloudfront.net/Documentos/631/27181683829/6312718168382911092023113254.pdf")</f>
        <v>https://dpmzos25m8ivg.cloudfront.net/Documentos/631/27181683829/6312718168382911092023113254.pdf</v>
      </c>
      <c r="H6237" s="4" t="s">
        <v>14808</v>
      </c>
    </row>
    <row r="6238" spans="1:8" x14ac:dyDescent="0.25">
      <c r="A6238" s="2" t="s">
        <v>6266</v>
      </c>
      <c r="B6238" s="3"/>
      <c r="C6238" s="3"/>
      <c r="D6238" s="3"/>
      <c r="E6238" s="5" t="str">
        <f>HYPERLINK("https://dpmzos25m8ivg.cloudfront.net/Documentos/631/27204851870/6312720485187005092023230621.jpg","https://dpmzos25m8ivg.cloudfront.net/Documentos/631/27204851870/6312720485187005092023230621.jpg")</f>
        <v>https://dpmzos25m8ivg.cloudfront.net/Documentos/631/27204851870/6312720485187005092023230621.jpg</v>
      </c>
      <c r="F6238" s="5" t="str">
        <f>HYPERLINK("https://dpmzos25m8ivg.cloudfront.net/Documentos/631/27204851870/6312720485187005092023230918.jpg","https://dpmzos25m8ivg.cloudfront.net/Documentos/631/27204851870/6312720485187005092023230918.jpg")</f>
        <v>https://dpmzos25m8ivg.cloudfront.net/Documentos/631/27204851870/6312720485187005092023230918.jpg</v>
      </c>
      <c r="G6238" s="5" t="str">
        <f>HYPERLINK("https://dpmzos25m8ivg.cloudfront.net/Documentos/631/27204851870/6312720485187005092023231118.jpg","https://dpmzos25m8ivg.cloudfront.net/Documentos/631/27204851870/6312720485187005092023231118.jpg")</f>
        <v>https://dpmzos25m8ivg.cloudfront.net/Documentos/631/27204851870/6312720485187005092023231118.jpg</v>
      </c>
      <c r="H6238" s="4" t="s">
        <v>14809</v>
      </c>
    </row>
    <row r="6239" spans="1:8" x14ac:dyDescent="0.25">
      <c r="A6239" s="2" t="s">
        <v>6267</v>
      </c>
      <c r="B6239" s="16" t="s">
        <v>2358</v>
      </c>
      <c r="C6239" s="3"/>
      <c r="D6239" s="3"/>
      <c r="E6239" s="5" t="str">
        <f>HYPERLINK("https://dpmzos25m8ivg.cloudfront.net/Documentos/631/27249290800/6312724929080006092023081019.pdf","https://dpmzos25m8ivg.cloudfront.net/Documentos/631/27249290800/6312724929080006092023081019.pdf")</f>
        <v>https://dpmzos25m8ivg.cloudfront.net/Documentos/631/27249290800/6312724929080006092023081019.pdf</v>
      </c>
      <c r="F6239" s="5" t="str">
        <f>HYPERLINK("https://dpmzos25m8ivg.cloudfront.net/Documentos/631/27249290800/6312724929080006092023081114.pdf","https://dpmzos25m8ivg.cloudfront.net/Documentos/631/27249290800/6312724929080006092023081114.pdf")</f>
        <v>https://dpmzos25m8ivg.cloudfront.net/Documentos/631/27249290800/6312724929080006092023081114.pdf</v>
      </c>
      <c r="G6239" s="5" t="str">
        <f>HYPERLINK("https://dpmzos25m8ivg.cloudfront.net/Documentos/631/27249290800/6312724929080006092023081148.pdf","https://dpmzos25m8ivg.cloudfront.net/Documentos/631/27249290800/6312724929080006092023081148.pdf")</f>
        <v>https://dpmzos25m8ivg.cloudfront.net/Documentos/631/27249290800/6312724929080006092023081148.pdf</v>
      </c>
      <c r="H6239" s="5" t="s">
        <v>14810</v>
      </c>
    </row>
    <row r="6240" spans="1:8" x14ac:dyDescent="0.25">
      <c r="A6240" s="2" t="s">
        <v>6268</v>
      </c>
      <c r="B6240" s="3"/>
      <c r="C6240" s="3"/>
      <c r="D6240" s="3"/>
      <c r="E6240" s="5" t="str">
        <f>HYPERLINK("https://dpmzos25m8ivg.cloudfront.net/Documentos/631/27253063880/6312725306388005092023141156.jpeg","https://dpmzos25m8ivg.cloudfront.net/Documentos/631/27253063880/6312725306388005092023141156.jpeg")</f>
        <v>https://dpmzos25m8ivg.cloudfront.net/Documentos/631/27253063880/6312725306388005092023141156.jpeg</v>
      </c>
      <c r="F6240" s="5" t="str">
        <f>HYPERLINK("https://dpmzos25m8ivg.cloudfront.net/Documentos/631/27253063880/6312725306388005092023141206.jpeg","https://dpmzos25m8ivg.cloudfront.net/Documentos/631/27253063880/6312725306388005092023141206.jpeg")</f>
        <v>https://dpmzos25m8ivg.cloudfront.net/Documentos/631/27253063880/6312725306388005092023141206.jpeg</v>
      </c>
      <c r="G6240" s="5" t="str">
        <f>HYPERLINK("https://dpmzos25m8ivg.cloudfront.net/Documentos/631/27253063880/6312725306388005092023141217.jpeg","https://dpmzos25m8ivg.cloudfront.net/Documentos/631/27253063880/6312725306388005092023141217.jpeg")</f>
        <v>https://dpmzos25m8ivg.cloudfront.net/Documentos/631/27253063880/6312725306388005092023141217.jpeg</v>
      </c>
      <c r="H6240" s="4" t="s">
        <v>14811</v>
      </c>
    </row>
    <row r="6241" spans="1:8" x14ac:dyDescent="0.25">
      <c r="A6241" s="2" t="s">
        <v>6269</v>
      </c>
      <c r="B6241" s="3"/>
      <c r="C6241" s="3"/>
      <c r="D6241" s="3"/>
      <c r="E6241" s="5" t="str">
        <f>HYPERLINK("https://dpmzos25m8ivg.cloudfront.net/Documentos/631/27260928883/6312726092888311092023135502.pdf","https://dpmzos25m8ivg.cloudfront.net/Documentos/631/27260928883/6312726092888311092023135502.pdf")</f>
        <v>https://dpmzos25m8ivg.cloudfront.net/Documentos/631/27260928883/6312726092888311092023135502.pdf</v>
      </c>
      <c r="F6241" s="5" t="str">
        <f>HYPERLINK("https://dpmzos25m8ivg.cloudfront.net/Documentos/631/27260928883/6312726092888311092023135517.pdf","https://dpmzos25m8ivg.cloudfront.net/Documentos/631/27260928883/6312726092888311092023135517.pdf")</f>
        <v>https://dpmzos25m8ivg.cloudfront.net/Documentos/631/27260928883/6312726092888311092023135517.pdf</v>
      </c>
      <c r="G6241" s="5" t="str">
        <f>HYPERLINK("https://dpmzos25m8ivg.cloudfront.net/Documentos/631/27260928883/6312726092888311092023135533.pdf","https://dpmzos25m8ivg.cloudfront.net/Documentos/631/27260928883/6312726092888311092023135533.pdf")</f>
        <v>https://dpmzos25m8ivg.cloudfront.net/Documentos/631/27260928883/6312726092888311092023135533.pdf</v>
      </c>
      <c r="H6241" s="4" t="s">
        <v>14812</v>
      </c>
    </row>
    <row r="6242" spans="1:8" x14ac:dyDescent="0.25">
      <c r="A6242" s="2" t="s">
        <v>6270</v>
      </c>
      <c r="B6242" s="3"/>
      <c r="C6242" s="3"/>
      <c r="D6242" s="3"/>
      <c r="E6242" s="5" t="str">
        <f>HYPERLINK("https://dpmzos25m8ivg.cloudfront.net/Documentos/631/27345653234/6312734565323407092023154606.pdf","https://dpmzos25m8ivg.cloudfront.net/Documentos/631/27345653234/6312734565323407092023154606.pdf")</f>
        <v>https://dpmzos25m8ivg.cloudfront.net/Documentos/631/27345653234/6312734565323407092023154606.pdf</v>
      </c>
      <c r="F6242" s="5" t="str">
        <f>HYPERLINK("https://dpmzos25m8ivg.cloudfront.net/Documentos/631/27345653234/6312734565323407092023154623.pdf","https://dpmzos25m8ivg.cloudfront.net/Documentos/631/27345653234/6312734565323407092023154623.pdf")</f>
        <v>https://dpmzos25m8ivg.cloudfront.net/Documentos/631/27345653234/6312734565323407092023154623.pdf</v>
      </c>
      <c r="G6242" s="5" t="str">
        <f>HYPERLINK("https://dpmzos25m8ivg.cloudfront.net/Documentos/631/27345653234/6312734565323407092023154640.pdf","https://dpmzos25m8ivg.cloudfront.net/Documentos/631/27345653234/6312734565323407092023154640.pdf")</f>
        <v>https://dpmzos25m8ivg.cloudfront.net/Documentos/631/27345653234/6312734565323407092023154640.pdf</v>
      </c>
      <c r="H6242" s="4" t="s">
        <v>14813</v>
      </c>
    </row>
    <row r="6243" spans="1:8" x14ac:dyDescent="0.25">
      <c r="A6243" s="2" t="s">
        <v>6271</v>
      </c>
      <c r="B6243" s="3"/>
      <c r="C6243" s="3"/>
      <c r="D6243" s="3"/>
      <c r="E6243" s="5" t="str">
        <f>HYPERLINK("https://dpmzos25m8ivg.cloudfront.net/Documentos/631/27359626870/6312735962687005092023222012.pdf","https://dpmzos25m8ivg.cloudfront.net/Documentos/631/27359626870/6312735962687005092023222012.pdf")</f>
        <v>https://dpmzos25m8ivg.cloudfront.net/Documentos/631/27359626870/6312735962687005092023222012.pdf</v>
      </c>
      <c r="F6243" s="5" t="str">
        <f>HYPERLINK("https://dpmzos25m8ivg.cloudfront.net/Documentos/631/27359626870/6312735962687005092023222020.pdf","https://dpmzos25m8ivg.cloudfront.net/Documentos/631/27359626870/6312735962687005092023222020.pdf")</f>
        <v>https://dpmzos25m8ivg.cloudfront.net/Documentos/631/27359626870/6312735962687005092023222020.pdf</v>
      </c>
      <c r="G6243" s="5" t="str">
        <f>HYPERLINK("https://dpmzos25m8ivg.cloudfront.net/Documentos/631/27359626870/6312735962687005092023222038.pdf","https://dpmzos25m8ivg.cloudfront.net/Documentos/631/27359626870/6312735962687005092023222038.pdf")</f>
        <v>https://dpmzos25m8ivg.cloudfront.net/Documentos/631/27359626870/6312735962687005092023222038.pdf</v>
      </c>
      <c r="H6243" s="4" t="s">
        <v>14814</v>
      </c>
    </row>
    <row r="6244" spans="1:8" x14ac:dyDescent="0.25">
      <c r="A6244" s="2" t="s">
        <v>6272</v>
      </c>
      <c r="B6244" s="3"/>
      <c r="C6244" s="3"/>
      <c r="D6244" s="3"/>
      <c r="E6244" s="5" t="str">
        <f>HYPERLINK("https://dpmzos25m8ivg.cloudfront.net/Documentos/631/27456732892/6312745673289211092023162549.pdf","https://dpmzos25m8ivg.cloudfront.net/Documentos/631/27456732892/6312745673289211092023162549.pdf")</f>
        <v>https://dpmzos25m8ivg.cloudfront.net/Documentos/631/27456732892/6312745673289211092023162549.pdf</v>
      </c>
      <c r="F6244" s="5" t="str">
        <f>HYPERLINK("https://dpmzos25m8ivg.cloudfront.net/Documentos/631/27456732892/6312745673289211092023162614.pdf","https://dpmzos25m8ivg.cloudfront.net/Documentos/631/27456732892/6312745673289211092023162614.pdf")</f>
        <v>https://dpmzos25m8ivg.cloudfront.net/Documentos/631/27456732892/6312745673289211092023162614.pdf</v>
      </c>
      <c r="G6244" s="5" t="str">
        <f>HYPERLINK("https://dpmzos25m8ivg.cloudfront.net/Documentos/631/27456732892/6312745673289211092023162631.pdf","https://dpmzos25m8ivg.cloudfront.net/Documentos/631/27456732892/6312745673289211092023162631.pdf")</f>
        <v>https://dpmzos25m8ivg.cloudfront.net/Documentos/631/27456732892/6312745673289211092023162631.pdf</v>
      </c>
      <c r="H6244" s="4" t="s">
        <v>14815</v>
      </c>
    </row>
    <row r="6245" spans="1:8" x14ac:dyDescent="0.25">
      <c r="A6245" s="2" t="s">
        <v>6273</v>
      </c>
      <c r="B6245" s="16" t="s">
        <v>2358</v>
      </c>
      <c r="C6245" s="3"/>
      <c r="D6245" s="3"/>
      <c r="E6245" s="5" t="str">
        <f>HYPERLINK("https://dpmzos25m8ivg.cloudfront.net/Documentos/631/27459623881/6312745962388111092023101424.pdf","https://dpmzos25m8ivg.cloudfront.net/Documentos/631/27459623881/6312745962388111092023101424.pdf")</f>
        <v>https://dpmzos25m8ivg.cloudfront.net/Documentos/631/27459623881/6312745962388111092023101424.pdf</v>
      </c>
      <c r="F6245" s="5" t="str">
        <f>HYPERLINK("https://dpmzos25m8ivg.cloudfront.net/Documentos/631/27459623881/6312745962388111092023101434.pdf","https://dpmzos25m8ivg.cloudfront.net/Documentos/631/27459623881/6312745962388111092023101434.pdf")</f>
        <v>https://dpmzos25m8ivg.cloudfront.net/Documentos/631/27459623881/6312745962388111092023101434.pdf</v>
      </c>
      <c r="G6245" s="5" t="str">
        <f>HYPERLINK("https://dpmzos25m8ivg.cloudfront.net/Documentos/631/27459623881/6312745962388111092023101443.pdf","https://dpmzos25m8ivg.cloudfront.net/Documentos/631/27459623881/6312745962388111092023101443.pdf")</f>
        <v>https://dpmzos25m8ivg.cloudfront.net/Documentos/631/27459623881/6312745962388111092023101443.pdf</v>
      </c>
      <c r="H6245" s="5" t="s">
        <v>14816</v>
      </c>
    </row>
    <row r="6246" spans="1:8" x14ac:dyDescent="0.25">
      <c r="A6246" s="2" t="s">
        <v>6274</v>
      </c>
      <c r="B6246" s="3"/>
      <c r="C6246" s="3"/>
      <c r="D6246" s="3"/>
      <c r="E6246" s="5" t="str">
        <f>HYPERLINK("https://dpmzos25m8ivg.cloudfront.net/Documentos/631/27533396863/6312753339686311092023075342.pdf","https://dpmzos25m8ivg.cloudfront.net/Documentos/631/27533396863/6312753339686311092023075342.pdf")</f>
        <v>https://dpmzos25m8ivg.cloudfront.net/Documentos/631/27533396863/6312753339686311092023075342.pdf</v>
      </c>
      <c r="F6246" s="5" t="str">
        <f>HYPERLINK("https://dpmzos25m8ivg.cloudfront.net/Documentos/631/27533396863/6312753339686311092023075430.pdf","https://dpmzos25m8ivg.cloudfront.net/Documentos/631/27533396863/6312753339686311092023075430.pdf")</f>
        <v>https://dpmzos25m8ivg.cloudfront.net/Documentos/631/27533396863/6312753339686311092023075430.pdf</v>
      </c>
      <c r="G6246" s="5" t="str">
        <f>HYPERLINK("https://dpmzos25m8ivg.cloudfront.net/Documentos/631/27533396863/6312753339686311092023075508.pdf","https://dpmzos25m8ivg.cloudfront.net/Documentos/631/27533396863/6312753339686311092023075508.pdf")</f>
        <v>https://dpmzos25m8ivg.cloudfront.net/Documentos/631/27533396863/6312753339686311092023075508.pdf</v>
      </c>
      <c r="H6246" s="4" t="s">
        <v>14817</v>
      </c>
    </row>
    <row r="6247" spans="1:8" x14ac:dyDescent="0.25">
      <c r="A6247" s="2" t="s">
        <v>6275</v>
      </c>
      <c r="B6247" s="3"/>
      <c r="C6247" s="3"/>
      <c r="D6247" s="3"/>
      <c r="E6247" s="5" t="str">
        <f>HYPERLINK("https://dpmzos25m8ivg.cloudfront.net/Documentos/631/27552150890/6312755215089007092023203038.pdf","https://dpmzos25m8ivg.cloudfront.net/Documentos/631/27552150890/6312755215089007092023203038.pdf")</f>
        <v>https://dpmzos25m8ivg.cloudfront.net/Documentos/631/27552150890/6312755215089007092023203038.pdf</v>
      </c>
      <c r="F6247" s="5" t="str">
        <f>HYPERLINK("https://dpmzos25m8ivg.cloudfront.net/Documentos/631/27552150890/6312755215089007092023203054.pdf","https://dpmzos25m8ivg.cloudfront.net/Documentos/631/27552150890/6312755215089007092023203054.pdf")</f>
        <v>https://dpmzos25m8ivg.cloudfront.net/Documentos/631/27552150890/6312755215089007092023203054.pdf</v>
      </c>
      <c r="G6247" s="5" t="str">
        <f>HYPERLINK("https://dpmzos25m8ivg.cloudfront.net/Documentos/631/27552150890/6312755215089007092023203026.pdf","https://dpmzos25m8ivg.cloudfront.net/Documentos/631/27552150890/6312755215089007092023203026.pdf")</f>
        <v>https://dpmzos25m8ivg.cloudfront.net/Documentos/631/27552150890/6312755215089007092023203026.pdf</v>
      </c>
      <c r="H6247" s="4" t="s">
        <v>14818</v>
      </c>
    </row>
    <row r="6248" spans="1:8" x14ac:dyDescent="0.25">
      <c r="A6248" s="2" t="s">
        <v>6276</v>
      </c>
      <c r="B6248" s="3"/>
      <c r="C6248" s="3"/>
      <c r="D6248" s="3"/>
      <c r="E6248" s="5" t="str">
        <f>HYPERLINK("https://dpmzos25m8ivg.cloudfront.net/Documentos/631/27555151553/6312755515155308092023130156.pdf","https://dpmzos25m8ivg.cloudfront.net/Documentos/631/27555151553/6312755515155308092023130156.pdf")</f>
        <v>https://dpmzos25m8ivg.cloudfront.net/Documentos/631/27555151553/6312755515155308092023130156.pdf</v>
      </c>
      <c r="F6248" s="5" t="str">
        <f>HYPERLINK("https://dpmzos25m8ivg.cloudfront.net/Documentos/631/27555151553/6312755515155308092023130204.pdf","https://dpmzos25m8ivg.cloudfront.net/Documentos/631/27555151553/6312755515155308092023130204.pdf")</f>
        <v>https://dpmzos25m8ivg.cloudfront.net/Documentos/631/27555151553/6312755515155308092023130204.pdf</v>
      </c>
      <c r="G6248" s="5" t="str">
        <f>HYPERLINK("https://dpmzos25m8ivg.cloudfront.net/Documentos/631/27555151553/6312755515155308092023130211.pdf","https://dpmzos25m8ivg.cloudfront.net/Documentos/631/27555151553/6312755515155308092023130211.pdf")</f>
        <v>https://dpmzos25m8ivg.cloudfront.net/Documentos/631/27555151553/6312755515155308092023130211.pdf</v>
      </c>
      <c r="H6248" s="4" t="s">
        <v>14819</v>
      </c>
    </row>
    <row r="6249" spans="1:8" x14ac:dyDescent="0.25">
      <c r="A6249" s="2" t="s">
        <v>6277</v>
      </c>
      <c r="B6249" s="3"/>
      <c r="C6249" s="3"/>
      <c r="D6249" s="3"/>
      <c r="E6249" s="5" t="str">
        <f>HYPERLINK("https://dpmzos25m8ivg.cloudfront.net/Documentos/631/27702596449/6312770259644911092023131152.jpg","https://dpmzos25m8ivg.cloudfront.net/Documentos/631/27702596449/6312770259644911092023131152.jpg")</f>
        <v>https://dpmzos25m8ivg.cloudfront.net/Documentos/631/27702596449/6312770259644911092023131152.jpg</v>
      </c>
      <c r="F6249" s="5" t="str">
        <f>HYPERLINK("https://dpmzos25m8ivg.cloudfront.net/Documentos/631/27702596449/6312770259644911092023131237.jpg","https://dpmzos25m8ivg.cloudfront.net/Documentos/631/27702596449/6312770259644911092023131237.jpg")</f>
        <v>https://dpmzos25m8ivg.cloudfront.net/Documentos/631/27702596449/6312770259644911092023131237.jpg</v>
      </c>
      <c r="G6249" s="5" t="str">
        <f>HYPERLINK("https://dpmzos25m8ivg.cloudfront.net/Documentos/631/27702596449/6312770259644911092023131323.jpg","https://dpmzos25m8ivg.cloudfront.net/Documentos/631/27702596449/6312770259644911092023131323.jpg")</f>
        <v>https://dpmzos25m8ivg.cloudfront.net/Documentos/631/27702596449/6312770259644911092023131323.jpg</v>
      </c>
      <c r="H6249" s="4" t="s">
        <v>14820</v>
      </c>
    </row>
    <row r="6250" spans="1:8" x14ac:dyDescent="0.25">
      <c r="A6250" s="2" t="s">
        <v>6278</v>
      </c>
      <c r="B6250" s="3"/>
      <c r="C6250" s="3"/>
      <c r="D6250" s="3"/>
      <c r="E6250" s="5" t="str">
        <f>HYPERLINK("https://dpmzos25m8ivg.cloudfront.net/Documentos/631/27729745534/6312772974553409092023232351.pdf","https://dpmzos25m8ivg.cloudfront.net/Documentos/631/27729745534/6312772974553409092023232351.pdf")</f>
        <v>https://dpmzos25m8ivg.cloudfront.net/Documentos/631/27729745534/6312772974553409092023232351.pdf</v>
      </c>
      <c r="F6250" s="5" t="str">
        <f>HYPERLINK("https://dpmzos25m8ivg.cloudfront.net/Documentos/631/27729745534/6312772974553409092023232505.pdf","https://dpmzos25m8ivg.cloudfront.net/Documentos/631/27729745534/6312772974553409092023232505.pdf")</f>
        <v>https://dpmzos25m8ivg.cloudfront.net/Documentos/631/27729745534/6312772974553409092023232505.pdf</v>
      </c>
      <c r="G6250" s="5" t="str">
        <f>HYPERLINK("https://dpmzos25m8ivg.cloudfront.net/Documentos/631/27729745534/6312772974553409092023232601.pdf","https://dpmzos25m8ivg.cloudfront.net/Documentos/631/27729745534/6312772974553409092023232601.pdf")</f>
        <v>https://dpmzos25m8ivg.cloudfront.net/Documentos/631/27729745534/6312772974553409092023232601.pdf</v>
      </c>
      <c r="H6250" s="4" t="s">
        <v>14821</v>
      </c>
    </row>
    <row r="6251" spans="1:8" x14ac:dyDescent="0.25">
      <c r="A6251" s="11" t="s">
        <v>6279</v>
      </c>
      <c r="B6251" s="19" t="s">
        <v>3385</v>
      </c>
      <c r="C6251" s="3"/>
      <c r="D6251" s="3"/>
      <c r="E6251" s="5" t="str">
        <f>HYPERLINK("https://dpmzos25m8ivg.cloudfront.net/Documentos/631/27764931187/6312776493118714092023100031.jpg","https://dpmzos25m8ivg.cloudfront.net/Documentos/631/27764931187/6312776493118714092023100031.jpg")</f>
        <v>https://dpmzos25m8ivg.cloudfront.net/Documentos/631/27764931187/6312776493118714092023100031.jpg</v>
      </c>
      <c r="F6251" s="5" t="str">
        <f>HYPERLINK("https://dpmzos25m8ivg.cloudfront.net/Documentos/631/27764931187/6312776493118714092023093106.jpg","https://dpmzos25m8ivg.cloudfront.net/Documentos/631/27764931187/6312776493118714092023093106.jpg")</f>
        <v>https://dpmzos25m8ivg.cloudfront.net/Documentos/631/27764931187/6312776493118714092023093106.jpg</v>
      </c>
      <c r="G6251" s="5" t="str">
        <f>HYPERLINK("https://dpmzos25m8ivg.cloudfront.net/Documentos/631/27764931187/6312776493118714092023093234.jpg","https://dpmzos25m8ivg.cloudfront.net/Documentos/631/27764931187/6312776493118714092023093234.jpg")</f>
        <v>https://dpmzos25m8ivg.cloudfront.net/Documentos/631/27764931187/6312776493118714092023093234.jpg</v>
      </c>
      <c r="H6251" s="4" t="s">
        <v>14822</v>
      </c>
    </row>
    <row r="6252" spans="1:8" x14ac:dyDescent="0.25">
      <c r="A6252" s="2" t="s">
        <v>6280</v>
      </c>
      <c r="B6252" s="3"/>
      <c r="C6252" s="3"/>
      <c r="D6252" s="3"/>
      <c r="E6252" s="5" t="str">
        <f>HYPERLINK("https://dpmzos25m8ivg.cloudfront.net/Documentos/631/27797508801/6312779750880111092023003231.pdf","https://dpmzos25m8ivg.cloudfront.net/Documentos/631/27797508801/6312779750880111092023003231.pdf")</f>
        <v>https://dpmzos25m8ivg.cloudfront.net/Documentos/631/27797508801/6312779750880111092023003231.pdf</v>
      </c>
      <c r="F6252" s="5" t="str">
        <f>HYPERLINK("https://dpmzos25m8ivg.cloudfront.net/Documentos/631/27797508801/6312779750880111092023003254.pdf","https://dpmzos25m8ivg.cloudfront.net/Documentos/631/27797508801/6312779750880111092023003254.pdf")</f>
        <v>https://dpmzos25m8ivg.cloudfront.net/Documentos/631/27797508801/6312779750880111092023003254.pdf</v>
      </c>
      <c r="G6252" s="5" t="str">
        <f>HYPERLINK("https://dpmzos25m8ivg.cloudfront.net/Documentos/631/27797508801/6312779750880111092023003320.pdf","https://dpmzos25m8ivg.cloudfront.net/Documentos/631/27797508801/6312779750880111092023003320.pdf")</f>
        <v>https://dpmzos25m8ivg.cloudfront.net/Documentos/631/27797508801/6312779750880111092023003320.pdf</v>
      </c>
      <c r="H6252" s="4" t="s">
        <v>14823</v>
      </c>
    </row>
    <row r="6253" spans="1:8" x14ac:dyDescent="0.25">
      <c r="A6253" s="2" t="s">
        <v>6281</v>
      </c>
      <c r="B6253" s="3"/>
      <c r="C6253" s="3"/>
      <c r="D6253" s="3"/>
      <c r="E6253" s="5" t="str">
        <f>HYPERLINK("https://dpmzos25m8ivg.cloudfront.net/Documentos/631/27804385846/6312780438584607092023195544.jpg","https://dpmzos25m8ivg.cloudfront.net/Documentos/631/27804385846/6312780438584607092023195544.jpg")</f>
        <v>https://dpmzos25m8ivg.cloudfront.net/Documentos/631/27804385846/6312780438584607092023195544.jpg</v>
      </c>
      <c r="F6253" s="5" t="str">
        <f>HYPERLINK("https://dpmzos25m8ivg.cloudfront.net/Documentos/631/27804385846/6312780438584607092023201928.jpg","https://dpmzos25m8ivg.cloudfront.net/Documentos/631/27804385846/6312780438584607092023201928.jpg")</f>
        <v>https://dpmzos25m8ivg.cloudfront.net/Documentos/631/27804385846/6312780438584607092023201928.jpg</v>
      </c>
      <c r="G6253" s="5" t="str">
        <f>HYPERLINK("https://dpmzos25m8ivg.cloudfront.net/Documentos/631/27804385846/6312780438584607092023202038.jpg","https://dpmzos25m8ivg.cloudfront.net/Documentos/631/27804385846/6312780438584607092023202038.jpg")</f>
        <v>https://dpmzos25m8ivg.cloudfront.net/Documentos/631/27804385846/6312780438584607092023202038.jpg</v>
      </c>
      <c r="H6253" s="4" t="s">
        <v>14824</v>
      </c>
    </row>
    <row r="6254" spans="1:8" x14ac:dyDescent="0.25">
      <c r="A6254" s="2" t="s">
        <v>6282</v>
      </c>
      <c r="B6254" s="3"/>
      <c r="C6254" s="3"/>
      <c r="D6254" s="3"/>
      <c r="E6254" s="5" t="str">
        <f>HYPERLINK("https://dpmzos25m8ivg.cloudfront.net/Documentos/631/27844653817/6312784465381707092023230118.pdf","https://dpmzos25m8ivg.cloudfront.net/Documentos/631/27844653817/6312784465381707092023230118.pdf")</f>
        <v>https://dpmzos25m8ivg.cloudfront.net/Documentos/631/27844653817/6312784465381707092023230118.pdf</v>
      </c>
      <c r="F6254" s="5" t="str">
        <f>HYPERLINK("https://dpmzos25m8ivg.cloudfront.net/Documentos/631/27844653817/6312784465381707092023230149.pdf","https://dpmzos25m8ivg.cloudfront.net/Documentos/631/27844653817/6312784465381707092023230149.pdf")</f>
        <v>https://dpmzos25m8ivg.cloudfront.net/Documentos/631/27844653817/6312784465381707092023230149.pdf</v>
      </c>
      <c r="G6254" s="5" t="str">
        <f>HYPERLINK("https://dpmzos25m8ivg.cloudfront.net/Documentos/631/27844653817/6312784465381707092023230226.pdf","https://dpmzos25m8ivg.cloudfront.net/Documentos/631/27844653817/6312784465381707092023230226.pdf")</f>
        <v>https://dpmzos25m8ivg.cloudfront.net/Documentos/631/27844653817/6312784465381707092023230226.pdf</v>
      </c>
      <c r="H6254" s="4" t="s">
        <v>14825</v>
      </c>
    </row>
    <row r="6255" spans="1:8" x14ac:dyDescent="0.25">
      <c r="A6255" s="2" t="s">
        <v>6283</v>
      </c>
      <c r="B6255" s="3"/>
      <c r="C6255" s="3"/>
      <c r="D6255" s="3"/>
      <c r="E6255" s="5" t="str">
        <f>HYPERLINK("https://dpmzos25m8ivg.cloudfront.net/Documentos/631/27918766857/6312791876685709092023201944.pdf","https://dpmzos25m8ivg.cloudfront.net/Documentos/631/27918766857/6312791876685709092023201944.pdf")</f>
        <v>https://dpmzos25m8ivg.cloudfront.net/Documentos/631/27918766857/6312791876685709092023201944.pdf</v>
      </c>
      <c r="F6255" s="5" t="str">
        <f>HYPERLINK("https://dpmzos25m8ivg.cloudfront.net/Documentos/631/27918766857/6312791876685709092023202008.pdf","https://dpmzos25m8ivg.cloudfront.net/Documentos/631/27918766857/6312791876685709092023202008.pdf")</f>
        <v>https://dpmzos25m8ivg.cloudfront.net/Documentos/631/27918766857/6312791876685709092023202008.pdf</v>
      </c>
      <c r="G6255" s="5" t="str">
        <f>HYPERLINK("https://dpmzos25m8ivg.cloudfront.net/Documentos/631/27918766857/6312791876685709092023202110.pdf","https://dpmzos25m8ivg.cloudfront.net/Documentos/631/27918766857/6312791876685709092023202110.pdf")</f>
        <v>https://dpmzos25m8ivg.cloudfront.net/Documentos/631/27918766857/6312791876685709092023202110.pdf</v>
      </c>
      <c r="H6255" s="4" t="s">
        <v>14826</v>
      </c>
    </row>
    <row r="6256" spans="1:8" x14ac:dyDescent="0.25">
      <c r="A6256" s="2" t="s">
        <v>6284</v>
      </c>
      <c r="B6256" s="3"/>
      <c r="C6256" s="3"/>
      <c r="D6256" s="3"/>
      <c r="E6256" s="5" t="str">
        <f>HYPERLINK("https://dpmzos25m8ivg.cloudfront.net/Documentos/631/28000604841/6312800060484105092023102215.pdf","https://dpmzos25m8ivg.cloudfront.net/Documentos/631/28000604841/6312800060484105092023102215.pdf")</f>
        <v>https://dpmzos25m8ivg.cloudfront.net/Documentos/631/28000604841/6312800060484105092023102215.pdf</v>
      </c>
      <c r="F6256" s="5" t="str">
        <f>HYPERLINK("https://dpmzos25m8ivg.cloudfront.net/Documentos/631/28000604841/6312800060484105092023102223.pdf","https://dpmzos25m8ivg.cloudfront.net/Documentos/631/28000604841/6312800060484105092023102223.pdf")</f>
        <v>https://dpmzos25m8ivg.cloudfront.net/Documentos/631/28000604841/6312800060484105092023102223.pdf</v>
      </c>
      <c r="G6256" s="5" t="str">
        <f>HYPERLINK("https://dpmzos25m8ivg.cloudfront.net/Documentos/631/28000604841/6312800060484105092023102230.pdf","https://dpmzos25m8ivg.cloudfront.net/Documentos/631/28000604841/6312800060484105092023102230.pdf")</f>
        <v>https://dpmzos25m8ivg.cloudfront.net/Documentos/631/28000604841/6312800060484105092023102230.pdf</v>
      </c>
      <c r="H6256" s="4" t="s">
        <v>14827</v>
      </c>
    </row>
    <row r="6257" spans="1:8" x14ac:dyDescent="0.25">
      <c r="A6257" s="2" t="s">
        <v>6285</v>
      </c>
      <c r="B6257" s="3" t="s">
        <v>8</v>
      </c>
      <c r="C6257" s="3"/>
      <c r="D6257" s="3"/>
      <c r="E6257" s="5" t="str">
        <f>HYPERLINK("https://dpmzos25m8ivg.cloudfront.net/Documentos/631/28011364847/6312801136484711092023165332.jpeg","https://dpmzos25m8ivg.cloudfront.net/Documentos/631/28011364847/6312801136484711092023165332.jpeg")</f>
        <v>https://dpmzos25m8ivg.cloudfront.net/Documentos/631/28011364847/6312801136484711092023165332.jpeg</v>
      </c>
      <c r="F6257" s="5" t="str">
        <f>HYPERLINK("https://dpmzos25m8ivg.cloudfront.net/Documentos/631/28011364847/6312801136484711092023165345.jpeg","https://dpmzos25m8ivg.cloudfront.net/Documentos/631/28011364847/6312801136484711092023165345.jpeg")</f>
        <v>https://dpmzos25m8ivg.cloudfront.net/Documentos/631/28011364847/6312801136484711092023165345.jpeg</v>
      </c>
      <c r="G6257" s="5" t="str">
        <f>HYPERLINK("https://dpmzos25m8ivg.cloudfront.net/Documentos/631/28011364847/6312801136484711092023165356.jpeg","https://dpmzos25m8ivg.cloudfront.net/Documentos/631/28011364847/6312801136484711092023165356.jpeg")</f>
        <v>https://dpmzos25m8ivg.cloudfront.net/Documentos/631/28011364847/6312801136484711092023165356.jpeg</v>
      </c>
      <c r="H6257" s="4" t="s">
        <v>14828</v>
      </c>
    </row>
    <row r="6258" spans="1:8" x14ac:dyDescent="0.25">
      <c r="A6258" s="2" t="s">
        <v>6286</v>
      </c>
      <c r="B6258" s="3"/>
      <c r="C6258" s="3"/>
      <c r="D6258" s="3"/>
      <c r="E6258" s="5" t="str">
        <f>HYPERLINK("https://dpmzos25m8ivg.cloudfront.net/Documentos/631/28068153802/6312806815380208092023195259.pdf","https://dpmzos25m8ivg.cloudfront.net/Documentos/631/28068153802/6312806815380208092023195259.pdf")</f>
        <v>https://dpmzos25m8ivg.cloudfront.net/Documentos/631/28068153802/6312806815380208092023195259.pdf</v>
      </c>
      <c r="F6258" s="5" t="str">
        <f>HYPERLINK("https://dpmzos25m8ivg.cloudfront.net/Documentos/631/28068153802/6312806815380208092023195317.pdf","https://dpmzos25m8ivg.cloudfront.net/Documentos/631/28068153802/6312806815380208092023195317.pdf")</f>
        <v>https://dpmzos25m8ivg.cloudfront.net/Documentos/631/28068153802/6312806815380208092023195317.pdf</v>
      </c>
      <c r="G6258" s="5" t="str">
        <f>HYPERLINK("https://dpmzos25m8ivg.cloudfront.net/Documentos/631/28068153802/6312806815380208092023195334.pdf","https://dpmzos25m8ivg.cloudfront.net/Documentos/631/28068153802/6312806815380208092023195334.pdf")</f>
        <v>https://dpmzos25m8ivg.cloudfront.net/Documentos/631/28068153802/6312806815380208092023195334.pdf</v>
      </c>
      <c r="H6258" s="4" t="s">
        <v>14829</v>
      </c>
    </row>
    <row r="6259" spans="1:8" x14ac:dyDescent="0.25">
      <c r="A6259" s="2" t="s">
        <v>6287</v>
      </c>
      <c r="B6259" s="3"/>
      <c r="C6259" s="3"/>
      <c r="D6259" s="3"/>
      <c r="E6259" s="5" t="str">
        <f>HYPERLINK("https://dpmzos25m8ivg.cloudfront.net/Documentos/631/28121237882/6312812123788205092023164632.pdf","https://dpmzos25m8ivg.cloudfront.net/Documentos/631/28121237882/6312812123788205092023164632.pdf")</f>
        <v>https://dpmzos25m8ivg.cloudfront.net/Documentos/631/28121237882/6312812123788205092023164632.pdf</v>
      </c>
      <c r="F6259" s="5" t="str">
        <f>HYPERLINK("https://dpmzos25m8ivg.cloudfront.net/Documentos/631/28121237882/6312812123788205092023164648.pdf","https://dpmzos25m8ivg.cloudfront.net/Documentos/631/28121237882/6312812123788205092023164648.pdf")</f>
        <v>https://dpmzos25m8ivg.cloudfront.net/Documentos/631/28121237882/6312812123788205092023164648.pdf</v>
      </c>
      <c r="G6259" s="5" t="str">
        <f>HYPERLINK("https://dpmzos25m8ivg.cloudfront.net/Documentos/631/28121237882/6312812123788205092023164704.pdf","https://dpmzos25m8ivg.cloudfront.net/Documentos/631/28121237882/6312812123788205092023164704.pdf")</f>
        <v>https://dpmzos25m8ivg.cloudfront.net/Documentos/631/28121237882/6312812123788205092023164704.pdf</v>
      </c>
      <c r="H6259" s="4" t="s">
        <v>14830</v>
      </c>
    </row>
    <row r="6260" spans="1:8" x14ac:dyDescent="0.25">
      <c r="A6260" s="2" t="s">
        <v>6288</v>
      </c>
      <c r="B6260" s="16" t="s">
        <v>2358</v>
      </c>
      <c r="C6260" s="3"/>
      <c r="D6260" s="3"/>
      <c r="E6260" s="5" t="str">
        <f>HYPERLINK("https://dpmzos25m8ivg.cloudfront.net/Documentos/631/28165238884/6312816523888411092023141218.pdf","https://dpmzos25m8ivg.cloudfront.net/Documentos/631/28165238884/6312816523888411092023141218.pdf")</f>
        <v>https://dpmzos25m8ivg.cloudfront.net/Documentos/631/28165238884/6312816523888411092023141218.pdf</v>
      </c>
      <c r="F6260" s="5" t="str">
        <f>HYPERLINK("https://dpmzos25m8ivg.cloudfront.net/Documentos/631/28165238884/6312816523888411092023141248.pdf","https://dpmzos25m8ivg.cloudfront.net/Documentos/631/28165238884/6312816523888411092023141248.pdf")</f>
        <v>https://dpmzos25m8ivg.cloudfront.net/Documentos/631/28165238884/6312816523888411092023141248.pdf</v>
      </c>
      <c r="G6260" s="5" t="str">
        <f>HYPERLINK("https://dpmzos25m8ivg.cloudfront.net/Documentos/631/28165238884/6312816523888411092023141313.pdf","https://dpmzos25m8ivg.cloudfront.net/Documentos/631/28165238884/6312816523888411092023141313.pdf")</f>
        <v>https://dpmzos25m8ivg.cloudfront.net/Documentos/631/28165238884/6312816523888411092023141313.pdf</v>
      </c>
      <c r="H6260" s="5" t="s">
        <v>14831</v>
      </c>
    </row>
    <row r="6261" spans="1:8" x14ac:dyDescent="0.25">
      <c r="A6261" s="11" t="s">
        <v>6289</v>
      </c>
      <c r="B6261" s="19" t="s">
        <v>3385</v>
      </c>
      <c r="C6261" s="3"/>
      <c r="D6261" s="3"/>
      <c r="E6261" s="5" t="str">
        <f>HYPERLINK("https://dpmzos25m8ivg.cloudfront.net/Documentos/631/28168438825/6312816843882511092023162022.pdf","https://dpmzos25m8ivg.cloudfront.net/Documentos/631/28168438825/6312816843882511092023162022.pdf")</f>
        <v>https://dpmzos25m8ivg.cloudfront.net/Documentos/631/28168438825/6312816843882511092023162022.pdf</v>
      </c>
      <c r="F6261" s="5" t="str">
        <f>HYPERLINK("https://dpmzos25m8ivg.cloudfront.net/Documentos/631/28168438825/6312816843882511092023162041.pdf","https://dpmzos25m8ivg.cloudfront.net/Documentos/631/28168438825/6312816843882511092023162041.pdf")</f>
        <v>https://dpmzos25m8ivg.cloudfront.net/Documentos/631/28168438825/6312816843882511092023162041.pdf</v>
      </c>
      <c r="G6261" s="5" t="str">
        <f>HYPERLINK("https://dpmzos25m8ivg.cloudfront.net/Documentos/631/28168438825/6312816843882511092023162054.pdf","https://dpmzos25m8ivg.cloudfront.net/Documentos/631/28168438825/6312816843882511092023162054.pdf")</f>
        <v>https://dpmzos25m8ivg.cloudfront.net/Documentos/631/28168438825/6312816843882511092023162054.pdf</v>
      </c>
      <c r="H6261" s="4" t="s">
        <v>14832</v>
      </c>
    </row>
    <row r="6262" spans="1:8" x14ac:dyDescent="0.25">
      <c r="A6262" s="21" t="s">
        <v>6290</v>
      </c>
      <c r="B6262" s="3"/>
      <c r="C6262" s="3"/>
      <c r="D6262" s="3"/>
      <c r="E6262" s="5" t="str">
        <f>HYPERLINK("https://dpmzos25m8ivg.cloudfront.net/Documentos/631/28222911600/6312822291160013092023003128.jpg","https://dpmzos25m8ivg.cloudfront.net/Documentos/631/28222911600/6312822291160013092023003128.jpg")</f>
        <v>https://dpmzos25m8ivg.cloudfront.net/Documentos/631/28222911600/6312822291160013092023003128.jpg</v>
      </c>
      <c r="F6262" s="5" t="str">
        <f>HYPERLINK("https://dpmzos25m8ivg.cloudfront.net/Documentos/631/28222911600/6312822291160013092023003107.jpg","https://dpmzos25m8ivg.cloudfront.net/Documentos/631/28222911600/6312822291160013092023003107.jpg")</f>
        <v>https://dpmzos25m8ivg.cloudfront.net/Documentos/631/28222911600/6312822291160013092023003107.jpg</v>
      </c>
      <c r="G6262" s="5" t="str">
        <f>HYPERLINK("https://dpmzos25m8ivg.cloudfront.net/Documentos/631/28222911600/6312822291160013092023003051.jpg","https://dpmzos25m8ivg.cloudfront.net/Documentos/631/28222911600/6312822291160013092023003051.jpg")</f>
        <v>https://dpmzos25m8ivg.cloudfront.net/Documentos/631/28222911600/6312822291160013092023003051.jpg</v>
      </c>
      <c r="H6262" s="4" t="s">
        <v>14833</v>
      </c>
    </row>
    <row r="6263" spans="1:8" x14ac:dyDescent="0.25">
      <c r="A6263" s="2" t="s">
        <v>6291</v>
      </c>
      <c r="B6263" s="3"/>
      <c r="C6263" s="3"/>
      <c r="D6263" s="3"/>
      <c r="E6263" s="5" t="str">
        <f>HYPERLINK("https://dpmzos25m8ivg.cloudfront.net/Documentos/631/28231559884/6312823155988406092023050605.pdf","https://dpmzos25m8ivg.cloudfront.net/Documentos/631/28231559884/6312823155988406092023050605.pdf")</f>
        <v>https://dpmzos25m8ivg.cloudfront.net/Documentos/631/28231559884/6312823155988406092023050605.pdf</v>
      </c>
      <c r="F6263" s="5" t="str">
        <f>HYPERLINK("https://dpmzos25m8ivg.cloudfront.net/Documentos/631/28231559884/6312823155988406092023050722.pdf","https://dpmzos25m8ivg.cloudfront.net/Documentos/631/28231559884/6312823155988406092023050722.pdf")</f>
        <v>https://dpmzos25m8ivg.cloudfront.net/Documentos/631/28231559884/6312823155988406092023050722.pdf</v>
      </c>
      <c r="G6263" s="5" t="str">
        <f>HYPERLINK("https://dpmzos25m8ivg.cloudfront.net/Documentos/631/28231559884/6312823155988406092023050854.pdf","https://dpmzos25m8ivg.cloudfront.net/Documentos/631/28231559884/6312823155988406092023050854.pdf")</f>
        <v>https://dpmzos25m8ivg.cloudfront.net/Documentos/631/28231559884/6312823155988406092023050854.pdf</v>
      </c>
      <c r="H6263" s="4" t="s">
        <v>14834</v>
      </c>
    </row>
    <row r="6264" spans="1:8" x14ac:dyDescent="0.25">
      <c r="A6264" s="2" t="s">
        <v>6292</v>
      </c>
      <c r="B6264" s="3"/>
      <c r="C6264" s="3"/>
      <c r="D6264" s="3"/>
      <c r="E6264" s="5" t="str">
        <f>HYPERLINK("https://dpmzos25m8ivg.cloudfront.net/Documentos/631/28386146818/6312838614681806092023102258.pdf","https://dpmzos25m8ivg.cloudfront.net/Documentos/631/28386146818/6312838614681806092023102258.pdf")</f>
        <v>https://dpmzos25m8ivg.cloudfront.net/Documentos/631/28386146818/6312838614681806092023102258.pdf</v>
      </c>
      <c r="F6264" s="5" t="str">
        <f>HYPERLINK("https://dpmzos25m8ivg.cloudfront.net/Documentos/631/28386146818/6312838614681806092023102306.pdf","https://dpmzos25m8ivg.cloudfront.net/Documentos/631/28386146818/6312838614681806092023102306.pdf")</f>
        <v>https://dpmzos25m8ivg.cloudfront.net/Documentos/631/28386146818/6312838614681806092023102306.pdf</v>
      </c>
      <c r="G6264" s="5" t="str">
        <f>HYPERLINK("https://dpmzos25m8ivg.cloudfront.net/Documentos/631/28386146818/6312838614681806092023102315.pdf","https://dpmzos25m8ivg.cloudfront.net/Documentos/631/28386146818/6312838614681806092023102315.pdf")</f>
        <v>https://dpmzos25m8ivg.cloudfront.net/Documentos/631/28386146818/6312838614681806092023102315.pdf</v>
      </c>
      <c r="H6264" s="4" t="s">
        <v>14835</v>
      </c>
    </row>
    <row r="6265" spans="1:8" x14ac:dyDescent="0.25">
      <c r="A6265" s="2" t="s">
        <v>6293</v>
      </c>
      <c r="B6265" s="3"/>
      <c r="C6265" s="3"/>
      <c r="D6265" s="3"/>
      <c r="E6265" s="5" t="str">
        <f>HYPERLINK("https://dpmzos25m8ivg.cloudfront.net/Documentos/631/28478371400/6312847837140007092023113354.pdf","https://dpmzos25m8ivg.cloudfront.net/Documentos/631/28478371400/6312847837140007092023113354.pdf")</f>
        <v>https://dpmzos25m8ivg.cloudfront.net/Documentos/631/28478371400/6312847837140007092023113354.pdf</v>
      </c>
      <c r="F6265" s="5" t="str">
        <f>HYPERLINK("https://dpmzos25m8ivg.cloudfront.net/Documentos/631/28478371400/6312847837140007092023113525.pdf","https://dpmzos25m8ivg.cloudfront.net/Documentos/631/28478371400/6312847837140007092023113525.pdf")</f>
        <v>https://dpmzos25m8ivg.cloudfront.net/Documentos/631/28478371400/6312847837140007092023113525.pdf</v>
      </c>
      <c r="G6265" s="5" t="str">
        <f>HYPERLINK("https://dpmzos25m8ivg.cloudfront.net/Documentos/631/28478371400/6312847837140007092023113636.pdf","https://dpmzos25m8ivg.cloudfront.net/Documentos/631/28478371400/6312847837140007092023113636.pdf")</f>
        <v>https://dpmzos25m8ivg.cloudfront.net/Documentos/631/28478371400/6312847837140007092023113636.pdf</v>
      </c>
      <c r="H6265" s="4" t="s">
        <v>14836</v>
      </c>
    </row>
    <row r="6266" spans="1:8" x14ac:dyDescent="0.25">
      <c r="A6266" s="2" t="s">
        <v>6294</v>
      </c>
      <c r="B6266" s="3"/>
      <c r="C6266" s="3"/>
      <c r="D6266" s="3"/>
      <c r="E6266" s="5" t="str">
        <f>HYPERLINK("https://dpmzos25m8ivg.cloudfront.net/Documentos/631/28508096836/6312850809683605092023200650.pdf","https://dpmzos25m8ivg.cloudfront.net/Documentos/631/28508096836/6312850809683605092023200650.pdf")</f>
        <v>https://dpmzos25m8ivg.cloudfront.net/Documentos/631/28508096836/6312850809683605092023200650.pdf</v>
      </c>
      <c r="F6266" s="5" t="str">
        <f>HYPERLINK("https://dpmzos25m8ivg.cloudfront.net/Documentos/631/28508096836/6312850809683605092023200659.pdf","https://dpmzos25m8ivg.cloudfront.net/Documentos/631/28508096836/6312850809683605092023200659.pdf")</f>
        <v>https://dpmzos25m8ivg.cloudfront.net/Documentos/631/28508096836/6312850809683605092023200659.pdf</v>
      </c>
      <c r="G6266" s="5" t="str">
        <f>HYPERLINK("https://dpmzos25m8ivg.cloudfront.net/Documentos/631/28508096836/6312850809683605092023200714.pdf","https://dpmzos25m8ivg.cloudfront.net/Documentos/631/28508096836/6312850809683605092023200714.pdf")</f>
        <v>https://dpmzos25m8ivg.cloudfront.net/Documentos/631/28508096836/6312850809683605092023200714.pdf</v>
      </c>
      <c r="H6266" s="4" t="s">
        <v>14837</v>
      </c>
    </row>
    <row r="6267" spans="1:8" x14ac:dyDescent="0.25">
      <c r="A6267" s="2" t="s">
        <v>6295</v>
      </c>
      <c r="B6267" s="3"/>
      <c r="C6267" s="3"/>
      <c r="D6267" s="3"/>
      <c r="E6267" s="5" t="str">
        <f>HYPERLINK("https://dpmzos25m8ivg.cloudfront.net/Documentos/631/28572907807/6312857290780705092023150654.pdf","https://dpmzos25m8ivg.cloudfront.net/Documentos/631/28572907807/6312857290780705092023150654.pdf")</f>
        <v>https://dpmzos25m8ivg.cloudfront.net/Documentos/631/28572907807/6312857290780705092023150654.pdf</v>
      </c>
      <c r="F6267" s="5" t="str">
        <f>HYPERLINK("https://dpmzos25m8ivg.cloudfront.net/Documentos/631/28572907807/6312857290780705092023150801.pdf","https://dpmzos25m8ivg.cloudfront.net/Documentos/631/28572907807/6312857290780705092023150801.pdf")</f>
        <v>https://dpmzos25m8ivg.cloudfront.net/Documentos/631/28572907807/6312857290780705092023150801.pdf</v>
      </c>
      <c r="G6267" s="5" t="str">
        <f>HYPERLINK("https://dpmzos25m8ivg.cloudfront.net/Documentos/631/28572907807/6312857290780705092023151002.pdf","https://dpmzos25m8ivg.cloudfront.net/Documentos/631/28572907807/6312857290780705092023151002.pdf")</f>
        <v>https://dpmzos25m8ivg.cloudfront.net/Documentos/631/28572907807/6312857290780705092023151002.pdf</v>
      </c>
      <c r="H6267" s="4" t="s">
        <v>14838</v>
      </c>
    </row>
    <row r="6268" spans="1:8" x14ac:dyDescent="0.25">
      <c r="A6268" s="2" t="s">
        <v>6296</v>
      </c>
      <c r="B6268" s="16" t="s">
        <v>2358</v>
      </c>
      <c r="C6268" s="3"/>
      <c r="D6268" s="3"/>
      <c r="E6268" s="5" t="str">
        <f>HYPERLINK("https://dpmzos25m8ivg.cloudfront.net/Documentos/631/28675372825/6312867537282511092023100637.pdf","https://dpmzos25m8ivg.cloudfront.net/Documentos/631/28675372825/6312867537282511092023100637.pdf")</f>
        <v>https://dpmzos25m8ivg.cloudfront.net/Documentos/631/28675372825/6312867537282511092023100637.pdf</v>
      </c>
      <c r="F6268" s="5" t="str">
        <f>HYPERLINK("https://dpmzos25m8ivg.cloudfront.net/Documentos/631/28675372825/6312867537282511092023100649.pdf","https://dpmzos25m8ivg.cloudfront.net/Documentos/631/28675372825/6312867537282511092023100649.pdf")</f>
        <v>https://dpmzos25m8ivg.cloudfront.net/Documentos/631/28675372825/6312867537282511092023100649.pdf</v>
      </c>
      <c r="G6268" s="5" t="str">
        <f>HYPERLINK("https://dpmzos25m8ivg.cloudfront.net/Documentos/631/28675372825/6312867537282511092023100701.pdf","https://dpmzos25m8ivg.cloudfront.net/Documentos/631/28675372825/6312867537282511092023100701.pdf")</f>
        <v>https://dpmzos25m8ivg.cloudfront.net/Documentos/631/28675372825/6312867537282511092023100701.pdf</v>
      </c>
      <c r="H6268" s="5" t="s">
        <v>14839</v>
      </c>
    </row>
    <row r="6269" spans="1:8" x14ac:dyDescent="0.25">
      <c r="A6269" s="2" t="s">
        <v>6297</v>
      </c>
      <c r="B6269" s="3"/>
      <c r="C6269" s="3"/>
      <c r="D6269" s="3"/>
      <c r="E6269" s="5" t="str">
        <f>HYPERLINK("https://dpmzos25m8ivg.cloudfront.net/Documentos/631/28694143828/6312869414382812092023194833.jpg","https://dpmzos25m8ivg.cloudfront.net/Documentos/631/28694143828/6312869414382812092023194833.jpg")</f>
        <v>https://dpmzos25m8ivg.cloudfront.net/Documentos/631/28694143828/6312869414382812092023194833.jpg</v>
      </c>
      <c r="F6269" s="5" t="str">
        <f>HYPERLINK("https://dpmzos25m8ivg.cloudfront.net/Documentos/631/28694143828/6312869414382812092023194853.jpg","https://dpmzos25m8ivg.cloudfront.net/Documentos/631/28694143828/6312869414382812092023194853.jpg")</f>
        <v>https://dpmzos25m8ivg.cloudfront.net/Documentos/631/28694143828/6312869414382812092023194853.jpg</v>
      </c>
      <c r="G6269" s="5" t="str">
        <f>HYPERLINK("https://dpmzos25m8ivg.cloudfront.net/Documentos/631/28694143828/6312869414382812092023194915.jpg","https://dpmzos25m8ivg.cloudfront.net/Documentos/631/28694143828/6312869414382812092023194915.jpg")</f>
        <v>https://dpmzos25m8ivg.cloudfront.net/Documentos/631/28694143828/6312869414382812092023194915.jpg</v>
      </c>
      <c r="H6269" s="4" t="s">
        <v>14840</v>
      </c>
    </row>
    <row r="6270" spans="1:8" x14ac:dyDescent="0.25">
      <c r="A6270" s="2" t="s">
        <v>6298</v>
      </c>
      <c r="B6270" s="16" t="s">
        <v>2358</v>
      </c>
      <c r="C6270" s="3"/>
      <c r="D6270" s="3"/>
      <c r="E6270" s="5" t="str">
        <f>HYPERLINK("https://dpmzos25m8ivg.cloudfront.net/Documentos/631/28775205874/6312877520587409092023085837.pdf","https://dpmzos25m8ivg.cloudfront.net/Documentos/631/28775205874/6312877520587409092023085837.pdf")</f>
        <v>https://dpmzos25m8ivg.cloudfront.net/Documentos/631/28775205874/6312877520587409092023085837.pdf</v>
      </c>
      <c r="F6270" s="5" t="str">
        <f>HYPERLINK("https://dpmzos25m8ivg.cloudfront.net/Documentos/631/28775205874/6312877520587409092023085913.pdf","https://dpmzos25m8ivg.cloudfront.net/Documentos/631/28775205874/6312877520587409092023085913.pdf")</f>
        <v>https://dpmzos25m8ivg.cloudfront.net/Documentos/631/28775205874/6312877520587409092023085913.pdf</v>
      </c>
      <c r="G6270" s="5" t="str">
        <f>HYPERLINK("https://dpmzos25m8ivg.cloudfront.net/Documentos/631/28775205874/6312877520587409092023085943.pdf","https://dpmzos25m8ivg.cloudfront.net/Documentos/631/28775205874/6312877520587409092023085943.pdf")</f>
        <v>https://dpmzos25m8ivg.cloudfront.net/Documentos/631/28775205874/6312877520587409092023085943.pdf</v>
      </c>
      <c r="H6270" s="5" t="s">
        <v>14841</v>
      </c>
    </row>
    <row r="6271" spans="1:8" x14ac:dyDescent="0.25">
      <c r="A6271" s="2" t="s">
        <v>6299</v>
      </c>
      <c r="B6271" s="3" t="s">
        <v>8</v>
      </c>
      <c r="C6271" s="3"/>
      <c r="D6271" s="3"/>
      <c r="E6271" s="5" t="str">
        <f>HYPERLINK("https://dpmzos25m8ivg.cloudfront.net/Documentos/631/28858443888/6312885844388811092023040221.pdf","https://dpmzos25m8ivg.cloudfront.net/Documentos/631/28858443888/6312885844388811092023040221.pdf")</f>
        <v>https://dpmzos25m8ivg.cloudfront.net/Documentos/631/28858443888/6312885844388811092023040221.pdf</v>
      </c>
      <c r="F6271" s="5" t="str">
        <f>HYPERLINK("https://dpmzos25m8ivg.cloudfront.net/Documentos/631/28858443888/6312885844388811092023040622.pdf","https://dpmzos25m8ivg.cloudfront.net/Documentos/631/28858443888/6312885844388811092023040622.pdf")</f>
        <v>https://dpmzos25m8ivg.cloudfront.net/Documentos/631/28858443888/6312885844388811092023040622.pdf</v>
      </c>
      <c r="G6271" s="5" t="str">
        <f>HYPERLINK("https://dpmzos25m8ivg.cloudfront.net/Documentos/631/28858443888/6312885844388811092023114715.pdf","https://dpmzos25m8ivg.cloudfront.net/Documentos/631/28858443888/6312885844388811092023114715.pdf")</f>
        <v>https://dpmzos25m8ivg.cloudfront.net/Documentos/631/28858443888/6312885844388811092023114715.pdf</v>
      </c>
      <c r="H6271" s="4" t="s">
        <v>14842</v>
      </c>
    </row>
    <row r="6272" spans="1:8" x14ac:dyDescent="0.25">
      <c r="A6272" s="2" t="s">
        <v>6300</v>
      </c>
      <c r="B6272" s="3"/>
      <c r="C6272" s="3"/>
      <c r="D6272" s="3"/>
      <c r="E6272" s="5" t="str">
        <f>HYPERLINK("https://dpmzos25m8ivg.cloudfront.net/Documentos/631/28883103840/6312888310384014092023141833.pdf","https://dpmzos25m8ivg.cloudfront.net/Documentos/631/28883103840/6312888310384014092023141833.pdf")</f>
        <v>https://dpmzos25m8ivg.cloudfront.net/Documentos/631/28883103840/6312888310384014092023141833.pdf</v>
      </c>
      <c r="F6272" s="5" t="str">
        <f>HYPERLINK("https://dpmzos25m8ivg.cloudfront.net/Documentos/631/28883103840/6312888310384014092023141849.pdf","https://dpmzos25m8ivg.cloudfront.net/Documentos/631/28883103840/6312888310384014092023141849.pdf")</f>
        <v>https://dpmzos25m8ivg.cloudfront.net/Documentos/631/28883103840/6312888310384014092023141849.pdf</v>
      </c>
      <c r="G6272" s="5" t="str">
        <f>HYPERLINK("https://dpmzos25m8ivg.cloudfront.net/Documentos/631/28883103840/6312888310384014092023141903.pdf","https://dpmzos25m8ivg.cloudfront.net/Documentos/631/28883103840/6312888310384014092023141903.pdf")</f>
        <v>https://dpmzos25m8ivg.cloudfront.net/Documentos/631/28883103840/6312888310384014092023141903.pdf</v>
      </c>
      <c r="H6272" s="4" t="s">
        <v>14843</v>
      </c>
    </row>
    <row r="6273" spans="1:8" x14ac:dyDescent="0.25">
      <c r="A6273" s="2" t="s">
        <v>6301</v>
      </c>
      <c r="B6273" s="3"/>
      <c r="C6273" s="3"/>
      <c r="D6273" s="3"/>
      <c r="E6273" s="5" t="str">
        <f>HYPERLINK("https://dpmzos25m8ivg.cloudfront.net/Documentos/631/28903560272/6312890356027205092023174008.jpg","https://dpmzos25m8ivg.cloudfront.net/Documentos/631/28903560272/6312890356027205092023174008.jpg")</f>
        <v>https://dpmzos25m8ivg.cloudfront.net/Documentos/631/28903560272/6312890356027205092023174008.jpg</v>
      </c>
      <c r="F6273" s="5" t="str">
        <f>HYPERLINK("https://dpmzos25m8ivg.cloudfront.net/Documentos/631/28903560272/6312890356027205092023174023.jpg","https://dpmzos25m8ivg.cloudfront.net/Documentos/631/28903560272/6312890356027205092023174023.jpg")</f>
        <v>https://dpmzos25m8ivg.cloudfront.net/Documentos/631/28903560272/6312890356027205092023174023.jpg</v>
      </c>
      <c r="G6273" s="5" t="str">
        <f>HYPERLINK("https://dpmzos25m8ivg.cloudfront.net/Documentos/631/28903560272/6312890356027205092023174044.jpg","https://dpmzos25m8ivg.cloudfront.net/Documentos/631/28903560272/6312890356027205092023174044.jpg")</f>
        <v>https://dpmzos25m8ivg.cloudfront.net/Documentos/631/28903560272/6312890356027205092023174044.jpg</v>
      </c>
      <c r="H6273" s="4" t="s">
        <v>14844</v>
      </c>
    </row>
    <row r="6274" spans="1:8" x14ac:dyDescent="0.25">
      <c r="A6274" s="2" t="s">
        <v>6302</v>
      </c>
      <c r="B6274" s="3"/>
      <c r="C6274" s="3"/>
      <c r="D6274" s="3"/>
      <c r="E6274" s="5" t="str">
        <f>HYPERLINK("https://dpmzos25m8ivg.cloudfront.net/Documentos/631/28986398850/6312898639885011092023153623.jpg","https://dpmzos25m8ivg.cloudfront.net/Documentos/631/28986398850/6312898639885011092023153623.jpg")</f>
        <v>https://dpmzos25m8ivg.cloudfront.net/Documentos/631/28986398850/6312898639885011092023153623.jpg</v>
      </c>
      <c r="F6274" s="5" t="str">
        <f>HYPERLINK("https://dpmzos25m8ivg.cloudfront.net/Documentos/631/28986398850/6312898639885011092023153712.jpg","https://dpmzos25m8ivg.cloudfront.net/Documentos/631/28986398850/6312898639885011092023153712.jpg")</f>
        <v>https://dpmzos25m8ivg.cloudfront.net/Documentos/631/28986398850/6312898639885011092023153712.jpg</v>
      </c>
      <c r="G6274" s="5" t="str">
        <f>HYPERLINK("https://dpmzos25m8ivg.cloudfront.net/Documentos/631/28986398850/6312898639885011092023153747.jpg","https://dpmzos25m8ivg.cloudfront.net/Documentos/631/28986398850/6312898639885011092023153747.jpg")</f>
        <v>https://dpmzos25m8ivg.cloudfront.net/Documentos/631/28986398850/6312898639885011092023153747.jpg</v>
      </c>
      <c r="H6274" s="4" t="s">
        <v>14845</v>
      </c>
    </row>
    <row r="6275" spans="1:8" x14ac:dyDescent="0.25">
      <c r="A6275" s="2" t="s">
        <v>6303</v>
      </c>
      <c r="B6275" s="3"/>
      <c r="C6275" s="3"/>
      <c r="D6275" s="3"/>
      <c r="E6275" s="5" t="str">
        <f>HYPERLINK("https://dpmzos25m8ivg.cloudfront.net/Documentos/631/29000550831/6312900055083109092023191150.pdf","https://dpmzos25m8ivg.cloudfront.net/Documentos/631/29000550831/6312900055083109092023191150.pdf")</f>
        <v>https://dpmzos25m8ivg.cloudfront.net/Documentos/631/29000550831/6312900055083109092023191150.pdf</v>
      </c>
      <c r="F6275" s="5" t="str">
        <f>HYPERLINK("https://dpmzos25m8ivg.cloudfront.net/Documentos/631/29000550831/6312900055083109092023191204.pdf","https://dpmzos25m8ivg.cloudfront.net/Documentos/631/29000550831/6312900055083109092023191204.pdf")</f>
        <v>https://dpmzos25m8ivg.cloudfront.net/Documentos/631/29000550831/6312900055083109092023191204.pdf</v>
      </c>
      <c r="G6275" s="5" t="str">
        <f>HYPERLINK("https://dpmzos25m8ivg.cloudfront.net/Documentos/631/29000550831/6312900055083109092023191216.pdf","https://dpmzos25m8ivg.cloudfront.net/Documentos/631/29000550831/6312900055083109092023191216.pdf")</f>
        <v>https://dpmzos25m8ivg.cloudfront.net/Documentos/631/29000550831/6312900055083109092023191216.pdf</v>
      </c>
      <c r="H6275" s="4" t="s">
        <v>14846</v>
      </c>
    </row>
    <row r="6276" spans="1:8" x14ac:dyDescent="0.25">
      <c r="A6276" s="2" t="s">
        <v>6304</v>
      </c>
      <c r="B6276" s="16" t="s">
        <v>2358</v>
      </c>
      <c r="C6276" s="3"/>
      <c r="D6276" s="3"/>
      <c r="E6276" s="5" t="str">
        <f>HYPERLINK("https://dpmzos25m8ivg.cloudfront.net/Documentos/631/29034609812/6312903460981211092023163309.jpg","https://dpmzos25m8ivg.cloudfront.net/Documentos/631/29034609812/6312903460981211092023163309.jpg")</f>
        <v>https://dpmzos25m8ivg.cloudfront.net/Documentos/631/29034609812/6312903460981211092023163309.jpg</v>
      </c>
      <c r="F6276" s="5" t="str">
        <f>HYPERLINK("https://dpmzos25m8ivg.cloudfront.net/Documentos/631/29034609812/6312903460981211092023163746.jpg","https://dpmzos25m8ivg.cloudfront.net/Documentos/631/29034609812/6312903460981211092023163746.jpg")</f>
        <v>https://dpmzos25m8ivg.cloudfront.net/Documentos/631/29034609812/6312903460981211092023163746.jpg</v>
      </c>
      <c r="G6276" s="5" t="str">
        <f>HYPERLINK("https://dpmzos25m8ivg.cloudfront.net/Documentos/631/29034609812/6312903460981211092023163936.jpg","https://dpmzos25m8ivg.cloudfront.net/Documentos/631/29034609812/6312903460981211092023163936.jpg")</f>
        <v>https://dpmzos25m8ivg.cloudfront.net/Documentos/631/29034609812/6312903460981211092023163936.jpg</v>
      </c>
      <c r="H6276" s="5" t="s">
        <v>14847</v>
      </c>
    </row>
    <row r="6277" spans="1:8" x14ac:dyDescent="0.25">
      <c r="A6277" s="2" t="s">
        <v>6305</v>
      </c>
      <c r="B6277" s="3"/>
      <c r="C6277" s="3"/>
      <c r="D6277" s="3"/>
      <c r="E6277" s="5" t="str">
        <f>HYPERLINK("https://dpmzos25m8ivg.cloudfront.net/Documentos/631/29058664899/6312905866489909092023195203.jpeg","https://dpmzos25m8ivg.cloudfront.net/Documentos/631/29058664899/6312905866489909092023195203.jpeg")</f>
        <v>https://dpmzos25m8ivg.cloudfront.net/Documentos/631/29058664899/6312905866489909092023195203.jpeg</v>
      </c>
      <c r="F6277" s="5" t="str">
        <f>HYPERLINK("https://dpmzos25m8ivg.cloudfront.net/Documentos/631/29058664899/6312905866489909092023200624.jpeg","https://dpmzos25m8ivg.cloudfront.net/Documentos/631/29058664899/6312905866489909092023200624.jpeg")</f>
        <v>https://dpmzos25m8ivg.cloudfront.net/Documentos/631/29058664899/6312905866489909092023200624.jpeg</v>
      </c>
      <c r="G6277" s="5" t="str">
        <f>HYPERLINK("https://dpmzos25m8ivg.cloudfront.net/Documentos/631/29058664899/6312905866489909092023202426.jpeg","https://dpmzos25m8ivg.cloudfront.net/Documentos/631/29058664899/6312905866489909092023202426.jpeg")</f>
        <v>https://dpmzos25m8ivg.cloudfront.net/Documentos/631/29058664899/6312905866489909092023202426.jpeg</v>
      </c>
      <c r="H6277" s="4" t="s">
        <v>14848</v>
      </c>
    </row>
    <row r="6278" spans="1:8" x14ac:dyDescent="0.25">
      <c r="A6278" s="2" t="s">
        <v>6306</v>
      </c>
      <c r="B6278" s="16" t="s">
        <v>2358</v>
      </c>
      <c r="C6278" s="3"/>
      <c r="D6278" s="3"/>
      <c r="E6278" s="5" t="str">
        <f>HYPERLINK("https://dpmzos25m8ivg.cloudfront.net/Documentos/631/29063469349/6312906346934906092023144939.jpeg","https://dpmzos25m8ivg.cloudfront.net/Documentos/631/29063469349/6312906346934906092023144939.jpeg")</f>
        <v>https://dpmzos25m8ivg.cloudfront.net/Documentos/631/29063469349/6312906346934906092023144939.jpeg</v>
      </c>
      <c r="F6278" s="5" t="str">
        <f>HYPERLINK("https://dpmzos25m8ivg.cloudfront.net/Documentos/631/29063469349/6312906346934906092023144953.jpeg","https://dpmzos25m8ivg.cloudfront.net/Documentos/631/29063469349/6312906346934906092023144953.jpeg")</f>
        <v>https://dpmzos25m8ivg.cloudfront.net/Documentos/631/29063469349/6312906346934906092023144953.jpeg</v>
      </c>
      <c r="G6278" s="5" t="str">
        <f>HYPERLINK("https://dpmzos25m8ivg.cloudfront.net/Documentos/631/29063469349/6312906346934906092023145004.jpeg","https://dpmzos25m8ivg.cloudfront.net/Documentos/631/29063469349/6312906346934906092023145004.jpeg")</f>
        <v>https://dpmzos25m8ivg.cloudfront.net/Documentos/631/29063469349/6312906346934906092023145004.jpeg</v>
      </c>
      <c r="H6278" s="5" t="s">
        <v>14849</v>
      </c>
    </row>
    <row r="6279" spans="1:8" x14ac:dyDescent="0.25">
      <c r="A6279" s="2" t="s">
        <v>6307</v>
      </c>
      <c r="B6279" s="3"/>
      <c r="C6279" s="3"/>
      <c r="D6279" s="3"/>
      <c r="E6279" s="5" t="str">
        <f>HYPERLINK("https://dpmzos25m8ivg.cloudfront.net/Documentos/631/29096367553/6312909636755310092023113631.jpg","https://dpmzos25m8ivg.cloudfront.net/Documentos/631/29096367553/6312909636755310092023113631.jpg")</f>
        <v>https://dpmzos25m8ivg.cloudfront.net/Documentos/631/29096367553/6312909636755310092023113631.jpg</v>
      </c>
      <c r="F6279" s="5" t="str">
        <f>HYPERLINK("https://dpmzos25m8ivg.cloudfront.net/Documentos/631/29096367553/6312909636755310092023114301.jpg","https://dpmzos25m8ivg.cloudfront.net/Documentos/631/29096367553/6312909636755310092023114301.jpg")</f>
        <v>https://dpmzos25m8ivg.cloudfront.net/Documentos/631/29096367553/6312909636755310092023114301.jpg</v>
      </c>
      <c r="G6279" s="5" t="str">
        <f>HYPERLINK("https://dpmzos25m8ivg.cloudfront.net/Documentos/631/29096367553/6312909636755310092023114817.jpg","https://dpmzos25m8ivg.cloudfront.net/Documentos/631/29096367553/6312909636755310092023114817.jpg")</f>
        <v>https://dpmzos25m8ivg.cloudfront.net/Documentos/631/29096367553/6312909636755310092023114817.jpg</v>
      </c>
      <c r="H6279" s="4" t="s">
        <v>14850</v>
      </c>
    </row>
    <row r="6280" spans="1:8" x14ac:dyDescent="0.25">
      <c r="A6280" s="2" t="s">
        <v>6308</v>
      </c>
      <c r="B6280" s="3"/>
      <c r="C6280" s="3"/>
      <c r="D6280" s="3"/>
      <c r="E6280" s="5" t="str">
        <f>HYPERLINK("https://dpmzos25m8ivg.cloudfront.net/Documentos/631/29097368812/6312909736881211092023140249.jpg","https://dpmzos25m8ivg.cloudfront.net/Documentos/631/29097368812/6312909736881211092023140249.jpg")</f>
        <v>https://dpmzos25m8ivg.cloudfront.net/Documentos/631/29097368812/6312909736881211092023140249.jpg</v>
      </c>
      <c r="F6280" s="5" t="str">
        <f>HYPERLINK("https://dpmzos25m8ivg.cloudfront.net/Documentos/631/29097368812/6312909736881211092023140356.jpg","https://dpmzos25m8ivg.cloudfront.net/Documentos/631/29097368812/6312909736881211092023140356.jpg")</f>
        <v>https://dpmzos25m8ivg.cloudfront.net/Documentos/631/29097368812/6312909736881211092023140356.jpg</v>
      </c>
      <c r="G6280" s="5" t="str">
        <f>HYPERLINK("https://dpmzos25m8ivg.cloudfront.net/Documentos/631/29097368812/6312909736881211092023140416.jpg","https://dpmzos25m8ivg.cloudfront.net/Documentos/631/29097368812/6312909736881211092023140416.jpg")</f>
        <v>https://dpmzos25m8ivg.cloudfront.net/Documentos/631/29097368812/6312909736881211092023140416.jpg</v>
      </c>
      <c r="H6280" s="4" t="s">
        <v>14851</v>
      </c>
    </row>
    <row r="6281" spans="1:8" x14ac:dyDescent="0.25">
      <c r="A6281" s="2" t="s">
        <v>6309</v>
      </c>
      <c r="B6281" s="3" t="s">
        <v>8</v>
      </c>
      <c r="C6281" s="3"/>
      <c r="D6281" s="3"/>
      <c r="E6281" s="5" t="str">
        <f>HYPERLINK("https://dpmzos25m8ivg.cloudfront.net/Documentos/631/29136977802/6312913697780213092023011833.pdf","https://dpmzos25m8ivg.cloudfront.net/Documentos/631/29136977802/6312913697780213092023011833.pdf")</f>
        <v>https://dpmzos25m8ivg.cloudfront.net/Documentos/631/29136977802/6312913697780213092023011833.pdf</v>
      </c>
      <c r="F6281" s="5" t="str">
        <f>HYPERLINK("https://dpmzos25m8ivg.cloudfront.net/Documentos/631/29136977802/6312913697780213092023011815.pdf","https://dpmzos25m8ivg.cloudfront.net/Documentos/631/29136977802/6312913697780213092023011815.pdf")</f>
        <v>https://dpmzos25m8ivg.cloudfront.net/Documentos/631/29136977802/6312913697780213092023011815.pdf</v>
      </c>
      <c r="G6281" s="5" t="str">
        <f>HYPERLINK("https://dpmzos25m8ivg.cloudfront.net/Documentos/631/29136977802/6312913697780213092023011759.pdf","https://dpmzos25m8ivg.cloudfront.net/Documentos/631/29136977802/6312913697780213092023011759.pdf")</f>
        <v>https://dpmzos25m8ivg.cloudfront.net/Documentos/631/29136977802/6312913697780213092023011759.pdf</v>
      </c>
      <c r="H6281" s="4" t="s">
        <v>14852</v>
      </c>
    </row>
    <row r="6282" spans="1:8" x14ac:dyDescent="0.25">
      <c r="A6282" s="2" t="s">
        <v>6310</v>
      </c>
      <c r="B6282" s="3"/>
      <c r="C6282" s="3"/>
      <c r="D6282" s="3"/>
      <c r="E6282" s="5" t="str">
        <f>HYPERLINK("https://dpmzos25m8ivg.cloudfront.net/Documentos/631/29142814472/6312914281447211092023142808.pdf","https://dpmzos25m8ivg.cloudfront.net/Documentos/631/29142814472/6312914281447211092023142808.pdf")</f>
        <v>https://dpmzos25m8ivg.cloudfront.net/Documentos/631/29142814472/6312914281447211092023142808.pdf</v>
      </c>
      <c r="F6282" s="5" t="str">
        <f>HYPERLINK("https://dpmzos25m8ivg.cloudfront.net/Documentos/631/29142814472/6312914281447211092023142822.pdf","https://dpmzos25m8ivg.cloudfront.net/Documentos/631/29142814472/6312914281447211092023142822.pdf")</f>
        <v>https://dpmzos25m8ivg.cloudfront.net/Documentos/631/29142814472/6312914281447211092023142822.pdf</v>
      </c>
      <c r="G6282" s="5" t="str">
        <f>HYPERLINK("https://dpmzos25m8ivg.cloudfront.net/Documentos/631/29142814472/6312914281447211092023142856.pdf","https://dpmzos25m8ivg.cloudfront.net/Documentos/631/29142814472/6312914281447211092023142856.pdf")</f>
        <v>https://dpmzos25m8ivg.cloudfront.net/Documentos/631/29142814472/6312914281447211092023142856.pdf</v>
      </c>
      <c r="H6282" s="4" t="s">
        <v>14853</v>
      </c>
    </row>
    <row r="6283" spans="1:8" x14ac:dyDescent="0.25">
      <c r="A6283" s="2" t="s">
        <v>6311</v>
      </c>
      <c r="B6283" s="19" t="s">
        <v>3385</v>
      </c>
      <c r="C6283" s="3"/>
      <c r="D6283" s="3"/>
      <c r="E6283" s="5" t="str">
        <f>HYPERLINK("https://dpmzos25m8ivg.cloudfront.net/Documentos/631/29168568894/6312916856889414092023164759.jpg","https://dpmzos25m8ivg.cloudfront.net/Documentos/631/29168568894/6312916856889414092023164759.jpg")</f>
        <v>https://dpmzos25m8ivg.cloudfront.net/Documentos/631/29168568894/6312916856889414092023164759.jpg</v>
      </c>
      <c r="F6283" s="5" t="str">
        <f>HYPERLINK("https://dpmzos25m8ivg.cloudfront.net/Documentos/631/29168568894/6312916856889414092023164817.jpg","https://dpmzos25m8ivg.cloudfront.net/Documentos/631/29168568894/6312916856889414092023164817.jpg")</f>
        <v>https://dpmzos25m8ivg.cloudfront.net/Documentos/631/29168568894/6312916856889414092023164817.jpg</v>
      </c>
      <c r="G6283" s="5" t="str">
        <f>HYPERLINK("https://dpmzos25m8ivg.cloudfront.net/Documentos/631/29168568894/6312916856889414092023164834.jpg","https://dpmzos25m8ivg.cloudfront.net/Documentos/631/29168568894/6312916856889414092023164834.jpg")</f>
        <v>https://dpmzos25m8ivg.cloudfront.net/Documentos/631/29168568894/6312916856889414092023164834.jpg</v>
      </c>
      <c r="H6283" s="4" t="s">
        <v>14854</v>
      </c>
    </row>
    <row r="6284" spans="1:8" x14ac:dyDescent="0.25">
      <c r="A6284" s="2" t="s">
        <v>6312</v>
      </c>
      <c r="B6284" s="3"/>
      <c r="C6284" s="3"/>
      <c r="D6284" s="3"/>
      <c r="E6284" s="5" t="str">
        <f>HYPERLINK("https://dpmzos25m8ivg.cloudfront.net/Documentos/631/29179078869/6312917907886911092023074250.pdf","https://dpmzos25m8ivg.cloudfront.net/Documentos/631/29179078869/6312917907886911092023074250.pdf")</f>
        <v>https://dpmzos25m8ivg.cloudfront.net/Documentos/631/29179078869/6312917907886911092023074250.pdf</v>
      </c>
      <c r="F6284" s="5" t="str">
        <f>HYPERLINK("https://dpmzos25m8ivg.cloudfront.net/Documentos/631/29179078869/6312917907886911092023074454.pdf","https://dpmzos25m8ivg.cloudfront.net/Documentos/631/29179078869/6312917907886911092023074454.pdf")</f>
        <v>https://dpmzos25m8ivg.cloudfront.net/Documentos/631/29179078869/6312917907886911092023074454.pdf</v>
      </c>
      <c r="G6284" s="5" t="str">
        <f>HYPERLINK("https://dpmzos25m8ivg.cloudfront.net/Documentos/631/29179078869/6312917907886911092023074727.pdf","https://dpmzos25m8ivg.cloudfront.net/Documentos/631/29179078869/6312917907886911092023074727.pdf")</f>
        <v>https://dpmzos25m8ivg.cloudfront.net/Documentos/631/29179078869/6312917907886911092023074727.pdf</v>
      </c>
      <c r="H6284" s="4" t="s">
        <v>14855</v>
      </c>
    </row>
    <row r="6285" spans="1:8" x14ac:dyDescent="0.25">
      <c r="A6285" s="2" t="s">
        <v>6313</v>
      </c>
      <c r="B6285" s="3"/>
      <c r="C6285" s="3"/>
      <c r="D6285" s="3"/>
      <c r="E6285" s="5" t="str">
        <f>HYPERLINK("https://dpmzos25m8ivg.cloudfront.net/Documentos/631/29200282865/6312920028286505092023085813.pdf","https://dpmzos25m8ivg.cloudfront.net/Documentos/631/29200282865/6312920028286505092023085813.pdf")</f>
        <v>https://dpmzos25m8ivg.cloudfront.net/Documentos/631/29200282865/6312920028286505092023085813.pdf</v>
      </c>
      <c r="F6285" s="5" t="str">
        <f>HYPERLINK("https://dpmzos25m8ivg.cloudfront.net/Documentos/631/29200282865/6312920028286505092023085831.pdf","https://dpmzos25m8ivg.cloudfront.net/Documentos/631/29200282865/6312920028286505092023085831.pdf")</f>
        <v>https://dpmzos25m8ivg.cloudfront.net/Documentos/631/29200282865/6312920028286505092023085831.pdf</v>
      </c>
      <c r="G6285" s="5" t="str">
        <f>HYPERLINK("https://dpmzos25m8ivg.cloudfront.net/Documentos/631/29200282865/6312920028286505092023085845.pdf","https://dpmzos25m8ivg.cloudfront.net/Documentos/631/29200282865/6312920028286505092023085845.pdf")</f>
        <v>https://dpmzos25m8ivg.cloudfront.net/Documentos/631/29200282865/6312920028286505092023085845.pdf</v>
      </c>
      <c r="H6285" s="4" t="s">
        <v>14856</v>
      </c>
    </row>
    <row r="6286" spans="1:8" x14ac:dyDescent="0.25">
      <c r="A6286" s="2" t="s">
        <v>6314</v>
      </c>
      <c r="B6286" s="3"/>
      <c r="C6286" s="3"/>
      <c r="D6286" s="3"/>
      <c r="E6286" s="5" t="str">
        <f>HYPERLINK("https://dpmzos25m8ivg.cloudfront.net/Documentos/631/29211705827/6312921170582706092023205920.pdf","https://dpmzos25m8ivg.cloudfront.net/Documentos/631/29211705827/6312921170582706092023205920.pdf")</f>
        <v>https://dpmzos25m8ivg.cloudfront.net/Documentos/631/29211705827/6312921170582706092023205920.pdf</v>
      </c>
      <c r="F6286" s="5" t="str">
        <f>HYPERLINK("https://dpmzos25m8ivg.cloudfront.net/Documentos/631/29211705827/6312921170582706092023205931.pdf","https://dpmzos25m8ivg.cloudfront.net/Documentos/631/29211705827/6312921170582706092023205931.pdf")</f>
        <v>https://dpmzos25m8ivg.cloudfront.net/Documentos/631/29211705827/6312921170582706092023205931.pdf</v>
      </c>
      <c r="G6286" s="5" t="str">
        <f>HYPERLINK("https://dpmzos25m8ivg.cloudfront.net/Documentos/631/29211705827/6312921170582706092023205943.pdf","https://dpmzos25m8ivg.cloudfront.net/Documentos/631/29211705827/6312921170582706092023205943.pdf")</f>
        <v>https://dpmzos25m8ivg.cloudfront.net/Documentos/631/29211705827/6312921170582706092023205943.pdf</v>
      </c>
      <c r="H6286" s="4" t="s">
        <v>14857</v>
      </c>
    </row>
    <row r="6287" spans="1:8" x14ac:dyDescent="0.25">
      <c r="A6287" s="2" t="s">
        <v>6315</v>
      </c>
      <c r="B6287" s="16" t="s">
        <v>2358</v>
      </c>
      <c r="C6287" s="3"/>
      <c r="D6287" s="3"/>
      <c r="E6287" s="5" t="str">
        <f>HYPERLINK("https://dpmzos25m8ivg.cloudfront.net/Documentos/631/29219098806/6312921909880609092023195013.jpeg","https://dpmzos25m8ivg.cloudfront.net/Documentos/631/29219098806/6312921909880609092023195013.jpeg")</f>
        <v>https://dpmzos25m8ivg.cloudfront.net/Documentos/631/29219098806/6312921909880609092023195013.jpeg</v>
      </c>
      <c r="F6287" s="5" t="str">
        <f>HYPERLINK("https://dpmzos25m8ivg.cloudfront.net/Documentos/631/29219098806/6312921909880609092023195029.jpeg","https://dpmzos25m8ivg.cloudfront.net/Documentos/631/29219098806/6312921909880609092023195029.jpeg")</f>
        <v>https://dpmzos25m8ivg.cloudfront.net/Documentos/631/29219098806/6312921909880609092023195029.jpeg</v>
      </c>
      <c r="G6287" s="5" t="str">
        <f>HYPERLINK("https://dpmzos25m8ivg.cloudfront.net/Documentos/631/29219098806/6312921909880609092023195046.jpeg","https://dpmzos25m8ivg.cloudfront.net/Documentos/631/29219098806/6312921909880609092023195046.jpeg")</f>
        <v>https://dpmzos25m8ivg.cloudfront.net/Documentos/631/29219098806/6312921909880609092023195046.jpeg</v>
      </c>
      <c r="H6287" s="5" t="s">
        <v>14858</v>
      </c>
    </row>
    <row r="6288" spans="1:8" x14ac:dyDescent="0.25">
      <c r="A6288" s="2" t="s">
        <v>6316</v>
      </c>
      <c r="B6288" s="3"/>
      <c r="C6288" s="3"/>
      <c r="D6288" s="3"/>
      <c r="E6288" s="5" t="str">
        <f>HYPERLINK("https://dpmzos25m8ivg.cloudfront.net/Documentos/631/29230626805/6312923062680511092023152309.jpg","https://dpmzos25m8ivg.cloudfront.net/Documentos/631/29230626805/6312923062680511092023152309.jpg")</f>
        <v>https://dpmzos25m8ivg.cloudfront.net/Documentos/631/29230626805/6312923062680511092023152309.jpg</v>
      </c>
      <c r="F6288" s="5" t="str">
        <f>HYPERLINK("https://dpmzos25m8ivg.cloudfront.net/Documentos/631/29230626805/6312923062680511092023152326.jpg","https://dpmzos25m8ivg.cloudfront.net/Documentos/631/29230626805/6312923062680511092023152326.jpg")</f>
        <v>https://dpmzos25m8ivg.cloudfront.net/Documentos/631/29230626805/6312923062680511092023152326.jpg</v>
      </c>
      <c r="G6288" s="5" t="str">
        <f>HYPERLINK("https://dpmzos25m8ivg.cloudfront.net/Documentos/631/29230626805/6312923062680511092023152824.jpg","https://dpmzos25m8ivg.cloudfront.net/Documentos/631/29230626805/6312923062680511092023152824.jpg")</f>
        <v>https://dpmzos25m8ivg.cloudfront.net/Documentos/631/29230626805/6312923062680511092023152824.jpg</v>
      </c>
      <c r="H6288" s="4" t="s">
        <v>14859</v>
      </c>
    </row>
    <row r="6289" spans="1:8" x14ac:dyDescent="0.25">
      <c r="A6289" s="2" t="s">
        <v>6317</v>
      </c>
      <c r="B6289" s="3"/>
      <c r="C6289" s="3"/>
      <c r="D6289" s="3"/>
      <c r="E6289" s="5" t="str">
        <f>HYPERLINK("https://dpmzos25m8ivg.cloudfront.net/Documentos/631/29256274809/6312925627480906092023151438.jpg","https://dpmzos25m8ivg.cloudfront.net/Documentos/631/29256274809/6312925627480906092023151438.jpg")</f>
        <v>https://dpmzos25m8ivg.cloudfront.net/Documentos/631/29256274809/6312925627480906092023151438.jpg</v>
      </c>
      <c r="F6289" s="5" t="str">
        <f>HYPERLINK("https://dpmzos25m8ivg.cloudfront.net/Documentos/631/29256274809/6312925627480906092023152006.jpg","https://dpmzos25m8ivg.cloudfront.net/Documentos/631/29256274809/6312925627480906092023152006.jpg")</f>
        <v>https://dpmzos25m8ivg.cloudfront.net/Documentos/631/29256274809/6312925627480906092023152006.jpg</v>
      </c>
      <c r="G6289" s="5" t="str">
        <f>HYPERLINK("https://dpmzos25m8ivg.cloudfront.net/Documentos/631/29256274809/6312925627480906092023152112.jpg","https://dpmzos25m8ivg.cloudfront.net/Documentos/631/29256274809/6312925627480906092023152112.jpg")</f>
        <v>https://dpmzos25m8ivg.cloudfront.net/Documentos/631/29256274809/6312925627480906092023152112.jpg</v>
      </c>
      <c r="H6289" s="4" t="s">
        <v>14860</v>
      </c>
    </row>
    <row r="6290" spans="1:8" x14ac:dyDescent="0.25">
      <c r="A6290" s="2" t="s">
        <v>6318</v>
      </c>
      <c r="B6290" s="3"/>
      <c r="C6290" s="3"/>
      <c r="D6290" s="3"/>
      <c r="E6290" s="5" t="str">
        <f>HYPERLINK("https://dpmzos25m8ivg.cloudfront.net/Documentos/631/29306817568/6312930681756809092023090154.pdf","https://dpmzos25m8ivg.cloudfront.net/Documentos/631/29306817568/6312930681756809092023090154.pdf")</f>
        <v>https://dpmzos25m8ivg.cloudfront.net/Documentos/631/29306817568/6312930681756809092023090154.pdf</v>
      </c>
      <c r="F6290" s="5" t="str">
        <f>HYPERLINK("https://dpmzos25m8ivg.cloudfront.net/Documentos/631/29306817568/6312930681756809092023090239.pdf","https://dpmzos25m8ivg.cloudfront.net/Documentos/631/29306817568/6312930681756809092023090239.pdf")</f>
        <v>https://dpmzos25m8ivg.cloudfront.net/Documentos/631/29306817568/6312930681756809092023090239.pdf</v>
      </c>
      <c r="G6290" s="5" t="str">
        <f>HYPERLINK("https://dpmzos25m8ivg.cloudfront.net/Documentos/631/29306817568/6312930681756809092023090328.pdf","https://dpmzos25m8ivg.cloudfront.net/Documentos/631/29306817568/6312930681756809092023090328.pdf")</f>
        <v>https://dpmzos25m8ivg.cloudfront.net/Documentos/631/29306817568/6312930681756809092023090328.pdf</v>
      </c>
      <c r="H6290" s="4" t="s">
        <v>14861</v>
      </c>
    </row>
    <row r="6291" spans="1:8" x14ac:dyDescent="0.25">
      <c r="A6291" s="2" t="s">
        <v>6319</v>
      </c>
      <c r="B6291" s="16" t="s">
        <v>2358</v>
      </c>
      <c r="C6291" s="3"/>
      <c r="D6291" s="3"/>
      <c r="E6291" s="5" t="str">
        <f>HYPERLINK("https://dpmzos25m8ivg.cloudfront.net/Documentos/631/29310683813/6312931068381314092023162726.pdf","https://dpmzos25m8ivg.cloudfront.net/Documentos/631/29310683813/6312931068381314092023162726.pdf")</f>
        <v>https://dpmzos25m8ivg.cloudfront.net/Documentos/631/29310683813/6312931068381314092023162726.pdf</v>
      </c>
      <c r="F6291" s="5" t="str">
        <f>HYPERLINK("https://dpmzos25m8ivg.cloudfront.net/Documentos/631/29310683813/6312931068381314092023162740.pdf","https://dpmzos25m8ivg.cloudfront.net/Documentos/631/29310683813/6312931068381314092023162740.pdf")</f>
        <v>https://dpmzos25m8ivg.cloudfront.net/Documentos/631/29310683813/6312931068381314092023162740.pdf</v>
      </c>
      <c r="G6291" s="5" t="str">
        <f>HYPERLINK("https://dpmzos25m8ivg.cloudfront.net/Documentos/631/29310683813/6312931068381314092023162755.pdf","https://dpmzos25m8ivg.cloudfront.net/Documentos/631/29310683813/6312931068381314092023162755.pdf")</f>
        <v>https://dpmzos25m8ivg.cloudfront.net/Documentos/631/29310683813/6312931068381314092023162755.pdf</v>
      </c>
      <c r="H6291" s="5" t="s">
        <v>14862</v>
      </c>
    </row>
    <row r="6292" spans="1:8" x14ac:dyDescent="0.25">
      <c r="A6292" s="2" t="s">
        <v>6320</v>
      </c>
      <c r="B6292" s="16" t="s">
        <v>2358</v>
      </c>
      <c r="C6292" s="3"/>
      <c r="D6292" s="3"/>
      <c r="E6292" s="5" t="str">
        <f>HYPERLINK("https://dpmzos25m8ivg.cloudfront.net/Documentos/631/29321853812/6312932185381209092023123523.pdf","https://dpmzos25m8ivg.cloudfront.net/Documentos/631/29321853812/6312932185381209092023123523.pdf")</f>
        <v>https://dpmzos25m8ivg.cloudfront.net/Documentos/631/29321853812/6312932185381209092023123523.pdf</v>
      </c>
      <c r="F6292" s="5" t="str">
        <f>HYPERLINK("https://dpmzos25m8ivg.cloudfront.net/Documentos/631/29321853812/6312932185381209092023123552.pdf","https://dpmzos25m8ivg.cloudfront.net/Documentos/631/29321853812/6312932185381209092023123552.pdf")</f>
        <v>https://dpmzos25m8ivg.cloudfront.net/Documentos/631/29321853812/6312932185381209092023123552.pdf</v>
      </c>
      <c r="G6292" s="5" t="str">
        <f>HYPERLINK("https://dpmzos25m8ivg.cloudfront.net/Documentos/631/29321853812/6312932185381209092023123616.pdf","https://dpmzos25m8ivg.cloudfront.net/Documentos/631/29321853812/6312932185381209092023123616.pdf")</f>
        <v>https://dpmzos25m8ivg.cloudfront.net/Documentos/631/29321853812/6312932185381209092023123616.pdf</v>
      </c>
      <c r="H6292" s="5" t="s">
        <v>14863</v>
      </c>
    </row>
    <row r="6293" spans="1:8" x14ac:dyDescent="0.25">
      <c r="A6293" s="2" t="s">
        <v>6321</v>
      </c>
      <c r="B6293" s="3"/>
      <c r="C6293" s="3"/>
      <c r="D6293" s="3"/>
      <c r="E6293" s="5" t="str">
        <f>HYPERLINK("https://dpmzos25m8ivg.cloudfront.net/Documentos/631/29330220282/6312933022028206092023001208.jpg","https://dpmzos25m8ivg.cloudfront.net/Documentos/631/29330220282/6312933022028206092023001208.jpg")</f>
        <v>https://dpmzos25m8ivg.cloudfront.net/Documentos/631/29330220282/6312933022028206092023001208.jpg</v>
      </c>
      <c r="F6293" s="5" t="str">
        <f>HYPERLINK("https://dpmzos25m8ivg.cloudfront.net/Documentos/631/29330220282/6312933022028206092023001622.jpg","https://dpmzos25m8ivg.cloudfront.net/Documentos/631/29330220282/6312933022028206092023001622.jpg")</f>
        <v>https://dpmzos25m8ivg.cloudfront.net/Documentos/631/29330220282/6312933022028206092023001622.jpg</v>
      </c>
      <c r="G6293" s="5" t="str">
        <f>HYPERLINK("https://dpmzos25m8ivg.cloudfront.net/Documentos/631/29330220282/6312933022028206092023001651.jpg","https://dpmzos25m8ivg.cloudfront.net/Documentos/631/29330220282/6312933022028206092023001651.jpg")</f>
        <v>https://dpmzos25m8ivg.cloudfront.net/Documentos/631/29330220282/6312933022028206092023001651.jpg</v>
      </c>
      <c r="H6293" s="4" t="s">
        <v>14864</v>
      </c>
    </row>
    <row r="6294" spans="1:8" x14ac:dyDescent="0.25">
      <c r="A6294" s="2" t="s">
        <v>6322</v>
      </c>
      <c r="B6294" s="3"/>
      <c r="C6294" s="3"/>
      <c r="D6294" s="3"/>
      <c r="E6294" s="5" t="str">
        <f>HYPERLINK("https://dpmzos25m8ivg.cloudfront.net/Documentos/631/29333788840/6312933378884011092023141209.pdf","https://dpmzos25m8ivg.cloudfront.net/Documentos/631/29333788840/6312933378884011092023141209.pdf")</f>
        <v>https://dpmzos25m8ivg.cloudfront.net/Documentos/631/29333788840/6312933378884011092023141209.pdf</v>
      </c>
      <c r="F6294" s="5" t="str">
        <f>HYPERLINK("https://dpmzos25m8ivg.cloudfront.net/Documentos/631/29333788840/6312933378884011092023141258.pdf","https://dpmzos25m8ivg.cloudfront.net/Documentos/631/29333788840/6312933378884011092023141258.pdf")</f>
        <v>https://dpmzos25m8ivg.cloudfront.net/Documentos/631/29333788840/6312933378884011092023141258.pdf</v>
      </c>
      <c r="G6294" s="5" t="str">
        <f>HYPERLINK("https://dpmzos25m8ivg.cloudfront.net/Documentos/631/29333788840/6312933378884011092023141313.pdf","https://dpmzos25m8ivg.cloudfront.net/Documentos/631/29333788840/6312933378884011092023141313.pdf")</f>
        <v>https://dpmzos25m8ivg.cloudfront.net/Documentos/631/29333788840/6312933378884011092023141313.pdf</v>
      </c>
      <c r="H6294" s="4" t="s">
        <v>14865</v>
      </c>
    </row>
    <row r="6295" spans="1:8" x14ac:dyDescent="0.25">
      <c r="A6295" s="2" t="s">
        <v>6323</v>
      </c>
      <c r="B6295" s="3"/>
      <c r="C6295" s="3"/>
      <c r="D6295" s="3"/>
      <c r="E6295" s="5" t="str">
        <f>HYPERLINK("https://dpmzos25m8ivg.cloudfront.net/Documentos/631/29345510591/6312934551059111092023100410.jpg","https://dpmzos25m8ivg.cloudfront.net/Documentos/631/29345510591/6312934551059111092023100410.jpg")</f>
        <v>https://dpmzos25m8ivg.cloudfront.net/Documentos/631/29345510591/6312934551059111092023100410.jpg</v>
      </c>
      <c r="F6295" s="5" t="str">
        <f>HYPERLINK("https://dpmzos25m8ivg.cloudfront.net/Documentos/631/29345510591/6312934551059111092023100442.jpg","https://dpmzos25m8ivg.cloudfront.net/Documentos/631/29345510591/6312934551059111092023100442.jpg")</f>
        <v>https://dpmzos25m8ivg.cloudfront.net/Documentos/631/29345510591/6312934551059111092023100442.jpg</v>
      </c>
      <c r="G6295" s="5" t="str">
        <f>HYPERLINK("https://dpmzos25m8ivg.cloudfront.net/Documentos/631/29345510591/6312934551059111092023100518.jpg","https://dpmzos25m8ivg.cloudfront.net/Documentos/631/29345510591/6312934551059111092023100518.jpg")</f>
        <v>https://dpmzos25m8ivg.cloudfront.net/Documentos/631/29345510591/6312934551059111092023100518.jpg</v>
      </c>
      <c r="H6295" s="4" t="s">
        <v>14866</v>
      </c>
    </row>
    <row r="6296" spans="1:8" x14ac:dyDescent="0.25">
      <c r="A6296" s="2" t="s">
        <v>6324</v>
      </c>
      <c r="B6296" s="3"/>
      <c r="C6296" s="3"/>
      <c r="D6296" s="3"/>
      <c r="E6296" s="5" t="str">
        <f>HYPERLINK("https://dpmzos25m8ivg.cloudfront.net/Documentos/631/29394038809/6312939403880910092023182318.pdf","https://dpmzos25m8ivg.cloudfront.net/Documentos/631/29394038809/6312939403880910092023182318.pdf")</f>
        <v>https://dpmzos25m8ivg.cloudfront.net/Documentos/631/29394038809/6312939403880910092023182318.pdf</v>
      </c>
      <c r="F6296" s="5" t="str">
        <f>HYPERLINK("https://dpmzos25m8ivg.cloudfront.net/Documentos/631/29394038809/6312939403880910092023182341.pdf","https://dpmzos25m8ivg.cloudfront.net/Documentos/631/29394038809/6312939403880910092023182341.pdf")</f>
        <v>https://dpmzos25m8ivg.cloudfront.net/Documentos/631/29394038809/6312939403880910092023182341.pdf</v>
      </c>
      <c r="G6296" s="5" t="str">
        <f>HYPERLINK("https://dpmzos25m8ivg.cloudfront.net/Documentos/631/29394038809/6312939403880910092023182419.pdf","https://dpmzos25m8ivg.cloudfront.net/Documentos/631/29394038809/6312939403880910092023182419.pdf")</f>
        <v>https://dpmzos25m8ivg.cloudfront.net/Documentos/631/29394038809/6312939403880910092023182419.pdf</v>
      </c>
      <c r="H6296" s="4" t="s">
        <v>14867</v>
      </c>
    </row>
    <row r="6297" spans="1:8" x14ac:dyDescent="0.25">
      <c r="A6297" s="2" t="s">
        <v>6325</v>
      </c>
      <c r="B6297" s="3" t="s">
        <v>8</v>
      </c>
      <c r="C6297" s="3"/>
      <c r="D6297" s="3"/>
      <c r="E6297" s="5" t="str">
        <f>HYPERLINK("https://dpmzos25m8ivg.cloudfront.net/Documentos/631/29413699534/6312941369953406092023095640.pdf","https://dpmzos25m8ivg.cloudfront.net/Documentos/631/29413699534/6312941369953406092023095640.pdf")</f>
        <v>https://dpmzos25m8ivg.cloudfront.net/Documentos/631/29413699534/6312941369953406092023095640.pdf</v>
      </c>
      <c r="F6297" s="5" t="str">
        <f>HYPERLINK("https://dpmzos25m8ivg.cloudfront.net/Documentos/631/29413699534/6312941369953406092023095651.pdf","https://dpmzos25m8ivg.cloudfront.net/Documentos/631/29413699534/6312941369953406092023095651.pdf")</f>
        <v>https://dpmzos25m8ivg.cloudfront.net/Documentos/631/29413699534/6312941369953406092023095651.pdf</v>
      </c>
      <c r="G6297" s="5" t="str">
        <f>HYPERLINK("https://dpmzos25m8ivg.cloudfront.net/Documentos/631/29413699534/AR68626312941369953406092023095700.pdf","https://dpmzos25m8ivg.cloudfront.net/Documentos/631/29413699534/6312941369953406092023095700.pdf")</f>
        <v>https://dpmzos25m8ivg.cloudfront.net/Documentos/631/29413699534/6312941369953406092023095700.pdf</v>
      </c>
      <c r="H6297" s="4" t="s">
        <v>14868</v>
      </c>
    </row>
    <row r="6298" spans="1:8" x14ac:dyDescent="0.25">
      <c r="A6298" s="2" t="s">
        <v>6326</v>
      </c>
      <c r="B6298" s="16" t="s">
        <v>2358</v>
      </c>
      <c r="C6298" s="3"/>
      <c r="D6298" s="3"/>
      <c r="E6298" s="5" t="str">
        <f>HYPERLINK("https://dpmzos25m8ivg.cloudfront.net/Documentos/631/29429558803/6312942955880311092023160509.jpg","https://dpmzos25m8ivg.cloudfront.net/Documentos/631/29429558803/6312942955880311092023160509.jpg")</f>
        <v>https://dpmzos25m8ivg.cloudfront.net/Documentos/631/29429558803/6312942955880311092023160509.jpg</v>
      </c>
      <c r="F6298" s="5" t="str">
        <f>HYPERLINK("https://dpmzos25m8ivg.cloudfront.net/Documentos/631/29429558803/6312942955880311092023160535.jpg","https://dpmzos25m8ivg.cloudfront.net/Documentos/631/29429558803/6312942955880311092023160535.jpg")</f>
        <v>https://dpmzos25m8ivg.cloudfront.net/Documentos/631/29429558803/6312942955880311092023160535.jpg</v>
      </c>
      <c r="G6298" s="5" t="str">
        <f>HYPERLINK("https://dpmzos25m8ivg.cloudfront.net/Documentos/631/29429558803/6312942955880311092023160554.jpg","https://dpmzos25m8ivg.cloudfront.net/Documentos/631/29429558803/6312942955880311092023160554.jpg")</f>
        <v>https://dpmzos25m8ivg.cloudfront.net/Documentos/631/29429558803/6312942955880311092023160554.jpg</v>
      </c>
      <c r="H6298" s="5" t="s">
        <v>14869</v>
      </c>
    </row>
    <row r="6299" spans="1:8" x14ac:dyDescent="0.25">
      <c r="A6299" s="2" t="s">
        <v>6327</v>
      </c>
      <c r="B6299" s="3"/>
      <c r="C6299" s="3"/>
      <c r="D6299" s="3"/>
      <c r="E6299" s="5" t="str">
        <f>HYPERLINK("https://dpmzos25m8ivg.cloudfront.net/Documentos/631/29445618807/6312944561880714092023115704.jpg","https://dpmzos25m8ivg.cloudfront.net/Documentos/631/29445618807/6312944561880714092023115704.jpg")</f>
        <v>https://dpmzos25m8ivg.cloudfront.net/Documentos/631/29445618807/6312944561880714092023115704.jpg</v>
      </c>
      <c r="F6299" s="5" t="str">
        <f>HYPERLINK("https://dpmzos25m8ivg.cloudfront.net/Documentos/631/29445618807/6312944561880714092023115911.jpg","https://dpmzos25m8ivg.cloudfront.net/Documentos/631/29445618807/6312944561880714092023115911.jpg")</f>
        <v>https://dpmzos25m8ivg.cloudfront.net/Documentos/631/29445618807/6312944561880714092023115911.jpg</v>
      </c>
      <c r="G6299" s="5" t="str">
        <f>HYPERLINK("https://dpmzos25m8ivg.cloudfront.net/Documentos/631/29445618807/6312944561880714092023115949.jpg","https://dpmzos25m8ivg.cloudfront.net/Documentos/631/29445618807/6312944561880714092023115949.jpg")</f>
        <v>https://dpmzos25m8ivg.cloudfront.net/Documentos/631/29445618807/6312944561880714092023115949.jpg</v>
      </c>
      <c r="H6299" s="4" t="s">
        <v>14870</v>
      </c>
    </row>
    <row r="6300" spans="1:8" x14ac:dyDescent="0.25">
      <c r="A6300" s="2" t="s">
        <v>6328</v>
      </c>
      <c r="B6300" s="3"/>
      <c r="C6300" s="3"/>
      <c r="D6300" s="3"/>
      <c r="E6300" s="5" t="str">
        <f>HYPERLINK("https://dpmzos25m8ivg.cloudfront.net/Documentos/631/29450780234/6312945078023411092023093947.pdf","https://dpmzos25m8ivg.cloudfront.net/Documentos/631/29450780234/6312945078023411092023093947.pdf")</f>
        <v>https://dpmzos25m8ivg.cloudfront.net/Documentos/631/29450780234/6312945078023411092023093947.pdf</v>
      </c>
      <c r="F6300" s="5" t="str">
        <f>HYPERLINK("https://dpmzos25m8ivg.cloudfront.net/Documentos/631/29450780234/6312945078023411092023094017.pdf","https://dpmzos25m8ivg.cloudfront.net/Documentos/631/29450780234/6312945078023411092023094017.pdf")</f>
        <v>https://dpmzos25m8ivg.cloudfront.net/Documentos/631/29450780234/6312945078023411092023094017.pdf</v>
      </c>
      <c r="G6300" s="5" t="str">
        <f>HYPERLINK("https://dpmzos25m8ivg.cloudfront.net/Documentos/631/29450780234/6312945078023411092023094032.pdf","https://dpmzos25m8ivg.cloudfront.net/Documentos/631/29450780234/6312945078023411092023094032.pdf")</f>
        <v>https://dpmzos25m8ivg.cloudfront.net/Documentos/631/29450780234/6312945078023411092023094032.pdf</v>
      </c>
      <c r="H6300" s="4" t="s">
        <v>14871</v>
      </c>
    </row>
    <row r="6301" spans="1:8" x14ac:dyDescent="0.25">
      <c r="A6301" s="2" t="s">
        <v>6217</v>
      </c>
      <c r="B6301" s="3"/>
      <c r="C6301" s="3"/>
      <c r="D6301" s="3"/>
      <c r="E6301" s="5" t="str">
        <f>HYPERLINK("https://dpmzos25m8ivg.cloudfront.net/Documentos/631/29456476804/6312945647680411092023143545.pdf","https://dpmzos25m8ivg.cloudfront.net/Documentos/631/29456476804/6312945647680411092023143545.pdf")</f>
        <v>https://dpmzos25m8ivg.cloudfront.net/Documentos/631/29456476804/6312945647680411092023143545.pdf</v>
      </c>
      <c r="F6301" s="5" t="str">
        <f>HYPERLINK("https://dpmzos25m8ivg.cloudfront.net/Documentos/631/29456476804/6312945647680411092023143559.pdf","https://dpmzos25m8ivg.cloudfront.net/Documentos/631/29456476804/6312945647680411092023143559.pdf")</f>
        <v>https://dpmzos25m8ivg.cloudfront.net/Documentos/631/29456476804/6312945647680411092023143559.pdf</v>
      </c>
      <c r="G6301" s="5" t="str">
        <f>HYPERLINK("https://dpmzos25m8ivg.cloudfront.net/Documentos/631/29456476804/6312945647680411092023143609.pdf","https://dpmzos25m8ivg.cloudfront.net/Documentos/631/29456476804/6312945647680411092023143609.pdf")</f>
        <v>https://dpmzos25m8ivg.cloudfront.net/Documentos/631/29456476804/6312945647680411092023143609.pdf</v>
      </c>
      <c r="H6301" s="4" t="s">
        <v>14872</v>
      </c>
    </row>
    <row r="6302" spans="1:8" x14ac:dyDescent="0.25">
      <c r="A6302" s="2" t="s">
        <v>6329</v>
      </c>
      <c r="B6302" s="3"/>
      <c r="C6302" s="3"/>
      <c r="D6302" s="3"/>
      <c r="E6302" s="5" t="str">
        <f>HYPERLINK("https://dpmzos25m8ivg.cloudfront.net/Documentos/631/29523489879/6312952348987910092023211517.pdf","https://dpmzos25m8ivg.cloudfront.net/Documentos/631/29523489879/6312952348987910092023211517.pdf")</f>
        <v>https://dpmzos25m8ivg.cloudfront.net/Documentos/631/29523489879/6312952348987910092023211517.pdf</v>
      </c>
      <c r="F6302" s="5" t="str">
        <f>HYPERLINK("https://dpmzos25m8ivg.cloudfront.net/Documentos/631/29523489879/6312952348987910092023211507.pdf","https://dpmzos25m8ivg.cloudfront.net/Documentos/631/29523489879/6312952348987910092023211507.pdf")</f>
        <v>https://dpmzos25m8ivg.cloudfront.net/Documentos/631/29523489879/6312952348987910092023211507.pdf</v>
      </c>
      <c r="G6302" s="5" t="str">
        <f>HYPERLINK("https://dpmzos25m8ivg.cloudfront.net/Documentos/631/29523489879/6312952348987910092023211456.pdf","https://dpmzos25m8ivg.cloudfront.net/Documentos/631/29523489879/6312952348987910092023211456.pdf")</f>
        <v>https://dpmzos25m8ivg.cloudfront.net/Documentos/631/29523489879/6312952348987910092023211456.pdf</v>
      </c>
      <c r="H6302" s="4" t="s">
        <v>14873</v>
      </c>
    </row>
    <row r="6303" spans="1:8" x14ac:dyDescent="0.25">
      <c r="A6303" s="2" t="s">
        <v>6330</v>
      </c>
      <c r="B6303" s="19" t="s">
        <v>3385</v>
      </c>
      <c r="C6303" s="3"/>
      <c r="D6303" s="3"/>
      <c r="E6303" s="5" t="str">
        <f>HYPERLINK("https://dpmzos25m8ivg.cloudfront.net/Documentos/631/29558045845/6312955804584511092023143720.jpeg","https://dpmzos25m8ivg.cloudfront.net/Documentos/631/29558045845/6312955804584511092023143720.jpeg")</f>
        <v>https://dpmzos25m8ivg.cloudfront.net/Documentos/631/29558045845/6312955804584511092023143720.jpeg</v>
      </c>
      <c r="F6303" s="5" t="str">
        <f>HYPERLINK("https://dpmzos25m8ivg.cloudfront.net/Documentos/631/29558045845/6312955804584511092023143708.jpeg","https://dpmzos25m8ivg.cloudfront.net/Documentos/631/29558045845/6312955804584511092023143708.jpeg")</f>
        <v>https://dpmzos25m8ivg.cloudfront.net/Documentos/631/29558045845/6312955804584511092023143708.jpeg</v>
      </c>
      <c r="G6303" s="5" t="str">
        <f>HYPERLINK("https://dpmzos25m8ivg.cloudfront.net/Documentos/631/29558045845/6312955804584511092023143728.jpeg","https://dpmzos25m8ivg.cloudfront.net/Documentos/631/29558045845/6312955804584511092023143728.jpeg")</f>
        <v>https://dpmzos25m8ivg.cloudfront.net/Documentos/631/29558045845/6312955804584511092023143728.jpeg</v>
      </c>
      <c r="H6303" s="4" t="s">
        <v>14874</v>
      </c>
    </row>
    <row r="6304" spans="1:8" x14ac:dyDescent="0.25">
      <c r="A6304" s="2" t="s">
        <v>6331</v>
      </c>
      <c r="B6304" s="3" t="s">
        <v>8</v>
      </c>
      <c r="C6304" s="3"/>
      <c r="D6304" s="3"/>
      <c r="E6304" s="5" t="str">
        <f>HYPERLINK("https://dpmzos25m8ivg.cloudfront.net/Documentos/631/29568880801/6312956888080107092023165921.jpeg","https://dpmzos25m8ivg.cloudfront.net/Documentos/631/29568880801/6312956888080107092023165921.jpeg")</f>
        <v>https://dpmzos25m8ivg.cloudfront.net/Documentos/631/29568880801/6312956888080107092023165921.jpeg</v>
      </c>
      <c r="F6304" s="5" t="str">
        <f>HYPERLINK("https://dpmzos25m8ivg.cloudfront.net/Documentos/631/29568880801/6312956888080107092023165929.jpeg","https://dpmzos25m8ivg.cloudfront.net/Documentos/631/29568880801/6312956888080107092023165929.jpeg")</f>
        <v>https://dpmzos25m8ivg.cloudfront.net/Documentos/631/29568880801/6312956888080107092023165929.jpeg</v>
      </c>
      <c r="G6304" s="5" t="str">
        <f>HYPERLINK("https://dpmzos25m8ivg.cloudfront.net/Documentos/631/29568880801/6312956888080107092023165940.jpeg","https://dpmzos25m8ivg.cloudfront.net/Documentos/631/29568880801/6312956888080107092023165940.jpeg")</f>
        <v>https://dpmzos25m8ivg.cloudfront.net/Documentos/631/29568880801/6312956888080107092023165940.jpeg</v>
      </c>
      <c r="H6304" s="4" t="s">
        <v>14875</v>
      </c>
    </row>
    <row r="6305" spans="1:8" x14ac:dyDescent="0.25">
      <c r="A6305" s="2" t="s">
        <v>6332</v>
      </c>
      <c r="B6305" s="16" t="s">
        <v>2358</v>
      </c>
      <c r="C6305" s="3"/>
      <c r="D6305" s="3"/>
      <c r="E6305" s="5" t="str">
        <f>HYPERLINK("https://dpmzos25m8ivg.cloudfront.net/Documentos/631/29661566860/6312966156686010092023134933.jpg","https://dpmzos25m8ivg.cloudfront.net/Documentos/631/29661566860/6312966156686010092023134933.jpg")</f>
        <v>https://dpmzos25m8ivg.cloudfront.net/Documentos/631/29661566860/6312966156686010092023134933.jpg</v>
      </c>
      <c r="F6305" s="5" t="str">
        <f>HYPERLINK("https://dpmzos25m8ivg.cloudfront.net/Documentos/631/29661566860/6312966156686010092023134956.jpg","https://dpmzos25m8ivg.cloudfront.net/Documentos/631/29661566860/6312966156686010092023134956.jpg")</f>
        <v>https://dpmzos25m8ivg.cloudfront.net/Documentos/631/29661566860/6312966156686010092023134956.jpg</v>
      </c>
      <c r="G6305" s="5" t="str">
        <f>HYPERLINK("https://dpmzos25m8ivg.cloudfront.net/Documentos/631/29661566860/6312966156686010092023135014.jpg","https://dpmzos25m8ivg.cloudfront.net/Documentos/631/29661566860/6312966156686010092023135014.jpg")</f>
        <v>https://dpmzos25m8ivg.cloudfront.net/Documentos/631/29661566860/6312966156686010092023135014.jpg</v>
      </c>
      <c r="H6305" s="5" t="s">
        <v>14876</v>
      </c>
    </row>
    <row r="6306" spans="1:8" x14ac:dyDescent="0.25">
      <c r="A6306" s="2" t="s">
        <v>6333</v>
      </c>
      <c r="B6306" s="3"/>
      <c r="C6306" s="3"/>
      <c r="D6306" s="3"/>
      <c r="E6306" s="5" t="str">
        <f>HYPERLINK("https://dpmzos25m8ivg.cloudfront.net/Documentos/631/29713684753/6312971368475306092023084014.pdf","https://dpmzos25m8ivg.cloudfront.net/Documentos/631/29713684753/6312971368475306092023084014.pdf")</f>
        <v>https://dpmzos25m8ivg.cloudfront.net/Documentos/631/29713684753/6312971368475306092023084014.pdf</v>
      </c>
      <c r="F6306" s="5" t="str">
        <f>HYPERLINK("https://dpmzos25m8ivg.cloudfront.net/Documentos/631/29713684753/6312971368475306092023084022.pdf","https://dpmzos25m8ivg.cloudfront.net/Documentos/631/29713684753/6312971368475306092023084022.pdf")</f>
        <v>https://dpmzos25m8ivg.cloudfront.net/Documentos/631/29713684753/6312971368475306092023084022.pdf</v>
      </c>
      <c r="G6306" s="5" t="str">
        <f>HYPERLINK("https://dpmzos25m8ivg.cloudfront.net/Documentos/631/29713684753/6312971368475306092023084030.pdf","https://dpmzos25m8ivg.cloudfront.net/Documentos/631/29713684753/6312971368475306092023084030.pdf")</f>
        <v>https://dpmzos25m8ivg.cloudfront.net/Documentos/631/29713684753/6312971368475306092023084030.pdf</v>
      </c>
      <c r="H6306" s="4" t="s">
        <v>14877</v>
      </c>
    </row>
    <row r="6307" spans="1:8" x14ac:dyDescent="0.25">
      <c r="A6307" s="2" t="s">
        <v>6334</v>
      </c>
      <c r="B6307" s="3"/>
      <c r="C6307" s="3"/>
      <c r="D6307" s="3"/>
      <c r="E6307" s="5" t="str">
        <f>HYPERLINK("https://dpmzos25m8ivg.cloudfront.net/Documentos/631/29737953894/6312973795389406092023161841.pdf","https://dpmzos25m8ivg.cloudfront.net/Documentos/631/29737953894/6312973795389406092023161841.pdf")</f>
        <v>https://dpmzos25m8ivg.cloudfront.net/Documentos/631/29737953894/6312973795389406092023161841.pdf</v>
      </c>
      <c r="F6307" s="5" t="str">
        <f>HYPERLINK("https://dpmzos25m8ivg.cloudfront.net/Documentos/631/29737953894/AR68976312973795389406092023161910.pdf","https://dpmzos25m8ivg.cloudfront.net/Documentos/631/29737953894/6312973795389406092023161910.pdf")</f>
        <v>https://dpmzos25m8ivg.cloudfront.net/Documentos/631/29737953894/6312973795389406092023161910.pdf</v>
      </c>
      <c r="G6307" s="5" t="str">
        <f>HYPERLINK("https://dpmzos25m8ivg.cloudfront.net/Documentos/631/29737953894/6312973795389406092023161922.pdf","https://dpmzos25m8ivg.cloudfront.net/Documentos/631/29737953894/6312973795389406092023161922.pdf")</f>
        <v>https://dpmzos25m8ivg.cloudfront.net/Documentos/631/29737953894/6312973795389406092023161922.pdf</v>
      </c>
      <c r="H6307" s="4" t="s">
        <v>14878</v>
      </c>
    </row>
    <row r="6308" spans="1:8" x14ac:dyDescent="0.25">
      <c r="A6308" s="2" t="s">
        <v>6335</v>
      </c>
      <c r="B6308" s="3"/>
      <c r="C6308" s="3"/>
      <c r="D6308" s="3"/>
      <c r="E6308" s="5" t="str">
        <f>HYPERLINK("https://dpmzos25m8ivg.cloudfront.net/Documentos/631/29762418808/6312976241880805092023140626.pdf","https://dpmzos25m8ivg.cloudfront.net/Documentos/631/29762418808/6312976241880805092023140626.pdf")</f>
        <v>https://dpmzos25m8ivg.cloudfront.net/Documentos/631/29762418808/6312976241880805092023140626.pdf</v>
      </c>
      <c r="F6308" s="5" t="str">
        <f>HYPERLINK("https://dpmzos25m8ivg.cloudfront.net/Documentos/631/29762418808/6312976241880805092023140725.pdf","https://dpmzos25m8ivg.cloudfront.net/Documentos/631/29762418808/6312976241880805092023140725.pdf")</f>
        <v>https://dpmzos25m8ivg.cloudfront.net/Documentos/631/29762418808/6312976241880805092023140725.pdf</v>
      </c>
      <c r="G6308" s="5" t="str">
        <f>HYPERLINK("https://dpmzos25m8ivg.cloudfront.net/Documentos/631/29762418808/6312976241880805092023140738.pdf","https://dpmzos25m8ivg.cloudfront.net/Documentos/631/29762418808/6312976241880805092023140738.pdf")</f>
        <v>https://dpmzos25m8ivg.cloudfront.net/Documentos/631/29762418808/6312976241880805092023140738.pdf</v>
      </c>
      <c r="H6308" s="4" t="s">
        <v>14879</v>
      </c>
    </row>
    <row r="6309" spans="1:8" x14ac:dyDescent="0.25">
      <c r="A6309" s="2" t="s">
        <v>6336</v>
      </c>
      <c r="B6309" s="3"/>
      <c r="C6309" s="3"/>
      <c r="D6309" s="3"/>
      <c r="E6309" s="5" t="str">
        <f>HYPERLINK("https://dpmzos25m8ivg.cloudfront.net/Documentos/631/29785894851/6312978589485111092023102315.pdf","https://dpmzos25m8ivg.cloudfront.net/Documentos/631/29785894851/6312978589485111092023102315.pdf")</f>
        <v>https://dpmzos25m8ivg.cloudfront.net/Documentos/631/29785894851/6312978589485111092023102315.pdf</v>
      </c>
      <c r="F6309" s="5" t="str">
        <f>HYPERLINK("https://dpmzos25m8ivg.cloudfront.net/Documentos/631/29785894851/6312978589485111092023102325.pdf","https://dpmzos25m8ivg.cloudfront.net/Documentos/631/29785894851/6312978589485111092023102325.pdf")</f>
        <v>https://dpmzos25m8ivg.cloudfront.net/Documentos/631/29785894851/6312978589485111092023102325.pdf</v>
      </c>
      <c r="G6309" s="5" t="str">
        <f>HYPERLINK("https://dpmzos25m8ivg.cloudfront.net/Documentos/631/29785894851/6312978589485111092023102334.pdf","https://dpmzos25m8ivg.cloudfront.net/Documentos/631/29785894851/6312978589485111092023102334.pdf")</f>
        <v>https://dpmzos25m8ivg.cloudfront.net/Documentos/631/29785894851/6312978589485111092023102334.pdf</v>
      </c>
      <c r="H6309" s="4" t="s">
        <v>14880</v>
      </c>
    </row>
    <row r="6310" spans="1:8" x14ac:dyDescent="0.25">
      <c r="A6310" s="2" t="s">
        <v>6337</v>
      </c>
      <c r="B6310" s="3"/>
      <c r="C6310" s="3"/>
      <c r="D6310" s="3"/>
      <c r="E6310" s="5" t="str">
        <f>HYPERLINK("https://dpmzos25m8ivg.cloudfront.net/Documentos/631/29793387882/6312979338788205092023203753.jpg","https://dpmzos25m8ivg.cloudfront.net/Documentos/631/29793387882/6312979338788205092023203753.jpg")</f>
        <v>https://dpmzos25m8ivg.cloudfront.net/Documentos/631/29793387882/6312979338788205092023203753.jpg</v>
      </c>
      <c r="F6310" s="5" t="str">
        <f>HYPERLINK("https://dpmzos25m8ivg.cloudfront.net/Documentos/631/29793387882/6312979338788205092023203813.jpg","https://dpmzos25m8ivg.cloudfront.net/Documentos/631/29793387882/6312979338788205092023203813.jpg")</f>
        <v>https://dpmzos25m8ivg.cloudfront.net/Documentos/631/29793387882/6312979338788205092023203813.jpg</v>
      </c>
      <c r="G6310" s="5" t="str">
        <f>HYPERLINK("https://dpmzos25m8ivg.cloudfront.net/Documentos/631/29793387882/6312979338788205092023203828.jpg","https://dpmzos25m8ivg.cloudfront.net/Documentos/631/29793387882/6312979338788205092023203828.jpg")</f>
        <v>https://dpmzos25m8ivg.cloudfront.net/Documentos/631/29793387882/6312979338788205092023203828.jpg</v>
      </c>
      <c r="H6310" s="4" t="s">
        <v>14881</v>
      </c>
    </row>
    <row r="6311" spans="1:8" x14ac:dyDescent="0.25">
      <c r="A6311" s="11" t="s">
        <v>6338</v>
      </c>
      <c r="B6311" s="19" t="s">
        <v>3385</v>
      </c>
      <c r="C6311" s="3"/>
      <c r="D6311" s="3"/>
      <c r="E6311" s="5" t="str">
        <f>HYPERLINK("https://dpmzos25m8ivg.cloudfront.net/Documentos/631/29835011168/6312983501116810092023223704.pdf","https://dpmzos25m8ivg.cloudfront.net/Documentos/631/29835011168/6312983501116810092023223704.pdf")</f>
        <v>https://dpmzos25m8ivg.cloudfront.net/Documentos/631/29835011168/6312983501116810092023223704.pdf</v>
      </c>
      <c r="F6311" s="5" t="str">
        <f>HYPERLINK("https://dpmzos25m8ivg.cloudfront.net/Documentos/631/29835011168/6312983501116810092023223730.pdf","https://dpmzos25m8ivg.cloudfront.net/Documentos/631/29835011168/6312983501116810092023223730.pdf")</f>
        <v>https://dpmzos25m8ivg.cloudfront.net/Documentos/631/29835011168/6312983501116810092023223730.pdf</v>
      </c>
      <c r="G6311" s="5" t="str">
        <f>HYPERLINK("https://dpmzos25m8ivg.cloudfront.net/Documentos/631/29835011168/6312983501116810092023223744.pdf","https://dpmzos25m8ivg.cloudfront.net/Documentos/631/29835011168/6312983501116810092023223744.pdf")</f>
        <v>https://dpmzos25m8ivg.cloudfront.net/Documentos/631/29835011168/6312983501116810092023223744.pdf</v>
      </c>
      <c r="H6311" s="4" t="s">
        <v>14882</v>
      </c>
    </row>
    <row r="6312" spans="1:8" x14ac:dyDescent="0.25">
      <c r="A6312" s="2" t="s">
        <v>6339</v>
      </c>
      <c r="B6312" s="3"/>
      <c r="C6312" s="3"/>
      <c r="D6312" s="3"/>
      <c r="E6312" s="5" t="str">
        <f>HYPERLINK("https://dpmzos25m8ivg.cloudfront.net/Documentos/631/29838699896/6312983869989607092023144241.jpg","https://dpmzos25m8ivg.cloudfront.net/Documentos/631/29838699896/6312983869989607092023144241.jpg")</f>
        <v>https://dpmzos25m8ivg.cloudfront.net/Documentos/631/29838699896/6312983869989607092023144241.jpg</v>
      </c>
      <c r="F6312" s="5" t="str">
        <f>HYPERLINK("https://dpmzos25m8ivg.cloudfront.net/Documentos/631/29838699896/6312983869989607092023144824.jpg","https://dpmzos25m8ivg.cloudfront.net/Documentos/631/29838699896/6312983869989607092023144824.jpg")</f>
        <v>https://dpmzos25m8ivg.cloudfront.net/Documentos/631/29838699896/6312983869989607092023144824.jpg</v>
      </c>
      <c r="G6312" s="5" t="str">
        <f>HYPERLINK("https://dpmzos25m8ivg.cloudfront.net/Documentos/631/29838699896/6312983869989607092023144842.jpg","https://dpmzos25m8ivg.cloudfront.net/Documentos/631/29838699896/6312983869989607092023144842.jpg")</f>
        <v>https://dpmzos25m8ivg.cloudfront.net/Documentos/631/29838699896/6312983869989607092023144842.jpg</v>
      </c>
      <c r="H6312" s="4" t="s">
        <v>14883</v>
      </c>
    </row>
    <row r="6313" spans="1:8" x14ac:dyDescent="0.25">
      <c r="A6313" s="2" t="s">
        <v>6340</v>
      </c>
      <c r="B6313" s="3"/>
      <c r="C6313" s="3"/>
      <c r="D6313" s="3"/>
      <c r="E6313" s="5" t="str">
        <f>HYPERLINK("https://dpmzos25m8ivg.cloudfront.net/Documentos/631/29884203865/6312988420386504092023174223.pdf","https://dpmzos25m8ivg.cloudfront.net/Documentos/631/29884203865/6312988420386504092023174223.pdf")</f>
        <v>https://dpmzos25m8ivg.cloudfront.net/Documentos/631/29884203865/6312988420386504092023174223.pdf</v>
      </c>
      <c r="F6313" s="5" t="str">
        <f>HYPERLINK("https://dpmzos25m8ivg.cloudfront.net/Documentos/631/29884203865/6312988420386504092023234328.pdf","https://dpmzos25m8ivg.cloudfront.net/Documentos/631/29884203865/6312988420386504092023234328.pdf")</f>
        <v>https://dpmzos25m8ivg.cloudfront.net/Documentos/631/29884203865/6312988420386504092023234328.pdf</v>
      </c>
      <c r="G6313" s="5" t="str">
        <f>HYPERLINK("https://dpmzos25m8ivg.cloudfront.net/Documentos/631/29884203865/6312988420386504092023234940.pdf","https://dpmzos25m8ivg.cloudfront.net/Documentos/631/29884203865/6312988420386504092023234940.pdf")</f>
        <v>https://dpmzos25m8ivg.cloudfront.net/Documentos/631/29884203865/6312988420386504092023234940.pdf</v>
      </c>
      <c r="H6313" s="4" t="s">
        <v>14884</v>
      </c>
    </row>
    <row r="6314" spans="1:8" x14ac:dyDescent="0.25">
      <c r="A6314" s="2" t="s">
        <v>6341</v>
      </c>
      <c r="B6314" s="3"/>
      <c r="C6314" s="3"/>
      <c r="D6314" s="3"/>
      <c r="E6314" s="5" t="str">
        <f>HYPERLINK("https://dpmzos25m8ivg.cloudfront.net/Documentos/631/29908379810/6312990837981005092023121329.pdf","https://dpmzos25m8ivg.cloudfront.net/Documentos/631/29908379810/6312990837981005092023121329.pdf")</f>
        <v>https://dpmzos25m8ivg.cloudfront.net/Documentos/631/29908379810/6312990837981005092023121329.pdf</v>
      </c>
      <c r="F6314" s="5" t="str">
        <f>HYPERLINK("https://dpmzos25m8ivg.cloudfront.net/Documentos/631/29908379810/6312990837981005092023121338.pdf","https://dpmzos25m8ivg.cloudfront.net/Documentos/631/29908379810/6312990837981005092023121338.pdf")</f>
        <v>https://dpmzos25m8ivg.cloudfront.net/Documentos/631/29908379810/6312990837981005092023121338.pdf</v>
      </c>
      <c r="G6314" s="5" t="str">
        <f>HYPERLINK("https://dpmzos25m8ivg.cloudfront.net/Documentos/631/29908379810/6312990837981005092023121345.pdf","https://dpmzos25m8ivg.cloudfront.net/Documentos/631/29908379810/6312990837981005092023121345.pdf")</f>
        <v>https://dpmzos25m8ivg.cloudfront.net/Documentos/631/29908379810/6312990837981005092023121345.pdf</v>
      </c>
      <c r="H6314" s="4" t="s">
        <v>14885</v>
      </c>
    </row>
    <row r="6315" spans="1:8" x14ac:dyDescent="0.25">
      <c r="A6315" s="2" t="s">
        <v>6342</v>
      </c>
      <c r="B6315" s="16" t="s">
        <v>2358</v>
      </c>
      <c r="C6315" s="3"/>
      <c r="D6315" s="3"/>
      <c r="E6315" s="5" t="str">
        <f>HYPERLINK("https://dpmzos25m8ivg.cloudfront.net/Documentos/631/29958881349/6312995888134911092023141316.pdf","https://dpmzos25m8ivg.cloudfront.net/Documentos/631/29958881349/6312995888134911092023141316.pdf")</f>
        <v>https://dpmzos25m8ivg.cloudfront.net/Documentos/631/29958881349/6312995888134911092023141316.pdf</v>
      </c>
      <c r="F6315" s="5" t="str">
        <f>HYPERLINK("https://dpmzos25m8ivg.cloudfront.net/Documentos/631/29958881349/6312995888134911092023141353.pdf","https://dpmzos25m8ivg.cloudfront.net/Documentos/631/29958881349/6312995888134911092023141353.pdf")</f>
        <v>https://dpmzos25m8ivg.cloudfront.net/Documentos/631/29958881349/6312995888134911092023141353.pdf</v>
      </c>
      <c r="G6315" s="5" t="str">
        <f>HYPERLINK("https://dpmzos25m8ivg.cloudfront.net/Documentos/631/29958881349/6312995888134911092023141420.pdf","https://dpmzos25m8ivg.cloudfront.net/Documentos/631/29958881349/6312995888134911092023141420.pdf")</f>
        <v>https://dpmzos25m8ivg.cloudfront.net/Documentos/631/29958881349/6312995888134911092023141420.pdf</v>
      </c>
      <c r="H6315" s="5" t="s">
        <v>14886</v>
      </c>
    </row>
    <row r="6316" spans="1:8" x14ac:dyDescent="0.25">
      <c r="A6316" s="2" t="s">
        <v>6343</v>
      </c>
      <c r="B6316" s="3"/>
      <c r="C6316" s="3"/>
      <c r="D6316" s="3"/>
      <c r="E6316" s="5" t="str">
        <f>HYPERLINK("https://dpmzos25m8ivg.cloudfront.net/Documentos/631/29994702823/6312999470282307092023121701.pdf","https://dpmzos25m8ivg.cloudfront.net/Documentos/631/29994702823/6312999470282307092023121701.pdf")</f>
        <v>https://dpmzos25m8ivg.cloudfront.net/Documentos/631/29994702823/6312999470282307092023121701.pdf</v>
      </c>
      <c r="F6316" s="5" t="str">
        <f>HYPERLINK("https://dpmzos25m8ivg.cloudfront.net/Documentos/631/29994702823/6312999470282307092023121907.pdf","https://dpmzos25m8ivg.cloudfront.net/Documentos/631/29994702823/6312999470282307092023121907.pdf")</f>
        <v>https://dpmzos25m8ivg.cloudfront.net/Documentos/631/29994702823/6312999470282307092023121907.pdf</v>
      </c>
      <c r="G6316" s="5" t="str">
        <f>HYPERLINK("https://dpmzos25m8ivg.cloudfront.net/Documentos/631/29994702823/6312999470282307092023121948.pdf","https://dpmzos25m8ivg.cloudfront.net/Documentos/631/29994702823/6312999470282307092023121948.pdf")</f>
        <v>https://dpmzos25m8ivg.cloudfront.net/Documentos/631/29994702823/6312999470282307092023121948.pdf</v>
      </c>
      <c r="H6316" s="4" t="s">
        <v>14887</v>
      </c>
    </row>
    <row r="6317" spans="1:8" x14ac:dyDescent="0.25">
      <c r="A6317" s="2" t="s">
        <v>6344</v>
      </c>
      <c r="B6317" s="3"/>
      <c r="C6317" s="3"/>
      <c r="D6317" s="3"/>
      <c r="E6317" s="5" t="str">
        <f>HYPERLINK("https://dpmzos25m8ivg.cloudfront.net/Documentos/631/29998229871/6312999822987110092023224022.pdf","https://dpmzos25m8ivg.cloudfront.net/Documentos/631/29998229871/6312999822987110092023224022.pdf")</f>
        <v>https://dpmzos25m8ivg.cloudfront.net/Documentos/631/29998229871/6312999822987110092023224022.pdf</v>
      </c>
      <c r="F6317" s="5" t="str">
        <f>HYPERLINK("https://dpmzos25m8ivg.cloudfront.net/Documentos/631/29998229871/6312999822987110092023224038.pdf","https://dpmzos25m8ivg.cloudfront.net/Documentos/631/29998229871/6312999822987110092023224038.pdf")</f>
        <v>https://dpmzos25m8ivg.cloudfront.net/Documentos/631/29998229871/6312999822987110092023224038.pdf</v>
      </c>
      <c r="G6317" s="5" t="str">
        <f>HYPERLINK("https://dpmzos25m8ivg.cloudfront.net/Documentos/631/29998229871/6312999822987110092023224057.pdf","https://dpmzos25m8ivg.cloudfront.net/Documentos/631/29998229871/6312999822987110092023224057.pdf")</f>
        <v>https://dpmzos25m8ivg.cloudfront.net/Documentos/631/29998229871/6312999822987110092023224057.pdf</v>
      </c>
      <c r="H6317" s="4" t="s">
        <v>14888</v>
      </c>
    </row>
    <row r="6318" spans="1:8" x14ac:dyDescent="0.25">
      <c r="A6318" s="2" t="s">
        <v>6345</v>
      </c>
      <c r="B6318" s="16" t="s">
        <v>2358</v>
      </c>
      <c r="C6318" s="3"/>
      <c r="D6318" s="3"/>
      <c r="E6318" s="5" t="str">
        <f>HYPERLINK("https://dpmzos25m8ivg.cloudfront.net/Documentos/631/30011521848/6313001152184806092023135718.pdf","https://dpmzos25m8ivg.cloudfront.net/Documentos/631/30011521848/6313001152184806092023135718.pdf")</f>
        <v>https://dpmzos25m8ivg.cloudfront.net/Documentos/631/30011521848/6313001152184806092023135718.pdf</v>
      </c>
      <c r="F6318" s="5" t="str">
        <f>HYPERLINK("https://dpmzos25m8ivg.cloudfront.net/Documentos/631/30011521848/6313001152184806092023135730.pdf","https://dpmzos25m8ivg.cloudfront.net/Documentos/631/30011521848/6313001152184806092023135730.pdf")</f>
        <v>https://dpmzos25m8ivg.cloudfront.net/Documentos/631/30011521848/6313001152184806092023135730.pdf</v>
      </c>
      <c r="G6318" s="5" t="str">
        <f>HYPERLINK("https://dpmzos25m8ivg.cloudfront.net/Documentos/631/30011521848/6313001152184806092023135741.pdf","https://dpmzos25m8ivg.cloudfront.net/Documentos/631/30011521848/6313001152184806092023135741.pdf")</f>
        <v>https://dpmzos25m8ivg.cloudfront.net/Documentos/631/30011521848/6313001152184806092023135741.pdf</v>
      </c>
      <c r="H6318" s="5" t="s">
        <v>14889</v>
      </c>
    </row>
    <row r="6319" spans="1:8" x14ac:dyDescent="0.25">
      <c r="A6319" s="2" t="s">
        <v>6346</v>
      </c>
      <c r="B6319" s="3"/>
      <c r="C6319" s="3"/>
      <c r="D6319" s="3"/>
      <c r="E6319" s="5" t="str">
        <f>HYPERLINK("https://dpmzos25m8ivg.cloudfront.net/Documentos/631/30032568827/6313003256882705092023143345.jpg","https://dpmzos25m8ivg.cloudfront.net/Documentos/631/30032568827/6313003256882705092023143345.jpg")</f>
        <v>https://dpmzos25m8ivg.cloudfront.net/Documentos/631/30032568827/6313003256882705092023143345.jpg</v>
      </c>
      <c r="F6319" s="5" t="str">
        <f>HYPERLINK("https://dpmzos25m8ivg.cloudfront.net/Documentos/631/30032568827/6313003256882705092023143622.jpg","https://dpmzos25m8ivg.cloudfront.net/Documentos/631/30032568827/6313003256882705092023143622.jpg")</f>
        <v>https://dpmzos25m8ivg.cloudfront.net/Documentos/631/30032568827/6313003256882705092023143622.jpg</v>
      </c>
      <c r="G6319" s="5" t="str">
        <f>HYPERLINK("https://dpmzos25m8ivg.cloudfront.net/Documentos/631/30032568827/6313003256882705092023143706.jpg","https://dpmzos25m8ivg.cloudfront.net/Documentos/631/30032568827/6313003256882705092023143706.jpg")</f>
        <v>https://dpmzos25m8ivg.cloudfront.net/Documentos/631/30032568827/6313003256882705092023143706.jpg</v>
      </c>
      <c r="H6319" s="4" t="s">
        <v>14890</v>
      </c>
    </row>
    <row r="6320" spans="1:8" x14ac:dyDescent="0.25">
      <c r="A6320" s="2" t="s">
        <v>6347</v>
      </c>
      <c r="B6320" s="3" t="s">
        <v>8</v>
      </c>
      <c r="C6320" s="3"/>
      <c r="D6320" s="3"/>
      <c r="E6320" s="5" t="str">
        <f>HYPERLINK("https://dpmzos25m8ivg.cloudfront.net/Documentos/631/30036075884/6313003607588409092023212413.pdf","https://dpmzos25m8ivg.cloudfront.net/Documentos/631/30036075884/6313003607588409092023212413.pdf")</f>
        <v>https://dpmzos25m8ivg.cloudfront.net/Documentos/631/30036075884/6313003607588409092023212413.pdf</v>
      </c>
      <c r="F6320" s="5" t="str">
        <f>HYPERLINK("https://dpmzos25m8ivg.cloudfront.net/Documentos/631/30036075884/6313003607588409092023212428.pdf","https://dpmzos25m8ivg.cloudfront.net/Documentos/631/30036075884/6313003607588409092023212428.pdf")</f>
        <v>https://dpmzos25m8ivg.cloudfront.net/Documentos/631/30036075884/6313003607588409092023212428.pdf</v>
      </c>
      <c r="G6320" s="5" t="str">
        <f>HYPERLINK("https://dpmzos25m8ivg.cloudfront.net/Documentos/631/30036075884/6313003607588409092023212443.pdf","https://dpmzos25m8ivg.cloudfront.net/Documentos/631/30036075884/6313003607588409092023212443.pdf")</f>
        <v>https://dpmzos25m8ivg.cloudfront.net/Documentos/631/30036075884/6313003607588409092023212443.pdf</v>
      </c>
      <c r="H6320" s="4" t="s">
        <v>14891</v>
      </c>
    </row>
    <row r="6321" spans="1:8" x14ac:dyDescent="0.25">
      <c r="A6321" s="2" t="s">
        <v>6348</v>
      </c>
      <c r="B6321" s="3"/>
      <c r="C6321" s="3"/>
      <c r="D6321" s="3"/>
      <c r="E6321" s="5" t="str">
        <f>HYPERLINK("https://dpmzos25m8ivg.cloudfront.net/Documentos/631/30041188829/6313004118882905092023144805.pdf","https://dpmzos25m8ivg.cloudfront.net/Documentos/631/30041188829/6313004118882905092023144805.pdf")</f>
        <v>https://dpmzos25m8ivg.cloudfront.net/Documentos/631/30041188829/6313004118882905092023144805.pdf</v>
      </c>
      <c r="F6321" s="5" t="str">
        <f>HYPERLINK("https://dpmzos25m8ivg.cloudfront.net/Documentos/631/30041188829/6313004118882905092023144834.pdf","https://dpmzos25m8ivg.cloudfront.net/Documentos/631/30041188829/6313004118882905092023144834.pdf")</f>
        <v>https://dpmzos25m8ivg.cloudfront.net/Documentos/631/30041188829/6313004118882905092023144834.pdf</v>
      </c>
      <c r="G6321" s="5" t="str">
        <f>HYPERLINK("https://dpmzos25m8ivg.cloudfront.net/Documentos/631/30041188829/6313004118882905092023144859.pdf","https://dpmzos25m8ivg.cloudfront.net/Documentos/631/30041188829/6313004118882905092023144859.pdf")</f>
        <v>https://dpmzos25m8ivg.cloudfront.net/Documentos/631/30041188829/6313004118882905092023144859.pdf</v>
      </c>
      <c r="H6321" s="4" t="s">
        <v>14892</v>
      </c>
    </row>
    <row r="6322" spans="1:8" x14ac:dyDescent="0.25">
      <c r="A6322" s="2" t="s">
        <v>6349</v>
      </c>
      <c r="B6322" s="16" t="s">
        <v>2358</v>
      </c>
      <c r="C6322" s="3"/>
      <c r="D6322" s="3"/>
      <c r="E6322" s="5" t="str">
        <f>HYPERLINK("https://dpmzos25m8ivg.cloudfront.net/Documentos/631/30051969840/6313005196984010092023125913.pdf","https://dpmzos25m8ivg.cloudfront.net/Documentos/631/30051969840/6313005196984010092023125913.pdf")</f>
        <v>https://dpmzos25m8ivg.cloudfront.net/Documentos/631/30051969840/6313005196984010092023125913.pdf</v>
      </c>
      <c r="F6322" s="5" t="str">
        <f>HYPERLINK("https://dpmzos25m8ivg.cloudfront.net/Documentos/631/30051969840/6313005196984010092023123350.pdf","https://dpmzos25m8ivg.cloudfront.net/Documentos/631/30051969840/6313005196984010092023123350.pdf")</f>
        <v>https://dpmzos25m8ivg.cloudfront.net/Documentos/631/30051969840/6313005196984010092023123350.pdf</v>
      </c>
      <c r="G6322" s="5" t="str">
        <f>HYPERLINK("https://dpmzos25m8ivg.cloudfront.net/Documentos/631/30051969840/6313005196984010092023123403.pdf","https://dpmzos25m8ivg.cloudfront.net/Documentos/631/30051969840/6313005196984010092023123403.pdf")</f>
        <v>https://dpmzos25m8ivg.cloudfront.net/Documentos/631/30051969840/6313005196984010092023123403.pdf</v>
      </c>
      <c r="H6322" s="5" t="s">
        <v>14893</v>
      </c>
    </row>
    <row r="6323" spans="1:8" x14ac:dyDescent="0.25">
      <c r="A6323" s="2" t="s">
        <v>6350</v>
      </c>
      <c r="B6323" s="3"/>
      <c r="C6323" s="3"/>
      <c r="D6323" s="3"/>
      <c r="E6323" s="5" t="str">
        <f>HYPERLINK("https://dpmzos25m8ivg.cloudfront.net/Documentos/631/30122416805/6313012241680509092023000622.pdf","https://dpmzos25m8ivg.cloudfront.net/Documentos/631/30122416805/6313012241680509092023000622.pdf")</f>
        <v>https://dpmzos25m8ivg.cloudfront.net/Documentos/631/30122416805/6313012241680509092023000622.pdf</v>
      </c>
      <c r="F6323" s="5" t="str">
        <f>HYPERLINK("https://dpmzos25m8ivg.cloudfront.net/Documentos/631/30122416805/6313012241680509092023000655.pdf","https://dpmzos25m8ivg.cloudfront.net/Documentos/631/30122416805/6313012241680509092023000655.pdf")</f>
        <v>https://dpmzos25m8ivg.cloudfront.net/Documentos/631/30122416805/6313012241680509092023000655.pdf</v>
      </c>
      <c r="G6323" s="5" t="str">
        <f>HYPERLINK("https://dpmzos25m8ivg.cloudfront.net/Documentos/631/30122416805/6313012241680509092023000714.pdf","https://dpmzos25m8ivg.cloudfront.net/Documentos/631/30122416805/6313012241680509092023000714.pdf")</f>
        <v>https://dpmzos25m8ivg.cloudfront.net/Documentos/631/30122416805/6313012241680509092023000714.pdf</v>
      </c>
      <c r="H6323" s="4" t="s">
        <v>14894</v>
      </c>
    </row>
    <row r="6324" spans="1:8" x14ac:dyDescent="0.25">
      <c r="A6324" s="2" t="s">
        <v>6351</v>
      </c>
      <c r="B6324" s="3"/>
      <c r="C6324" s="3"/>
      <c r="D6324" s="3"/>
      <c r="E6324" s="5" t="str">
        <f>HYPERLINK("https://dpmzos25m8ivg.cloudfront.net/Documentos/631/30127765832/6313012776583211092023130518.pdf","https://dpmzos25m8ivg.cloudfront.net/Documentos/631/30127765832/6313012776583211092023130518.pdf")</f>
        <v>https://dpmzos25m8ivg.cloudfront.net/Documentos/631/30127765832/6313012776583211092023130518.pdf</v>
      </c>
      <c r="F6324" s="5" t="str">
        <f>HYPERLINK("https://dpmzos25m8ivg.cloudfront.net/Documentos/631/30127765832/6313012776583211092023130604.pdf","https://dpmzos25m8ivg.cloudfront.net/Documentos/631/30127765832/6313012776583211092023130604.pdf")</f>
        <v>https://dpmzos25m8ivg.cloudfront.net/Documentos/631/30127765832/6313012776583211092023130604.pdf</v>
      </c>
      <c r="G6324" s="5" t="str">
        <f>HYPERLINK("https://dpmzos25m8ivg.cloudfront.net/Documentos/631/30127765832/6313012776583211092023130645.pdf","https://dpmzos25m8ivg.cloudfront.net/Documentos/631/30127765832/6313012776583211092023130645.pdf")</f>
        <v>https://dpmzos25m8ivg.cloudfront.net/Documentos/631/30127765832/6313012776583211092023130645.pdf</v>
      </c>
      <c r="H6324" s="4" t="s">
        <v>14895</v>
      </c>
    </row>
    <row r="6325" spans="1:8" x14ac:dyDescent="0.25">
      <c r="A6325" s="2" t="s">
        <v>6352</v>
      </c>
      <c r="B6325" s="3"/>
      <c r="C6325" s="3"/>
      <c r="D6325" s="3"/>
      <c r="E6325" s="5" t="str">
        <f>HYPERLINK("https://dpmzos25m8ivg.cloudfront.net/Documentos/631/30145524884/6313014552488406092023185044.pdf","https://dpmzos25m8ivg.cloudfront.net/Documentos/631/30145524884/6313014552488406092023185044.pdf")</f>
        <v>https://dpmzos25m8ivg.cloudfront.net/Documentos/631/30145524884/6313014552488406092023185044.pdf</v>
      </c>
      <c r="F6325" s="5" t="str">
        <f>HYPERLINK("https://dpmzos25m8ivg.cloudfront.net/Documentos/631/30145524884/6313014552488406092023185103.pdf","https://dpmzos25m8ivg.cloudfront.net/Documentos/631/30145524884/6313014552488406092023185103.pdf")</f>
        <v>https://dpmzos25m8ivg.cloudfront.net/Documentos/631/30145524884/6313014552488406092023185103.pdf</v>
      </c>
      <c r="G6325" s="5" t="str">
        <f>HYPERLINK("https://dpmzos25m8ivg.cloudfront.net/Documentos/631/30145524884/6313014552488406092023185126.pdf","https://dpmzos25m8ivg.cloudfront.net/Documentos/631/30145524884/6313014552488406092023185126.pdf")</f>
        <v>https://dpmzos25m8ivg.cloudfront.net/Documentos/631/30145524884/6313014552488406092023185126.pdf</v>
      </c>
      <c r="H6325" s="4" t="s">
        <v>14896</v>
      </c>
    </row>
    <row r="6326" spans="1:8" x14ac:dyDescent="0.25">
      <c r="A6326" s="2" t="s">
        <v>6353</v>
      </c>
      <c r="B6326" s="3" t="s">
        <v>8</v>
      </c>
      <c r="C6326" s="3"/>
      <c r="D6326" s="3"/>
      <c r="E6326" s="5" t="str">
        <f>HYPERLINK("https://dpmzos25m8ivg.cloudfront.net/Documentos/631/30156152894/6313015615289405092023163528.pdf","https://dpmzos25m8ivg.cloudfront.net/Documentos/631/30156152894/6313015615289405092023163528.pdf")</f>
        <v>https://dpmzos25m8ivg.cloudfront.net/Documentos/631/30156152894/6313015615289405092023163528.pdf</v>
      </c>
      <c r="F6326" s="5" t="str">
        <f>HYPERLINK("https://dpmzos25m8ivg.cloudfront.net/Documentos/631/30156152894/6313015615289405092023163557.pdf","https://dpmzos25m8ivg.cloudfront.net/Documentos/631/30156152894/6313015615289405092023163557.pdf")</f>
        <v>https://dpmzos25m8ivg.cloudfront.net/Documentos/631/30156152894/6313015615289405092023163557.pdf</v>
      </c>
      <c r="G6326" s="5" t="str">
        <f>HYPERLINK("https://dpmzos25m8ivg.cloudfront.net/Documentos/631/30156152894/6313015615289405092023163618.pdf","https://dpmzos25m8ivg.cloudfront.net/Documentos/631/30156152894/6313015615289405092023163618.pdf")</f>
        <v>https://dpmzos25m8ivg.cloudfront.net/Documentos/631/30156152894/6313015615289405092023163618.pdf</v>
      </c>
      <c r="H6326" s="4" t="s">
        <v>14897</v>
      </c>
    </row>
    <row r="6327" spans="1:8" x14ac:dyDescent="0.25">
      <c r="A6327" s="2" t="s">
        <v>6354</v>
      </c>
      <c r="B6327" s="3"/>
      <c r="C6327" s="3"/>
      <c r="D6327" s="3"/>
      <c r="E6327" s="5" t="str">
        <f>HYPERLINK("https://dpmzos25m8ivg.cloudfront.net/Documentos/631/30169513807/6313016951380711092023145741.pdf","https://dpmzos25m8ivg.cloudfront.net/Documentos/631/30169513807/6313016951380711092023145741.pdf")</f>
        <v>https://dpmzos25m8ivg.cloudfront.net/Documentos/631/30169513807/6313016951380711092023145741.pdf</v>
      </c>
      <c r="F6327" s="5" t="str">
        <f>HYPERLINK("https://dpmzos25m8ivg.cloudfront.net/Documentos/631/30169513807/6313016951380711092023145811.pdf","https://dpmzos25m8ivg.cloudfront.net/Documentos/631/30169513807/6313016951380711092023145811.pdf")</f>
        <v>https://dpmzos25m8ivg.cloudfront.net/Documentos/631/30169513807/6313016951380711092023145811.pdf</v>
      </c>
      <c r="G6327" s="5" t="str">
        <f>HYPERLINK("https://dpmzos25m8ivg.cloudfront.net/Documentos/631/30169513807/6313016951380711092023145825.pdf","https://dpmzos25m8ivg.cloudfront.net/Documentos/631/30169513807/6313016951380711092023145825.pdf")</f>
        <v>https://dpmzos25m8ivg.cloudfront.net/Documentos/631/30169513807/6313016951380711092023145825.pdf</v>
      </c>
      <c r="H6327" s="4" t="s">
        <v>14898</v>
      </c>
    </row>
    <row r="6328" spans="1:8" x14ac:dyDescent="0.25">
      <c r="A6328" s="2" t="s">
        <v>6355</v>
      </c>
      <c r="B6328" s="3"/>
      <c r="C6328" s="3"/>
      <c r="D6328" s="3"/>
      <c r="E6328" s="5" t="str">
        <f>HYPERLINK("https://dpmzos25m8ivg.cloudfront.net/Documentos/631/30214003884/6313021400388414092023101435.pdf","https://dpmzos25m8ivg.cloudfront.net/Documentos/631/30214003884/6313021400388414092023101435.pdf")</f>
        <v>https://dpmzos25m8ivg.cloudfront.net/Documentos/631/30214003884/6313021400388414092023101435.pdf</v>
      </c>
      <c r="F6328" s="5" t="str">
        <f>HYPERLINK("https://dpmzos25m8ivg.cloudfront.net/Documentos/631/30214003884/6313021400388414092023101524.pdf","https://dpmzos25m8ivg.cloudfront.net/Documentos/631/30214003884/6313021400388414092023101524.pdf")</f>
        <v>https://dpmzos25m8ivg.cloudfront.net/Documentos/631/30214003884/6313021400388414092023101524.pdf</v>
      </c>
      <c r="G6328" s="5" t="str">
        <f>HYPERLINK("https://dpmzos25m8ivg.cloudfront.net/Documentos/631/30214003884/6313021400388414092023101738.pdf","https://dpmzos25m8ivg.cloudfront.net/Documentos/631/30214003884/6313021400388414092023101738.pdf")</f>
        <v>https://dpmzos25m8ivg.cloudfront.net/Documentos/631/30214003884/6313021400388414092023101738.pdf</v>
      </c>
      <c r="H6328" s="4" t="s">
        <v>14899</v>
      </c>
    </row>
    <row r="6329" spans="1:8" x14ac:dyDescent="0.25">
      <c r="A6329" s="2" t="s">
        <v>6356</v>
      </c>
      <c r="B6329" s="3"/>
      <c r="C6329" s="3"/>
      <c r="D6329" s="3"/>
      <c r="E6329" s="5" t="str">
        <f>HYPERLINK("https://dpmzos25m8ivg.cloudfront.net/Documentos/631/30244663807/6313024466380708092023124007.jpeg","https://dpmzos25m8ivg.cloudfront.net/Documentos/631/30244663807/6313024466380708092023124007.jpeg")</f>
        <v>https://dpmzos25m8ivg.cloudfront.net/Documentos/631/30244663807/6313024466380708092023124007.jpeg</v>
      </c>
      <c r="F6329" s="5" t="str">
        <f>HYPERLINK("https://dpmzos25m8ivg.cloudfront.net/Documentos/631/30244663807/6313024466380708092023124023.jpeg","https://dpmzos25m8ivg.cloudfront.net/Documentos/631/30244663807/6313024466380708092023124023.jpeg")</f>
        <v>https://dpmzos25m8ivg.cloudfront.net/Documentos/631/30244663807/6313024466380708092023124023.jpeg</v>
      </c>
      <c r="G6329" s="5" t="str">
        <f>HYPERLINK("https://dpmzos25m8ivg.cloudfront.net/Documentos/631/30244663807/6313024466380708092023124033.jpeg","https://dpmzos25m8ivg.cloudfront.net/Documentos/631/30244663807/6313024466380708092023124033.jpeg")</f>
        <v>https://dpmzos25m8ivg.cloudfront.net/Documentos/631/30244663807/6313024466380708092023124033.jpeg</v>
      </c>
      <c r="H6329" s="4" t="s">
        <v>14900</v>
      </c>
    </row>
    <row r="6330" spans="1:8" x14ac:dyDescent="0.25">
      <c r="A6330" s="2" t="s">
        <v>6357</v>
      </c>
      <c r="B6330" s="3"/>
      <c r="C6330" s="3"/>
      <c r="D6330" s="3"/>
      <c r="E6330" s="5" t="str">
        <f>HYPERLINK("https://dpmzos25m8ivg.cloudfront.net/Documentos/631/30311433880/6313031143388010092023190459.jpg","https://dpmzos25m8ivg.cloudfront.net/Documentos/631/30311433880/6313031143388010092023190459.jpg")</f>
        <v>https://dpmzos25m8ivg.cloudfront.net/Documentos/631/30311433880/6313031143388010092023190459.jpg</v>
      </c>
      <c r="F6330" s="5" t="str">
        <f>HYPERLINK("https://dpmzos25m8ivg.cloudfront.net/Documentos/631/30311433880/6313031143388010092023190519.jpg","https://dpmzos25m8ivg.cloudfront.net/Documentos/631/30311433880/6313031143388010092023190519.jpg")</f>
        <v>https://dpmzos25m8ivg.cloudfront.net/Documentos/631/30311433880/6313031143388010092023190519.jpg</v>
      </c>
      <c r="G6330" s="5" t="str">
        <f>HYPERLINK("https://dpmzos25m8ivg.cloudfront.net/Documentos/631/30311433880/6313031143388010092023190533.jpg","https://dpmzos25m8ivg.cloudfront.net/Documentos/631/30311433880/6313031143388010092023190533.jpg")</f>
        <v>https://dpmzos25m8ivg.cloudfront.net/Documentos/631/30311433880/6313031143388010092023190533.jpg</v>
      </c>
      <c r="H6330" s="4" t="s">
        <v>14901</v>
      </c>
    </row>
    <row r="6331" spans="1:8" x14ac:dyDescent="0.25">
      <c r="A6331" s="11" t="s">
        <v>6358</v>
      </c>
      <c r="B6331" s="19" t="s">
        <v>3385</v>
      </c>
      <c r="C6331" s="3"/>
      <c r="D6331" s="3"/>
      <c r="E6331" s="5" t="str">
        <f>HYPERLINK("https://dpmzos25m8ivg.cloudfront.net/Documentos/631/30331624877/6313033162487714092023164050.pdf","https://dpmzos25m8ivg.cloudfront.net/Documentos/631/30331624877/6313033162487714092023164050.pdf")</f>
        <v>https://dpmzos25m8ivg.cloudfront.net/Documentos/631/30331624877/6313033162487714092023164050.pdf</v>
      </c>
      <c r="F6331" s="5" t="str">
        <f>HYPERLINK("https://dpmzos25m8ivg.cloudfront.net/Documentos/631/30331624877/6313033162487714092023164102.pdf","https://dpmzos25m8ivg.cloudfront.net/Documentos/631/30331624877/6313033162487714092023164102.pdf")</f>
        <v>https://dpmzos25m8ivg.cloudfront.net/Documentos/631/30331624877/6313033162487714092023164102.pdf</v>
      </c>
      <c r="G6331" s="5" t="str">
        <f>HYPERLINK("https://dpmzos25m8ivg.cloudfront.net/Documentos/631/30331624877/6313033162487714092023164113.pdf","https://dpmzos25m8ivg.cloudfront.net/Documentos/631/30331624877/6313033162487714092023164113.pdf")</f>
        <v>https://dpmzos25m8ivg.cloudfront.net/Documentos/631/30331624877/6313033162487714092023164113.pdf</v>
      </c>
      <c r="H6331" s="4" t="s">
        <v>14902</v>
      </c>
    </row>
    <row r="6332" spans="1:8" x14ac:dyDescent="0.25">
      <c r="A6332" s="2" t="s">
        <v>6359</v>
      </c>
      <c r="B6332" s="3"/>
      <c r="C6332" s="3"/>
      <c r="D6332" s="3"/>
      <c r="E6332" s="5" t="str">
        <f>HYPERLINK("https://dpmzos25m8ivg.cloudfront.net/Documentos/631/30345986881/6313034598688111092023123939.pdf","https://dpmzos25m8ivg.cloudfront.net/Documentos/631/30345986881/6313034598688111092023123939.pdf")</f>
        <v>https://dpmzos25m8ivg.cloudfront.net/Documentos/631/30345986881/6313034598688111092023123939.pdf</v>
      </c>
      <c r="F6332" s="5" t="str">
        <f>HYPERLINK("https://dpmzos25m8ivg.cloudfront.net/Documentos/631/30345986881/6313034598688111092023124246.pdf","https://dpmzos25m8ivg.cloudfront.net/Documentos/631/30345986881/6313034598688111092023124246.pdf")</f>
        <v>https://dpmzos25m8ivg.cloudfront.net/Documentos/631/30345986881/6313034598688111092023124246.pdf</v>
      </c>
      <c r="G6332" s="5" t="str">
        <f>HYPERLINK("https://dpmzos25m8ivg.cloudfront.net/Documentos/631/30345986881/6313034598688111092023124754.pdf","https://dpmzos25m8ivg.cloudfront.net/Documentos/631/30345986881/6313034598688111092023124754.pdf")</f>
        <v>https://dpmzos25m8ivg.cloudfront.net/Documentos/631/30345986881/6313034598688111092023124754.pdf</v>
      </c>
      <c r="H6332" s="4" t="s">
        <v>14903</v>
      </c>
    </row>
    <row r="6333" spans="1:8" x14ac:dyDescent="0.25">
      <c r="A6333" s="2" t="s">
        <v>6360</v>
      </c>
      <c r="B6333" s="3"/>
      <c r="C6333" s="3"/>
      <c r="D6333" s="3"/>
      <c r="E6333" s="5" t="str">
        <f>HYPERLINK("https://dpmzos25m8ivg.cloudfront.net/Documentos/631/30346620848/6313034662084807092023221034.pdf","https://dpmzos25m8ivg.cloudfront.net/Documentos/631/30346620848/6313034662084807092023221034.pdf")</f>
        <v>https://dpmzos25m8ivg.cloudfront.net/Documentos/631/30346620848/6313034662084807092023221034.pdf</v>
      </c>
      <c r="F6333" s="5" t="str">
        <f>HYPERLINK("https://dpmzos25m8ivg.cloudfront.net/Documentos/631/30346620848/6313034662084807092023221052.pdf","https://dpmzos25m8ivg.cloudfront.net/Documentos/631/30346620848/6313034662084807092023221052.pdf")</f>
        <v>https://dpmzos25m8ivg.cloudfront.net/Documentos/631/30346620848/6313034662084807092023221052.pdf</v>
      </c>
      <c r="G6333" s="5" t="str">
        <f>HYPERLINK("https://dpmzos25m8ivg.cloudfront.net/Documentos/631/30346620848/6313034662084807092023221109.pdf","https://dpmzos25m8ivg.cloudfront.net/Documentos/631/30346620848/6313034662084807092023221109.pdf")</f>
        <v>https://dpmzos25m8ivg.cloudfront.net/Documentos/631/30346620848/6313034662084807092023221109.pdf</v>
      </c>
      <c r="H6333" s="4" t="s">
        <v>14904</v>
      </c>
    </row>
    <row r="6334" spans="1:8" x14ac:dyDescent="0.25">
      <c r="A6334" s="2" t="s">
        <v>6361</v>
      </c>
      <c r="B6334" s="3"/>
      <c r="C6334" s="3"/>
      <c r="D6334" s="3"/>
      <c r="E6334" s="5" t="str">
        <f>HYPERLINK("https://dpmzos25m8ivg.cloudfront.net/Documentos/631/30391408844/6313039140884405092023095053.jpeg","https://dpmzos25m8ivg.cloudfront.net/Documentos/631/30391408844/6313039140884405092023095053.jpeg")</f>
        <v>https://dpmzos25m8ivg.cloudfront.net/Documentos/631/30391408844/6313039140884405092023095053.jpeg</v>
      </c>
      <c r="F6334" s="5" t="str">
        <f>HYPERLINK("https://dpmzos25m8ivg.cloudfront.net/Documentos/631/30391408844/6313039140884405092023095034.jpeg","https://dpmzos25m8ivg.cloudfront.net/Documentos/631/30391408844/6313039140884405092023095034.jpeg")</f>
        <v>https://dpmzos25m8ivg.cloudfront.net/Documentos/631/30391408844/6313039140884405092023095034.jpeg</v>
      </c>
      <c r="G6334" s="5" t="str">
        <f>HYPERLINK("https://dpmzos25m8ivg.cloudfront.net/Documentos/631/30391408844/6313039140884405092023095109.jpeg","https://dpmzos25m8ivg.cloudfront.net/Documentos/631/30391408844/6313039140884405092023095109.jpeg")</f>
        <v>https://dpmzos25m8ivg.cloudfront.net/Documentos/631/30391408844/6313039140884405092023095109.jpeg</v>
      </c>
      <c r="H6334" s="4" t="s">
        <v>14905</v>
      </c>
    </row>
    <row r="6335" spans="1:8" x14ac:dyDescent="0.25">
      <c r="A6335" s="2" t="s">
        <v>6362</v>
      </c>
      <c r="B6335" s="16" t="s">
        <v>2358</v>
      </c>
      <c r="C6335" s="3"/>
      <c r="D6335" s="3"/>
      <c r="E6335" s="5" t="str">
        <f>HYPERLINK("https://dpmzos25m8ivg.cloudfront.net/Documentos/631/30403420881/6313040342088105092023235011.jpg","https://dpmzos25m8ivg.cloudfront.net/Documentos/631/30403420881/6313040342088105092023235011.jpg")</f>
        <v>https://dpmzos25m8ivg.cloudfront.net/Documentos/631/30403420881/6313040342088105092023235011.jpg</v>
      </c>
      <c r="F6335" s="5" t="str">
        <f>HYPERLINK("https://dpmzos25m8ivg.cloudfront.net/Documentos/631/30403420881/6313040342088105092023235029.jpg","https://dpmzos25m8ivg.cloudfront.net/Documentos/631/30403420881/6313040342088105092023235029.jpg")</f>
        <v>https://dpmzos25m8ivg.cloudfront.net/Documentos/631/30403420881/6313040342088105092023235029.jpg</v>
      </c>
      <c r="G6335" s="5" t="str">
        <f>HYPERLINK("https://dpmzos25m8ivg.cloudfront.net/Documentos/631/30403420881/6313040342088105092023235049.jpg","https://dpmzos25m8ivg.cloudfront.net/Documentos/631/30403420881/6313040342088105092023235049.jpg")</f>
        <v>https://dpmzos25m8ivg.cloudfront.net/Documentos/631/30403420881/6313040342088105092023235049.jpg</v>
      </c>
      <c r="H6335" s="5" t="s">
        <v>14906</v>
      </c>
    </row>
    <row r="6336" spans="1:8" x14ac:dyDescent="0.25">
      <c r="A6336" s="2" t="s">
        <v>6363</v>
      </c>
      <c r="B6336" s="3"/>
      <c r="C6336" s="3"/>
      <c r="D6336" s="3"/>
      <c r="E6336" s="5" t="str">
        <f>HYPERLINK("https://dpmzos25m8ivg.cloudfront.net/Documentos/631/30412035880/6313041203588013092023225259.jpg","https://dpmzos25m8ivg.cloudfront.net/Documentos/631/30412035880/6313041203588013092023225259.jpg")</f>
        <v>https://dpmzos25m8ivg.cloudfront.net/Documentos/631/30412035880/6313041203588013092023225259.jpg</v>
      </c>
      <c r="F6336" s="5" t="str">
        <f>HYPERLINK("https://dpmzos25m8ivg.cloudfront.net/Documentos/631/30412035880/6313041203588013092023225327.jpg","https://dpmzos25m8ivg.cloudfront.net/Documentos/631/30412035880/6313041203588013092023225327.jpg")</f>
        <v>https://dpmzos25m8ivg.cloudfront.net/Documentos/631/30412035880/6313041203588013092023225327.jpg</v>
      </c>
      <c r="G6336" s="5" t="str">
        <f>HYPERLINK("https://dpmzos25m8ivg.cloudfront.net/Documentos/631/30412035880/6313041203588013092023225355.jpg","https://dpmzos25m8ivg.cloudfront.net/Documentos/631/30412035880/6313041203588013092023225355.jpg")</f>
        <v>https://dpmzos25m8ivg.cloudfront.net/Documentos/631/30412035880/6313041203588013092023225355.jpg</v>
      </c>
      <c r="H6336" s="4" t="s">
        <v>14907</v>
      </c>
    </row>
    <row r="6337" spans="1:8" x14ac:dyDescent="0.25">
      <c r="A6337" s="2" t="s">
        <v>6364</v>
      </c>
      <c r="B6337" s="3"/>
      <c r="C6337" s="3"/>
      <c r="D6337" s="3"/>
      <c r="E6337" s="5" t="str">
        <f>HYPERLINK("https://dpmzos25m8ivg.cloudfront.net/Documentos/631/30441780881/6313044178088111092023122338.pdf","https://dpmzos25m8ivg.cloudfront.net/Documentos/631/30441780881/6313044178088111092023122338.pdf")</f>
        <v>https://dpmzos25m8ivg.cloudfront.net/Documentos/631/30441780881/6313044178088111092023122338.pdf</v>
      </c>
      <c r="F6337" s="5" t="str">
        <f>HYPERLINK("https://dpmzos25m8ivg.cloudfront.net/Documentos/631/30441780881/6313044178088111092023122346.pdf","https://dpmzos25m8ivg.cloudfront.net/Documentos/631/30441780881/6313044178088111092023122346.pdf")</f>
        <v>https://dpmzos25m8ivg.cloudfront.net/Documentos/631/30441780881/6313044178088111092023122346.pdf</v>
      </c>
      <c r="G6337" s="5" t="str">
        <f>HYPERLINK("https://dpmzos25m8ivg.cloudfront.net/Documentos/631/30441780881/6313044178088111092023122357.pdf","https://dpmzos25m8ivg.cloudfront.net/Documentos/631/30441780881/6313044178088111092023122357.pdf")</f>
        <v>https://dpmzos25m8ivg.cloudfront.net/Documentos/631/30441780881/6313044178088111092023122357.pdf</v>
      </c>
      <c r="H6337" s="4" t="s">
        <v>14908</v>
      </c>
    </row>
    <row r="6338" spans="1:8" x14ac:dyDescent="0.25">
      <c r="A6338" s="2" t="s">
        <v>6365</v>
      </c>
      <c r="B6338" s="16" t="s">
        <v>2358</v>
      </c>
      <c r="C6338" s="3"/>
      <c r="D6338" s="3"/>
      <c r="E6338" s="5" t="str">
        <f>HYPERLINK("https://dpmzos25m8ivg.cloudfront.net/Documentos/631/30447923803/6313044792380313092023213344.pdf","https://dpmzos25m8ivg.cloudfront.net/Documentos/631/30447923803/6313044792380313092023213344.pdf")</f>
        <v>https://dpmzos25m8ivg.cloudfront.net/Documentos/631/30447923803/6313044792380313092023213344.pdf</v>
      </c>
      <c r="F6338" s="5" t="str">
        <f>HYPERLINK("https://dpmzos25m8ivg.cloudfront.net/Documentos/631/30447923803/6313044792380313092023213358.pdf","https://dpmzos25m8ivg.cloudfront.net/Documentos/631/30447923803/6313044792380313092023213358.pdf")</f>
        <v>https://dpmzos25m8ivg.cloudfront.net/Documentos/631/30447923803/6313044792380313092023213358.pdf</v>
      </c>
      <c r="G6338" s="5" t="str">
        <f>HYPERLINK("https://dpmzos25m8ivg.cloudfront.net/Documentos/631/30447923803/6313044792380313092023213419.pdf","https://dpmzos25m8ivg.cloudfront.net/Documentos/631/30447923803/6313044792380313092023213419.pdf")</f>
        <v>https://dpmzos25m8ivg.cloudfront.net/Documentos/631/30447923803/6313044792380313092023213419.pdf</v>
      </c>
      <c r="H6338" s="5" t="s">
        <v>14909</v>
      </c>
    </row>
    <row r="6339" spans="1:8" x14ac:dyDescent="0.25">
      <c r="A6339" s="2" t="s">
        <v>6366</v>
      </c>
      <c r="B6339" s="3"/>
      <c r="C6339" s="3"/>
      <c r="D6339" s="3"/>
      <c r="E6339" s="5" t="str">
        <f>HYPERLINK("https://dpmzos25m8ivg.cloudfront.net/Documentos/631/30478939850/6313047893985011092023140402.jpg","https://dpmzos25m8ivg.cloudfront.net/Documentos/631/30478939850/6313047893985011092023140402.jpg")</f>
        <v>https://dpmzos25m8ivg.cloudfront.net/Documentos/631/30478939850/6313047893985011092023140402.jpg</v>
      </c>
      <c r="F6339" s="5" t="str">
        <f>HYPERLINK("https://dpmzos25m8ivg.cloudfront.net/Documentos/631/30478939850/6313047893985011092023140432.jpg","https://dpmzos25m8ivg.cloudfront.net/Documentos/631/30478939850/6313047893985011092023140432.jpg")</f>
        <v>https://dpmzos25m8ivg.cloudfront.net/Documentos/631/30478939850/6313047893985011092023140432.jpg</v>
      </c>
      <c r="G6339" s="5" t="str">
        <f>HYPERLINK("https://dpmzos25m8ivg.cloudfront.net/Documentos/631/30478939850/6313047893985011092023140504.jpg","https://dpmzos25m8ivg.cloudfront.net/Documentos/631/30478939850/6313047893985011092023140504.jpg")</f>
        <v>https://dpmzos25m8ivg.cloudfront.net/Documentos/631/30478939850/6313047893985011092023140504.jpg</v>
      </c>
      <c r="H6339" s="4" t="s">
        <v>14910</v>
      </c>
    </row>
    <row r="6340" spans="1:8" x14ac:dyDescent="0.25">
      <c r="A6340" s="2" t="s">
        <v>6367</v>
      </c>
      <c r="B6340" s="3"/>
      <c r="C6340" s="3"/>
      <c r="D6340" s="3"/>
      <c r="E6340" s="5" t="str">
        <f>HYPERLINK("https://dpmzos25m8ivg.cloudfront.net/Documentos/631/30562180397/6313056218039705092023141220.pdf","https://dpmzos25m8ivg.cloudfront.net/Documentos/631/30562180397/6313056218039705092023141220.pdf")</f>
        <v>https://dpmzos25m8ivg.cloudfront.net/Documentos/631/30562180397/6313056218039705092023141220.pdf</v>
      </c>
      <c r="F6340" s="5" t="str">
        <f>HYPERLINK("https://dpmzos25m8ivg.cloudfront.net/Documentos/631/30562180397/6313056218039705092023141237.pdf","https://dpmzos25m8ivg.cloudfront.net/Documentos/631/30562180397/6313056218039705092023141237.pdf")</f>
        <v>https://dpmzos25m8ivg.cloudfront.net/Documentos/631/30562180397/6313056218039705092023141237.pdf</v>
      </c>
      <c r="G6340" s="5" t="str">
        <f>HYPERLINK("https://dpmzos25m8ivg.cloudfront.net/Documentos/631/30562180397/6313056218039705092023141307.pdf","https://dpmzos25m8ivg.cloudfront.net/Documentos/631/30562180397/6313056218039705092023141307.pdf")</f>
        <v>https://dpmzos25m8ivg.cloudfront.net/Documentos/631/30562180397/6313056218039705092023141307.pdf</v>
      </c>
      <c r="H6340" s="4" t="s">
        <v>14911</v>
      </c>
    </row>
    <row r="6341" spans="1:8" x14ac:dyDescent="0.25">
      <c r="A6341" s="2" t="s">
        <v>6368</v>
      </c>
      <c r="B6341" s="19" t="s">
        <v>3385</v>
      </c>
      <c r="C6341" s="3"/>
      <c r="D6341" s="3"/>
      <c r="E6341" s="5" t="str">
        <f>HYPERLINK("https://dpmzos25m8ivg.cloudfront.net/Documentos/631/30562349804/6313056234980411092023105541.pdf","https://dpmzos25m8ivg.cloudfront.net/Documentos/631/30562349804/6313056234980411092023105541.pdf")</f>
        <v>https://dpmzos25m8ivg.cloudfront.net/Documentos/631/30562349804/6313056234980411092023105541.pdf</v>
      </c>
      <c r="F6341" s="5" t="str">
        <f>HYPERLINK("https://dpmzos25m8ivg.cloudfront.net/Documentos/631/30562349804/6313056234980411092023105611.pdf","https://dpmzos25m8ivg.cloudfront.net/Documentos/631/30562349804/6313056234980411092023105611.pdf")</f>
        <v>https://dpmzos25m8ivg.cloudfront.net/Documentos/631/30562349804/6313056234980411092023105611.pdf</v>
      </c>
      <c r="G6341" s="5" t="str">
        <f>HYPERLINK("https://dpmzos25m8ivg.cloudfront.net/Documentos/631/30562349804/6313056234980411092023105624.pdf","https://dpmzos25m8ivg.cloudfront.net/Documentos/631/30562349804/6313056234980411092023105624.pdf")</f>
        <v>https://dpmzos25m8ivg.cloudfront.net/Documentos/631/30562349804/6313056234980411092023105624.pdf</v>
      </c>
      <c r="H6341" s="4" t="s">
        <v>14912</v>
      </c>
    </row>
    <row r="6342" spans="1:8" x14ac:dyDescent="0.25">
      <c r="A6342" s="2" t="s">
        <v>6369</v>
      </c>
      <c r="B6342" s="3"/>
      <c r="C6342" s="3"/>
      <c r="D6342" s="3"/>
      <c r="E6342" s="5" t="str">
        <f>HYPERLINK("https://dpmzos25m8ivg.cloudfront.net/Documentos/631/30568108841/6313056810884109092023042416.pdf","https://dpmzos25m8ivg.cloudfront.net/Documentos/631/30568108841/6313056810884109092023042416.pdf")</f>
        <v>https://dpmzos25m8ivg.cloudfront.net/Documentos/631/30568108841/6313056810884109092023042416.pdf</v>
      </c>
      <c r="F6342" s="5" t="str">
        <f>HYPERLINK("https://dpmzos25m8ivg.cloudfront.net/Documentos/631/30568108841/6313056810884109092023042451.pdf","https://dpmzos25m8ivg.cloudfront.net/Documentos/631/30568108841/6313056810884109092023042451.pdf")</f>
        <v>https://dpmzos25m8ivg.cloudfront.net/Documentos/631/30568108841/6313056810884109092023042451.pdf</v>
      </c>
      <c r="G6342" s="5" t="str">
        <f>HYPERLINK("https://dpmzos25m8ivg.cloudfront.net/Documentos/631/30568108841/6313056810884109092023042534.pdf","https://dpmzos25m8ivg.cloudfront.net/Documentos/631/30568108841/6313056810884109092023042534.pdf")</f>
        <v>https://dpmzos25m8ivg.cloudfront.net/Documentos/631/30568108841/6313056810884109092023042534.pdf</v>
      </c>
      <c r="H6342" s="4" t="s">
        <v>14913</v>
      </c>
    </row>
    <row r="6343" spans="1:8" x14ac:dyDescent="0.25">
      <c r="A6343" s="2" t="s">
        <v>6370</v>
      </c>
      <c r="B6343" s="16" t="s">
        <v>2358</v>
      </c>
      <c r="C6343" s="3"/>
      <c r="D6343" s="3"/>
      <c r="E6343" s="5" t="str">
        <f>HYPERLINK("https://dpmzos25m8ivg.cloudfront.net/Documentos/631/30575468890/6313057546889007092023171856.pdf","https://dpmzos25m8ivg.cloudfront.net/Documentos/631/30575468890/6313057546889007092023171856.pdf")</f>
        <v>https://dpmzos25m8ivg.cloudfront.net/Documentos/631/30575468890/6313057546889007092023171856.pdf</v>
      </c>
      <c r="F6343" s="5" t="str">
        <f>HYPERLINK("https://dpmzos25m8ivg.cloudfront.net/Documentos/631/30575468890/6313057546889007092023171912.pdf","https://dpmzos25m8ivg.cloudfront.net/Documentos/631/30575468890/6313057546889007092023171912.pdf")</f>
        <v>https://dpmzos25m8ivg.cloudfront.net/Documentos/631/30575468890/6313057546889007092023171912.pdf</v>
      </c>
      <c r="G6343" s="5" t="str">
        <f>HYPERLINK("https://dpmzos25m8ivg.cloudfront.net/Documentos/631/30575468890/6313057546889007092023171927.pdf","https://dpmzos25m8ivg.cloudfront.net/Documentos/631/30575468890/6313057546889007092023171927.pdf")</f>
        <v>https://dpmzos25m8ivg.cloudfront.net/Documentos/631/30575468890/6313057546889007092023171927.pdf</v>
      </c>
      <c r="H6343" s="5" t="s">
        <v>14914</v>
      </c>
    </row>
    <row r="6344" spans="1:8" x14ac:dyDescent="0.25">
      <c r="A6344" s="2" t="s">
        <v>6371</v>
      </c>
      <c r="B6344" s="3"/>
      <c r="C6344" s="3"/>
      <c r="D6344" s="3"/>
      <c r="E6344" s="5" t="str">
        <f>HYPERLINK("https://dpmzos25m8ivg.cloudfront.net/Documentos/631/30581477839/6313058147783908092023103716.jpeg","https://dpmzos25m8ivg.cloudfront.net/Documentos/631/30581477839/6313058147783908092023103716.jpeg")</f>
        <v>https://dpmzos25m8ivg.cloudfront.net/Documentos/631/30581477839/6313058147783908092023103716.jpeg</v>
      </c>
      <c r="F6344" s="5" t="str">
        <f>HYPERLINK("https://dpmzos25m8ivg.cloudfront.net/Documentos/631/30581477839/6313058147783908092023103728.jpeg","https://dpmzos25m8ivg.cloudfront.net/Documentos/631/30581477839/6313058147783908092023103728.jpeg")</f>
        <v>https://dpmzos25m8ivg.cloudfront.net/Documentos/631/30581477839/6313058147783908092023103728.jpeg</v>
      </c>
      <c r="G6344" s="5" t="str">
        <f>HYPERLINK("https://dpmzos25m8ivg.cloudfront.net/Documentos/631/30581477839/6313058147783908092023103740.jpeg","https://dpmzos25m8ivg.cloudfront.net/Documentos/631/30581477839/6313058147783908092023103740.jpeg")</f>
        <v>https://dpmzos25m8ivg.cloudfront.net/Documentos/631/30581477839/6313058147783908092023103740.jpeg</v>
      </c>
      <c r="H6344" s="4" t="s">
        <v>14915</v>
      </c>
    </row>
    <row r="6345" spans="1:8" x14ac:dyDescent="0.25">
      <c r="A6345" s="2" t="s">
        <v>6372</v>
      </c>
      <c r="B6345" s="3"/>
      <c r="C6345" s="3"/>
      <c r="D6345" s="3"/>
      <c r="E6345" s="5" t="str">
        <f>HYPERLINK("https://dpmzos25m8ivg.cloudfront.net/Documentos/631/30605791805/6313060579180511092023152443.pdf","https://dpmzos25m8ivg.cloudfront.net/Documentos/631/30605791805/6313060579180511092023152443.pdf")</f>
        <v>https://dpmzos25m8ivg.cloudfront.net/Documentos/631/30605791805/6313060579180511092023152443.pdf</v>
      </c>
      <c r="F6345" s="5" t="str">
        <f>HYPERLINK("https://dpmzos25m8ivg.cloudfront.net/Documentos/631/30605791805/6313060579180511092023152511.pdf","https://dpmzos25m8ivg.cloudfront.net/Documentos/631/30605791805/6313060579180511092023152511.pdf")</f>
        <v>https://dpmzos25m8ivg.cloudfront.net/Documentos/631/30605791805/6313060579180511092023152511.pdf</v>
      </c>
      <c r="G6345" s="5" t="str">
        <f>HYPERLINK("https://dpmzos25m8ivg.cloudfront.net/Documentos/631/30605791805/6313060579180511092023152538.pdf","https://dpmzos25m8ivg.cloudfront.net/Documentos/631/30605791805/6313060579180511092023152538.pdf")</f>
        <v>https://dpmzos25m8ivg.cloudfront.net/Documentos/631/30605791805/6313060579180511092023152538.pdf</v>
      </c>
      <c r="H6345" s="4" t="s">
        <v>14916</v>
      </c>
    </row>
    <row r="6346" spans="1:8" x14ac:dyDescent="0.25">
      <c r="A6346" s="2" t="s">
        <v>6373</v>
      </c>
      <c r="B6346" s="3"/>
      <c r="C6346" s="3"/>
      <c r="D6346" s="3"/>
      <c r="E6346" s="5" t="str">
        <f>HYPERLINK("https://dpmzos25m8ivg.cloudfront.net/Documentos/631/30644667800/6313064466780005092023193750.jpg","https://dpmzos25m8ivg.cloudfront.net/Documentos/631/30644667800/6313064466780005092023193750.jpg")</f>
        <v>https://dpmzos25m8ivg.cloudfront.net/Documentos/631/30644667800/6313064466780005092023193750.jpg</v>
      </c>
      <c r="F6346" s="5" t="str">
        <f>HYPERLINK("https://dpmzos25m8ivg.cloudfront.net/Documentos/631/30644667800/6313064466780005092023193850.jpg","https://dpmzos25m8ivg.cloudfront.net/Documentos/631/30644667800/6313064466780005092023193850.jpg")</f>
        <v>https://dpmzos25m8ivg.cloudfront.net/Documentos/631/30644667800/6313064466780005092023193850.jpg</v>
      </c>
      <c r="G6346" s="5" t="str">
        <f>HYPERLINK("https://dpmzos25m8ivg.cloudfront.net/Documentos/631/30644667800/6313064466780005092023194052.jpg","https://dpmzos25m8ivg.cloudfront.net/Documentos/631/30644667800/6313064466780005092023194052.jpg")</f>
        <v>https://dpmzos25m8ivg.cloudfront.net/Documentos/631/30644667800/6313064466780005092023194052.jpg</v>
      </c>
      <c r="H6346" s="4" t="s">
        <v>14917</v>
      </c>
    </row>
    <row r="6347" spans="1:8" x14ac:dyDescent="0.25">
      <c r="A6347" s="2" t="s">
        <v>6374</v>
      </c>
      <c r="B6347" s="3" t="s">
        <v>8</v>
      </c>
      <c r="C6347" s="3"/>
      <c r="D6347" s="3"/>
      <c r="E6347" s="5" t="str">
        <f>HYPERLINK("https://dpmzos25m8ivg.cloudfront.net/Documentos/631/30675771838/6313067577183805092023182332.pdf","https://dpmzos25m8ivg.cloudfront.net/Documentos/631/30675771838/6313067577183805092023182332.pdf")</f>
        <v>https://dpmzos25m8ivg.cloudfront.net/Documentos/631/30675771838/6313067577183805092023182332.pdf</v>
      </c>
      <c r="F6347" s="5" t="str">
        <f>HYPERLINK("https://dpmzos25m8ivg.cloudfront.net/Documentos/631/30675771838/6313067577183805092023182353.pdf","https://dpmzos25m8ivg.cloudfront.net/Documentos/631/30675771838/6313067577183805092023182353.pdf")</f>
        <v>https://dpmzos25m8ivg.cloudfront.net/Documentos/631/30675771838/6313067577183805092023182353.pdf</v>
      </c>
      <c r="G6347" s="5" t="str">
        <f>HYPERLINK("https://dpmzos25m8ivg.cloudfront.net/Documentos/631/30675771838/6313067577183805092023182413.pdf","https://dpmzos25m8ivg.cloudfront.net/Documentos/631/30675771838/6313067577183805092023182413.pdf")</f>
        <v>https://dpmzos25m8ivg.cloudfront.net/Documentos/631/30675771838/6313067577183805092023182413.pdf</v>
      </c>
      <c r="H6347" s="4" t="s">
        <v>14918</v>
      </c>
    </row>
    <row r="6348" spans="1:8" x14ac:dyDescent="0.25">
      <c r="A6348" s="2" t="s">
        <v>6375</v>
      </c>
      <c r="B6348" s="3"/>
      <c r="C6348" s="3"/>
      <c r="D6348" s="3"/>
      <c r="E6348" s="5" t="str">
        <f>HYPERLINK("https://dpmzos25m8ivg.cloudfront.net/Documentos/631/30692614850/6313069261485013092023232924.pdf","https://dpmzos25m8ivg.cloudfront.net/Documentos/631/30692614850/6313069261485013092023232924.pdf")</f>
        <v>https://dpmzos25m8ivg.cloudfront.net/Documentos/631/30692614850/6313069261485013092023232924.pdf</v>
      </c>
      <c r="F6348" s="5" t="str">
        <f>HYPERLINK("https://dpmzos25m8ivg.cloudfront.net/Documentos/631/30692614850/6313069261485013092023232939.pdf","https://dpmzos25m8ivg.cloudfront.net/Documentos/631/30692614850/6313069261485013092023232939.pdf")</f>
        <v>https://dpmzos25m8ivg.cloudfront.net/Documentos/631/30692614850/6313069261485013092023232939.pdf</v>
      </c>
      <c r="G6348" s="5" t="str">
        <f>HYPERLINK("https://dpmzos25m8ivg.cloudfront.net/Documentos/631/30692614850/6313069261485013092023232952.pdf","https://dpmzos25m8ivg.cloudfront.net/Documentos/631/30692614850/6313069261485013092023232952.pdf")</f>
        <v>https://dpmzos25m8ivg.cloudfront.net/Documentos/631/30692614850/6313069261485013092023232952.pdf</v>
      </c>
      <c r="H6348" s="4" t="s">
        <v>14919</v>
      </c>
    </row>
    <row r="6349" spans="1:8" x14ac:dyDescent="0.25">
      <c r="A6349" s="2" t="s">
        <v>6376</v>
      </c>
      <c r="B6349" s="3" t="s">
        <v>8</v>
      </c>
      <c r="C6349" s="3"/>
      <c r="D6349" s="3"/>
      <c r="E6349" s="5" t="str">
        <f>HYPERLINK("https://dpmzos25m8ivg.cloudfront.net/Documentos/631/30750703865/6313075070386507092023183054.jpg","https://dpmzos25m8ivg.cloudfront.net/Documentos/631/30750703865/6313075070386507092023183054.jpg")</f>
        <v>https://dpmzos25m8ivg.cloudfront.net/Documentos/631/30750703865/6313075070386507092023183054.jpg</v>
      </c>
      <c r="F6349" s="5" t="str">
        <f>HYPERLINK("https://dpmzos25m8ivg.cloudfront.net/Documentos/631/30750703865/6313075070386507092023183127.jpg","https://dpmzos25m8ivg.cloudfront.net/Documentos/631/30750703865/6313075070386507092023183127.jpg")</f>
        <v>https://dpmzos25m8ivg.cloudfront.net/Documentos/631/30750703865/6313075070386507092023183127.jpg</v>
      </c>
      <c r="G6349" s="5" t="str">
        <f>HYPERLINK("https://dpmzos25m8ivg.cloudfront.net/Documentos/631/30750703865/6313075070386507092023183159.jpg","https://dpmzos25m8ivg.cloudfront.net/Documentos/631/30750703865/6313075070386507092023183159.jpg")</f>
        <v>https://dpmzos25m8ivg.cloudfront.net/Documentos/631/30750703865/6313075070386507092023183159.jpg</v>
      </c>
      <c r="H6349" s="4" t="s">
        <v>14920</v>
      </c>
    </row>
    <row r="6350" spans="1:8" x14ac:dyDescent="0.25">
      <c r="A6350" s="2" t="s">
        <v>6377</v>
      </c>
      <c r="B6350" s="3"/>
      <c r="C6350" s="3"/>
      <c r="D6350" s="3"/>
      <c r="E6350" s="5" t="str">
        <f>HYPERLINK("https://dpmzos25m8ivg.cloudfront.net/Documentos/631/30753346850/6313075334685014092023044600.jpg","https://dpmzos25m8ivg.cloudfront.net/Documentos/631/30753346850/6313075334685014092023044600.jpg")</f>
        <v>https://dpmzos25m8ivg.cloudfront.net/Documentos/631/30753346850/6313075334685014092023044600.jpg</v>
      </c>
      <c r="F6350" s="5" t="str">
        <f>HYPERLINK("https://dpmzos25m8ivg.cloudfront.net/Documentos/631/30753346850/6313075334685014092023044833.jpg","https://dpmzos25m8ivg.cloudfront.net/Documentos/631/30753346850/6313075334685014092023044833.jpg")</f>
        <v>https://dpmzos25m8ivg.cloudfront.net/Documentos/631/30753346850/6313075334685014092023044833.jpg</v>
      </c>
      <c r="G6350" s="5" t="str">
        <f>HYPERLINK("https://dpmzos25m8ivg.cloudfront.net/Documentos/631/30753346850/6313075334685014092023045100.jpg","https://dpmzos25m8ivg.cloudfront.net/Documentos/631/30753346850/6313075334685014092023045100.jpg")</f>
        <v>https://dpmzos25m8ivg.cloudfront.net/Documentos/631/30753346850/6313075334685014092023045100.jpg</v>
      </c>
      <c r="H6350" s="4" t="s">
        <v>14921</v>
      </c>
    </row>
    <row r="6351" spans="1:8" x14ac:dyDescent="0.25">
      <c r="A6351" s="2" t="s">
        <v>6378</v>
      </c>
      <c r="B6351" s="16" t="s">
        <v>2358</v>
      </c>
      <c r="C6351" s="3"/>
      <c r="D6351" s="3"/>
      <c r="E6351" s="5" t="str">
        <f>HYPERLINK("https://dpmzos25m8ivg.cloudfront.net/Documentos/631/30771254806/6313077125480605092023160850.jpg","https://dpmzos25m8ivg.cloudfront.net/Documentos/631/30771254806/6313077125480605092023160850.jpg")</f>
        <v>https://dpmzos25m8ivg.cloudfront.net/Documentos/631/30771254806/6313077125480605092023160850.jpg</v>
      </c>
      <c r="F6351" s="5" t="str">
        <f>HYPERLINK("https://dpmzos25m8ivg.cloudfront.net/Documentos/631/30771254806/6313077125480605092023160857.jpg","https://dpmzos25m8ivg.cloudfront.net/Documentos/631/30771254806/6313077125480605092023160857.jpg")</f>
        <v>https://dpmzos25m8ivg.cloudfront.net/Documentos/631/30771254806/6313077125480605092023160857.jpg</v>
      </c>
      <c r="G6351" s="5" t="str">
        <f>HYPERLINK("https://dpmzos25m8ivg.cloudfront.net/Documentos/631/30771254806/6313077125480605092023160904.jpg","https://dpmzos25m8ivg.cloudfront.net/Documentos/631/30771254806/6313077125480605092023160904.jpg")</f>
        <v>https://dpmzos25m8ivg.cloudfront.net/Documentos/631/30771254806/6313077125480605092023160904.jpg</v>
      </c>
      <c r="H6351" s="5" t="s">
        <v>14922</v>
      </c>
    </row>
    <row r="6352" spans="1:8" x14ac:dyDescent="0.25">
      <c r="A6352" s="2" t="s">
        <v>6379</v>
      </c>
      <c r="B6352" s="3" t="s">
        <v>8</v>
      </c>
      <c r="C6352" s="3"/>
      <c r="D6352" s="3"/>
      <c r="E6352" s="5" t="str">
        <f>HYPERLINK("https://dpmzos25m8ivg.cloudfront.net/Documentos/631/30877975884/6313087797588411092023153938.pdf","https://dpmzos25m8ivg.cloudfront.net/Documentos/631/30877975884/6313087797588411092023153938.pdf")</f>
        <v>https://dpmzos25m8ivg.cloudfront.net/Documentos/631/30877975884/6313087797588411092023153938.pdf</v>
      </c>
      <c r="F6352" s="5" t="str">
        <f>HYPERLINK("https://dpmzos25m8ivg.cloudfront.net/Documentos/631/30877975884/6313087797588411092023154010.pdf","https://dpmzos25m8ivg.cloudfront.net/Documentos/631/30877975884/6313087797588411092023154010.pdf")</f>
        <v>https://dpmzos25m8ivg.cloudfront.net/Documentos/631/30877975884/6313087797588411092023154010.pdf</v>
      </c>
      <c r="G6352" s="5" t="str">
        <f>HYPERLINK("https://dpmzos25m8ivg.cloudfront.net/Documentos/631/30877975884/6313087797588411092023154046.pdf","https://dpmzos25m8ivg.cloudfront.net/Documentos/631/30877975884/6313087797588411092023154046.pdf")</f>
        <v>https://dpmzos25m8ivg.cloudfront.net/Documentos/631/30877975884/6313087797588411092023154046.pdf</v>
      </c>
      <c r="H6352" s="4" t="s">
        <v>9010</v>
      </c>
    </row>
    <row r="6353" spans="1:8" x14ac:dyDescent="0.25">
      <c r="A6353" s="2" t="s">
        <v>6380</v>
      </c>
      <c r="B6353" s="3"/>
      <c r="C6353" s="3"/>
      <c r="D6353" s="3"/>
      <c r="E6353" s="5" t="str">
        <f>HYPERLINK("https://dpmzos25m8ivg.cloudfront.net/Documentos/631/30909198500/6313090919850011092023095808.pdf","https://dpmzos25m8ivg.cloudfront.net/Documentos/631/30909198500/6313090919850011092023095808.pdf")</f>
        <v>https://dpmzos25m8ivg.cloudfront.net/Documentos/631/30909198500/6313090919850011092023095808.pdf</v>
      </c>
      <c r="F6353" s="5" t="str">
        <f>HYPERLINK("https://dpmzos25m8ivg.cloudfront.net/Documentos/631/30909198500/6313090919850011092023095823.pdf","https://dpmzos25m8ivg.cloudfront.net/Documentos/631/30909198500/6313090919850011092023095823.pdf")</f>
        <v>https://dpmzos25m8ivg.cloudfront.net/Documentos/631/30909198500/6313090919850011092023095823.pdf</v>
      </c>
      <c r="G6353" s="5" t="str">
        <f>HYPERLINK("https://dpmzos25m8ivg.cloudfront.net/Documentos/631/30909198500/6313090919850011092023095836.pdf","https://dpmzos25m8ivg.cloudfront.net/Documentos/631/30909198500/6313090919850011092023095836.pdf")</f>
        <v>https://dpmzos25m8ivg.cloudfront.net/Documentos/631/30909198500/6313090919850011092023095836.pdf</v>
      </c>
      <c r="H6353" s="4" t="s">
        <v>14923</v>
      </c>
    </row>
    <row r="6354" spans="1:8" x14ac:dyDescent="0.25">
      <c r="A6354" s="2" t="s">
        <v>6381</v>
      </c>
      <c r="B6354" s="3" t="s">
        <v>8</v>
      </c>
      <c r="C6354" s="3"/>
      <c r="D6354" s="3"/>
      <c r="E6354" s="5" t="str">
        <f>HYPERLINK("https://dpmzos25m8ivg.cloudfront.net/Documentos/631/30909635668/6313090963566807092023205828.jpg","https://dpmzos25m8ivg.cloudfront.net/Documentos/631/30909635668/6313090963566807092023205828.jpg")</f>
        <v>https://dpmzos25m8ivg.cloudfront.net/Documentos/631/30909635668/6313090963566807092023205828.jpg</v>
      </c>
      <c r="F6354" s="5" t="str">
        <f>HYPERLINK("https://dpmzos25m8ivg.cloudfront.net/Documentos/631/30909635668/6313090963566807092023205939.jpg","https://dpmzos25m8ivg.cloudfront.net/Documentos/631/30909635668/6313090963566807092023205939.jpg")</f>
        <v>https://dpmzos25m8ivg.cloudfront.net/Documentos/631/30909635668/6313090963566807092023205939.jpg</v>
      </c>
      <c r="G6354" s="5" t="str">
        <f>HYPERLINK("https://dpmzos25m8ivg.cloudfront.net/Documentos/631/30909635668/6313090963566807092023210109.jpg","https://dpmzos25m8ivg.cloudfront.net/Documentos/631/30909635668/6313090963566807092023210109.jpg")</f>
        <v>https://dpmzos25m8ivg.cloudfront.net/Documentos/631/30909635668/6313090963566807092023210109.jpg</v>
      </c>
      <c r="H6354" s="4" t="s">
        <v>14924</v>
      </c>
    </row>
    <row r="6355" spans="1:8" x14ac:dyDescent="0.25">
      <c r="A6355" s="2" t="s">
        <v>6382</v>
      </c>
      <c r="B6355" s="3"/>
      <c r="C6355" s="3"/>
      <c r="D6355" s="3"/>
      <c r="E6355" s="5" t="str">
        <f>HYPERLINK("https://dpmzos25m8ivg.cloudfront.net/Documentos/631/30913879843/6313091387984310092023193830.pdf","https://dpmzos25m8ivg.cloudfront.net/Documentos/631/30913879843/6313091387984310092023193830.pdf")</f>
        <v>https://dpmzos25m8ivg.cloudfront.net/Documentos/631/30913879843/6313091387984310092023193830.pdf</v>
      </c>
      <c r="F6355" s="5" t="str">
        <f>HYPERLINK("https://dpmzos25m8ivg.cloudfront.net/Documentos/631/30913879843/6313091387984310092023193852.pdf","https://dpmzos25m8ivg.cloudfront.net/Documentos/631/30913879843/6313091387984310092023193852.pdf")</f>
        <v>https://dpmzos25m8ivg.cloudfront.net/Documentos/631/30913879843/6313091387984310092023193852.pdf</v>
      </c>
      <c r="G6355" s="5" t="str">
        <f>HYPERLINK("https://dpmzos25m8ivg.cloudfront.net/Documentos/631/30913879843/6313091387984310092023193913.pdf","https://dpmzos25m8ivg.cloudfront.net/Documentos/631/30913879843/6313091387984310092023193913.pdf")</f>
        <v>https://dpmzos25m8ivg.cloudfront.net/Documentos/631/30913879843/6313091387984310092023193913.pdf</v>
      </c>
      <c r="H6355" s="4" t="s">
        <v>14925</v>
      </c>
    </row>
    <row r="6356" spans="1:8" x14ac:dyDescent="0.25">
      <c r="A6356" s="2" t="s">
        <v>6383</v>
      </c>
      <c r="B6356" s="3"/>
      <c r="C6356" s="3"/>
      <c r="D6356" s="3"/>
      <c r="E6356" s="5" t="str">
        <f>HYPERLINK("https://dpmzos25m8ivg.cloudfront.net/Documentos/631/30977575896/6313097757589611092023030305.pdf","https://dpmzos25m8ivg.cloudfront.net/Documentos/631/30977575896/6313097757589611092023030305.pdf")</f>
        <v>https://dpmzos25m8ivg.cloudfront.net/Documentos/631/30977575896/6313097757589611092023030305.pdf</v>
      </c>
      <c r="F6356" s="5" t="str">
        <f>HYPERLINK("https://dpmzos25m8ivg.cloudfront.net/Documentos/631/30977575896/6313097757589611092023030359.pdf","https://dpmzos25m8ivg.cloudfront.net/Documentos/631/30977575896/6313097757589611092023030359.pdf")</f>
        <v>https://dpmzos25m8ivg.cloudfront.net/Documentos/631/30977575896/6313097757589611092023030359.pdf</v>
      </c>
      <c r="G6356" s="5" t="str">
        <f>HYPERLINK("https://dpmzos25m8ivg.cloudfront.net/Documentos/631/30977575896/6313097757589611092023030610.pdf","https://dpmzos25m8ivg.cloudfront.net/Documentos/631/30977575896/6313097757589611092023030610.pdf")</f>
        <v>https://dpmzos25m8ivg.cloudfront.net/Documentos/631/30977575896/6313097757589611092023030610.pdf</v>
      </c>
      <c r="H6356" s="4" t="s">
        <v>14926</v>
      </c>
    </row>
    <row r="6357" spans="1:8" x14ac:dyDescent="0.25">
      <c r="A6357" s="2" t="s">
        <v>6384</v>
      </c>
      <c r="B6357" s="3"/>
      <c r="C6357" s="3"/>
      <c r="D6357" s="3"/>
      <c r="E6357" s="5" t="str">
        <f>HYPERLINK("https://dpmzos25m8ivg.cloudfront.net/Documentos/631/30993394825/6313099339482507092023152758.pdf","https://dpmzos25m8ivg.cloudfront.net/Documentos/631/30993394825/6313099339482507092023152758.pdf")</f>
        <v>https://dpmzos25m8ivg.cloudfront.net/Documentos/631/30993394825/6313099339482507092023152758.pdf</v>
      </c>
      <c r="F6357" s="5" t="str">
        <f>HYPERLINK("https://dpmzos25m8ivg.cloudfront.net/Documentos/631/30993394825/6313099339482507092023152813.pdf","https://dpmzos25m8ivg.cloudfront.net/Documentos/631/30993394825/6313099339482507092023152813.pdf")</f>
        <v>https://dpmzos25m8ivg.cloudfront.net/Documentos/631/30993394825/6313099339482507092023152813.pdf</v>
      </c>
      <c r="G6357" s="5" t="str">
        <f>HYPERLINK("https://dpmzos25m8ivg.cloudfront.net/Documentos/631/30993394825/6313099339482507092023152827.pdf","https://dpmzos25m8ivg.cloudfront.net/Documentos/631/30993394825/6313099339482507092023152827.pdf")</f>
        <v>https://dpmzos25m8ivg.cloudfront.net/Documentos/631/30993394825/6313099339482507092023152827.pdf</v>
      </c>
      <c r="H6357" s="4" t="s">
        <v>14927</v>
      </c>
    </row>
    <row r="6358" spans="1:8" x14ac:dyDescent="0.25">
      <c r="A6358" s="2" t="s">
        <v>6385</v>
      </c>
      <c r="B6358" s="3"/>
      <c r="C6358" s="3"/>
      <c r="D6358" s="3"/>
      <c r="E6358" s="5" t="str">
        <f>HYPERLINK("https://dpmzos25m8ivg.cloudfront.net/Documentos/631/31005937826/6313100593782611092023150506.pdf","https://dpmzos25m8ivg.cloudfront.net/Documentos/631/31005937826/6313100593782611092023150506.pdf")</f>
        <v>https://dpmzos25m8ivg.cloudfront.net/Documentos/631/31005937826/6313100593782611092023150506.pdf</v>
      </c>
      <c r="F6358" s="5" t="str">
        <f>HYPERLINK("https://dpmzos25m8ivg.cloudfront.net/Documentos/631/31005937826/6313100593782611092023150519.pdf","https://dpmzos25m8ivg.cloudfront.net/Documentos/631/31005937826/6313100593782611092023150519.pdf")</f>
        <v>https://dpmzos25m8ivg.cloudfront.net/Documentos/631/31005937826/6313100593782611092023150519.pdf</v>
      </c>
      <c r="G6358" s="5" t="str">
        <f>HYPERLINK("https://dpmzos25m8ivg.cloudfront.net/Documentos/631/31005937826/6313100593782611092023150545.pdf","https://dpmzos25m8ivg.cloudfront.net/Documentos/631/31005937826/6313100593782611092023150545.pdf")</f>
        <v>https://dpmzos25m8ivg.cloudfront.net/Documentos/631/31005937826/6313100593782611092023150545.pdf</v>
      </c>
      <c r="H6358" s="4" t="s">
        <v>14928</v>
      </c>
    </row>
    <row r="6359" spans="1:8" x14ac:dyDescent="0.25">
      <c r="A6359" s="2" t="s">
        <v>6386</v>
      </c>
      <c r="B6359" s="3"/>
      <c r="C6359" s="3"/>
      <c r="D6359" s="3"/>
      <c r="E6359" s="5" t="str">
        <f>HYPERLINK("https://dpmzos25m8ivg.cloudfront.net/Documentos/631/31022768816/6313102276881606092023161043.pdf","https://dpmzos25m8ivg.cloudfront.net/Documentos/631/31022768816/6313102276881606092023161043.pdf")</f>
        <v>https://dpmzos25m8ivg.cloudfront.net/Documentos/631/31022768816/6313102276881606092023161043.pdf</v>
      </c>
      <c r="F6359" s="5" t="str">
        <f>HYPERLINK("https://dpmzos25m8ivg.cloudfront.net/Documentos/631/31022768816/6313102276881606092023161123.pdf","https://dpmzos25m8ivg.cloudfront.net/Documentos/631/31022768816/6313102276881606092023161123.pdf")</f>
        <v>https://dpmzos25m8ivg.cloudfront.net/Documentos/631/31022768816/6313102276881606092023161123.pdf</v>
      </c>
      <c r="G6359" s="5" t="str">
        <f>HYPERLINK("https://dpmzos25m8ivg.cloudfront.net/Documentos/631/31022768816/6313102276881606092023161132.pdf","https://dpmzos25m8ivg.cloudfront.net/Documentos/631/31022768816/6313102276881606092023161132.pdf")</f>
        <v>https://dpmzos25m8ivg.cloudfront.net/Documentos/631/31022768816/6313102276881606092023161132.pdf</v>
      </c>
      <c r="H6359" s="4" t="s">
        <v>14929</v>
      </c>
    </row>
    <row r="6360" spans="1:8" x14ac:dyDescent="0.25">
      <c r="A6360" s="2" t="s">
        <v>6387</v>
      </c>
      <c r="B6360" s="3"/>
      <c r="C6360" s="3"/>
      <c r="D6360" s="3"/>
      <c r="E6360" s="5" t="str">
        <f>HYPERLINK("https://dpmzos25m8ivg.cloudfront.net/Documentos/631/31033578851/6313103357885111092023091351.pdf","https://dpmzos25m8ivg.cloudfront.net/Documentos/631/31033578851/6313103357885111092023091351.pdf")</f>
        <v>https://dpmzos25m8ivg.cloudfront.net/Documentos/631/31033578851/6313103357885111092023091351.pdf</v>
      </c>
      <c r="F6360" s="5" t="str">
        <f>HYPERLINK("https://dpmzos25m8ivg.cloudfront.net/Documentos/631/31033578851/6313103357885111092023091433.pdf","https://dpmzos25m8ivg.cloudfront.net/Documentos/631/31033578851/6313103357885111092023091433.pdf")</f>
        <v>https://dpmzos25m8ivg.cloudfront.net/Documentos/631/31033578851/6313103357885111092023091433.pdf</v>
      </c>
      <c r="G6360" s="5" t="str">
        <f>HYPERLINK("https://dpmzos25m8ivg.cloudfront.net/Documentos/631/31033578851/6313103357885111092023091459.pdf","https://dpmzos25m8ivg.cloudfront.net/Documentos/631/31033578851/6313103357885111092023091459.pdf")</f>
        <v>https://dpmzos25m8ivg.cloudfront.net/Documentos/631/31033578851/6313103357885111092023091459.pdf</v>
      </c>
      <c r="H6360" s="4" t="s">
        <v>14930</v>
      </c>
    </row>
    <row r="6361" spans="1:8" x14ac:dyDescent="0.25">
      <c r="A6361" s="2" t="s">
        <v>6388</v>
      </c>
      <c r="B6361" s="3" t="s">
        <v>8</v>
      </c>
      <c r="C6361" s="3"/>
      <c r="D6361" s="3"/>
      <c r="E6361" s="5" t="str">
        <f>HYPERLINK("https://dpmzos25m8ivg.cloudfront.net/Documentos/631/31052146821/6313105214682111092023153534.jpeg","https://dpmzos25m8ivg.cloudfront.net/Documentos/631/31052146821/6313105214682111092023153534.jpeg")</f>
        <v>https://dpmzos25m8ivg.cloudfront.net/Documentos/631/31052146821/6313105214682111092023153534.jpeg</v>
      </c>
      <c r="F6361" s="5" t="str">
        <f>HYPERLINK("https://dpmzos25m8ivg.cloudfront.net/Documentos/631/31052146821/6313105214682111092023153558.jpeg","https://dpmzos25m8ivg.cloudfront.net/Documentos/631/31052146821/6313105214682111092023153558.jpeg")</f>
        <v>https://dpmzos25m8ivg.cloudfront.net/Documentos/631/31052146821/6313105214682111092023153558.jpeg</v>
      </c>
      <c r="G6361" s="5" t="str">
        <f>HYPERLINK("https://dpmzos25m8ivg.cloudfront.net/Documentos/631/31052146821/6313105214682111092023153618.jpeg","https://dpmzos25m8ivg.cloudfront.net/Documentos/631/31052146821/6313105214682111092023153618.jpeg")</f>
        <v>https://dpmzos25m8ivg.cloudfront.net/Documentos/631/31052146821/6313105214682111092023153618.jpeg</v>
      </c>
      <c r="H6361" s="4" t="s">
        <v>14931</v>
      </c>
    </row>
    <row r="6362" spans="1:8" x14ac:dyDescent="0.25">
      <c r="A6362" s="2" t="s">
        <v>6389</v>
      </c>
      <c r="B6362" s="3"/>
      <c r="C6362" s="3"/>
      <c r="D6362" s="3"/>
      <c r="E6362" s="5" t="str">
        <f>HYPERLINK("https://dpmzos25m8ivg.cloudfront.net/Documentos/631/31131724895/6313113172489505092023100124.pdf","https://dpmzos25m8ivg.cloudfront.net/Documentos/631/31131724895/6313113172489505092023100124.pdf")</f>
        <v>https://dpmzos25m8ivg.cloudfront.net/Documentos/631/31131724895/6313113172489505092023100124.pdf</v>
      </c>
      <c r="F6362" s="5" t="str">
        <f>HYPERLINK("https://dpmzos25m8ivg.cloudfront.net/Documentos/631/31131724895/6313113172489505092023100207.pdf","https://dpmzos25m8ivg.cloudfront.net/Documentos/631/31131724895/6313113172489505092023100207.pdf")</f>
        <v>https://dpmzos25m8ivg.cloudfront.net/Documentos/631/31131724895/6313113172489505092023100207.pdf</v>
      </c>
      <c r="G6362" s="5" t="str">
        <f>HYPERLINK("https://dpmzos25m8ivg.cloudfront.net/Documentos/631/31131724895/6313113172489505092023100306.pdf","https://dpmzos25m8ivg.cloudfront.net/Documentos/631/31131724895/6313113172489505092023100306.pdf")</f>
        <v>https://dpmzos25m8ivg.cloudfront.net/Documentos/631/31131724895/6313113172489505092023100306.pdf</v>
      </c>
      <c r="H6362" s="4" t="s">
        <v>14932</v>
      </c>
    </row>
    <row r="6363" spans="1:8" x14ac:dyDescent="0.25">
      <c r="A6363" s="2" t="s">
        <v>6390</v>
      </c>
      <c r="B6363" s="3"/>
      <c r="C6363" s="3"/>
      <c r="D6363" s="3"/>
      <c r="E6363" s="5" t="str">
        <f>HYPERLINK("https://dpmzos25m8ivg.cloudfront.net/Documentos/631/31135983895/6313113598389511092023120655.pdf","https://dpmzos25m8ivg.cloudfront.net/Documentos/631/31135983895/6313113598389511092023120655.pdf")</f>
        <v>https://dpmzos25m8ivg.cloudfront.net/Documentos/631/31135983895/6313113598389511092023120655.pdf</v>
      </c>
      <c r="F6363" s="5" t="str">
        <f>HYPERLINK("https://dpmzos25m8ivg.cloudfront.net/Documentos/631/31135983895/6313113598389511092023120706.pdf","https://dpmzos25m8ivg.cloudfront.net/Documentos/631/31135983895/6313113598389511092023120706.pdf")</f>
        <v>https://dpmzos25m8ivg.cloudfront.net/Documentos/631/31135983895/6313113598389511092023120706.pdf</v>
      </c>
      <c r="G6363" s="5" t="str">
        <f>HYPERLINK("https://dpmzos25m8ivg.cloudfront.net/Documentos/631/31135983895/6313113598389511092023120719.pdf","https://dpmzos25m8ivg.cloudfront.net/Documentos/631/31135983895/6313113598389511092023120719.pdf")</f>
        <v>https://dpmzos25m8ivg.cloudfront.net/Documentos/631/31135983895/6313113598389511092023120719.pdf</v>
      </c>
      <c r="H6363" s="4" t="s">
        <v>14933</v>
      </c>
    </row>
    <row r="6364" spans="1:8" x14ac:dyDescent="0.25">
      <c r="A6364" s="2" t="s">
        <v>6391</v>
      </c>
      <c r="B6364" s="16" t="s">
        <v>2358</v>
      </c>
      <c r="C6364" s="3"/>
      <c r="D6364" s="3"/>
      <c r="E6364" s="5" t="str">
        <f>HYPERLINK("https://dpmzos25m8ivg.cloudfront.net/Documentos/631/31156241820/6313115624182005092023152853.jpeg","https://dpmzos25m8ivg.cloudfront.net/Documentos/631/31156241820/6313115624182005092023152853.jpeg")</f>
        <v>https://dpmzos25m8ivg.cloudfront.net/Documentos/631/31156241820/6313115624182005092023152853.jpeg</v>
      </c>
      <c r="F6364" s="5" t="str">
        <f>HYPERLINK("https://dpmzos25m8ivg.cloudfront.net/Documentos/631/31156241820/6313115624182005092023152906.jpeg","https://dpmzos25m8ivg.cloudfront.net/Documentos/631/31156241820/6313115624182005092023152906.jpeg")</f>
        <v>https://dpmzos25m8ivg.cloudfront.net/Documentos/631/31156241820/6313115624182005092023152906.jpeg</v>
      </c>
      <c r="G6364" s="5" t="str">
        <f>HYPERLINK("https://dpmzos25m8ivg.cloudfront.net/Documentos/631/31156241820/6313115624182005092023152926.jpeg","https://dpmzos25m8ivg.cloudfront.net/Documentos/631/31156241820/6313115624182005092023152926.jpeg")</f>
        <v>https://dpmzos25m8ivg.cloudfront.net/Documentos/631/31156241820/6313115624182005092023152926.jpeg</v>
      </c>
      <c r="H6364" s="5" t="s">
        <v>14934</v>
      </c>
    </row>
    <row r="6365" spans="1:8" x14ac:dyDescent="0.25">
      <c r="A6365" s="2" t="s">
        <v>6392</v>
      </c>
      <c r="B6365" s="3"/>
      <c r="C6365" s="3"/>
      <c r="D6365" s="3"/>
      <c r="E6365" s="5" t="str">
        <f>HYPERLINK("https://dpmzos25m8ivg.cloudfront.net/Documentos/631/31190378850/6313119037885011092023145431.pdf","https://dpmzos25m8ivg.cloudfront.net/Documentos/631/31190378850/6313119037885011092023145431.pdf")</f>
        <v>https://dpmzos25m8ivg.cloudfront.net/Documentos/631/31190378850/6313119037885011092023145431.pdf</v>
      </c>
      <c r="F6365" s="5" t="str">
        <f>HYPERLINK("https://dpmzos25m8ivg.cloudfront.net/Documentos/631/31190378850/6313119037885011092023145447.pdf","https://dpmzos25m8ivg.cloudfront.net/Documentos/631/31190378850/6313119037885011092023145447.pdf")</f>
        <v>https://dpmzos25m8ivg.cloudfront.net/Documentos/631/31190378850/6313119037885011092023145447.pdf</v>
      </c>
      <c r="G6365" s="5" t="str">
        <f>HYPERLINK("https://dpmzos25m8ivg.cloudfront.net/Documentos/631/31190378850/6313119037885011092023145506.pdf","https://dpmzos25m8ivg.cloudfront.net/Documentos/631/31190378850/6313119037885011092023145506.pdf")</f>
        <v>https://dpmzos25m8ivg.cloudfront.net/Documentos/631/31190378850/6313119037885011092023145506.pdf</v>
      </c>
      <c r="H6365" s="4" t="s">
        <v>14935</v>
      </c>
    </row>
    <row r="6366" spans="1:8" x14ac:dyDescent="0.25">
      <c r="A6366" s="2" t="s">
        <v>6393</v>
      </c>
      <c r="B6366" s="3"/>
      <c r="C6366" s="3"/>
      <c r="D6366" s="3"/>
      <c r="E6366" s="5" t="str">
        <f>HYPERLINK("https://dpmzos25m8ivg.cloudfront.net/Documentos/631/31193360846/6313119336084608092023184202.jpeg","https://dpmzos25m8ivg.cloudfront.net/Documentos/631/31193360846/6313119336084608092023184202.jpeg")</f>
        <v>https://dpmzos25m8ivg.cloudfront.net/Documentos/631/31193360846/6313119336084608092023184202.jpeg</v>
      </c>
      <c r="F6366" s="5" t="str">
        <f>HYPERLINK("https://dpmzos25m8ivg.cloudfront.net/Documentos/631/31193360846/6313119336084608092023184214.jpeg","https://dpmzos25m8ivg.cloudfront.net/Documentos/631/31193360846/6313119336084608092023184214.jpeg")</f>
        <v>https://dpmzos25m8ivg.cloudfront.net/Documentos/631/31193360846/6313119336084608092023184214.jpeg</v>
      </c>
      <c r="G6366" s="5" t="str">
        <f>HYPERLINK("https://dpmzos25m8ivg.cloudfront.net/Documentos/631/31193360846/6313119336084608092023184222.jpeg","https://dpmzos25m8ivg.cloudfront.net/Documentos/631/31193360846/6313119336084608092023184222.jpeg")</f>
        <v>https://dpmzos25m8ivg.cloudfront.net/Documentos/631/31193360846/6313119336084608092023184222.jpeg</v>
      </c>
      <c r="H6366" s="4" t="s">
        <v>14936</v>
      </c>
    </row>
    <row r="6367" spans="1:8" x14ac:dyDescent="0.25">
      <c r="A6367" s="2" t="s">
        <v>6394</v>
      </c>
      <c r="B6367" s="3" t="s">
        <v>8</v>
      </c>
      <c r="C6367" s="3"/>
      <c r="D6367" s="3"/>
      <c r="E6367" s="5" t="str">
        <f>HYPERLINK("https://dpmzos25m8ivg.cloudfront.net/Documentos/631/31253722838/6313125372283811092023143637.pdf","https://dpmzos25m8ivg.cloudfront.net/Documentos/631/31253722838/6313125372283811092023143637.pdf")</f>
        <v>https://dpmzos25m8ivg.cloudfront.net/Documentos/631/31253722838/6313125372283811092023143637.pdf</v>
      </c>
      <c r="F6367" s="5" t="str">
        <f>HYPERLINK("https://dpmzos25m8ivg.cloudfront.net/Documentos/631/31253722838/6313125372283811092023143646.pdf","https://dpmzos25m8ivg.cloudfront.net/Documentos/631/31253722838/6313125372283811092023143646.pdf")</f>
        <v>https://dpmzos25m8ivg.cloudfront.net/Documentos/631/31253722838/6313125372283811092023143646.pdf</v>
      </c>
      <c r="G6367" s="5" t="str">
        <f>HYPERLINK("https://dpmzos25m8ivg.cloudfront.net/Documentos/631/31253722838/6313125372283811092023143701.pdf","https://dpmzos25m8ivg.cloudfront.net/Documentos/631/31253722838/6313125372283811092023143701.pdf")</f>
        <v>https://dpmzos25m8ivg.cloudfront.net/Documentos/631/31253722838/6313125372283811092023143701.pdf</v>
      </c>
      <c r="H6367" s="4" t="s">
        <v>14937</v>
      </c>
    </row>
    <row r="6368" spans="1:8" x14ac:dyDescent="0.25">
      <c r="A6368" s="2" t="s">
        <v>6395</v>
      </c>
      <c r="B6368" s="3"/>
      <c r="C6368" s="3"/>
      <c r="D6368" s="3"/>
      <c r="E6368" s="5" t="str">
        <f>HYPERLINK("https://dpmzos25m8ivg.cloudfront.net/Documentos/631/31292030879/6313129203087911092023120823.jpg","https://dpmzos25m8ivg.cloudfront.net/Documentos/631/31292030879/6313129203087911092023120823.jpg")</f>
        <v>https://dpmzos25m8ivg.cloudfront.net/Documentos/631/31292030879/6313129203087911092023120823.jpg</v>
      </c>
      <c r="F6368" s="5" t="str">
        <f>HYPERLINK("https://dpmzos25m8ivg.cloudfront.net/Documentos/631/31292030879/6313129203087911092023120932.jpg","https://dpmzos25m8ivg.cloudfront.net/Documentos/631/31292030879/6313129203087911092023120932.jpg")</f>
        <v>https://dpmzos25m8ivg.cloudfront.net/Documentos/631/31292030879/6313129203087911092023120932.jpg</v>
      </c>
      <c r="G6368" s="5" t="str">
        <f>HYPERLINK("https://dpmzos25m8ivg.cloudfront.net/Documentos/631/31292030879/6313129203087911092023120954.jpg","https://dpmzos25m8ivg.cloudfront.net/Documentos/631/31292030879/6313129203087911092023120954.jpg")</f>
        <v>https://dpmzos25m8ivg.cloudfront.net/Documentos/631/31292030879/6313129203087911092023120954.jpg</v>
      </c>
      <c r="H6368" s="4" t="s">
        <v>14938</v>
      </c>
    </row>
    <row r="6369" spans="1:8" x14ac:dyDescent="0.25">
      <c r="A6369" s="2" t="s">
        <v>6396</v>
      </c>
      <c r="B6369" s="19" t="s">
        <v>3385</v>
      </c>
      <c r="C6369" s="3"/>
      <c r="D6369" s="3"/>
      <c r="E6369" s="5" t="str">
        <f>HYPERLINK("https://dpmzos25m8ivg.cloudfront.net/Documentos/631/31304089835/6313130408983507092023133419.pdf","https://dpmzos25m8ivg.cloudfront.net/Documentos/631/31304089835/6313130408983507092023133419.pdf")</f>
        <v>https://dpmzos25m8ivg.cloudfront.net/Documentos/631/31304089835/6313130408983507092023133419.pdf</v>
      </c>
      <c r="F6369" s="5" t="str">
        <f>HYPERLINK("https://dpmzos25m8ivg.cloudfront.net/Documentos/631/31304089835/6313130408983507092023133427.pdf","https://dpmzos25m8ivg.cloudfront.net/Documentos/631/31304089835/6313130408983507092023133427.pdf")</f>
        <v>https://dpmzos25m8ivg.cloudfront.net/Documentos/631/31304089835/6313130408983507092023133427.pdf</v>
      </c>
      <c r="G6369" s="5" t="str">
        <f>HYPERLINK("https://dpmzos25m8ivg.cloudfront.net/Documentos/631/31304089835/6313130408983507092023133439.pdf","https://dpmzos25m8ivg.cloudfront.net/Documentos/631/31304089835/6313130408983507092023133439.pdf")</f>
        <v>https://dpmzos25m8ivg.cloudfront.net/Documentos/631/31304089835/6313130408983507092023133439.pdf</v>
      </c>
      <c r="H6369" s="4" t="s">
        <v>14939</v>
      </c>
    </row>
    <row r="6370" spans="1:8" x14ac:dyDescent="0.25">
      <c r="A6370" s="2" t="s">
        <v>6397</v>
      </c>
      <c r="B6370" s="3"/>
      <c r="C6370" s="3"/>
      <c r="D6370" s="3"/>
      <c r="E6370" s="5" t="str">
        <f>HYPERLINK("https://dpmzos25m8ivg.cloudfront.net/Documentos/631/31315971860/6313131597186006092023202325.pdf","https://dpmzos25m8ivg.cloudfront.net/Documentos/631/31315971860/6313131597186006092023202325.pdf")</f>
        <v>https://dpmzos25m8ivg.cloudfront.net/Documentos/631/31315971860/6313131597186006092023202325.pdf</v>
      </c>
      <c r="F6370" s="5" t="str">
        <f>HYPERLINK("https://dpmzos25m8ivg.cloudfront.net/Documentos/631/31315971860/6313131597186006092023202336.pdf","https://dpmzos25m8ivg.cloudfront.net/Documentos/631/31315971860/6313131597186006092023202336.pdf")</f>
        <v>https://dpmzos25m8ivg.cloudfront.net/Documentos/631/31315971860/6313131597186006092023202336.pdf</v>
      </c>
      <c r="G6370" s="5" t="str">
        <f>HYPERLINK("https://dpmzos25m8ivg.cloudfront.net/Documentos/631/31315971860/6313131597186006092023202347.pdf","https://dpmzos25m8ivg.cloudfront.net/Documentos/631/31315971860/6313131597186006092023202347.pdf")</f>
        <v>https://dpmzos25m8ivg.cloudfront.net/Documentos/631/31315971860/6313131597186006092023202347.pdf</v>
      </c>
      <c r="H6370" s="4" t="s">
        <v>14940</v>
      </c>
    </row>
    <row r="6371" spans="1:8" x14ac:dyDescent="0.25">
      <c r="A6371" s="2" t="s">
        <v>6398</v>
      </c>
      <c r="B6371" s="3" t="s">
        <v>8</v>
      </c>
      <c r="C6371" s="3"/>
      <c r="D6371" s="3"/>
      <c r="E6371" s="5" t="str">
        <f>HYPERLINK("https://dpmzos25m8ivg.cloudfront.net/Documentos/631/31325832863/6313132583286314092023094515.pdf","https://dpmzos25m8ivg.cloudfront.net/Documentos/631/31325832863/6313132583286314092023094515.pdf")</f>
        <v>https://dpmzos25m8ivg.cloudfront.net/Documentos/631/31325832863/6313132583286314092023094515.pdf</v>
      </c>
      <c r="F6371" s="5" t="str">
        <f>HYPERLINK("https://dpmzos25m8ivg.cloudfront.net/Documentos/631/31325832863/6313132583286314092023094528.pdf","https://dpmzos25m8ivg.cloudfront.net/Documentos/631/31325832863/6313132583286314092023094528.pdf")</f>
        <v>https://dpmzos25m8ivg.cloudfront.net/Documentos/631/31325832863/6313132583286314092023094528.pdf</v>
      </c>
      <c r="G6371" s="5" t="str">
        <f>HYPERLINK("https://dpmzos25m8ivg.cloudfront.net/Documentos/631/31325832863/6313132583286314092023094537.pdf","https://dpmzos25m8ivg.cloudfront.net/Documentos/631/31325832863/6313132583286314092023094537.pdf")</f>
        <v>https://dpmzos25m8ivg.cloudfront.net/Documentos/631/31325832863/6313132583286314092023094537.pdf</v>
      </c>
      <c r="H6371" s="4" t="s">
        <v>14941</v>
      </c>
    </row>
    <row r="6372" spans="1:8" x14ac:dyDescent="0.25">
      <c r="A6372" s="2" t="s">
        <v>6399</v>
      </c>
      <c r="B6372" s="3"/>
      <c r="C6372" s="3"/>
      <c r="D6372" s="3"/>
      <c r="E6372" s="5" t="str">
        <f>HYPERLINK("https://dpmzos25m8ivg.cloudfront.net/Documentos/631/31343674832/6313134367483214092023150050.pdf","https://dpmzos25m8ivg.cloudfront.net/Documentos/631/31343674832/6313134367483214092023150050.pdf")</f>
        <v>https://dpmzos25m8ivg.cloudfront.net/Documentos/631/31343674832/6313134367483214092023150050.pdf</v>
      </c>
      <c r="F6372" s="5" t="str">
        <f>HYPERLINK("https://dpmzos25m8ivg.cloudfront.net/Documentos/631/31343674832/6313134367483214092023150110.pdf","https://dpmzos25m8ivg.cloudfront.net/Documentos/631/31343674832/6313134367483214092023150110.pdf")</f>
        <v>https://dpmzos25m8ivg.cloudfront.net/Documentos/631/31343674832/6313134367483214092023150110.pdf</v>
      </c>
      <c r="G6372" s="5" t="str">
        <f>HYPERLINK("https://dpmzos25m8ivg.cloudfront.net/Documentos/631/31343674832/6313134367483214092023150129.pdf","https://dpmzos25m8ivg.cloudfront.net/Documentos/631/31343674832/6313134367483214092023150129.pdf")</f>
        <v>https://dpmzos25m8ivg.cloudfront.net/Documentos/631/31343674832/6313134367483214092023150129.pdf</v>
      </c>
      <c r="H6372" s="4" t="s">
        <v>14942</v>
      </c>
    </row>
    <row r="6373" spans="1:8" x14ac:dyDescent="0.25">
      <c r="A6373" s="2" t="s">
        <v>6400</v>
      </c>
      <c r="B6373" s="3" t="s">
        <v>8</v>
      </c>
      <c r="C6373" s="3"/>
      <c r="D6373" s="3"/>
      <c r="E6373" s="5" t="str">
        <f>HYPERLINK("https://dpmzos25m8ivg.cloudfront.net/Documentos/631/31390228835/6313139022883506092023043236.jpg","https://dpmzos25m8ivg.cloudfront.net/Documentos/631/31390228835/6313139022883506092023043236.jpg")</f>
        <v>https://dpmzos25m8ivg.cloudfront.net/Documentos/631/31390228835/6313139022883506092023043236.jpg</v>
      </c>
      <c r="F6373" s="5" t="str">
        <f>HYPERLINK("https://dpmzos25m8ivg.cloudfront.net/Documentos/631/31390228835/6313139022883506092023043256.jpg","https://dpmzos25m8ivg.cloudfront.net/Documentos/631/31390228835/6313139022883506092023043256.jpg")</f>
        <v>https://dpmzos25m8ivg.cloudfront.net/Documentos/631/31390228835/6313139022883506092023043256.jpg</v>
      </c>
      <c r="G6373" s="5" t="str">
        <f>HYPERLINK("https://dpmzos25m8ivg.cloudfront.net/Documentos/631/31390228835/6313139022883506092023043314.jpg","https://dpmzos25m8ivg.cloudfront.net/Documentos/631/31390228835/6313139022883506092023043314.jpg")</f>
        <v>https://dpmzos25m8ivg.cloudfront.net/Documentos/631/31390228835/6313139022883506092023043314.jpg</v>
      </c>
      <c r="H6373" s="4" t="s">
        <v>14943</v>
      </c>
    </row>
    <row r="6374" spans="1:8" x14ac:dyDescent="0.25">
      <c r="A6374" s="2" t="s">
        <v>6401</v>
      </c>
      <c r="B6374" s="3"/>
      <c r="C6374" s="3"/>
      <c r="D6374" s="3"/>
      <c r="E6374" s="5" t="str">
        <f>HYPERLINK("https://dpmzos25m8ivg.cloudfront.net/Documentos/631/31408540568/6313140854056805092023164808.pdf","https://dpmzos25m8ivg.cloudfront.net/Documentos/631/31408540568/6313140854056805092023164808.pdf")</f>
        <v>https://dpmzos25m8ivg.cloudfront.net/Documentos/631/31408540568/6313140854056805092023164808.pdf</v>
      </c>
      <c r="F6374" s="5" t="str">
        <f>HYPERLINK("https://dpmzos25m8ivg.cloudfront.net/Documentos/631/31408540568/6313140854056805092023164944.pdf","https://dpmzos25m8ivg.cloudfront.net/Documentos/631/31408540568/6313140854056805092023164944.pdf")</f>
        <v>https://dpmzos25m8ivg.cloudfront.net/Documentos/631/31408540568/6313140854056805092023164944.pdf</v>
      </c>
      <c r="G6374" s="5" t="str">
        <f>HYPERLINK("https://dpmzos25m8ivg.cloudfront.net/Documentos/631/31408540568/6313140854056805092023165006.pdf","https://dpmzos25m8ivg.cloudfront.net/Documentos/631/31408540568/6313140854056805092023165006.pdf")</f>
        <v>https://dpmzos25m8ivg.cloudfront.net/Documentos/631/31408540568/6313140854056805092023165006.pdf</v>
      </c>
      <c r="H6374" s="4" t="s">
        <v>14944</v>
      </c>
    </row>
    <row r="6375" spans="1:8" x14ac:dyDescent="0.25">
      <c r="A6375" s="2" t="s">
        <v>6402</v>
      </c>
      <c r="B6375" s="3"/>
      <c r="C6375" s="3"/>
      <c r="D6375" s="3"/>
      <c r="E6375" s="5" t="str">
        <f>HYPERLINK("https://dpmzos25m8ivg.cloudfront.net/Documentos/631/31448542120/6313144854212011092023130611.jpg","https://dpmzos25m8ivg.cloudfront.net/Documentos/631/31448542120/6313144854212011092023130611.jpg")</f>
        <v>https://dpmzos25m8ivg.cloudfront.net/Documentos/631/31448542120/6313144854212011092023130611.jpg</v>
      </c>
      <c r="F6375" s="5" t="str">
        <f>HYPERLINK("https://dpmzos25m8ivg.cloudfront.net/Documentos/631/31448542120/6313144854212011092023130637.jpg","https://dpmzos25m8ivg.cloudfront.net/Documentos/631/31448542120/6313144854212011092023130637.jpg")</f>
        <v>https://dpmzos25m8ivg.cloudfront.net/Documentos/631/31448542120/6313144854212011092023130637.jpg</v>
      </c>
      <c r="G6375" s="5" t="str">
        <f>HYPERLINK("https://dpmzos25m8ivg.cloudfront.net/Documentos/631/31448542120/6313144854212011092023130649.jpg","https://dpmzos25m8ivg.cloudfront.net/Documentos/631/31448542120/6313144854212011092023130649.jpg")</f>
        <v>https://dpmzos25m8ivg.cloudfront.net/Documentos/631/31448542120/6313144854212011092023130649.jpg</v>
      </c>
      <c r="H6375" s="4" t="s">
        <v>14945</v>
      </c>
    </row>
    <row r="6376" spans="1:8" x14ac:dyDescent="0.25">
      <c r="A6376" s="2" t="s">
        <v>6403</v>
      </c>
      <c r="B6376" s="3" t="s">
        <v>8</v>
      </c>
      <c r="C6376" s="3"/>
      <c r="D6376" s="3"/>
      <c r="E6376" s="5" t="str">
        <f>HYPERLINK("https://dpmzos25m8ivg.cloudfront.net/Documentos/631/31480060895/6313148006089506092023011802.pdf","https://dpmzos25m8ivg.cloudfront.net/Documentos/631/31480060895/6313148006089506092023011802.pdf")</f>
        <v>https://dpmzos25m8ivg.cloudfront.net/Documentos/631/31480060895/6313148006089506092023011802.pdf</v>
      </c>
      <c r="F6376" s="5" t="str">
        <f>HYPERLINK("https://dpmzos25m8ivg.cloudfront.net/Documentos/631/31480060895/6313148006089506092023011827.pdf","https://dpmzos25m8ivg.cloudfront.net/Documentos/631/31480060895/6313148006089506092023011827.pdf")</f>
        <v>https://dpmzos25m8ivg.cloudfront.net/Documentos/631/31480060895/6313148006089506092023011827.pdf</v>
      </c>
      <c r="G6376" s="5" t="str">
        <f>HYPERLINK("https://dpmzos25m8ivg.cloudfront.net/Documentos/631/31480060895/6313148006089506092023011854.pdf","https://dpmzos25m8ivg.cloudfront.net/Documentos/631/31480060895/6313148006089506092023011854.pdf")</f>
        <v>https://dpmzos25m8ivg.cloudfront.net/Documentos/631/31480060895/6313148006089506092023011854.pdf</v>
      </c>
      <c r="H6376" s="4" t="s">
        <v>14946</v>
      </c>
    </row>
    <row r="6377" spans="1:8" x14ac:dyDescent="0.25">
      <c r="A6377" s="2" t="s">
        <v>6404</v>
      </c>
      <c r="B6377" s="3"/>
      <c r="C6377" s="3"/>
      <c r="D6377" s="3"/>
      <c r="E6377" s="5" t="str">
        <f>HYPERLINK("https://dpmzos25m8ivg.cloudfront.net/Documentos/631/31500154806/6313150015480611092023121454.pdf","https://dpmzos25m8ivg.cloudfront.net/Documentos/631/31500154806/6313150015480611092023121454.pdf")</f>
        <v>https://dpmzos25m8ivg.cloudfront.net/Documentos/631/31500154806/6313150015480611092023121454.pdf</v>
      </c>
      <c r="F6377" s="5" t="str">
        <f>HYPERLINK("https://dpmzos25m8ivg.cloudfront.net/Documentos/631/31500154806/6313150015480611092023121504.pdf","https://dpmzos25m8ivg.cloudfront.net/Documentos/631/31500154806/6313150015480611092023121504.pdf")</f>
        <v>https://dpmzos25m8ivg.cloudfront.net/Documentos/631/31500154806/6313150015480611092023121504.pdf</v>
      </c>
      <c r="G6377" s="5" t="str">
        <f>HYPERLINK("https://dpmzos25m8ivg.cloudfront.net/Documentos/631/31500154806/6313150015480611092023121517.pdf","https://dpmzos25m8ivg.cloudfront.net/Documentos/631/31500154806/6313150015480611092023121517.pdf")</f>
        <v>https://dpmzos25m8ivg.cloudfront.net/Documentos/631/31500154806/6313150015480611092023121517.pdf</v>
      </c>
      <c r="H6377" s="4" t="s">
        <v>14947</v>
      </c>
    </row>
    <row r="6378" spans="1:8" x14ac:dyDescent="0.25">
      <c r="A6378" s="2" t="s">
        <v>6405</v>
      </c>
      <c r="B6378" s="3"/>
      <c r="C6378" s="3"/>
      <c r="D6378" s="3"/>
      <c r="E6378" s="5" t="str">
        <f>HYPERLINK("https://dpmzos25m8ivg.cloudfront.net/Documentos/631/31504224850/6313150422485011092023133617.pdf","https://dpmzos25m8ivg.cloudfront.net/Documentos/631/31504224850/6313150422485011092023133617.pdf")</f>
        <v>https://dpmzos25m8ivg.cloudfront.net/Documentos/631/31504224850/6313150422485011092023133617.pdf</v>
      </c>
      <c r="F6378" s="5" t="str">
        <f>HYPERLINK("https://dpmzos25m8ivg.cloudfront.net/Documentos/631/31504224850/6313150422485011092023133710.pdf","https://dpmzos25m8ivg.cloudfront.net/Documentos/631/31504224850/6313150422485011092023133710.pdf")</f>
        <v>https://dpmzos25m8ivg.cloudfront.net/Documentos/631/31504224850/6313150422485011092023133710.pdf</v>
      </c>
      <c r="G6378" s="5" t="str">
        <f>HYPERLINK("https://dpmzos25m8ivg.cloudfront.net/Documentos/631/31504224850/6313150422485011092023133754.pdf","https://dpmzos25m8ivg.cloudfront.net/Documentos/631/31504224850/6313150422485011092023133754.pdf")</f>
        <v>https://dpmzos25m8ivg.cloudfront.net/Documentos/631/31504224850/6313150422485011092023133754.pdf</v>
      </c>
      <c r="H6378" s="4" t="s">
        <v>14948</v>
      </c>
    </row>
    <row r="6379" spans="1:8" x14ac:dyDescent="0.25">
      <c r="A6379" s="2" t="s">
        <v>6406</v>
      </c>
      <c r="B6379" s="3"/>
      <c r="C6379" s="3"/>
      <c r="D6379" s="3"/>
      <c r="E6379" s="5" t="str">
        <f>HYPERLINK("https://dpmzos25m8ivg.cloudfront.net/Documentos/631/31540842827/6313154084282711092023152500.pdf","https://dpmzos25m8ivg.cloudfront.net/Documentos/631/31540842827/6313154084282711092023152500.pdf")</f>
        <v>https://dpmzos25m8ivg.cloudfront.net/Documentos/631/31540842827/6313154084282711092023152500.pdf</v>
      </c>
      <c r="F6379" s="5" t="str">
        <f>HYPERLINK("https://dpmzos25m8ivg.cloudfront.net/Documentos/631/31540842827/6313154084282711092023152509.pdf","https://dpmzos25m8ivg.cloudfront.net/Documentos/631/31540842827/6313154084282711092023152509.pdf")</f>
        <v>https://dpmzos25m8ivg.cloudfront.net/Documentos/631/31540842827/6313154084282711092023152509.pdf</v>
      </c>
      <c r="G6379" s="5" t="str">
        <f>HYPERLINK("https://dpmzos25m8ivg.cloudfront.net/Documentos/631/31540842827/6313154084282711092023152519.pdf","https://dpmzos25m8ivg.cloudfront.net/Documentos/631/31540842827/6313154084282711092023152519.pdf")</f>
        <v>https://dpmzos25m8ivg.cloudfront.net/Documentos/631/31540842827/6313154084282711092023152519.pdf</v>
      </c>
      <c r="H6379" s="4" t="s">
        <v>14949</v>
      </c>
    </row>
    <row r="6380" spans="1:8" x14ac:dyDescent="0.25">
      <c r="A6380" s="2" t="s">
        <v>6407</v>
      </c>
      <c r="B6380" s="3"/>
      <c r="C6380" s="3"/>
      <c r="D6380" s="3"/>
      <c r="E6380" s="5" t="str">
        <f>HYPERLINK("https://dpmzos25m8ivg.cloudfront.net/Documentos/631/31581962800/6313158196280011092023161846.pdf","https://dpmzos25m8ivg.cloudfront.net/Documentos/631/31581962800/6313158196280011092023161846.pdf")</f>
        <v>https://dpmzos25m8ivg.cloudfront.net/Documentos/631/31581962800/6313158196280011092023161846.pdf</v>
      </c>
      <c r="F6380" s="5" t="str">
        <f>HYPERLINK("https://dpmzos25m8ivg.cloudfront.net/Documentos/631/31581962800/6313158196280011092023161913.pdf","https://dpmzos25m8ivg.cloudfront.net/Documentos/631/31581962800/6313158196280011092023161913.pdf")</f>
        <v>https://dpmzos25m8ivg.cloudfront.net/Documentos/631/31581962800/6313158196280011092023161913.pdf</v>
      </c>
      <c r="G6380" s="5" t="str">
        <f>HYPERLINK("https://dpmzos25m8ivg.cloudfront.net/Documentos/631/31581962800/6313158196280011092023161935.pdf","https://dpmzos25m8ivg.cloudfront.net/Documentos/631/31581962800/6313158196280011092023161935.pdf")</f>
        <v>https://dpmzos25m8ivg.cloudfront.net/Documentos/631/31581962800/6313158196280011092023161935.pdf</v>
      </c>
      <c r="H6380" s="4" t="s">
        <v>14950</v>
      </c>
    </row>
    <row r="6381" spans="1:8" x14ac:dyDescent="0.25">
      <c r="A6381" s="2" t="s">
        <v>6408</v>
      </c>
      <c r="B6381" s="3"/>
      <c r="C6381" s="3"/>
      <c r="D6381" s="3"/>
      <c r="E6381" s="5" t="str">
        <f>HYPERLINK("https://dpmzos25m8ivg.cloudfront.net/Documentos/631/31597483249/6313159748324911092023154029.pdf","https://dpmzos25m8ivg.cloudfront.net/Documentos/631/31597483249/6313159748324911092023154029.pdf")</f>
        <v>https://dpmzos25m8ivg.cloudfront.net/Documentos/631/31597483249/6313159748324911092023154029.pdf</v>
      </c>
      <c r="F6381" s="5" t="str">
        <f>HYPERLINK("https://dpmzos25m8ivg.cloudfront.net/Documentos/631/31597483249/6313159748324911092023154052.pdf","https://dpmzos25m8ivg.cloudfront.net/Documentos/631/31597483249/6313159748324911092023154052.pdf")</f>
        <v>https://dpmzos25m8ivg.cloudfront.net/Documentos/631/31597483249/6313159748324911092023154052.pdf</v>
      </c>
      <c r="G6381" s="5" t="str">
        <f>HYPERLINK("https://dpmzos25m8ivg.cloudfront.net/Documentos/631/31597483249/6313159748324911092023154125.pdf","https://dpmzos25m8ivg.cloudfront.net/Documentos/631/31597483249/6313159748324911092023154125.pdf")</f>
        <v>https://dpmzos25m8ivg.cloudfront.net/Documentos/631/31597483249/6313159748324911092023154125.pdf</v>
      </c>
      <c r="H6381" s="4" t="s">
        <v>14951</v>
      </c>
    </row>
    <row r="6382" spans="1:8" x14ac:dyDescent="0.25">
      <c r="A6382" s="2" t="s">
        <v>6409</v>
      </c>
      <c r="B6382" s="3"/>
      <c r="C6382" s="3"/>
      <c r="D6382" s="3"/>
      <c r="E6382" s="5" t="str">
        <f>HYPERLINK("https://dpmzos25m8ivg.cloudfront.net/Documentos/631/31600182534/6313160018253405092023103224.jpeg","https://dpmzos25m8ivg.cloudfront.net/Documentos/631/31600182534/6313160018253405092023103224.jpeg")</f>
        <v>https://dpmzos25m8ivg.cloudfront.net/Documentos/631/31600182534/6313160018253405092023103224.jpeg</v>
      </c>
      <c r="F6382" s="5" t="str">
        <f>HYPERLINK("https://dpmzos25m8ivg.cloudfront.net/Documentos/631/31600182534/6313160018253405092023103543.jpeg","https://dpmzos25m8ivg.cloudfront.net/Documentos/631/31600182534/6313160018253405092023103543.jpeg")</f>
        <v>https://dpmzos25m8ivg.cloudfront.net/Documentos/631/31600182534/6313160018253405092023103543.jpeg</v>
      </c>
      <c r="G6382" s="5" t="str">
        <f>HYPERLINK("https://dpmzos25m8ivg.cloudfront.net/Documentos/631/31600182534/6313160018253405092023103732.jpeg","https://dpmzos25m8ivg.cloudfront.net/Documentos/631/31600182534/6313160018253405092023103732.jpeg")</f>
        <v>https://dpmzos25m8ivg.cloudfront.net/Documentos/631/31600182534/6313160018253405092023103732.jpeg</v>
      </c>
      <c r="H6382" s="4" t="s">
        <v>14952</v>
      </c>
    </row>
    <row r="6383" spans="1:8" x14ac:dyDescent="0.25">
      <c r="A6383" s="2" t="s">
        <v>6410</v>
      </c>
      <c r="B6383" s="19" t="s">
        <v>3385</v>
      </c>
      <c r="C6383" s="3"/>
      <c r="D6383" s="3"/>
      <c r="E6383" s="5" t="str">
        <f>HYPERLINK("https://dpmzos25m8ivg.cloudfront.net/Documentos/631/31605926850/6313160592685009092023124248.pdf","https://dpmzos25m8ivg.cloudfront.net/Documentos/631/31605926850/6313160592685009092023124248.pdf")</f>
        <v>https://dpmzos25m8ivg.cloudfront.net/Documentos/631/31605926850/6313160592685009092023124248.pdf</v>
      </c>
      <c r="F6383" s="5" t="str">
        <f>HYPERLINK("https://dpmzos25m8ivg.cloudfront.net/Documentos/631/31605926850/6313160592685009092023124418.pdf","https://dpmzos25m8ivg.cloudfront.net/Documentos/631/31605926850/6313160592685009092023124418.pdf")</f>
        <v>https://dpmzos25m8ivg.cloudfront.net/Documentos/631/31605926850/6313160592685009092023124418.pdf</v>
      </c>
      <c r="G6383" s="5" t="str">
        <f>HYPERLINK("https://dpmzos25m8ivg.cloudfront.net/Documentos/631/31605926850/6313160592685009092023124437.pdf","https://dpmzos25m8ivg.cloudfront.net/Documentos/631/31605926850/6313160592685009092023124437.pdf")</f>
        <v>https://dpmzos25m8ivg.cloudfront.net/Documentos/631/31605926850/6313160592685009092023124437.pdf</v>
      </c>
      <c r="H6383" s="4" t="s">
        <v>14953</v>
      </c>
    </row>
    <row r="6384" spans="1:8" x14ac:dyDescent="0.25">
      <c r="A6384" s="2" t="s">
        <v>6411</v>
      </c>
      <c r="B6384" s="3" t="s">
        <v>8</v>
      </c>
      <c r="C6384" s="3"/>
      <c r="D6384" s="3"/>
      <c r="E6384" s="5" t="str">
        <f>HYPERLINK("https://dpmzos25m8ivg.cloudfront.net/Documentos/631/31611908825/6313161190882511092023142749.pdf","https://dpmzos25m8ivg.cloudfront.net/Documentos/631/31611908825/6313161190882511092023142749.pdf")</f>
        <v>https://dpmzos25m8ivg.cloudfront.net/Documentos/631/31611908825/6313161190882511092023142749.pdf</v>
      </c>
      <c r="F6384" s="5" t="str">
        <f>HYPERLINK("https://dpmzos25m8ivg.cloudfront.net/Documentos/631/31611908825/6313161190882511092023142831.pdf","https://dpmzos25m8ivg.cloudfront.net/Documentos/631/31611908825/6313161190882511092023142831.pdf")</f>
        <v>https://dpmzos25m8ivg.cloudfront.net/Documentos/631/31611908825/6313161190882511092023142831.pdf</v>
      </c>
      <c r="G6384" s="5" t="str">
        <f>HYPERLINK("https://dpmzos25m8ivg.cloudfront.net/Documentos/631/31611908825/6313161190882511092023142927.pdf","https://dpmzos25m8ivg.cloudfront.net/Documentos/631/31611908825/6313161190882511092023142927.pdf")</f>
        <v>https://dpmzos25m8ivg.cloudfront.net/Documentos/631/31611908825/6313161190882511092023142927.pdf</v>
      </c>
      <c r="H6384" s="4" t="s">
        <v>14954</v>
      </c>
    </row>
    <row r="6385" spans="1:8" x14ac:dyDescent="0.25">
      <c r="A6385" s="2" t="s">
        <v>6412</v>
      </c>
      <c r="B6385" s="3"/>
      <c r="C6385" s="3"/>
      <c r="D6385" s="3"/>
      <c r="E6385" s="5" t="str">
        <f>HYPERLINK("https://dpmzos25m8ivg.cloudfront.net/Documentos/631/31612228810/6313161222881011092023152434.pdf","https://dpmzos25m8ivg.cloudfront.net/Documentos/631/31612228810/6313161222881011092023152434.pdf")</f>
        <v>https://dpmzos25m8ivg.cloudfront.net/Documentos/631/31612228810/6313161222881011092023152434.pdf</v>
      </c>
      <c r="F6385" s="5" t="str">
        <f>HYPERLINK("https://dpmzos25m8ivg.cloudfront.net/Documentos/631/31612228810/6313161222881011092023152504.pdf","https://dpmzos25m8ivg.cloudfront.net/Documentos/631/31612228810/6313161222881011092023152504.pdf")</f>
        <v>https://dpmzos25m8ivg.cloudfront.net/Documentos/631/31612228810/6313161222881011092023152504.pdf</v>
      </c>
      <c r="G6385" s="5" t="str">
        <f>HYPERLINK("https://dpmzos25m8ivg.cloudfront.net/Documentos/631/31612228810/6313161222881011092023152524.pdf","https://dpmzos25m8ivg.cloudfront.net/Documentos/631/31612228810/6313161222881011092023152524.pdf")</f>
        <v>https://dpmzos25m8ivg.cloudfront.net/Documentos/631/31612228810/6313161222881011092023152524.pdf</v>
      </c>
      <c r="H6385" s="4" t="s">
        <v>14955</v>
      </c>
    </row>
    <row r="6386" spans="1:8" x14ac:dyDescent="0.25">
      <c r="A6386" s="2" t="s">
        <v>6413</v>
      </c>
      <c r="B6386" s="3"/>
      <c r="C6386" s="3"/>
      <c r="D6386" s="3"/>
      <c r="E6386" s="5" t="str">
        <f>HYPERLINK("https://dpmzos25m8ivg.cloudfront.net/Documentos/631/31667901877/6313166790187709092023002018.jpg","https://dpmzos25m8ivg.cloudfront.net/Documentos/631/31667901877/6313166790187709092023002018.jpg")</f>
        <v>https://dpmzos25m8ivg.cloudfront.net/Documentos/631/31667901877/6313166790187709092023002018.jpg</v>
      </c>
      <c r="F6386" s="5" t="str">
        <f>HYPERLINK("https://dpmzos25m8ivg.cloudfront.net/Documentos/631/31667901877/6313166790187708092023234049.jpg","https://dpmzos25m8ivg.cloudfront.net/Documentos/631/31667901877/6313166790187708092023234049.jpg")</f>
        <v>https://dpmzos25m8ivg.cloudfront.net/Documentos/631/31667901877/6313166790187708092023234049.jpg</v>
      </c>
      <c r="G6386" s="5" t="str">
        <f>HYPERLINK("https://dpmzos25m8ivg.cloudfront.net/Documentos/631/31667901877/6313166790187708092023234102.jpg","https://dpmzos25m8ivg.cloudfront.net/Documentos/631/31667901877/6313166790187708092023234102.jpg")</f>
        <v>https://dpmzos25m8ivg.cloudfront.net/Documentos/631/31667901877/6313166790187708092023234102.jpg</v>
      </c>
      <c r="H6386" s="4" t="s">
        <v>14956</v>
      </c>
    </row>
    <row r="6387" spans="1:8" x14ac:dyDescent="0.25">
      <c r="A6387" s="2" t="s">
        <v>6414</v>
      </c>
      <c r="B6387" s="3"/>
      <c r="C6387" s="3"/>
      <c r="D6387" s="3"/>
      <c r="E6387" s="5" t="str">
        <f>HYPERLINK("https://dpmzos25m8ivg.cloudfront.net/Documentos/631/31691367800/6313169136780006092023165147.pdf","https://dpmzos25m8ivg.cloudfront.net/Documentos/631/31691367800/6313169136780006092023165147.pdf")</f>
        <v>https://dpmzos25m8ivg.cloudfront.net/Documentos/631/31691367800/6313169136780006092023165147.pdf</v>
      </c>
      <c r="F6387" s="5" t="str">
        <f>HYPERLINK("https://dpmzos25m8ivg.cloudfront.net/Documentos/631/31691367800/6313169136780006092023165200.pdf","https://dpmzos25m8ivg.cloudfront.net/Documentos/631/31691367800/6313169136780006092023165200.pdf")</f>
        <v>https://dpmzos25m8ivg.cloudfront.net/Documentos/631/31691367800/6313169136780006092023165200.pdf</v>
      </c>
      <c r="G6387" s="5" t="str">
        <f>HYPERLINK("https://dpmzos25m8ivg.cloudfront.net/Documentos/631/31691367800/6313169136780006092023165211.pdf","https://dpmzos25m8ivg.cloudfront.net/Documentos/631/31691367800/6313169136780006092023165211.pdf")</f>
        <v>https://dpmzos25m8ivg.cloudfront.net/Documentos/631/31691367800/6313169136780006092023165211.pdf</v>
      </c>
      <c r="H6387" s="4" t="s">
        <v>14957</v>
      </c>
    </row>
    <row r="6388" spans="1:8" x14ac:dyDescent="0.25">
      <c r="A6388" s="2" t="s">
        <v>6415</v>
      </c>
      <c r="B6388" s="3"/>
      <c r="C6388" s="3"/>
      <c r="D6388" s="3"/>
      <c r="E6388" s="5" t="str">
        <f>HYPERLINK("https://dpmzos25m8ivg.cloudfront.net/Documentos/631/31722374861/6313172237486105092023155051.pdf","https://dpmzos25m8ivg.cloudfront.net/Documentos/631/31722374861/6313172237486105092023155051.pdf")</f>
        <v>https://dpmzos25m8ivg.cloudfront.net/Documentos/631/31722374861/6313172237486105092023155051.pdf</v>
      </c>
      <c r="F6388" s="5" t="str">
        <f>HYPERLINK("https://dpmzos25m8ivg.cloudfront.net/Documentos/631/31722374861/6313172237486105092023155333.pdf","https://dpmzos25m8ivg.cloudfront.net/Documentos/631/31722374861/6313172237486105092023155333.pdf")</f>
        <v>https://dpmzos25m8ivg.cloudfront.net/Documentos/631/31722374861/6313172237486105092023155333.pdf</v>
      </c>
      <c r="G6388" s="5" t="str">
        <f>HYPERLINK("https://dpmzos25m8ivg.cloudfront.net/Documentos/631/31722374861/6313172237486105092023155441.pdf","https://dpmzos25m8ivg.cloudfront.net/Documentos/631/31722374861/6313172237486105092023155441.pdf")</f>
        <v>https://dpmzos25m8ivg.cloudfront.net/Documentos/631/31722374861/6313172237486105092023155441.pdf</v>
      </c>
      <c r="H6388" s="4" t="s">
        <v>14958</v>
      </c>
    </row>
    <row r="6389" spans="1:8" x14ac:dyDescent="0.25">
      <c r="A6389" s="2" t="s">
        <v>6416</v>
      </c>
      <c r="B6389" s="3"/>
      <c r="C6389" s="3"/>
      <c r="D6389" s="3"/>
      <c r="E6389" s="5" t="str">
        <f>HYPERLINK("https://dpmzos25m8ivg.cloudfront.net/Documentos/631/31726199827/6313172619982709092023181028.pdf","https://dpmzos25m8ivg.cloudfront.net/Documentos/631/31726199827/6313172619982709092023181028.pdf")</f>
        <v>https://dpmzos25m8ivg.cloudfront.net/Documentos/631/31726199827/6313172619982709092023181028.pdf</v>
      </c>
      <c r="F6389" s="5" t="str">
        <f>HYPERLINK("https://dpmzos25m8ivg.cloudfront.net/Documentos/631/31726199827/6313172619982709092023181040.pdf","https://dpmzos25m8ivg.cloudfront.net/Documentos/631/31726199827/6313172619982709092023181040.pdf")</f>
        <v>https://dpmzos25m8ivg.cloudfront.net/Documentos/631/31726199827/6313172619982709092023181040.pdf</v>
      </c>
      <c r="G6389" s="5" t="str">
        <f>HYPERLINK("https://dpmzos25m8ivg.cloudfront.net/Documentos/631/31726199827/6313172619982709092023181052.pdf","https://dpmzos25m8ivg.cloudfront.net/Documentos/631/31726199827/6313172619982709092023181052.pdf")</f>
        <v>https://dpmzos25m8ivg.cloudfront.net/Documentos/631/31726199827/6313172619982709092023181052.pdf</v>
      </c>
      <c r="H6389" s="4" t="s">
        <v>14959</v>
      </c>
    </row>
    <row r="6390" spans="1:8" x14ac:dyDescent="0.25">
      <c r="A6390" s="2" t="s">
        <v>6417</v>
      </c>
      <c r="B6390" s="3"/>
      <c r="C6390" s="3"/>
      <c r="D6390" s="3"/>
      <c r="E6390" s="5" t="str">
        <f>HYPERLINK("https://dpmzos25m8ivg.cloudfront.net/Documentos/631/31728848806/6313172884880606092023113150.pdf","https://dpmzos25m8ivg.cloudfront.net/Documentos/631/31728848806/6313172884880606092023113150.pdf")</f>
        <v>https://dpmzos25m8ivg.cloudfront.net/Documentos/631/31728848806/6313172884880606092023113150.pdf</v>
      </c>
      <c r="F6390" s="5" t="str">
        <f>HYPERLINK("https://dpmzos25m8ivg.cloudfront.net/Documentos/631/31728848806/6313172884880606092023113157.pdf","https://dpmzos25m8ivg.cloudfront.net/Documentos/631/31728848806/6313172884880606092023113157.pdf")</f>
        <v>https://dpmzos25m8ivg.cloudfront.net/Documentos/631/31728848806/6313172884880606092023113157.pdf</v>
      </c>
      <c r="G6390" s="5" t="str">
        <f>HYPERLINK("https://dpmzos25m8ivg.cloudfront.net/Documentos/631/31728848806/6313172884880606092023113206.pdf","https://dpmzos25m8ivg.cloudfront.net/Documentos/631/31728848806/6313172884880606092023113206.pdf")</f>
        <v>https://dpmzos25m8ivg.cloudfront.net/Documentos/631/31728848806/6313172884880606092023113206.pdf</v>
      </c>
      <c r="H6390" s="4" t="s">
        <v>14960</v>
      </c>
    </row>
    <row r="6391" spans="1:8" x14ac:dyDescent="0.25">
      <c r="A6391" s="2" t="s">
        <v>6418</v>
      </c>
      <c r="B6391" s="16" t="s">
        <v>2358</v>
      </c>
      <c r="C6391" s="3"/>
      <c r="D6391" s="3"/>
      <c r="E6391" s="5" t="str">
        <f>HYPERLINK("https://dpmzos25m8ivg.cloudfront.net/Documentos/631/31732820864/6313173282086411092023142603.jpg","https://dpmzos25m8ivg.cloudfront.net/Documentos/631/31732820864/6313173282086411092023142603.jpg")</f>
        <v>https://dpmzos25m8ivg.cloudfront.net/Documentos/631/31732820864/6313173282086411092023142603.jpg</v>
      </c>
      <c r="F6391" s="5" t="str">
        <f>HYPERLINK("https://dpmzos25m8ivg.cloudfront.net/Documentos/631/31732820864/6313173282086411092023142622.jpg","https://dpmzos25m8ivg.cloudfront.net/Documentos/631/31732820864/6313173282086411092023142622.jpg")</f>
        <v>https://dpmzos25m8ivg.cloudfront.net/Documentos/631/31732820864/6313173282086411092023142622.jpg</v>
      </c>
      <c r="G6391" s="5" t="str">
        <f>HYPERLINK("https://dpmzos25m8ivg.cloudfront.net/Documentos/631/31732820864/6313173282086411092023142652.jpg","https://dpmzos25m8ivg.cloudfront.net/Documentos/631/31732820864/6313173282086411092023142652.jpg")</f>
        <v>https://dpmzos25m8ivg.cloudfront.net/Documentos/631/31732820864/6313173282086411092023142652.jpg</v>
      </c>
      <c r="H6391" s="5" t="s">
        <v>14961</v>
      </c>
    </row>
    <row r="6392" spans="1:8" x14ac:dyDescent="0.25">
      <c r="A6392" s="2" t="s">
        <v>6419</v>
      </c>
      <c r="B6392" s="16" t="s">
        <v>2358</v>
      </c>
      <c r="C6392" s="3"/>
      <c r="D6392" s="3"/>
      <c r="E6392" s="5" t="str">
        <f>HYPERLINK("https://dpmzos25m8ivg.cloudfront.net/Documentos/631/31777702801/6313177770280113092023091238.pdf","https://dpmzos25m8ivg.cloudfront.net/Documentos/631/31777702801/6313177770280113092023091238.pdf")</f>
        <v>https://dpmzos25m8ivg.cloudfront.net/Documentos/631/31777702801/6313177770280113092023091238.pdf</v>
      </c>
      <c r="F6392" s="5" t="str">
        <f>HYPERLINK("https://dpmzos25m8ivg.cloudfront.net/Documentos/631/31777702801/6313177770280113092023091308.pdf","https://dpmzos25m8ivg.cloudfront.net/Documentos/631/31777702801/6313177770280113092023091308.pdf")</f>
        <v>https://dpmzos25m8ivg.cloudfront.net/Documentos/631/31777702801/6313177770280113092023091308.pdf</v>
      </c>
      <c r="G6392" s="5" t="str">
        <f>HYPERLINK("https://dpmzos25m8ivg.cloudfront.net/Documentos/631/31777702801/6313177770280113092023091321.pdf","https://dpmzos25m8ivg.cloudfront.net/Documentos/631/31777702801/6313177770280113092023091321.pdf")</f>
        <v>https://dpmzos25m8ivg.cloudfront.net/Documentos/631/31777702801/6313177770280113092023091321.pdf</v>
      </c>
      <c r="H6392" s="5" t="s">
        <v>14962</v>
      </c>
    </row>
    <row r="6393" spans="1:8" x14ac:dyDescent="0.25">
      <c r="A6393" s="2" t="s">
        <v>6420</v>
      </c>
      <c r="B6393" s="3"/>
      <c r="C6393" s="3"/>
      <c r="D6393" s="3"/>
      <c r="E6393" s="5" t="str">
        <f>HYPERLINK("https://dpmzos25m8ivg.cloudfront.net/Documentos/631/31794025553/6313179402555311092023141339.pdf","https://dpmzos25m8ivg.cloudfront.net/Documentos/631/31794025553/6313179402555311092023141339.pdf")</f>
        <v>https://dpmzos25m8ivg.cloudfront.net/Documentos/631/31794025553/6313179402555311092023141339.pdf</v>
      </c>
      <c r="F6393" s="5" t="str">
        <f>HYPERLINK("https://dpmzos25m8ivg.cloudfront.net/Documentos/631/31794025553/6313179402555311092023141406.pdf","https://dpmzos25m8ivg.cloudfront.net/Documentos/631/31794025553/6313179402555311092023141406.pdf")</f>
        <v>https://dpmzos25m8ivg.cloudfront.net/Documentos/631/31794025553/6313179402555311092023141406.pdf</v>
      </c>
      <c r="G6393" s="5" t="str">
        <f>HYPERLINK("https://dpmzos25m8ivg.cloudfront.net/Documentos/631/31794025553/6313179402555311092023141431.pdf","https://dpmzos25m8ivg.cloudfront.net/Documentos/631/31794025553/6313179402555311092023141431.pdf")</f>
        <v>https://dpmzos25m8ivg.cloudfront.net/Documentos/631/31794025553/6313179402555311092023141431.pdf</v>
      </c>
      <c r="H6393" s="4" t="s">
        <v>14963</v>
      </c>
    </row>
    <row r="6394" spans="1:8" x14ac:dyDescent="0.25">
      <c r="A6394" s="2" t="s">
        <v>6421</v>
      </c>
      <c r="B6394" s="16" t="s">
        <v>2358</v>
      </c>
      <c r="C6394" s="3"/>
      <c r="D6394" s="3"/>
      <c r="E6394" s="5" t="str">
        <f>HYPERLINK("https://dpmzos25m8ivg.cloudfront.net/Documentos/631/31849931836/6313184993183610092023142057.pdf","https://dpmzos25m8ivg.cloudfront.net/Documentos/631/31849931836/6313184993183610092023142057.pdf")</f>
        <v>https://dpmzos25m8ivg.cloudfront.net/Documentos/631/31849931836/6313184993183610092023142057.pdf</v>
      </c>
      <c r="F6394" s="5" t="str">
        <f>HYPERLINK("https://dpmzos25m8ivg.cloudfront.net/Documentos/631/31849931836/6313184993183610092023142107.pdf","https://dpmzos25m8ivg.cloudfront.net/Documentos/631/31849931836/6313184993183610092023142107.pdf")</f>
        <v>https://dpmzos25m8ivg.cloudfront.net/Documentos/631/31849931836/6313184993183610092023142107.pdf</v>
      </c>
      <c r="G6394" s="5" t="str">
        <f>HYPERLINK("https://dpmzos25m8ivg.cloudfront.net/Documentos/631/31849931836/6313184993183610092023134929.pdf","https://dpmzos25m8ivg.cloudfront.net/Documentos/631/31849931836/6313184993183610092023134929.pdf")</f>
        <v>https://dpmzos25m8ivg.cloudfront.net/Documentos/631/31849931836/6313184993183610092023134929.pdf</v>
      </c>
      <c r="H6394" s="5" t="s">
        <v>14964</v>
      </c>
    </row>
    <row r="6395" spans="1:8" x14ac:dyDescent="0.25">
      <c r="A6395" s="2" t="s">
        <v>6422</v>
      </c>
      <c r="B6395" s="3"/>
      <c r="C6395" s="3"/>
      <c r="D6395" s="3"/>
      <c r="E6395" s="5" t="str">
        <f>HYPERLINK("https://dpmzos25m8ivg.cloudfront.net/Documentos/631/31863322817/6313186332281711092023010802.pdf","https://dpmzos25m8ivg.cloudfront.net/Documentos/631/31863322817/6313186332281711092023010802.pdf")</f>
        <v>https://dpmzos25m8ivg.cloudfront.net/Documentos/631/31863322817/6313186332281711092023010802.pdf</v>
      </c>
      <c r="F6395" s="5" t="str">
        <f>HYPERLINK("https://dpmzos25m8ivg.cloudfront.net/Documentos/631/31863322817/6313186332281711092023010819.pdf","https://dpmzos25m8ivg.cloudfront.net/Documentos/631/31863322817/6313186332281711092023010819.pdf")</f>
        <v>https://dpmzos25m8ivg.cloudfront.net/Documentos/631/31863322817/6313186332281711092023010819.pdf</v>
      </c>
      <c r="G6395" s="5" t="str">
        <f>HYPERLINK("https://dpmzos25m8ivg.cloudfront.net/Documentos/631/31863322817/6313186332281711092023010839.pdf","https://dpmzos25m8ivg.cloudfront.net/Documentos/631/31863322817/6313186332281711092023010839.pdf")</f>
        <v>https://dpmzos25m8ivg.cloudfront.net/Documentos/631/31863322817/6313186332281711092023010839.pdf</v>
      </c>
      <c r="H6395" s="4" t="s">
        <v>14965</v>
      </c>
    </row>
    <row r="6396" spans="1:8" x14ac:dyDescent="0.25">
      <c r="A6396" s="2" t="s">
        <v>6423</v>
      </c>
      <c r="B6396" s="3"/>
      <c r="C6396" s="3"/>
      <c r="D6396" s="3"/>
      <c r="E6396" s="5" t="str">
        <f>HYPERLINK("https://dpmzos25m8ivg.cloudfront.net/Documentos/631/31887074520/6313188707452005092023162059.pdf","https://dpmzos25m8ivg.cloudfront.net/Documentos/631/31887074520/6313188707452005092023162059.pdf")</f>
        <v>https://dpmzos25m8ivg.cloudfront.net/Documentos/631/31887074520/6313188707452005092023162059.pdf</v>
      </c>
      <c r="F6396" s="5" t="str">
        <f>HYPERLINK("https://dpmzos25m8ivg.cloudfront.net/Documentos/631/31887074520/6313188707452005092023164536.pdf","https://dpmzos25m8ivg.cloudfront.net/Documentos/631/31887074520/6313188707452005092023164536.pdf")</f>
        <v>https://dpmzos25m8ivg.cloudfront.net/Documentos/631/31887074520/6313188707452005092023164536.pdf</v>
      </c>
      <c r="G6396" s="5" t="str">
        <f>HYPERLINK("https://dpmzos25m8ivg.cloudfront.net/Documentos/631/31887074520/6313188707452005092023164618.pdf","https://dpmzos25m8ivg.cloudfront.net/Documentos/631/31887074520/6313188707452005092023164618.pdf")</f>
        <v>https://dpmzos25m8ivg.cloudfront.net/Documentos/631/31887074520/6313188707452005092023164618.pdf</v>
      </c>
      <c r="H6396" s="4" t="s">
        <v>14966</v>
      </c>
    </row>
    <row r="6397" spans="1:8" x14ac:dyDescent="0.25">
      <c r="A6397" s="2" t="s">
        <v>6424</v>
      </c>
      <c r="B6397" s="16" t="s">
        <v>2358</v>
      </c>
      <c r="C6397" s="3"/>
      <c r="D6397" s="3"/>
      <c r="E6397" s="5" t="str">
        <f>HYPERLINK("https://dpmzos25m8ivg.cloudfront.net/Documentos/631/31888061839/6313188806183907092023160059.pdf","https://dpmzos25m8ivg.cloudfront.net/Documentos/631/31888061839/6313188806183907092023160059.pdf")</f>
        <v>https://dpmzos25m8ivg.cloudfront.net/Documentos/631/31888061839/6313188806183907092023160059.pdf</v>
      </c>
      <c r="F6397" s="5" t="str">
        <f>HYPERLINK("https://dpmzos25m8ivg.cloudfront.net/Documentos/631/31888061839/6313188806183907092023160117.pdf","https://dpmzos25m8ivg.cloudfront.net/Documentos/631/31888061839/6313188806183907092023160117.pdf")</f>
        <v>https://dpmzos25m8ivg.cloudfront.net/Documentos/631/31888061839/6313188806183907092023160117.pdf</v>
      </c>
      <c r="G6397" s="5" t="str">
        <f>HYPERLINK("https://dpmzos25m8ivg.cloudfront.net/Documentos/631/31888061839/6313188806183907092023160128.pdf","https://dpmzos25m8ivg.cloudfront.net/Documentos/631/31888061839/6313188806183907092023160128.pdf")</f>
        <v>https://dpmzos25m8ivg.cloudfront.net/Documentos/631/31888061839/6313188806183907092023160128.pdf</v>
      </c>
      <c r="H6397" s="5" t="s">
        <v>14967</v>
      </c>
    </row>
    <row r="6398" spans="1:8" x14ac:dyDescent="0.25">
      <c r="A6398" s="2" t="s">
        <v>6425</v>
      </c>
      <c r="B6398" s="3"/>
      <c r="C6398" s="3"/>
      <c r="D6398" s="3"/>
      <c r="E6398" s="5" t="str">
        <f>HYPERLINK("https://dpmzos25m8ivg.cloudfront.net/Documentos/631/31903426871/6313190342687110092023213550.pdf","https://dpmzos25m8ivg.cloudfront.net/Documentos/631/31903426871/6313190342687110092023213550.pdf")</f>
        <v>https://dpmzos25m8ivg.cloudfront.net/Documentos/631/31903426871/6313190342687110092023213550.pdf</v>
      </c>
      <c r="F6398" s="5" t="str">
        <f>HYPERLINK("https://dpmzos25m8ivg.cloudfront.net/Documentos/631/31903426871/6313190342687110092023213602.pdf","https://dpmzos25m8ivg.cloudfront.net/Documentos/631/31903426871/6313190342687110092023213602.pdf")</f>
        <v>https://dpmzos25m8ivg.cloudfront.net/Documentos/631/31903426871/6313190342687110092023213602.pdf</v>
      </c>
      <c r="G6398" s="5" t="str">
        <f>HYPERLINK("https://dpmzos25m8ivg.cloudfront.net/Documentos/631/31903426871/6313190342687110092023213611.pdf","https://dpmzos25m8ivg.cloudfront.net/Documentos/631/31903426871/6313190342687110092023213611.pdf")</f>
        <v>https://dpmzos25m8ivg.cloudfront.net/Documentos/631/31903426871/6313190342687110092023213611.pdf</v>
      </c>
      <c r="H6398" s="4" t="s">
        <v>14968</v>
      </c>
    </row>
    <row r="6399" spans="1:8" x14ac:dyDescent="0.25">
      <c r="A6399" s="2" t="s">
        <v>6426</v>
      </c>
      <c r="B6399" s="3"/>
      <c r="C6399" s="3"/>
      <c r="D6399" s="3"/>
      <c r="E6399" s="5" t="str">
        <f>HYPERLINK("https://dpmzos25m8ivg.cloudfront.net/Documentos/631/31924409291/6313192440929106092023151602.pdf","https://dpmzos25m8ivg.cloudfront.net/Documentos/631/31924409291/6313192440929106092023151602.pdf")</f>
        <v>https://dpmzos25m8ivg.cloudfront.net/Documentos/631/31924409291/6313192440929106092023151602.pdf</v>
      </c>
      <c r="F6399" s="5" t="str">
        <f>HYPERLINK("https://dpmzos25m8ivg.cloudfront.net/Documentos/631/31924409291/6313192440929106092023151621.pdf","https://dpmzos25m8ivg.cloudfront.net/Documentos/631/31924409291/6313192440929106092023151621.pdf")</f>
        <v>https://dpmzos25m8ivg.cloudfront.net/Documentos/631/31924409291/6313192440929106092023151621.pdf</v>
      </c>
      <c r="G6399" s="5" t="str">
        <f>HYPERLINK("https://dpmzos25m8ivg.cloudfront.net/Documentos/631/31924409291/6313192440929106092023151644.pdf","https://dpmzos25m8ivg.cloudfront.net/Documentos/631/31924409291/6313192440929106092023151644.pdf")</f>
        <v>https://dpmzos25m8ivg.cloudfront.net/Documentos/631/31924409291/6313192440929106092023151644.pdf</v>
      </c>
      <c r="H6399" s="4" t="s">
        <v>14969</v>
      </c>
    </row>
    <row r="6400" spans="1:8" x14ac:dyDescent="0.25">
      <c r="A6400" s="2" t="s">
        <v>6427</v>
      </c>
      <c r="B6400" s="3"/>
      <c r="C6400" s="3"/>
      <c r="D6400" s="3"/>
      <c r="E6400" s="5" t="str">
        <f>HYPERLINK("https://dpmzos25m8ivg.cloudfront.net/Documentos/631/31935370200/6313193537020007092023205157.jpg","https://dpmzos25m8ivg.cloudfront.net/Documentos/631/31935370200/6313193537020007092023205157.jpg")</f>
        <v>https://dpmzos25m8ivg.cloudfront.net/Documentos/631/31935370200/6313193537020007092023205157.jpg</v>
      </c>
      <c r="F6400" s="5" t="str">
        <f>HYPERLINK("https://dpmzos25m8ivg.cloudfront.net/Documentos/631/31935370200/6313193537020007092023205209.jpg","https://dpmzos25m8ivg.cloudfront.net/Documentos/631/31935370200/6313193537020007092023205209.jpg")</f>
        <v>https://dpmzos25m8ivg.cloudfront.net/Documentos/631/31935370200/6313193537020007092023205209.jpg</v>
      </c>
      <c r="G6400" s="5" t="str">
        <f>HYPERLINK("https://dpmzos25m8ivg.cloudfront.net/Documentos/631/31935370200/6313193537020007092023205315.jpg","https://dpmzos25m8ivg.cloudfront.net/Documentos/631/31935370200/6313193537020007092023205315.jpg")</f>
        <v>https://dpmzos25m8ivg.cloudfront.net/Documentos/631/31935370200/6313193537020007092023205315.jpg</v>
      </c>
      <c r="H6400" s="4" t="s">
        <v>14970</v>
      </c>
    </row>
    <row r="6401" spans="1:8" x14ac:dyDescent="0.25">
      <c r="A6401" s="2" t="s">
        <v>6428</v>
      </c>
      <c r="B6401" s="3"/>
      <c r="C6401" s="3"/>
      <c r="D6401" s="3"/>
      <c r="E6401" s="5" t="str">
        <f>HYPERLINK("https://dpmzos25m8ivg.cloudfront.net/Documentos/631/31947322850/6313194732285011092023162631.pdf","https://dpmzos25m8ivg.cloudfront.net/Documentos/631/31947322850/6313194732285011092023162631.pdf")</f>
        <v>https://dpmzos25m8ivg.cloudfront.net/Documentos/631/31947322850/6313194732285011092023162631.pdf</v>
      </c>
      <c r="F6401" s="5" t="str">
        <f>HYPERLINK("https://dpmzos25m8ivg.cloudfront.net/Documentos/631/31947322850/6313194732285011092023162642.pdf","https://dpmzos25m8ivg.cloudfront.net/Documentos/631/31947322850/6313194732285011092023162642.pdf")</f>
        <v>https://dpmzos25m8ivg.cloudfront.net/Documentos/631/31947322850/6313194732285011092023162642.pdf</v>
      </c>
      <c r="G6401" s="5" t="str">
        <f>HYPERLINK("https://dpmzos25m8ivg.cloudfront.net/Documentos/631/31947322850/6313194732285011092023162652.pdf","https://dpmzos25m8ivg.cloudfront.net/Documentos/631/31947322850/6313194732285011092023162652.pdf")</f>
        <v>https://dpmzos25m8ivg.cloudfront.net/Documentos/631/31947322850/6313194732285011092023162652.pdf</v>
      </c>
      <c r="H6401" s="4" t="s">
        <v>14971</v>
      </c>
    </row>
    <row r="6402" spans="1:8" x14ac:dyDescent="0.25">
      <c r="A6402" s="2" t="s">
        <v>6429</v>
      </c>
      <c r="B6402" s="3"/>
      <c r="C6402" s="3"/>
      <c r="D6402" s="3"/>
      <c r="E6402" s="5" t="str">
        <f>HYPERLINK("https://dpmzos25m8ivg.cloudfront.net/Documentos/631/31948187833/6313194818783305092023201914.jpg","https://dpmzos25m8ivg.cloudfront.net/Documentos/631/31948187833/6313194818783305092023201914.jpg")</f>
        <v>https://dpmzos25m8ivg.cloudfront.net/Documentos/631/31948187833/6313194818783305092023201914.jpg</v>
      </c>
      <c r="F6402" s="5" t="str">
        <f>HYPERLINK("https://dpmzos25m8ivg.cloudfront.net/Documentos/631/31948187833/6313194818783305092023202131.jpg","https://dpmzos25m8ivg.cloudfront.net/Documentos/631/31948187833/6313194818783305092023202131.jpg")</f>
        <v>https://dpmzos25m8ivg.cloudfront.net/Documentos/631/31948187833/6313194818783305092023202131.jpg</v>
      </c>
      <c r="G6402" s="5" t="str">
        <f>HYPERLINK("https://dpmzos25m8ivg.cloudfront.net/Documentos/631/31948187833/6313194818783305092023202151.jpg","https://dpmzos25m8ivg.cloudfront.net/Documentos/631/31948187833/6313194818783305092023202151.jpg")</f>
        <v>https://dpmzos25m8ivg.cloudfront.net/Documentos/631/31948187833/6313194818783305092023202151.jpg</v>
      </c>
      <c r="H6402" s="4" t="s">
        <v>14972</v>
      </c>
    </row>
    <row r="6403" spans="1:8" x14ac:dyDescent="0.25">
      <c r="A6403" s="2" t="s">
        <v>6430</v>
      </c>
      <c r="B6403" s="19" t="s">
        <v>3385</v>
      </c>
      <c r="C6403" s="3"/>
      <c r="D6403" s="3"/>
      <c r="E6403" s="5" t="str">
        <f>HYPERLINK("https://dpmzos25m8ivg.cloudfront.net/Documentos/631/31949104850/6313194910485006092023192607.pdf","https://dpmzos25m8ivg.cloudfront.net/Documentos/631/31949104850/6313194910485006092023192607.pdf")</f>
        <v>https://dpmzos25m8ivg.cloudfront.net/Documentos/631/31949104850/6313194910485006092023192607.pdf</v>
      </c>
      <c r="F6403" s="5" t="str">
        <f>HYPERLINK("https://dpmzos25m8ivg.cloudfront.net/Documentos/631/31949104850/6313194910485006092023192615.pdf","https://dpmzos25m8ivg.cloudfront.net/Documentos/631/31949104850/6313194910485006092023192615.pdf")</f>
        <v>https://dpmzos25m8ivg.cloudfront.net/Documentos/631/31949104850/6313194910485006092023192615.pdf</v>
      </c>
      <c r="G6403" s="5" t="str">
        <f>HYPERLINK("https://dpmzos25m8ivg.cloudfront.net/Documentos/631/31949104850/6313194910485006092023192624.pdf","https://dpmzos25m8ivg.cloudfront.net/Documentos/631/31949104850/6313194910485006092023192624.pdf")</f>
        <v>https://dpmzos25m8ivg.cloudfront.net/Documentos/631/31949104850/6313194910485006092023192624.pdf</v>
      </c>
      <c r="H6403" s="4" t="s">
        <v>14973</v>
      </c>
    </row>
    <row r="6404" spans="1:8" x14ac:dyDescent="0.25">
      <c r="A6404" s="2" t="s">
        <v>6431</v>
      </c>
      <c r="B6404" s="3"/>
      <c r="C6404" s="3"/>
      <c r="D6404" s="3"/>
      <c r="E6404" s="5" t="str">
        <f>HYPERLINK("https://dpmzos25m8ivg.cloudfront.net/Documentos/631/32064310851/6313206431085112092023234326.pdf","https://dpmzos25m8ivg.cloudfront.net/Documentos/631/32064310851/6313206431085112092023234326.pdf")</f>
        <v>https://dpmzos25m8ivg.cloudfront.net/Documentos/631/32064310851/6313206431085112092023234326.pdf</v>
      </c>
      <c r="F6404" s="5" t="str">
        <f>HYPERLINK("https://dpmzos25m8ivg.cloudfront.net/Documentos/631/32064310851/6313206431085112092023234339.pdf","https://dpmzos25m8ivg.cloudfront.net/Documentos/631/32064310851/6313206431085112092023234339.pdf")</f>
        <v>https://dpmzos25m8ivg.cloudfront.net/Documentos/631/32064310851/6313206431085112092023234339.pdf</v>
      </c>
      <c r="G6404" s="5" t="str">
        <f>HYPERLINK("https://dpmzos25m8ivg.cloudfront.net/Documentos/631/32064310851/6313206431085112092023234352.pdf","https://dpmzos25m8ivg.cloudfront.net/Documentos/631/32064310851/6313206431085112092023234352.pdf")</f>
        <v>https://dpmzos25m8ivg.cloudfront.net/Documentos/631/32064310851/6313206431085112092023234352.pdf</v>
      </c>
      <c r="H6404" s="4" t="s">
        <v>14974</v>
      </c>
    </row>
    <row r="6405" spans="1:8" x14ac:dyDescent="0.25">
      <c r="A6405" s="2" t="s">
        <v>6432</v>
      </c>
      <c r="B6405" s="3"/>
      <c r="C6405" s="3"/>
      <c r="D6405" s="3"/>
      <c r="E6405" s="5" t="str">
        <f>HYPERLINK("https://dpmzos25m8ivg.cloudfront.net/Documentos/631/32079587889/6313207958788911092023120209.pdf","https://dpmzos25m8ivg.cloudfront.net/Documentos/631/32079587889/6313207958788911092023120209.pdf")</f>
        <v>https://dpmzos25m8ivg.cloudfront.net/Documentos/631/32079587889/6313207958788911092023120209.pdf</v>
      </c>
      <c r="F6405" s="5" t="str">
        <f>HYPERLINK("https://dpmzos25m8ivg.cloudfront.net/Documentos/631/32079587889/6313207958788911092023120324.pdf","https://dpmzos25m8ivg.cloudfront.net/Documentos/631/32079587889/6313207958788911092023120324.pdf")</f>
        <v>https://dpmzos25m8ivg.cloudfront.net/Documentos/631/32079587889/6313207958788911092023120324.pdf</v>
      </c>
      <c r="G6405" s="5" t="str">
        <f>HYPERLINK("https://dpmzos25m8ivg.cloudfront.net/Documentos/631/32079587889/6313207958788911092023135723.jpg","https://dpmzos25m8ivg.cloudfront.net/Documentos/631/32079587889/6313207958788911092023135723.jpg")</f>
        <v>https://dpmzos25m8ivg.cloudfront.net/Documentos/631/32079587889/6313207958788911092023135723.jpg</v>
      </c>
      <c r="H6405" s="4" t="s">
        <v>14975</v>
      </c>
    </row>
    <row r="6406" spans="1:8" x14ac:dyDescent="0.25">
      <c r="A6406" s="2" t="s">
        <v>6433</v>
      </c>
      <c r="B6406" s="3"/>
      <c r="C6406" s="3"/>
      <c r="D6406" s="3"/>
      <c r="E6406" s="5" t="str">
        <f>HYPERLINK("https://dpmzos25m8ivg.cloudfront.net/Documentos/631/32111953865/6313211195386511092023132359.pdf","https://dpmzos25m8ivg.cloudfront.net/Documentos/631/32111953865/6313211195386511092023132359.pdf")</f>
        <v>https://dpmzos25m8ivg.cloudfront.net/Documentos/631/32111953865/6313211195386511092023132359.pdf</v>
      </c>
      <c r="F6406" s="5" t="str">
        <f>HYPERLINK("https://dpmzos25m8ivg.cloudfront.net/Documentos/631/32111953865/6313211195386511092023132431.pdf","https://dpmzos25m8ivg.cloudfront.net/Documentos/631/32111953865/6313211195386511092023132431.pdf")</f>
        <v>https://dpmzos25m8ivg.cloudfront.net/Documentos/631/32111953865/6313211195386511092023132431.pdf</v>
      </c>
      <c r="G6406" s="5" t="str">
        <f>HYPERLINK("https://dpmzos25m8ivg.cloudfront.net/Documentos/631/32111953865/6313211195386511092023132500.pdf","https://dpmzos25m8ivg.cloudfront.net/Documentos/631/32111953865/6313211195386511092023132500.pdf")</f>
        <v>https://dpmzos25m8ivg.cloudfront.net/Documentos/631/32111953865/6313211195386511092023132500.pdf</v>
      </c>
      <c r="H6406" s="4" t="s">
        <v>14976</v>
      </c>
    </row>
    <row r="6407" spans="1:8" x14ac:dyDescent="0.25">
      <c r="A6407" s="2" t="s">
        <v>6434</v>
      </c>
      <c r="B6407" s="3"/>
      <c r="C6407" s="3"/>
      <c r="D6407" s="3"/>
      <c r="E6407" s="5" t="str">
        <f>HYPERLINK("https://dpmzos25m8ivg.cloudfront.net/Documentos/631/32120927855/6313212092785504092023182033.jpg","https://dpmzos25m8ivg.cloudfront.net/Documentos/631/32120927855/6313212092785504092023182033.jpg")</f>
        <v>https://dpmzos25m8ivg.cloudfront.net/Documentos/631/32120927855/6313212092785504092023182033.jpg</v>
      </c>
      <c r="F6407" s="5" t="str">
        <f>HYPERLINK("https://dpmzos25m8ivg.cloudfront.net/Documentos/631/32120927855/6313212092785504092023182059.jpg","https://dpmzos25m8ivg.cloudfront.net/Documentos/631/32120927855/6313212092785504092023182059.jpg")</f>
        <v>https://dpmzos25m8ivg.cloudfront.net/Documentos/631/32120927855/6313212092785504092023182059.jpg</v>
      </c>
      <c r="G6407" s="5" t="str">
        <f>HYPERLINK("https://dpmzos25m8ivg.cloudfront.net/Documentos/631/32120927855/6313212092785505092023134226.jpg","https://dpmzos25m8ivg.cloudfront.net/Documentos/631/32120927855/6313212092785505092023134226.jpg")</f>
        <v>https://dpmzos25m8ivg.cloudfront.net/Documentos/631/32120927855/6313212092785505092023134226.jpg</v>
      </c>
      <c r="H6407" s="4" t="s">
        <v>14977</v>
      </c>
    </row>
    <row r="6408" spans="1:8" x14ac:dyDescent="0.25">
      <c r="A6408" s="2" t="s">
        <v>6435</v>
      </c>
      <c r="B6408" s="3"/>
      <c r="C6408" s="3"/>
      <c r="D6408" s="3"/>
      <c r="E6408" s="5" t="str">
        <f>HYPERLINK("https://dpmzos25m8ivg.cloudfront.net/Documentos/631/32176376234/6313217637623410092023235941.jpg","https://dpmzos25m8ivg.cloudfront.net/Documentos/631/32176376234/6313217637623410092023235941.jpg")</f>
        <v>https://dpmzos25m8ivg.cloudfront.net/Documentos/631/32176376234/6313217637623410092023235941.jpg</v>
      </c>
      <c r="F6408" s="5" t="str">
        <f>HYPERLINK("https://dpmzos25m8ivg.cloudfront.net/Documentos/631/32176376234/6313217637623411092023000213.jpg","https://dpmzos25m8ivg.cloudfront.net/Documentos/631/32176376234/6313217637623411092023000213.jpg")</f>
        <v>https://dpmzos25m8ivg.cloudfront.net/Documentos/631/32176376234/6313217637623411092023000213.jpg</v>
      </c>
      <c r="G6408" s="5" t="str">
        <f>HYPERLINK("https://dpmzos25m8ivg.cloudfront.net/Documentos/631/32176376234/6313217637623411092023000248.jpg","https://dpmzos25m8ivg.cloudfront.net/Documentos/631/32176376234/6313217637623411092023000248.jpg")</f>
        <v>https://dpmzos25m8ivg.cloudfront.net/Documentos/631/32176376234/6313217637623411092023000248.jpg</v>
      </c>
      <c r="H6408" s="4" t="s">
        <v>14978</v>
      </c>
    </row>
    <row r="6409" spans="1:8" x14ac:dyDescent="0.25">
      <c r="A6409" s="2" t="s">
        <v>6436</v>
      </c>
      <c r="B6409" s="3"/>
      <c r="C6409" s="3"/>
      <c r="D6409" s="3"/>
      <c r="E6409" s="5" t="str">
        <f>HYPERLINK("https://dpmzos25m8ivg.cloudfront.net/Documentos/631/32196243833/6313219624383310092023145653.jpeg","https://dpmzos25m8ivg.cloudfront.net/Documentos/631/32196243833/6313219624383310092023145653.jpeg")</f>
        <v>https://dpmzos25m8ivg.cloudfront.net/Documentos/631/32196243833/6313219624383310092023145653.jpeg</v>
      </c>
      <c r="F6409" s="5" t="str">
        <f>HYPERLINK("https://dpmzos25m8ivg.cloudfront.net/Documentos/631/32196243833/6313219624383310092023145708.jpeg","https://dpmzos25m8ivg.cloudfront.net/Documentos/631/32196243833/6313219624383310092023145708.jpeg")</f>
        <v>https://dpmzos25m8ivg.cloudfront.net/Documentos/631/32196243833/6313219624383310092023145708.jpeg</v>
      </c>
      <c r="G6409" s="5" t="str">
        <f>HYPERLINK("https://dpmzos25m8ivg.cloudfront.net/Documentos/631/32196243833/6313219624383310092023145725.jpeg","https://dpmzos25m8ivg.cloudfront.net/Documentos/631/32196243833/6313219624383310092023145725.jpeg")</f>
        <v>https://dpmzos25m8ivg.cloudfront.net/Documentos/631/32196243833/6313219624383310092023145725.jpeg</v>
      </c>
      <c r="H6409" s="4" t="s">
        <v>14979</v>
      </c>
    </row>
    <row r="6410" spans="1:8" x14ac:dyDescent="0.25">
      <c r="A6410" s="2" t="s">
        <v>6437</v>
      </c>
      <c r="B6410" s="3"/>
      <c r="C6410" s="3"/>
      <c r="D6410" s="3"/>
      <c r="E6410" s="5" t="str">
        <f>HYPERLINK("https://dpmzos25m8ivg.cloudfront.net/Documentos/631/32212656890/6313221265689013092023160939.pdf","https://dpmzos25m8ivg.cloudfront.net/Documentos/631/32212656890/6313221265689013092023160939.pdf")</f>
        <v>https://dpmzos25m8ivg.cloudfront.net/Documentos/631/32212656890/6313221265689013092023160939.pdf</v>
      </c>
      <c r="F6410" s="5" t="str">
        <f>HYPERLINK("https://dpmzos25m8ivg.cloudfront.net/Documentos/631/32212656890/6313221265689013092023162801.pdf","https://dpmzos25m8ivg.cloudfront.net/Documentos/631/32212656890/6313221265689013092023162801.pdf")</f>
        <v>https://dpmzos25m8ivg.cloudfront.net/Documentos/631/32212656890/6313221265689013092023162801.pdf</v>
      </c>
      <c r="G6410" s="5" t="str">
        <f>HYPERLINK("https://dpmzos25m8ivg.cloudfront.net/Documentos/631/32212656890/6313221265689013092023162831.pdf","https://dpmzos25m8ivg.cloudfront.net/Documentos/631/32212656890/6313221265689013092023162831.pdf")</f>
        <v>https://dpmzos25m8ivg.cloudfront.net/Documentos/631/32212656890/6313221265689013092023162831.pdf</v>
      </c>
      <c r="H6410" s="4" t="s">
        <v>14980</v>
      </c>
    </row>
    <row r="6411" spans="1:8" x14ac:dyDescent="0.25">
      <c r="A6411" s="2" t="s">
        <v>6438</v>
      </c>
      <c r="B6411" s="3"/>
      <c r="C6411" s="3"/>
      <c r="D6411" s="3"/>
      <c r="E6411" s="5" t="str">
        <f>HYPERLINK("https://dpmzos25m8ivg.cloudfront.net/Documentos/631/32220571840/6313222057184011092023113848.jpeg","https://dpmzos25m8ivg.cloudfront.net/Documentos/631/32220571840/6313222057184011092023113848.jpeg")</f>
        <v>https://dpmzos25m8ivg.cloudfront.net/Documentos/631/32220571840/6313222057184011092023113848.jpeg</v>
      </c>
      <c r="F6411" s="5" t="str">
        <f>HYPERLINK("https://dpmzos25m8ivg.cloudfront.net/Documentos/631/32220571840/6313222057184011092023113901.jpeg","https://dpmzos25m8ivg.cloudfront.net/Documentos/631/32220571840/6313222057184011092023113901.jpeg")</f>
        <v>https://dpmzos25m8ivg.cloudfront.net/Documentos/631/32220571840/6313222057184011092023113901.jpeg</v>
      </c>
      <c r="G6411" s="5" t="str">
        <f>HYPERLINK("https://dpmzos25m8ivg.cloudfront.net/Documentos/631/32220571840/6313222057184011092023113917.jpeg","https://dpmzos25m8ivg.cloudfront.net/Documentos/631/32220571840/6313222057184011092023113917.jpeg")</f>
        <v>https://dpmzos25m8ivg.cloudfront.net/Documentos/631/32220571840/6313222057184011092023113917.jpeg</v>
      </c>
      <c r="H6411" s="4" t="s">
        <v>14981</v>
      </c>
    </row>
    <row r="6412" spans="1:8" x14ac:dyDescent="0.25">
      <c r="A6412" s="2" t="s">
        <v>6439</v>
      </c>
      <c r="B6412" s="3"/>
      <c r="C6412" s="3"/>
      <c r="D6412" s="3"/>
      <c r="E6412" s="5" t="str">
        <f>HYPERLINK("https://dpmzos25m8ivg.cloudfront.net/Documentos/631/32251147829/6313225114782914092023161214.pdf","https://dpmzos25m8ivg.cloudfront.net/Documentos/631/32251147829/6313225114782914092023161214.pdf")</f>
        <v>https://dpmzos25m8ivg.cloudfront.net/Documentos/631/32251147829/6313225114782914092023161214.pdf</v>
      </c>
      <c r="F6412" s="5" t="str">
        <f>HYPERLINK("https://dpmzos25m8ivg.cloudfront.net/Documentos/631/32251147829/6313225114782914092023161223.pdf","https://dpmzos25m8ivg.cloudfront.net/Documentos/631/32251147829/6313225114782914092023161223.pdf")</f>
        <v>https://dpmzos25m8ivg.cloudfront.net/Documentos/631/32251147829/6313225114782914092023161223.pdf</v>
      </c>
      <c r="G6412" s="5" t="str">
        <f>HYPERLINK("https://dpmzos25m8ivg.cloudfront.net/Documentos/631/32251147829/6313225114782914092023161231.pdf","https://dpmzos25m8ivg.cloudfront.net/Documentos/631/32251147829/6313225114782914092023161231.pdf")</f>
        <v>https://dpmzos25m8ivg.cloudfront.net/Documentos/631/32251147829/6313225114782914092023161231.pdf</v>
      </c>
      <c r="H6412" s="4" t="s">
        <v>14982</v>
      </c>
    </row>
    <row r="6413" spans="1:8" x14ac:dyDescent="0.25">
      <c r="A6413" s="2" t="s">
        <v>6440</v>
      </c>
      <c r="B6413" s="3" t="s">
        <v>8</v>
      </c>
      <c r="C6413" s="3"/>
      <c r="D6413" s="3"/>
      <c r="E6413" s="5" t="str">
        <f>HYPERLINK("https://dpmzos25m8ivg.cloudfront.net/Documentos/631/32266592866/6313226659286605092023160042.jpg","https://dpmzos25m8ivg.cloudfront.net/Documentos/631/32266592866/6313226659286605092023160042.jpg")</f>
        <v>https://dpmzos25m8ivg.cloudfront.net/Documentos/631/32266592866/6313226659286605092023160042.jpg</v>
      </c>
      <c r="F6413" s="5" t="str">
        <f>HYPERLINK("https://dpmzos25m8ivg.cloudfront.net/Documentos/631/32266592866/6313226659286605092023160102.jpg","https://dpmzos25m8ivg.cloudfront.net/Documentos/631/32266592866/6313226659286605092023160102.jpg")</f>
        <v>https://dpmzos25m8ivg.cloudfront.net/Documentos/631/32266592866/6313226659286605092023160102.jpg</v>
      </c>
      <c r="G6413" s="5" t="str">
        <f>HYPERLINK("https://dpmzos25m8ivg.cloudfront.net/Documentos/631/32266592866/6313226659286605092023160115.jpg","https://dpmzos25m8ivg.cloudfront.net/Documentos/631/32266592866/6313226659286605092023160115.jpg")</f>
        <v>https://dpmzos25m8ivg.cloudfront.net/Documentos/631/32266592866/6313226659286605092023160115.jpg</v>
      </c>
      <c r="H6413" s="4" t="s">
        <v>14983</v>
      </c>
    </row>
    <row r="6414" spans="1:8" x14ac:dyDescent="0.25">
      <c r="A6414" s="2" t="s">
        <v>6441</v>
      </c>
      <c r="B6414" s="3"/>
      <c r="C6414" s="3"/>
      <c r="D6414" s="3"/>
      <c r="E6414" s="5" t="str">
        <f>HYPERLINK("https://dpmzos25m8ivg.cloudfront.net/Documentos/631/32278345885/6313227834588509092023172004.pdf","https://dpmzos25m8ivg.cloudfront.net/Documentos/631/32278345885/6313227834588509092023172004.pdf")</f>
        <v>https://dpmzos25m8ivg.cloudfront.net/Documentos/631/32278345885/6313227834588509092023172004.pdf</v>
      </c>
      <c r="F6414" s="5" t="str">
        <f>HYPERLINK("https://dpmzos25m8ivg.cloudfront.net/Documentos/631/32278345885/6313227834588509092023172023.pdf","https://dpmzos25m8ivg.cloudfront.net/Documentos/631/32278345885/6313227834588509092023172023.pdf")</f>
        <v>https://dpmzos25m8ivg.cloudfront.net/Documentos/631/32278345885/6313227834588509092023172023.pdf</v>
      </c>
      <c r="G6414" s="5" t="str">
        <f>HYPERLINK("https://dpmzos25m8ivg.cloudfront.net/Documentos/631/32278345885/6313227834588509092023172043.pdf","https://dpmzos25m8ivg.cloudfront.net/Documentos/631/32278345885/6313227834588509092023172043.pdf")</f>
        <v>https://dpmzos25m8ivg.cloudfront.net/Documentos/631/32278345885/6313227834588509092023172043.pdf</v>
      </c>
      <c r="H6414" s="4" t="s">
        <v>14984</v>
      </c>
    </row>
    <row r="6415" spans="1:8" x14ac:dyDescent="0.25">
      <c r="A6415" s="2" t="s">
        <v>6442</v>
      </c>
      <c r="B6415" s="3"/>
      <c r="C6415" s="3"/>
      <c r="D6415" s="3"/>
      <c r="E6415" s="5" t="str">
        <f>HYPERLINK("https://dpmzos25m8ivg.cloudfront.net/Documentos/631/32303489822/6313230348982207092023122950.pdf","https://dpmzos25m8ivg.cloudfront.net/Documentos/631/32303489822/6313230348982207092023122950.pdf")</f>
        <v>https://dpmzos25m8ivg.cloudfront.net/Documentos/631/32303489822/6313230348982207092023122950.pdf</v>
      </c>
      <c r="F6415" s="5" t="str">
        <f>HYPERLINK("https://dpmzos25m8ivg.cloudfront.net/Documentos/631/32303489822/6313230348982207092023123013.pdf","https://dpmzos25m8ivg.cloudfront.net/Documentos/631/32303489822/6313230348982207092023123013.pdf")</f>
        <v>https://dpmzos25m8ivg.cloudfront.net/Documentos/631/32303489822/6313230348982207092023123013.pdf</v>
      </c>
      <c r="G6415" s="5" t="str">
        <f>HYPERLINK("https://dpmzos25m8ivg.cloudfront.net/Documentos/631/32303489822/6313230348982207092023123025.pdf","https://dpmzos25m8ivg.cloudfront.net/Documentos/631/32303489822/6313230348982207092023123025.pdf")</f>
        <v>https://dpmzos25m8ivg.cloudfront.net/Documentos/631/32303489822/6313230348982207092023123025.pdf</v>
      </c>
      <c r="H6415" s="4" t="s">
        <v>14985</v>
      </c>
    </row>
    <row r="6416" spans="1:8" x14ac:dyDescent="0.25">
      <c r="A6416" s="2" t="s">
        <v>6443</v>
      </c>
      <c r="B6416" s="3"/>
      <c r="C6416" s="3"/>
      <c r="D6416" s="3"/>
      <c r="E6416" s="5" t="str">
        <f>HYPERLINK("https://dpmzos25m8ivg.cloudfront.net/Documentos/631/32311124862/6313231112486211092023112055.pdf","https://dpmzos25m8ivg.cloudfront.net/Documentos/631/32311124862/6313231112486211092023112055.pdf")</f>
        <v>https://dpmzos25m8ivg.cloudfront.net/Documentos/631/32311124862/6313231112486211092023112055.pdf</v>
      </c>
      <c r="F6416" s="5" t="str">
        <f>HYPERLINK("https://dpmzos25m8ivg.cloudfront.net/Documentos/631/32311124862/6313231112486211092023112112.pdf","https://dpmzos25m8ivg.cloudfront.net/Documentos/631/32311124862/6313231112486211092023112112.pdf")</f>
        <v>https://dpmzos25m8ivg.cloudfront.net/Documentos/631/32311124862/6313231112486211092023112112.pdf</v>
      </c>
      <c r="G6416" s="5" t="str">
        <f>HYPERLINK("https://dpmzos25m8ivg.cloudfront.net/Documentos/631/32311124862/6313231112486211092023112138.pdf","https://dpmzos25m8ivg.cloudfront.net/Documentos/631/32311124862/6313231112486211092023112138.pdf")</f>
        <v>https://dpmzos25m8ivg.cloudfront.net/Documentos/631/32311124862/6313231112486211092023112138.pdf</v>
      </c>
      <c r="H6416" s="4" t="s">
        <v>14986</v>
      </c>
    </row>
    <row r="6417" spans="1:8" x14ac:dyDescent="0.25">
      <c r="A6417" s="2" t="s">
        <v>6444</v>
      </c>
      <c r="B6417" s="16" t="s">
        <v>2358</v>
      </c>
      <c r="C6417" s="3"/>
      <c r="D6417" s="3"/>
      <c r="E6417" s="5" t="str">
        <f>HYPERLINK("https://dpmzos25m8ivg.cloudfront.net/Documentos/631/32398733890/6313239873389006092023070106.pdf","https://dpmzos25m8ivg.cloudfront.net/Documentos/631/32398733890/6313239873389006092023070106.pdf")</f>
        <v>https://dpmzos25m8ivg.cloudfront.net/Documentos/631/32398733890/6313239873389006092023070106.pdf</v>
      </c>
      <c r="F6417" s="5" t="str">
        <f>HYPERLINK("https://dpmzos25m8ivg.cloudfront.net/Documentos/631/32398733890/6313239873389006092023070306.pdf","https://dpmzos25m8ivg.cloudfront.net/Documentos/631/32398733890/6313239873389006092023070306.pdf")</f>
        <v>https://dpmzos25m8ivg.cloudfront.net/Documentos/631/32398733890/6313239873389006092023070306.pdf</v>
      </c>
      <c r="G6417" s="5" t="str">
        <f>HYPERLINK("https://dpmzos25m8ivg.cloudfront.net/Documentos/631/32398733890/6313239873389006092023070344.pdf","https://dpmzos25m8ivg.cloudfront.net/Documentos/631/32398733890/6313239873389006092023070344.pdf")</f>
        <v>https://dpmzos25m8ivg.cloudfront.net/Documentos/631/32398733890/6313239873389006092023070344.pdf</v>
      </c>
      <c r="H6417" s="5" t="s">
        <v>14987</v>
      </c>
    </row>
    <row r="6418" spans="1:8" x14ac:dyDescent="0.25">
      <c r="A6418" s="2" t="s">
        <v>6445</v>
      </c>
      <c r="B6418" s="3"/>
      <c r="C6418" s="3"/>
      <c r="D6418" s="3"/>
      <c r="E6418" s="5" t="str">
        <f>HYPERLINK("https://dpmzos25m8ivg.cloudfront.net/Documentos/631/32410179827/6313241017982709092023120705.pdf","https://dpmzos25m8ivg.cloudfront.net/Documentos/631/32410179827/6313241017982709092023120705.pdf")</f>
        <v>https://dpmzos25m8ivg.cloudfront.net/Documentos/631/32410179827/6313241017982709092023120705.pdf</v>
      </c>
      <c r="F6418" s="5" t="str">
        <f>HYPERLINK("https://dpmzos25m8ivg.cloudfront.net/Documentos/631/32410179827/6313241017982709092023120725.pdf","https://dpmzos25m8ivg.cloudfront.net/Documentos/631/32410179827/6313241017982709092023120725.pdf")</f>
        <v>https://dpmzos25m8ivg.cloudfront.net/Documentos/631/32410179827/6313241017982709092023120725.pdf</v>
      </c>
      <c r="G6418" s="5" t="str">
        <f>HYPERLINK("https://dpmzos25m8ivg.cloudfront.net/Documentos/631/32410179827/6313241017982709092023120741.pdf","https://dpmzos25m8ivg.cloudfront.net/Documentos/631/32410179827/6313241017982709092023120741.pdf")</f>
        <v>https://dpmzos25m8ivg.cloudfront.net/Documentos/631/32410179827/6313241017982709092023120741.pdf</v>
      </c>
      <c r="H6418" s="4" t="s">
        <v>14988</v>
      </c>
    </row>
    <row r="6419" spans="1:8" x14ac:dyDescent="0.25">
      <c r="A6419" s="2" t="s">
        <v>6446</v>
      </c>
      <c r="B6419" s="16" t="s">
        <v>2358</v>
      </c>
      <c r="C6419" s="3"/>
      <c r="D6419" s="3"/>
      <c r="E6419" s="5" t="str">
        <f>HYPERLINK("https://dpmzos25m8ivg.cloudfront.net/Documentos/631/32428210840/6313242821084005092023171359.jpeg","https://dpmzos25m8ivg.cloudfront.net/Documentos/631/32428210840/6313242821084005092023171359.jpeg")</f>
        <v>https://dpmzos25m8ivg.cloudfront.net/Documentos/631/32428210840/6313242821084005092023171359.jpeg</v>
      </c>
      <c r="F6419" s="5" t="str">
        <f>HYPERLINK("https://dpmzos25m8ivg.cloudfront.net/Documentos/631/32428210840/6313242821084005092023171407.jpeg","https://dpmzos25m8ivg.cloudfront.net/Documentos/631/32428210840/6313242821084005092023171407.jpeg")</f>
        <v>https://dpmzos25m8ivg.cloudfront.net/Documentos/631/32428210840/6313242821084005092023171407.jpeg</v>
      </c>
      <c r="G6419" s="5" t="str">
        <f>HYPERLINK("https://dpmzos25m8ivg.cloudfront.net/Documentos/631/32428210840/6313242821084005092023171414.jpeg","https://dpmzos25m8ivg.cloudfront.net/Documentos/631/32428210840/6313242821084005092023171414.jpeg")</f>
        <v>https://dpmzos25m8ivg.cloudfront.net/Documentos/631/32428210840/6313242821084005092023171414.jpeg</v>
      </c>
      <c r="H6419" s="5" t="s">
        <v>14989</v>
      </c>
    </row>
    <row r="6420" spans="1:8" x14ac:dyDescent="0.25">
      <c r="A6420" s="2" t="s">
        <v>6447</v>
      </c>
      <c r="B6420" s="3"/>
      <c r="C6420" s="3"/>
      <c r="D6420" s="3"/>
      <c r="E6420" s="5" t="str">
        <f>HYPERLINK("https://dpmzos25m8ivg.cloudfront.net/Documentos/631/32449635874/6313244963587411092023121824.pdf","https://dpmzos25m8ivg.cloudfront.net/Documentos/631/32449635874/6313244963587411092023121824.pdf")</f>
        <v>https://dpmzos25m8ivg.cloudfront.net/Documentos/631/32449635874/6313244963587411092023121824.pdf</v>
      </c>
      <c r="F6420" s="5" t="str">
        <f>HYPERLINK("https://dpmzos25m8ivg.cloudfront.net/Documentos/631/32449635874/6313244963587411092023121837.pdf","https://dpmzos25m8ivg.cloudfront.net/Documentos/631/32449635874/6313244963587411092023121837.pdf")</f>
        <v>https://dpmzos25m8ivg.cloudfront.net/Documentos/631/32449635874/6313244963587411092023121837.pdf</v>
      </c>
      <c r="G6420" s="5" t="str">
        <f>HYPERLINK("https://dpmzos25m8ivg.cloudfront.net/Documentos/631/32449635874/6313244963587411092023121852.pdf","https://dpmzos25m8ivg.cloudfront.net/Documentos/631/32449635874/6313244963587411092023121852.pdf")</f>
        <v>https://dpmzos25m8ivg.cloudfront.net/Documentos/631/32449635874/6313244963587411092023121852.pdf</v>
      </c>
      <c r="H6420" s="4" t="s">
        <v>14990</v>
      </c>
    </row>
    <row r="6421" spans="1:8" x14ac:dyDescent="0.25">
      <c r="A6421" s="2" t="s">
        <v>6448</v>
      </c>
      <c r="B6421" s="3"/>
      <c r="C6421" s="3"/>
      <c r="D6421" s="3"/>
      <c r="E6421" s="5" t="str">
        <f>HYPERLINK("https://dpmzos25m8ivg.cloudfront.net/Documentos/631/32592139885/6313259213988511092023163615.jpeg","https://dpmzos25m8ivg.cloudfront.net/Documentos/631/32592139885/6313259213988511092023163615.jpeg")</f>
        <v>https://dpmzos25m8ivg.cloudfront.net/Documentos/631/32592139885/6313259213988511092023163615.jpeg</v>
      </c>
      <c r="F6421" s="5" t="str">
        <f>HYPERLINK("https://dpmzos25m8ivg.cloudfront.net/Documentos/631/32592139885/6313259213988511092023163702.jpeg","https://dpmzos25m8ivg.cloudfront.net/Documentos/631/32592139885/6313259213988511092023163702.jpeg")</f>
        <v>https://dpmzos25m8ivg.cloudfront.net/Documentos/631/32592139885/6313259213988511092023163702.jpeg</v>
      </c>
      <c r="G6421" s="5" t="str">
        <f>HYPERLINK("https://dpmzos25m8ivg.cloudfront.net/Documentos/631/32592139885/6313259213988511092023163915.jpeg","https://dpmzos25m8ivg.cloudfront.net/Documentos/631/32592139885/6313259213988511092023163915.jpeg")</f>
        <v>https://dpmzos25m8ivg.cloudfront.net/Documentos/631/32592139885/6313259213988511092023163915.jpeg</v>
      </c>
      <c r="H6421" s="4" t="s">
        <v>14991</v>
      </c>
    </row>
    <row r="6422" spans="1:8" x14ac:dyDescent="0.25">
      <c r="A6422" s="2" t="s">
        <v>6449</v>
      </c>
      <c r="B6422" s="3"/>
      <c r="C6422" s="3"/>
      <c r="D6422" s="3"/>
      <c r="E6422" s="5" t="str">
        <f>HYPERLINK("https://dpmzos25m8ivg.cloudfront.net/Documentos/631/32666702804/6313266670280413092023164724.jpeg","https://dpmzos25m8ivg.cloudfront.net/Documentos/631/32666702804/6313266670280413092023164724.jpeg")</f>
        <v>https://dpmzos25m8ivg.cloudfront.net/Documentos/631/32666702804/6313266670280413092023164724.jpeg</v>
      </c>
      <c r="F6422" s="5" t="str">
        <f>HYPERLINK("https://dpmzos25m8ivg.cloudfront.net/Documentos/631/32666702804/6313266670280413092023164735.jpeg","https://dpmzos25m8ivg.cloudfront.net/Documentos/631/32666702804/6313266670280413092023164735.jpeg")</f>
        <v>https://dpmzos25m8ivg.cloudfront.net/Documentos/631/32666702804/6313266670280413092023164735.jpeg</v>
      </c>
      <c r="G6422" s="5" t="str">
        <f>HYPERLINK("https://dpmzos25m8ivg.cloudfront.net/Documentos/631/32666702804/6313266670280413092023164744.jpeg","https://dpmzos25m8ivg.cloudfront.net/Documentos/631/32666702804/6313266670280413092023164744.jpeg")</f>
        <v>https://dpmzos25m8ivg.cloudfront.net/Documentos/631/32666702804/6313266670280413092023164744.jpeg</v>
      </c>
      <c r="H6422" s="4" t="s">
        <v>14992</v>
      </c>
    </row>
    <row r="6423" spans="1:8" x14ac:dyDescent="0.25">
      <c r="A6423" s="2" t="s">
        <v>6450</v>
      </c>
      <c r="B6423" s="3"/>
      <c r="C6423" s="3"/>
      <c r="D6423" s="3"/>
      <c r="E6423" s="5" t="str">
        <f>HYPERLINK("https://dpmzos25m8ivg.cloudfront.net/Documentos/631/32686528400/6313268652840004092023204434.jpg","https://dpmzos25m8ivg.cloudfront.net/Documentos/631/32686528400/6313268652840004092023204434.jpg")</f>
        <v>https://dpmzos25m8ivg.cloudfront.net/Documentos/631/32686528400/6313268652840004092023204434.jpg</v>
      </c>
      <c r="F6423" s="5" t="str">
        <f>HYPERLINK("https://dpmzos25m8ivg.cloudfront.net/Documentos/631/32686528400/6313268652840004092023204537.jpg","https://dpmzos25m8ivg.cloudfront.net/Documentos/631/32686528400/6313268652840004092023204537.jpg")</f>
        <v>https://dpmzos25m8ivg.cloudfront.net/Documentos/631/32686528400/6313268652840004092023204537.jpg</v>
      </c>
      <c r="G6423" s="5" t="str">
        <f>HYPERLINK("https://dpmzos25m8ivg.cloudfront.net/Documentos/631/32686528400/6313268652840004092023204649.jpg","https://dpmzos25m8ivg.cloudfront.net/Documentos/631/32686528400/6313268652840004092023204649.jpg")</f>
        <v>https://dpmzos25m8ivg.cloudfront.net/Documentos/631/32686528400/6313268652840004092023204649.jpg</v>
      </c>
      <c r="H6423" s="4" t="s">
        <v>14993</v>
      </c>
    </row>
    <row r="6424" spans="1:8" x14ac:dyDescent="0.25">
      <c r="A6424" s="2" t="s">
        <v>6451</v>
      </c>
      <c r="B6424" s="3"/>
      <c r="C6424" s="3"/>
      <c r="D6424" s="3"/>
      <c r="E6424" s="5" t="str">
        <f>HYPERLINK("https://dpmzos25m8ivg.cloudfront.net/Documentos/631/32768870889/6313276887088911092023161253.jpeg","https://dpmzos25m8ivg.cloudfront.net/Documentos/631/32768870889/6313276887088911092023161253.jpeg")</f>
        <v>https://dpmzos25m8ivg.cloudfront.net/Documentos/631/32768870889/6313276887088911092023161253.jpeg</v>
      </c>
      <c r="F6424" s="5" t="str">
        <f>HYPERLINK("https://dpmzos25m8ivg.cloudfront.net/Documentos/631/32768870889/6313276887088911092023161308.jpeg","https://dpmzos25m8ivg.cloudfront.net/Documentos/631/32768870889/6313276887088911092023161308.jpeg")</f>
        <v>https://dpmzos25m8ivg.cloudfront.net/Documentos/631/32768870889/6313276887088911092023161308.jpeg</v>
      </c>
      <c r="G6424" s="5" t="str">
        <f>HYPERLINK("https://dpmzos25m8ivg.cloudfront.net/Documentos/631/32768870889/6313276887088911092023161316.jpeg","https://dpmzos25m8ivg.cloudfront.net/Documentos/631/32768870889/6313276887088911092023161316.jpeg")</f>
        <v>https://dpmzos25m8ivg.cloudfront.net/Documentos/631/32768870889/6313276887088911092023161316.jpeg</v>
      </c>
      <c r="H6424" s="4" t="s">
        <v>14994</v>
      </c>
    </row>
    <row r="6425" spans="1:8" x14ac:dyDescent="0.25">
      <c r="A6425" s="2" t="s">
        <v>6452</v>
      </c>
      <c r="B6425" s="3"/>
      <c r="C6425" s="3"/>
      <c r="D6425" s="3"/>
      <c r="E6425" s="5" t="str">
        <f>HYPERLINK("https://dpmzos25m8ivg.cloudfront.net/Documentos/631/32794058827/6313279405882707092023183519.pdf","https://dpmzos25m8ivg.cloudfront.net/Documentos/631/32794058827/6313279405882707092023183519.pdf")</f>
        <v>https://dpmzos25m8ivg.cloudfront.net/Documentos/631/32794058827/6313279405882707092023183519.pdf</v>
      </c>
      <c r="F6425" s="5" t="str">
        <f>HYPERLINK("https://dpmzos25m8ivg.cloudfront.net/Documentos/631/32794058827/6313279405882707092023183532.pdf","https://dpmzos25m8ivg.cloudfront.net/Documentos/631/32794058827/6313279405882707092023183532.pdf")</f>
        <v>https://dpmzos25m8ivg.cloudfront.net/Documentos/631/32794058827/6313279405882707092023183532.pdf</v>
      </c>
      <c r="G6425" s="5" t="str">
        <f>HYPERLINK("https://dpmzos25m8ivg.cloudfront.net/Documentos/631/32794058827/6313279405882707092023183622.pdf","https://dpmzos25m8ivg.cloudfront.net/Documentos/631/32794058827/6313279405882707092023183622.pdf")</f>
        <v>https://dpmzos25m8ivg.cloudfront.net/Documentos/631/32794058827/6313279405882707092023183622.pdf</v>
      </c>
      <c r="H6425" s="4" t="s">
        <v>14995</v>
      </c>
    </row>
    <row r="6426" spans="1:8" x14ac:dyDescent="0.25">
      <c r="A6426" s="2" t="s">
        <v>6453</v>
      </c>
      <c r="B6426" s="3"/>
      <c r="C6426" s="3"/>
      <c r="D6426" s="3"/>
      <c r="E6426" s="5" t="str">
        <f>HYPERLINK("https://dpmzos25m8ivg.cloudfront.net/Documentos/631/32803345862/6313280334586206092023225950.pdf","https://dpmzos25m8ivg.cloudfront.net/Documentos/631/32803345862/6313280334586206092023225950.pdf")</f>
        <v>https://dpmzos25m8ivg.cloudfront.net/Documentos/631/32803345862/6313280334586206092023225950.pdf</v>
      </c>
      <c r="F6426" s="5" t="str">
        <f>HYPERLINK("https://dpmzos25m8ivg.cloudfront.net/Documentos/631/32803345862/6313280334586206092023230003.pdf","https://dpmzos25m8ivg.cloudfront.net/Documentos/631/32803345862/6313280334586206092023230003.pdf")</f>
        <v>https://dpmzos25m8ivg.cloudfront.net/Documentos/631/32803345862/6313280334586206092023230003.pdf</v>
      </c>
      <c r="G6426" s="5" t="str">
        <f>HYPERLINK("https://dpmzos25m8ivg.cloudfront.net/Documentos/631/32803345862/6313280334586206092023230012.pdf","https://dpmzos25m8ivg.cloudfront.net/Documentos/631/32803345862/6313280334586206092023230012.pdf")</f>
        <v>https://dpmzos25m8ivg.cloudfront.net/Documentos/631/32803345862/6313280334586206092023230012.pdf</v>
      </c>
      <c r="H6426" s="4" t="s">
        <v>14996</v>
      </c>
    </row>
    <row r="6427" spans="1:8" x14ac:dyDescent="0.25">
      <c r="A6427" s="2" t="s">
        <v>6454</v>
      </c>
      <c r="B6427" s="16" t="s">
        <v>2358</v>
      </c>
      <c r="C6427" s="3"/>
      <c r="D6427" s="3"/>
      <c r="E6427" s="5" t="str">
        <f>HYPERLINK("https://dpmzos25m8ivg.cloudfront.net/Documentos/631/32827636549/6313282763654905092023074129.pdf","https://dpmzos25m8ivg.cloudfront.net/Documentos/631/32827636549/6313282763654905092023074129.pdf")</f>
        <v>https://dpmzos25m8ivg.cloudfront.net/Documentos/631/32827636549/6313282763654905092023074129.pdf</v>
      </c>
      <c r="F6427" s="5" t="str">
        <f>HYPERLINK("https://dpmzos25m8ivg.cloudfront.net/Documentos/631/32827636549/6313282763654905092023080312.pdf","https://dpmzos25m8ivg.cloudfront.net/Documentos/631/32827636549/6313282763654905092023080312.pdf")</f>
        <v>https://dpmzos25m8ivg.cloudfront.net/Documentos/631/32827636549/6313282763654905092023080312.pdf</v>
      </c>
      <c r="G6427" s="5" t="str">
        <f>HYPERLINK("https://dpmzos25m8ivg.cloudfront.net/Documentos/631/32827636549/6313282763654905092023092415.pdf","https://dpmzos25m8ivg.cloudfront.net/Documentos/631/32827636549/6313282763654905092023092415.pdf")</f>
        <v>https://dpmzos25m8ivg.cloudfront.net/Documentos/631/32827636549/6313282763654905092023092415.pdf</v>
      </c>
      <c r="H6427" s="5" t="s">
        <v>14997</v>
      </c>
    </row>
    <row r="6428" spans="1:8" x14ac:dyDescent="0.25">
      <c r="A6428" s="2" t="s">
        <v>6455</v>
      </c>
      <c r="B6428" s="19" t="s">
        <v>3385</v>
      </c>
      <c r="C6428" s="3"/>
      <c r="D6428" s="3"/>
      <c r="E6428" s="5" t="str">
        <f>HYPERLINK("https://dpmzos25m8ivg.cloudfront.net/Documentos/631/32883263884/6313288326388410092023180023.jpg","https://dpmzos25m8ivg.cloudfront.net/Documentos/631/32883263884/6313288326388410092023180023.jpg")</f>
        <v>https://dpmzos25m8ivg.cloudfront.net/Documentos/631/32883263884/6313288326388410092023180023.jpg</v>
      </c>
      <c r="F6428" s="5" t="str">
        <f>HYPERLINK("https://dpmzos25m8ivg.cloudfront.net/Documentos/631/32883263884/6313288326388410092023180044.jpg","https://dpmzos25m8ivg.cloudfront.net/Documentos/631/32883263884/6313288326388410092023180044.jpg")</f>
        <v>https://dpmzos25m8ivg.cloudfront.net/Documentos/631/32883263884/6313288326388410092023180044.jpg</v>
      </c>
      <c r="G6428" s="5" t="str">
        <f>HYPERLINK("https://dpmzos25m8ivg.cloudfront.net/Documentos/631/32883263884/6313288326388410092023180102.jpg","https://dpmzos25m8ivg.cloudfront.net/Documentos/631/32883263884/6313288326388410092023180102.jpg")</f>
        <v>https://dpmzos25m8ivg.cloudfront.net/Documentos/631/32883263884/6313288326388410092023180102.jpg</v>
      </c>
      <c r="H6428" s="4" t="s">
        <v>14998</v>
      </c>
    </row>
    <row r="6429" spans="1:8" x14ac:dyDescent="0.25">
      <c r="A6429" s="2" t="s">
        <v>6456</v>
      </c>
      <c r="B6429" s="3"/>
      <c r="C6429" s="3"/>
      <c r="D6429" s="3"/>
      <c r="E6429" s="5" t="str">
        <f>HYPERLINK("https://dpmzos25m8ivg.cloudfront.net/Documentos/631/32893565824/6313289356582405092023105646.jpeg","https://dpmzos25m8ivg.cloudfront.net/Documentos/631/32893565824/6313289356582405092023105646.jpeg")</f>
        <v>https://dpmzos25m8ivg.cloudfront.net/Documentos/631/32893565824/6313289356582405092023105646.jpeg</v>
      </c>
      <c r="F6429" s="5" t="str">
        <f>HYPERLINK("https://dpmzos25m8ivg.cloudfront.net/Documentos/631/32893565824/6313289356582405092023105700.jpeg","https://dpmzos25m8ivg.cloudfront.net/Documentos/631/32893565824/6313289356582405092023105700.jpeg")</f>
        <v>https://dpmzos25m8ivg.cloudfront.net/Documentos/631/32893565824/6313289356582405092023105700.jpeg</v>
      </c>
      <c r="G6429" s="5" t="str">
        <f>HYPERLINK("https://dpmzos25m8ivg.cloudfront.net/Documentos/631/32893565824/6313289356582405092023105716.jpeg","https://dpmzos25m8ivg.cloudfront.net/Documentos/631/32893565824/6313289356582405092023105716.jpeg")</f>
        <v>https://dpmzos25m8ivg.cloudfront.net/Documentos/631/32893565824/6313289356582405092023105716.jpeg</v>
      </c>
      <c r="H6429" s="4" t="s">
        <v>14999</v>
      </c>
    </row>
    <row r="6430" spans="1:8" x14ac:dyDescent="0.25">
      <c r="A6430" s="2" t="s">
        <v>6457</v>
      </c>
      <c r="B6430" s="3" t="s">
        <v>8</v>
      </c>
      <c r="C6430" s="3"/>
      <c r="D6430" s="3"/>
      <c r="E6430" s="5" t="str">
        <f>HYPERLINK("https://dpmzos25m8ivg.cloudfront.net/Documentos/631/32935358449/6313293535844911092023135256.pdf","https://dpmzos25m8ivg.cloudfront.net/Documentos/631/32935358449/6313293535844911092023135256.pdf")</f>
        <v>https://dpmzos25m8ivg.cloudfront.net/Documentos/631/32935358449/6313293535844911092023135256.pdf</v>
      </c>
      <c r="F6430" s="5" t="str">
        <f>HYPERLINK("https://dpmzos25m8ivg.cloudfront.net/Documentos/631/32935358449/6313293535844911092023135306.pdf","https://dpmzos25m8ivg.cloudfront.net/Documentos/631/32935358449/6313293535844911092023135306.pdf")</f>
        <v>https://dpmzos25m8ivg.cloudfront.net/Documentos/631/32935358449/6313293535844911092023135306.pdf</v>
      </c>
      <c r="G6430" s="5" t="str">
        <f>HYPERLINK("https://dpmzos25m8ivg.cloudfront.net/Documentos/631/32935358449/6313293535844911092023135314.pdf","https://dpmzos25m8ivg.cloudfront.net/Documentos/631/32935358449/6313293535844911092023135314.pdf")</f>
        <v>https://dpmzos25m8ivg.cloudfront.net/Documentos/631/32935358449/6313293535844911092023135314.pdf</v>
      </c>
      <c r="H6430" s="4" t="s">
        <v>15000</v>
      </c>
    </row>
    <row r="6431" spans="1:8" x14ac:dyDescent="0.25">
      <c r="A6431" s="2" t="s">
        <v>6458</v>
      </c>
      <c r="B6431" s="3"/>
      <c r="C6431" s="3"/>
      <c r="D6431" s="3"/>
      <c r="E6431" s="5" t="str">
        <f>HYPERLINK("https://dpmzos25m8ivg.cloudfront.net/Documentos/631/32952794898/6313295279489811092023124007.jpeg","https://dpmzos25m8ivg.cloudfront.net/Documentos/631/32952794898/6313295279489811092023124007.jpeg")</f>
        <v>https://dpmzos25m8ivg.cloudfront.net/Documentos/631/32952794898/6313295279489811092023124007.jpeg</v>
      </c>
      <c r="F6431" s="5" t="str">
        <f>HYPERLINK("https://dpmzos25m8ivg.cloudfront.net/Documentos/631/32952794898/6313295279489811092023124014.jpeg","https://dpmzos25m8ivg.cloudfront.net/Documentos/631/32952794898/6313295279489811092023124014.jpeg")</f>
        <v>https://dpmzos25m8ivg.cloudfront.net/Documentos/631/32952794898/6313295279489811092023124014.jpeg</v>
      </c>
      <c r="G6431" s="5" t="str">
        <f>HYPERLINK("https://dpmzos25m8ivg.cloudfront.net/Documentos/631/32952794898/6313295279489811092023124023.jpeg","https://dpmzos25m8ivg.cloudfront.net/Documentos/631/32952794898/6313295279489811092023124023.jpeg")</f>
        <v>https://dpmzos25m8ivg.cloudfront.net/Documentos/631/32952794898/6313295279489811092023124023.jpeg</v>
      </c>
      <c r="H6431" s="4" t="s">
        <v>15001</v>
      </c>
    </row>
    <row r="6432" spans="1:8" x14ac:dyDescent="0.25">
      <c r="A6432" s="2" t="s">
        <v>6459</v>
      </c>
      <c r="B6432" s="3"/>
      <c r="C6432" s="3"/>
      <c r="D6432" s="3"/>
      <c r="E6432" s="5" t="str">
        <f>HYPERLINK("https://dpmzos25m8ivg.cloudfront.net/Documentos/631/32977273816/6313297727381606092023151433.pdf","https://dpmzos25m8ivg.cloudfront.net/Documentos/631/32977273816/6313297727381606092023151433.pdf")</f>
        <v>https://dpmzos25m8ivg.cloudfront.net/Documentos/631/32977273816/6313297727381606092023151433.pdf</v>
      </c>
      <c r="F6432" s="5" t="str">
        <f>HYPERLINK("https://dpmzos25m8ivg.cloudfront.net/Documentos/631/32977273816/6313297727381606092023151450.pdf","https://dpmzos25m8ivg.cloudfront.net/Documentos/631/32977273816/6313297727381606092023151450.pdf")</f>
        <v>https://dpmzos25m8ivg.cloudfront.net/Documentos/631/32977273816/6313297727381606092023151450.pdf</v>
      </c>
      <c r="G6432" s="5" t="str">
        <f>HYPERLINK("https://dpmzos25m8ivg.cloudfront.net/Documentos/631/32977273816/6313297727381606092023151506.pdf","https://dpmzos25m8ivg.cloudfront.net/Documentos/631/32977273816/6313297727381606092023151506.pdf")</f>
        <v>https://dpmzos25m8ivg.cloudfront.net/Documentos/631/32977273816/6313297727381606092023151506.pdf</v>
      </c>
      <c r="H6432" s="4" t="s">
        <v>15002</v>
      </c>
    </row>
    <row r="6433" spans="1:8" x14ac:dyDescent="0.25">
      <c r="A6433" s="2" t="s">
        <v>6460</v>
      </c>
      <c r="B6433" s="16" t="s">
        <v>2358</v>
      </c>
      <c r="C6433" s="3"/>
      <c r="D6433" s="3"/>
      <c r="E6433" s="5" t="str">
        <f>HYPERLINK("https://dpmzos25m8ivg.cloudfront.net/Documentos/631/32999996802/6313299999680207092023233125.pdf","https://dpmzos25m8ivg.cloudfront.net/Documentos/631/32999996802/6313299999680207092023233125.pdf")</f>
        <v>https://dpmzos25m8ivg.cloudfront.net/Documentos/631/32999996802/6313299999680207092023233125.pdf</v>
      </c>
      <c r="F6433" s="5" t="str">
        <f>HYPERLINK("https://dpmzos25m8ivg.cloudfront.net/Documentos/631/32999996802/6313299999680207092023233154.pdf","https://dpmzos25m8ivg.cloudfront.net/Documentos/631/32999996802/6313299999680207092023233154.pdf")</f>
        <v>https://dpmzos25m8ivg.cloudfront.net/Documentos/631/32999996802/6313299999680207092023233154.pdf</v>
      </c>
      <c r="G6433" s="5" t="str">
        <f>HYPERLINK("https://dpmzos25m8ivg.cloudfront.net/Documentos/631/32999996802/6313299999680207092023233210.pdf","https://dpmzos25m8ivg.cloudfront.net/Documentos/631/32999996802/6313299999680207092023233210.pdf")</f>
        <v>https://dpmzos25m8ivg.cloudfront.net/Documentos/631/32999996802/6313299999680207092023233210.pdf</v>
      </c>
      <c r="H6433" s="5" t="s">
        <v>15003</v>
      </c>
    </row>
    <row r="6434" spans="1:8" x14ac:dyDescent="0.25">
      <c r="A6434" s="2" t="s">
        <v>6461</v>
      </c>
      <c r="B6434" s="3"/>
      <c r="C6434" s="3"/>
      <c r="D6434" s="3"/>
      <c r="E6434" s="5" t="str">
        <f>HYPERLINK("https://dpmzos25m8ivg.cloudfront.net/Documentos/631/33052142879/6313305214287911092023080936.pdf","https://dpmzos25m8ivg.cloudfront.net/Documentos/631/33052142879/6313305214287911092023080936.pdf")</f>
        <v>https://dpmzos25m8ivg.cloudfront.net/Documentos/631/33052142879/6313305214287911092023080936.pdf</v>
      </c>
      <c r="F6434" s="5" t="str">
        <f>HYPERLINK("https://dpmzos25m8ivg.cloudfront.net/Documentos/631/33052142879/6313305214287911092023080951.pdf","https://dpmzos25m8ivg.cloudfront.net/Documentos/631/33052142879/6313305214287911092023080951.pdf")</f>
        <v>https://dpmzos25m8ivg.cloudfront.net/Documentos/631/33052142879/6313305214287911092023080951.pdf</v>
      </c>
      <c r="G6434" s="5" t="str">
        <f>HYPERLINK("https://dpmzos25m8ivg.cloudfront.net/Documentos/631/33052142879/6313305214287911092023081001.pdf","https://dpmzos25m8ivg.cloudfront.net/Documentos/631/33052142879/6313305214287911092023081001.pdf")</f>
        <v>https://dpmzos25m8ivg.cloudfront.net/Documentos/631/33052142879/6313305214287911092023081001.pdf</v>
      </c>
      <c r="H6434" s="4" t="s">
        <v>15004</v>
      </c>
    </row>
    <row r="6435" spans="1:8" x14ac:dyDescent="0.25">
      <c r="A6435" s="2" t="s">
        <v>6462</v>
      </c>
      <c r="B6435" s="3"/>
      <c r="C6435" s="3"/>
      <c r="D6435" s="3"/>
      <c r="E6435" s="5" t="str">
        <f>HYPERLINK("https://dpmzos25m8ivg.cloudfront.net/Documentos/631/33054171884/6313305417188408092023214412.pdf","https://dpmzos25m8ivg.cloudfront.net/Documentos/631/33054171884/6313305417188408092023214412.pdf")</f>
        <v>https://dpmzos25m8ivg.cloudfront.net/Documentos/631/33054171884/6313305417188408092023214412.pdf</v>
      </c>
      <c r="F6435" s="5" t="str">
        <f>HYPERLINK("https://dpmzos25m8ivg.cloudfront.net/Documentos/631/33054171884/6313305417188408092023214436.pdf","https://dpmzos25m8ivg.cloudfront.net/Documentos/631/33054171884/6313305417188408092023214436.pdf")</f>
        <v>https://dpmzos25m8ivg.cloudfront.net/Documentos/631/33054171884/6313305417188408092023214436.pdf</v>
      </c>
      <c r="G6435" s="5" t="str">
        <f>HYPERLINK("https://dpmzos25m8ivg.cloudfront.net/Documentos/631/33054171884/6313305417188408092023214458.pdf","https://dpmzos25m8ivg.cloudfront.net/Documentos/631/33054171884/6313305417188408092023214458.pdf")</f>
        <v>https://dpmzos25m8ivg.cloudfront.net/Documentos/631/33054171884/6313305417188408092023214458.pdf</v>
      </c>
      <c r="H6435" s="4" t="s">
        <v>15005</v>
      </c>
    </row>
    <row r="6436" spans="1:8" x14ac:dyDescent="0.25">
      <c r="A6436" s="2" t="s">
        <v>6463</v>
      </c>
      <c r="B6436" s="3"/>
      <c r="C6436" s="3"/>
      <c r="D6436" s="3"/>
      <c r="E6436" s="5" t="str">
        <f>HYPERLINK("https://dpmzos25m8ivg.cloudfront.net/Documentos/631/33073628878/6313307362887811092023164943.jpg","https://dpmzos25m8ivg.cloudfront.net/Documentos/631/33073628878/6313307362887811092023164943.jpg")</f>
        <v>https://dpmzos25m8ivg.cloudfront.net/Documentos/631/33073628878/6313307362887811092023164943.jpg</v>
      </c>
      <c r="F6436" s="5" t="str">
        <f>HYPERLINK("https://dpmzos25m8ivg.cloudfront.net/Documentos/631/33073628878/6313307362887811092023164955.jpg","https://dpmzos25m8ivg.cloudfront.net/Documentos/631/33073628878/6313307362887811092023164955.jpg")</f>
        <v>https://dpmzos25m8ivg.cloudfront.net/Documentos/631/33073628878/6313307362887811092023164955.jpg</v>
      </c>
      <c r="G6436" s="5" t="str">
        <f>HYPERLINK("https://dpmzos25m8ivg.cloudfront.net/Documentos/631/33073628878/6313307362887811092023165004.jpg","https://dpmzos25m8ivg.cloudfront.net/Documentos/631/33073628878/6313307362887811092023165004.jpg")</f>
        <v>https://dpmzos25m8ivg.cloudfront.net/Documentos/631/33073628878/6313307362887811092023165004.jpg</v>
      </c>
      <c r="H6436" s="4" t="s">
        <v>15006</v>
      </c>
    </row>
    <row r="6437" spans="1:8" x14ac:dyDescent="0.25">
      <c r="A6437" s="2" t="s">
        <v>6464</v>
      </c>
      <c r="B6437" s="16" t="s">
        <v>2358</v>
      </c>
      <c r="C6437" s="3"/>
      <c r="D6437" s="3"/>
      <c r="E6437" s="5" t="str">
        <f>HYPERLINK("https://dpmzos25m8ivg.cloudfront.net/Documentos/631/33090792877/6313309079287711092023152111.jpg","https://dpmzos25m8ivg.cloudfront.net/Documentos/631/33090792877/6313309079287711092023152111.jpg")</f>
        <v>https://dpmzos25m8ivg.cloudfront.net/Documentos/631/33090792877/6313309079287711092023152111.jpg</v>
      </c>
      <c r="F6437" s="5" t="str">
        <f>HYPERLINK("https://dpmzos25m8ivg.cloudfront.net/Documentos/631/33090792877/6313309079287711092023152137.jpg","https://dpmzos25m8ivg.cloudfront.net/Documentos/631/33090792877/6313309079287711092023152137.jpg")</f>
        <v>https://dpmzos25m8ivg.cloudfront.net/Documentos/631/33090792877/6313309079287711092023152137.jpg</v>
      </c>
      <c r="G6437" s="5" t="str">
        <f>HYPERLINK("https://dpmzos25m8ivg.cloudfront.net/Documentos/631/33090792877/6313309079287711092023152158.jpg","https://dpmzos25m8ivg.cloudfront.net/Documentos/631/33090792877/6313309079287711092023152158.jpg")</f>
        <v>https://dpmzos25m8ivg.cloudfront.net/Documentos/631/33090792877/6313309079287711092023152158.jpg</v>
      </c>
      <c r="H6437" s="5" t="s">
        <v>15007</v>
      </c>
    </row>
    <row r="6438" spans="1:8" x14ac:dyDescent="0.25">
      <c r="A6438" s="2" t="s">
        <v>6465</v>
      </c>
      <c r="B6438" s="3"/>
      <c r="C6438" s="3"/>
      <c r="D6438" s="3"/>
      <c r="E6438" s="5" t="str">
        <f>HYPERLINK("https://dpmzos25m8ivg.cloudfront.net/Documentos/631/33094583857/6313309458385711092023135303.jpg","https://dpmzos25m8ivg.cloudfront.net/Documentos/631/33094583857/6313309458385711092023135303.jpg")</f>
        <v>https://dpmzos25m8ivg.cloudfront.net/Documentos/631/33094583857/6313309458385711092023135303.jpg</v>
      </c>
      <c r="F6438" s="5" t="str">
        <f>HYPERLINK("https://dpmzos25m8ivg.cloudfront.net/Documentos/631/33094583857/6313309458385711092023135319.jpg","https://dpmzos25m8ivg.cloudfront.net/Documentos/631/33094583857/6313309458385711092023135319.jpg")</f>
        <v>https://dpmzos25m8ivg.cloudfront.net/Documentos/631/33094583857/6313309458385711092023135319.jpg</v>
      </c>
      <c r="G6438" s="5" t="str">
        <f>HYPERLINK("https://dpmzos25m8ivg.cloudfront.net/Documentos/631/33094583857/6313309458385711092023135331.jpg","https://dpmzos25m8ivg.cloudfront.net/Documentos/631/33094583857/6313309458385711092023135331.jpg")</f>
        <v>https://dpmzos25m8ivg.cloudfront.net/Documentos/631/33094583857/6313309458385711092023135331.jpg</v>
      </c>
      <c r="H6438" s="4" t="s">
        <v>15008</v>
      </c>
    </row>
    <row r="6439" spans="1:8" x14ac:dyDescent="0.25">
      <c r="A6439" s="2" t="s">
        <v>6466</v>
      </c>
      <c r="B6439" s="3"/>
      <c r="C6439" s="3"/>
      <c r="D6439" s="3"/>
      <c r="E6439" s="5" t="str">
        <f>HYPERLINK("https://dpmzos25m8ivg.cloudfront.net/Documentos/631/33098949830/6313309894983006092023112359.pdf","https://dpmzos25m8ivg.cloudfront.net/Documentos/631/33098949830/6313309894983006092023112359.pdf")</f>
        <v>https://dpmzos25m8ivg.cloudfront.net/Documentos/631/33098949830/6313309894983006092023112359.pdf</v>
      </c>
      <c r="F6439" s="5" t="str">
        <f>HYPERLINK("https://dpmzos25m8ivg.cloudfront.net/Documentos/631/33098949830/6313309894983006092023112423.pdf","https://dpmzos25m8ivg.cloudfront.net/Documentos/631/33098949830/6313309894983006092023112423.pdf")</f>
        <v>https://dpmzos25m8ivg.cloudfront.net/Documentos/631/33098949830/6313309894983006092023112423.pdf</v>
      </c>
      <c r="G6439" s="5" t="str">
        <f>HYPERLINK("https://dpmzos25m8ivg.cloudfront.net/Documentos/631/33098949830/6313309894983006092023112434.pdf","https://dpmzos25m8ivg.cloudfront.net/Documentos/631/33098949830/6313309894983006092023112434.pdf")</f>
        <v>https://dpmzos25m8ivg.cloudfront.net/Documentos/631/33098949830/6313309894983006092023112434.pdf</v>
      </c>
      <c r="H6439" s="4" t="s">
        <v>15009</v>
      </c>
    </row>
    <row r="6440" spans="1:8" x14ac:dyDescent="0.25">
      <c r="A6440" s="2" t="s">
        <v>6467</v>
      </c>
      <c r="B6440" s="3"/>
      <c r="C6440" s="3"/>
      <c r="D6440" s="3"/>
      <c r="E6440" s="5" t="str">
        <f>HYPERLINK("https://dpmzos25m8ivg.cloudfront.net/Documentos/631/33111149811/6313311114981109092023143654.pdf","https://dpmzos25m8ivg.cloudfront.net/Documentos/631/33111149811/6313311114981109092023143654.pdf")</f>
        <v>https://dpmzos25m8ivg.cloudfront.net/Documentos/631/33111149811/6313311114981109092023143654.pdf</v>
      </c>
      <c r="F6440" s="5" t="str">
        <f>HYPERLINK("https://dpmzos25m8ivg.cloudfront.net/Documentos/631/33111149811/6313311114981109092023143715.pdf","https://dpmzos25m8ivg.cloudfront.net/Documentos/631/33111149811/6313311114981109092023143715.pdf")</f>
        <v>https://dpmzos25m8ivg.cloudfront.net/Documentos/631/33111149811/6313311114981109092023143715.pdf</v>
      </c>
      <c r="G6440" s="5" t="str">
        <f>HYPERLINK("https://dpmzos25m8ivg.cloudfront.net/Documentos/631/33111149811/6313311114981109092023143741.pdf","https://dpmzos25m8ivg.cloudfront.net/Documentos/631/33111149811/6313311114981109092023143741.pdf")</f>
        <v>https://dpmzos25m8ivg.cloudfront.net/Documentos/631/33111149811/6313311114981109092023143741.pdf</v>
      </c>
      <c r="H6440" s="4" t="s">
        <v>15010</v>
      </c>
    </row>
    <row r="6441" spans="1:8" x14ac:dyDescent="0.25">
      <c r="A6441" s="2" t="s">
        <v>6468</v>
      </c>
      <c r="B6441" s="3"/>
      <c r="C6441" s="3"/>
      <c r="D6441" s="3"/>
      <c r="E6441" s="5" t="str">
        <f>HYPERLINK("https://dpmzos25m8ivg.cloudfront.net/Documentos/631/33124504895/6313312450489505092023201152.jpeg","https://dpmzos25m8ivg.cloudfront.net/Documentos/631/33124504895/6313312450489505092023201152.jpeg")</f>
        <v>https://dpmzos25m8ivg.cloudfront.net/Documentos/631/33124504895/6313312450489505092023201152.jpeg</v>
      </c>
      <c r="F6441" s="5" t="str">
        <f>HYPERLINK("https://dpmzos25m8ivg.cloudfront.net/Documentos/631/33124504895/6313312450489505092023201203.jpeg","https://dpmzos25m8ivg.cloudfront.net/Documentos/631/33124504895/6313312450489505092023201203.jpeg")</f>
        <v>https://dpmzos25m8ivg.cloudfront.net/Documentos/631/33124504895/6313312450489505092023201203.jpeg</v>
      </c>
      <c r="G6441" s="5" t="str">
        <f>HYPERLINK("https://dpmzos25m8ivg.cloudfront.net/Documentos/631/33124504895/6313312450489505092023201214.jpeg","https://dpmzos25m8ivg.cloudfront.net/Documentos/631/33124504895/6313312450489505092023201214.jpeg")</f>
        <v>https://dpmzos25m8ivg.cloudfront.net/Documentos/631/33124504895/6313312450489505092023201214.jpeg</v>
      </c>
      <c r="H6441" s="4" t="s">
        <v>15011</v>
      </c>
    </row>
    <row r="6442" spans="1:8" x14ac:dyDescent="0.25">
      <c r="A6442" s="2" t="s">
        <v>6469</v>
      </c>
      <c r="B6442" s="3"/>
      <c r="C6442" s="3"/>
      <c r="D6442" s="3"/>
      <c r="E6442" s="5" t="str">
        <f>HYPERLINK("https://dpmzos25m8ivg.cloudfront.net/Documentos/631/33144868809/6313314486880910092023121830.jpg","https://dpmzos25m8ivg.cloudfront.net/Documentos/631/33144868809/6313314486880910092023121830.jpg")</f>
        <v>https://dpmzos25m8ivg.cloudfront.net/Documentos/631/33144868809/6313314486880910092023121830.jpg</v>
      </c>
      <c r="F6442" s="5" t="str">
        <f>HYPERLINK("https://dpmzos25m8ivg.cloudfront.net/Documentos/631/33144868809/6313314486880910092023121716.jpg","https://dpmzos25m8ivg.cloudfront.net/Documentos/631/33144868809/6313314486880910092023121716.jpg")</f>
        <v>https://dpmzos25m8ivg.cloudfront.net/Documentos/631/33144868809/6313314486880910092023121716.jpg</v>
      </c>
      <c r="G6442" s="5" t="str">
        <f>HYPERLINK("https://dpmzos25m8ivg.cloudfront.net/Documentos/631/33144868809/6313314486880910092023121803.jpg","https://dpmzos25m8ivg.cloudfront.net/Documentos/631/33144868809/6313314486880910092023121803.jpg")</f>
        <v>https://dpmzos25m8ivg.cloudfront.net/Documentos/631/33144868809/6313314486880910092023121803.jpg</v>
      </c>
      <c r="H6442" s="4" t="s">
        <v>15012</v>
      </c>
    </row>
    <row r="6443" spans="1:8" x14ac:dyDescent="0.25">
      <c r="A6443" s="2" t="s">
        <v>6470</v>
      </c>
      <c r="B6443" s="3"/>
      <c r="C6443" s="3"/>
      <c r="D6443" s="3"/>
      <c r="E6443" s="5" t="str">
        <f>HYPERLINK("https://dpmzos25m8ivg.cloudfront.net/Documentos/631/33160661873/6313316066187311092023163141.pdf","https://dpmzos25m8ivg.cloudfront.net/Documentos/631/33160661873/6313316066187311092023163141.pdf")</f>
        <v>https://dpmzos25m8ivg.cloudfront.net/Documentos/631/33160661873/6313316066187311092023163141.pdf</v>
      </c>
      <c r="F6443" s="5" t="str">
        <f>HYPERLINK("https://dpmzos25m8ivg.cloudfront.net/Documentos/631/33160661873/6313316066187311092023163157.pdf","https://dpmzos25m8ivg.cloudfront.net/Documentos/631/33160661873/6313316066187311092023163157.pdf")</f>
        <v>https://dpmzos25m8ivg.cloudfront.net/Documentos/631/33160661873/6313316066187311092023163157.pdf</v>
      </c>
      <c r="G6443" s="5" t="str">
        <f>HYPERLINK("https://dpmzos25m8ivg.cloudfront.net/Documentos/631/33160661873/6313316066187311092023163214.pdf","https://dpmzos25m8ivg.cloudfront.net/Documentos/631/33160661873/6313316066187311092023163214.pdf")</f>
        <v>https://dpmzos25m8ivg.cloudfront.net/Documentos/631/33160661873/6313316066187311092023163214.pdf</v>
      </c>
      <c r="H6443" s="4" t="s">
        <v>15013</v>
      </c>
    </row>
    <row r="6444" spans="1:8" x14ac:dyDescent="0.25">
      <c r="A6444" s="2" t="s">
        <v>6471</v>
      </c>
      <c r="B6444" s="16" t="s">
        <v>2358</v>
      </c>
      <c r="C6444" s="3"/>
      <c r="D6444" s="3"/>
      <c r="E6444" s="5" t="str">
        <f>HYPERLINK("https://dpmzos25m8ivg.cloudfront.net/Documentos/631/33182321811/6313318232181111092023123333.pdf","https://dpmzos25m8ivg.cloudfront.net/Documentos/631/33182321811/6313318232181111092023123333.pdf")</f>
        <v>https://dpmzos25m8ivg.cloudfront.net/Documentos/631/33182321811/6313318232181111092023123333.pdf</v>
      </c>
      <c r="F6444" s="5" t="str">
        <f>HYPERLINK("https://dpmzos25m8ivg.cloudfront.net/Documentos/631/33182321811/6313318232181111092023123550.pdf","https://dpmzos25m8ivg.cloudfront.net/Documentos/631/33182321811/6313318232181111092023123550.pdf")</f>
        <v>https://dpmzos25m8ivg.cloudfront.net/Documentos/631/33182321811/6313318232181111092023123550.pdf</v>
      </c>
      <c r="G6444" s="5" t="str">
        <f>HYPERLINK("https://dpmzos25m8ivg.cloudfront.net/Documentos/631/33182321811/6313318232181111092023123601.pdf","https://dpmzos25m8ivg.cloudfront.net/Documentos/631/33182321811/6313318232181111092023123601.pdf")</f>
        <v>https://dpmzos25m8ivg.cloudfront.net/Documentos/631/33182321811/6313318232181111092023123601.pdf</v>
      </c>
      <c r="H6444" s="5" t="s">
        <v>15014</v>
      </c>
    </row>
    <row r="6445" spans="1:8" x14ac:dyDescent="0.25">
      <c r="A6445" s="2" t="s">
        <v>6472</v>
      </c>
      <c r="B6445" s="3"/>
      <c r="C6445" s="3"/>
      <c r="D6445" s="3"/>
      <c r="E6445" s="5" t="str">
        <f>HYPERLINK("https://dpmzos25m8ivg.cloudfront.net/Documentos/631/33185450230/6313318545023011092023105306.pdf","https://dpmzos25m8ivg.cloudfront.net/Documentos/631/33185450230/6313318545023011092023105306.pdf")</f>
        <v>https://dpmzos25m8ivg.cloudfront.net/Documentos/631/33185450230/6313318545023011092023105306.pdf</v>
      </c>
      <c r="F6445" s="5" t="str">
        <f>HYPERLINK("https://dpmzos25m8ivg.cloudfront.net/Documentos/631/33185450230/6313318545023011092023105315.pdf","https://dpmzos25m8ivg.cloudfront.net/Documentos/631/33185450230/6313318545023011092023105315.pdf")</f>
        <v>https://dpmzos25m8ivg.cloudfront.net/Documentos/631/33185450230/6313318545023011092023105315.pdf</v>
      </c>
      <c r="G6445" s="5" t="str">
        <f>HYPERLINK("https://dpmzos25m8ivg.cloudfront.net/Documentos/631/33185450230/6313318545023011092023105325.pdf","https://dpmzos25m8ivg.cloudfront.net/Documentos/631/33185450230/6313318545023011092023105325.pdf")</f>
        <v>https://dpmzos25m8ivg.cloudfront.net/Documentos/631/33185450230/6313318545023011092023105325.pdf</v>
      </c>
      <c r="H6445" s="4" t="s">
        <v>15015</v>
      </c>
    </row>
    <row r="6446" spans="1:8" x14ac:dyDescent="0.25">
      <c r="A6446" s="2" t="s">
        <v>6473</v>
      </c>
      <c r="B6446" s="3"/>
      <c r="C6446" s="3"/>
      <c r="D6446" s="3"/>
      <c r="E6446" s="5" t="str">
        <f>HYPERLINK("https://dpmzos25m8ivg.cloudfront.net/Documentos/631/33213855898/6313321385589811092023100804.pdf","https://dpmzos25m8ivg.cloudfront.net/Documentos/631/33213855898/6313321385589811092023100804.pdf")</f>
        <v>https://dpmzos25m8ivg.cloudfront.net/Documentos/631/33213855898/6313321385589811092023100804.pdf</v>
      </c>
      <c r="F6446" s="5" t="str">
        <f>HYPERLINK("https://dpmzos25m8ivg.cloudfront.net/Documentos/631/33213855898/6313321385589811092023100815.pdf","https://dpmzos25m8ivg.cloudfront.net/Documentos/631/33213855898/6313321385589811092023100815.pdf")</f>
        <v>https://dpmzos25m8ivg.cloudfront.net/Documentos/631/33213855898/6313321385589811092023100815.pdf</v>
      </c>
      <c r="G6446" s="5" t="str">
        <f>HYPERLINK("https://dpmzos25m8ivg.cloudfront.net/Documentos/631/33213855898/6313321385589811092023100824.pdf","https://dpmzos25m8ivg.cloudfront.net/Documentos/631/33213855898/6313321385589811092023100824.pdf")</f>
        <v>https://dpmzos25m8ivg.cloudfront.net/Documentos/631/33213855898/6313321385589811092023100824.pdf</v>
      </c>
      <c r="H6446" s="4" t="s">
        <v>15016</v>
      </c>
    </row>
    <row r="6447" spans="1:8" x14ac:dyDescent="0.25">
      <c r="A6447" s="2" t="s">
        <v>6474</v>
      </c>
      <c r="B6447" s="3"/>
      <c r="C6447" s="3"/>
      <c r="D6447" s="3"/>
      <c r="E6447" s="5" t="str">
        <f>HYPERLINK("https://dpmzos25m8ivg.cloudfront.net/Documentos/631/33230975804/6313323097580405092023170022.jpg","https://dpmzos25m8ivg.cloudfront.net/Documentos/631/33230975804/6313323097580405092023170022.jpg")</f>
        <v>https://dpmzos25m8ivg.cloudfront.net/Documentos/631/33230975804/6313323097580405092023170022.jpg</v>
      </c>
      <c r="F6447" s="5" t="str">
        <f>HYPERLINK("https://dpmzos25m8ivg.cloudfront.net/Documentos/631/33230975804/6313323097580405092023170037.jpg","https://dpmzos25m8ivg.cloudfront.net/Documentos/631/33230975804/6313323097580405092023170037.jpg")</f>
        <v>https://dpmzos25m8ivg.cloudfront.net/Documentos/631/33230975804/6313323097580405092023170037.jpg</v>
      </c>
      <c r="G6447" s="5" t="str">
        <f>HYPERLINK("https://dpmzos25m8ivg.cloudfront.net/Documentos/631/33230975804/6313323097580405092023170053.jpg","https://dpmzos25m8ivg.cloudfront.net/Documentos/631/33230975804/6313323097580405092023170053.jpg")</f>
        <v>https://dpmzos25m8ivg.cloudfront.net/Documentos/631/33230975804/6313323097580405092023170053.jpg</v>
      </c>
      <c r="H6447" s="4" t="s">
        <v>15017</v>
      </c>
    </row>
    <row r="6448" spans="1:8" x14ac:dyDescent="0.25">
      <c r="A6448" s="2" t="s">
        <v>6475</v>
      </c>
      <c r="B6448" s="3"/>
      <c r="C6448" s="3"/>
      <c r="D6448" s="3"/>
      <c r="E6448" s="5" t="str">
        <f>HYPERLINK("https://dpmzos25m8ivg.cloudfront.net/Documentos/631/33237295876/6313323729587610092023161054.pdf","https://dpmzos25m8ivg.cloudfront.net/Documentos/631/33237295876/6313323729587610092023161054.pdf")</f>
        <v>https://dpmzos25m8ivg.cloudfront.net/Documentos/631/33237295876/6313323729587610092023161054.pdf</v>
      </c>
      <c r="F6448" s="5" t="str">
        <f>HYPERLINK("https://dpmzos25m8ivg.cloudfront.net/Documentos/631/33237295876/6313323729587610092023161104.pdf","https://dpmzos25m8ivg.cloudfront.net/Documentos/631/33237295876/6313323729587610092023161104.pdf")</f>
        <v>https://dpmzos25m8ivg.cloudfront.net/Documentos/631/33237295876/6313323729587610092023161104.pdf</v>
      </c>
      <c r="G6448" s="5" t="str">
        <f>HYPERLINK("https://dpmzos25m8ivg.cloudfront.net/Documentos/631/33237295876/6313323729587610092023161113.pdf","https://dpmzos25m8ivg.cloudfront.net/Documentos/631/33237295876/6313323729587610092023161113.pdf")</f>
        <v>https://dpmzos25m8ivg.cloudfront.net/Documentos/631/33237295876/6313323729587610092023161113.pdf</v>
      </c>
      <c r="H6448" s="4" t="s">
        <v>15018</v>
      </c>
    </row>
    <row r="6449" spans="1:8" x14ac:dyDescent="0.25">
      <c r="A6449" s="2" t="s">
        <v>6476</v>
      </c>
      <c r="B6449" s="3"/>
      <c r="C6449" s="3"/>
      <c r="D6449" s="3"/>
      <c r="E6449" s="5" t="str">
        <f>HYPERLINK("https://dpmzos25m8ivg.cloudfront.net/Documentos/631/33369201836/6313336920183608092023154151.pdf","https://dpmzos25m8ivg.cloudfront.net/Documentos/631/33369201836/6313336920183608092023154151.pdf")</f>
        <v>https://dpmzos25m8ivg.cloudfront.net/Documentos/631/33369201836/6313336920183608092023154151.pdf</v>
      </c>
      <c r="F6449" s="5" t="str">
        <f>HYPERLINK("https://dpmzos25m8ivg.cloudfront.net/Documentos/631/33369201836/6313336920183608092023154220.pdf","https://dpmzos25m8ivg.cloudfront.net/Documentos/631/33369201836/6313336920183608092023154220.pdf")</f>
        <v>https://dpmzos25m8ivg.cloudfront.net/Documentos/631/33369201836/6313336920183608092023154220.pdf</v>
      </c>
      <c r="G6449" s="5" t="str">
        <f>HYPERLINK("https://dpmzos25m8ivg.cloudfront.net/Documentos/631/33369201836/6313336920183608092023154233.pdf","https://dpmzos25m8ivg.cloudfront.net/Documentos/631/33369201836/6313336920183608092023154233.pdf")</f>
        <v>https://dpmzos25m8ivg.cloudfront.net/Documentos/631/33369201836/6313336920183608092023154233.pdf</v>
      </c>
      <c r="H6449" s="4" t="s">
        <v>15019</v>
      </c>
    </row>
    <row r="6450" spans="1:8" x14ac:dyDescent="0.25">
      <c r="A6450" s="2" t="s">
        <v>6477</v>
      </c>
      <c r="B6450" s="3"/>
      <c r="C6450" s="3"/>
      <c r="D6450" s="3"/>
      <c r="E6450" s="5" t="str">
        <f>HYPERLINK("https://dpmzos25m8ivg.cloudfront.net/Documentos/631/33391271825/6313339127182505092023190159.pdf","https://dpmzos25m8ivg.cloudfront.net/Documentos/631/33391271825/6313339127182505092023190159.pdf")</f>
        <v>https://dpmzos25m8ivg.cloudfront.net/Documentos/631/33391271825/6313339127182505092023190159.pdf</v>
      </c>
      <c r="F6450" s="5" t="str">
        <f>HYPERLINK("https://dpmzos25m8ivg.cloudfront.net/Documentos/631/33391271825/6313339127182505092023190215.pdf","https://dpmzos25m8ivg.cloudfront.net/Documentos/631/33391271825/6313339127182505092023190215.pdf")</f>
        <v>https://dpmzos25m8ivg.cloudfront.net/Documentos/631/33391271825/6313339127182505092023190215.pdf</v>
      </c>
      <c r="G6450" s="5" t="str">
        <f>HYPERLINK("https://dpmzos25m8ivg.cloudfront.net/Documentos/631/33391271825/6313339127182505092023190227.pdf","https://dpmzos25m8ivg.cloudfront.net/Documentos/631/33391271825/6313339127182505092023190227.pdf")</f>
        <v>https://dpmzos25m8ivg.cloudfront.net/Documentos/631/33391271825/6313339127182505092023190227.pdf</v>
      </c>
      <c r="H6450" s="4" t="s">
        <v>15020</v>
      </c>
    </row>
    <row r="6451" spans="1:8" x14ac:dyDescent="0.25">
      <c r="A6451" s="2" t="s">
        <v>6478</v>
      </c>
      <c r="B6451" s="16" t="s">
        <v>2358</v>
      </c>
      <c r="C6451" s="3"/>
      <c r="D6451" s="3"/>
      <c r="E6451" s="5" t="str">
        <f>HYPERLINK("https://dpmzos25m8ivg.cloudfront.net/Documentos/631/33393490885/6313339349088504092023225042.pdf","https://dpmzos25m8ivg.cloudfront.net/Documentos/631/33393490885/6313339349088504092023225042.pdf")</f>
        <v>https://dpmzos25m8ivg.cloudfront.net/Documentos/631/33393490885/6313339349088504092023225042.pdf</v>
      </c>
      <c r="F6451" s="5" t="str">
        <f>HYPERLINK("https://dpmzos25m8ivg.cloudfront.net/Documentos/631/33393490885/6313339349088504092023230546.pdf","https://dpmzos25m8ivg.cloudfront.net/Documentos/631/33393490885/6313339349088504092023230546.pdf")</f>
        <v>https://dpmzos25m8ivg.cloudfront.net/Documentos/631/33393490885/6313339349088504092023230546.pdf</v>
      </c>
      <c r="G6451" s="5" t="str">
        <f>HYPERLINK("https://dpmzos25m8ivg.cloudfront.net/Documentos/631/33393490885/6313339349088504092023230947.pdf","https://dpmzos25m8ivg.cloudfront.net/Documentos/631/33393490885/6313339349088504092023230947.pdf")</f>
        <v>https://dpmzos25m8ivg.cloudfront.net/Documentos/631/33393490885/6313339349088504092023230947.pdf</v>
      </c>
      <c r="H6451" s="5" t="s">
        <v>15021</v>
      </c>
    </row>
    <row r="6452" spans="1:8" x14ac:dyDescent="0.25">
      <c r="A6452" s="2" t="s">
        <v>6479</v>
      </c>
      <c r="B6452" s="3"/>
      <c r="C6452" s="3"/>
      <c r="D6452" s="3"/>
      <c r="E6452" s="5" t="str">
        <f>HYPERLINK("https://dpmzos25m8ivg.cloudfront.net/Documentos/631/33447616415/6313344761641511092023133333.pdf","https://dpmzos25m8ivg.cloudfront.net/Documentos/631/33447616415/6313344761641511092023133333.pdf")</f>
        <v>https://dpmzos25m8ivg.cloudfront.net/Documentos/631/33447616415/6313344761641511092023133333.pdf</v>
      </c>
      <c r="F6452" s="5" t="str">
        <f>HYPERLINK("https://dpmzos25m8ivg.cloudfront.net/Documentos/631/33447616415/6313344761641511092023133348.pdf","https://dpmzos25m8ivg.cloudfront.net/Documentos/631/33447616415/6313344761641511092023133348.pdf")</f>
        <v>https://dpmzos25m8ivg.cloudfront.net/Documentos/631/33447616415/6313344761641511092023133348.pdf</v>
      </c>
      <c r="G6452" s="5" t="str">
        <f>HYPERLINK("https://dpmzos25m8ivg.cloudfront.net/Documentos/631/33447616415/6313344761641511092023133404.pdf","https://dpmzos25m8ivg.cloudfront.net/Documentos/631/33447616415/6313344761641511092023133404.pdf")</f>
        <v>https://dpmzos25m8ivg.cloudfront.net/Documentos/631/33447616415/6313344761641511092023133404.pdf</v>
      </c>
      <c r="H6452" s="4" t="s">
        <v>15022</v>
      </c>
    </row>
    <row r="6453" spans="1:8" x14ac:dyDescent="0.25">
      <c r="A6453" s="2" t="s">
        <v>6480</v>
      </c>
      <c r="B6453" s="3"/>
      <c r="C6453" s="3"/>
      <c r="D6453" s="3"/>
      <c r="E6453" s="5" t="str">
        <f>HYPERLINK("https://dpmzos25m8ivg.cloudfront.net/Documentos/631/33521727220/6313352172722013092023175038.pdf","https://dpmzos25m8ivg.cloudfront.net/Documentos/631/33521727220/6313352172722013092023175038.pdf")</f>
        <v>https://dpmzos25m8ivg.cloudfront.net/Documentos/631/33521727220/6313352172722013092023175038.pdf</v>
      </c>
      <c r="F6453" s="5" t="str">
        <f>HYPERLINK("https://dpmzos25m8ivg.cloudfront.net/Documentos/631/33521727220/6313352172722013092023175108.pdf","https://dpmzos25m8ivg.cloudfront.net/Documentos/631/33521727220/6313352172722013092023175108.pdf")</f>
        <v>https://dpmzos25m8ivg.cloudfront.net/Documentos/631/33521727220/6313352172722013092023175108.pdf</v>
      </c>
      <c r="G6453" s="5" t="str">
        <f>HYPERLINK("https://dpmzos25m8ivg.cloudfront.net/Documentos/631/33521727220/6313352172722013092023175140.pdf","https://dpmzos25m8ivg.cloudfront.net/Documentos/631/33521727220/6313352172722013092023175140.pdf")</f>
        <v>https://dpmzos25m8ivg.cloudfront.net/Documentos/631/33521727220/6313352172722013092023175140.pdf</v>
      </c>
      <c r="H6453" s="4" t="s">
        <v>15023</v>
      </c>
    </row>
    <row r="6454" spans="1:8" x14ac:dyDescent="0.25">
      <c r="A6454" s="2" t="s">
        <v>6481</v>
      </c>
      <c r="B6454" s="16" t="s">
        <v>2358</v>
      </c>
      <c r="C6454" s="3"/>
      <c r="D6454" s="3"/>
      <c r="E6454" s="5" t="str">
        <f>HYPERLINK("https://dpmzos25m8ivg.cloudfront.net/Documentos/631/33553901861/6313355390186107092023170146.pdf","https://dpmzos25m8ivg.cloudfront.net/Documentos/631/33553901861/6313355390186107092023170146.pdf")</f>
        <v>https://dpmzos25m8ivg.cloudfront.net/Documentos/631/33553901861/6313355390186107092023170146.pdf</v>
      </c>
      <c r="F6454" s="5" t="str">
        <f>HYPERLINK("https://dpmzos25m8ivg.cloudfront.net/Documentos/631/33553901861/6313355390186107092023170207.pdf","https://dpmzos25m8ivg.cloudfront.net/Documentos/631/33553901861/6313355390186107092023170207.pdf")</f>
        <v>https://dpmzos25m8ivg.cloudfront.net/Documentos/631/33553901861/6313355390186107092023170207.pdf</v>
      </c>
      <c r="G6454" s="5" t="str">
        <f>HYPERLINK("https://dpmzos25m8ivg.cloudfront.net/Documentos/631/33553901861/6313355390186107092023170221.pdf","https://dpmzos25m8ivg.cloudfront.net/Documentos/631/33553901861/6313355390186107092023170221.pdf")</f>
        <v>https://dpmzos25m8ivg.cloudfront.net/Documentos/631/33553901861/6313355390186107092023170221.pdf</v>
      </c>
      <c r="H6454" s="5" t="s">
        <v>15024</v>
      </c>
    </row>
    <row r="6455" spans="1:8" x14ac:dyDescent="0.25">
      <c r="A6455" s="2" t="s">
        <v>6482</v>
      </c>
      <c r="B6455" s="3" t="s">
        <v>8</v>
      </c>
      <c r="C6455" s="3"/>
      <c r="D6455" s="3"/>
      <c r="E6455" s="5" t="str">
        <f>HYPERLINK("https://dpmzos25m8ivg.cloudfront.net/Documentos/631/33554555800/6313355455580011092023132953.jpeg","https://dpmzos25m8ivg.cloudfront.net/Documentos/631/33554555800/6313355455580011092023132953.jpeg")</f>
        <v>https://dpmzos25m8ivg.cloudfront.net/Documentos/631/33554555800/6313355455580011092023132953.jpeg</v>
      </c>
      <c r="F6455" s="5" t="str">
        <f>HYPERLINK("https://dpmzos25m8ivg.cloudfront.net/Documentos/631/33554555800/6313355455580011092023133026.jpeg","https://dpmzos25m8ivg.cloudfront.net/Documentos/631/33554555800/6313355455580011092023133026.jpeg")</f>
        <v>https://dpmzos25m8ivg.cloudfront.net/Documentos/631/33554555800/6313355455580011092023133026.jpeg</v>
      </c>
      <c r="G6455" s="5" t="str">
        <f>HYPERLINK("https://dpmzos25m8ivg.cloudfront.net/Documentos/631/33554555800/6313355455580011092023133045.jpeg","https://dpmzos25m8ivg.cloudfront.net/Documentos/631/33554555800/6313355455580011092023133045.jpeg")</f>
        <v>https://dpmzos25m8ivg.cloudfront.net/Documentos/631/33554555800/6313355455580011092023133045.jpeg</v>
      </c>
      <c r="H6455" s="4" t="s">
        <v>15025</v>
      </c>
    </row>
    <row r="6456" spans="1:8" x14ac:dyDescent="0.25">
      <c r="A6456" s="2" t="s">
        <v>6483</v>
      </c>
      <c r="B6456" s="3"/>
      <c r="C6456" s="3"/>
      <c r="D6456" s="3"/>
      <c r="E6456" s="5" t="str">
        <f>HYPERLINK("https://dpmzos25m8ivg.cloudfront.net/Documentos/631/33560625734/6313356062573405092023211045.pdf","https://dpmzos25m8ivg.cloudfront.net/Documentos/631/33560625734/6313356062573405092023211045.pdf")</f>
        <v>https://dpmzos25m8ivg.cloudfront.net/Documentos/631/33560625734/6313356062573405092023211045.pdf</v>
      </c>
      <c r="F6456" s="5" t="str">
        <f>HYPERLINK("https://dpmzos25m8ivg.cloudfront.net/Documentos/631/33560625734/6313356062573405092023211138.pdf","https://dpmzos25m8ivg.cloudfront.net/Documentos/631/33560625734/6313356062573405092023211138.pdf")</f>
        <v>https://dpmzos25m8ivg.cloudfront.net/Documentos/631/33560625734/6313356062573405092023211138.pdf</v>
      </c>
      <c r="G6456" s="5" t="str">
        <f>HYPERLINK("https://dpmzos25m8ivg.cloudfront.net/Documentos/631/33560625734/6313356062573405092023211242.pdf","https://dpmzos25m8ivg.cloudfront.net/Documentos/631/33560625734/6313356062573405092023211242.pdf")</f>
        <v>https://dpmzos25m8ivg.cloudfront.net/Documentos/631/33560625734/6313356062573405092023211242.pdf</v>
      </c>
      <c r="H6456" s="4" t="s">
        <v>15026</v>
      </c>
    </row>
    <row r="6457" spans="1:8" x14ac:dyDescent="0.25">
      <c r="A6457" s="2" t="s">
        <v>6484</v>
      </c>
      <c r="B6457" s="3"/>
      <c r="C6457" s="3"/>
      <c r="D6457" s="3"/>
      <c r="E6457" s="5" t="str">
        <f>HYPERLINK("https://dpmzos25m8ivg.cloudfront.net/Documentos/631/33565386835/6313356538683511092023121215.jpeg","https://dpmzos25m8ivg.cloudfront.net/Documentos/631/33565386835/6313356538683511092023121215.jpeg")</f>
        <v>https://dpmzos25m8ivg.cloudfront.net/Documentos/631/33565386835/6313356538683511092023121215.jpeg</v>
      </c>
      <c r="F6457" s="5" t="str">
        <f>HYPERLINK("https://dpmzos25m8ivg.cloudfront.net/Documentos/631/33565386835/6313356538683511092023121225.jpeg","https://dpmzos25m8ivg.cloudfront.net/Documentos/631/33565386835/6313356538683511092023121225.jpeg")</f>
        <v>https://dpmzos25m8ivg.cloudfront.net/Documentos/631/33565386835/6313356538683511092023121225.jpeg</v>
      </c>
      <c r="G6457" s="5" t="str">
        <f>HYPERLINK("https://dpmzos25m8ivg.cloudfront.net/Documentos/631/33565386835/6313356538683511092023121234.jpeg","https://dpmzos25m8ivg.cloudfront.net/Documentos/631/33565386835/6313356538683511092023121234.jpeg")</f>
        <v>https://dpmzos25m8ivg.cloudfront.net/Documentos/631/33565386835/6313356538683511092023121234.jpeg</v>
      </c>
      <c r="H6457" s="4" t="s">
        <v>15027</v>
      </c>
    </row>
    <row r="6458" spans="1:8" x14ac:dyDescent="0.25">
      <c r="A6458" s="2" t="s">
        <v>6485</v>
      </c>
      <c r="B6458" s="3"/>
      <c r="C6458" s="3"/>
      <c r="D6458" s="3"/>
      <c r="E6458" s="5" t="str">
        <f>HYPERLINK("https://dpmzos25m8ivg.cloudfront.net/Documentos/631/33599429812/6313359942981211092023164934.jpg","https://dpmzos25m8ivg.cloudfront.net/Documentos/631/33599429812/6313359942981211092023164934.jpg")</f>
        <v>https://dpmzos25m8ivg.cloudfront.net/Documentos/631/33599429812/6313359942981211092023164934.jpg</v>
      </c>
      <c r="F6458" s="5" t="str">
        <f>HYPERLINK("https://dpmzos25m8ivg.cloudfront.net/Documentos/631/33599429812/6313359942981211092023164957.jpg","https://dpmzos25m8ivg.cloudfront.net/Documentos/631/33599429812/6313359942981211092023164957.jpg")</f>
        <v>https://dpmzos25m8ivg.cloudfront.net/Documentos/631/33599429812/6313359942981211092023164957.jpg</v>
      </c>
      <c r="G6458" s="5" t="str">
        <f>HYPERLINK("https://dpmzos25m8ivg.cloudfront.net/Documentos/631/33599429812/6313359942981211092023165016.jpg","https://dpmzos25m8ivg.cloudfront.net/Documentos/631/33599429812/6313359942981211092023165016.jpg")</f>
        <v>https://dpmzos25m8ivg.cloudfront.net/Documentos/631/33599429812/6313359942981211092023165016.jpg</v>
      </c>
      <c r="H6458" s="4" t="s">
        <v>15028</v>
      </c>
    </row>
    <row r="6459" spans="1:8" x14ac:dyDescent="0.25">
      <c r="A6459" s="2" t="s">
        <v>6486</v>
      </c>
      <c r="B6459" s="3"/>
      <c r="C6459" s="3"/>
      <c r="D6459" s="3"/>
      <c r="E6459" s="5" t="str">
        <f>HYPERLINK("https://dpmzos25m8ivg.cloudfront.net/Documentos/631/33613454807/6313361345480711092023162457.jpeg","https://dpmzos25m8ivg.cloudfront.net/Documentos/631/33613454807/6313361345480711092023162457.jpeg")</f>
        <v>https://dpmzos25m8ivg.cloudfront.net/Documentos/631/33613454807/6313361345480711092023162457.jpeg</v>
      </c>
      <c r="F6459" s="5" t="str">
        <f>HYPERLINK("https://dpmzos25m8ivg.cloudfront.net/Documentos/631/33613454807/6313361345480711092023162506.jpeg","https://dpmzos25m8ivg.cloudfront.net/Documentos/631/33613454807/6313361345480711092023162506.jpeg")</f>
        <v>https://dpmzos25m8ivg.cloudfront.net/Documentos/631/33613454807/6313361345480711092023162506.jpeg</v>
      </c>
      <c r="G6459" s="5" t="str">
        <f>HYPERLINK("https://dpmzos25m8ivg.cloudfront.net/Documentos/631/33613454807/6313361345480711092023162515.jpeg","https://dpmzos25m8ivg.cloudfront.net/Documentos/631/33613454807/6313361345480711092023162515.jpeg")</f>
        <v>https://dpmzos25m8ivg.cloudfront.net/Documentos/631/33613454807/6313361345480711092023162515.jpeg</v>
      </c>
      <c r="H6459" s="4" t="s">
        <v>15029</v>
      </c>
    </row>
    <row r="6460" spans="1:8" x14ac:dyDescent="0.25">
      <c r="A6460" s="2" t="s">
        <v>6487</v>
      </c>
      <c r="B6460" s="16" t="s">
        <v>2358</v>
      </c>
      <c r="C6460" s="3"/>
      <c r="D6460" s="3"/>
      <c r="E6460" s="5" t="str">
        <f>HYPERLINK("https://dpmzos25m8ivg.cloudfront.net/Documentos/631/33657717862/6313365771786209092023115251.jpeg","https://dpmzos25m8ivg.cloudfront.net/Documentos/631/33657717862/6313365771786209092023115251.jpeg")</f>
        <v>https://dpmzos25m8ivg.cloudfront.net/Documentos/631/33657717862/6313365771786209092023115251.jpeg</v>
      </c>
      <c r="F6460" s="5" t="str">
        <f>HYPERLINK("https://dpmzos25m8ivg.cloudfront.net/Documentos/631/33657717862/6313365771786209092023115331.jpeg","https://dpmzos25m8ivg.cloudfront.net/Documentos/631/33657717862/6313365771786209092023115331.jpeg")</f>
        <v>https://dpmzos25m8ivg.cloudfront.net/Documentos/631/33657717862/6313365771786209092023115331.jpeg</v>
      </c>
      <c r="G6460" s="5" t="str">
        <f>HYPERLINK("https://dpmzos25m8ivg.cloudfront.net/Documentos/631/33657717862/6313365771786209092023115433.jpeg","https://dpmzos25m8ivg.cloudfront.net/Documentos/631/33657717862/6313365771786209092023115433.jpeg")</f>
        <v>https://dpmzos25m8ivg.cloudfront.net/Documentos/631/33657717862/6313365771786209092023115433.jpeg</v>
      </c>
      <c r="H6460" s="5" t="s">
        <v>15030</v>
      </c>
    </row>
    <row r="6461" spans="1:8" x14ac:dyDescent="0.25">
      <c r="A6461" s="2" t="s">
        <v>6488</v>
      </c>
      <c r="B6461" s="16" t="s">
        <v>2358</v>
      </c>
      <c r="C6461" s="3"/>
      <c r="D6461" s="3"/>
      <c r="E6461" s="5" t="str">
        <f>HYPERLINK("https://dpmzos25m8ivg.cloudfront.net/Documentos/631/33706249820/6313370624982011092023112049.pdf","https://dpmzos25m8ivg.cloudfront.net/Documentos/631/33706249820/6313370624982011092023112049.pdf")</f>
        <v>https://dpmzos25m8ivg.cloudfront.net/Documentos/631/33706249820/6313370624982011092023112049.pdf</v>
      </c>
      <c r="F6461" s="5" t="str">
        <f>HYPERLINK("https://dpmzos25m8ivg.cloudfront.net/Documentos/631/33706249820/6313370624982011092023112108.pdf","https://dpmzos25m8ivg.cloudfront.net/Documentos/631/33706249820/6313370624982011092023112108.pdf")</f>
        <v>https://dpmzos25m8ivg.cloudfront.net/Documentos/631/33706249820/6313370624982011092023112108.pdf</v>
      </c>
      <c r="G6461" s="5" t="str">
        <f>HYPERLINK("https://dpmzos25m8ivg.cloudfront.net/Documentos/631/33706249820/6313370624982011092023112128.pdf","https://dpmzos25m8ivg.cloudfront.net/Documentos/631/33706249820/6313370624982011092023112128.pdf")</f>
        <v>https://dpmzos25m8ivg.cloudfront.net/Documentos/631/33706249820/6313370624982011092023112128.pdf</v>
      </c>
      <c r="H6461" s="5" t="s">
        <v>15031</v>
      </c>
    </row>
    <row r="6462" spans="1:8" x14ac:dyDescent="0.25">
      <c r="A6462" s="2" t="s">
        <v>6489</v>
      </c>
      <c r="B6462" s="3" t="s">
        <v>8</v>
      </c>
      <c r="C6462" s="3"/>
      <c r="D6462" s="3"/>
      <c r="E6462" s="5" t="str">
        <f>HYPERLINK("https://dpmzos25m8ivg.cloudfront.net/Documentos/631/33724081871/6313372408187106092023144945.jpeg","https://dpmzos25m8ivg.cloudfront.net/Documentos/631/33724081871/6313372408187106092023144945.jpeg")</f>
        <v>https://dpmzos25m8ivg.cloudfront.net/Documentos/631/33724081871/6313372408187106092023144945.jpeg</v>
      </c>
      <c r="F6462" s="5" t="str">
        <f>HYPERLINK("https://dpmzos25m8ivg.cloudfront.net/Documentos/631/33724081871/6313372408187106092023145009.jpeg","https://dpmzos25m8ivg.cloudfront.net/Documentos/631/33724081871/6313372408187106092023145009.jpeg")</f>
        <v>https://dpmzos25m8ivg.cloudfront.net/Documentos/631/33724081871/6313372408187106092023145009.jpeg</v>
      </c>
      <c r="G6462" s="5" t="str">
        <f>HYPERLINK("https://dpmzos25m8ivg.cloudfront.net/Documentos/631/33724081871/6313372408187106092023145019.jpeg","https://dpmzos25m8ivg.cloudfront.net/Documentos/631/33724081871/6313372408187106092023145019.jpeg")</f>
        <v>https://dpmzos25m8ivg.cloudfront.net/Documentos/631/33724081871/6313372408187106092023145019.jpeg</v>
      </c>
      <c r="H6462" s="4" t="s">
        <v>15032</v>
      </c>
    </row>
    <row r="6463" spans="1:8" x14ac:dyDescent="0.25">
      <c r="A6463" s="2" t="s">
        <v>6490</v>
      </c>
      <c r="B6463" s="3" t="s">
        <v>197</v>
      </c>
      <c r="C6463" s="3"/>
      <c r="D6463" s="3"/>
      <c r="E6463" s="5" t="str">
        <f>HYPERLINK("https://dpmzos25m8ivg.cloudfront.net/Documentos/631/33746565871/6313374656587104092023231802.pdf","https://dpmzos25m8ivg.cloudfront.net/Documentos/631/33746565871/6313374656587104092023231802.pdf")</f>
        <v>https://dpmzos25m8ivg.cloudfront.net/Documentos/631/33746565871/6313374656587104092023231802.pdf</v>
      </c>
      <c r="F6463" s="5" t="str">
        <f>HYPERLINK("https://dpmzos25m8ivg.cloudfront.net/Documentos/631/33746565871/6313374656587104092023232834.pdf","https://dpmzos25m8ivg.cloudfront.net/Documentos/631/33746565871/6313374656587104092023232834.pdf")</f>
        <v>https://dpmzos25m8ivg.cloudfront.net/Documentos/631/33746565871/6313374656587104092023232834.pdf</v>
      </c>
      <c r="G6463" s="5" t="str">
        <f>HYPERLINK("https://dpmzos25m8ivg.cloudfront.net/Documentos/631/33746565871/6313374656587105092023013412.pdf","https://dpmzos25m8ivg.cloudfront.net/Documentos/631/33746565871/6313374656587105092023013412.pdf")</f>
        <v>https://dpmzos25m8ivg.cloudfront.net/Documentos/631/33746565871/6313374656587105092023013412.pdf</v>
      </c>
      <c r="H6463" s="4" t="s">
        <v>15033</v>
      </c>
    </row>
    <row r="6464" spans="1:8" x14ac:dyDescent="0.25">
      <c r="A6464" s="2" t="s">
        <v>6491</v>
      </c>
      <c r="B6464" s="3"/>
      <c r="C6464" s="3"/>
      <c r="D6464" s="3"/>
      <c r="E6464" s="5" t="str">
        <f>HYPERLINK("https://dpmzos25m8ivg.cloudfront.net/Documentos/631/33782338855/6313378233885507092023172038.pdf","https://dpmzos25m8ivg.cloudfront.net/Documentos/631/33782338855/6313378233885507092023172038.pdf")</f>
        <v>https://dpmzos25m8ivg.cloudfront.net/Documentos/631/33782338855/6313378233885507092023172038.pdf</v>
      </c>
      <c r="F6464" s="5" t="str">
        <f>HYPERLINK("https://dpmzos25m8ivg.cloudfront.net/Documentos/631/33782338855/6313378233885507092023172058.pdf","https://dpmzos25m8ivg.cloudfront.net/Documentos/631/33782338855/6313378233885507092023172058.pdf")</f>
        <v>https://dpmzos25m8ivg.cloudfront.net/Documentos/631/33782338855/6313378233885507092023172058.pdf</v>
      </c>
      <c r="G6464" s="5" t="str">
        <f>HYPERLINK("https://dpmzos25m8ivg.cloudfront.net/Documentos/631/33782338855/6313378233885507092023172122.pdf","https://dpmzos25m8ivg.cloudfront.net/Documentos/631/33782338855/6313378233885507092023172122.pdf")</f>
        <v>https://dpmzos25m8ivg.cloudfront.net/Documentos/631/33782338855/6313378233885507092023172122.pdf</v>
      </c>
      <c r="H6464" s="4" t="s">
        <v>15034</v>
      </c>
    </row>
    <row r="6465" spans="1:8" x14ac:dyDescent="0.25">
      <c r="A6465" s="2" t="s">
        <v>6492</v>
      </c>
      <c r="B6465" s="3"/>
      <c r="C6465" s="3"/>
      <c r="D6465" s="3"/>
      <c r="E6465" s="5" t="str">
        <f>HYPERLINK("https://dpmzos25m8ivg.cloudfront.net/Documentos/631/33813462889/6313381346288911092023154010.pdf","https://dpmzos25m8ivg.cloudfront.net/Documentos/631/33813462889/6313381346288911092023154010.pdf")</f>
        <v>https://dpmzos25m8ivg.cloudfront.net/Documentos/631/33813462889/6313381346288911092023154010.pdf</v>
      </c>
      <c r="F6465" s="5" t="str">
        <f>HYPERLINK("https://dpmzos25m8ivg.cloudfront.net/Documentos/631/33813462889/6313381346288911092023154048.pdf","https://dpmzos25m8ivg.cloudfront.net/Documentos/631/33813462889/6313381346288911092023154048.pdf")</f>
        <v>https://dpmzos25m8ivg.cloudfront.net/Documentos/631/33813462889/6313381346288911092023154048.pdf</v>
      </c>
      <c r="G6465" s="5" t="str">
        <f>HYPERLINK("https://dpmzos25m8ivg.cloudfront.net/Documentos/631/33813462889/6313381346288911092023154059.pdf","https://dpmzos25m8ivg.cloudfront.net/Documentos/631/33813462889/6313381346288911092023154059.pdf")</f>
        <v>https://dpmzos25m8ivg.cloudfront.net/Documentos/631/33813462889/6313381346288911092023154059.pdf</v>
      </c>
      <c r="H6465" s="4" t="s">
        <v>15035</v>
      </c>
    </row>
    <row r="6466" spans="1:8" x14ac:dyDescent="0.25">
      <c r="A6466" s="2" t="s">
        <v>6493</v>
      </c>
      <c r="B6466" s="3" t="s">
        <v>8</v>
      </c>
      <c r="C6466" s="3"/>
      <c r="D6466" s="3"/>
      <c r="E6466" s="5" t="str">
        <f>HYPERLINK("https://dpmzos25m8ivg.cloudfront.net/Documentos/631/33848205840/6313384820584011092023144920.pdf","https://dpmzos25m8ivg.cloudfront.net/Documentos/631/33848205840/6313384820584011092023144920.pdf")</f>
        <v>https://dpmzos25m8ivg.cloudfront.net/Documentos/631/33848205840/6313384820584011092023144920.pdf</v>
      </c>
      <c r="F6466" s="5" t="str">
        <f>HYPERLINK("https://dpmzos25m8ivg.cloudfront.net/Documentos/631/33848205840/6313384820584011092023144944.pdf","https://dpmzos25m8ivg.cloudfront.net/Documentos/631/33848205840/6313384820584011092023144944.pdf")</f>
        <v>https://dpmzos25m8ivg.cloudfront.net/Documentos/631/33848205840/6313384820584011092023144944.pdf</v>
      </c>
      <c r="G6466" s="5" t="str">
        <f>HYPERLINK("https://dpmzos25m8ivg.cloudfront.net/Documentos/631/33848205840/6313384820584011092023145006.pdf","https://dpmzos25m8ivg.cloudfront.net/Documentos/631/33848205840/6313384820584011092023145006.pdf")</f>
        <v>https://dpmzos25m8ivg.cloudfront.net/Documentos/631/33848205840/6313384820584011092023145006.pdf</v>
      </c>
      <c r="H6466" s="4" t="s">
        <v>15036</v>
      </c>
    </row>
    <row r="6467" spans="1:8" x14ac:dyDescent="0.25">
      <c r="A6467" s="2" t="s">
        <v>6494</v>
      </c>
      <c r="B6467" s="3"/>
      <c r="C6467" s="3"/>
      <c r="D6467" s="3"/>
      <c r="E6467" s="5" t="str">
        <f>HYPERLINK("https://dpmzos25m8ivg.cloudfront.net/Documentos/631/33879142882/6313387914288205092023210621.pdf","https://dpmzos25m8ivg.cloudfront.net/Documentos/631/33879142882/6313387914288205092023210621.pdf")</f>
        <v>https://dpmzos25m8ivg.cloudfront.net/Documentos/631/33879142882/6313387914288205092023210621.pdf</v>
      </c>
      <c r="F6467" s="5" t="str">
        <f>HYPERLINK("https://dpmzos25m8ivg.cloudfront.net/Documentos/631/33879142882/6313387914288205092023210639.pdf","https://dpmzos25m8ivg.cloudfront.net/Documentos/631/33879142882/6313387914288205092023210639.pdf")</f>
        <v>https://dpmzos25m8ivg.cloudfront.net/Documentos/631/33879142882/6313387914288205092023210639.pdf</v>
      </c>
      <c r="G6467" s="5" t="str">
        <f>HYPERLINK("https://dpmzos25m8ivg.cloudfront.net/Documentos/631/33879142882/6313387914288205092023210652.pdf","https://dpmzos25m8ivg.cloudfront.net/Documentos/631/33879142882/6313387914288205092023210652.pdf")</f>
        <v>https://dpmzos25m8ivg.cloudfront.net/Documentos/631/33879142882/6313387914288205092023210652.pdf</v>
      </c>
      <c r="H6467" s="4" t="s">
        <v>15037</v>
      </c>
    </row>
    <row r="6468" spans="1:8" x14ac:dyDescent="0.25">
      <c r="A6468" s="2" t="s">
        <v>6495</v>
      </c>
      <c r="B6468" s="3"/>
      <c r="C6468" s="3"/>
      <c r="D6468" s="3"/>
      <c r="E6468" s="5" t="str">
        <f>HYPERLINK("https://dpmzos25m8ivg.cloudfront.net/Documentos/631/33922135862/6313392213586210092023190952.pdf","https://dpmzos25m8ivg.cloudfront.net/Documentos/631/33922135862/6313392213586210092023190952.pdf")</f>
        <v>https://dpmzos25m8ivg.cloudfront.net/Documentos/631/33922135862/6313392213586210092023190952.pdf</v>
      </c>
      <c r="F6468" s="5" t="str">
        <f>HYPERLINK("https://dpmzos25m8ivg.cloudfront.net/Documentos/631/33922135862/6313392213586210092023191239.jpg","https://dpmzos25m8ivg.cloudfront.net/Documentos/631/33922135862/6313392213586210092023191239.jpg")</f>
        <v>https://dpmzos25m8ivg.cloudfront.net/Documentos/631/33922135862/6313392213586210092023191239.jpg</v>
      </c>
      <c r="G6468" s="5" t="str">
        <f>HYPERLINK("https://dpmzos25m8ivg.cloudfront.net/Documentos/631/33922135862/6313392213586210092023192240.jpg","https://dpmzos25m8ivg.cloudfront.net/Documentos/631/33922135862/6313392213586210092023192240.jpg")</f>
        <v>https://dpmzos25m8ivg.cloudfront.net/Documentos/631/33922135862/6313392213586210092023192240.jpg</v>
      </c>
      <c r="H6468" s="4" t="s">
        <v>15038</v>
      </c>
    </row>
    <row r="6469" spans="1:8" x14ac:dyDescent="0.25">
      <c r="A6469" s="2" t="s">
        <v>6496</v>
      </c>
      <c r="B6469" s="3"/>
      <c r="C6469" s="3"/>
      <c r="D6469" s="3"/>
      <c r="E6469" s="5" t="str">
        <f>HYPERLINK("https://dpmzos25m8ivg.cloudfront.net/Documentos/631/33939216810/6313393921681006092023110558.pdf","https://dpmzos25m8ivg.cloudfront.net/Documentos/631/33939216810/6313393921681006092023110558.pdf")</f>
        <v>https://dpmzos25m8ivg.cloudfront.net/Documentos/631/33939216810/6313393921681006092023110558.pdf</v>
      </c>
      <c r="F6469" s="5" t="str">
        <f>HYPERLINK("https://dpmzos25m8ivg.cloudfront.net/Documentos/631/33939216810/6313393921681006092023110622.pdf","https://dpmzos25m8ivg.cloudfront.net/Documentos/631/33939216810/6313393921681006092023110622.pdf")</f>
        <v>https://dpmzos25m8ivg.cloudfront.net/Documentos/631/33939216810/6313393921681006092023110622.pdf</v>
      </c>
      <c r="G6469" s="5" t="str">
        <f>HYPERLINK("https://dpmzos25m8ivg.cloudfront.net/Documentos/631/33939216810/6313393921681006092023110639.pdf","https://dpmzos25m8ivg.cloudfront.net/Documentos/631/33939216810/6313393921681006092023110639.pdf")</f>
        <v>https://dpmzos25m8ivg.cloudfront.net/Documentos/631/33939216810/6313393921681006092023110639.pdf</v>
      </c>
      <c r="H6469" s="4" t="s">
        <v>15039</v>
      </c>
    </row>
    <row r="6470" spans="1:8" x14ac:dyDescent="0.25">
      <c r="A6470" s="2" t="s">
        <v>6497</v>
      </c>
      <c r="B6470" s="19" t="s">
        <v>3385</v>
      </c>
      <c r="C6470" s="3"/>
      <c r="D6470" s="3"/>
      <c r="E6470" s="5" t="str">
        <f>HYPERLINK("https://dpmzos25m8ivg.cloudfront.net/Documentos/631/33948277869/6313394827786911092023141233.pdf","https://dpmzos25m8ivg.cloudfront.net/Documentos/631/33948277869/6313394827786911092023141233.pdf")</f>
        <v>https://dpmzos25m8ivg.cloudfront.net/Documentos/631/33948277869/6313394827786911092023141233.pdf</v>
      </c>
      <c r="F6470" s="5" t="str">
        <f>HYPERLINK("https://dpmzos25m8ivg.cloudfront.net/Documentos/631/33948277869/6313394827786911092023141258.pdf","https://dpmzos25m8ivg.cloudfront.net/Documentos/631/33948277869/6313394827786911092023141258.pdf")</f>
        <v>https://dpmzos25m8ivg.cloudfront.net/Documentos/631/33948277869/6313394827786911092023141258.pdf</v>
      </c>
      <c r="G6470" s="5" t="str">
        <f>HYPERLINK("https://dpmzos25m8ivg.cloudfront.net/Documentos/631/33948277869/6313394827786911092023141314.pdf","https://dpmzos25m8ivg.cloudfront.net/Documentos/631/33948277869/6313394827786911092023141314.pdf")</f>
        <v>https://dpmzos25m8ivg.cloudfront.net/Documentos/631/33948277869/6313394827786911092023141314.pdf</v>
      </c>
      <c r="H6470" s="4" t="s">
        <v>15040</v>
      </c>
    </row>
    <row r="6471" spans="1:8" x14ac:dyDescent="0.25">
      <c r="A6471" s="11" t="s">
        <v>6498</v>
      </c>
      <c r="B6471" s="19" t="s">
        <v>3385</v>
      </c>
      <c r="C6471" s="3"/>
      <c r="D6471" s="3"/>
      <c r="E6471" s="5" t="str">
        <f>HYPERLINK("https://dpmzos25m8ivg.cloudfront.net/Documentos/631/33968050894/6313396805089413092023192327.pdf","https://dpmzos25m8ivg.cloudfront.net/Documentos/631/33968050894/6313396805089413092023192327.pdf")</f>
        <v>https://dpmzos25m8ivg.cloudfront.net/Documentos/631/33968050894/6313396805089413092023192327.pdf</v>
      </c>
      <c r="F6471" s="5" t="str">
        <f>HYPERLINK("https://dpmzos25m8ivg.cloudfront.net/Documentos/631/33968050894/6313396805089413092023192413.pdf","https://dpmzos25m8ivg.cloudfront.net/Documentos/631/33968050894/6313396805089413092023192413.pdf")</f>
        <v>https://dpmzos25m8ivg.cloudfront.net/Documentos/631/33968050894/6313396805089413092023192413.pdf</v>
      </c>
      <c r="G6471" s="5" t="str">
        <f>HYPERLINK("https://dpmzos25m8ivg.cloudfront.net/Documentos/631/33968050894/6313396805089413092023193527.pdf","https://dpmzos25m8ivg.cloudfront.net/Documentos/631/33968050894/6313396805089413092023193527.pdf")</f>
        <v>https://dpmzos25m8ivg.cloudfront.net/Documentos/631/33968050894/6313396805089413092023193527.pdf</v>
      </c>
      <c r="H6471" s="4" t="s">
        <v>15041</v>
      </c>
    </row>
    <row r="6472" spans="1:8" x14ac:dyDescent="0.25">
      <c r="A6472" s="2" t="s">
        <v>6499</v>
      </c>
      <c r="B6472" s="3"/>
      <c r="C6472" s="3"/>
      <c r="D6472" s="3"/>
      <c r="E6472" s="5" t="str">
        <f>HYPERLINK("https://dpmzos25m8ivg.cloudfront.net/Documentos/631/34043472854/6313404347285411092023141246.pdf","https://dpmzos25m8ivg.cloudfront.net/Documentos/631/34043472854/6313404347285411092023141246.pdf")</f>
        <v>https://dpmzos25m8ivg.cloudfront.net/Documentos/631/34043472854/6313404347285411092023141246.pdf</v>
      </c>
      <c r="F6472" s="5" t="str">
        <f>HYPERLINK("https://dpmzos25m8ivg.cloudfront.net/Documentos/631/34043472854/6313404347285411092023141259.pdf","https://dpmzos25m8ivg.cloudfront.net/Documentos/631/34043472854/6313404347285411092023141259.pdf")</f>
        <v>https://dpmzos25m8ivg.cloudfront.net/Documentos/631/34043472854/6313404347285411092023141259.pdf</v>
      </c>
      <c r="G6472" s="5" t="str">
        <f>HYPERLINK("https://dpmzos25m8ivg.cloudfront.net/Documentos/631/34043472854/6313404347285411092023141306.pdf","https://dpmzos25m8ivg.cloudfront.net/Documentos/631/34043472854/6313404347285411092023141306.pdf")</f>
        <v>https://dpmzos25m8ivg.cloudfront.net/Documentos/631/34043472854/6313404347285411092023141306.pdf</v>
      </c>
      <c r="H6472" s="4" t="s">
        <v>15042</v>
      </c>
    </row>
    <row r="6473" spans="1:8" x14ac:dyDescent="0.25">
      <c r="A6473" s="2" t="s">
        <v>6500</v>
      </c>
      <c r="B6473" s="3" t="s">
        <v>8</v>
      </c>
      <c r="C6473" s="3"/>
      <c r="D6473" s="3"/>
      <c r="E6473" s="5" t="str">
        <f>HYPERLINK("https://dpmzos25m8ivg.cloudfront.net/Documentos/631/34050004836/6313405000483606092023160954.jpeg","https://dpmzos25m8ivg.cloudfront.net/Documentos/631/34050004836/6313405000483606092023160954.jpeg")</f>
        <v>https://dpmzos25m8ivg.cloudfront.net/Documentos/631/34050004836/6313405000483606092023160954.jpeg</v>
      </c>
      <c r="F6473" s="5" t="str">
        <f>HYPERLINK("https://dpmzos25m8ivg.cloudfront.net/Documentos/631/34050004836/6313405000483606092023161003.jpeg","https://dpmzos25m8ivg.cloudfront.net/Documentos/631/34050004836/6313405000483606092023161003.jpeg")</f>
        <v>https://dpmzos25m8ivg.cloudfront.net/Documentos/631/34050004836/6313405000483606092023161003.jpeg</v>
      </c>
      <c r="G6473" s="5" t="str">
        <f>HYPERLINK("https://dpmzos25m8ivg.cloudfront.net/Documentos/631/34050004836/6313405000483606092023161010.jpeg","https://dpmzos25m8ivg.cloudfront.net/Documentos/631/34050004836/6313405000483606092023161010.jpeg")</f>
        <v>https://dpmzos25m8ivg.cloudfront.net/Documentos/631/34050004836/6313405000483606092023161010.jpeg</v>
      </c>
      <c r="H6473" s="4" t="s">
        <v>15043</v>
      </c>
    </row>
    <row r="6474" spans="1:8" x14ac:dyDescent="0.25">
      <c r="A6474" s="2" t="s">
        <v>6501</v>
      </c>
      <c r="B6474" s="3"/>
      <c r="C6474" s="3"/>
      <c r="D6474" s="3"/>
      <c r="E6474" s="5" t="str">
        <f>HYPERLINK("https://dpmzos25m8ivg.cloudfront.net/Documentos/631/34123830234/6313412383023406092023191647.pdf","https://dpmzos25m8ivg.cloudfront.net/Documentos/631/34123830234/6313412383023406092023191647.pdf")</f>
        <v>https://dpmzos25m8ivg.cloudfront.net/Documentos/631/34123830234/6313412383023406092023191647.pdf</v>
      </c>
      <c r="F6474" s="5" t="str">
        <f>HYPERLINK("https://dpmzos25m8ivg.cloudfront.net/Documentos/631/34123830234/6313412383023406092023191726.pdf","https://dpmzos25m8ivg.cloudfront.net/Documentos/631/34123830234/6313412383023406092023191726.pdf")</f>
        <v>https://dpmzos25m8ivg.cloudfront.net/Documentos/631/34123830234/6313412383023406092023191726.pdf</v>
      </c>
      <c r="G6474" s="5" t="str">
        <f>HYPERLINK("https://dpmzos25m8ivg.cloudfront.net/Documentos/631/34123830234/6313412383023406092023191759.pdf","https://dpmzos25m8ivg.cloudfront.net/Documentos/631/34123830234/6313412383023406092023191759.pdf")</f>
        <v>https://dpmzos25m8ivg.cloudfront.net/Documentos/631/34123830234/6313412383023406092023191759.pdf</v>
      </c>
      <c r="H6474" s="4" t="s">
        <v>15044</v>
      </c>
    </row>
    <row r="6475" spans="1:8" x14ac:dyDescent="0.25">
      <c r="A6475" s="2" t="s">
        <v>6502</v>
      </c>
      <c r="B6475" s="16" t="s">
        <v>2358</v>
      </c>
      <c r="C6475" s="3"/>
      <c r="D6475" s="3"/>
      <c r="E6475" s="5" t="str">
        <f>HYPERLINK("https://dpmzos25m8ivg.cloudfront.net/Documentos/631/34145592859/6313414559285905092023165032.pdf","https://dpmzos25m8ivg.cloudfront.net/Documentos/631/34145592859/6313414559285905092023165032.pdf")</f>
        <v>https://dpmzos25m8ivg.cloudfront.net/Documentos/631/34145592859/6313414559285905092023165032.pdf</v>
      </c>
      <c r="F6475" s="5" t="str">
        <f>HYPERLINK("https://dpmzos25m8ivg.cloudfront.net/Documentos/631/34145592859/6313414559285905092023165042.pdf","https://dpmzos25m8ivg.cloudfront.net/Documentos/631/34145592859/6313414559285905092023165042.pdf")</f>
        <v>https://dpmzos25m8ivg.cloudfront.net/Documentos/631/34145592859/6313414559285905092023165042.pdf</v>
      </c>
      <c r="G6475" s="5" t="str">
        <f>HYPERLINK("https://dpmzos25m8ivg.cloudfront.net/Documentos/631/34145592859/6313414559285905092023165050.pdf","https://dpmzos25m8ivg.cloudfront.net/Documentos/631/34145592859/6313414559285905092023165050.pdf")</f>
        <v>https://dpmzos25m8ivg.cloudfront.net/Documentos/631/34145592859/6313414559285905092023165050.pdf</v>
      </c>
      <c r="H6475" s="5" t="s">
        <v>15045</v>
      </c>
    </row>
    <row r="6476" spans="1:8" x14ac:dyDescent="0.25">
      <c r="A6476" s="2" t="s">
        <v>6503</v>
      </c>
      <c r="B6476" s="3"/>
      <c r="C6476" s="3"/>
      <c r="D6476" s="3"/>
      <c r="E6476" s="5" t="str">
        <f>HYPERLINK("https://dpmzos25m8ivg.cloudfront.net/Documentos/631/34145724860/6313414572486011092023160210.pdf","https://dpmzos25m8ivg.cloudfront.net/Documentos/631/34145724860/6313414572486011092023160210.pdf")</f>
        <v>https://dpmzos25m8ivg.cloudfront.net/Documentos/631/34145724860/6313414572486011092023160210.pdf</v>
      </c>
      <c r="F6476" s="5" t="str">
        <f>HYPERLINK("https://dpmzos25m8ivg.cloudfront.net/Documentos/631/34145724860/6313414572486011092023160225.pdf","https://dpmzos25m8ivg.cloudfront.net/Documentos/631/34145724860/6313414572486011092023160225.pdf")</f>
        <v>https://dpmzos25m8ivg.cloudfront.net/Documentos/631/34145724860/6313414572486011092023160225.pdf</v>
      </c>
      <c r="G6476" s="5" t="str">
        <f>HYPERLINK("https://dpmzos25m8ivg.cloudfront.net/Documentos/631/34145724860/6313414572486011092023160233.pdf","https://dpmzos25m8ivg.cloudfront.net/Documentos/631/34145724860/6313414572486011092023160233.pdf")</f>
        <v>https://dpmzos25m8ivg.cloudfront.net/Documentos/631/34145724860/6313414572486011092023160233.pdf</v>
      </c>
      <c r="H6476" s="4" t="s">
        <v>15046</v>
      </c>
    </row>
    <row r="6477" spans="1:8" x14ac:dyDescent="0.25">
      <c r="A6477" s="2" t="s">
        <v>6504</v>
      </c>
      <c r="B6477" s="3"/>
      <c r="C6477" s="3"/>
      <c r="D6477" s="3"/>
      <c r="E6477" s="5" t="str">
        <f>HYPERLINK("https://dpmzos25m8ivg.cloudfront.net/Documentos/631/34212124149/6313421212414905092023075840.pdf","https://dpmzos25m8ivg.cloudfront.net/Documentos/631/34212124149/6313421212414905092023075840.pdf")</f>
        <v>https://dpmzos25m8ivg.cloudfront.net/Documentos/631/34212124149/6313421212414905092023075840.pdf</v>
      </c>
      <c r="F6477" s="5" t="str">
        <f>HYPERLINK("https://dpmzos25m8ivg.cloudfront.net/Documentos/631/34212124149/6313421212414905092023084239.pdf","https://dpmzos25m8ivg.cloudfront.net/Documentos/631/34212124149/6313421212414905092023084239.pdf")</f>
        <v>https://dpmzos25m8ivg.cloudfront.net/Documentos/631/34212124149/6313421212414905092023084239.pdf</v>
      </c>
      <c r="G6477" s="5" t="str">
        <f>HYPERLINK("https://dpmzos25m8ivg.cloudfront.net/Documentos/631/34212124149/6313421212414905092023084351.pdf","https://dpmzos25m8ivg.cloudfront.net/Documentos/631/34212124149/6313421212414905092023084351.pdf")</f>
        <v>https://dpmzos25m8ivg.cloudfront.net/Documentos/631/34212124149/6313421212414905092023084351.pdf</v>
      </c>
      <c r="H6477" s="4" t="s">
        <v>15047</v>
      </c>
    </row>
    <row r="6478" spans="1:8" x14ac:dyDescent="0.25">
      <c r="A6478" s="2" t="s">
        <v>6505</v>
      </c>
      <c r="B6478" s="3"/>
      <c r="C6478" s="3"/>
      <c r="D6478" s="3"/>
      <c r="E6478" s="5" t="str">
        <f>HYPERLINK("https://dpmzos25m8ivg.cloudfront.net/Documentos/631/34256280898/6313425628089813092023233133.pdf","https://dpmzos25m8ivg.cloudfront.net/Documentos/631/34256280898/6313425628089813092023233133.pdf")</f>
        <v>https://dpmzos25m8ivg.cloudfront.net/Documentos/631/34256280898/6313425628089813092023233133.pdf</v>
      </c>
      <c r="F6478" s="5" t="str">
        <f>HYPERLINK("https://dpmzos25m8ivg.cloudfront.net/Documentos/631/34256280898/6313425628089813092023233145.pdf","https://dpmzos25m8ivg.cloudfront.net/Documentos/631/34256280898/6313425628089813092023233145.pdf")</f>
        <v>https://dpmzos25m8ivg.cloudfront.net/Documentos/631/34256280898/6313425628089813092023233145.pdf</v>
      </c>
      <c r="G6478" s="5" t="str">
        <f>HYPERLINK("https://dpmzos25m8ivg.cloudfront.net/Documentos/631/34256280898/6313425628089813092023233201.pdf","https://dpmzos25m8ivg.cloudfront.net/Documentos/631/34256280898/6313425628089813092023233201.pdf")</f>
        <v>https://dpmzos25m8ivg.cloudfront.net/Documentos/631/34256280898/6313425628089813092023233201.pdf</v>
      </c>
      <c r="H6478" s="4" t="s">
        <v>15048</v>
      </c>
    </row>
    <row r="6479" spans="1:8" x14ac:dyDescent="0.25">
      <c r="A6479" s="2" t="s">
        <v>6506</v>
      </c>
      <c r="B6479" s="3"/>
      <c r="C6479" s="3"/>
      <c r="D6479" s="3"/>
      <c r="E6479" s="5" t="str">
        <f>HYPERLINK("https://dpmzos25m8ivg.cloudfront.net/Documentos/631/34270056827/6313427005682711092023064714.pdf","https://dpmzos25m8ivg.cloudfront.net/Documentos/631/34270056827/6313427005682711092023064714.pdf")</f>
        <v>https://dpmzos25m8ivg.cloudfront.net/Documentos/631/34270056827/6313427005682711092023064714.pdf</v>
      </c>
      <c r="F6479" s="5" t="str">
        <f>HYPERLINK("https://dpmzos25m8ivg.cloudfront.net/Documentos/631/34270056827/6313427005682711092023064724.pdf","https://dpmzos25m8ivg.cloudfront.net/Documentos/631/34270056827/6313427005682711092023064724.pdf")</f>
        <v>https://dpmzos25m8ivg.cloudfront.net/Documentos/631/34270056827/6313427005682711092023064724.pdf</v>
      </c>
      <c r="G6479" s="5" t="str">
        <f>HYPERLINK("https://dpmzos25m8ivg.cloudfront.net/Documentos/631/34270056827/6313427005682711092023064736.pdf","https://dpmzos25m8ivg.cloudfront.net/Documentos/631/34270056827/6313427005682711092023064736.pdf")</f>
        <v>https://dpmzos25m8ivg.cloudfront.net/Documentos/631/34270056827/6313427005682711092023064736.pdf</v>
      </c>
      <c r="H6479" s="4" t="s">
        <v>15049</v>
      </c>
    </row>
    <row r="6480" spans="1:8" x14ac:dyDescent="0.25">
      <c r="A6480" s="2" t="s">
        <v>6507</v>
      </c>
      <c r="B6480" s="3"/>
      <c r="C6480" s="3"/>
      <c r="D6480" s="3"/>
      <c r="E6480" s="5" t="str">
        <f>HYPERLINK("https://dpmzos25m8ivg.cloudfront.net/Documentos/631/34287269870/6313428726987009092023233625.pdf","https://dpmzos25m8ivg.cloudfront.net/Documentos/631/34287269870/6313428726987009092023233625.pdf")</f>
        <v>https://dpmzos25m8ivg.cloudfront.net/Documentos/631/34287269870/6313428726987009092023233625.pdf</v>
      </c>
      <c r="F6480" s="5" t="str">
        <f>HYPERLINK("https://dpmzos25m8ivg.cloudfront.net/Documentos/631/34287269870/6313428726987009092023233646.pdf","https://dpmzos25m8ivg.cloudfront.net/Documentos/631/34287269870/6313428726987009092023233646.pdf")</f>
        <v>https://dpmzos25m8ivg.cloudfront.net/Documentos/631/34287269870/6313428726987009092023233646.pdf</v>
      </c>
      <c r="G6480" s="5" t="str">
        <f>HYPERLINK("https://dpmzos25m8ivg.cloudfront.net/Documentos/631/34287269870/6313428726987009092023233659.pdf","https://dpmzos25m8ivg.cloudfront.net/Documentos/631/34287269870/6313428726987009092023233659.pdf")</f>
        <v>https://dpmzos25m8ivg.cloudfront.net/Documentos/631/34287269870/6313428726987009092023233659.pdf</v>
      </c>
      <c r="H6480" s="4" t="s">
        <v>15050</v>
      </c>
    </row>
    <row r="6481" spans="1:8" x14ac:dyDescent="0.25">
      <c r="A6481" s="2" t="s">
        <v>6508</v>
      </c>
      <c r="B6481" s="3"/>
      <c r="C6481" s="3"/>
      <c r="D6481" s="3"/>
      <c r="E6481" s="5" t="str">
        <f>HYPERLINK("https://dpmzos25m8ivg.cloudfront.net/Documentos/631/34332465806/6313433246580610092023005713.pdf","https://dpmzos25m8ivg.cloudfront.net/Documentos/631/34332465806/6313433246580610092023005713.pdf")</f>
        <v>https://dpmzos25m8ivg.cloudfront.net/Documentos/631/34332465806/6313433246580610092023005713.pdf</v>
      </c>
      <c r="F6481" s="5" t="str">
        <f>HYPERLINK("https://dpmzos25m8ivg.cloudfront.net/Documentos/631/34332465806/6313433246580610092023005750.pdf","https://dpmzos25m8ivg.cloudfront.net/Documentos/631/34332465806/6313433246580610092023005750.pdf")</f>
        <v>https://dpmzos25m8ivg.cloudfront.net/Documentos/631/34332465806/6313433246580610092023005750.pdf</v>
      </c>
      <c r="G6481" s="5" t="str">
        <f>HYPERLINK("https://dpmzos25m8ivg.cloudfront.net/Documentos/631/34332465806/6313433246580610092023005859.pdf","https://dpmzos25m8ivg.cloudfront.net/Documentos/631/34332465806/6313433246580610092023005859.pdf")</f>
        <v>https://dpmzos25m8ivg.cloudfront.net/Documentos/631/34332465806/6313433246580610092023005859.pdf</v>
      </c>
      <c r="H6481" s="4" t="s">
        <v>15051</v>
      </c>
    </row>
    <row r="6482" spans="1:8" x14ac:dyDescent="0.25">
      <c r="A6482" s="2" t="s">
        <v>6509</v>
      </c>
      <c r="B6482" s="16" t="s">
        <v>2358</v>
      </c>
      <c r="C6482" s="3"/>
      <c r="D6482" s="3"/>
      <c r="E6482" s="5" t="str">
        <f>HYPERLINK("https://dpmzos25m8ivg.cloudfront.net/Documentos/631/34352090387/6313435209038711092023162051.pdf","https://dpmzos25m8ivg.cloudfront.net/Documentos/631/34352090387/6313435209038711092023162051.pdf")</f>
        <v>https://dpmzos25m8ivg.cloudfront.net/Documentos/631/34352090387/6313435209038711092023162051.pdf</v>
      </c>
      <c r="F6482" s="5" t="str">
        <f>HYPERLINK("https://dpmzos25m8ivg.cloudfront.net/Documentos/631/34352090387/6313435209038711092023162105.pdf","https://dpmzos25m8ivg.cloudfront.net/Documentos/631/34352090387/6313435209038711092023162105.pdf")</f>
        <v>https://dpmzos25m8ivg.cloudfront.net/Documentos/631/34352090387/6313435209038711092023162105.pdf</v>
      </c>
      <c r="G6482" s="5" t="str">
        <f>HYPERLINK("https://dpmzos25m8ivg.cloudfront.net/Documentos/631/34352090387/6313435209038711092023162118.pdf","https://dpmzos25m8ivg.cloudfront.net/Documentos/631/34352090387/6313435209038711092023162118.pdf")</f>
        <v>https://dpmzos25m8ivg.cloudfront.net/Documentos/631/34352090387/6313435209038711092023162118.pdf</v>
      </c>
      <c r="H6482" s="5" t="s">
        <v>15052</v>
      </c>
    </row>
    <row r="6483" spans="1:8" x14ac:dyDescent="0.25">
      <c r="A6483" s="2" t="s">
        <v>6510</v>
      </c>
      <c r="B6483" s="16" t="s">
        <v>2358</v>
      </c>
      <c r="C6483" s="3"/>
      <c r="D6483" s="3"/>
      <c r="E6483" s="5" t="str">
        <f>HYPERLINK("https://dpmzos25m8ivg.cloudfront.net/Documentos/631/34371444806/6313437144480611092023152555.pdf","https://dpmzos25m8ivg.cloudfront.net/Documentos/631/34371444806/6313437144480611092023152555.pdf")</f>
        <v>https://dpmzos25m8ivg.cloudfront.net/Documentos/631/34371444806/6313437144480611092023152555.pdf</v>
      </c>
      <c r="F6483" s="5" t="str">
        <f>HYPERLINK("https://dpmzos25m8ivg.cloudfront.net/Documentos/631/34371444806/6313437144480611092023152631.pdf","https://dpmzos25m8ivg.cloudfront.net/Documentos/631/34371444806/6313437144480611092023152631.pdf")</f>
        <v>https://dpmzos25m8ivg.cloudfront.net/Documentos/631/34371444806/6313437144480611092023152631.pdf</v>
      </c>
      <c r="G6483" s="5" t="str">
        <f>HYPERLINK("https://dpmzos25m8ivg.cloudfront.net/Documentos/631/34371444806/6313437144480611092023152646.pdf","https://dpmzos25m8ivg.cloudfront.net/Documentos/631/34371444806/6313437144480611092023152646.pdf")</f>
        <v>https://dpmzos25m8ivg.cloudfront.net/Documentos/631/34371444806/6313437144480611092023152646.pdf</v>
      </c>
      <c r="H6483" s="5" t="s">
        <v>15053</v>
      </c>
    </row>
    <row r="6484" spans="1:8" x14ac:dyDescent="0.25">
      <c r="A6484" s="2" t="s">
        <v>6511</v>
      </c>
      <c r="B6484" s="16" t="s">
        <v>2358</v>
      </c>
      <c r="C6484" s="3"/>
      <c r="D6484" s="3"/>
      <c r="E6484" s="5" t="str">
        <f>HYPERLINK("https://dpmzos25m8ivg.cloudfront.net/Documentos/631/34377944851/6313437794485105092023212139.pdf","https://dpmzos25m8ivg.cloudfront.net/Documentos/631/34377944851/6313437794485105092023212139.pdf")</f>
        <v>https://dpmzos25m8ivg.cloudfront.net/Documentos/631/34377944851/6313437794485105092023212139.pdf</v>
      </c>
      <c r="F6484" s="5" t="str">
        <f>HYPERLINK("https://dpmzos25m8ivg.cloudfront.net/Documentos/631/34377944851/6313437794485105092023212233.pdf","https://dpmzos25m8ivg.cloudfront.net/Documentos/631/34377944851/6313437794485105092023212233.pdf")</f>
        <v>https://dpmzos25m8ivg.cloudfront.net/Documentos/631/34377944851/6313437794485105092023212233.pdf</v>
      </c>
      <c r="G6484" s="5" t="str">
        <f>HYPERLINK("https://dpmzos25m8ivg.cloudfront.net/Documentos/631/34377944851/6313437794485105092023212306.pdf","https://dpmzos25m8ivg.cloudfront.net/Documentos/631/34377944851/6313437794485105092023212306.pdf")</f>
        <v>https://dpmzos25m8ivg.cloudfront.net/Documentos/631/34377944851/6313437794485105092023212306.pdf</v>
      </c>
      <c r="H6484" s="5" t="s">
        <v>15054</v>
      </c>
    </row>
    <row r="6485" spans="1:8" x14ac:dyDescent="0.25">
      <c r="A6485" s="2" t="s">
        <v>6512</v>
      </c>
      <c r="B6485" s="16" t="s">
        <v>2358</v>
      </c>
      <c r="C6485" s="3"/>
      <c r="D6485" s="3"/>
      <c r="E6485" s="5" t="str">
        <f>HYPERLINK("https://dpmzos25m8ivg.cloudfront.net/Documentos/631/34391967200/6313439196720011092023115038.pdf","https://dpmzos25m8ivg.cloudfront.net/Documentos/631/34391967200/6313439196720011092023115038.pdf")</f>
        <v>https://dpmzos25m8ivg.cloudfront.net/Documentos/631/34391967200/6313439196720011092023115038.pdf</v>
      </c>
      <c r="F6485" s="5" t="str">
        <f>HYPERLINK("https://dpmzos25m8ivg.cloudfront.net/Documentos/631/34391967200/6313439196720011092023115046.pdf","https://dpmzos25m8ivg.cloudfront.net/Documentos/631/34391967200/6313439196720011092023115046.pdf")</f>
        <v>https://dpmzos25m8ivg.cloudfront.net/Documentos/631/34391967200/6313439196720011092023115046.pdf</v>
      </c>
      <c r="G6485" s="5" t="str">
        <f>HYPERLINK("https://dpmzos25m8ivg.cloudfront.net/Documentos/631/34391967200/6313439196720011092023115057.pdf","https://dpmzos25m8ivg.cloudfront.net/Documentos/631/34391967200/6313439196720011092023115057.pdf")</f>
        <v>https://dpmzos25m8ivg.cloudfront.net/Documentos/631/34391967200/6313439196720011092023115057.pdf</v>
      </c>
      <c r="H6485" s="5" t="s">
        <v>15055</v>
      </c>
    </row>
    <row r="6486" spans="1:8" x14ac:dyDescent="0.25">
      <c r="A6486" s="2" t="s">
        <v>6513</v>
      </c>
      <c r="B6486" s="3"/>
      <c r="C6486" s="3"/>
      <c r="D6486" s="3"/>
      <c r="E6486" s="5" t="str">
        <f>HYPERLINK("https://dpmzos25m8ivg.cloudfront.net/Documentos/631/34432040823/6313443204082306092023151655.pdf","https://dpmzos25m8ivg.cloudfront.net/Documentos/631/34432040823/6313443204082306092023151655.pdf")</f>
        <v>https://dpmzos25m8ivg.cloudfront.net/Documentos/631/34432040823/6313443204082306092023151655.pdf</v>
      </c>
      <c r="F6486" s="5" t="str">
        <f>HYPERLINK("https://dpmzos25m8ivg.cloudfront.net/Documentos/631/34432040823/6313443204082306092023151705.pdf","https://dpmzos25m8ivg.cloudfront.net/Documentos/631/34432040823/6313443204082306092023151705.pdf")</f>
        <v>https://dpmzos25m8ivg.cloudfront.net/Documentos/631/34432040823/6313443204082306092023151705.pdf</v>
      </c>
      <c r="G6486" s="5" t="str">
        <f>HYPERLINK("https://dpmzos25m8ivg.cloudfront.net/Documentos/631/34432040823/6313443204082306092023151714.pdf","https://dpmzos25m8ivg.cloudfront.net/Documentos/631/34432040823/6313443204082306092023151714.pdf")</f>
        <v>https://dpmzos25m8ivg.cloudfront.net/Documentos/631/34432040823/6313443204082306092023151714.pdf</v>
      </c>
      <c r="H6486" s="4" t="s">
        <v>15056</v>
      </c>
    </row>
    <row r="6487" spans="1:8" x14ac:dyDescent="0.25">
      <c r="A6487" s="2" t="s">
        <v>6514</v>
      </c>
      <c r="B6487" s="3"/>
      <c r="C6487" s="3"/>
      <c r="D6487" s="3"/>
      <c r="E6487" s="5" t="str">
        <f>HYPERLINK("https://dpmzos25m8ivg.cloudfront.net/Documentos/631/34501913819/6313450191381905092023101159.jpeg","https://dpmzos25m8ivg.cloudfront.net/Documentos/631/34501913819/6313450191381905092023101159.jpeg")</f>
        <v>https://dpmzos25m8ivg.cloudfront.net/Documentos/631/34501913819/6313450191381905092023101159.jpeg</v>
      </c>
      <c r="F6487" s="5" t="str">
        <f>HYPERLINK("https://dpmzos25m8ivg.cloudfront.net/Documentos/631/34501913819/6313450191381905092023101244.jpeg","https://dpmzos25m8ivg.cloudfront.net/Documentos/631/34501913819/6313450191381905092023101244.jpeg")</f>
        <v>https://dpmzos25m8ivg.cloudfront.net/Documentos/631/34501913819/6313450191381905092023101244.jpeg</v>
      </c>
      <c r="G6487" s="5" t="str">
        <f>HYPERLINK("https://dpmzos25m8ivg.cloudfront.net/Documentos/631/34501913819/6313450191381905092023101254.jpeg","https://dpmzos25m8ivg.cloudfront.net/Documentos/631/34501913819/6313450191381905092023101254.jpeg")</f>
        <v>https://dpmzos25m8ivg.cloudfront.net/Documentos/631/34501913819/6313450191381905092023101254.jpeg</v>
      </c>
      <c r="H6487" s="4" t="s">
        <v>15057</v>
      </c>
    </row>
    <row r="6488" spans="1:8" x14ac:dyDescent="0.25">
      <c r="A6488" s="2" t="s">
        <v>6515</v>
      </c>
      <c r="B6488" s="16" t="s">
        <v>2358</v>
      </c>
      <c r="C6488" s="3"/>
      <c r="D6488" s="3"/>
      <c r="E6488" s="5" t="str">
        <f>HYPERLINK("https://dpmzos25m8ivg.cloudfront.net/Documentos/631/34503182846/6313450318284610092023105913.jpeg","https://dpmzos25m8ivg.cloudfront.net/Documentos/631/34503182846/6313450318284610092023105913.jpeg")</f>
        <v>https://dpmzos25m8ivg.cloudfront.net/Documentos/631/34503182846/6313450318284610092023105913.jpeg</v>
      </c>
      <c r="F6488" s="5" t="str">
        <f>HYPERLINK("https://dpmzos25m8ivg.cloudfront.net/Documentos/631/34503182846/6313450318284610092023105924.jpeg","https://dpmzos25m8ivg.cloudfront.net/Documentos/631/34503182846/6313450318284610092023105924.jpeg")</f>
        <v>https://dpmzos25m8ivg.cloudfront.net/Documentos/631/34503182846/6313450318284610092023105924.jpeg</v>
      </c>
      <c r="G6488" s="5" t="str">
        <f>HYPERLINK("https://dpmzos25m8ivg.cloudfront.net/Documentos/631/34503182846/6313450318284610092023105934.jpeg","https://dpmzos25m8ivg.cloudfront.net/Documentos/631/34503182846/6313450318284610092023105934.jpeg")</f>
        <v>https://dpmzos25m8ivg.cloudfront.net/Documentos/631/34503182846/6313450318284610092023105934.jpeg</v>
      </c>
      <c r="H6488" s="5" t="s">
        <v>15058</v>
      </c>
    </row>
    <row r="6489" spans="1:8" x14ac:dyDescent="0.25">
      <c r="A6489" s="2" t="s">
        <v>6516</v>
      </c>
      <c r="B6489" s="3"/>
      <c r="C6489" s="3"/>
      <c r="D6489" s="3"/>
      <c r="E6489" s="5" t="str">
        <f>HYPERLINK("https://dpmzos25m8ivg.cloudfront.net/Documentos/631/34507337453/6313450733745309092023115417.pdf","https://dpmzos25m8ivg.cloudfront.net/Documentos/631/34507337453/6313450733745309092023115417.pdf")</f>
        <v>https://dpmzos25m8ivg.cloudfront.net/Documentos/631/34507337453/6313450733745309092023115417.pdf</v>
      </c>
      <c r="F6489" s="5" t="str">
        <f>HYPERLINK("https://dpmzos25m8ivg.cloudfront.net/Documentos/631/34507337453/6313450733745309092023115428.pdf","https://dpmzos25m8ivg.cloudfront.net/Documentos/631/34507337453/6313450733745309092023115428.pdf")</f>
        <v>https://dpmzos25m8ivg.cloudfront.net/Documentos/631/34507337453/6313450733745309092023115428.pdf</v>
      </c>
      <c r="G6489" s="5" t="str">
        <f>HYPERLINK("https://dpmzos25m8ivg.cloudfront.net/Documentos/631/34507337453/6313450733745309092023115453.pdf","https://dpmzos25m8ivg.cloudfront.net/Documentos/631/34507337453/6313450733745309092023115453.pdf")</f>
        <v>https://dpmzos25m8ivg.cloudfront.net/Documentos/631/34507337453/6313450733745309092023115453.pdf</v>
      </c>
      <c r="H6489" s="4" t="s">
        <v>15059</v>
      </c>
    </row>
    <row r="6490" spans="1:8" x14ac:dyDescent="0.25">
      <c r="A6490" s="2" t="s">
        <v>6517</v>
      </c>
      <c r="B6490" s="3" t="s">
        <v>8</v>
      </c>
      <c r="C6490" s="3"/>
      <c r="D6490" s="3"/>
      <c r="E6490" s="5" t="str">
        <f>HYPERLINK("https://dpmzos25m8ivg.cloudfront.net/Documentos/631/34518317831/6313451831783111092023140019.pdf","https://dpmzos25m8ivg.cloudfront.net/Documentos/631/34518317831/6313451831783111092023140019.pdf")</f>
        <v>https://dpmzos25m8ivg.cloudfront.net/Documentos/631/34518317831/6313451831783111092023140019.pdf</v>
      </c>
      <c r="F6490" s="5" t="str">
        <f>HYPERLINK("https://dpmzos25m8ivg.cloudfront.net/Documentos/631/34518317831/6313451831783111092023140049.pdf","https://dpmzos25m8ivg.cloudfront.net/Documentos/631/34518317831/6313451831783111092023140049.pdf")</f>
        <v>https://dpmzos25m8ivg.cloudfront.net/Documentos/631/34518317831/6313451831783111092023140049.pdf</v>
      </c>
      <c r="G6490" s="5" t="str">
        <f>HYPERLINK("https://dpmzos25m8ivg.cloudfront.net/Documentos/631/34518317831/6313451831783111092023140101.pdf","https://dpmzos25m8ivg.cloudfront.net/Documentos/631/34518317831/6313451831783111092023140101.pdf")</f>
        <v>https://dpmzos25m8ivg.cloudfront.net/Documentos/631/34518317831/6313451831783111092023140101.pdf</v>
      </c>
      <c r="H6490" s="4" t="s">
        <v>15060</v>
      </c>
    </row>
    <row r="6491" spans="1:8" x14ac:dyDescent="0.25">
      <c r="A6491" s="2" t="s">
        <v>6518</v>
      </c>
      <c r="B6491" s="3"/>
      <c r="C6491" s="3"/>
      <c r="D6491" s="3"/>
      <c r="E6491" s="5" t="str">
        <f>HYPERLINK("https://dpmzos25m8ivg.cloudfront.net/Documentos/631/34543315871/6313454331587109092023142845.jpg","https://dpmzos25m8ivg.cloudfront.net/Documentos/631/34543315871/6313454331587109092023142845.jpg")</f>
        <v>https://dpmzos25m8ivg.cloudfront.net/Documentos/631/34543315871/6313454331587109092023142845.jpg</v>
      </c>
      <c r="F6491" s="5" t="str">
        <f>HYPERLINK("https://dpmzos25m8ivg.cloudfront.net/Documentos/631/34543315871/6313454331587109092023142914.jpg","https://dpmzos25m8ivg.cloudfront.net/Documentos/631/34543315871/6313454331587109092023142914.jpg")</f>
        <v>https://dpmzos25m8ivg.cloudfront.net/Documentos/631/34543315871/6313454331587109092023142914.jpg</v>
      </c>
      <c r="G6491" s="5" t="str">
        <f>HYPERLINK("https://dpmzos25m8ivg.cloudfront.net/Documentos/631/34543315871/6313454331587109092023142935.jpg","https://dpmzos25m8ivg.cloudfront.net/Documentos/631/34543315871/6313454331587109092023142935.jpg")</f>
        <v>https://dpmzos25m8ivg.cloudfront.net/Documentos/631/34543315871/6313454331587109092023142935.jpg</v>
      </c>
      <c r="H6491" s="4" t="s">
        <v>15061</v>
      </c>
    </row>
    <row r="6492" spans="1:8" x14ac:dyDescent="0.25">
      <c r="A6492" s="2" t="s">
        <v>6519</v>
      </c>
      <c r="B6492" s="3"/>
      <c r="C6492" s="3"/>
      <c r="D6492" s="3"/>
      <c r="E6492" s="5" t="str">
        <f>HYPERLINK("https://dpmzos25m8ivg.cloudfront.net/Documentos/631/34564832875/6313456483287508092023063232.jpg","https://dpmzos25m8ivg.cloudfront.net/Documentos/631/34564832875/6313456483287508092023063232.jpg")</f>
        <v>https://dpmzos25m8ivg.cloudfront.net/Documentos/631/34564832875/6313456483287508092023063232.jpg</v>
      </c>
      <c r="F6492" s="5" t="str">
        <f>HYPERLINK("https://dpmzos25m8ivg.cloudfront.net/Documentos/631/34564832875/6313456483287508092023063350.jpg","https://dpmzos25m8ivg.cloudfront.net/Documentos/631/34564832875/6313456483287508092023063350.jpg")</f>
        <v>https://dpmzos25m8ivg.cloudfront.net/Documentos/631/34564832875/6313456483287508092023063350.jpg</v>
      </c>
      <c r="G6492" s="5" t="str">
        <f>HYPERLINK("https://dpmzos25m8ivg.cloudfront.net/Documentos/631/34564832875/6313456483287508092023063437.jpg","https://dpmzos25m8ivg.cloudfront.net/Documentos/631/34564832875/6313456483287508092023063437.jpg")</f>
        <v>https://dpmzos25m8ivg.cloudfront.net/Documentos/631/34564832875/6313456483287508092023063437.jpg</v>
      </c>
      <c r="H6492" s="4" t="s">
        <v>15062</v>
      </c>
    </row>
    <row r="6493" spans="1:8" x14ac:dyDescent="0.25">
      <c r="A6493" s="2" t="s">
        <v>6520</v>
      </c>
      <c r="B6493" s="3"/>
      <c r="C6493" s="3"/>
      <c r="D6493" s="3"/>
      <c r="E6493" s="5" t="str">
        <f>HYPERLINK("https://dpmzos25m8ivg.cloudfront.net/Documentos/631/34645604813/6313464560481311092023123542.pdf","https://dpmzos25m8ivg.cloudfront.net/Documentos/631/34645604813/6313464560481311092023123542.pdf")</f>
        <v>https://dpmzos25m8ivg.cloudfront.net/Documentos/631/34645604813/6313464560481311092023123542.pdf</v>
      </c>
      <c r="F6493" s="5" t="str">
        <f>HYPERLINK("https://dpmzos25m8ivg.cloudfront.net/Documentos/631/34645604813/6313464560481311092023123552.pdf","https://dpmzos25m8ivg.cloudfront.net/Documentos/631/34645604813/6313464560481311092023123552.pdf")</f>
        <v>https://dpmzos25m8ivg.cloudfront.net/Documentos/631/34645604813/6313464560481311092023123552.pdf</v>
      </c>
      <c r="G6493" s="5" t="str">
        <f>HYPERLINK("https://dpmzos25m8ivg.cloudfront.net/Documentos/631/34645604813/6313464560481311092023123606.pdf","https://dpmzos25m8ivg.cloudfront.net/Documentos/631/34645604813/6313464560481311092023123606.pdf")</f>
        <v>https://dpmzos25m8ivg.cloudfront.net/Documentos/631/34645604813/6313464560481311092023123606.pdf</v>
      </c>
      <c r="H6493" s="4" t="s">
        <v>15063</v>
      </c>
    </row>
    <row r="6494" spans="1:8" x14ac:dyDescent="0.25">
      <c r="A6494" s="2" t="s">
        <v>6521</v>
      </c>
      <c r="B6494" s="19" t="s">
        <v>3385</v>
      </c>
      <c r="C6494" s="3"/>
      <c r="D6494" s="3"/>
      <c r="E6494" s="5" t="str">
        <f>HYPERLINK("https://dpmzos25m8ivg.cloudfront.net/Documentos/631/34715989875/6313471598987512092023224713.pdf","https://dpmzos25m8ivg.cloudfront.net/Documentos/631/34715989875/6313471598987512092023224713.pdf")</f>
        <v>https://dpmzos25m8ivg.cloudfront.net/Documentos/631/34715989875/6313471598987512092023224713.pdf</v>
      </c>
      <c r="F6494" s="5" t="str">
        <f>HYPERLINK("https://dpmzos25m8ivg.cloudfront.net/Documentos/631/34715989875/6313471598987512092023224726.pdf","https://dpmzos25m8ivg.cloudfront.net/Documentos/631/34715989875/6313471598987512092023224726.pdf")</f>
        <v>https://dpmzos25m8ivg.cloudfront.net/Documentos/631/34715989875/6313471598987512092023224726.pdf</v>
      </c>
      <c r="G6494" s="5" t="str">
        <f>HYPERLINK("https://dpmzos25m8ivg.cloudfront.net/Documentos/631/34715989875/6313471598987512092023224741.pdf","https://dpmzos25m8ivg.cloudfront.net/Documentos/631/34715989875/6313471598987512092023224741.pdf")</f>
        <v>https://dpmzos25m8ivg.cloudfront.net/Documentos/631/34715989875/6313471598987512092023224741.pdf</v>
      </c>
      <c r="H6494" s="4" t="s">
        <v>15064</v>
      </c>
    </row>
    <row r="6495" spans="1:8" x14ac:dyDescent="0.25">
      <c r="A6495" s="2" t="s">
        <v>6522</v>
      </c>
      <c r="B6495" s="3"/>
      <c r="C6495" s="3"/>
      <c r="D6495" s="3"/>
      <c r="E6495" s="5" t="str">
        <f>HYPERLINK("https://dpmzos25m8ivg.cloudfront.net/Documentos/631/34734181888/6313473418188811092023133029.pdf","https://dpmzos25m8ivg.cloudfront.net/Documentos/631/34734181888/6313473418188811092023133029.pdf")</f>
        <v>https://dpmzos25m8ivg.cloudfront.net/Documentos/631/34734181888/6313473418188811092023133029.pdf</v>
      </c>
      <c r="F6495" s="5" t="str">
        <f>HYPERLINK("https://dpmzos25m8ivg.cloudfront.net/Documentos/631/34734181888/6313473418188811092023133052.pdf","https://dpmzos25m8ivg.cloudfront.net/Documentos/631/34734181888/6313473418188811092023133052.pdf")</f>
        <v>https://dpmzos25m8ivg.cloudfront.net/Documentos/631/34734181888/6313473418188811092023133052.pdf</v>
      </c>
      <c r="G6495" s="5" t="str">
        <f>HYPERLINK("https://dpmzos25m8ivg.cloudfront.net/Documentos/631/34734181888/6313473418188811092023133120.pdf","https://dpmzos25m8ivg.cloudfront.net/Documentos/631/34734181888/6313473418188811092023133120.pdf")</f>
        <v>https://dpmzos25m8ivg.cloudfront.net/Documentos/631/34734181888/6313473418188811092023133120.pdf</v>
      </c>
      <c r="H6495" s="4" t="s">
        <v>15065</v>
      </c>
    </row>
    <row r="6496" spans="1:8" x14ac:dyDescent="0.25">
      <c r="A6496" s="2" t="s">
        <v>6523</v>
      </c>
      <c r="B6496" s="3"/>
      <c r="C6496" s="3"/>
      <c r="D6496" s="3"/>
      <c r="E6496" s="5" t="str">
        <f>HYPERLINK("https://dpmzos25m8ivg.cloudfront.net/Documentos/631/34845634864/6313484563486411092023073140.pdf","https://dpmzos25m8ivg.cloudfront.net/Documentos/631/34845634864/6313484563486411092023073140.pdf")</f>
        <v>https://dpmzos25m8ivg.cloudfront.net/Documentos/631/34845634864/6313484563486411092023073140.pdf</v>
      </c>
      <c r="F6496" s="5" t="str">
        <f>HYPERLINK("https://dpmzos25m8ivg.cloudfront.net/Documentos/631/34845634864/6313484563486411092023073152.pdf","https://dpmzos25m8ivg.cloudfront.net/Documentos/631/34845634864/6313484563486411092023073152.pdf")</f>
        <v>https://dpmzos25m8ivg.cloudfront.net/Documentos/631/34845634864/6313484563486411092023073152.pdf</v>
      </c>
      <c r="G6496" s="5" t="str">
        <f>HYPERLINK("https://dpmzos25m8ivg.cloudfront.net/Documentos/631/34845634864/6313484563486411092023073200.pdf","https://dpmzos25m8ivg.cloudfront.net/Documentos/631/34845634864/6313484563486411092023073200.pdf")</f>
        <v>https://dpmzos25m8ivg.cloudfront.net/Documentos/631/34845634864/6313484563486411092023073200.pdf</v>
      </c>
      <c r="H6496" s="4" t="s">
        <v>15066</v>
      </c>
    </row>
    <row r="6497" spans="1:8" x14ac:dyDescent="0.25">
      <c r="A6497" s="2" t="s">
        <v>6524</v>
      </c>
      <c r="B6497" s="3"/>
      <c r="C6497" s="3"/>
      <c r="D6497" s="3"/>
      <c r="E6497" s="5" t="str">
        <f>HYPERLINK("https://dpmzos25m8ivg.cloudfront.net/Documentos/631/34890477888/6313489047788809092023212928.pdf","https://dpmzos25m8ivg.cloudfront.net/Documentos/631/34890477888/6313489047788809092023212928.pdf")</f>
        <v>https://dpmzos25m8ivg.cloudfront.net/Documentos/631/34890477888/6313489047788809092023212928.pdf</v>
      </c>
      <c r="F6497" s="5" t="str">
        <f>HYPERLINK("https://dpmzos25m8ivg.cloudfront.net/Documentos/631/34890477888/6313489047788809092023212951.pdf","https://dpmzos25m8ivg.cloudfront.net/Documentos/631/34890477888/6313489047788809092023212951.pdf")</f>
        <v>https://dpmzos25m8ivg.cloudfront.net/Documentos/631/34890477888/6313489047788809092023212951.pdf</v>
      </c>
      <c r="G6497" s="5" t="str">
        <f>HYPERLINK("https://dpmzos25m8ivg.cloudfront.net/Documentos/631/34890477888/6313489047788809092023213020.pdf","https://dpmzos25m8ivg.cloudfront.net/Documentos/631/34890477888/6313489047788809092023213020.pdf")</f>
        <v>https://dpmzos25m8ivg.cloudfront.net/Documentos/631/34890477888/6313489047788809092023213020.pdf</v>
      </c>
      <c r="H6497" s="4" t="s">
        <v>15067</v>
      </c>
    </row>
    <row r="6498" spans="1:8" x14ac:dyDescent="0.25">
      <c r="A6498" s="2" t="s">
        <v>6525</v>
      </c>
      <c r="B6498" s="3"/>
      <c r="C6498" s="3"/>
      <c r="D6498" s="3"/>
      <c r="E6498" s="5" t="str">
        <f>HYPERLINK("https://dpmzos25m8ivg.cloudfront.net/Documentos/631/34922153861/6313492215386111092023112017.jpeg","https://dpmzos25m8ivg.cloudfront.net/Documentos/631/34922153861/6313492215386111092023112017.jpeg")</f>
        <v>https://dpmzos25m8ivg.cloudfront.net/Documentos/631/34922153861/6313492215386111092023112017.jpeg</v>
      </c>
      <c r="F6498" s="5" t="str">
        <f>HYPERLINK("https://dpmzos25m8ivg.cloudfront.net/Documentos/631/34922153861/6313492215386111092023112029.jpeg","https://dpmzos25m8ivg.cloudfront.net/Documentos/631/34922153861/6313492215386111092023112029.jpeg")</f>
        <v>https://dpmzos25m8ivg.cloudfront.net/Documentos/631/34922153861/6313492215386111092023112029.jpeg</v>
      </c>
      <c r="G6498" s="5" t="str">
        <f>HYPERLINK("https://dpmzos25m8ivg.cloudfront.net/Documentos/631/34922153861/6313492215386111092023112041.jpeg","https://dpmzos25m8ivg.cloudfront.net/Documentos/631/34922153861/6313492215386111092023112041.jpeg")</f>
        <v>https://dpmzos25m8ivg.cloudfront.net/Documentos/631/34922153861/6313492215386111092023112041.jpeg</v>
      </c>
      <c r="H6498" s="4" t="s">
        <v>15068</v>
      </c>
    </row>
    <row r="6499" spans="1:8" x14ac:dyDescent="0.25">
      <c r="A6499" s="2" t="s">
        <v>6526</v>
      </c>
      <c r="B6499" s="3"/>
      <c r="C6499" s="3"/>
      <c r="D6499" s="3"/>
      <c r="E6499" s="5" t="str">
        <f>HYPERLINK("https://dpmzos25m8ivg.cloudfront.net/Documentos/631/34967346391/6313496734639107092023164901.pdf","https://dpmzos25m8ivg.cloudfront.net/Documentos/631/34967346391/6313496734639107092023164901.pdf")</f>
        <v>https://dpmzos25m8ivg.cloudfront.net/Documentos/631/34967346391/6313496734639107092023164901.pdf</v>
      </c>
      <c r="F6499" s="5" t="str">
        <f>HYPERLINK("https://dpmzos25m8ivg.cloudfront.net/Documentos/631/34967346391/6313496734639107092023164916.pdf","https://dpmzos25m8ivg.cloudfront.net/Documentos/631/34967346391/6313496734639107092023164916.pdf")</f>
        <v>https://dpmzos25m8ivg.cloudfront.net/Documentos/631/34967346391/6313496734639107092023164916.pdf</v>
      </c>
      <c r="G6499" s="5" t="str">
        <f>HYPERLINK("https://dpmzos25m8ivg.cloudfront.net/Documentos/631/34967346391/6313496734639107092023164930.pdf","https://dpmzos25m8ivg.cloudfront.net/Documentos/631/34967346391/6313496734639107092023164930.pdf")</f>
        <v>https://dpmzos25m8ivg.cloudfront.net/Documentos/631/34967346391/6313496734639107092023164930.pdf</v>
      </c>
      <c r="H6499" s="4" t="s">
        <v>15069</v>
      </c>
    </row>
    <row r="6500" spans="1:8" x14ac:dyDescent="0.25">
      <c r="A6500" s="2" t="s">
        <v>6527</v>
      </c>
      <c r="B6500" s="3"/>
      <c r="C6500" s="3"/>
      <c r="D6500" s="3"/>
      <c r="E6500" s="5" t="str">
        <f>HYPERLINK("https://dpmzos25m8ivg.cloudfront.net/Documentos/631/35018033894/6313501803389411092023162514.jpg","https://dpmzos25m8ivg.cloudfront.net/Documentos/631/35018033894/6313501803389411092023162514.jpg")</f>
        <v>https://dpmzos25m8ivg.cloudfront.net/Documentos/631/35018033894/6313501803389411092023162514.jpg</v>
      </c>
      <c r="F6500" s="5" t="str">
        <f>HYPERLINK("https://dpmzos25m8ivg.cloudfront.net/Documentos/631/35018033894/6313501803389411092023163030.jpg","https://dpmzos25m8ivg.cloudfront.net/Documentos/631/35018033894/6313501803389411092023163030.jpg")</f>
        <v>https://dpmzos25m8ivg.cloudfront.net/Documentos/631/35018033894/6313501803389411092023163030.jpg</v>
      </c>
      <c r="G6500" s="5" t="str">
        <f>HYPERLINK("https://dpmzos25m8ivg.cloudfront.net/Documentos/631/35018033894/6313501803389411092023162829.jpg","https://dpmzos25m8ivg.cloudfront.net/Documentos/631/35018033894/6313501803389411092023162829.jpg")</f>
        <v>https://dpmzos25m8ivg.cloudfront.net/Documentos/631/35018033894/6313501803389411092023162829.jpg</v>
      </c>
      <c r="H6500" s="4" t="s">
        <v>15070</v>
      </c>
    </row>
    <row r="6501" spans="1:8" x14ac:dyDescent="0.25">
      <c r="A6501" s="2" t="s">
        <v>6528</v>
      </c>
      <c r="B6501" s="3"/>
      <c r="C6501" s="3"/>
      <c r="D6501" s="3"/>
      <c r="E6501" s="5" t="str">
        <f>HYPERLINK("https://dpmzos25m8ivg.cloudfront.net/Documentos/631/35025579856/6313502557985611092023110236.pdf","https://dpmzos25m8ivg.cloudfront.net/Documentos/631/35025579856/6313502557985611092023110236.pdf")</f>
        <v>https://dpmzos25m8ivg.cloudfront.net/Documentos/631/35025579856/6313502557985611092023110236.pdf</v>
      </c>
      <c r="F6501" s="5" t="str">
        <f>HYPERLINK("https://dpmzos25m8ivg.cloudfront.net/Documentos/631/35025579856/6313502557985611092023110247.pdf","https://dpmzos25m8ivg.cloudfront.net/Documentos/631/35025579856/6313502557985611092023110247.pdf")</f>
        <v>https://dpmzos25m8ivg.cloudfront.net/Documentos/631/35025579856/6313502557985611092023110247.pdf</v>
      </c>
      <c r="G6501" s="5" t="str">
        <f>HYPERLINK("https://dpmzos25m8ivg.cloudfront.net/Documentos/631/35025579856/6313502557985611092023110258.pdf","https://dpmzos25m8ivg.cloudfront.net/Documentos/631/35025579856/6313502557985611092023110258.pdf")</f>
        <v>https://dpmzos25m8ivg.cloudfront.net/Documentos/631/35025579856/6313502557985611092023110258.pdf</v>
      </c>
      <c r="H6501" s="4" t="s">
        <v>15071</v>
      </c>
    </row>
    <row r="6502" spans="1:8" x14ac:dyDescent="0.25">
      <c r="A6502" s="2" t="s">
        <v>6529</v>
      </c>
      <c r="B6502" s="16" t="s">
        <v>2358</v>
      </c>
      <c r="C6502" s="3"/>
      <c r="D6502" s="3"/>
      <c r="E6502" s="5" t="str">
        <f>HYPERLINK("https://dpmzos25m8ivg.cloudfront.net/Documentos/631/35069354884/6313506935488414092023163728.pdf","https://dpmzos25m8ivg.cloudfront.net/Documentos/631/35069354884/6313506935488414092023163728.pdf")</f>
        <v>https://dpmzos25m8ivg.cloudfront.net/Documentos/631/35069354884/6313506935488414092023163728.pdf</v>
      </c>
      <c r="F6502" s="5" t="str">
        <f>HYPERLINK("https://dpmzos25m8ivg.cloudfront.net/Documentos/631/35069354884/6313506935488414092023163740.pdf","https://dpmzos25m8ivg.cloudfront.net/Documentos/631/35069354884/6313506935488414092023163740.pdf")</f>
        <v>https://dpmzos25m8ivg.cloudfront.net/Documentos/631/35069354884/6313506935488414092023163740.pdf</v>
      </c>
      <c r="G6502" s="5" t="str">
        <f>HYPERLINK("https://dpmzos25m8ivg.cloudfront.net/Documentos/631/35069354884/6313506935488414092023163752.pdf","https://dpmzos25m8ivg.cloudfront.net/Documentos/631/35069354884/6313506935488414092023163752.pdf")</f>
        <v>https://dpmzos25m8ivg.cloudfront.net/Documentos/631/35069354884/6313506935488414092023163752.pdf</v>
      </c>
      <c r="H6502" s="5" t="s">
        <v>15072</v>
      </c>
    </row>
    <row r="6503" spans="1:8" x14ac:dyDescent="0.25">
      <c r="A6503" s="2" t="s">
        <v>6530</v>
      </c>
      <c r="B6503" s="3"/>
      <c r="C6503" s="3"/>
      <c r="D6503" s="3"/>
      <c r="E6503" s="5" t="str">
        <f>HYPERLINK("https://dpmzos25m8ivg.cloudfront.net/Documentos/631/35139679850/6313513967985011092023153453.pdf","https://dpmzos25m8ivg.cloudfront.net/Documentos/631/35139679850/6313513967985011092023153453.pdf")</f>
        <v>https://dpmzos25m8ivg.cloudfront.net/Documentos/631/35139679850/6313513967985011092023153453.pdf</v>
      </c>
      <c r="F6503" s="5" t="str">
        <f>HYPERLINK("https://dpmzos25m8ivg.cloudfront.net/Documentos/631/35139679850/6313513967985011092023153508.pdf","https://dpmzos25m8ivg.cloudfront.net/Documentos/631/35139679850/6313513967985011092023153508.pdf")</f>
        <v>https://dpmzos25m8ivg.cloudfront.net/Documentos/631/35139679850/6313513967985011092023153508.pdf</v>
      </c>
      <c r="G6503" s="5" t="str">
        <f>HYPERLINK("https://dpmzos25m8ivg.cloudfront.net/Documentos/631/35139679850/6313513967985011092023153523.pdf","https://dpmzos25m8ivg.cloudfront.net/Documentos/631/35139679850/6313513967985011092023153523.pdf")</f>
        <v>https://dpmzos25m8ivg.cloudfront.net/Documentos/631/35139679850/6313513967985011092023153523.pdf</v>
      </c>
      <c r="H6503" s="4" t="s">
        <v>15073</v>
      </c>
    </row>
    <row r="6504" spans="1:8" x14ac:dyDescent="0.25">
      <c r="A6504" s="2" t="s">
        <v>6531</v>
      </c>
      <c r="B6504" s="3"/>
      <c r="C6504" s="3"/>
      <c r="D6504" s="3"/>
      <c r="E6504" s="5" t="str">
        <f>HYPERLINK("https://dpmzos25m8ivg.cloudfront.net/Documentos/631/35183670803/6313518367080308092023202327.pdf","https://dpmzos25m8ivg.cloudfront.net/Documentos/631/35183670803/6313518367080308092023202327.pdf")</f>
        <v>https://dpmzos25m8ivg.cloudfront.net/Documentos/631/35183670803/6313518367080308092023202327.pdf</v>
      </c>
      <c r="F6504" s="5" t="str">
        <f>HYPERLINK("https://dpmzos25m8ivg.cloudfront.net/Documentos/631/35183670803/6313518367080308092023202344.pdf","https://dpmzos25m8ivg.cloudfront.net/Documentos/631/35183670803/6313518367080308092023202344.pdf")</f>
        <v>https://dpmzos25m8ivg.cloudfront.net/Documentos/631/35183670803/6313518367080308092023202344.pdf</v>
      </c>
      <c r="G6504" s="5" t="str">
        <f>HYPERLINK("https://dpmzos25m8ivg.cloudfront.net/Documentos/631/35183670803/6313518367080308092023202402.pdf","https://dpmzos25m8ivg.cloudfront.net/Documentos/631/35183670803/6313518367080308092023202402.pdf")</f>
        <v>https://dpmzos25m8ivg.cloudfront.net/Documentos/631/35183670803/6313518367080308092023202402.pdf</v>
      </c>
      <c r="H6504" s="4" t="s">
        <v>15074</v>
      </c>
    </row>
    <row r="6505" spans="1:8" x14ac:dyDescent="0.25">
      <c r="A6505" s="2" t="s">
        <v>6532</v>
      </c>
      <c r="B6505" s="3"/>
      <c r="C6505" s="3"/>
      <c r="D6505" s="3"/>
      <c r="E6505" s="5" t="str">
        <f>HYPERLINK("https://dpmzos25m8ivg.cloudfront.net/Documentos/631/35292014800/6313529201480010092023111825.pdf","https://dpmzos25m8ivg.cloudfront.net/Documentos/631/35292014800/6313529201480010092023111825.pdf")</f>
        <v>https://dpmzos25m8ivg.cloudfront.net/Documentos/631/35292014800/6313529201480010092023111825.pdf</v>
      </c>
      <c r="F6505" s="5" t="str">
        <f>HYPERLINK("https://dpmzos25m8ivg.cloudfront.net/Documentos/631/35292014800/6313529201480010092023111840.pdf","https://dpmzos25m8ivg.cloudfront.net/Documentos/631/35292014800/6313529201480010092023111840.pdf")</f>
        <v>https://dpmzos25m8ivg.cloudfront.net/Documentos/631/35292014800/6313529201480010092023111840.pdf</v>
      </c>
      <c r="G6505" s="5" t="str">
        <f>HYPERLINK("https://dpmzos25m8ivg.cloudfront.net/Documentos/631/35292014800/6313529201480010092023111944.pdf","https://dpmzos25m8ivg.cloudfront.net/Documentos/631/35292014800/6313529201480010092023111944.pdf")</f>
        <v>https://dpmzos25m8ivg.cloudfront.net/Documentos/631/35292014800/6313529201480010092023111944.pdf</v>
      </c>
      <c r="H6505" s="4" t="s">
        <v>15075</v>
      </c>
    </row>
    <row r="6506" spans="1:8" x14ac:dyDescent="0.25">
      <c r="A6506" s="2" t="s">
        <v>6533</v>
      </c>
      <c r="B6506" s="3"/>
      <c r="C6506" s="3"/>
      <c r="D6506" s="3"/>
      <c r="E6506" s="5" t="str">
        <f>HYPERLINK("https://dpmzos25m8ivg.cloudfront.net/Documentos/631/35395822828/6313539582282807092023152227.pdf","https://dpmzos25m8ivg.cloudfront.net/Documentos/631/35395822828/6313539582282807092023152227.pdf")</f>
        <v>https://dpmzos25m8ivg.cloudfront.net/Documentos/631/35395822828/6313539582282807092023152227.pdf</v>
      </c>
      <c r="F6506" s="5" t="str">
        <f>HYPERLINK("https://dpmzos25m8ivg.cloudfront.net/Documentos/631/35395822828/6313539582282807092023152300.pdf","https://dpmzos25m8ivg.cloudfront.net/Documentos/631/35395822828/6313539582282807092023152300.pdf")</f>
        <v>https://dpmzos25m8ivg.cloudfront.net/Documentos/631/35395822828/6313539582282807092023152300.pdf</v>
      </c>
      <c r="G6506" s="5" t="str">
        <f>HYPERLINK("https://dpmzos25m8ivg.cloudfront.net/Documentos/631/35395822828/6313539582282807092023152312.pdf","https://dpmzos25m8ivg.cloudfront.net/Documentos/631/35395822828/6313539582282807092023152312.pdf")</f>
        <v>https://dpmzos25m8ivg.cloudfront.net/Documentos/631/35395822828/6313539582282807092023152312.pdf</v>
      </c>
      <c r="H6506" s="4" t="s">
        <v>15076</v>
      </c>
    </row>
    <row r="6507" spans="1:8" x14ac:dyDescent="0.25">
      <c r="A6507" s="2" t="s">
        <v>6534</v>
      </c>
      <c r="B6507" s="3"/>
      <c r="C6507" s="3"/>
      <c r="D6507" s="3"/>
      <c r="E6507" s="5" t="str">
        <f>HYPERLINK("https://dpmzos25m8ivg.cloudfront.net/Documentos/631/35420210835/6313542021083511092023145701.pdf","https://dpmzos25m8ivg.cloudfront.net/Documentos/631/35420210835/6313542021083511092023145701.pdf")</f>
        <v>https://dpmzos25m8ivg.cloudfront.net/Documentos/631/35420210835/6313542021083511092023145701.pdf</v>
      </c>
      <c r="F6507" s="5" t="str">
        <f>HYPERLINK("https://dpmzos25m8ivg.cloudfront.net/Documentos/631/35420210835/6313542021083511092023145717.pdf","https://dpmzos25m8ivg.cloudfront.net/Documentos/631/35420210835/6313542021083511092023145717.pdf")</f>
        <v>https://dpmzos25m8ivg.cloudfront.net/Documentos/631/35420210835/6313542021083511092023145717.pdf</v>
      </c>
      <c r="G6507" s="5" t="str">
        <f>HYPERLINK("https://dpmzos25m8ivg.cloudfront.net/Documentos/631/35420210835/6313542021083511092023145730.pdf","https://dpmzos25m8ivg.cloudfront.net/Documentos/631/35420210835/6313542021083511092023145730.pdf")</f>
        <v>https://dpmzos25m8ivg.cloudfront.net/Documentos/631/35420210835/6313542021083511092023145730.pdf</v>
      </c>
      <c r="H6507" s="4" t="s">
        <v>15077</v>
      </c>
    </row>
    <row r="6508" spans="1:8" x14ac:dyDescent="0.25">
      <c r="A6508" s="2" t="s">
        <v>6535</v>
      </c>
      <c r="B6508" s="3"/>
      <c r="C6508" s="3"/>
      <c r="D6508" s="3"/>
      <c r="E6508" s="5" t="str">
        <f>HYPERLINK("https://dpmzos25m8ivg.cloudfront.net/Documentos/631/35460614899/6313546061489908092023130538.pdf","https://dpmzos25m8ivg.cloudfront.net/Documentos/631/35460614899/6313546061489908092023130538.pdf")</f>
        <v>https://dpmzos25m8ivg.cloudfront.net/Documentos/631/35460614899/6313546061489908092023130538.pdf</v>
      </c>
      <c r="F6508" s="5" t="str">
        <f>HYPERLINK("https://dpmzos25m8ivg.cloudfront.net/Documentos/631/35460614899/6313546061489908092023130547.pdf","https://dpmzos25m8ivg.cloudfront.net/Documentos/631/35460614899/6313546061489908092023130547.pdf")</f>
        <v>https://dpmzos25m8ivg.cloudfront.net/Documentos/631/35460614899/6313546061489908092023130547.pdf</v>
      </c>
      <c r="G6508" s="5" t="str">
        <f>HYPERLINK("https://dpmzos25m8ivg.cloudfront.net/Documentos/631/35460614899/6313546061489908092023130557.pdf","https://dpmzos25m8ivg.cloudfront.net/Documentos/631/35460614899/6313546061489908092023130557.pdf")</f>
        <v>https://dpmzos25m8ivg.cloudfront.net/Documentos/631/35460614899/6313546061489908092023130557.pdf</v>
      </c>
      <c r="H6508" s="4" t="s">
        <v>15078</v>
      </c>
    </row>
    <row r="6509" spans="1:8" x14ac:dyDescent="0.25">
      <c r="A6509" s="2" t="s">
        <v>6536</v>
      </c>
      <c r="B6509" s="3"/>
      <c r="C6509" s="3"/>
      <c r="D6509" s="3"/>
      <c r="E6509" s="5" t="str">
        <f>HYPERLINK("https://dpmzos25m8ivg.cloudfront.net/Documentos/631/35482313816/6313548231381605092023215226.pdf","https://dpmzos25m8ivg.cloudfront.net/Documentos/631/35482313816/6313548231381605092023215226.pdf")</f>
        <v>https://dpmzos25m8ivg.cloudfront.net/Documentos/631/35482313816/6313548231381605092023215226.pdf</v>
      </c>
      <c r="F6509" s="5" t="str">
        <f>HYPERLINK("https://dpmzos25m8ivg.cloudfront.net/Documentos/631/35482313816/6313548231381605092023215357.pdf","https://dpmzos25m8ivg.cloudfront.net/Documentos/631/35482313816/6313548231381605092023215357.pdf")</f>
        <v>https://dpmzos25m8ivg.cloudfront.net/Documentos/631/35482313816/6313548231381605092023215357.pdf</v>
      </c>
      <c r="G6509" s="5" t="str">
        <f>HYPERLINK("https://dpmzos25m8ivg.cloudfront.net/Documentos/631/35482313816/6313548231381605092023215424.pdf","https://dpmzos25m8ivg.cloudfront.net/Documentos/631/35482313816/6313548231381605092023215424.pdf")</f>
        <v>https://dpmzos25m8ivg.cloudfront.net/Documentos/631/35482313816/6313548231381605092023215424.pdf</v>
      </c>
      <c r="H6509" s="4" t="s">
        <v>15079</v>
      </c>
    </row>
    <row r="6510" spans="1:8" x14ac:dyDescent="0.25">
      <c r="A6510" s="2" t="s">
        <v>6537</v>
      </c>
      <c r="B6510" s="3"/>
      <c r="C6510" s="3"/>
      <c r="D6510" s="3"/>
      <c r="E6510" s="5" t="str">
        <f>HYPERLINK("https://dpmzos25m8ivg.cloudfront.net/Documentos/631/35530881840/6313553088184005092023124658.pdf","https://dpmzos25m8ivg.cloudfront.net/Documentos/631/35530881840/6313553088184005092023124658.pdf")</f>
        <v>https://dpmzos25m8ivg.cloudfront.net/Documentos/631/35530881840/6313553088184005092023124658.pdf</v>
      </c>
      <c r="F6510" s="5" t="str">
        <f>HYPERLINK("https://dpmzos25m8ivg.cloudfront.net/Documentos/631/35530881840/6313553088184005092023124726.pdf","https://dpmzos25m8ivg.cloudfront.net/Documentos/631/35530881840/6313553088184005092023124726.pdf")</f>
        <v>https://dpmzos25m8ivg.cloudfront.net/Documentos/631/35530881840/6313553088184005092023124726.pdf</v>
      </c>
      <c r="G6510" s="5" t="str">
        <f>HYPERLINK("https://dpmzos25m8ivg.cloudfront.net/Documentos/631/35530881840/6313553088184005092023124743.pdf","https://dpmzos25m8ivg.cloudfront.net/Documentos/631/35530881840/6313553088184005092023124743.pdf")</f>
        <v>https://dpmzos25m8ivg.cloudfront.net/Documentos/631/35530881840/6313553088184005092023124743.pdf</v>
      </c>
      <c r="H6510" s="4" t="s">
        <v>15080</v>
      </c>
    </row>
    <row r="6511" spans="1:8" x14ac:dyDescent="0.25">
      <c r="A6511" s="2" t="s">
        <v>6538</v>
      </c>
      <c r="B6511" s="3"/>
      <c r="C6511" s="3"/>
      <c r="D6511" s="3"/>
      <c r="E6511" s="5" t="str">
        <f>HYPERLINK("https://dpmzos25m8ivg.cloudfront.net/Documentos/631/35547786802/6313554778680208092023220949.pdf","https://dpmzos25m8ivg.cloudfront.net/Documentos/631/35547786802/6313554778680208092023220949.pdf")</f>
        <v>https://dpmzos25m8ivg.cloudfront.net/Documentos/631/35547786802/6313554778680208092023220949.pdf</v>
      </c>
      <c r="F6511" s="5" t="str">
        <f>HYPERLINK("https://dpmzos25m8ivg.cloudfront.net/Documentos/631/35547786802/6313554778680208092023221013.pdf","https://dpmzos25m8ivg.cloudfront.net/Documentos/631/35547786802/6313554778680208092023221013.pdf")</f>
        <v>https://dpmzos25m8ivg.cloudfront.net/Documentos/631/35547786802/6313554778680208092023221013.pdf</v>
      </c>
      <c r="G6511" s="5" t="str">
        <f>HYPERLINK("https://dpmzos25m8ivg.cloudfront.net/Documentos/631/35547786802/6313554778680208092023221033.pdf","https://dpmzos25m8ivg.cloudfront.net/Documentos/631/35547786802/6313554778680208092023221033.pdf")</f>
        <v>https://dpmzos25m8ivg.cloudfront.net/Documentos/631/35547786802/6313554778680208092023221033.pdf</v>
      </c>
      <c r="H6511" s="4" t="s">
        <v>15081</v>
      </c>
    </row>
    <row r="6512" spans="1:8" x14ac:dyDescent="0.25">
      <c r="A6512" s="2" t="s">
        <v>6539</v>
      </c>
      <c r="B6512" s="3"/>
      <c r="C6512" s="3"/>
      <c r="D6512" s="3"/>
      <c r="E6512" s="5" t="str">
        <f>HYPERLINK("https://dpmzos25m8ivg.cloudfront.net/Documentos/631/35582455809/6313558245580909092023101207.pdf","https://dpmzos25m8ivg.cloudfront.net/Documentos/631/35582455809/6313558245580909092023101207.pdf")</f>
        <v>https://dpmzos25m8ivg.cloudfront.net/Documentos/631/35582455809/6313558245580909092023101207.pdf</v>
      </c>
      <c r="F6512" s="5" t="str">
        <f>HYPERLINK("https://dpmzos25m8ivg.cloudfront.net/Documentos/631/35582455809/6313558245580909092023101221.pdf","https://dpmzos25m8ivg.cloudfront.net/Documentos/631/35582455809/6313558245580909092023101221.pdf")</f>
        <v>https://dpmzos25m8ivg.cloudfront.net/Documentos/631/35582455809/6313558245580909092023101221.pdf</v>
      </c>
      <c r="G6512" s="5" t="str">
        <f>HYPERLINK("https://dpmzos25m8ivg.cloudfront.net/Documentos/631/35582455809/6313558245580909092023101229.pdf","https://dpmzos25m8ivg.cloudfront.net/Documentos/631/35582455809/6313558245580909092023101229.pdf")</f>
        <v>https://dpmzos25m8ivg.cloudfront.net/Documentos/631/35582455809/6313558245580909092023101229.pdf</v>
      </c>
      <c r="H6512" s="4" t="s">
        <v>15082</v>
      </c>
    </row>
    <row r="6513" spans="1:8" x14ac:dyDescent="0.25">
      <c r="A6513" s="2" t="s">
        <v>6540</v>
      </c>
      <c r="B6513" s="16" t="s">
        <v>2358</v>
      </c>
      <c r="C6513" s="3"/>
      <c r="D6513" s="3"/>
      <c r="E6513" s="5" t="str">
        <f>HYPERLINK("https://dpmzos25m8ivg.cloudfront.net/Documentos/631/35584421804/6313558442180405092023133657.pdf","https://dpmzos25m8ivg.cloudfront.net/Documentos/631/35584421804/6313558442180405092023133657.pdf")</f>
        <v>https://dpmzos25m8ivg.cloudfront.net/Documentos/631/35584421804/6313558442180405092023133657.pdf</v>
      </c>
      <c r="F6513" s="5" t="str">
        <f>HYPERLINK("https://dpmzos25m8ivg.cloudfront.net/Documentos/631/35584421804/6313558442180405092023133726.pdf","https://dpmzos25m8ivg.cloudfront.net/Documentos/631/35584421804/6313558442180405092023133726.pdf")</f>
        <v>https://dpmzos25m8ivg.cloudfront.net/Documentos/631/35584421804/6313558442180405092023133726.pdf</v>
      </c>
      <c r="G6513" s="5" t="str">
        <f>HYPERLINK("https://dpmzos25m8ivg.cloudfront.net/Documentos/631/35584421804/6313558442180405092023133748.pdf","https://dpmzos25m8ivg.cloudfront.net/Documentos/631/35584421804/6313558442180405092023133748.pdf")</f>
        <v>https://dpmzos25m8ivg.cloudfront.net/Documentos/631/35584421804/6313558442180405092023133748.pdf</v>
      </c>
      <c r="H6513" s="5" t="s">
        <v>15083</v>
      </c>
    </row>
    <row r="6514" spans="1:8" x14ac:dyDescent="0.25">
      <c r="A6514" s="2" t="s">
        <v>6541</v>
      </c>
      <c r="B6514" s="3"/>
      <c r="C6514" s="3"/>
      <c r="D6514" s="3"/>
      <c r="E6514" s="5" t="str">
        <f>HYPERLINK("https://dpmzos25m8ivg.cloudfront.net/Documentos/631/35596075825/6313559607582506092023031204.pdf","https://dpmzos25m8ivg.cloudfront.net/Documentos/631/35596075825/6313559607582506092023031204.pdf")</f>
        <v>https://dpmzos25m8ivg.cloudfront.net/Documentos/631/35596075825/6313559607582506092023031204.pdf</v>
      </c>
      <c r="F6514" s="5" t="str">
        <f>HYPERLINK("https://dpmzos25m8ivg.cloudfront.net/Documentos/631/35596075825/6313559607582506092023031232.pdf","https://dpmzos25m8ivg.cloudfront.net/Documentos/631/35596075825/6313559607582506092023031232.pdf")</f>
        <v>https://dpmzos25m8ivg.cloudfront.net/Documentos/631/35596075825/6313559607582506092023031232.pdf</v>
      </c>
      <c r="G6514" s="5" t="str">
        <f>HYPERLINK("https://dpmzos25m8ivg.cloudfront.net/Documentos/631/35596075825/6313559607582506092023031301.pdf","https://dpmzos25m8ivg.cloudfront.net/Documentos/631/35596075825/6313559607582506092023031301.pdf")</f>
        <v>https://dpmzos25m8ivg.cloudfront.net/Documentos/631/35596075825/6313559607582506092023031301.pdf</v>
      </c>
      <c r="H6514" s="4" t="s">
        <v>15084</v>
      </c>
    </row>
    <row r="6515" spans="1:8" x14ac:dyDescent="0.25">
      <c r="A6515" s="2" t="s">
        <v>6542</v>
      </c>
      <c r="B6515" s="3"/>
      <c r="C6515" s="3"/>
      <c r="D6515" s="3"/>
      <c r="E6515" s="5" t="str">
        <f>HYPERLINK("https://dpmzos25m8ivg.cloudfront.net/Documentos/631/35669264851/6313566926485114092023145723.pdf","https://dpmzos25m8ivg.cloudfront.net/Documentos/631/35669264851/6313566926485114092023145723.pdf")</f>
        <v>https://dpmzos25m8ivg.cloudfront.net/Documentos/631/35669264851/6313566926485114092023145723.pdf</v>
      </c>
      <c r="F6515" s="5" t="str">
        <f>HYPERLINK("https://dpmzos25m8ivg.cloudfront.net/Documentos/631/35669264851/6313566926485114092023145732.pdf","https://dpmzos25m8ivg.cloudfront.net/Documentos/631/35669264851/6313566926485114092023145732.pdf")</f>
        <v>https://dpmzos25m8ivg.cloudfront.net/Documentos/631/35669264851/6313566926485114092023145732.pdf</v>
      </c>
      <c r="G6515" s="5" t="str">
        <f>HYPERLINK("https://dpmzos25m8ivg.cloudfront.net/Documentos/631/35669264851/6313566926485114092023145741.pdf","https://dpmzos25m8ivg.cloudfront.net/Documentos/631/35669264851/6313566926485114092023145741.pdf")</f>
        <v>https://dpmzos25m8ivg.cloudfront.net/Documentos/631/35669264851/6313566926485114092023145741.pdf</v>
      </c>
      <c r="H6515" s="4" t="s">
        <v>15085</v>
      </c>
    </row>
    <row r="6516" spans="1:8" x14ac:dyDescent="0.25">
      <c r="A6516" s="2" t="s">
        <v>6543</v>
      </c>
      <c r="B6516" s="3"/>
      <c r="C6516" s="3"/>
      <c r="D6516" s="3"/>
      <c r="E6516" s="5" t="str">
        <f>HYPERLINK("https://dpmzos25m8ivg.cloudfront.net/Documentos/631/35779135843/6313577913584306092023124147.pdf","https://dpmzos25m8ivg.cloudfront.net/Documentos/631/35779135843/6313577913584306092023124147.pdf")</f>
        <v>https://dpmzos25m8ivg.cloudfront.net/Documentos/631/35779135843/6313577913584306092023124147.pdf</v>
      </c>
      <c r="F6516" s="5" t="str">
        <f>HYPERLINK("https://dpmzos25m8ivg.cloudfront.net/Documentos/631/35779135843/6313577913584306092023124156.pdf","https://dpmzos25m8ivg.cloudfront.net/Documentos/631/35779135843/6313577913584306092023124156.pdf")</f>
        <v>https://dpmzos25m8ivg.cloudfront.net/Documentos/631/35779135843/6313577913584306092023124156.pdf</v>
      </c>
      <c r="G6516" s="5" t="str">
        <f>HYPERLINK("https://dpmzos25m8ivg.cloudfront.net/Documentos/631/35779135843/6313577913584306092023124212.pdf","https://dpmzos25m8ivg.cloudfront.net/Documentos/631/35779135843/6313577913584306092023124212.pdf")</f>
        <v>https://dpmzos25m8ivg.cloudfront.net/Documentos/631/35779135843/6313577913584306092023124212.pdf</v>
      </c>
      <c r="H6516" s="4" t="s">
        <v>15086</v>
      </c>
    </row>
    <row r="6517" spans="1:8" x14ac:dyDescent="0.25">
      <c r="A6517" s="2" t="s">
        <v>6544</v>
      </c>
      <c r="B6517" s="3"/>
      <c r="C6517" s="3"/>
      <c r="D6517" s="3"/>
      <c r="E6517" s="5" t="str">
        <f>HYPERLINK("https://dpmzos25m8ivg.cloudfront.net/Documentos/631/35788044871/6313578804487105092023182605.jpg","https://dpmzos25m8ivg.cloudfront.net/Documentos/631/35788044871/6313578804487105092023182605.jpg")</f>
        <v>https://dpmzos25m8ivg.cloudfront.net/Documentos/631/35788044871/6313578804487105092023182605.jpg</v>
      </c>
      <c r="F6517" s="5" t="str">
        <f>HYPERLINK("https://dpmzos25m8ivg.cloudfront.net/Documentos/631/35788044871/6313578804487105092023182628.jpg","https://dpmzos25m8ivg.cloudfront.net/Documentos/631/35788044871/6313578804487105092023182628.jpg")</f>
        <v>https://dpmzos25m8ivg.cloudfront.net/Documentos/631/35788044871/6313578804487105092023182628.jpg</v>
      </c>
      <c r="G6517" s="5" t="str">
        <f>HYPERLINK("https://dpmzos25m8ivg.cloudfront.net/Documentos/631/35788044871/6313578804487105092023182649.jpg","https://dpmzos25m8ivg.cloudfront.net/Documentos/631/35788044871/6313578804487105092023182649.jpg")</f>
        <v>https://dpmzos25m8ivg.cloudfront.net/Documentos/631/35788044871/6313578804487105092023182649.jpg</v>
      </c>
      <c r="H6517" s="4" t="s">
        <v>15087</v>
      </c>
    </row>
    <row r="6518" spans="1:8" x14ac:dyDescent="0.25">
      <c r="A6518" s="2" t="s">
        <v>6545</v>
      </c>
      <c r="B6518" s="3"/>
      <c r="C6518" s="3"/>
      <c r="D6518" s="3"/>
      <c r="E6518" s="5" t="str">
        <f>HYPERLINK("https://dpmzos25m8ivg.cloudfront.net/Documentos/631/35807000811/6313580700081111092023134448.pdf","https://dpmzos25m8ivg.cloudfront.net/Documentos/631/35807000811/6313580700081111092023134448.pdf")</f>
        <v>https://dpmzos25m8ivg.cloudfront.net/Documentos/631/35807000811/6313580700081111092023134448.pdf</v>
      </c>
      <c r="F6518" s="5" t="str">
        <f>HYPERLINK("https://dpmzos25m8ivg.cloudfront.net/Documentos/631/35807000811/6313580700081111092023134510.pdf","https://dpmzos25m8ivg.cloudfront.net/Documentos/631/35807000811/6313580700081111092023134510.pdf")</f>
        <v>https://dpmzos25m8ivg.cloudfront.net/Documentos/631/35807000811/6313580700081111092023134510.pdf</v>
      </c>
      <c r="G6518" s="5" t="str">
        <f>HYPERLINK("https://dpmzos25m8ivg.cloudfront.net/Documentos/631/35807000811/6313580700081111092023134529.pdf","https://dpmzos25m8ivg.cloudfront.net/Documentos/631/35807000811/6313580700081111092023134529.pdf")</f>
        <v>https://dpmzos25m8ivg.cloudfront.net/Documentos/631/35807000811/6313580700081111092023134529.pdf</v>
      </c>
      <c r="H6518" s="4" t="s">
        <v>15088</v>
      </c>
    </row>
    <row r="6519" spans="1:8" x14ac:dyDescent="0.25">
      <c r="A6519" s="2" t="s">
        <v>6546</v>
      </c>
      <c r="B6519" s="3"/>
      <c r="C6519" s="3"/>
      <c r="D6519" s="3"/>
      <c r="E6519" s="5" t="str">
        <f>HYPERLINK("https://dpmzos25m8ivg.cloudfront.net/Documentos/631/35843236811/6313584323681110092023210605.pdf","https://dpmzos25m8ivg.cloudfront.net/Documentos/631/35843236811/6313584323681110092023210605.pdf")</f>
        <v>https://dpmzos25m8ivg.cloudfront.net/Documentos/631/35843236811/6313584323681110092023210605.pdf</v>
      </c>
      <c r="F6519" s="5" t="str">
        <f>HYPERLINK("https://dpmzos25m8ivg.cloudfront.net/Documentos/631/35843236811/6313584323681110092023210057.pdf","https://dpmzos25m8ivg.cloudfront.net/Documentos/631/35843236811/6313584323681110092023210057.pdf")</f>
        <v>https://dpmzos25m8ivg.cloudfront.net/Documentos/631/35843236811/6313584323681110092023210057.pdf</v>
      </c>
      <c r="G6519" s="5" t="str">
        <f>HYPERLINK("https://dpmzos25m8ivg.cloudfront.net/Documentos/631/35843236811/6313584323681110092023205117.pdf","https://dpmzos25m8ivg.cloudfront.net/Documentos/631/35843236811/6313584323681110092023205117.pdf")</f>
        <v>https://dpmzos25m8ivg.cloudfront.net/Documentos/631/35843236811/6313584323681110092023205117.pdf</v>
      </c>
      <c r="H6519" s="4" t="s">
        <v>15089</v>
      </c>
    </row>
    <row r="6520" spans="1:8" x14ac:dyDescent="0.25">
      <c r="A6520" s="2" t="s">
        <v>6547</v>
      </c>
      <c r="B6520" s="3"/>
      <c r="C6520" s="3"/>
      <c r="D6520" s="3"/>
      <c r="E6520" s="5" t="str">
        <f>HYPERLINK("https://dpmzos25m8ivg.cloudfront.net/Documentos/631/35843942449/6313584394244905092023172536.jpg","https://dpmzos25m8ivg.cloudfront.net/Documentos/631/35843942449/6313584394244905092023172536.jpg")</f>
        <v>https://dpmzos25m8ivg.cloudfront.net/Documentos/631/35843942449/6313584394244905092023172536.jpg</v>
      </c>
      <c r="F6520" s="5" t="str">
        <f>HYPERLINK("https://dpmzos25m8ivg.cloudfront.net/Documentos/631/35843942449/6313584394244905092023172548.pdf","https://dpmzos25m8ivg.cloudfront.net/Documentos/631/35843942449/6313584394244905092023172548.pdf")</f>
        <v>https://dpmzos25m8ivg.cloudfront.net/Documentos/631/35843942449/6313584394244905092023172548.pdf</v>
      </c>
      <c r="G6520" s="5" t="str">
        <f>HYPERLINK("https://dpmzos25m8ivg.cloudfront.net/Documentos/631/35843942449/6313584394244905092023172603.pdf","https://dpmzos25m8ivg.cloudfront.net/Documentos/631/35843942449/6313584394244905092023172603.pdf")</f>
        <v>https://dpmzos25m8ivg.cloudfront.net/Documentos/631/35843942449/6313584394244905092023172603.pdf</v>
      </c>
      <c r="H6520" s="4" t="s">
        <v>15090</v>
      </c>
    </row>
    <row r="6521" spans="1:8" x14ac:dyDescent="0.25">
      <c r="A6521" s="2" t="s">
        <v>6548</v>
      </c>
      <c r="B6521" s="3"/>
      <c r="C6521" s="3"/>
      <c r="D6521" s="3"/>
      <c r="E6521" s="5" t="str">
        <f>HYPERLINK("https://dpmzos25m8ivg.cloudfront.net/Documentos/631/35848596972/6313584859697211092023111949.pdf","https://dpmzos25m8ivg.cloudfront.net/Documentos/631/35848596972/6313584859697211092023111949.pdf")</f>
        <v>https://dpmzos25m8ivg.cloudfront.net/Documentos/631/35848596972/6313584859697211092023111949.pdf</v>
      </c>
      <c r="F6521" s="5" t="str">
        <f>HYPERLINK("https://dpmzos25m8ivg.cloudfront.net/Documentos/631/35848596972/6313584859697211092023112026.pdf","https://dpmzos25m8ivg.cloudfront.net/Documentos/631/35848596972/6313584859697211092023112026.pdf")</f>
        <v>https://dpmzos25m8ivg.cloudfront.net/Documentos/631/35848596972/6313584859697211092023112026.pdf</v>
      </c>
      <c r="G6521" s="5" t="str">
        <f>HYPERLINK("https://dpmzos25m8ivg.cloudfront.net/Documentos/631/35848596972/6313584859697211092023112140.pdf","https://dpmzos25m8ivg.cloudfront.net/Documentos/631/35848596972/6313584859697211092023112140.pdf")</f>
        <v>https://dpmzos25m8ivg.cloudfront.net/Documentos/631/35848596972/6313584859697211092023112140.pdf</v>
      </c>
      <c r="H6521" s="4" t="s">
        <v>15091</v>
      </c>
    </row>
    <row r="6522" spans="1:8" x14ac:dyDescent="0.25">
      <c r="A6522" s="2" t="s">
        <v>6549</v>
      </c>
      <c r="B6522" s="3" t="s">
        <v>8</v>
      </c>
      <c r="C6522" s="3"/>
      <c r="D6522" s="3"/>
      <c r="E6522" s="5" t="str">
        <f>HYPERLINK("https://dpmzos25m8ivg.cloudfront.net/Documentos/631/35877320866/6313587732086611092023113004.pdf","https://dpmzos25m8ivg.cloudfront.net/Documentos/631/35877320866/6313587732086611092023113004.pdf")</f>
        <v>https://dpmzos25m8ivg.cloudfront.net/Documentos/631/35877320866/6313587732086611092023113004.pdf</v>
      </c>
      <c r="F6522" s="5" t="str">
        <f>HYPERLINK("https://dpmzos25m8ivg.cloudfront.net/Documentos/631/35877320866/6313587732086611092023113011.pdf","https://dpmzos25m8ivg.cloudfront.net/Documentos/631/35877320866/6313587732086611092023113011.pdf")</f>
        <v>https://dpmzos25m8ivg.cloudfront.net/Documentos/631/35877320866/6313587732086611092023113011.pdf</v>
      </c>
      <c r="G6522" s="5" t="str">
        <f>HYPERLINK("https://dpmzos25m8ivg.cloudfront.net/Documentos/631/35877320866/6313587732086611092023113018.pdf","https://dpmzos25m8ivg.cloudfront.net/Documentos/631/35877320866/6313587732086611092023113018.pdf")</f>
        <v>https://dpmzos25m8ivg.cloudfront.net/Documentos/631/35877320866/6313587732086611092023113018.pdf</v>
      </c>
      <c r="H6522" s="4" t="s">
        <v>15092</v>
      </c>
    </row>
    <row r="6523" spans="1:8" x14ac:dyDescent="0.25">
      <c r="A6523" s="2" t="s">
        <v>6550</v>
      </c>
      <c r="B6523" s="3"/>
      <c r="C6523" s="3"/>
      <c r="D6523" s="3"/>
      <c r="E6523" s="5" t="str">
        <f>HYPERLINK("https://dpmzos25m8ivg.cloudfront.net/Documentos/631/35888997153/6313588899715312092023221148.pdf","https://dpmzos25m8ivg.cloudfront.net/Documentos/631/35888997153/6313588899715312092023221148.pdf")</f>
        <v>https://dpmzos25m8ivg.cloudfront.net/Documentos/631/35888997153/6313588899715312092023221148.pdf</v>
      </c>
      <c r="F6523" s="5" t="str">
        <f>HYPERLINK("https://dpmzos25m8ivg.cloudfront.net/Documentos/631/35888997153/6313588899715312092023221204.pdf","https://dpmzos25m8ivg.cloudfront.net/Documentos/631/35888997153/6313588899715312092023221204.pdf")</f>
        <v>https://dpmzos25m8ivg.cloudfront.net/Documentos/631/35888997153/6313588899715312092023221204.pdf</v>
      </c>
      <c r="G6523" s="5" t="str">
        <f>HYPERLINK("https://dpmzos25m8ivg.cloudfront.net/Documentos/631/35888997153/6313588899715312092023221218.pdf","https://dpmzos25m8ivg.cloudfront.net/Documentos/631/35888997153/6313588899715312092023221218.pdf")</f>
        <v>https://dpmzos25m8ivg.cloudfront.net/Documentos/631/35888997153/6313588899715312092023221218.pdf</v>
      </c>
      <c r="H6523" s="4" t="s">
        <v>15093</v>
      </c>
    </row>
    <row r="6524" spans="1:8" x14ac:dyDescent="0.25">
      <c r="A6524" s="2" t="s">
        <v>6551</v>
      </c>
      <c r="B6524" s="3"/>
      <c r="C6524" s="3"/>
      <c r="D6524" s="3"/>
      <c r="E6524" s="5" t="str">
        <f>HYPERLINK("https://dpmzos25m8ivg.cloudfront.net/Documentos/631/35907417838/6313590741783809092023150151.jpeg","https://dpmzos25m8ivg.cloudfront.net/Documentos/631/35907417838/6313590741783809092023150151.jpeg")</f>
        <v>https://dpmzos25m8ivg.cloudfront.net/Documentos/631/35907417838/6313590741783809092023150151.jpeg</v>
      </c>
      <c r="F6524" s="5" t="str">
        <f>HYPERLINK("https://dpmzos25m8ivg.cloudfront.net/Documentos/631/35907417838/6313590741783809092023150204.jpeg","https://dpmzos25m8ivg.cloudfront.net/Documentos/631/35907417838/6313590741783809092023150204.jpeg")</f>
        <v>https://dpmzos25m8ivg.cloudfront.net/Documentos/631/35907417838/6313590741783809092023150204.jpeg</v>
      </c>
      <c r="G6524" s="5" t="str">
        <f>HYPERLINK("https://dpmzos25m8ivg.cloudfront.net/Documentos/631/35907417838/6313590741783809092023150216.jpeg","https://dpmzos25m8ivg.cloudfront.net/Documentos/631/35907417838/6313590741783809092023150216.jpeg")</f>
        <v>https://dpmzos25m8ivg.cloudfront.net/Documentos/631/35907417838/6313590741783809092023150216.jpeg</v>
      </c>
      <c r="H6524" s="5" t="s">
        <v>15094</v>
      </c>
    </row>
    <row r="6525" spans="1:8" x14ac:dyDescent="0.25">
      <c r="A6525" s="2" t="s">
        <v>6552</v>
      </c>
      <c r="B6525" s="3"/>
      <c r="C6525" s="3"/>
      <c r="D6525" s="3"/>
      <c r="E6525" s="5" t="str">
        <f>HYPERLINK("https://dpmzos25m8ivg.cloudfront.net/Documentos/631/35924048810/6313592404881011092023092528.pdf","https://dpmzos25m8ivg.cloudfront.net/Documentos/631/35924048810/6313592404881011092023092528.pdf")</f>
        <v>https://dpmzos25m8ivg.cloudfront.net/Documentos/631/35924048810/6313592404881011092023092528.pdf</v>
      </c>
      <c r="F6525" s="5" t="str">
        <f>HYPERLINK("https://dpmzos25m8ivg.cloudfront.net/Documentos/631/35924048810/6313592404881011092023092535.pdf","https://dpmzos25m8ivg.cloudfront.net/Documentos/631/35924048810/6313592404881011092023092535.pdf")</f>
        <v>https://dpmzos25m8ivg.cloudfront.net/Documentos/631/35924048810/6313592404881011092023092535.pdf</v>
      </c>
      <c r="G6525" s="5" t="str">
        <f>HYPERLINK("https://dpmzos25m8ivg.cloudfront.net/Documentos/631/35924048810/6313592404881011092023092542.pdf","https://dpmzos25m8ivg.cloudfront.net/Documentos/631/35924048810/6313592404881011092023092542.pdf")</f>
        <v>https://dpmzos25m8ivg.cloudfront.net/Documentos/631/35924048810/6313592404881011092023092542.pdf</v>
      </c>
      <c r="H6525" s="5" t="s">
        <v>15095</v>
      </c>
    </row>
    <row r="6526" spans="1:8" x14ac:dyDescent="0.25">
      <c r="A6526" s="2" t="s">
        <v>6553</v>
      </c>
      <c r="B6526" s="3"/>
      <c r="C6526" s="3"/>
      <c r="D6526" s="3"/>
      <c r="E6526" s="5" t="str">
        <f>HYPERLINK("https://dpmzos25m8ivg.cloudfront.net/Documentos/631/35950286863/6313595028686311092023132955.pdf","https://dpmzos25m8ivg.cloudfront.net/Documentos/631/35950286863/6313595028686311092023132955.pdf")</f>
        <v>https://dpmzos25m8ivg.cloudfront.net/Documentos/631/35950286863/6313595028686311092023132955.pdf</v>
      </c>
      <c r="F6526" s="5" t="str">
        <f>HYPERLINK("https://dpmzos25m8ivg.cloudfront.net/Documentos/631/35950286863/6313595028686311092023133003.pdf","https://dpmzos25m8ivg.cloudfront.net/Documentos/631/35950286863/6313595028686311092023133003.pdf")</f>
        <v>https://dpmzos25m8ivg.cloudfront.net/Documentos/631/35950286863/6313595028686311092023133003.pdf</v>
      </c>
      <c r="G6526" s="5" t="str">
        <f>HYPERLINK("https://dpmzos25m8ivg.cloudfront.net/Documentos/631/35950286863/6313595028686311092023133013.pdf","https://dpmzos25m8ivg.cloudfront.net/Documentos/631/35950286863/6313595028686311092023133013.pdf")</f>
        <v>https://dpmzos25m8ivg.cloudfront.net/Documentos/631/35950286863/6313595028686311092023133013.pdf</v>
      </c>
      <c r="H6526" s="5" t="s">
        <v>15096</v>
      </c>
    </row>
    <row r="6527" spans="1:8" x14ac:dyDescent="0.25">
      <c r="A6527" s="2" t="s">
        <v>6554</v>
      </c>
      <c r="B6527" s="3"/>
      <c r="C6527" s="3"/>
      <c r="D6527" s="3"/>
      <c r="E6527" s="5" t="str">
        <f>HYPERLINK("https://dpmzos25m8ivg.cloudfront.net/Documentos/631/36048336802/6313604833680205092023200814.pdf","https://dpmzos25m8ivg.cloudfront.net/Documentos/631/36048336802/6313604833680205092023200814.pdf")</f>
        <v>https://dpmzos25m8ivg.cloudfront.net/Documentos/631/36048336802/6313604833680205092023200814.pdf</v>
      </c>
      <c r="F6527" s="5" t="str">
        <f>HYPERLINK("https://dpmzos25m8ivg.cloudfront.net/Documentos/631/36048336802/6313604833680205092023200827.pdf","https://dpmzos25m8ivg.cloudfront.net/Documentos/631/36048336802/6313604833680205092023200827.pdf")</f>
        <v>https://dpmzos25m8ivg.cloudfront.net/Documentos/631/36048336802/6313604833680205092023200827.pdf</v>
      </c>
      <c r="G6527" s="5" t="str">
        <f>HYPERLINK("https://dpmzos25m8ivg.cloudfront.net/Documentos/631/36048336802/6313604833680205092023200840.pdf","https://dpmzos25m8ivg.cloudfront.net/Documentos/631/36048336802/6313604833680205092023200840.pdf")</f>
        <v>https://dpmzos25m8ivg.cloudfront.net/Documentos/631/36048336802/6313604833680205092023200840.pdf</v>
      </c>
      <c r="H6527" s="5" t="s">
        <v>15097</v>
      </c>
    </row>
    <row r="6528" spans="1:8" x14ac:dyDescent="0.25">
      <c r="A6528" s="2" t="s">
        <v>6555</v>
      </c>
      <c r="B6528" s="3"/>
      <c r="C6528" s="3"/>
      <c r="D6528" s="3"/>
      <c r="E6528" s="5" t="str">
        <f>HYPERLINK("https://dpmzos25m8ivg.cloudfront.net/Documentos/631/36049062889/6313604906288911092023112352.jpg","https://dpmzos25m8ivg.cloudfront.net/Documentos/631/36049062889/6313604906288911092023112352.jpg")</f>
        <v>https://dpmzos25m8ivg.cloudfront.net/Documentos/631/36049062889/6313604906288911092023112352.jpg</v>
      </c>
      <c r="F6528" s="5" t="str">
        <f>HYPERLINK("https://dpmzos25m8ivg.cloudfront.net/Documentos/631/36049062889/6313604906288911092023112412.jpg","https://dpmzos25m8ivg.cloudfront.net/Documentos/631/36049062889/6313604906288911092023112412.jpg")</f>
        <v>https://dpmzos25m8ivg.cloudfront.net/Documentos/631/36049062889/6313604906288911092023112412.jpg</v>
      </c>
      <c r="G6528" s="5" t="str">
        <f>HYPERLINK("https://dpmzos25m8ivg.cloudfront.net/Documentos/631/36049062889/6313604906288911092023112422.jpg","https://dpmzos25m8ivg.cloudfront.net/Documentos/631/36049062889/6313604906288911092023112422.jpg")</f>
        <v>https://dpmzos25m8ivg.cloudfront.net/Documentos/631/36049062889/6313604906288911092023112422.jpg</v>
      </c>
      <c r="H6528" s="5" t="s">
        <v>15098</v>
      </c>
    </row>
    <row r="6529" spans="1:8" x14ac:dyDescent="0.25">
      <c r="A6529" s="2" t="s">
        <v>6556</v>
      </c>
      <c r="B6529" s="3" t="s">
        <v>42</v>
      </c>
      <c r="C6529" s="3"/>
      <c r="D6529" s="3"/>
      <c r="E6529" s="5" t="str">
        <f>HYPERLINK("https://dpmzos25m8ivg.cloudfront.net/Documentos/631/36065311847/6313606531184714092023160200.pdf","https://dpmzos25m8ivg.cloudfront.net/Documentos/631/36065311847/6313606531184714092023160200.pdf")</f>
        <v>https://dpmzos25m8ivg.cloudfront.net/Documentos/631/36065311847/6313606531184714092023160200.pdf</v>
      </c>
      <c r="F6529" s="5" t="str">
        <f>HYPERLINK("https://dpmzos25m8ivg.cloudfront.net/Documentos/631/36065311847/6313606531184714092023160211.pdf","https://dpmzos25m8ivg.cloudfront.net/Documentos/631/36065311847/6313606531184714092023160211.pdf")</f>
        <v>https://dpmzos25m8ivg.cloudfront.net/Documentos/631/36065311847/6313606531184714092023160211.pdf</v>
      </c>
      <c r="G6529" s="5" t="str">
        <f>HYPERLINK("https://dpmzos25m8ivg.cloudfront.net/Documentos/631/36065311847/6313606531184714092023160231.pdf","https://dpmzos25m8ivg.cloudfront.net/Documentos/631/36065311847/6313606531184714092023160231.pdf")</f>
        <v>https://dpmzos25m8ivg.cloudfront.net/Documentos/631/36065311847/6313606531184714092023160231.pdf</v>
      </c>
      <c r="H6529" s="5" t="s">
        <v>15099</v>
      </c>
    </row>
    <row r="6530" spans="1:8" x14ac:dyDescent="0.25">
      <c r="A6530" s="2" t="s">
        <v>6557</v>
      </c>
      <c r="B6530" s="3"/>
      <c r="C6530" s="3"/>
      <c r="D6530" s="3"/>
      <c r="E6530" s="5" t="str">
        <f>HYPERLINK("https://dpmzos25m8ivg.cloudfront.net/Documentos/631/36118469881/6313611846988111092023161619.pdf","https://dpmzos25m8ivg.cloudfront.net/Documentos/631/36118469881/6313611846988111092023161619.pdf")</f>
        <v>https://dpmzos25m8ivg.cloudfront.net/Documentos/631/36118469881/6313611846988111092023161619.pdf</v>
      </c>
      <c r="F6530" s="5" t="str">
        <f>HYPERLINK("https://dpmzos25m8ivg.cloudfront.net/Documentos/631/36118469881/6313611846988111092023161631.pdf","https://dpmzos25m8ivg.cloudfront.net/Documentos/631/36118469881/6313611846988111092023161631.pdf")</f>
        <v>https://dpmzos25m8ivg.cloudfront.net/Documentos/631/36118469881/6313611846988111092023161631.pdf</v>
      </c>
      <c r="G6530" s="5" t="str">
        <f>HYPERLINK("https://dpmzos25m8ivg.cloudfront.net/Documentos/631/36118469881/6313611846988111092023161653.pdf","https://dpmzos25m8ivg.cloudfront.net/Documentos/631/36118469881/6313611846988111092023161653.pdf")</f>
        <v>https://dpmzos25m8ivg.cloudfront.net/Documentos/631/36118469881/6313611846988111092023161653.pdf</v>
      </c>
      <c r="H6530" s="5" t="s">
        <v>15100</v>
      </c>
    </row>
    <row r="6531" spans="1:8" x14ac:dyDescent="0.25">
      <c r="A6531" s="2" t="s">
        <v>6558</v>
      </c>
      <c r="B6531" s="3"/>
      <c r="C6531" s="3"/>
      <c r="D6531" s="3"/>
      <c r="E6531" s="5" t="str">
        <f>HYPERLINK("https://dpmzos25m8ivg.cloudfront.net/Documentos/631/36143684839/6313614368483910092023172614.pdf","https://dpmzos25m8ivg.cloudfront.net/Documentos/631/36143684839/6313614368483910092023172614.pdf")</f>
        <v>https://dpmzos25m8ivg.cloudfront.net/Documentos/631/36143684839/6313614368483910092023172614.pdf</v>
      </c>
      <c r="F6531" s="5" t="str">
        <f>HYPERLINK("https://dpmzos25m8ivg.cloudfront.net/Documentos/631/36143684839/6313614368483910092023172633.pdf","https://dpmzos25m8ivg.cloudfront.net/Documentos/631/36143684839/6313614368483910092023172633.pdf")</f>
        <v>https://dpmzos25m8ivg.cloudfront.net/Documentos/631/36143684839/6313614368483910092023172633.pdf</v>
      </c>
      <c r="G6531" s="5" t="str">
        <f>HYPERLINK("https://dpmzos25m8ivg.cloudfront.net/Documentos/631/36143684839/6313614368483910092023172649.pdf","https://dpmzos25m8ivg.cloudfront.net/Documentos/631/36143684839/6313614368483910092023172649.pdf")</f>
        <v>https://dpmzos25m8ivg.cloudfront.net/Documentos/631/36143684839/6313614368483910092023172649.pdf</v>
      </c>
      <c r="H6531" s="5" t="s">
        <v>15101</v>
      </c>
    </row>
    <row r="6532" spans="1:8" x14ac:dyDescent="0.25">
      <c r="A6532" s="2" t="s">
        <v>6559</v>
      </c>
      <c r="B6532" s="3"/>
      <c r="C6532" s="3"/>
      <c r="D6532" s="3"/>
      <c r="E6532" s="5" t="str">
        <f>HYPERLINK("https://dpmzos25m8ivg.cloudfront.net/Documentos/631/36155656819/6313615565681908092023111320.pdf","https://dpmzos25m8ivg.cloudfront.net/Documentos/631/36155656819/6313615565681908092023111320.pdf")</f>
        <v>https://dpmzos25m8ivg.cloudfront.net/Documentos/631/36155656819/6313615565681908092023111320.pdf</v>
      </c>
      <c r="F6532" s="5" t="str">
        <f>HYPERLINK("https://dpmzos25m8ivg.cloudfront.net/Documentos/631/36155656819/6313615565681908092023111248.pdf","https://dpmzos25m8ivg.cloudfront.net/Documentos/631/36155656819/6313615565681908092023111248.pdf")</f>
        <v>https://dpmzos25m8ivg.cloudfront.net/Documentos/631/36155656819/6313615565681908092023111248.pdf</v>
      </c>
      <c r="G6532" s="5" t="str">
        <f>HYPERLINK("https://dpmzos25m8ivg.cloudfront.net/Documentos/631/36155656819/6313615565681908092023111203.pdf","https://dpmzos25m8ivg.cloudfront.net/Documentos/631/36155656819/6313615565681908092023111203.pdf")</f>
        <v>https://dpmzos25m8ivg.cloudfront.net/Documentos/631/36155656819/6313615565681908092023111203.pdf</v>
      </c>
      <c r="H6532" s="5" t="s">
        <v>15102</v>
      </c>
    </row>
    <row r="6533" spans="1:8" x14ac:dyDescent="0.25">
      <c r="A6533" s="2" t="s">
        <v>6560</v>
      </c>
      <c r="B6533" s="6" t="s">
        <v>23</v>
      </c>
      <c r="C6533" s="3"/>
      <c r="D6533" s="3"/>
      <c r="E6533" s="5" t="str">
        <f>HYPERLINK("https://dpmzos25m8ivg.cloudfront.net/Documentos/631/36173425823/6313617342582306092023143337.pdf","https://dpmzos25m8ivg.cloudfront.net/Documentos/631/36173425823/6313617342582306092023143337.pdf")</f>
        <v>https://dpmzos25m8ivg.cloudfront.net/Documentos/631/36173425823/6313617342582306092023143337.pdf</v>
      </c>
      <c r="F6533" s="5" t="str">
        <f>HYPERLINK("https://dpmzos25m8ivg.cloudfront.net/Documentos/631/36173425823/6313617342582306092023143359.pdf","https://dpmzos25m8ivg.cloudfront.net/Documentos/631/36173425823/6313617342582306092023143359.pdf")</f>
        <v>https://dpmzos25m8ivg.cloudfront.net/Documentos/631/36173425823/6313617342582306092023143359.pdf</v>
      </c>
      <c r="G6533" s="5" t="str">
        <f>HYPERLINK("https://dpmzos25m8ivg.cloudfront.net/Documentos/631/36173425823/6313617342582306092023143418.pdf","https://dpmzos25m8ivg.cloudfront.net/Documentos/631/36173425823/6313617342582306092023143418.pdf")</f>
        <v>https://dpmzos25m8ivg.cloudfront.net/Documentos/631/36173425823/6313617342582306092023143418.pdf</v>
      </c>
      <c r="H6533" s="5" t="s">
        <v>15103</v>
      </c>
    </row>
    <row r="6534" spans="1:8" x14ac:dyDescent="0.25">
      <c r="A6534" s="2" t="s">
        <v>6561</v>
      </c>
      <c r="B6534" s="3"/>
      <c r="C6534" s="3"/>
      <c r="D6534" s="3"/>
      <c r="E6534" s="5" t="str">
        <f>HYPERLINK("https://dpmzos25m8ivg.cloudfront.net/Documentos/631/36196690159/6313619669015910092023233635.pdf","https://dpmzos25m8ivg.cloudfront.net/Documentos/631/36196690159/6313619669015910092023233635.pdf")</f>
        <v>https://dpmzos25m8ivg.cloudfront.net/Documentos/631/36196690159/6313619669015910092023233635.pdf</v>
      </c>
      <c r="F6534" s="5" t="str">
        <f>HYPERLINK("https://dpmzos25m8ivg.cloudfront.net/Documentos/631/36196690159/6313619669015910092023215249.pdf","https://dpmzos25m8ivg.cloudfront.net/Documentos/631/36196690159/6313619669015910092023215249.pdf")</f>
        <v>https://dpmzos25m8ivg.cloudfront.net/Documentos/631/36196690159/6313619669015910092023215249.pdf</v>
      </c>
      <c r="G6534" s="5" t="str">
        <f>HYPERLINK("https://dpmzos25m8ivg.cloudfront.net/Documentos/631/36196690159/6313619669015910092023215359.pdf","https://dpmzos25m8ivg.cloudfront.net/Documentos/631/36196690159/6313619669015910092023215359.pdf")</f>
        <v>https://dpmzos25m8ivg.cloudfront.net/Documentos/631/36196690159/6313619669015910092023215359.pdf</v>
      </c>
      <c r="H6534" s="5" t="s">
        <v>15104</v>
      </c>
    </row>
    <row r="6535" spans="1:8" x14ac:dyDescent="0.25">
      <c r="A6535" s="2" t="s">
        <v>6562</v>
      </c>
      <c r="B6535" s="3"/>
      <c r="C6535" s="3"/>
      <c r="D6535" s="3"/>
      <c r="E6535" s="5" t="str">
        <f>HYPERLINK("https://dpmzos25m8ivg.cloudfront.net/Documentos/631/36235201877/6313623520187705092023082415.pdf","https://dpmzos25m8ivg.cloudfront.net/Documentos/631/36235201877/6313623520187705092023082415.pdf")</f>
        <v>https://dpmzos25m8ivg.cloudfront.net/Documentos/631/36235201877/6313623520187705092023082415.pdf</v>
      </c>
      <c r="F6535" s="5" t="str">
        <f>HYPERLINK("https://dpmzos25m8ivg.cloudfront.net/Documentos/631/36235201877/6313623520187705092023085101.pdf","https://dpmzos25m8ivg.cloudfront.net/Documentos/631/36235201877/6313623520187705092023085101.pdf")</f>
        <v>https://dpmzos25m8ivg.cloudfront.net/Documentos/631/36235201877/6313623520187705092023085101.pdf</v>
      </c>
      <c r="G6535" s="5" t="str">
        <f>HYPERLINK("https://dpmzos25m8ivg.cloudfront.net/Documentos/631/36235201877/6313623520187705092023085113.pdf","https://dpmzos25m8ivg.cloudfront.net/Documentos/631/36235201877/6313623520187705092023085113.pdf")</f>
        <v>https://dpmzos25m8ivg.cloudfront.net/Documentos/631/36235201877/6313623520187705092023085113.pdf</v>
      </c>
      <c r="H6535" s="5" t="s">
        <v>15105</v>
      </c>
    </row>
    <row r="6536" spans="1:8" x14ac:dyDescent="0.25">
      <c r="A6536" s="2" t="s">
        <v>6563</v>
      </c>
      <c r="B6536" s="3" t="s">
        <v>8</v>
      </c>
      <c r="C6536" s="3"/>
      <c r="D6536" s="3"/>
      <c r="E6536" s="5" t="str">
        <f>HYPERLINK("https://dpmzos25m8ivg.cloudfront.net/Documentos/631/36236814821/6313623681482105092023114806.pdf","https://dpmzos25m8ivg.cloudfront.net/Documentos/631/36236814821/6313623681482105092023114806.pdf")</f>
        <v>https://dpmzos25m8ivg.cloudfront.net/Documentos/631/36236814821/6313623681482105092023114806.pdf</v>
      </c>
      <c r="F6536" s="5" t="str">
        <f>HYPERLINK("https://dpmzos25m8ivg.cloudfront.net/Documentos/631/36236814821/6313623681482105092023114815.pdf","https://dpmzos25m8ivg.cloudfront.net/Documentos/631/36236814821/6313623681482105092023114815.pdf")</f>
        <v>https://dpmzos25m8ivg.cloudfront.net/Documentos/631/36236814821/6313623681482105092023114815.pdf</v>
      </c>
      <c r="G6536" s="5" t="str">
        <f>HYPERLINK("https://dpmzos25m8ivg.cloudfront.net/Documentos/631/36236814821/6313623681482105092023114822.pdf","https://dpmzos25m8ivg.cloudfront.net/Documentos/631/36236814821/6313623681482105092023114822.pdf")</f>
        <v>https://dpmzos25m8ivg.cloudfront.net/Documentos/631/36236814821/6313623681482105092023114822.pdf</v>
      </c>
      <c r="H6536" s="5" t="s">
        <v>15106</v>
      </c>
    </row>
    <row r="6537" spans="1:8" x14ac:dyDescent="0.25">
      <c r="A6537" s="2" t="s">
        <v>6564</v>
      </c>
      <c r="B6537" s="3"/>
      <c r="C6537" s="3"/>
      <c r="D6537" s="3"/>
      <c r="E6537" s="5" t="str">
        <f>HYPERLINK("https://dpmzos25m8ivg.cloudfront.net/Documentos/631/36269437806/6313626943780608092023144003.jpg","https://dpmzos25m8ivg.cloudfront.net/Documentos/631/36269437806/6313626943780608092023144003.jpg")</f>
        <v>https://dpmzos25m8ivg.cloudfront.net/Documentos/631/36269437806/6313626943780608092023144003.jpg</v>
      </c>
      <c r="F6537" s="5" t="str">
        <f>HYPERLINK("https://dpmzos25m8ivg.cloudfront.net/Documentos/631/36269437806/6313626943780608092023144050.jpg","https://dpmzos25m8ivg.cloudfront.net/Documentos/631/36269437806/6313626943780608092023144050.jpg")</f>
        <v>https://dpmzos25m8ivg.cloudfront.net/Documentos/631/36269437806/6313626943780608092023144050.jpg</v>
      </c>
      <c r="G6537" s="5" t="str">
        <f>HYPERLINK("https://dpmzos25m8ivg.cloudfront.net/Documentos/631/36269437806/6313626943780608092023144126.jpg","https://dpmzos25m8ivg.cloudfront.net/Documentos/631/36269437806/6313626943780608092023144126.jpg")</f>
        <v>https://dpmzos25m8ivg.cloudfront.net/Documentos/631/36269437806/6313626943780608092023144126.jpg</v>
      </c>
      <c r="H6537" s="5" t="s">
        <v>15107</v>
      </c>
    </row>
    <row r="6538" spans="1:8" x14ac:dyDescent="0.25">
      <c r="A6538" s="2" t="s">
        <v>6565</v>
      </c>
      <c r="B6538" s="3"/>
      <c r="C6538" s="3"/>
      <c r="D6538" s="3"/>
      <c r="E6538" s="5" t="str">
        <f>HYPERLINK("https://dpmzos25m8ivg.cloudfront.net/Documentos/631/36289424890/6313628942489011092023153501.jpeg","https://dpmzos25m8ivg.cloudfront.net/Documentos/631/36289424890/6313628942489011092023153501.jpeg")</f>
        <v>https://dpmzos25m8ivg.cloudfront.net/Documentos/631/36289424890/6313628942489011092023153501.jpeg</v>
      </c>
      <c r="F6538" s="5" t="str">
        <f>HYPERLINK("https://dpmzos25m8ivg.cloudfront.net/Documentos/631/36289424890/6313628942489011092023153511.jpeg","https://dpmzos25m8ivg.cloudfront.net/Documentos/631/36289424890/6313628942489011092023153511.jpeg")</f>
        <v>https://dpmzos25m8ivg.cloudfront.net/Documentos/631/36289424890/6313628942489011092023153511.jpeg</v>
      </c>
      <c r="G6538" s="5" t="str">
        <f>HYPERLINK("https://dpmzos25m8ivg.cloudfront.net/Documentos/631/36289424890/6313628942489011092023153519.jpeg","https://dpmzos25m8ivg.cloudfront.net/Documentos/631/36289424890/6313628942489011092023153519.jpeg")</f>
        <v>https://dpmzos25m8ivg.cloudfront.net/Documentos/631/36289424890/6313628942489011092023153519.jpeg</v>
      </c>
      <c r="H6538" s="5" t="s">
        <v>15108</v>
      </c>
    </row>
    <row r="6539" spans="1:8" x14ac:dyDescent="0.25">
      <c r="A6539" s="2" t="s">
        <v>6566</v>
      </c>
      <c r="B6539" s="3"/>
      <c r="C6539" s="3"/>
      <c r="D6539" s="3"/>
      <c r="E6539" s="5" t="str">
        <f>HYPERLINK("https://dpmzos25m8ivg.cloudfront.net/Documentos/631/36312994864/6313631299486405092023160333.jpg","https://dpmzos25m8ivg.cloudfront.net/Documentos/631/36312994864/6313631299486405092023160333.jpg")</f>
        <v>https://dpmzos25m8ivg.cloudfront.net/Documentos/631/36312994864/6313631299486405092023160333.jpg</v>
      </c>
      <c r="F6539" s="5" t="str">
        <f>HYPERLINK("https://dpmzos25m8ivg.cloudfront.net/Documentos/631/36312994864/6313631299486405092023160350.jpg","https://dpmzos25m8ivg.cloudfront.net/Documentos/631/36312994864/6313631299486405092023160350.jpg")</f>
        <v>https://dpmzos25m8ivg.cloudfront.net/Documentos/631/36312994864/6313631299486405092023160350.jpg</v>
      </c>
      <c r="G6539" s="5" t="str">
        <f>HYPERLINK("https://dpmzos25m8ivg.cloudfront.net/Documentos/631/36312994864/6313631299486405092023160402.jpg","https://dpmzos25m8ivg.cloudfront.net/Documentos/631/36312994864/6313631299486405092023160402.jpg")</f>
        <v>https://dpmzos25m8ivg.cloudfront.net/Documentos/631/36312994864/6313631299486405092023160402.jpg</v>
      </c>
      <c r="H6539" s="5" t="s">
        <v>15109</v>
      </c>
    </row>
    <row r="6540" spans="1:8" x14ac:dyDescent="0.25">
      <c r="A6540" s="2" t="s">
        <v>6567</v>
      </c>
      <c r="B6540" s="3"/>
      <c r="C6540" s="3"/>
      <c r="D6540" s="3"/>
      <c r="E6540" s="5" t="str">
        <f>HYPERLINK("https://dpmzos25m8ivg.cloudfront.net/Documentos/631/36338241898/6313633824189807092023112139.pdf","https://dpmzos25m8ivg.cloudfront.net/Documentos/631/36338241898/6313633824189807092023112139.pdf")</f>
        <v>https://dpmzos25m8ivg.cloudfront.net/Documentos/631/36338241898/6313633824189807092023112139.pdf</v>
      </c>
      <c r="F6540" s="5" t="str">
        <f>HYPERLINK("https://dpmzos25m8ivg.cloudfront.net/Documentos/631/36338241898/6313633824189807092023112222.pdf","https://dpmzos25m8ivg.cloudfront.net/Documentos/631/36338241898/6313633824189807092023112222.pdf")</f>
        <v>https://dpmzos25m8ivg.cloudfront.net/Documentos/631/36338241898/6313633824189807092023112222.pdf</v>
      </c>
      <c r="G6540" s="5" t="str">
        <f>HYPERLINK("https://dpmzos25m8ivg.cloudfront.net/Documentos/631/36338241898/6313633824189807092023112243.pdf","https://dpmzos25m8ivg.cloudfront.net/Documentos/631/36338241898/6313633824189807092023112243.pdf")</f>
        <v>https://dpmzos25m8ivg.cloudfront.net/Documentos/631/36338241898/6313633824189807092023112243.pdf</v>
      </c>
      <c r="H6540" s="5" t="s">
        <v>15110</v>
      </c>
    </row>
    <row r="6541" spans="1:8" x14ac:dyDescent="0.25">
      <c r="A6541" s="2" t="s">
        <v>6568</v>
      </c>
      <c r="B6541" s="3"/>
      <c r="C6541" s="3"/>
      <c r="D6541" s="3"/>
      <c r="E6541" s="5" t="str">
        <f>HYPERLINK("https://dpmzos25m8ivg.cloudfront.net/Documentos/631/36361497844/6313636149784414092023100008.pdf","https://dpmzos25m8ivg.cloudfront.net/Documentos/631/36361497844/6313636149784414092023100008.pdf")</f>
        <v>https://dpmzos25m8ivg.cloudfront.net/Documentos/631/36361497844/6313636149784414092023100008.pdf</v>
      </c>
      <c r="F6541" s="5" t="str">
        <f>HYPERLINK("https://dpmzos25m8ivg.cloudfront.net/Documentos/631/36361497844/6313636149784414092023100019.pdf","https://dpmzos25m8ivg.cloudfront.net/Documentos/631/36361497844/6313636149784414092023100019.pdf")</f>
        <v>https://dpmzos25m8ivg.cloudfront.net/Documentos/631/36361497844/6313636149784414092023100019.pdf</v>
      </c>
      <c r="G6541" s="5" t="str">
        <f>HYPERLINK("https://dpmzos25m8ivg.cloudfront.net/Documentos/631/36361497844/6313636149784414092023100049.pdf","https://dpmzos25m8ivg.cloudfront.net/Documentos/631/36361497844/6313636149784414092023100049.pdf")</f>
        <v>https://dpmzos25m8ivg.cloudfront.net/Documentos/631/36361497844/6313636149784414092023100049.pdf</v>
      </c>
      <c r="H6541" s="5" t="s">
        <v>15111</v>
      </c>
    </row>
    <row r="6542" spans="1:8" x14ac:dyDescent="0.25">
      <c r="A6542" s="2" t="s">
        <v>6569</v>
      </c>
      <c r="B6542" s="3"/>
      <c r="C6542" s="3"/>
      <c r="D6542" s="3"/>
      <c r="E6542" s="5" t="str">
        <f>HYPERLINK("https://dpmzos25m8ivg.cloudfront.net/Documentos/631/36378302804/6313637830280406092023152236.pdf","https://dpmzos25m8ivg.cloudfront.net/Documentos/631/36378302804/6313637830280406092023152236.pdf")</f>
        <v>https://dpmzos25m8ivg.cloudfront.net/Documentos/631/36378302804/6313637830280406092023152236.pdf</v>
      </c>
      <c r="F6542" s="5" t="str">
        <f>HYPERLINK("https://dpmzos25m8ivg.cloudfront.net/Documentos/631/36378302804/6313637830280406092023152243.pdf","https://dpmzos25m8ivg.cloudfront.net/Documentos/631/36378302804/6313637830280406092023152243.pdf")</f>
        <v>https://dpmzos25m8ivg.cloudfront.net/Documentos/631/36378302804/6313637830280406092023152243.pdf</v>
      </c>
      <c r="G6542" s="5" t="str">
        <f>HYPERLINK("https://dpmzos25m8ivg.cloudfront.net/Documentos/631/36378302804/6313637830280406092023152252.pdf","https://dpmzos25m8ivg.cloudfront.net/Documentos/631/36378302804/6313637830280406092023152252.pdf")</f>
        <v>https://dpmzos25m8ivg.cloudfront.net/Documentos/631/36378302804/6313637830280406092023152252.pdf</v>
      </c>
      <c r="H6542" s="5" t="s">
        <v>15112</v>
      </c>
    </row>
    <row r="6543" spans="1:8" x14ac:dyDescent="0.25">
      <c r="A6543" s="2" t="s">
        <v>6570</v>
      </c>
      <c r="B6543" s="3"/>
      <c r="C6543" s="3"/>
      <c r="D6543" s="3"/>
      <c r="E6543" s="5" t="str">
        <f>HYPERLINK("https://dpmzos25m8ivg.cloudfront.net/Documentos/631/36431013840/6313643101384006092023140809.jpg","https://dpmzos25m8ivg.cloudfront.net/Documentos/631/36431013840/6313643101384006092023140809.jpg")</f>
        <v>https://dpmzos25m8ivg.cloudfront.net/Documentos/631/36431013840/6313643101384006092023140809.jpg</v>
      </c>
      <c r="F6543" s="5" t="str">
        <f>HYPERLINK("https://dpmzos25m8ivg.cloudfront.net/Documentos/631/36431013840/6313643101384006092023140823.jpg","https://dpmzos25m8ivg.cloudfront.net/Documentos/631/36431013840/6313643101384006092023140823.jpg")</f>
        <v>https://dpmzos25m8ivg.cloudfront.net/Documentos/631/36431013840/6313643101384006092023140823.jpg</v>
      </c>
      <c r="G6543" s="5" t="str">
        <f>HYPERLINK("https://dpmzos25m8ivg.cloudfront.net/Documentos/631/36431013840/6313643101384006092023140840.jpg","https://dpmzos25m8ivg.cloudfront.net/Documentos/631/36431013840/6313643101384006092023140840.jpg")</f>
        <v>https://dpmzos25m8ivg.cloudfront.net/Documentos/631/36431013840/6313643101384006092023140840.jpg</v>
      </c>
      <c r="H6543" s="5" t="s">
        <v>15113</v>
      </c>
    </row>
    <row r="6544" spans="1:8" x14ac:dyDescent="0.25">
      <c r="A6544" s="2" t="s">
        <v>6571</v>
      </c>
      <c r="B6544" s="3"/>
      <c r="C6544" s="3"/>
      <c r="D6544" s="3"/>
      <c r="E6544" s="5" t="str">
        <f>HYPERLINK("https://dpmzos25m8ivg.cloudfront.net/Documentos/631/36457687857/6313645768785711092023145350.jpeg","https://dpmzos25m8ivg.cloudfront.net/Documentos/631/36457687857/6313645768785711092023145350.jpeg")</f>
        <v>https://dpmzos25m8ivg.cloudfront.net/Documentos/631/36457687857/6313645768785711092023145350.jpeg</v>
      </c>
      <c r="F6544" s="5" t="str">
        <f>HYPERLINK("https://dpmzos25m8ivg.cloudfront.net/Documentos/631/36457687857/6313645768785711092023145356.jpeg","https://dpmzos25m8ivg.cloudfront.net/Documentos/631/36457687857/6313645768785711092023145356.jpeg")</f>
        <v>https://dpmzos25m8ivg.cloudfront.net/Documentos/631/36457687857/6313645768785711092023145356.jpeg</v>
      </c>
      <c r="G6544" s="5" t="str">
        <f>HYPERLINK("https://dpmzos25m8ivg.cloudfront.net/Documentos/631/36457687857/6313645768785711092023145402.jpeg","https://dpmzos25m8ivg.cloudfront.net/Documentos/631/36457687857/6313645768785711092023145402.jpeg")</f>
        <v>https://dpmzos25m8ivg.cloudfront.net/Documentos/631/36457687857/6313645768785711092023145402.jpeg</v>
      </c>
      <c r="H6544" s="5" t="s">
        <v>15114</v>
      </c>
    </row>
    <row r="6545" spans="1:8" x14ac:dyDescent="0.25">
      <c r="A6545" s="2" t="s">
        <v>6572</v>
      </c>
      <c r="B6545" s="3"/>
      <c r="C6545" s="3"/>
      <c r="D6545" s="3"/>
      <c r="E6545" s="5" t="str">
        <f>HYPERLINK("https://dpmzos25m8ivg.cloudfront.net/Documentos/631/36475441830/6313647544183011092023141059.jpeg","https://dpmzos25m8ivg.cloudfront.net/Documentos/631/36475441830/6313647544183011092023141059.jpeg")</f>
        <v>https://dpmzos25m8ivg.cloudfront.net/Documentos/631/36475441830/6313647544183011092023141059.jpeg</v>
      </c>
      <c r="F6545" s="5" t="str">
        <f>HYPERLINK("https://dpmzos25m8ivg.cloudfront.net/Documentos/631/36475441830/6313647544183011092023141117.jpeg","https://dpmzos25m8ivg.cloudfront.net/Documentos/631/36475441830/6313647544183011092023141117.jpeg")</f>
        <v>https://dpmzos25m8ivg.cloudfront.net/Documentos/631/36475441830/6313647544183011092023141117.jpeg</v>
      </c>
      <c r="G6545" s="5" t="str">
        <f>HYPERLINK("https://dpmzos25m8ivg.cloudfront.net/Documentos/631/36475441830/6313647544183011092023141132.jpeg","https://dpmzos25m8ivg.cloudfront.net/Documentos/631/36475441830/6313647544183011092023141132.jpeg")</f>
        <v>https://dpmzos25m8ivg.cloudfront.net/Documentos/631/36475441830/6313647544183011092023141132.jpeg</v>
      </c>
      <c r="H6545" s="5" t="s">
        <v>15115</v>
      </c>
    </row>
    <row r="6546" spans="1:8" x14ac:dyDescent="0.25">
      <c r="A6546" s="2" t="s">
        <v>6573</v>
      </c>
      <c r="B6546" s="3"/>
      <c r="C6546" s="3"/>
      <c r="D6546" s="3"/>
      <c r="E6546" s="5" t="str">
        <f>HYPERLINK("https://dpmzos25m8ivg.cloudfront.net/Documentos/631/36504814805/6313650481480507092023224348.jpeg","https://dpmzos25m8ivg.cloudfront.net/Documentos/631/36504814805/6313650481480507092023224348.jpeg")</f>
        <v>https://dpmzos25m8ivg.cloudfront.net/Documentos/631/36504814805/6313650481480507092023224348.jpeg</v>
      </c>
      <c r="F6546" s="5" t="str">
        <f>HYPERLINK("https://dpmzos25m8ivg.cloudfront.net/Documentos/631/36504814805/6313650481480507092023224417.jpeg","https://dpmzos25m8ivg.cloudfront.net/Documentos/631/36504814805/6313650481480507092023224417.jpeg")</f>
        <v>https://dpmzos25m8ivg.cloudfront.net/Documentos/631/36504814805/6313650481480507092023224417.jpeg</v>
      </c>
      <c r="G6546" s="5" t="str">
        <f>HYPERLINK("https://dpmzos25m8ivg.cloudfront.net/Documentos/631/36504814805/6313650481480507092023224431.jpeg","https://dpmzos25m8ivg.cloudfront.net/Documentos/631/36504814805/6313650481480507092023224431.jpeg")</f>
        <v>https://dpmzos25m8ivg.cloudfront.net/Documentos/631/36504814805/6313650481480507092023224431.jpeg</v>
      </c>
      <c r="H6546" s="5" t="s">
        <v>15116</v>
      </c>
    </row>
    <row r="6547" spans="1:8" x14ac:dyDescent="0.25">
      <c r="A6547" s="2" t="s">
        <v>6574</v>
      </c>
      <c r="B6547" s="3"/>
      <c r="C6547" s="3"/>
      <c r="D6547" s="3"/>
      <c r="E6547" s="5" t="str">
        <f>HYPERLINK("https://dpmzos25m8ivg.cloudfront.net/Documentos/631/36506664991/6313650666499110092023233022.jpeg","https://dpmzos25m8ivg.cloudfront.net/Documentos/631/36506664991/6313650666499110092023233022.jpeg")</f>
        <v>https://dpmzos25m8ivg.cloudfront.net/Documentos/631/36506664991/6313650666499110092023233022.jpeg</v>
      </c>
      <c r="F6547" s="5" t="str">
        <f>HYPERLINK("https://dpmzos25m8ivg.cloudfront.net/Documentos/631/36506664991/6313650666499110092023233042.jpeg","https://dpmzos25m8ivg.cloudfront.net/Documentos/631/36506664991/6313650666499110092023233042.jpeg")</f>
        <v>https://dpmzos25m8ivg.cloudfront.net/Documentos/631/36506664991/6313650666499110092023233042.jpeg</v>
      </c>
      <c r="G6547" s="5" t="str">
        <f>HYPERLINK("https://dpmzos25m8ivg.cloudfront.net/Documentos/631/36506664991/6313650666499110092023233055.jpeg","https://dpmzos25m8ivg.cloudfront.net/Documentos/631/36506664991/6313650666499110092023233055.jpeg")</f>
        <v>https://dpmzos25m8ivg.cloudfront.net/Documentos/631/36506664991/6313650666499110092023233055.jpeg</v>
      </c>
      <c r="H6547" s="5" t="s">
        <v>15117</v>
      </c>
    </row>
    <row r="6548" spans="1:8" x14ac:dyDescent="0.25">
      <c r="A6548" s="2" t="s">
        <v>6575</v>
      </c>
      <c r="B6548" s="3" t="s">
        <v>42</v>
      </c>
      <c r="C6548" s="3"/>
      <c r="D6548" s="3"/>
      <c r="E6548" s="5" t="str">
        <f>HYPERLINK("https://dpmzos25m8ivg.cloudfront.net/Documentos/631/36566220860/6313656622086011092023151149.pdf","https://dpmzos25m8ivg.cloudfront.net/Documentos/631/36566220860/6313656622086011092023151149.pdf")</f>
        <v>https://dpmzos25m8ivg.cloudfront.net/Documentos/631/36566220860/6313656622086011092023151149.pdf</v>
      </c>
      <c r="F6548" s="5" t="str">
        <f>HYPERLINK("https://dpmzos25m8ivg.cloudfront.net/Documentos/631/36566220860/6313656622086011092023151205.pdf","https://dpmzos25m8ivg.cloudfront.net/Documentos/631/36566220860/6313656622086011092023151205.pdf")</f>
        <v>https://dpmzos25m8ivg.cloudfront.net/Documentos/631/36566220860/6313656622086011092023151205.pdf</v>
      </c>
      <c r="G6548" s="5" t="str">
        <f>HYPERLINK("https://dpmzos25m8ivg.cloudfront.net/Documentos/631/36566220860/6313656622086011092023151224.pdf","https://dpmzos25m8ivg.cloudfront.net/Documentos/631/36566220860/6313656622086011092023151224.pdf")</f>
        <v>https://dpmzos25m8ivg.cloudfront.net/Documentos/631/36566220860/6313656622086011092023151224.pdf</v>
      </c>
      <c r="H6548" s="5" t="s">
        <v>15118</v>
      </c>
    </row>
    <row r="6549" spans="1:8" x14ac:dyDescent="0.25">
      <c r="A6549" s="2" t="s">
        <v>6576</v>
      </c>
      <c r="B6549" s="3"/>
      <c r="C6549" s="3"/>
      <c r="D6549" s="3"/>
      <c r="E6549" s="5" t="str">
        <f>HYPERLINK("https://dpmzos25m8ivg.cloudfront.net/Documentos/631/36586641349/6313658664134911092023041648.pdf","https://dpmzos25m8ivg.cloudfront.net/Documentos/631/36586641349/6313658664134911092023041648.pdf")</f>
        <v>https://dpmzos25m8ivg.cloudfront.net/Documentos/631/36586641349/6313658664134911092023041648.pdf</v>
      </c>
      <c r="F6549" s="5" t="str">
        <f>HYPERLINK("https://dpmzos25m8ivg.cloudfront.net/Documentos/631/36586641349/6313658664134911092023041657.pdf","https://dpmzos25m8ivg.cloudfront.net/Documentos/631/36586641349/6313658664134911092023041657.pdf")</f>
        <v>https://dpmzos25m8ivg.cloudfront.net/Documentos/631/36586641349/6313658664134911092023041657.pdf</v>
      </c>
      <c r="G6549" s="5" t="str">
        <f>HYPERLINK("https://dpmzos25m8ivg.cloudfront.net/Documentos/631/36586641349/6313658664134911092023041706.pdf","https://dpmzos25m8ivg.cloudfront.net/Documentos/631/36586641349/6313658664134911092023041706.pdf")</f>
        <v>https://dpmzos25m8ivg.cloudfront.net/Documentos/631/36586641349/6313658664134911092023041706.pdf</v>
      </c>
      <c r="H6549" s="5" t="s">
        <v>15119</v>
      </c>
    </row>
    <row r="6550" spans="1:8" x14ac:dyDescent="0.25">
      <c r="A6550" s="2" t="s">
        <v>6577</v>
      </c>
      <c r="B6550" s="3" t="s">
        <v>8</v>
      </c>
      <c r="C6550" s="3"/>
      <c r="D6550" s="3"/>
      <c r="E6550" s="5" t="str">
        <f>HYPERLINK("https://dpmzos25m8ivg.cloudfront.net/Documentos/631/36666280873/6313666628087306092023111621.pdf","https://dpmzos25m8ivg.cloudfront.net/Documentos/631/36666280873/6313666628087306092023111621.pdf")</f>
        <v>https://dpmzos25m8ivg.cloudfront.net/Documentos/631/36666280873/6313666628087306092023111621.pdf</v>
      </c>
      <c r="F6550" s="5" t="str">
        <f>HYPERLINK("https://dpmzos25m8ivg.cloudfront.net/Documentos/631/36666280873/6313666628087306092023111656.pdf","https://dpmzos25m8ivg.cloudfront.net/Documentos/631/36666280873/6313666628087306092023111656.pdf")</f>
        <v>https://dpmzos25m8ivg.cloudfront.net/Documentos/631/36666280873/6313666628087306092023111656.pdf</v>
      </c>
      <c r="G6550" s="5" t="str">
        <f>HYPERLINK("https://dpmzos25m8ivg.cloudfront.net/Documentos/631/36666280873/6313666628087306092023111731.pdf","https://dpmzos25m8ivg.cloudfront.net/Documentos/631/36666280873/6313666628087306092023111731.pdf")</f>
        <v>https://dpmzos25m8ivg.cloudfront.net/Documentos/631/36666280873/6313666628087306092023111731.pdf</v>
      </c>
      <c r="H6550" s="5" t="s">
        <v>15120</v>
      </c>
    </row>
    <row r="6551" spans="1:8" x14ac:dyDescent="0.25">
      <c r="A6551" s="2" t="s">
        <v>6578</v>
      </c>
      <c r="B6551" s="3"/>
      <c r="C6551" s="3"/>
      <c r="D6551" s="3"/>
      <c r="E6551" s="5" t="str">
        <f>HYPERLINK("https://dpmzos25m8ivg.cloudfront.net/Documentos/631/36673536420/6313667353642005092023090331.pdf","https://dpmzos25m8ivg.cloudfront.net/Documentos/631/36673536420/6313667353642005092023090331.pdf")</f>
        <v>https://dpmzos25m8ivg.cloudfront.net/Documentos/631/36673536420/6313667353642005092023090331.pdf</v>
      </c>
      <c r="F6551" s="5" t="str">
        <f>HYPERLINK("https://dpmzos25m8ivg.cloudfront.net/Documentos/631/36673536420/6313667353642005092023090357.pdf","https://dpmzos25m8ivg.cloudfront.net/Documentos/631/36673536420/6313667353642005092023090357.pdf")</f>
        <v>https://dpmzos25m8ivg.cloudfront.net/Documentos/631/36673536420/6313667353642005092023090357.pdf</v>
      </c>
      <c r="G6551" s="5" t="str">
        <f>HYPERLINK("https://dpmzos25m8ivg.cloudfront.net/Documentos/631/36673536420/6313667353642005092023090503.pdf","https://dpmzos25m8ivg.cloudfront.net/Documentos/631/36673536420/6313667353642005092023090503.pdf")</f>
        <v>https://dpmzos25m8ivg.cloudfront.net/Documentos/631/36673536420/6313667353642005092023090503.pdf</v>
      </c>
      <c r="H6551" s="5" t="s">
        <v>15121</v>
      </c>
    </row>
    <row r="6552" spans="1:8" x14ac:dyDescent="0.25">
      <c r="A6552" s="2" t="s">
        <v>6579</v>
      </c>
      <c r="B6552" s="3"/>
      <c r="C6552" s="3"/>
      <c r="D6552" s="3"/>
      <c r="E6552" s="5" t="str">
        <f>HYPERLINK("https://dpmzos25m8ivg.cloudfront.net/Documentos/631/36707269852/6313670726985206092023154403.pdf","https://dpmzos25m8ivg.cloudfront.net/Documentos/631/36707269852/6313670726985206092023154403.pdf")</f>
        <v>https://dpmzos25m8ivg.cloudfront.net/Documentos/631/36707269852/6313670726985206092023154403.pdf</v>
      </c>
      <c r="F6552" s="5" t="str">
        <f>HYPERLINK("https://dpmzos25m8ivg.cloudfront.net/Documentos/631/36707269852/6313670726985206092023154410.pdf","https://dpmzos25m8ivg.cloudfront.net/Documentos/631/36707269852/6313670726985206092023154410.pdf")</f>
        <v>https://dpmzos25m8ivg.cloudfront.net/Documentos/631/36707269852/6313670726985206092023154410.pdf</v>
      </c>
      <c r="G6552" s="5" t="str">
        <f>HYPERLINK("https://dpmzos25m8ivg.cloudfront.net/Documentos/631/36707269852/6313670726985206092023154417.pdf","https://dpmzos25m8ivg.cloudfront.net/Documentos/631/36707269852/6313670726985206092023154417.pdf")</f>
        <v>https://dpmzos25m8ivg.cloudfront.net/Documentos/631/36707269852/6313670726985206092023154417.pdf</v>
      </c>
      <c r="H6552" s="5" t="s">
        <v>15122</v>
      </c>
    </row>
    <row r="6553" spans="1:8" x14ac:dyDescent="0.25">
      <c r="A6553" s="2" t="s">
        <v>6580</v>
      </c>
      <c r="B6553" s="3"/>
      <c r="C6553" s="3"/>
      <c r="D6553" s="3"/>
      <c r="E6553" s="5" t="str">
        <f>HYPERLINK("https://dpmzos25m8ivg.cloudfront.net/Documentos/631/36729273844/6313672927384406092023095051.pdf","https://dpmzos25m8ivg.cloudfront.net/Documentos/631/36729273844/6313672927384406092023095051.pdf")</f>
        <v>https://dpmzos25m8ivg.cloudfront.net/Documentos/631/36729273844/6313672927384406092023095051.pdf</v>
      </c>
      <c r="F6553" s="5" t="str">
        <f>HYPERLINK("https://dpmzos25m8ivg.cloudfront.net/Documentos/631/36729273844/6313672927384406092023095107.pdf","https://dpmzos25m8ivg.cloudfront.net/Documentos/631/36729273844/6313672927384406092023095107.pdf")</f>
        <v>https://dpmzos25m8ivg.cloudfront.net/Documentos/631/36729273844/6313672927384406092023095107.pdf</v>
      </c>
      <c r="G6553" s="5" t="str">
        <f>HYPERLINK("https://dpmzos25m8ivg.cloudfront.net/Documentos/631/36729273844/6313672927384406092023095115.pdf","https://dpmzos25m8ivg.cloudfront.net/Documentos/631/36729273844/6313672927384406092023095115.pdf")</f>
        <v>https://dpmzos25m8ivg.cloudfront.net/Documentos/631/36729273844/6313672927384406092023095115.pdf</v>
      </c>
      <c r="H6553" s="5" t="s">
        <v>15123</v>
      </c>
    </row>
    <row r="6554" spans="1:8" x14ac:dyDescent="0.25">
      <c r="A6554" s="2" t="s">
        <v>6581</v>
      </c>
      <c r="B6554" s="3"/>
      <c r="C6554" s="3"/>
      <c r="D6554" s="3"/>
      <c r="E6554" s="5" t="str">
        <f>HYPERLINK("https://dpmzos25m8ivg.cloudfront.net/Documentos/631/36735426304/6313673542630411092023120423.pdf","https://dpmzos25m8ivg.cloudfront.net/Documentos/631/36735426304/6313673542630411092023120423.pdf")</f>
        <v>https://dpmzos25m8ivg.cloudfront.net/Documentos/631/36735426304/6313673542630411092023120423.pdf</v>
      </c>
      <c r="F6554" s="5" t="str">
        <f>HYPERLINK("https://dpmzos25m8ivg.cloudfront.net/Documentos/631/36735426304/6313673542630411092023120440.pdf","https://dpmzos25m8ivg.cloudfront.net/Documentos/631/36735426304/6313673542630411092023120440.pdf")</f>
        <v>https://dpmzos25m8ivg.cloudfront.net/Documentos/631/36735426304/6313673542630411092023120440.pdf</v>
      </c>
      <c r="G6554" s="5" t="str">
        <f>HYPERLINK("https://dpmzos25m8ivg.cloudfront.net/Documentos/631/36735426304/6313673542630411092023120457.pdf","https://dpmzos25m8ivg.cloudfront.net/Documentos/631/36735426304/6313673542630411092023120457.pdf")</f>
        <v>https://dpmzos25m8ivg.cloudfront.net/Documentos/631/36735426304/6313673542630411092023120457.pdf</v>
      </c>
      <c r="H6554" s="5" t="s">
        <v>15124</v>
      </c>
    </row>
    <row r="6555" spans="1:8" x14ac:dyDescent="0.25">
      <c r="A6555" s="2" t="s">
        <v>6582</v>
      </c>
      <c r="B6555" s="3"/>
      <c r="C6555" s="3"/>
      <c r="D6555" s="3"/>
      <c r="E6555" s="5" t="str">
        <f>HYPERLINK("https://dpmzos25m8ivg.cloudfront.net/Documentos/631/36764397830/6313676439783014092023140806.jpg","https://dpmzos25m8ivg.cloudfront.net/Documentos/631/36764397830/6313676439783014092023140806.jpg")</f>
        <v>https://dpmzos25m8ivg.cloudfront.net/Documentos/631/36764397830/6313676439783014092023140806.jpg</v>
      </c>
      <c r="F6555" s="5" t="str">
        <f>HYPERLINK("https://dpmzos25m8ivg.cloudfront.net/Documentos/631/36764397830/6313676439783014092023135300.jpg","https://dpmzos25m8ivg.cloudfront.net/Documentos/631/36764397830/6313676439783014092023135300.jpg")</f>
        <v>https://dpmzos25m8ivg.cloudfront.net/Documentos/631/36764397830/6313676439783014092023135300.jpg</v>
      </c>
      <c r="G6555" s="5" t="str">
        <f>HYPERLINK("https://dpmzos25m8ivg.cloudfront.net/Documentos/631/36764397830/6313676439783014092023135402.jpg","https://dpmzos25m8ivg.cloudfront.net/Documentos/631/36764397830/6313676439783014092023135402.jpg")</f>
        <v>https://dpmzos25m8ivg.cloudfront.net/Documentos/631/36764397830/6313676439783014092023135402.jpg</v>
      </c>
      <c r="H6555" s="5" t="s">
        <v>15125</v>
      </c>
    </row>
    <row r="6556" spans="1:8" x14ac:dyDescent="0.25">
      <c r="A6556" s="2" t="s">
        <v>6583</v>
      </c>
      <c r="B6556" s="3"/>
      <c r="C6556" s="3"/>
      <c r="D6556" s="3"/>
      <c r="E6556" s="5" t="str">
        <f>HYPERLINK("https://dpmzos25m8ivg.cloudfront.net/Documentos/631/36771907899/6313677190789911092023144912.pdf","https://dpmzos25m8ivg.cloudfront.net/Documentos/631/36771907899/6313677190789911092023144912.pdf")</f>
        <v>https://dpmzos25m8ivg.cloudfront.net/Documentos/631/36771907899/6313677190789911092023144912.pdf</v>
      </c>
      <c r="F6556" s="5" t="str">
        <f>HYPERLINK("https://dpmzos25m8ivg.cloudfront.net/Documentos/631/36771907899/6313677190789911092023144925.pdf","https://dpmzos25m8ivg.cloudfront.net/Documentos/631/36771907899/6313677190789911092023144925.pdf")</f>
        <v>https://dpmzos25m8ivg.cloudfront.net/Documentos/631/36771907899/6313677190789911092023144925.pdf</v>
      </c>
      <c r="G6556" s="5" t="str">
        <f>HYPERLINK("https://dpmzos25m8ivg.cloudfront.net/Documentos/631/36771907899/6313677190789911092023144937.pdf","https://dpmzos25m8ivg.cloudfront.net/Documentos/631/36771907899/6313677190789911092023144937.pdf")</f>
        <v>https://dpmzos25m8ivg.cloudfront.net/Documentos/631/36771907899/6313677190789911092023144937.pdf</v>
      </c>
      <c r="H6556" s="5" t="s">
        <v>15126</v>
      </c>
    </row>
    <row r="6557" spans="1:8" x14ac:dyDescent="0.25">
      <c r="A6557" s="2" t="s">
        <v>6584</v>
      </c>
      <c r="B6557" s="3" t="s">
        <v>23</v>
      </c>
      <c r="C6557" s="3"/>
      <c r="D6557" s="3"/>
      <c r="E6557" s="5" t="str">
        <f>HYPERLINK("https://dpmzos25m8ivg.cloudfront.net/Documentos/631/36787874871/6313678787487105092023113345.jpeg","https://dpmzos25m8ivg.cloudfront.net/Documentos/631/36787874871/6313678787487105092023113345.jpeg")</f>
        <v>https://dpmzos25m8ivg.cloudfront.net/Documentos/631/36787874871/6313678787487105092023113345.jpeg</v>
      </c>
      <c r="F6557" s="5" t="str">
        <f>HYPERLINK("https://dpmzos25m8ivg.cloudfront.net/Documentos/631/36787874871/6313678787487105092023113402.jpeg","https://dpmzos25m8ivg.cloudfront.net/Documentos/631/36787874871/6313678787487105092023113402.jpeg")</f>
        <v>https://dpmzos25m8ivg.cloudfront.net/Documentos/631/36787874871/6313678787487105092023113402.jpeg</v>
      </c>
      <c r="G6557" s="5" t="str">
        <f>HYPERLINK("https://dpmzos25m8ivg.cloudfront.net/Documentos/631/36787874871/6313678787487105092023113743.jpeg","https://dpmzos25m8ivg.cloudfront.net/Documentos/631/36787874871/6313678787487105092023113743.jpeg")</f>
        <v>https://dpmzos25m8ivg.cloudfront.net/Documentos/631/36787874871/6313678787487105092023113743.jpeg</v>
      </c>
      <c r="H6557" s="5" t="s">
        <v>15127</v>
      </c>
    </row>
    <row r="6558" spans="1:8" x14ac:dyDescent="0.25">
      <c r="A6558" s="2" t="s">
        <v>6585</v>
      </c>
      <c r="B6558" s="3"/>
      <c r="C6558" s="3"/>
      <c r="D6558" s="3"/>
      <c r="E6558" s="5" t="str">
        <f>HYPERLINK("https://dpmzos25m8ivg.cloudfront.net/Documentos/631/36817529824/6313681752982414092023152053.pdf","https://dpmzos25m8ivg.cloudfront.net/Documentos/631/36817529824/6313681752982414092023152053.pdf")</f>
        <v>https://dpmzos25m8ivg.cloudfront.net/Documentos/631/36817529824/6313681752982414092023152053.pdf</v>
      </c>
      <c r="F6558" s="5" t="str">
        <f>HYPERLINK("https://dpmzos25m8ivg.cloudfront.net/Documentos/631/36817529824/6313681752982414092023152109.pdf","https://dpmzos25m8ivg.cloudfront.net/Documentos/631/36817529824/6313681752982414092023152109.pdf")</f>
        <v>https://dpmzos25m8ivg.cloudfront.net/Documentos/631/36817529824/6313681752982414092023152109.pdf</v>
      </c>
      <c r="G6558" s="5" t="str">
        <f>HYPERLINK("https://dpmzos25m8ivg.cloudfront.net/Documentos/631/36817529824/6313681752982414092023152146.pdf","https://dpmzos25m8ivg.cloudfront.net/Documentos/631/36817529824/6313681752982414092023152146.pdf")</f>
        <v>https://dpmzos25m8ivg.cloudfront.net/Documentos/631/36817529824/6313681752982414092023152146.pdf</v>
      </c>
      <c r="H6558" s="5" t="s">
        <v>15128</v>
      </c>
    </row>
    <row r="6559" spans="1:8" x14ac:dyDescent="0.25">
      <c r="A6559" s="2" t="s">
        <v>6586</v>
      </c>
      <c r="B6559" s="3"/>
      <c r="C6559" s="3"/>
      <c r="D6559" s="3"/>
      <c r="E6559" s="5" t="str">
        <f>HYPERLINK("https://dpmzos25m8ivg.cloudfront.net/Documentos/631/36920318822/6313692031882208092023220948.jpeg","https://dpmzos25m8ivg.cloudfront.net/Documentos/631/36920318822/6313692031882208092023220948.jpeg")</f>
        <v>https://dpmzos25m8ivg.cloudfront.net/Documentos/631/36920318822/6313692031882208092023220948.jpeg</v>
      </c>
      <c r="F6559" s="5" t="str">
        <f>HYPERLINK("https://dpmzos25m8ivg.cloudfront.net/Documentos/631/36920318822/6313692031882208092023220906.jpeg","https://dpmzos25m8ivg.cloudfront.net/Documentos/631/36920318822/6313692031882208092023220906.jpeg")</f>
        <v>https://dpmzos25m8ivg.cloudfront.net/Documentos/631/36920318822/6313692031882208092023220906.jpeg</v>
      </c>
      <c r="G6559" s="5" t="str">
        <f>HYPERLINK("https://dpmzos25m8ivg.cloudfront.net/Documentos/631/36920318822/6313692031882208092023221019.jpeg","https://dpmzos25m8ivg.cloudfront.net/Documentos/631/36920318822/6313692031882208092023221019.jpeg")</f>
        <v>https://dpmzos25m8ivg.cloudfront.net/Documentos/631/36920318822/6313692031882208092023221019.jpeg</v>
      </c>
      <c r="H6559" s="5" t="s">
        <v>15129</v>
      </c>
    </row>
    <row r="6560" spans="1:8" x14ac:dyDescent="0.25">
      <c r="A6560" s="2" t="s">
        <v>6587</v>
      </c>
      <c r="B6560" s="3"/>
      <c r="C6560" s="3"/>
      <c r="D6560" s="3"/>
      <c r="E6560" s="5" t="str">
        <f>HYPERLINK("https://dpmzos25m8ivg.cloudfront.net/Documentos/631/36948661831/6313694866183111092023144454.pdf","https://dpmzos25m8ivg.cloudfront.net/Documentos/631/36948661831/6313694866183111092023144454.pdf")</f>
        <v>https://dpmzos25m8ivg.cloudfront.net/Documentos/631/36948661831/6313694866183111092023144454.pdf</v>
      </c>
      <c r="F6560" s="5" t="str">
        <f>HYPERLINK("https://dpmzos25m8ivg.cloudfront.net/Documentos/631/36948661831/6313694866183111092023124426.pdf","https://dpmzos25m8ivg.cloudfront.net/Documentos/631/36948661831/6313694866183111092023124426.pdf")</f>
        <v>https://dpmzos25m8ivg.cloudfront.net/Documentos/631/36948661831/6313694866183111092023124426.pdf</v>
      </c>
      <c r="G6560" s="5" t="str">
        <f>HYPERLINK("https://dpmzos25m8ivg.cloudfront.net/Documentos/631/36948661831/6313694866183111092023124435.pdf","https://dpmzos25m8ivg.cloudfront.net/Documentos/631/36948661831/6313694866183111092023124435.pdf")</f>
        <v>https://dpmzos25m8ivg.cloudfront.net/Documentos/631/36948661831/6313694866183111092023124435.pdf</v>
      </c>
      <c r="H6560" s="5" t="s">
        <v>15130</v>
      </c>
    </row>
    <row r="6561" spans="1:8" x14ac:dyDescent="0.25">
      <c r="A6561" s="2" t="s">
        <v>6588</v>
      </c>
      <c r="B6561" s="3"/>
      <c r="C6561" s="3"/>
      <c r="D6561" s="3"/>
      <c r="E6561" s="5" t="str">
        <f>HYPERLINK("https://dpmzos25m8ivg.cloudfront.net/Documentos/631/36968397870/6313696839787009092023144637.pdf","https://dpmzos25m8ivg.cloudfront.net/Documentos/631/36968397870/6313696839787009092023144637.pdf")</f>
        <v>https://dpmzos25m8ivg.cloudfront.net/Documentos/631/36968397870/6313696839787009092023144637.pdf</v>
      </c>
      <c r="F6561" s="5" t="str">
        <f>HYPERLINK("https://dpmzos25m8ivg.cloudfront.net/Documentos/631/36968397870/6313696839787009092023144648.pdf","https://dpmzos25m8ivg.cloudfront.net/Documentos/631/36968397870/6313696839787009092023144648.pdf")</f>
        <v>https://dpmzos25m8ivg.cloudfront.net/Documentos/631/36968397870/6313696839787009092023144648.pdf</v>
      </c>
      <c r="G6561" s="5" t="str">
        <f>HYPERLINK("https://dpmzos25m8ivg.cloudfront.net/Documentos/631/36968397870/6313696839787009092023144659.pdf","https://dpmzos25m8ivg.cloudfront.net/Documentos/631/36968397870/6313696839787009092023144659.pdf")</f>
        <v>https://dpmzos25m8ivg.cloudfront.net/Documentos/631/36968397870/6313696839787009092023144659.pdf</v>
      </c>
      <c r="H6561" s="5" t="s">
        <v>15131</v>
      </c>
    </row>
    <row r="6562" spans="1:8" x14ac:dyDescent="0.25">
      <c r="A6562" s="2" t="s">
        <v>6589</v>
      </c>
      <c r="B6562" s="3" t="s">
        <v>90</v>
      </c>
      <c r="C6562" s="3"/>
      <c r="D6562" s="3"/>
      <c r="E6562" s="5" t="str">
        <f>HYPERLINK("https://dpmzos25m8ivg.cloudfront.net/Documentos/631/36991258822/6313699125882211092023140753.jpg","https://dpmzos25m8ivg.cloudfront.net/Documentos/631/36991258822/6313699125882211092023140753.jpg")</f>
        <v>https://dpmzos25m8ivg.cloudfront.net/Documentos/631/36991258822/6313699125882211092023140753.jpg</v>
      </c>
      <c r="F6562" s="5" t="str">
        <f>HYPERLINK("https://dpmzos25m8ivg.cloudfront.net/Documentos/631/36991258822/6313699125882211092023140812.jpg","https://dpmzos25m8ivg.cloudfront.net/Documentos/631/36991258822/6313699125882211092023140812.jpg")</f>
        <v>https://dpmzos25m8ivg.cloudfront.net/Documentos/631/36991258822/6313699125882211092023140812.jpg</v>
      </c>
      <c r="G6562" s="5" t="str">
        <f>HYPERLINK("https://dpmzos25m8ivg.cloudfront.net/Documentos/631/36991258822/6313699125882211092023140842.jpg","https://dpmzos25m8ivg.cloudfront.net/Documentos/631/36991258822/6313699125882211092023140842.jpg")</f>
        <v>https://dpmzos25m8ivg.cloudfront.net/Documentos/631/36991258822/6313699125882211092023140842.jpg</v>
      </c>
      <c r="H6562" s="5" t="s">
        <v>15132</v>
      </c>
    </row>
    <row r="6563" spans="1:8" x14ac:dyDescent="0.25">
      <c r="A6563" s="2" t="s">
        <v>6590</v>
      </c>
      <c r="B6563" s="3"/>
      <c r="C6563" s="3"/>
      <c r="D6563" s="3"/>
      <c r="E6563" s="5" t="str">
        <f>HYPERLINK("https://dpmzos25m8ivg.cloudfront.net/Documentos/631/37059970843/6313705997084310092023230341.pdf","https://dpmzos25m8ivg.cloudfront.net/Documentos/631/37059970843/6313705997084310092023230341.pdf")</f>
        <v>https://dpmzos25m8ivg.cloudfront.net/Documentos/631/37059970843/6313705997084310092023230341.pdf</v>
      </c>
      <c r="F6563" s="5" t="str">
        <f>HYPERLINK("https://dpmzos25m8ivg.cloudfront.net/Documentos/631/37059970843/6313705997084310092023230359.pdf","https://dpmzos25m8ivg.cloudfront.net/Documentos/631/37059970843/6313705997084310092023230359.pdf")</f>
        <v>https://dpmzos25m8ivg.cloudfront.net/Documentos/631/37059970843/6313705997084310092023230359.pdf</v>
      </c>
      <c r="G6563" s="5" t="str">
        <f>HYPERLINK("https://dpmzos25m8ivg.cloudfront.net/Documentos/631/37059970843/6313705997084310092023230418.pdf","https://dpmzos25m8ivg.cloudfront.net/Documentos/631/37059970843/6313705997084310092023230418.pdf")</f>
        <v>https://dpmzos25m8ivg.cloudfront.net/Documentos/631/37059970843/6313705997084310092023230418.pdf</v>
      </c>
      <c r="H6563" s="5" t="s">
        <v>15133</v>
      </c>
    </row>
    <row r="6564" spans="1:8" x14ac:dyDescent="0.25">
      <c r="A6564" s="2" t="s">
        <v>6591</v>
      </c>
      <c r="B6564" s="3"/>
      <c r="C6564" s="3"/>
      <c r="D6564" s="3"/>
      <c r="E6564" s="5" t="str">
        <f>HYPERLINK("https://dpmzos25m8ivg.cloudfront.net/Documentos/631/37072931813/6313707293181310092023050913.jpeg","https://dpmzos25m8ivg.cloudfront.net/Documentos/631/37072931813/6313707293181310092023050913.jpeg")</f>
        <v>https://dpmzos25m8ivg.cloudfront.net/Documentos/631/37072931813/6313707293181310092023050913.jpeg</v>
      </c>
      <c r="F6564" s="5" t="str">
        <f>HYPERLINK("https://dpmzos25m8ivg.cloudfront.net/Documentos/631/37072931813/6313707293181312092023205202.pdf","https://dpmzos25m8ivg.cloudfront.net/Documentos/631/37072931813/6313707293181312092023205202.pdf")</f>
        <v>https://dpmzos25m8ivg.cloudfront.net/Documentos/631/37072931813/6313707293181312092023205202.pdf</v>
      </c>
      <c r="G6564" s="5" t="str">
        <f>HYPERLINK("https://dpmzos25m8ivg.cloudfront.net/Documentos/631/37072931813/6313707293181312092023205020.pdf","https://dpmzos25m8ivg.cloudfront.net/Documentos/631/37072931813/6313707293181312092023205020.pdf")</f>
        <v>https://dpmzos25m8ivg.cloudfront.net/Documentos/631/37072931813/6313707293181312092023205020.pdf</v>
      </c>
      <c r="H6564" s="5" t="s">
        <v>15134</v>
      </c>
    </row>
    <row r="6565" spans="1:8" x14ac:dyDescent="0.25">
      <c r="A6565" s="2" t="s">
        <v>6592</v>
      </c>
      <c r="B6565" s="3"/>
      <c r="C6565" s="3"/>
      <c r="D6565" s="3"/>
      <c r="E6565" s="5" t="str">
        <f>HYPERLINK("https://dpmzos25m8ivg.cloudfront.net/Documentos/631/37088420813/6313708842081306092023180000.pdf","https://dpmzos25m8ivg.cloudfront.net/Documentos/631/37088420813/6313708842081306092023180000.pdf")</f>
        <v>https://dpmzos25m8ivg.cloudfront.net/Documentos/631/37088420813/6313708842081306092023180000.pdf</v>
      </c>
      <c r="F6565" s="5" t="str">
        <f>HYPERLINK("https://dpmzos25m8ivg.cloudfront.net/Documentos/631/37088420813/6313708842081306092023175928.pdf","https://dpmzos25m8ivg.cloudfront.net/Documentos/631/37088420813/6313708842081306092023175928.pdf")</f>
        <v>https://dpmzos25m8ivg.cloudfront.net/Documentos/631/37088420813/6313708842081306092023175928.pdf</v>
      </c>
      <c r="G6565" s="5" t="str">
        <f>HYPERLINK("https://dpmzos25m8ivg.cloudfront.net/Documentos/631/37088420813/6313708842081306092023175943.pdf","https://dpmzos25m8ivg.cloudfront.net/Documentos/631/37088420813/6313708842081306092023175943.pdf")</f>
        <v>https://dpmzos25m8ivg.cloudfront.net/Documentos/631/37088420813/6313708842081306092023175943.pdf</v>
      </c>
      <c r="H6565" s="5" t="s">
        <v>15135</v>
      </c>
    </row>
    <row r="6566" spans="1:8" x14ac:dyDescent="0.25">
      <c r="A6566" s="2" t="s">
        <v>6593</v>
      </c>
      <c r="B6566" s="3"/>
      <c r="C6566" s="3"/>
      <c r="D6566" s="3"/>
      <c r="E6566" s="5" t="str">
        <f>HYPERLINK("https://dpmzos25m8ivg.cloudfront.net/Documentos/631/37107790811/6313710779081112092023182607.jpg","https://dpmzos25m8ivg.cloudfront.net/Documentos/631/37107790811/6313710779081112092023182607.jpg")</f>
        <v>https://dpmzos25m8ivg.cloudfront.net/Documentos/631/37107790811/6313710779081112092023182607.jpg</v>
      </c>
      <c r="F6566" s="5" t="str">
        <f>HYPERLINK("https://dpmzos25m8ivg.cloudfront.net/Documentos/631/37107790811/6313710779081112092023182633.jpg","https://dpmzos25m8ivg.cloudfront.net/Documentos/631/37107790811/6313710779081112092023182633.jpg")</f>
        <v>https://dpmzos25m8ivg.cloudfront.net/Documentos/631/37107790811/6313710779081112092023182633.jpg</v>
      </c>
      <c r="G6566" s="5" t="str">
        <f>HYPERLINK("https://dpmzos25m8ivg.cloudfront.net/Documentos/631/37107790811/6313710779081112092023182710.jpg","https://dpmzos25m8ivg.cloudfront.net/Documentos/631/37107790811/6313710779081112092023182710.jpg")</f>
        <v>https://dpmzos25m8ivg.cloudfront.net/Documentos/631/37107790811/6313710779081112092023182710.jpg</v>
      </c>
      <c r="H6566" s="5" t="s">
        <v>15136</v>
      </c>
    </row>
    <row r="6567" spans="1:8" x14ac:dyDescent="0.25">
      <c r="A6567" s="2" t="s">
        <v>6594</v>
      </c>
      <c r="B6567" s="3"/>
      <c r="C6567" s="3"/>
      <c r="D6567" s="3"/>
      <c r="E6567" s="5" t="str">
        <f>HYPERLINK("https://dpmzos25m8ivg.cloudfront.net/Documentos/631/37175825854/6313717582585406092023093819.pdf","https://dpmzos25m8ivg.cloudfront.net/Documentos/631/37175825854/6313717582585406092023093819.pdf")</f>
        <v>https://dpmzos25m8ivg.cloudfront.net/Documentos/631/37175825854/6313717582585406092023093819.pdf</v>
      </c>
      <c r="F6567" s="5" t="str">
        <f>HYPERLINK("https://dpmzos25m8ivg.cloudfront.net/Documentos/631/37175825854/6313717582585406092023093906.pdf","https://dpmzos25m8ivg.cloudfront.net/Documentos/631/37175825854/6313717582585406092023093906.pdf")</f>
        <v>https://dpmzos25m8ivg.cloudfront.net/Documentos/631/37175825854/6313717582585406092023093906.pdf</v>
      </c>
      <c r="G6567" s="5" t="str">
        <f>HYPERLINK("https://dpmzos25m8ivg.cloudfront.net/Documentos/631/37175825854/6313717582585406092023093919.pdf","https://dpmzos25m8ivg.cloudfront.net/Documentos/631/37175825854/6313717582585406092023093919.pdf")</f>
        <v>https://dpmzos25m8ivg.cloudfront.net/Documentos/631/37175825854/6313717582585406092023093919.pdf</v>
      </c>
      <c r="H6567" s="5" t="s">
        <v>15137</v>
      </c>
    </row>
    <row r="6568" spans="1:8" x14ac:dyDescent="0.25">
      <c r="A6568" s="2" t="s">
        <v>6595</v>
      </c>
      <c r="B6568" s="3"/>
      <c r="C6568" s="3"/>
      <c r="D6568" s="3"/>
      <c r="E6568" s="5" t="str">
        <f>HYPERLINK("https://dpmzos25m8ivg.cloudfront.net/Documentos/631/37226921804/6313722692180411092023115402.pdf","https://dpmzos25m8ivg.cloudfront.net/Documentos/631/37226921804/6313722692180411092023115402.pdf")</f>
        <v>https://dpmzos25m8ivg.cloudfront.net/Documentos/631/37226921804/6313722692180411092023115402.pdf</v>
      </c>
      <c r="F6568" s="5" t="str">
        <f>HYPERLINK("https://dpmzos25m8ivg.cloudfront.net/Documentos/631/37226921804/6313722692180411092023115423.pdf","https://dpmzos25m8ivg.cloudfront.net/Documentos/631/37226921804/6313722692180411092023115423.pdf")</f>
        <v>https://dpmzos25m8ivg.cloudfront.net/Documentos/631/37226921804/6313722692180411092023115423.pdf</v>
      </c>
      <c r="G6568" s="5" t="str">
        <f>HYPERLINK("https://dpmzos25m8ivg.cloudfront.net/Documentos/631/37226921804/6313722692180411092023120519.pdf","https://dpmzos25m8ivg.cloudfront.net/Documentos/631/37226921804/6313722692180411092023120519.pdf")</f>
        <v>https://dpmzos25m8ivg.cloudfront.net/Documentos/631/37226921804/6313722692180411092023120519.pdf</v>
      </c>
      <c r="H6568" s="5" t="s">
        <v>15138</v>
      </c>
    </row>
    <row r="6569" spans="1:8" x14ac:dyDescent="0.25">
      <c r="A6569" s="2" t="s">
        <v>6596</v>
      </c>
      <c r="B6569" s="3" t="s">
        <v>42</v>
      </c>
      <c r="C6569" s="3"/>
      <c r="D6569" s="3"/>
      <c r="E6569" s="5" t="str">
        <f>HYPERLINK("https://dpmzos25m8ivg.cloudfront.net/Documentos/631/37232126387/6313723212638711092023142110.jpg","https://dpmzos25m8ivg.cloudfront.net/Documentos/631/37232126387/6313723212638711092023142110.jpg")</f>
        <v>https://dpmzos25m8ivg.cloudfront.net/Documentos/631/37232126387/6313723212638711092023142110.jpg</v>
      </c>
      <c r="F6569" s="5" t="str">
        <f>HYPERLINK("https://dpmzos25m8ivg.cloudfront.net/Documentos/631/37232126387/6313723212638711092023142122.jpg","https://dpmzos25m8ivg.cloudfront.net/Documentos/631/37232126387/6313723212638711092023142122.jpg")</f>
        <v>https://dpmzos25m8ivg.cloudfront.net/Documentos/631/37232126387/6313723212638711092023142122.jpg</v>
      </c>
      <c r="G6569" s="5" t="str">
        <f>HYPERLINK("https://dpmzos25m8ivg.cloudfront.net/Documentos/631/37232126387/6313723212638711092023142134.jpg","https://dpmzos25m8ivg.cloudfront.net/Documentos/631/37232126387/6313723212638711092023142134.jpg")</f>
        <v>https://dpmzos25m8ivg.cloudfront.net/Documentos/631/37232126387/6313723212638711092023142134.jpg</v>
      </c>
      <c r="H6569" s="5" t="s">
        <v>15139</v>
      </c>
    </row>
    <row r="6570" spans="1:8" x14ac:dyDescent="0.25">
      <c r="A6570" s="2" t="s">
        <v>6597</v>
      </c>
      <c r="B6570" s="3"/>
      <c r="C6570" s="3"/>
      <c r="D6570" s="3"/>
      <c r="E6570" s="5" t="str">
        <f>HYPERLINK("https://dpmzos25m8ivg.cloudfront.net/Documentos/631/37277296869/6313727729686907092023210707.pdf","https://dpmzos25m8ivg.cloudfront.net/Documentos/631/37277296869/6313727729686907092023210707.pdf")</f>
        <v>https://dpmzos25m8ivg.cloudfront.net/Documentos/631/37277296869/6313727729686907092023210707.pdf</v>
      </c>
      <c r="F6570" s="5" t="str">
        <f>HYPERLINK("https://dpmzos25m8ivg.cloudfront.net/Documentos/631/37277296869/6313727729686907092023132732.pdf","https://dpmzos25m8ivg.cloudfront.net/Documentos/631/37277296869/6313727729686907092023132732.pdf")</f>
        <v>https://dpmzos25m8ivg.cloudfront.net/Documentos/631/37277296869/6313727729686907092023132732.pdf</v>
      </c>
      <c r="G6570" s="5" t="str">
        <f>HYPERLINK("https://dpmzos25m8ivg.cloudfront.net/Documentos/631/37277296869/6313727729686907092023132752.pdf","https://dpmzos25m8ivg.cloudfront.net/Documentos/631/37277296869/6313727729686907092023132752.pdf")</f>
        <v>https://dpmzos25m8ivg.cloudfront.net/Documentos/631/37277296869/6313727729686907092023132752.pdf</v>
      </c>
      <c r="H6570" s="5" t="s">
        <v>15140</v>
      </c>
    </row>
    <row r="6571" spans="1:8" x14ac:dyDescent="0.25">
      <c r="A6571" s="2" t="s">
        <v>6598</v>
      </c>
      <c r="B6571" s="3"/>
      <c r="C6571" s="3"/>
      <c r="D6571" s="3"/>
      <c r="E6571" s="5" t="str">
        <f>HYPERLINK("https://dpmzos25m8ivg.cloudfront.net/Documentos/631/37290681215/6313729068121506092023160001.pdf","https://dpmzos25m8ivg.cloudfront.net/Documentos/631/37290681215/6313729068121506092023160001.pdf")</f>
        <v>https://dpmzos25m8ivg.cloudfront.net/Documentos/631/37290681215/6313729068121506092023160001.pdf</v>
      </c>
      <c r="F6571" s="5" t="str">
        <f>HYPERLINK("https://dpmzos25m8ivg.cloudfront.net/Documentos/631/37290681215/6313729068121506092023160101.pdf","https://dpmzos25m8ivg.cloudfront.net/Documentos/631/37290681215/6313729068121506092023160101.pdf")</f>
        <v>https://dpmzos25m8ivg.cloudfront.net/Documentos/631/37290681215/6313729068121506092023160101.pdf</v>
      </c>
      <c r="G6571" s="5" t="str">
        <f>HYPERLINK("https://dpmzos25m8ivg.cloudfront.net/Documentos/631/37290681215/6313729068121506092023160115.pdf","https://dpmzos25m8ivg.cloudfront.net/Documentos/631/37290681215/6313729068121506092023160115.pdf")</f>
        <v>https://dpmzos25m8ivg.cloudfront.net/Documentos/631/37290681215/6313729068121506092023160115.pdf</v>
      </c>
      <c r="H6571" s="5" t="s">
        <v>15141</v>
      </c>
    </row>
    <row r="6572" spans="1:8" x14ac:dyDescent="0.25">
      <c r="A6572" s="2" t="s">
        <v>6599</v>
      </c>
      <c r="B6572" s="3"/>
      <c r="C6572" s="3"/>
      <c r="D6572" s="3"/>
      <c r="E6572" s="5" t="str">
        <f>HYPERLINK("https://dpmzos25m8ivg.cloudfront.net/Documentos/631/37303638830/6313730363883005092023121108.pdf","https://dpmzos25m8ivg.cloudfront.net/Documentos/631/37303638830/6313730363883005092023121108.pdf")</f>
        <v>https://dpmzos25m8ivg.cloudfront.net/Documentos/631/37303638830/6313730363883005092023121108.pdf</v>
      </c>
      <c r="F6572" s="5" t="str">
        <f>HYPERLINK("https://dpmzos25m8ivg.cloudfront.net/Documentos/631/37303638830/6313730363883005092023121123.pdf","https://dpmzos25m8ivg.cloudfront.net/Documentos/631/37303638830/6313730363883005092023121123.pdf")</f>
        <v>https://dpmzos25m8ivg.cloudfront.net/Documentos/631/37303638830/6313730363883005092023121123.pdf</v>
      </c>
      <c r="G6572" s="5" t="str">
        <f>HYPERLINK("https://dpmzos25m8ivg.cloudfront.net/Documentos/631/37303638830/6313730363883005092023121136.pdf","https://dpmzos25m8ivg.cloudfront.net/Documentos/631/37303638830/6313730363883005092023121136.pdf")</f>
        <v>https://dpmzos25m8ivg.cloudfront.net/Documentos/631/37303638830/6313730363883005092023121136.pdf</v>
      </c>
      <c r="H6572" s="5" t="s">
        <v>15142</v>
      </c>
    </row>
    <row r="6573" spans="1:8" x14ac:dyDescent="0.25">
      <c r="A6573" s="2" t="s">
        <v>6600</v>
      </c>
      <c r="B6573" s="3"/>
      <c r="C6573" s="3"/>
      <c r="D6573" s="3"/>
      <c r="E6573" s="5" t="str">
        <f>HYPERLINK("https://dpmzos25m8ivg.cloudfront.net/Documentos/631/37311045800/6313731104580014092023165439.pdf","https://dpmzos25m8ivg.cloudfront.net/Documentos/631/37311045800/6313731104580014092023165439.pdf")</f>
        <v>https://dpmzos25m8ivg.cloudfront.net/Documentos/631/37311045800/6313731104580014092023165439.pdf</v>
      </c>
      <c r="F6573" s="5" t="str">
        <f>HYPERLINK("https://dpmzos25m8ivg.cloudfront.net/Documentos/631/37311045800/6313731104580014092023165451.pdf","https://dpmzos25m8ivg.cloudfront.net/Documentos/631/37311045800/6313731104580014092023165451.pdf")</f>
        <v>https://dpmzos25m8ivg.cloudfront.net/Documentos/631/37311045800/6313731104580014092023165451.pdf</v>
      </c>
      <c r="G6573" s="5" t="str">
        <f>HYPERLINK("https://dpmzos25m8ivg.cloudfront.net/Documentos/631/37311045800/6313731104580014092023165504.pdf","https://dpmzos25m8ivg.cloudfront.net/Documentos/631/37311045800/6313731104580014092023165504.pdf")</f>
        <v>https://dpmzos25m8ivg.cloudfront.net/Documentos/631/37311045800/6313731104580014092023165504.pdf</v>
      </c>
      <c r="H6573" s="5" t="s">
        <v>15143</v>
      </c>
    </row>
    <row r="6574" spans="1:8" x14ac:dyDescent="0.25">
      <c r="A6574" s="2" t="s">
        <v>6601</v>
      </c>
      <c r="B6574" s="3"/>
      <c r="C6574" s="3"/>
      <c r="D6574" s="3"/>
      <c r="E6574" s="5" t="str">
        <f>HYPERLINK("https://dpmzos25m8ivg.cloudfront.net/Documentos/631/37311511895/6313731151189511092023121700.pdf","https://dpmzos25m8ivg.cloudfront.net/Documentos/631/37311511895/6313731151189511092023121700.pdf")</f>
        <v>https://dpmzos25m8ivg.cloudfront.net/Documentos/631/37311511895/6313731151189511092023121700.pdf</v>
      </c>
      <c r="F6574" s="5" t="str">
        <f>HYPERLINK("https://dpmzos25m8ivg.cloudfront.net/Documentos/631/37311511895/6313731151189511092023121734.pdf","https://dpmzos25m8ivg.cloudfront.net/Documentos/631/37311511895/6313731151189511092023121734.pdf")</f>
        <v>https://dpmzos25m8ivg.cloudfront.net/Documentos/631/37311511895/6313731151189511092023121734.pdf</v>
      </c>
      <c r="G6574" s="5" t="str">
        <f>HYPERLINK("https://dpmzos25m8ivg.cloudfront.net/Documentos/631/37311511895/6313731151189511092023121758.pdf","https://dpmzos25m8ivg.cloudfront.net/Documentos/631/37311511895/6313731151189511092023121758.pdf")</f>
        <v>https://dpmzos25m8ivg.cloudfront.net/Documentos/631/37311511895/6313731151189511092023121758.pdf</v>
      </c>
      <c r="H6574" s="5" t="s">
        <v>15144</v>
      </c>
    </row>
    <row r="6575" spans="1:8" x14ac:dyDescent="0.25">
      <c r="A6575" s="2" t="s">
        <v>6602</v>
      </c>
      <c r="B6575" s="3"/>
      <c r="C6575" s="3"/>
      <c r="D6575" s="3"/>
      <c r="E6575" s="5" t="str">
        <f>HYPERLINK("https://dpmzos25m8ivg.cloudfront.net/Documentos/631/37322296885/6313732229688507092023135448.pdf","https://dpmzos25m8ivg.cloudfront.net/Documentos/631/37322296885/6313732229688507092023135448.pdf")</f>
        <v>https://dpmzos25m8ivg.cloudfront.net/Documentos/631/37322296885/6313732229688507092023135448.pdf</v>
      </c>
      <c r="F6575" s="5" t="str">
        <f>HYPERLINK("https://dpmzos25m8ivg.cloudfront.net/Documentos/631/37322296885/6313732229688507092023135507.pdf","https://dpmzos25m8ivg.cloudfront.net/Documentos/631/37322296885/6313732229688507092023135507.pdf")</f>
        <v>https://dpmzos25m8ivg.cloudfront.net/Documentos/631/37322296885/6313732229688507092023135507.pdf</v>
      </c>
      <c r="G6575" s="5" t="str">
        <f>HYPERLINK("https://dpmzos25m8ivg.cloudfront.net/Documentos/631/37322296885/6313732229688507092023135548.pdf","https://dpmzos25m8ivg.cloudfront.net/Documentos/631/37322296885/6313732229688507092023135548.pdf")</f>
        <v>https://dpmzos25m8ivg.cloudfront.net/Documentos/631/37322296885/6313732229688507092023135548.pdf</v>
      </c>
      <c r="H6575" s="5" t="s">
        <v>15145</v>
      </c>
    </row>
    <row r="6576" spans="1:8" x14ac:dyDescent="0.25">
      <c r="A6576" s="2" t="s">
        <v>6603</v>
      </c>
      <c r="B6576" s="3"/>
      <c r="C6576" s="3"/>
      <c r="D6576" s="3"/>
      <c r="E6576" s="5" t="str">
        <f>HYPERLINK("https://dpmzos25m8ivg.cloudfront.net/Documentos/631/37340434844/6313734043484411092023130143.jpg","https://dpmzos25m8ivg.cloudfront.net/Documentos/631/37340434844/6313734043484411092023130143.jpg")</f>
        <v>https://dpmzos25m8ivg.cloudfront.net/Documentos/631/37340434844/6313734043484411092023130143.jpg</v>
      </c>
      <c r="F6576" s="5" t="str">
        <f>HYPERLINK("https://dpmzos25m8ivg.cloudfront.net/Documentos/631/37340434844/6313734043484411092023130320.jpg","https://dpmzos25m8ivg.cloudfront.net/Documentos/631/37340434844/6313734043484411092023130320.jpg")</f>
        <v>https://dpmzos25m8ivg.cloudfront.net/Documentos/631/37340434844/6313734043484411092023130320.jpg</v>
      </c>
      <c r="G6576" s="5" t="str">
        <f>HYPERLINK("https://dpmzos25m8ivg.cloudfront.net/Documentos/631/37340434844/6313734043484411092023130341.jpg","https://dpmzos25m8ivg.cloudfront.net/Documentos/631/37340434844/6313734043484411092023130341.jpg")</f>
        <v>https://dpmzos25m8ivg.cloudfront.net/Documentos/631/37340434844/6313734043484411092023130341.jpg</v>
      </c>
      <c r="H6576" s="5" t="s">
        <v>15146</v>
      </c>
    </row>
    <row r="6577" spans="1:8" x14ac:dyDescent="0.25">
      <c r="A6577" s="2" t="s">
        <v>6604</v>
      </c>
      <c r="B6577" s="3"/>
      <c r="C6577" s="3"/>
      <c r="D6577" s="3"/>
      <c r="E6577" s="5" t="str">
        <f>HYPERLINK("https://dpmzos25m8ivg.cloudfront.net/Documentos/631/37346569822/6313734656982206092023192759.pdf","https://dpmzos25m8ivg.cloudfront.net/Documentos/631/37346569822/6313734656982206092023192759.pdf")</f>
        <v>https://dpmzos25m8ivg.cloudfront.net/Documentos/631/37346569822/6313734656982206092023192759.pdf</v>
      </c>
      <c r="F6577" s="5" t="str">
        <f>HYPERLINK("https://dpmzos25m8ivg.cloudfront.net/Documentos/631/37346569822/6313734656982206092023192807.pdf","https://dpmzos25m8ivg.cloudfront.net/Documentos/631/37346569822/6313734656982206092023192807.pdf")</f>
        <v>https://dpmzos25m8ivg.cloudfront.net/Documentos/631/37346569822/6313734656982206092023192807.pdf</v>
      </c>
      <c r="G6577" s="5" t="str">
        <f>HYPERLINK("https://dpmzos25m8ivg.cloudfront.net/Documentos/631/37346569822/6313734656982206092023192816.pdf","https://dpmzos25m8ivg.cloudfront.net/Documentos/631/37346569822/6313734656982206092023192816.pdf")</f>
        <v>https://dpmzos25m8ivg.cloudfront.net/Documentos/631/37346569822/6313734656982206092023192816.pdf</v>
      </c>
      <c r="H6577" s="5" t="s">
        <v>15147</v>
      </c>
    </row>
    <row r="6578" spans="1:8" x14ac:dyDescent="0.25">
      <c r="A6578" s="2" t="s">
        <v>6605</v>
      </c>
      <c r="B6578" s="3" t="s">
        <v>23</v>
      </c>
      <c r="C6578" s="3"/>
      <c r="D6578" s="3"/>
      <c r="E6578" s="5" t="str">
        <f>HYPERLINK("https://dpmzos25m8ivg.cloudfront.net/Documentos/631/37354779172/6313735477917206092023122329.jpg","https://dpmzos25m8ivg.cloudfront.net/Documentos/631/37354779172/6313735477917206092023122329.jpg")</f>
        <v>https://dpmzos25m8ivg.cloudfront.net/Documentos/631/37354779172/6313735477917206092023122329.jpg</v>
      </c>
      <c r="F6578" s="5" t="str">
        <f>HYPERLINK("https://dpmzos25m8ivg.cloudfront.net/Documentos/631/37354779172/6313735477917206092023125924.jpg","https://dpmzos25m8ivg.cloudfront.net/Documentos/631/37354779172/6313735477917206092023125924.jpg")</f>
        <v>https://dpmzos25m8ivg.cloudfront.net/Documentos/631/37354779172/6313735477917206092023125924.jpg</v>
      </c>
      <c r="G6578" s="5" t="str">
        <f>HYPERLINK("https://dpmzos25m8ivg.cloudfront.net/Documentos/631/37354779172/6313735477917206092023124845.jpg","https://dpmzos25m8ivg.cloudfront.net/Documentos/631/37354779172/6313735477917206092023124845.jpg")</f>
        <v>https://dpmzos25m8ivg.cloudfront.net/Documentos/631/37354779172/6313735477917206092023124845.jpg</v>
      </c>
      <c r="H6578" s="5" t="s">
        <v>15148</v>
      </c>
    </row>
    <row r="6579" spans="1:8" x14ac:dyDescent="0.25">
      <c r="A6579" s="2" t="s">
        <v>6606</v>
      </c>
      <c r="B6579" s="3"/>
      <c r="C6579" s="3"/>
      <c r="D6579" s="3"/>
      <c r="E6579" s="5" t="str">
        <f>HYPERLINK("https://dpmzos25m8ivg.cloudfront.net/Documentos/631/37379016865/6313737901686509092023160637.pdf","https://dpmzos25m8ivg.cloudfront.net/Documentos/631/37379016865/6313737901686509092023160637.pdf")</f>
        <v>https://dpmzos25m8ivg.cloudfront.net/Documentos/631/37379016865/6313737901686509092023160637.pdf</v>
      </c>
      <c r="F6579" s="5" t="str">
        <f>HYPERLINK("https://dpmzos25m8ivg.cloudfront.net/Documentos/631/37379016865/6313737901686509092023160654.pdf","https://dpmzos25m8ivg.cloudfront.net/Documentos/631/37379016865/6313737901686509092023160654.pdf")</f>
        <v>https://dpmzos25m8ivg.cloudfront.net/Documentos/631/37379016865/6313737901686509092023160654.pdf</v>
      </c>
      <c r="G6579" s="5" t="str">
        <f>HYPERLINK("https://dpmzos25m8ivg.cloudfront.net/Documentos/631/37379016865/6313737901686509092023160714.pdf","https://dpmzos25m8ivg.cloudfront.net/Documentos/631/37379016865/6313737901686509092023160714.pdf")</f>
        <v>https://dpmzos25m8ivg.cloudfront.net/Documentos/631/37379016865/6313737901686509092023160714.pdf</v>
      </c>
      <c r="H6579" s="5" t="s">
        <v>15149</v>
      </c>
    </row>
    <row r="6580" spans="1:8" x14ac:dyDescent="0.25">
      <c r="A6580" s="2" t="s">
        <v>6607</v>
      </c>
      <c r="B6580" s="3"/>
      <c r="C6580" s="3"/>
      <c r="D6580" s="3"/>
      <c r="E6580" s="5" t="str">
        <f>HYPERLINK("https://dpmzos25m8ivg.cloudfront.net/Documentos/631/37388552898/6313738855289806092023115053.pdf","https://dpmzos25m8ivg.cloudfront.net/Documentos/631/37388552898/6313738855289806092023115053.pdf")</f>
        <v>https://dpmzos25m8ivg.cloudfront.net/Documentos/631/37388552898/6313738855289806092023115053.pdf</v>
      </c>
      <c r="F6580" s="5" t="str">
        <f>HYPERLINK("https://dpmzos25m8ivg.cloudfront.net/Documentos/631/37388552898/6313738855289806092023115101.pdf","https://dpmzos25m8ivg.cloudfront.net/Documentos/631/37388552898/6313738855289806092023115101.pdf")</f>
        <v>https://dpmzos25m8ivg.cloudfront.net/Documentos/631/37388552898/6313738855289806092023115101.pdf</v>
      </c>
      <c r="G6580" s="5" t="str">
        <f>HYPERLINK("https://dpmzos25m8ivg.cloudfront.net/Documentos/631/37388552898/6313738855289806092023115120.pdf","https://dpmzos25m8ivg.cloudfront.net/Documentos/631/37388552898/6313738855289806092023115120.pdf")</f>
        <v>https://dpmzos25m8ivg.cloudfront.net/Documentos/631/37388552898/6313738855289806092023115120.pdf</v>
      </c>
      <c r="H6580" s="5" t="s">
        <v>15150</v>
      </c>
    </row>
    <row r="6581" spans="1:8" x14ac:dyDescent="0.25">
      <c r="A6581" s="2" t="s">
        <v>6608</v>
      </c>
      <c r="B6581" s="3"/>
      <c r="C6581" s="3"/>
      <c r="D6581" s="3"/>
      <c r="E6581" s="5" t="str">
        <f>HYPERLINK("https://dpmzos25m8ivg.cloudfront.net/Documentos/631/37452471830/6313745247183005092023162731.pdf","https://dpmzos25m8ivg.cloudfront.net/Documentos/631/37452471830/6313745247183005092023162731.pdf")</f>
        <v>https://dpmzos25m8ivg.cloudfront.net/Documentos/631/37452471830/6313745247183005092023162731.pdf</v>
      </c>
      <c r="F6581" s="5" t="str">
        <f>HYPERLINK("https://dpmzos25m8ivg.cloudfront.net/Documentos/631/37452471830/6313745247183005092023162758.pdf","https://dpmzos25m8ivg.cloudfront.net/Documentos/631/37452471830/6313745247183005092023162758.pdf")</f>
        <v>https://dpmzos25m8ivg.cloudfront.net/Documentos/631/37452471830/6313745247183005092023162758.pdf</v>
      </c>
      <c r="G6581" s="5" t="str">
        <f>HYPERLINK("https://dpmzos25m8ivg.cloudfront.net/Documentos/631/37452471830/6313745247183005092023162807.pdf","https://dpmzos25m8ivg.cloudfront.net/Documentos/631/37452471830/6313745247183005092023162807.pdf")</f>
        <v>https://dpmzos25m8ivg.cloudfront.net/Documentos/631/37452471830/6313745247183005092023162807.pdf</v>
      </c>
      <c r="H6581" s="5" t="s">
        <v>15151</v>
      </c>
    </row>
    <row r="6582" spans="1:8" x14ac:dyDescent="0.25">
      <c r="A6582" s="2" t="s">
        <v>6609</v>
      </c>
      <c r="B6582" s="3"/>
      <c r="C6582" s="3"/>
      <c r="D6582" s="3"/>
      <c r="E6582" s="5" t="str">
        <f>HYPERLINK("https://dpmzos25m8ivg.cloudfront.net/Documentos/631/37461431870/6313746143187005092023215043.pdf","https://dpmzos25m8ivg.cloudfront.net/Documentos/631/37461431870/6313746143187005092023215043.pdf")</f>
        <v>https://dpmzos25m8ivg.cloudfront.net/Documentos/631/37461431870/6313746143187005092023215043.pdf</v>
      </c>
      <c r="F6582" s="5" t="str">
        <f>HYPERLINK("https://dpmzos25m8ivg.cloudfront.net/Documentos/631/37461431870/6313746143187005092023215054.pdf","https://dpmzos25m8ivg.cloudfront.net/Documentos/631/37461431870/6313746143187005092023215054.pdf")</f>
        <v>https://dpmzos25m8ivg.cloudfront.net/Documentos/631/37461431870/6313746143187005092023215054.pdf</v>
      </c>
      <c r="G6582" s="5" t="str">
        <f>HYPERLINK("https://dpmzos25m8ivg.cloudfront.net/Documentos/631/37461431870/6313746143187005092023215106.pdf","https://dpmzos25m8ivg.cloudfront.net/Documentos/631/37461431870/6313746143187005092023215106.pdf")</f>
        <v>https://dpmzos25m8ivg.cloudfront.net/Documentos/631/37461431870/6313746143187005092023215106.pdf</v>
      </c>
      <c r="H6582" s="5" t="s">
        <v>15152</v>
      </c>
    </row>
    <row r="6583" spans="1:8" x14ac:dyDescent="0.25">
      <c r="A6583" s="2" t="s">
        <v>6610</v>
      </c>
      <c r="B6583" s="3"/>
      <c r="C6583" s="3"/>
      <c r="D6583" s="3"/>
      <c r="E6583" s="5" t="str">
        <f>HYPERLINK("https://dpmzos25m8ivg.cloudfront.net/Documentos/631/37480172869/6313748017286911092023002757.jpg","https://dpmzos25m8ivg.cloudfront.net/Documentos/631/37480172869/6313748017286911092023002757.jpg")</f>
        <v>https://dpmzos25m8ivg.cloudfront.net/Documentos/631/37480172869/6313748017286911092023002757.jpg</v>
      </c>
      <c r="F6583" s="5" t="str">
        <f>HYPERLINK("https://dpmzos25m8ivg.cloudfront.net/Documentos/631/37480172869/6313748017286911092023002814.jpg","https://dpmzos25m8ivg.cloudfront.net/Documentos/631/37480172869/6313748017286911092023002814.jpg")</f>
        <v>https://dpmzos25m8ivg.cloudfront.net/Documentos/631/37480172869/6313748017286911092023002814.jpg</v>
      </c>
      <c r="G6583" s="5" t="str">
        <f>HYPERLINK("https://dpmzos25m8ivg.cloudfront.net/Documentos/631/37480172869/6313748017286911092023002837.jpg","https://dpmzos25m8ivg.cloudfront.net/Documentos/631/37480172869/6313748017286911092023002837.jpg")</f>
        <v>https://dpmzos25m8ivg.cloudfront.net/Documentos/631/37480172869/6313748017286911092023002837.jpg</v>
      </c>
      <c r="H6583" s="5" t="s">
        <v>15153</v>
      </c>
    </row>
    <row r="6584" spans="1:8" x14ac:dyDescent="0.25">
      <c r="A6584" s="2" t="s">
        <v>6611</v>
      </c>
      <c r="B6584" s="3"/>
      <c r="C6584" s="3"/>
      <c r="D6584" s="3"/>
      <c r="E6584" s="5" t="str">
        <f>HYPERLINK("https://dpmzos25m8ivg.cloudfront.net/Documentos/631/37494510877/6313749451087706092023135348.pdf","https://dpmzos25m8ivg.cloudfront.net/Documentos/631/37494510877/6313749451087706092023135348.pdf")</f>
        <v>https://dpmzos25m8ivg.cloudfront.net/Documentos/631/37494510877/6313749451087706092023135348.pdf</v>
      </c>
      <c r="F6584" s="5" t="str">
        <f>HYPERLINK("https://dpmzos25m8ivg.cloudfront.net/Documentos/631/37494510877/6313749451087706092023135356.pdf","https://dpmzos25m8ivg.cloudfront.net/Documentos/631/37494510877/6313749451087706092023135356.pdf")</f>
        <v>https://dpmzos25m8ivg.cloudfront.net/Documentos/631/37494510877/6313749451087706092023135356.pdf</v>
      </c>
      <c r="G6584" s="5" t="str">
        <f>HYPERLINK("https://dpmzos25m8ivg.cloudfront.net/Documentos/631/37494510877/6313749451087706092023135405.pdf","https://dpmzos25m8ivg.cloudfront.net/Documentos/631/37494510877/6313749451087706092023135405.pdf")</f>
        <v>https://dpmzos25m8ivg.cloudfront.net/Documentos/631/37494510877/6313749451087706092023135405.pdf</v>
      </c>
      <c r="H6584" s="5" t="s">
        <v>15154</v>
      </c>
    </row>
    <row r="6585" spans="1:8" x14ac:dyDescent="0.25">
      <c r="A6585" s="2" t="s">
        <v>6612</v>
      </c>
      <c r="B6585" s="3"/>
      <c r="C6585" s="3"/>
      <c r="D6585" s="3"/>
      <c r="E6585" s="5" t="str">
        <f>HYPERLINK("https://dpmzos25m8ivg.cloudfront.net/Documentos/631/37500880553/6313750088055310092023192743.pdf","https://dpmzos25m8ivg.cloudfront.net/Documentos/631/37500880553/6313750088055310092023192743.pdf")</f>
        <v>https://dpmzos25m8ivg.cloudfront.net/Documentos/631/37500880553/6313750088055310092023192743.pdf</v>
      </c>
      <c r="F6585" s="5" t="str">
        <f>HYPERLINK("https://dpmzos25m8ivg.cloudfront.net/Documentos/631/37500880553/6313750088055310092023192820.pdf","https://dpmzos25m8ivg.cloudfront.net/Documentos/631/37500880553/6313750088055310092023192820.pdf")</f>
        <v>https://dpmzos25m8ivg.cloudfront.net/Documentos/631/37500880553/6313750088055310092023192820.pdf</v>
      </c>
      <c r="G6585" s="5" t="str">
        <f>HYPERLINK("https://dpmzos25m8ivg.cloudfront.net/Documentos/631/37500880553/6313750088055310092023192840.pdf","https://dpmzos25m8ivg.cloudfront.net/Documentos/631/37500880553/6313750088055310092023192840.pdf")</f>
        <v>https://dpmzos25m8ivg.cloudfront.net/Documentos/631/37500880553/6313750088055310092023192840.pdf</v>
      </c>
      <c r="H6585" s="5" t="s">
        <v>15155</v>
      </c>
    </row>
    <row r="6586" spans="1:8" x14ac:dyDescent="0.25">
      <c r="A6586" s="2" t="s">
        <v>6613</v>
      </c>
      <c r="B6586" s="3"/>
      <c r="C6586" s="3"/>
      <c r="D6586" s="3"/>
      <c r="E6586" s="5" t="str">
        <f>HYPERLINK("https://dpmzos25m8ivg.cloudfront.net/Documentos/631/37562325812/6313756232581207092023064821.pdf","https://dpmzos25m8ivg.cloudfront.net/Documentos/631/37562325812/6313756232581207092023064821.pdf")</f>
        <v>https://dpmzos25m8ivg.cloudfront.net/Documentos/631/37562325812/6313756232581207092023064821.pdf</v>
      </c>
      <c r="F6586" s="5" t="str">
        <f>HYPERLINK("https://dpmzos25m8ivg.cloudfront.net/Documentos/631/37562325812/6313756232581207092023064802.pdf","https://dpmzos25m8ivg.cloudfront.net/Documentos/631/37562325812/6313756232581207092023064802.pdf")</f>
        <v>https://dpmzos25m8ivg.cloudfront.net/Documentos/631/37562325812/6313756232581207092023064802.pdf</v>
      </c>
      <c r="G6586" s="5" t="str">
        <f>HYPERLINK("https://dpmzos25m8ivg.cloudfront.net/Documentos/631/37562325812/6313756232581207092023064813.pdf","https://dpmzos25m8ivg.cloudfront.net/Documentos/631/37562325812/6313756232581207092023064813.pdf")</f>
        <v>https://dpmzos25m8ivg.cloudfront.net/Documentos/631/37562325812/6313756232581207092023064813.pdf</v>
      </c>
      <c r="H6586" s="5" t="s">
        <v>15156</v>
      </c>
    </row>
    <row r="6587" spans="1:8" x14ac:dyDescent="0.25">
      <c r="A6587" s="2" t="s">
        <v>6614</v>
      </c>
      <c r="B6587" s="3" t="s">
        <v>42</v>
      </c>
      <c r="C6587" s="3"/>
      <c r="D6587" s="3"/>
      <c r="E6587" s="5" t="str">
        <f>HYPERLINK("https://dpmzos25m8ivg.cloudfront.net/Documentos/631/37605148801/6313760514880105092023111956.pdf","https://dpmzos25m8ivg.cloudfront.net/Documentos/631/37605148801/6313760514880105092023111956.pdf")</f>
        <v>https://dpmzos25m8ivg.cloudfront.net/Documentos/631/37605148801/6313760514880105092023111956.pdf</v>
      </c>
      <c r="F6587" s="5" t="str">
        <f>HYPERLINK("https://dpmzos25m8ivg.cloudfront.net/Documentos/631/37605148801/6313760514880105092023112002.pdf","https://dpmzos25m8ivg.cloudfront.net/Documentos/631/37605148801/6313760514880105092023112002.pdf")</f>
        <v>https://dpmzos25m8ivg.cloudfront.net/Documentos/631/37605148801/6313760514880105092023112002.pdf</v>
      </c>
      <c r="G6587" s="5" t="str">
        <f>HYPERLINK("https://dpmzos25m8ivg.cloudfront.net/Documentos/631/37605148801/6313760514880105092023112010.pdf","https://dpmzos25m8ivg.cloudfront.net/Documentos/631/37605148801/6313760514880105092023112010.pdf")</f>
        <v>https://dpmzos25m8ivg.cloudfront.net/Documentos/631/37605148801/6313760514880105092023112010.pdf</v>
      </c>
      <c r="H6587" s="5" t="s">
        <v>15157</v>
      </c>
    </row>
    <row r="6588" spans="1:8" x14ac:dyDescent="0.25">
      <c r="A6588" s="2" t="s">
        <v>6615</v>
      </c>
      <c r="B6588" s="3"/>
      <c r="C6588" s="3"/>
      <c r="D6588" s="3"/>
      <c r="E6588" s="5" t="str">
        <f>HYPERLINK("https://dpmzos25m8ivg.cloudfront.net/Documentos/631/37644213805/6313764421380514092023090321.jpeg","https://dpmzos25m8ivg.cloudfront.net/Documentos/631/37644213805/6313764421380514092023090321.jpeg")</f>
        <v>https://dpmzos25m8ivg.cloudfront.net/Documentos/631/37644213805/6313764421380514092023090321.jpeg</v>
      </c>
      <c r="F6588" s="5" t="str">
        <f>HYPERLINK("https://dpmzos25m8ivg.cloudfront.net/Documentos/631/37644213805/6313764421380514092023090334.jpeg","https://dpmzos25m8ivg.cloudfront.net/Documentos/631/37644213805/6313764421380514092023090334.jpeg")</f>
        <v>https://dpmzos25m8ivg.cloudfront.net/Documentos/631/37644213805/6313764421380514092023090334.jpeg</v>
      </c>
      <c r="G6588" s="5" t="str">
        <f>HYPERLINK("https://dpmzos25m8ivg.cloudfront.net/Documentos/631/37644213805/6313764421380514092023090348.jpeg","https://dpmzos25m8ivg.cloudfront.net/Documentos/631/37644213805/6313764421380514092023090348.jpeg")</f>
        <v>https://dpmzos25m8ivg.cloudfront.net/Documentos/631/37644213805/6313764421380514092023090348.jpeg</v>
      </c>
      <c r="H6588" s="5" t="s">
        <v>15158</v>
      </c>
    </row>
    <row r="6589" spans="1:8" x14ac:dyDescent="0.25">
      <c r="A6589" s="2" t="s">
        <v>6616</v>
      </c>
      <c r="B6589" s="3"/>
      <c r="C6589" s="3"/>
      <c r="D6589" s="3"/>
      <c r="E6589" s="5" t="str">
        <f>HYPERLINK("https://dpmzos25m8ivg.cloudfront.net/Documentos/631/37648842823/6313764884282311092023144328.pdf","https://dpmzos25m8ivg.cloudfront.net/Documentos/631/37648842823/6313764884282311092023144328.pdf")</f>
        <v>https://dpmzos25m8ivg.cloudfront.net/Documentos/631/37648842823/6313764884282311092023144328.pdf</v>
      </c>
      <c r="F6589" s="5" t="str">
        <f>HYPERLINK("https://dpmzos25m8ivg.cloudfront.net/Documentos/631/37648842823/6313764884282311092023144346.pdf","https://dpmzos25m8ivg.cloudfront.net/Documentos/631/37648842823/6313764884282311092023144346.pdf")</f>
        <v>https://dpmzos25m8ivg.cloudfront.net/Documentos/631/37648842823/6313764884282311092023144346.pdf</v>
      </c>
      <c r="G6589" s="5" t="str">
        <f>HYPERLINK("https://dpmzos25m8ivg.cloudfront.net/Documentos/631/37648842823/6313764884282311092023144407.pdf","https://dpmzos25m8ivg.cloudfront.net/Documentos/631/37648842823/6313764884282311092023144407.pdf")</f>
        <v>https://dpmzos25m8ivg.cloudfront.net/Documentos/631/37648842823/6313764884282311092023144407.pdf</v>
      </c>
      <c r="H6589" s="5" t="s">
        <v>15159</v>
      </c>
    </row>
    <row r="6590" spans="1:8" x14ac:dyDescent="0.25">
      <c r="A6590" s="2" t="s">
        <v>6617</v>
      </c>
      <c r="B6590" s="3"/>
      <c r="C6590" s="3"/>
      <c r="D6590" s="3"/>
      <c r="E6590" s="5" t="str">
        <f>HYPERLINK("https://dpmzos25m8ivg.cloudfront.net/Documentos/631/37655608806/6313765560880611092023162307.pdf","https://dpmzos25m8ivg.cloudfront.net/Documentos/631/37655608806/6313765560880611092023162307.pdf")</f>
        <v>https://dpmzos25m8ivg.cloudfront.net/Documentos/631/37655608806/6313765560880611092023162307.pdf</v>
      </c>
      <c r="F6590" s="5" t="str">
        <f>HYPERLINK("https://dpmzos25m8ivg.cloudfront.net/Documentos/631/37655608806/6313765560880611092023162318.pdf","https://dpmzos25m8ivg.cloudfront.net/Documentos/631/37655608806/6313765560880611092023162318.pdf")</f>
        <v>https://dpmzos25m8ivg.cloudfront.net/Documentos/631/37655608806/6313765560880611092023162318.pdf</v>
      </c>
      <c r="G6590" s="5" t="str">
        <f>HYPERLINK("https://dpmzos25m8ivg.cloudfront.net/Documentos/631/37655608806/6313765560880611092023162327.pdf","https://dpmzos25m8ivg.cloudfront.net/Documentos/631/37655608806/6313765560880611092023162327.pdf")</f>
        <v>https://dpmzos25m8ivg.cloudfront.net/Documentos/631/37655608806/6313765560880611092023162327.pdf</v>
      </c>
      <c r="H6590" s="5" t="s">
        <v>15160</v>
      </c>
    </row>
    <row r="6591" spans="1:8" x14ac:dyDescent="0.25">
      <c r="A6591" s="2" t="s">
        <v>6618</v>
      </c>
      <c r="B6591" s="3"/>
      <c r="C6591" s="3"/>
      <c r="D6591" s="3"/>
      <c r="E6591" s="5" t="str">
        <f>HYPERLINK("https://dpmzos25m8ivg.cloudfront.net/Documentos/631/37694108827/6313769410882708092023184440.jpeg","https://dpmzos25m8ivg.cloudfront.net/Documentos/631/37694108827/6313769410882708092023184440.jpeg")</f>
        <v>https://dpmzos25m8ivg.cloudfront.net/Documentos/631/37694108827/6313769410882708092023184440.jpeg</v>
      </c>
      <c r="F6591" s="5" t="str">
        <f>HYPERLINK("https://dpmzos25m8ivg.cloudfront.net/Documentos/631/37694108827/6313769410882708092023184457.jpeg","https://dpmzos25m8ivg.cloudfront.net/Documentos/631/37694108827/6313769410882708092023184457.jpeg")</f>
        <v>https://dpmzos25m8ivg.cloudfront.net/Documentos/631/37694108827/6313769410882708092023184457.jpeg</v>
      </c>
      <c r="G6591" s="5" t="str">
        <f>HYPERLINK("https://dpmzos25m8ivg.cloudfront.net/Documentos/631/37694108827/6313769410882708092023184514.jpeg","https://dpmzos25m8ivg.cloudfront.net/Documentos/631/37694108827/6313769410882708092023184514.jpeg")</f>
        <v>https://dpmzos25m8ivg.cloudfront.net/Documentos/631/37694108827/6313769410882708092023184514.jpeg</v>
      </c>
      <c r="H6591" s="5" t="s">
        <v>15161</v>
      </c>
    </row>
    <row r="6592" spans="1:8" x14ac:dyDescent="0.25">
      <c r="A6592" s="2" t="s">
        <v>6619</v>
      </c>
      <c r="B6592" s="3"/>
      <c r="C6592" s="3"/>
      <c r="D6592" s="3"/>
      <c r="E6592" s="5" t="str">
        <f>HYPERLINK("https://dpmzos25m8ivg.cloudfront.net/Documentos/631/37730911841/6313773091184109092023195059.jpeg","https://dpmzos25m8ivg.cloudfront.net/Documentos/631/37730911841/6313773091184109092023195059.jpeg")</f>
        <v>https://dpmzos25m8ivg.cloudfront.net/Documentos/631/37730911841/6313773091184109092023195059.jpeg</v>
      </c>
      <c r="F6592" s="5" t="str">
        <f>HYPERLINK("https://dpmzos25m8ivg.cloudfront.net/Documentos/631/37730911841/6313773091184109092023195107.jpeg","https://dpmzos25m8ivg.cloudfront.net/Documentos/631/37730911841/6313773091184109092023195107.jpeg")</f>
        <v>https://dpmzos25m8ivg.cloudfront.net/Documentos/631/37730911841/6313773091184109092023195107.jpeg</v>
      </c>
      <c r="G6592" s="5" t="str">
        <f>HYPERLINK("https://dpmzos25m8ivg.cloudfront.net/Documentos/631/37730911841/6313773091184109092023195113.jpeg","https://dpmzos25m8ivg.cloudfront.net/Documentos/631/37730911841/6313773091184109092023195113.jpeg")</f>
        <v>https://dpmzos25m8ivg.cloudfront.net/Documentos/631/37730911841/6313773091184109092023195113.jpeg</v>
      </c>
      <c r="H6592" s="5" t="s">
        <v>15162</v>
      </c>
    </row>
    <row r="6593" spans="1:8" x14ac:dyDescent="0.25">
      <c r="A6593" s="2" t="s">
        <v>6620</v>
      </c>
      <c r="B6593" s="3"/>
      <c r="C6593" s="3"/>
      <c r="D6593" s="3"/>
      <c r="E6593" s="5" t="str">
        <f>HYPERLINK("https://dpmzos25m8ivg.cloudfront.net/Documentos/631/37731998215/6313773199821511092023133534.pdf","https://dpmzos25m8ivg.cloudfront.net/Documentos/631/37731998215/6313773199821511092023133534.pdf")</f>
        <v>https://dpmzos25m8ivg.cloudfront.net/Documentos/631/37731998215/6313773199821511092023133534.pdf</v>
      </c>
      <c r="F6593" s="5" t="str">
        <f>HYPERLINK("https://dpmzos25m8ivg.cloudfront.net/Documentos/631/37731998215/6313773199821511092023133548.pdf","https://dpmzos25m8ivg.cloudfront.net/Documentos/631/37731998215/6313773199821511092023133548.pdf")</f>
        <v>https://dpmzos25m8ivg.cloudfront.net/Documentos/631/37731998215/6313773199821511092023133548.pdf</v>
      </c>
      <c r="G6593" s="5" t="str">
        <f>HYPERLINK("https://dpmzos25m8ivg.cloudfront.net/Documentos/631/37731998215/6313773199821511092023133608.pdf","https://dpmzos25m8ivg.cloudfront.net/Documentos/631/37731998215/6313773199821511092023133608.pdf")</f>
        <v>https://dpmzos25m8ivg.cloudfront.net/Documentos/631/37731998215/6313773199821511092023133608.pdf</v>
      </c>
      <c r="H6593" s="5" t="s">
        <v>15163</v>
      </c>
    </row>
    <row r="6594" spans="1:8" x14ac:dyDescent="0.25">
      <c r="A6594" s="2" t="s">
        <v>6621</v>
      </c>
      <c r="B6594" s="3" t="s">
        <v>42</v>
      </c>
      <c r="C6594" s="3"/>
      <c r="D6594" s="3"/>
      <c r="E6594" s="5" t="str">
        <f>HYPERLINK("https://dpmzos25m8ivg.cloudfront.net/Documentos/631/37779781836/6313777978183611092023165319.pdf","https://dpmzos25m8ivg.cloudfront.net/Documentos/631/37779781836/6313777978183611092023165319.pdf")</f>
        <v>https://dpmzos25m8ivg.cloudfront.net/Documentos/631/37779781836/6313777978183611092023165319.pdf</v>
      </c>
      <c r="F6594" s="5" t="str">
        <f>HYPERLINK("https://dpmzos25m8ivg.cloudfront.net/Documentos/631/37779781836/6313777978183611092023165334.pdf","https://dpmzos25m8ivg.cloudfront.net/Documentos/631/37779781836/6313777978183611092023165334.pdf")</f>
        <v>https://dpmzos25m8ivg.cloudfront.net/Documentos/631/37779781836/6313777978183611092023165334.pdf</v>
      </c>
      <c r="G6594" s="5" t="str">
        <f>HYPERLINK("https://dpmzos25m8ivg.cloudfront.net/Documentos/631/37779781836/6313777978183611092023165352.pdf","https://dpmzos25m8ivg.cloudfront.net/Documentos/631/37779781836/6313777978183611092023165352.pdf")</f>
        <v>https://dpmzos25m8ivg.cloudfront.net/Documentos/631/37779781836/6313777978183611092023165352.pdf</v>
      </c>
      <c r="H6594" s="5" t="s">
        <v>15164</v>
      </c>
    </row>
    <row r="6595" spans="1:8" x14ac:dyDescent="0.25">
      <c r="A6595" s="2" t="s">
        <v>6622</v>
      </c>
      <c r="B6595" s="3"/>
      <c r="C6595" s="3"/>
      <c r="D6595" s="3"/>
      <c r="E6595" s="5" t="str">
        <f>HYPERLINK("https://dpmzos25m8ivg.cloudfront.net/Documentos/631/37782238870/6313778223887010092023165158.pdf","https://dpmzos25m8ivg.cloudfront.net/Documentos/631/37782238870/6313778223887010092023165158.pdf")</f>
        <v>https://dpmzos25m8ivg.cloudfront.net/Documentos/631/37782238870/6313778223887010092023165158.pdf</v>
      </c>
      <c r="F6595" s="5" t="str">
        <f>HYPERLINK("https://dpmzos25m8ivg.cloudfront.net/Documentos/631/37782238870/6313778223887010092023165206.pdf","https://dpmzos25m8ivg.cloudfront.net/Documentos/631/37782238870/6313778223887010092023165206.pdf")</f>
        <v>https://dpmzos25m8ivg.cloudfront.net/Documentos/631/37782238870/6313778223887010092023165206.pdf</v>
      </c>
      <c r="G6595" s="5" t="str">
        <f>HYPERLINK("https://dpmzos25m8ivg.cloudfront.net/Documentos/631/37782238870/6313778223887010092023165218.pdf","https://dpmzos25m8ivg.cloudfront.net/Documentos/631/37782238870/6313778223887010092023165218.pdf")</f>
        <v>https://dpmzos25m8ivg.cloudfront.net/Documentos/631/37782238870/6313778223887010092023165218.pdf</v>
      </c>
      <c r="H6595" s="5" t="s">
        <v>15165</v>
      </c>
    </row>
    <row r="6596" spans="1:8" x14ac:dyDescent="0.25">
      <c r="A6596" s="2" t="s">
        <v>6623</v>
      </c>
      <c r="B6596" s="3"/>
      <c r="C6596" s="3"/>
      <c r="D6596" s="3"/>
      <c r="E6596" s="5" t="str">
        <f>HYPERLINK("https://dpmzos25m8ivg.cloudfront.net/Documentos/631/37833837814/6313783383781411092023155816.pdf","https://dpmzos25m8ivg.cloudfront.net/Documentos/631/37833837814/6313783383781411092023155816.pdf")</f>
        <v>https://dpmzos25m8ivg.cloudfront.net/Documentos/631/37833837814/6313783383781411092023155816.pdf</v>
      </c>
      <c r="F6596" s="5" t="str">
        <f>HYPERLINK("https://dpmzos25m8ivg.cloudfront.net/Documentos/631/37833837814/6313783383781411092023155827.pdf","https://dpmzos25m8ivg.cloudfront.net/Documentos/631/37833837814/6313783383781411092023155827.pdf")</f>
        <v>https://dpmzos25m8ivg.cloudfront.net/Documentos/631/37833837814/6313783383781411092023155827.pdf</v>
      </c>
      <c r="G6596" s="5" t="str">
        <f>HYPERLINK("https://dpmzos25m8ivg.cloudfront.net/Documentos/631/37833837814/6313783383781411092023155833.pdf","https://dpmzos25m8ivg.cloudfront.net/Documentos/631/37833837814/6313783383781411092023155833.pdf")</f>
        <v>https://dpmzos25m8ivg.cloudfront.net/Documentos/631/37833837814/6313783383781411092023155833.pdf</v>
      </c>
      <c r="H6596" s="5" t="s">
        <v>15166</v>
      </c>
    </row>
    <row r="6597" spans="1:8" x14ac:dyDescent="0.25">
      <c r="A6597" s="2" t="s">
        <v>6624</v>
      </c>
      <c r="B6597" s="3"/>
      <c r="C6597" s="3"/>
      <c r="D6597" s="3"/>
      <c r="E6597" s="5" t="str">
        <f>HYPERLINK("https://dpmzos25m8ivg.cloudfront.net/Documentos/631/37836104869/6313783610486910092023210341.pdf","https://dpmzos25m8ivg.cloudfront.net/Documentos/631/37836104869/6313783610486910092023210341.pdf")</f>
        <v>https://dpmzos25m8ivg.cloudfront.net/Documentos/631/37836104869/6313783610486910092023210341.pdf</v>
      </c>
      <c r="F6597" s="5" t="str">
        <f>HYPERLINK("https://dpmzos25m8ivg.cloudfront.net/Documentos/631/37836104869/6313783610486910092023210355.pdf","https://dpmzos25m8ivg.cloudfront.net/Documentos/631/37836104869/6313783610486910092023210355.pdf")</f>
        <v>https://dpmzos25m8ivg.cloudfront.net/Documentos/631/37836104869/6313783610486910092023210355.pdf</v>
      </c>
      <c r="G6597" s="5" t="str">
        <f>HYPERLINK("https://dpmzos25m8ivg.cloudfront.net/Documentos/631/37836104869/6313783610486910092023210414.pdf","https://dpmzos25m8ivg.cloudfront.net/Documentos/631/37836104869/6313783610486910092023210414.pdf")</f>
        <v>https://dpmzos25m8ivg.cloudfront.net/Documentos/631/37836104869/6313783610486910092023210414.pdf</v>
      </c>
      <c r="H6597" s="5" t="s">
        <v>15167</v>
      </c>
    </row>
    <row r="6598" spans="1:8" x14ac:dyDescent="0.25">
      <c r="A6598" s="2" t="s">
        <v>6625</v>
      </c>
      <c r="B6598" s="3" t="s">
        <v>42</v>
      </c>
      <c r="C6598" s="3"/>
      <c r="D6598" s="3"/>
      <c r="E6598" s="5" t="str">
        <f>HYPERLINK("https://dpmzos25m8ivg.cloudfront.net/Documentos/631/37836482898/6313783648289811092023162804.jpg","https://dpmzos25m8ivg.cloudfront.net/Documentos/631/37836482898/6313783648289811092023162804.jpg")</f>
        <v>https://dpmzos25m8ivg.cloudfront.net/Documentos/631/37836482898/6313783648289811092023162804.jpg</v>
      </c>
      <c r="F6598" s="5" t="str">
        <f>HYPERLINK("https://dpmzos25m8ivg.cloudfront.net/Documentos/631/37836482898/6313783648289811092023163000.jpg","https://dpmzos25m8ivg.cloudfront.net/Documentos/631/37836482898/6313783648289811092023163000.jpg")</f>
        <v>https://dpmzos25m8ivg.cloudfront.net/Documentos/631/37836482898/6313783648289811092023163000.jpg</v>
      </c>
      <c r="G6598" s="5" t="str">
        <f>HYPERLINK("https://dpmzos25m8ivg.cloudfront.net/Documentos/631/37836482898/6313783648289811092023163040.jpg","https://dpmzos25m8ivg.cloudfront.net/Documentos/631/37836482898/6313783648289811092023163040.jpg")</f>
        <v>https://dpmzos25m8ivg.cloudfront.net/Documentos/631/37836482898/6313783648289811092023163040.jpg</v>
      </c>
      <c r="H6598" s="5" t="s">
        <v>15168</v>
      </c>
    </row>
    <row r="6599" spans="1:8" x14ac:dyDescent="0.25">
      <c r="A6599" s="2" t="s">
        <v>6626</v>
      </c>
      <c r="B6599" s="3"/>
      <c r="C6599" s="3"/>
      <c r="D6599" s="3"/>
      <c r="E6599" s="5" t="str">
        <f>HYPERLINK("https://dpmzos25m8ivg.cloudfront.net/Documentos/631/37852141897/6313785214189708092023184549.pdf","https://dpmzos25m8ivg.cloudfront.net/Documentos/631/37852141897/6313785214189708092023184549.pdf")</f>
        <v>https://dpmzos25m8ivg.cloudfront.net/Documentos/631/37852141897/6313785214189708092023184549.pdf</v>
      </c>
      <c r="F6599" s="5" t="str">
        <f>HYPERLINK("https://dpmzos25m8ivg.cloudfront.net/Documentos/631/37852141897/6313785214189708092023184604.pdf","https://dpmzos25m8ivg.cloudfront.net/Documentos/631/37852141897/6313785214189708092023184604.pdf")</f>
        <v>https://dpmzos25m8ivg.cloudfront.net/Documentos/631/37852141897/6313785214189708092023184604.pdf</v>
      </c>
      <c r="G6599" s="5" t="str">
        <f>HYPERLINK("https://dpmzos25m8ivg.cloudfront.net/Documentos/631/37852141897/6313785214189708092023184630.pdf","https://dpmzos25m8ivg.cloudfront.net/Documentos/631/37852141897/6313785214189708092023184630.pdf")</f>
        <v>https://dpmzos25m8ivg.cloudfront.net/Documentos/631/37852141897/6313785214189708092023184630.pdf</v>
      </c>
      <c r="H6599" s="5" t="s">
        <v>15169</v>
      </c>
    </row>
    <row r="6600" spans="1:8" x14ac:dyDescent="0.25">
      <c r="A6600" s="2" t="s">
        <v>6627</v>
      </c>
      <c r="B6600" s="3"/>
      <c r="C6600" s="3"/>
      <c r="D6600" s="3"/>
      <c r="E6600" s="5" t="str">
        <f>HYPERLINK("https://dpmzos25m8ivg.cloudfront.net/Documentos/631/37854992568/6313785499256811092023120312.pdf","https://dpmzos25m8ivg.cloudfront.net/Documentos/631/37854992568/6313785499256811092023120312.pdf")</f>
        <v>https://dpmzos25m8ivg.cloudfront.net/Documentos/631/37854992568/6313785499256811092023120312.pdf</v>
      </c>
      <c r="F6600" s="5" t="str">
        <f>HYPERLINK("https://dpmzos25m8ivg.cloudfront.net/Documentos/631/37854992568/6313785499256811092023120330.pdf","https://dpmzos25m8ivg.cloudfront.net/Documentos/631/37854992568/6313785499256811092023120330.pdf")</f>
        <v>https://dpmzos25m8ivg.cloudfront.net/Documentos/631/37854992568/6313785499256811092023120330.pdf</v>
      </c>
      <c r="G6600" s="5" t="str">
        <f>HYPERLINK("https://dpmzos25m8ivg.cloudfront.net/Documentos/631/37854992568/6313785499256811092023120356.pdf","https://dpmzos25m8ivg.cloudfront.net/Documentos/631/37854992568/6313785499256811092023120356.pdf")</f>
        <v>https://dpmzos25m8ivg.cloudfront.net/Documentos/631/37854992568/6313785499256811092023120356.pdf</v>
      </c>
      <c r="H6600" s="5" t="s">
        <v>15170</v>
      </c>
    </row>
    <row r="6601" spans="1:8" x14ac:dyDescent="0.25">
      <c r="A6601" s="2" t="s">
        <v>6628</v>
      </c>
      <c r="B6601" s="3"/>
      <c r="C6601" s="3"/>
      <c r="D6601" s="3"/>
      <c r="E6601" s="5" t="str">
        <f>HYPERLINK("https://dpmzos25m8ivg.cloudfront.net/Documentos/631/37857824895/6313785782489505092023224654.pdf","https://dpmzos25m8ivg.cloudfront.net/Documentos/631/37857824895/6313785782489505092023224654.pdf")</f>
        <v>https://dpmzos25m8ivg.cloudfront.net/Documentos/631/37857824895/6313785782489505092023224654.pdf</v>
      </c>
      <c r="F6601" s="5" t="str">
        <f>HYPERLINK("https://dpmzos25m8ivg.cloudfront.net/Documentos/631/37857824895/6313785782489505092023224716.pdf","https://dpmzos25m8ivg.cloudfront.net/Documentos/631/37857824895/6313785782489505092023224716.pdf")</f>
        <v>https://dpmzos25m8ivg.cloudfront.net/Documentos/631/37857824895/6313785782489505092023224716.pdf</v>
      </c>
      <c r="G6601" s="5" t="str">
        <f>HYPERLINK("https://dpmzos25m8ivg.cloudfront.net/Documentos/631/37857824895/6313785782489505092023224740.pdf","https://dpmzos25m8ivg.cloudfront.net/Documentos/631/37857824895/6313785782489505092023224740.pdf")</f>
        <v>https://dpmzos25m8ivg.cloudfront.net/Documentos/631/37857824895/6313785782489505092023224740.pdf</v>
      </c>
      <c r="H6601" s="5" t="s">
        <v>15171</v>
      </c>
    </row>
    <row r="6602" spans="1:8" x14ac:dyDescent="0.25">
      <c r="A6602" s="2" t="s">
        <v>6629</v>
      </c>
      <c r="B6602" s="3"/>
      <c r="C6602" s="3"/>
      <c r="D6602" s="3"/>
      <c r="E6602" s="5" t="str">
        <f>HYPERLINK("https://dpmzos25m8ivg.cloudfront.net/Documentos/631/37925185899/6313792518589910092023220015.pdf","https://dpmzos25m8ivg.cloudfront.net/Documentos/631/37925185899/6313792518589910092023220015.pdf")</f>
        <v>https://dpmzos25m8ivg.cloudfront.net/Documentos/631/37925185899/6313792518589910092023220015.pdf</v>
      </c>
      <c r="F6602" s="5" t="str">
        <f>HYPERLINK("https://dpmzos25m8ivg.cloudfront.net/Documentos/631/37925185899/6313792518589910092023220031.pdf","https://dpmzos25m8ivg.cloudfront.net/Documentos/631/37925185899/6313792518589910092023220031.pdf")</f>
        <v>https://dpmzos25m8ivg.cloudfront.net/Documentos/631/37925185899/6313792518589910092023220031.pdf</v>
      </c>
      <c r="G6602" s="5" t="str">
        <f>HYPERLINK("https://dpmzos25m8ivg.cloudfront.net/Documentos/631/37925185899/6313792518589910092023220047.pdf","https://dpmzos25m8ivg.cloudfront.net/Documentos/631/37925185899/6313792518589910092023220047.pdf")</f>
        <v>https://dpmzos25m8ivg.cloudfront.net/Documentos/631/37925185899/6313792518589910092023220047.pdf</v>
      </c>
      <c r="H6602" s="5" t="s">
        <v>15172</v>
      </c>
    </row>
    <row r="6603" spans="1:8" x14ac:dyDescent="0.25">
      <c r="A6603" s="2" t="s">
        <v>6630</v>
      </c>
      <c r="B6603" s="3" t="s">
        <v>8</v>
      </c>
      <c r="C6603" s="3"/>
      <c r="D6603" s="3"/>
      <c r="E6603" s="5" t="str">
        <f>HYPERLINK("https://dpmzos25m8ivg.cloudfront.net/Documentos/631/37940023187/6313794002318711092023161749.pdf","https://dpmzos25m8ivg.cloudfront.net/Documentos/631/37940023187/6313794002318711092023161749.pdf")</f>
        <v>https://dpmzos25m8ivg.cloudfront.net/Documentos/631/37940023187/6313794002318711092023161749.pdf</v>
      </c>
      <c r="F6603" s="5" t="str">
        <f>HYPERLINK("https://dpmzos25m8ivg.cloudfront.net/Documentos/631/37940023187/6313794002318711092023161814.pdf","https://dpmzos25m8ivg.cloudfront.net/Documentos/631/37940023187/6313794002318711092023161814.pdf")</f>
        <v>https://dpmzos25m8ivg.cloudfront.net/Documentos/631/37940023187/6313794002318711092023161814.pdf</v>
      </c>
      <c r="G6603" s="5" t="str">
        <f>HYPERLINK("https://dpmzos25m8ivg.cloudfront.net/Documentos/631/37940023187/6313794002318711092023161830.pdf","https://dpmzos25m8ivg.cloudfront.net/Documentos/631/37940023187/6313794002318711092023161830.pdf")</f>
        <v>https://dpmzos25m8ivg.cloudfront.net/Documentos/631/37940023187/6313794002318711092023161830.pdf</v>
      </c>
      <c r="H6603" s="5" t="s">
        <v>15173</v>
      </c>
    </row>
    <row r="6604" spans="1:8" x14ac:dyDescent="0.25">
      <c r="A6604" s="2" t="s">
        <v>6631</v>
      </c>
      <c r="B6604" s="3"/>
      <c r="C6604" s="3"/>
      <c r="D6604" s="3"/>
      <c r="E6604" s="5" t="str">
        <f>HYPERLINK("https://dpmzos25m8ivg.cloudfront.net/Documentos/631/37956589851/6313795658985105092023214100.pdf","https://dpmzos25m8ivg.cloudfront.net/Documentos/631/37956589851/6313795658985105092023214100.pdf")</f>
        <v>https://dpmzos25m8ivg.cloudfront.net/Documentos/631/37956589851/6313795658985105092023214100.pdf</v>
      </c>
      <c r="F6604" s="5" t="str">
        <f>HYPERLINK("https://dpmzos25m8ivg.cloudfront.net/Documentos/631/37956589851/6313795658985105092023214109.pdf","https://dpmzos25m8ivg.cloudfront.net/Documentos/631/37956589851/6313795658985105092023214109.pdf")</f>
        <v>https://dpmzos25m8ivg.cloudfront.net/Documentos/631/37956589851/6313795658985105092023214109.pdf</v>
      </c>
      <c r="G6604" s="5" t="str">
        <f>HYPERLINK("https://dpmzos25m8ivg.cloudfront.net/Documentos/631/37956589851/6313795658985105092023214120.pdf","https://dpmzos25m8ivg.cloudfront.net/Documentos/631/37956589851/6313795658985105092023214120.pdf")</f>
        <v>https://dpmzos25m8ivg.cloudfront.net/Documentos/631/37956589851/6313795658985105092023214120.pdf</v>
      </c>
      <c r="H6604" s="5" t="s">
        <v>15174</v>
      </c>
    </row>
    <row r="6605" spans="1:8" x14ac:dyDescent="0.25">
      <c r="A6605" s="2" t="s">
        <v>6632</v>
      </c>
      <c r="B6605" s="3"/>
      <c r="C6605" s="3"/>
      <c r="D6605" s="3"/>
      <c r="E6605" s="8" t="str">
        <f>HYPERLINK("https://dpmzos25m8ivg.cloudfront.net/Documentos/631/37974126817/6313797412681705092023092619.pdf","https://dpmzos25m8ivg.cloudfront.net/Documentos/631/37974126817/6313797412681705092023092619.pdf")</f>
        <v>https://dpmzos25m8ivg.cloudfront.net/Documentos/631/37974126817/6313797412681705092023092619.pdf</v>
      </c>
      <c r="F6605" s="5" t="str">
        <f>HYPERLINK("https://dpmzos25m8ivg.cloudfront.net/Documentos/631/37974126817/6313797412681705092023092648.pdf","https://dpmzos25m8ivg.cloudfront.net/Documentos/631/37974126817/6313797412681705092023092648.pdf")</f>
        <v>https://dpmzos25m8ivg.cloudfront.net/Documentos/631/37974126817/6313797412681705092023092648.pdf</v>
      </c>
      <c r="G6605" s="5" t="str">
        <f>HYPERLINK("https://dpmzos25m8ivg.cloudfront.net/Documentos/631/37974126817/6313797412681705092023092659.pdf","https://dpmzos25m8ivg.cloudfront.net/Documentos/631/37974126817/6313797412681705092023092659.pdf")</f>
        <v>https://dpmzos25m8ivg.cloudfront.net/Documentos/631/37974126817/6313797412681705092023092659.pdf</v>
      </c>
      <c r="H6605" s="5" t="s">
        <v>15175</v>
      </c>
    </row>
    <row r="6606" spans="1:8" x14ac:dyDescent="0.25">
      <c r="A6606" s="2" t="s">
        <v>6633</v>
      </c>
      <c r="B6606" s="3"/>
      <c r="C6606" s="3"/>
      <c r="D6606" s="3"/>
      <c r="E6606" s="5" t="str">
        <f>HYPERLINK("https://dpmzos25m8ivg.cloudfront.net/Documentos/631/37981863830/6313798186383013092023101316.pdf","https://dpmzos25m8ivg.cloudfront.net/Documentos/631/37981863830/6313798186383013092023101316.pdf")</f>
        <v>https://dpmzos25m8ivg.cloudfront.net/Documentos/631/37981863830/6313798186383013092023101316.pdf</v>
      </c>
      <c r="F6606" s="5" t="str">
        <f>HYPERLINK("https://dpmzos25m8ivg.cloudfront.net/Documentos/631/37981863830/6313798186383013092023101335.pdf","https://dpmzos25m8ivg.cloudfront.net/Documentos/631/37981863830/6313798186383013092023101335.pdf")</f>
        <v>https://dpmzos25m8ivg.cloudfront.net/Documentos/631/37981863830/6313798186383013092023101335.pdf</v>
      </c>
      <c r="G6606" s="5" t="str">
        <f>HYPERLINK("https://dpmzos25m8ivg.cloudfront.net/Documentos/631/37981863830/6313798186383013092023101343.pdf","https://dpmzos25m8ivg.cloudfront.net/Documentos/631/37981863830/6313798186383013092023101343.pdf")</f>
        <v>https://dpmzos25m8ivg.cloudfront.net/Documentos/631/37981863830/6313798186383013092023101343.pdf</v>
      </c>
      <c r="H6606" s="5" t="s">
        <v>15176</v>
      </c>
    </row>
    <row r="6607" spans="1:8" x14ac:dyDescent="0.25">
      <c r="A6607" s="2" t="s">
        <v>6634</v>
      </c>
      <c r="B6607" s="3"/>
      <c r="C6607" s="3"/>
      <c r="D6607" s="3"/>
      <c r="E6607" s="5" t="str">
        <f>HYPERLINK("https://dpmzos25m8ivg.cloudfront.net/Documentos/631/37988898809/6313798889880907092023123059.pdf","https://dpmzos25m8ivg.cloudfront.net/Documentos/631/37988898809/6313798889880907092023123059.pdf")</f>
        <v>https://dpmzos25m8ivg.cloudfront.net/Documentos/631/37988898809/6313798889880907092023123059.pdf</v>
      </c>
      <c r="F6607" s="5" t="str">
        <f>HYPERLINK("https://dpmzos25m8ivg.cloudfront.net/Documentos/631/37988898809/6313798889880907092023123111.pdf","https://dpmzos25m8ivg.cloudfront.net/Documentos/631/37988898809/6313798889880907092023123111.pdf")</f>
        <v>https://dpmzos25m8ivg.cloudfront.net/Documentos/631/37988898809/6313798889880907092023123111.pdf</v>
      </c>
      <c r="G6607" s="5" t="str">
        <f>HYPERLINK("https://dpmzos25m8ivg.cloudfront.net/Documentos/631/37988898809/6313798889880907092023123121.pdf","https://dpmzos25m8ivg.cloudfront.net/Documentos/631/37988898809/6313798889880907092023123121.pdf")</f>
        <v>https://dpmzos25m8ivg.cloudfront.net/Documentos/631/37988898809/6313798889880907092023123121.pdf</v>
      </c>
      <c r="H6607" s="5" t="s">
        <v>15177</v>
      </c>
    </row>
    <row r="6608" spans="1:8" x14ac:dyDescent="0.25">
      <c r="A6608" s="2" t="s">
        <v>6635</v>
      </c>
      <c r="B6608" s="3"/>
      <c r="C6608" s="3"/>
      <c r="D6608" s="3"/>
      <c r="E6608" s="5" t="str">
        <f>HYPERLINK("https://dpmzos25m8ivg.cloudfront.net/Documentos/631/37989916851/6313798991685110092023193721.pdf","https://dpmzos25m8ivg.cloudfront.net/Documentos/631/37989916851/6313798991685110092023193721.pdf")</f>
        <v>https://dpmzos25m8ivg.cloudfront.net/Documentos/631/37989916851/6313798991685110092023193721.pdf</v>
      </c>
      <c r="F6608" s="5" t="str">
        <f>HYPERLINK("https://dpmzos25m8ivg.cloudfront.net/Documentos/631/37989916851/6313798991685110092023193737.pdf","https://dpmzos25m8ivg.cloudfront.net/Documentos/631/37989916851/6313798991685110092023193737.pdf")</f>
        <v>https://dpmzos25m8ivg.cloudfront.net/Documentos/631/37989916851/6313798991685110092023193737.pdf</v>
      </c>
      <c r="G6608" s="5" t="str">
        <f>HYPERLINK("https://dpmzos25m8ivg.cloudfront.net/Documentos/631/37989916851/6313798991685110092023193744.pdf","https://dpmzos25m8ivg.cloudfront.net/Documentos/631/37989916851/6313798991685110092023193744.pdf")</f>
        <v>https://dpmzos25m8ivg.cloudfront.net/Documentos/631/37989916851/6313798991685110092023193744.pdf</v>
      </c>
      <c r="H6608" s="5" t="s">
        <v>15178</v>
      </c>
    </row>
    <row r="6609" spans="1:8" x14ac:dyDescent="0.25">
      <c r="A6609" s="2" t="s">
        <v>6636</v>
      </c>
      <c r="B6609" s="3"/>
      <c r="C6609" s="3"/>
      <c r="D6609" s="3"/>
      <c r="E6609" s="5" t="str">
        <f>HYPERLINK("https://dpmzos25m8ivg.cloudfront.net/Documentos/631/38015251800/6313801525180006092023204817.pdf","https://dpmzos25m8ivg.cloudfront.net/Documentos/631/38015251800/6313801525180006092023204817.pdf")</f>
        <v>https://dpmzos25m8ivg.cloudfront.net/Documentos/631/38015251800/6313801525180006092023204817.pdf</v>
      </c>
      <c r="F6609" s="5" t="str">
        <f>HYPERLINK("https://dpmzos25m8ivg.cloudfront.net/Documentos/631/38015251800/6313801525180006092023204836.pdf","https://dpmzos25m8ivg.cloudfront.net/Documentos/631/38015251800/6313801525180006092023204836.pdf")</f>
        <v>https://dpmzos25m8ivg.cloudfront.net/Documentos/631/38015251800/6313801525180006092023204836.pdf</v>
      </c>
      <c r="G6609" s="5" t="str">
        <f>HYPERLINK("https://dpmzos25m8ivg.cloudfront.net/Documentos/631/38015251800/6313801525180006092023204854.pdf","https://dpmzos25m8ivg.cloudfront.net/Documentos/631/38015251800/6313801525180006092023204854.pdf")</f>
        <v>https://dpmzos25m8ivg.cloudfront.net/Documentos/631/38015251800/6313801525180006092023204854.pdf</v>
      </c>
      <c r="H6609" s="5" t="s">
        <v>15179</v>
      </c>
    </row>
    <row r="6610" spans="1:8" x14ac:dyDescent="0.25">
      <c r="A6610" s="2" t="s">
        <v>6637</v>
      </c>
      <c r="B6610" s="3"/>
      <c r="C6610" s="3"/>
      <c r="D6610" s="3"/>
      <c r="E6610" s="5" t="str">
        <f>HYPERLINK("https://dpmzos25m8ivg.cloudfront.net/Documentos/631/38036261880/6313803626188007092023205628.pdf","https://dpmzos25m8ivg.cloudfront.net/Documentos/631/38036261880/6313803626188007092023205628.pdf")</f>
        <v>https://dpmzos25m8ivg.cloudfront.net/Documentos/631/38036261880/6313803626188007092023205628.pdf</v>
      </c>
      <c r="F6610" s="5" t="str">
        <f>HYPERLINK("https://dpmzos25m8ivg.cloudfront.net/Documentos/631/38036261880/6313803626188007092023205639.pdf","https://dpmzos25m8ivg.cloudfront.net/Documentos/631/38036261880/6313803626188007092023205639.pdf")</f>
        <v>https://dpmzos25m8ivg.cloudfront.net/Documentos/631/38036261880/6313803626188007092023205639.pdf</v>
      </c>
      <c r="G6610" s="5" t="str">
        <f>HYPERLINK("https://dpmzos25m8ivg.cloudfront.net/Documentos/631/38036261880/6313803626188007092023205652.pdf","https://dpmzos25m8ivg.cloudfront.net/Documentos/631/38036261880/6313803626188007092023205652.pdf")</f>
        <v>https://dpmzos25m8ivg.cloudfront.net/Documentos/631/38036261880/6313803626188007092023205652.pdf</v>
      </c>
      <c r="H6610" s="5" t="s">
        <v>15180</v>
      </c>
    </row>
    <row r="6611" spans="1:8" x14ac:dyDescent="0.25">
      <c r="A6611" s="2" t="s">
        <v>6638</v>
      </c>
      <c r="B6611" s="3"/>
      <c r="C6611" s="3"/>
      <c r="D6611" s="3"/>
      <c r="E6611" s="5" t="str">
        <f>HYPERLINK("https://dpmzos25m8ivg.cloudfront.net/Documentos/631/38096126857/6313809612685705092023145958.pdf","https://dpmzos25m8ivg.cloudfront.net/Documentos/631/38096126857/6313809612685705092023145958.pdf")</f>
        <v>https://dpmzos25m8ivg.cloudfront.net/Documentos/631/38096126857/6313809612685705092023145958.pdf</v>
      </c>
      <c r="F6611" s="5" t="str">
        <f>HYPERLINK("https://dpmzos25m8ivg.cloudfront.net/Documentos/631/38096126857/6313809612685705092023150013.pdf","https://dpmzos25m8ivg.cloudfront.net/Documentos/631/38096126857/6313809612685705092023150013.pdf")</f>
        <v>https://dpmzos25m8ivg.cloudfront.net/Documentos/631/38096126857/6313809612685705092023150013.pdf</v>
      </c>
      <c r="G6611" s="5" t="str">
        <f>HYPERLINK("https://dpmzos25m8ivg.cloudfront.net/Documentos/631/38096126857/6313809612685705092023150027.pdf","https://dpmzos25m8ivg.cloudfront.net/Documentos/631/38096126857/6313809612685705092023150027.pdf")</f>
        <v>https://dpmzos25m8ivg.cloudfront.net/Documentos/631/38096126857/6313809612685705092023150027.pdf</v>
      </c>
      <c r="H6611" s="5" t="s">
        <v>15181</v>
      </c>
    </row>
    <row r="6612" spans="1:8" x14ac:dyDescent="0.25">
      <c r="A6612" s="2" t="s">
        <v>6639</v>
      </c>
      <c r="B6612" s="3"/>
      <c r="C6612" s="3"/>
      <c r="D6612" s="3"/>
      <c r="E6612" s="5" t="str">
        <f>HYPERLINK("https://dpmzos25m8ivg.cloudfront.net/Documentos/631/38108105846/6313810810584611092023155227.pdf","https://dpmzos25m8ivg.cloudfront.net/Documentos/631/38108105846/6313810810584611092023155227.pdf")</f>
        <v>https://dpmzos25m8ivg.cloudfront.net/Documentos/631/38108105846/6313810810584611092023155227.pdf</v>
      </c>
      <c r="F6612" s="5" t="str">
        <f>HYPERLINK("https://dpmzos25m8ivg.cloudfront.net/Documentos/631/38108105846/6313810810584611092023155450.pdf","https://dpmzos25m8ivg.cloudfront.net/Documentos/631/38108105846/6313810810584611092023155450.pdf")</f>
        <v>https://dpmzos25m8ivg.cloudfront.net/Documentos/631/38108105846/6313810810584611092023155450.pdf</v>
      </c>
      <c r="G6612" s="5" t="str">
        <f>HYPERLINK("https://dpmzos25m8ivg.cloudfront.net/Documentos/631/38108105846/6313810810584611092023155716.pdf","https://dpmzos25m8ivg.cloudfront.net/Documentos/631/38108105846/6313810810584611092023155716.pdf")</f>
        <v>https://dpmzos25m8ivg.cloudfront.net/Documentos/631/38108105846/6313810810584611092023155716.pdf</v>
      </c>
      <c r="H6612" s="5" t="s">
        <v>15182</v>
      </c>
    </row>
    <row r="6613" spans="1:8" x14ac:dyDescent="0.25">
      <c r="A6613" s="2" t="s">
        <v>6640</v>
      </c>
      <c r="B6613" s="3"/>
      <c r="C6613" s="3"/>
      <c r="D6613" s="3"/>
      <c r="E6613" s="5" t="str">
        <f>HYPERLINK("https://dpmzos25m8ivg.cloudfront.net/Documentos/631/38138751800/6313813875180011092023154455.pdf","https://dpmzos25m8ivg.cloudfront.net/Documentos/631/38138751800/6313813875180011092023154455.pdf")</f>
        <v>https://dpmzos25m8ivg.cloudfront.net/Documentos/631/38138751800/6313813875180011092023154455.pdf</v>
      </c>
      <c r="F6613" s="5" t="str">
        <f>HYPERLINK("https://dpmzos25m8ivg.cloudfront.net/Documentos/631/38138751800/6313813875180011092023154509.pdf","https://dpmzos25m8ivg.cloudfront.net/Documentos/631/38138751800/6313813875180011092023154509.pdf")</f>
        <v>https://dpmzos25m8ivg.cloudfront.net/Documentos/631/38138751800/6313813875180011092023154509.pdf</v>
      </c>
      <c r="G6613" s="5" t="str">
        <f>HYPERLINK("https://dpmzos25m8ivg.cloudfront.net/Documentos/631/38138751800/6313813875180011092023154521.pdf","https://dpmzos25m8ivg.cloudfront.net/Documentos/631/38138751800/6313813875180011092023154521.pdf")</f>
        <v>https://dpmzos25m8ivg.cloudfront.net/Documentos/631/38138751800/6313813875180011092023154521.pdf</v>
      </c>
      <c r="H6613" s="5" t="s">
        <v>15183</v>
      </c>
    </row>
    <row r="6614" spans="1:8" x14ac:dyDescent="0.25">
      <c r="A6614" s="2" t="s">
        <v>6641</v>
      </c>
      <c r="B6614" s="3"/>
      <c r="C6614" s="3"/>
      <c r="D6614" s="3"/>
      <c r="E6614" s="5" t="str">
        <f>HYPERLINK("https://dpmzos25m8ivg.cloudfront.net/Documentos/631/38170821851/6313817082185106092023203056.pdf","https://dpmzos25m8ivg.cloudfront.net/Documentos/631/38170821851/6313817082185106092023203056.pdf")</f>
        <v>https://dpmzos25m8ivg.cloudfront.net/Documentos/631/38170821851/6313817082185106092023203056.pdf</v>
      </c>
      <c r="F6614" s="5" t="str">
        <f>HYPERLINK("https://dpmzos25m8ivg.cloudfront.net/Documentos/631/38170821851/6313817082185106092023203149.pdf","https://dpmzos25m8ivg.cloudfront.net/Documentos/631/38170821851/6313817082185106092023203149.pdf")</f>
        <v>https://dpmzos25m8ivg.cloudfront.net/Documentos/631/38170821851/6313817082185106092023203149.pdf</v>
      </c>
      <c r="G6614" s="5" t="str">
        <f>HYPERLINK("https://dpmzos25m8ivg.cloudfront.net/Documentos/631/38170821851/6313817082185106092023203323.pdf","https://dpmzos25m8ivg.cloudfront.net/Documentos/631/38170821851/6313817082185106092023203323.pdf")</f>
        <v>https://dpmzos25m8ivg.cloudfront.net/Documentos/631/38170821851/6313817082185106092023203323.pdf</v>
      </c>
      <c r="H6614" s="5" t="s">
        <v>15184</v>
      </c>
    </row>
    <row r="6615" spans="1:8" x14ac:dyDescent="0.25">
      <c r="A6615" s="2" t="s">
        <v>6642</v>
      </c>
      <c r="B6615" s="3"/>
      <c r="C6615" s="3"/>
      <c r="D6615" s="3"/>
      <c r="E6615" s="5" t="str">
        <f>HYPERLINK("https://dpmzos25m8ivg.cloudfront.net/Documentos/631/38199286857/6313819928685711092023150206.jpeg","https://dpmzos25m8ivg.cloudfront.net/Documentos/631/38199286857/6313819928685711092023150206.jpeg")</f>
        <v>https://dpmzos25m8ivg.cloudfront.net/Documentos/631/38199286857/6313819928685711092023150206.jpeg</v>
      </c>
      <c r="F6615" s="5" t="str">
        <f>HYPERLINK("https://dpmzos25m8ivg.cloudfront.net/Documentos/631/38199286857/6313819928685711092023150218.jpeg","https://dpmzos25m8ivg.cloudfront.net/Documentos/631/38199286857/6313819928685711092023150218.jpeg")</f>
        <v>https://dpmzos25m8ivg.cloudfront.net/Documentos/631/38199286857/6313819928685711092023150218.jpeg</v>
      </c>
      <c r="G6615" s="5" t="str">
        <f>HYPERLINK("https://dpmzos25m8ivg.cloudfront.net/Documentos/631/38199286857/6313819928685711092023150258.jpeg","https://dpmzos25m8ivg.cloudfront.net/Documentos/631/38199286857/6313819928685711092023150258.jpeg")</f>
        <v>https://dpmzos25m8ivg.cloudfront.net/Documentos/631/38199286857/6313819928685711092023150258.jpeg</v>
      </c>
      <c r="H6615" s="5" t="s">
        <v>15185</v>
      </c>
    </row>
    <row r="6616" spans="1:8" x14ac:dyDescent="0.25">
      <c r="A6616" s="2" t="s">
        <v>6643</v>
      </c>
      <c r="B6616" s="6" t="s">
        <v>23</v>
      </c>
      <c r="C6616" s="3"/>
      <c r="D6616" s="3"/>
      <c r="E6616" s="5" t="str">
        <f>HYPERLINK("https://dpmzos25m8ivg.cloudfront.net/Documentos/631/38205689806/6313820568980614092023140352.jpg","https://dpmzos25m8ivg.cloudfront.net/Documentos/631/38205689806/6313820568980614092023140352.jpg")</f>
        <v>https://dpmzos25m8ivg.cloudfront.net/Documentos/631/38205689806/6313820568980614092023140352.jpg</v>
      </c>
      <c r="F6616" s="5" t="str">
        <f>HYPERLINK("https://dpmzos25m8ivg.cloudfront.net/Documentos/631/38205689806/6313820568980614092023140413.jpg","https://dpmzos25m8ivg.cloudfront.net/Documentos/631/38205689806/6313820568980614092023140413.jpg")</f>
        <v>https://dpmzos25m8ivg.cloudfront.net/Documentos/631/38205689806/6313820568980614092023140413.jpg</v>
      </c>
      <c r="G6616" s="5" t="str">
        <f>HYPERLINK("https://dpmzos25m8ivg.cloudfront.net/Documentos/631/38205689806/6313820568980614092023140439.jpg","https://dpmzos25m8ivg.cloudfront.net/Documentos/631/38205689806/6313820568980614092023140439.jpg")</f>
        <v>https://dpmzos25m8ivg.cloudfront.net/Documentos/631/38205689806/6313820568980614092023140439.jpg</v>
      </c>
      <c r="H6616" s="5" t="s">
        <v>15186</v>
      </c>
    </row>
    <row r="6617" spans="1:8" x14ac:dyDescent="0.25">
      <c r="A6617" s="2" t="s">
        <v>6644</v>
      </c>
      <c r="B6617" s="3"/>
      <c r="C6617" s="3"/>
      <c r="D6617" s="3"/>
      <c r="E6617" s="5" t="str">
        <f>HYPERLINK("https://dpmzos25m8ivg.cloudfront.net/Documentos/631/38219554819/6313821955481906092023125026.pdf","https://dpmzos25m8ivg.cloudfront.net/Documentos/631/38219554819/6313821955481906092023125026.pdf")</f>
        <v>https://dpmzos25m8ivg.cloudfront.net/Documentos/631/38219554819/6313821955481906092023125026.pdf</v>
      </c>
      <c r="F6617" s="5" t="str">
        <f>HYPERLINK("https://dpmzos25m8ivg.cloudfront.net/Documentos/631/38219554819/6313821955481906092023125230.pdf","https://dpmzos25m8ivg.cloudfront.net/Documentos/631/38219554819/6313821955481906092023125230.pdf")</f>
        <v>https://dpmzos25m8ivg.cloudfront.net/Documentos/631/38219554819/6313821955481906092023125230.pdf</v>
      </c>
      <c r="G6617" s="5" t="str">
        <f>HYPERLINK("https://dpmzos25m8ivg.cloudfront.net/Documentos/631/38219554819/6313821955481906092023125243.pdf","https://dpmzos25m8ivg.cloudfront.net/Documentos/631/38219554819/6313821955481906092023125243.pdf")</f>
        <v>https://dpmzos25m8ivg.cloudfront.net/Documentos/631/38219554819/6313821955481906092023125243.pdf</v>
      </c>
      <c r="H6617" s="5" t="s">
        <v>15187</v>
      </c>
    </row>
    <row r="6618" spans="1:8" x14ac:dyDescent="0.25">
      <c r="A6618" s="2" t="s">
        <v>6645</v>
      </c>
      <c r="B6618" s="3"/>
      <c r="C6618" s="3"/>
      <c r="D6618" s="3"/>
      <c r="E6618" s="5" t="str">
        <f>HYPERLINK("https://dpmzos25m8ivg.cloudfront.net/Documentos/631/38402734200/6313840273420008092023193733.jpg","https://dpmzos25m8ivg.cloudfront.net/Documentos/631/38402734200/6313840273420008092023193733.jpg")</f>
        <v>https://dpmzos25m8ivg.cloudfront.net/Documentos/631/38402734200/6313840273420008092023193733.jpg</v>
      </c>
      <c r="F6618" s="5" t="str">
        <f>HYPERLINK("https://dpmzos25m8ivg.cloudfront.net/Documentos/631/38402734200/6313840273420008092023204406.jpg","https://dpmzos25m8ivg.cloudfront.net/Documentos/631/38402734200/6313840273420008092023204406.jpg")</f>
        <v>https://dpmzos25m8ivg.cloudfront.net/Documentos/631/38402734200/6313840273420008092023204406.jpg</v>
      </c>
      <c r="G6618" s="5" t="str">
        <f>HYPERLINK("https://dpmzos25m8ivg.cloudfront.net/Documentos/631/38402734200/6313840273420008092023204534.jpg","https://dpmzos25m8ivg.cloudfront.net/Documentos/631/38402734200/6313840273420008092023204534.jpg")</f>
        <v>https://dpmzos25m8ivg.cloudfront.net/Documentos/631/38402734200/6313840273420008092023204534.jpg</v>
      </c>
      <c r="H6618" s="5" t="s">
        <v>15188</v>
      </c>
    </row>
    <row r="6619" spans="1:8" x14ac:dyDescent="0.25">
      <c r="A6619" s="2" t="s">
        <v>6646</v>
      </c>
      <c r="B6619" s="3"/>
      <c r="C6619" s="3"/>
      <c r="D6619" s="3"/>
      <c r="E6619" s="5" t="str">
        <f>HYPERLINK("https://dpmzos25m8ivg.cloudfront.net/Documentos/631/38405852875/6313840585287511092023002655.pdf","https://dpmzos25m8ivg.cloudfront.net/Documentos/631/38405852875/6313840585287511092023002655.pdf")</f>
        <v>https://dpmzos25m8ivg.cloudfront.net/Documentos/631/38405852875/6313840585287511092023002655.pdf</v>
      </c>
      <c r="F6619" s="5" t="str">
        <f>HYPERLINK("https://dpmzos25m8ivg.cloudfront.net/Documentos/631/38405852875/6313840585287511092023002713.pdf","https://dpmzos25m8ivg.cloudfront.net/Documentos/631/38405852875/6313840585287511092023002713.pdf")</f>
        <v>https://dpmzos25m8ivg.cloudfront.net/Documentos/631/38405852875/6313840585287511092023002713.pdf</v>
      </c>
      <c r="G6619" s="5" t="str">
        <f>HYPERLINK("https://dpmzos25m8ivg.cloudfront.net/Documentos/631/38405852875/6313840585287511092023002730.pdf","https://dpmzos25m8ivg.cloudfront.net/Documentos/631/38405852875/6313840585287511092023002730.pdf")</f>
        <v>https://dpmzos25m8ivg.cloudfront.net/Documentos/631/38405852875/6313840585287511092023002730.pdf</v>
      </c>
      <c r="H6619" s="5" t="s">
        <v>15189</v>
      </c>
    </row>
    <row r="6620" spans="1:8" x14ac:dyDescent="0.25">
      <c r="A6620" s="2" t="s">
        <v>6647</v>
      </c>
      <c r="B6620" s="3"/>
      <c r="C6620" s="3"/>
      <c r="D6620" s="3"/>
      <c r="E6620" s="5" t="str">
        <f>HYPERLINK("https://dpmzos25m8ivg.cloudfront.net/Documentos/631/38409506866/6313840950686610092023213405.jpg","https://dpmzos25m8ivg.cloudfront.net/Documentos/631/38409506866/6313840950686610092023213405.jpg")</f>
        <v>https://dpmzos25m8ivg.cloudfront.net/Documentos/631/38409506866/6313840950686610092023213405.jpg</v>
      </c>
      <c r="F6620" s="5" t="str">
        <f>HYPERLINK("https://dpmzos25m8ivg.cloudfront.net/Documentos/631/38409506866/6313840950686610092023213416.jpg","https://dpmzos25m8ivg.cloudfront.net/Documentos/631/38409506866/6313840950686610092023213416.jpg")</f>
        <v>https://dpmzos25m8ivg.cloudfront.net/Documentos/631/38409506866/6313840950686610092023213416.jpg</v>
      </c>
      <c r="G6620" s="5" t="str">
        <f>HYPERLINK("https://dpmzos25m8ivg.cloudfront.net/Documentos/631/38409506866/6313840950686610092023213425.jpg","https://dpmzos25m8ivg.cloudfront.net/Documentos/631/38409506866/6313840950686610092023213425.jpg")</f>
        <v>https://dpmzos25m8ivg.cloudfront.net/Documentos/631/38409506866/6313840950686610092023213425.jpg</v>
      </c>
      <c r="H6620" s="5" t="s">
        <v>15190</v>
      </c>
    </row>
    <row r="6621" spans="1:8" x14ac:dyDescent="0.25">
      <c r="A6621" s="2" t="s">
        <v>6648</v>
      </c>
      <c r="B6621" s="3"/>
      <c r="C6621" s="3"/>
      <c r="D6621" s="3"/>
      <c r="E6621" s="5" t="str">
        <f>HYPERLINK("https://dpmzos25m8ivg.cloudfront.net/Documentos/631/38450168848/6313845016884805092023143036.jpeg","https://dpmzos25m8ivg.cloudfront.net/Documentos/631/38450168848/6313845016884805092023143036.jpeg")</f>
        <v>https://dpmzos25m8ivg.cloudfront.net/Documentos/631/38450168848/6313845016884805092023143036.jpeg</v>
      </c>
      <c r="F6621" s="5" t="str">
        <f>HYPERLINK("https://dpmzos25m8ivg.cloudfront.net/Documentos/631/38450168848/6313845016884805092023143052.jpeg","https://dpmzos25m8ivg.cloudfront.net/Documentos/631/38450168848/6313845016884805092023143052.jpeg")</f>
        <v>https://dpmzos25m8ivg.cloudfront.net/Documentos/631/38450168848/6313845016884805092023143052.jpeg</v>
      </c>
      <c r="G6621" s="5" t="str">
        <f>HYPERLINK("https://dpmzos25m8ivg.cloudfront.net/Documentos/631/38450168848/6313845016884805092023143110.jpeg","https://dpmzos25m8ivg.cloudfront.net/Documentos/631/38450168848/6313845016884805092023143110.jpeg")</f>
        <v>https://dpmzos25m8ivg.cloudfront.net/Documentos/631/38450168848/6313845016884805092023143110.jpeg</v>
      </c>
      <c r="H6621" s="5" t="s">
        <v>15191</v>
      </c>
    </row>
    <row r="6622" spans="1:8" x14ac:dyDescent="0.25">
      <c r="A6622" s="2" t="s">
        <v>6649</v>
      </c>
      <c r="B6622" s="3"/>
      <c r="C6622" s="3"/>
      <c r="D6622" s="3"/>
      <c r="E6622" s="5" t="str">
        <f>HYPERLINK("https://dpmzos25m8ivg.cloudfront.net/Documentos/631/38499198899/6313849919889906092023185048.pdf","https://dpmzos25m8ivg.cloudfront.net/Documentos/631/38499198899/6313849919889906092023185048.pdf")</f>
        <v>https://dpmzos25m8ivg.cloudfront.net/Documentos/631/38499198899/6313849919889906092023185048.pdf</v>
      </c>
      <c r="F6622" s="5" t="str">
        <f>HYPERLINK("https://dpmzos25m8ivg.cloudfront.net/Documentos/631/38499198899/6313849919889906092023185055.pdf","https://dpmzos25m8ivg.cloudfront.net/Documentos/631/38499198899/6313849919889906092023185055.pdf")</f>
        <v>https://dpmzos25m8ivg.cloudfront.net/Documentos/631/38499198899/6313849919889906092023185055.pdf</v>
      </c>
      <c r="G6622" s="5" t="str">
        <f>HYPERLINK("https://dpmzos25m8ivg.cloudfront.net/Documentos/631/38499198899/6313849919889906092023185103.pdf","https://dpmzos25m8ivg.cloudfront.net/Documentos/631/38499198899/6313849919889906092023185103.pdf")</f>
        <v>https://dpmzos25m8ivg.cloudfront.net/Documentos/631/38499198899/6313849919889906092023185103.pdf</v>
      </c>
      <c r="H6622" s="5" t="s">
        <v>15192</v>
      </c>
    </row>
    <row r="6623" spans="1:8" x14ac:dyDescent="0.25">
      <c r="A6623" s="2" t="s">
        <v>6650</v>
      </c>
      <c r="B6623" s="3"/>
      <c r="C6623" s="3"/>
      <c r="D6623" s="3"/>
      <c r="E6623" s="5" t="str">
        <f>HYPERLINK("https://dpmzos25m8ivg.cloudfront.net/Documentos/631/38525029858/6313852502985805092023220146.jpg","https://dpmzos25m8ivg.cloudfront.net/Documentos/631/38525029858/6313852502985805092023220146.jpg")</f>
        <v>https://dpmzos25m8ivg.cloudfront.net/Documentos/631/38525029858/6313852502985805092023220146.jpg</v>
      </c>
      <c r="F6623" s="5" t="str">
        <f>HYPERLINK("https://dpmzos25m8ivg.cloudfront.net/Documentos/631/38525029858/6313852502985805092023220204.jpg","https://dpmzos25m8ivg.cloudfront.net/Documentos/631/38525029858/6313852502985805092023220204.jpg")</f>
        <v>https://dpmzos25m8ivg.cloudfront.net/Documentos/631/38525029858/6313852502985805092023220204.jpg</v>
      </c>
      <c r="G6623" s="5" t="str">
        <f>HYPERLINK("https://dpmzos25m8ivg.cloudfront.net/Documentos/631/38525029858/6313852502985805092023220219.jpg","https://dpmzos25m8ivg.cloudfront.net/Documentos/631/38525029858/6313852502985805092023220219.jpg")</f>
        <v>https://dpmzos25m8ivg.cloudfront.net/Documentos/631/38525029858/6313852502985805092023220219.jpg</v>
      </c>
      <c r="H6623" s="5" t="s">
        <v>15193</v>
      </c>
    </row>
    <row r="6624" spans="1:8" x14ac:dyDescent="0.25">
      <c r="A6624" s="2" t="s">
        <v>6651</v>
      </c>
      <c r="B6624" s="3"/>
      <c r="C6624" s="3"/>
      <c r="D6624" s="3"/>
      <c r="E6624" s="5" t="str">
        <f>HYPERLINK("https://dpmzos25m8ivg.cloudfront.net/Documentos/631/38530590821/6313853059082106092023145848.pdf","https://dpmzos25m8ivg.cloudfront.net/Documentos/631/38530590821/6313853059082106092023145848.pdf")</f>
        <v>https://dpmzos25m8ivg.cloudfront.net/Documentos/631/38530590821/6313853059082106092023145848.pdf</v>
      </c>
      <c r="F6624" s="5" t="str">
        <f>HYPERLINK("https://dpmzos25m8ivg.cloudfront.net/Documentos/631/38530590821/6313853059082106092023145901.pdf","https://dpmzos25m8ivg.cloudfront.net/Documentos/631/38530590821/6313853059082106092023145901.pdf")</f>
        <v>https://dpmzos25m8ivg.cloudfront.net/Documentos/631/38530590821/6313853059082106092023145901.pdf</v>
      </c>
      <c r="G6624" s="5" t="str">
        <f>HYPERLINK("https://dpmzos25m8ivg.cloudfront.net/Documentos/631/38530590821/6313853059082106092023145916.pdf","https://dpmzos25m8ivg.cloudfront.net/Documentos/631/38530590821/6313853059082106092023145916.pdf")</f>
        <v>https://dpmzos25m8ivg.cloudfront.net/Documentos/631/38530590821/6313853059082106092023145916.pdf</v>
      </c>
      <c r="H6624" s="5" t="s">
        <v>15194</v>
      </c>
    </row>
    <row r="6625" spans="1:8" x14ac:dyDescent="0.25">
      <c r="A6625" s="2" t="s">
        <v>6652</v>
      </c>
      <c r="B6625" s="3"/>
      <c r="C6625" s="3"/>
      <c r="D6625" s="3"/>
      <c r="E6625" s="5" t="str">
        <f>HYPERLINK("https://dpmzos25m8ivg.cloudfront.net/Documentos/631/38536490845/6313853649084513092023172252.jpeg","https://dpmzos25m8ivg.cloudfront.net/Documentos/631/38536490845/6313853649084513092023172252.jpeg")</f>
        <v>https://dpmzos25m8ivg.cloudfront.net/Documentos/631/38536490845/6313853649084513092023172252.jpeg</v>
      </c>
      <c r="F6625" s="5" t="str">
        <f>HYPERLINK("https://dpmzos25m8ivg.cloudfront.net/Documentos/631/38536490845/6313853649084513092023172305.jpeg","https://dpmzos25m8ivg.cloudfront.net/Documentos/631/38536490845/6313853649084513092023172305.jpeg")</f>
        <v>https://dpmzos25m8ivg.cloudfront.net/Documentos/631/38536490845/6313853649084513092023172305.jpeg</v>
      </c>
      <c r="G6625" s="5" t="str">
        <f>HYPERLINK("https://dpmzos25m8ivg.cloudfront.net/Documentos/631/38536490845/6313853649084513092023172320.jpeg","https://dpmzos25m8ivg.cloudfront.net/Documentos/631/38536490845/6313853649084513092023172320.jpeg")</f>
        <v>https://dpmzos25m8ivg.cloudfront.net/Documentos/631/38536490845/6313853649084513092023172320.jpeg</v>
      </c>
      <c r="H6625" s="5" t="s">
        <v>15195</v>
      </c>
    </row>
    <row r="6626" spans="1:8" x14ac:dyDescent="0.25">
      <c r="A6626" s="2" t="s">
        <v>6653</v>
      </c>
      <c r="B6626" s="3"/>
      <c r="C6626" s="3"/>
      <c r="D6626" s="3"/>
      <c r="E6626" s="5" t="str">
        <f>HYPERLINK("https://dpmzos25m8ivg.cloudfront.net/Documentos/631/38605039876/6313860503987610092023223042.jpg","https://dpmzos25m8ivg.cloudfront.net/Documentos/631/38605039876/6313860503987610092023223042.jpg")</f>
        <v>https://dpmzos25m8ivg.cloudfront.net/Documentos/631/38605039876/6313860503987610092023223042.jpg</v>
      </c>
      <c r="F6626" s="5" t="str">
        <f>HYPERLINK("https://dpmzos25m8ivg.cloudfront.net/Documentos/631/38605039876/6313860503987610092023223055.jpg","https://dpmzos25m8ivg.cloudfront.net/Documentos/631/38605039876/6313860503987610092023223055.jpg")</f>
        <v>https://dpmzos25m8ivg.cloudfront.net/Documentos/631/38605039876/6313860503987610092023223055.jpg</v>
      </c>
      <c r="G6626" s="5" t="str">
        <f>HYPERLINK("https://dpmzos25m8ivg.cloudfront.net/Documentos/631/38605039876/6313860503987610092023223107.jpg","https://dpmzos25m8ivg.cloudfront.net/Documentos/631/38605039876/6313860503987610092023223107.jpg")</f>
        <v>https://dpmzos25m8ivg.cloudfront.net/Documentos/631/38605039876/6313860503987610092023223107.jpg</v>
      </c>
      <c r="H6626" s="5" t="s">
        <v>15196</v>
      </c>
    </row>
    <row r="6627" spans="1:8" x14ac:dyDescent="0.25">
      <c r="A6627" s="2" t="s">
        <v>6654</v>
      </c>
      <c r="B6627" s="3"/>
      <c r="C6627" s="3"/>
      <c r="D6627" s="3"/>
      <c r="E6627" s="5" t="str">
        <f>HYPERLINK("https://dpmzos25m8ivg.cloudfront.net/Documentos/631/38666663812/6313866666381210092023114717.pdf","https://dpmzos25m8ivg.cloudfront.net/Documentos/631/38666663812/6313866666381210092023114717.pdf")</f>
        <v>https://dpmzos25m8ivg.cloudfront.net/Documentos/631/38666663812/6313866666381210092023114717.pdf</v>
      </c>
      <c r="F6627" s="5" t="str">
        <f>HYPERLINK("https://dpmzos25m8ivg.cloudfront.net/Documentos/631/38666663812/6313866666381210092023114734.pdf","https://dpmzos25m8ivg.cloudfront.net/Documentos/631/38666663812/6313866666381210092023114734.pdf")</f>
        <v>https://dpmzos25m8ivg.cloudfront.net/Documentos/631/38666663812/6313866666381210092023114734.pdf</v>
      </c>
      <c r="G6627" s="5" t="str">
        <f>HYPERLINK("https://dpmzos25m8ivg.cloudfront.net/Documentos/631/38666663812/6313866666381210092023114821.pdf","https://dpmzos25m8ivg.cloudfront.net/Documentos/631/38666663812/6313866666381210092023114821.pdf")</f>
        <v>https://dpmzos25m8ivg.cloudfront.net/Documentos/631/38666663812/6313866666381210092023114821.pdf</v>
      </c>
      <c r="H6627" s="5" t="s">
        <v>15197</v>
      </c>
    </row>
    <row r="6628" spans="1:8" x14ac:dyDescent="0.25">
      <c r="A6628" s="2" t="s">
        <v>6655</v>
      </c>
      <c r="B6628" s="3"/>
      <c r="C6628" s="3"/>
      <c r="D6628" s="3"/>
      <c r="E6628" s="5" t="str">
        <f>HYPERLINK("https://dpmzos25m8ivg.cloudfront.net/Documentos/631/38672864859/6313867286485910092023235142.pdf","https://dpmzos25m8ivg.cloudfront.net/Documentos/631/38672864859/6313867286485910092023235142.pdf")</f>
        <v>https://dpmzos25m8ivg.cloudfront.net/Documentos/631/38672864859/6313867286485910092023235142.pdf</v>
      </c>
      <c r="F6628" s="5" t="str">
        <f>HYPERLINK("https://dpmzos25m8ivg.cloudfront.net/Documentos/631/38672864859/6313867286485910092023235151.pdf","https://dpmzos25m8ivg.cloudfront.net/Documentos/631/38672864859/6313867286485910092023235151.pdf")</f>
        <v>https://dpmzos25m8ivg.cloudfront.net/Documentos/631/38672864859/6313867286485910092023235151.pdf</v>
      </c>
      <c r="G6628" s="5" t="str">
        <f>HYPERLINK("https://dpmzos25m8ivg.cloudfront.net/Documentos/631/38672864859/6313867286485910092023235200.pdf","https://dpmzos25m8ivg.cloudfront.net/Documentos/631/38672864859/6313867286485910092023235200.pdf")</f>
        <v>https://dpmzos25m8ivg.cloudfront.net/Documentos/631/38672864859/6313867286485910092023235200.pdf</v>
      </c>
      <c r="H6628" s="5" t="s">
        <v>15198</v>
      </c>
    </row>
    <row r="6629" spans="1:8" x14ac:dyDescent="0.25">
      <c r="A6629" s="2" t="s">
        <v>6656</v>
      </c>
      <c r="B6629" s="3"/>
      <c r="C6629" s="3"/>
      <c r="D6629" s="3"/>
      <c r="E6629" s="5" t="str">
        <f>HYPERLINK("https://dpmzos25m8ivg.cloudfront.net/Documentos/631/38687364253/6313868736425306092023144233.pdf","https://dpmzos25m8ivg.cloudfront.net/Documentos/631/38687364253/6313868736425306092023144233.pdf")</f>
        <v>https://dpmzos25m8ivg.cloudfront.net/Documentos/631/38687364253/6313868736425306092023144233.pdf</v>
      </c>
      <c r="F6629" s="5" t="str">
        <f>HYPERLINK("https://dpmzos25m8ivg.cloudfront.net/Documentos/631/38687364253/6313868736425306092023144249.pdf","https://dpmzos25m8ivg.cloudfront.net/Documentos/631/38687364253/6313868736425306092023144249.pdf")</f>
        <v>https://dpmzos25m8ivg.cloudfront.net/Documentos/631/38687364253/6313868736425306092023144249.pdf</v>
      </c>
      <c r="G6629" s="5" t="str">
        <f>HYPERLINK("https://dpmzos25m8ivg.cloudfront.net/Documentos/631/38687364253/6313868736425306092023144305.pdf","https://dpmzos25m8ivg.cloudfront.net/Documentos/631/38687364253/6313868736425306092023144305.pdf")</f>
        <v>https://dpmzos25m8ivg.cloudfront.net/Documentos/631/38687364253/6313868736425306092023144305.pdf</v>
      </c>
      <c r="H6629" s="5" t="s">
        <v>15199</v>
      </c>
    </row>
    <row r="6630" spans="1:8" x14ac:dyDescent="0.25">
      <c r="A6630" s="2" t="s">
        <v>6657</v>
      </c>
      <c r="B6630" s="3"/>
      <c r="C6630" s="3"/>
      <c r="D6630" s="3"/>
      <c r="E6630" s="5" t="str">
        <f>HYPERLINK("https://dpmzos25m8ivg.cloudfront.net/Documentos/631/38691785829/6313869178582910092023225935.pdf","https://dpmzos25m8ivg.cloudfront.net/Documentos/631/38691785829/6313869178582910092023225935.pdf")</f>
        <v>https://dpmzos25m8ivg.cloudfront.net/Documentos/631/38691785829/6313869178582910092023225935.pdf</v>
      </c>
      <c r="F6630" s="5" t="str">
        <f>HYPERLINK("https://dpmzos25m8ivg.cloudfront.net/Documentos/631/38691785829/6313869178582910092023225948.pdf","https://dpmzos25m8ivg.cloudfront.net/Documentos/631/38691785829/6313869178582910092023225948.pdf")</f>
        <v>https://dpmzos25m8ivg.cloudfront.net/Documentos/631/38691785829/6313869178582910092023225948.pdf</v>
      </c>
      <c r="G6630" s="5" t="str">
        <f>HYPERLINK("https://dpmzos25m8ivg.cloudfront.net/Documentos/631/38691785829/6313869178582910092023230004.pdf","https://dpmzos25m8ivg.cloudfront.net/Documentos/631/38691785829/6313869178582910092023230004.pdf")</f>
        <v>https://dpmzos25m8ivg.cloudfront.net/Documentos/631/38691785829/6313869178582910092023230004.pdf</v>
      </c>
      <c r="H6630" s="5" t="s">
        <v>15200</v>
      </c>
    </row>
    <row r="6631" spans="1:8" x14ac:dyDescent="0.25">
      <c r="A6631" s="2" t="s">
        <v>6658</v>
      </c>
      <c r="B6631" s="3" t="s">
        <v>8</v>
      </c>
      <c r="C6631" s="3"/>
      <c r="D6631" s="3"/>
      <c r="E6631" s="5" t="str">
        <f>HYPERLINK("https://dpmzos25m8ivg.cloudfront.net/Documentos/631/38718304885/6313871830488513092023205341.jpeg","https://dpmzos25m8ivg.cloudfront.net/Documentos/631/38718304885/6313871830488513092023205341.jpeg")</f>
        <v>https://dpmzos25m8ivg.cloudfront.net/Documentos/631/38718304885/6313871830488513092023205341.jpeg</v>
      </c>
      <c r="F6631" s="5" t="str">
        <f>HYPERLINK("https://dpmzos25m8ivg.cloudfront.net/Documentos/631/38718304885/6313871830488513092023205352.jpeg","https://dpmzos25m8ivg.cloudfront.net/Documentos/631/38718304885/6313871830488513092023205352.jpeg")</f>
        <v>https://dpmzos25m8ivg.cloudfront.net/Documentos/631/38718304885/6313871830488513092023205352.jpeg</v>
      </c>
      <c r="G6631" s="5" t="str">
        <f>HYPERLINK("https://dpmzos25m8ivg.cloudfront.net/Documentos/631/38718304885/6313871830488513092023205404.jpeg","https://dpmzos25m8ivg.cloudfront.net/Documentos/631/38718304885/6313871830488513092023205404.jpeg")</f>
        <v>https://dpmzos25m8ivg.cloudfront.net/Documentos/631/38718304885/6313871830488513092023205404.jpeg</v>
      </c>
      <c r="H6631" s="5" t="s">
        <v>15201</v>
      </c>
    </row>
    <row r="6632" spans="1:8" x14ac:dyDescent="0.25">
      <c r="A6632" s="2" t="s">
        <v>6659</v>
      </c>
      <c r="B6632" s="3"/>
      <c r="C6632" s="3"/>
      <c r="D6632" s="3"/>
      <c r="E6632" s="5" t="str">
        <f>HYPERLINK("https://dpmzos25m8ivg.cloudfront.net/Documentos/631/38721130892/6313872113089211092023062321.jpg","https://dpmzos25m8ivg.cloudfront.net/Documentos/631/38721130892/6313872113089211092023062321.jpg")</f>
        <v>https://dpmzos25m8ivg.cloudfront.net/Documentos/631/38721130892/6313872113089211092023062321.jpg</v>
      </c>
      <c r="F6632" s="5" t="str">
        <f>HYPERLINK("https://dpmzos25m8ivg.cloudfront.net/Documentos/631/38721130892/6313872113089211092023063159.jpg","https://dpmzos25m8ivg.cloudfront.net/Documentos/631/38721130892/6313872113089211092023063159.jpg")</f>
        <v>https://dpmzos25m8ivg.cloudfront.net/Documentos/631/38721130892/6313872113089211092023063159.jpg</v>
      </c>
      <c r="G6632" s="5" t="str">
        <f>HYPERLINK("https://dpmzos25m8ivg.cloudfront.net/Documentos/631/38721130892/6313872113089211092023062954.jpg","https://dpmzos25m8ivg.cloudfront.net/Documentos/631/38721130892/6313872113089211092023062954.jpg")</f>
        <v>https://dpmzos25m8ivg.cloudfront.net/Documentos/631/38721130892/6313872113089211092023062954.jpg</v>
      </c>
      <c r="H6632" s="5" t="s">
        <v>15202</v>
      </c>
    </row>
    <row r="6633" spans="1:8" x14ac:dyDescent="0.25">
      <c r="A6633" s="2" t="s">
        <v>6660</v>
      </c>
      <c r="B6633" s="3"/>
      <c r="C6633" s="3"/>
      <c r="D6633" s="3"/>
      <c r="E6633" s="5" t="str">
        <f>HYPERLINK("https://dpmzos25m8ivg.cloudfront.net/Documentos/631/38724081515/6313872408151507092023183201.jpg","https://dpmzos25m8ivg.cloudfront.net/Documentos/631/38724081515/6313872408151507092023183201.jpg")</f>
        <v>https://dpmzos25m8ivg.cloudfront.net/Documentos/631/38724081515/6313872408151507092023183201.jpg</v>
      </c>
      <c r="F6633" s="5" t="str">
        <f>HYPERLINK("https://dpmzos25m8ivg.cloudfront.net/Documentos/631/38724081515/6313872408151507092023183230.jpg","https://dpmzos25m8ivg.cloudfront.net/Documentos/631/38724081515/6313872408151507092023183230.jpg")</f>
        <v>https://dpmzos25m8ivg.cloudfront.net/Documentos/631/38724081515/6313872408151507092023183230.jpg</v>
      </c>
      <c r="G6633" s="5" t="str">
        <f>HYPERLINK("https://dpmzos25m8ivg.cloudfront.net/Documentos/631/38724081515/6313872408151507092023183308.jpg","https://dpmzos25m8ivg.cloudfront.net/Documentos/631/38724081515/6313872408151507092023183308.jpg")</f>
        <v>https://dpmzos25m8ivg.cloudfront.net/Documentos/631/38724081515/6313872408151507092023183308.jpg</v>
      </c>
      <c r="H6633" s="5" t="s">
        <v>15203</v>
      </c>
    </row>
    <row r="6634" spans="1:8" x14ac:dyDescent="0.25">
      <c r="A6634" s="2" t="s">
        <v>6661</v>
      </c>
      <c r="B6634" s="3"/>
      <c r="C6634" s="3"/>
      <c r="D6634" s="3"/>
      <c r="E6634" s="5" t="str">
        <f>HYPERLINK("https://dpmzos25m8ivg.cloudfront.net/Documentos/631/38727469875/6313872746987514092023011731.pdf","https://dpmzos25m8ivg.cloudfront.net/Documentos/631/38727469875/6313872746987514092023011731.pdf")</f>
        <v>https://dpmzos25m8ivg.cloudfront.net/Documentos/631/38727469875/6313872746987514092023011731.pdf</v>
      </c>
      <c r="F6634" s="5" t="str">
        <f>HYPERLINK("https://dpmzos25m8ivg.cloudfront.net/Documentos/631/38727469875/6313872746987514092023011751.pdf","https://dpmzos25m8ivg.cloudfront.net/Documentos/631/38727469875/6313872746987514092023011751.pdf")</f>
        <v>https://dpmzos25m8ivg.cloudfront.net/Documentos/631/38727469875/6313872746987514092023011751.pdf</v>
      </c>
      <c r="G6634" s="5" t="str">
        <f>HYPERLINK("https://dpmzos25m8ivg.cloudfront.net/Documentos/631/38727469875/6313872746987514092023011812.pdf","https://dpmzos25m8ivg.cloudfront.net/Documentos/631/38727469875/6313872746987514092023011812.pdf")</f>
        <v>https://dpmzos25m8ivg.cloudfront.net/Documentos/631/38727469875/6313872746987514092023011812.pdf</v>
      </c>
      <c r="H6634" s="5" t="s">
        <v>15204</v>
      </c>
    </row>
    <row r="6635" spans="1:8" x14ac:dyDescent="0.25">
      <c r="A6635" s="2" t="s">
        <v>6662</v>
      </c>
      <c r="B6635" s="3"/>
      <c r="C6635" s="3"/>
      <c r="D6635" s="3"/>
      <c r="E6635" s="5" t="str">
        <f>HYPERLINK("https://dpmzos25m8ivg.cloudfront.net/Documentos/631/38731491847/6313873149184711092023144303.pdf","https://dpmzos25m8ivg.cloudfront.net/Documentos/631/38731491847/6313873149184711092023144303.pdf")</f>
        <v>https://dpmzos25m8ivg.cloudfront.net/Documentos/631/38731491847/6313873149184711092023144303.pdf</v>
      </c>
      <c r="F6635" s="5" t="str">
        <f>HYPERLINK("https://dpmzos25m8ivg.cloudfront.net/Documentos/631/38731491847/6313873149184711092023144312.pdf","https://dpmzos25m8ivg.cloudfront.net/Documentos/631/38731491847/6313873149184711092023144312.pdf")</f>
        <v>https://dpmzos25m8ivg.cloudfront.net/Documentos/631/38731491847/6313873149184711092023144312.pdf</v>
      </c>
      <c r="G6635" s="5" t="str">
        <f>HYPERLINK("https://dpmzos25m8ivg.cloudfront.net/Documentos/631/38731491847/6313873149184711092023144321.pdf","https://dpmzos25m8ivg.cloudfront.net/Documentos/631/38731491847/6313873149184711092023144321.pdf")</f>
        <v>https://dpmzos25m8ivg.cloudfront.net/Documentos/631/38731491847/6313873149184711092023144321.pdf</v>
      </c>
      <c r="H6635" s="5" t="s">
        <v>15205</v>
      </c>
    </row>
    <row r="6636" spans="1:8" x14ac:dyDescent="0.25">
      <c r="A6636" s="2" t="s">
        <v>6663</v>
      </c>
      <c r="B6636" s="3"/>
      <c r="C6636" s="3"/>
      <c r="D6636" s="3"/>
      <c r="E6636" s="5" t="str">
        <f>HYPERLINK("https://dpmzos25m8ivg.cloudfront.net/Documentos/631/38747924802/6313874792480205092023151213.jpg","https://dpmzos25m8ivg.cloudfront.net/Documentos/631/38747924802/6313874792480205092023151213.jpg")</f>
        <v>https://dpmzos25m8ivg.cloudfront.net/Documentos/631/38747924802/6313874792480205092023151213.jpg</v>
      </c>
      <c r="F6636" s="5" t="str">
        <f>HYPERLINK("https://dpmzos25m8ivg.cloudfront.net/Documentos/631/38747924802/6313874792480205092023151223.jpg","https://dpmzos25m8ivg.cloudfront.net/Documentos/631/38747924802/6313874792480205092023151223.jpg")</f>
        <v>https://dpmzos25m8ivg.cloudfront.net/Documentos/631/38747924802/6313874792480205092023151223.jpg</v>
      </c>
      <c r="G6636" s="5" t="str">
        <f>HYPERLINK("https://dpmzos25m8ivg.cloudfront.net/Documentos/631/38747924802/6313874792480205092023151232.jpg","https://dpmzos25m8ivg.cloudfront.net/Documentos/631/38747924802/6313874792480205092023151232.jpg")</f>
        <v>https://dpmzos25m8ivg.cloudfront.net/Documentos/631/38747924802/6313874792480205092023151232.jpg</v>
      </c>
      <c r="H6636" s="5" t="s">
        <v>15206</v>
      </c>
    </row>
    <row r="6637" spans="1:8" x14ac:dyDescent="0.25">
      <c r="A6637" s="2" t="s">
        <v>6664</v>
      </c>
      <c r="B6637" s="3"/>
      <c r="C6637" s="3"/>
      <c r="D6637" s="3"/>
      <c r="E6637" s="5" t="str">
        <f>HYPERLINK("https://dpmzos25m8ivg.cloudfront.net/Documentos/631/38766251818/6313876625181805092023092520.jpg","https://dpmzos25m8ivg.cloudfront.net/Documentos/631/38766251818/6313876625181805092023092520.jpg")</f>
        <v>https://dpmzos25m8ivg.cloudfront.net/Documentos/631/38766251818/6313876625181805092023092520.jpg</v>
      </c>
      <c r="F6637" s="5" t="str">
        <f>HYPERLINK("https://dpmzos25m8ivg.cloudfront.net/Documentos/631/38766251818/6313876625181805092023092630.jpg","https://dpmzos25m8ivg.cloudfront.net/Documentos/631/38766251818/6313876625181805092023092630.jpg")</f>
        <v>https://dpmzos25m8ivg.cloudfront.net/Documentos/631/38766251818/6313876625181805092023092630.jpg</v>
      </c>
      <c r="G6637" s="5" t="str">
        <f>HYPERLINK("https://dpmzos25m8ivg.cloudfront.net/Documentos/631/38766251818/6313876625181805092023092649.jpg","https://dpmzos25m8ivg.cloudfront.net/Documentos/631/38766251818/6313876625181805092023092649.jpg")</f>
        <v>https://dpmzos25m8ivg.cloudfront.net/Documentos/631/38766251818/6313876625181805092023092649.jpg</v>
      </c>
      <c r="H6637" s="5" t="s">
        <v>15207</v>
      </c>
    </row>
    <row r="6638" spans="1:8" x14ac:dyDescent="0.25">
      <c r="A6638" s="2" t="s">
        <v>6665</v>
      </c>
      <c r="B6638" s="3" t="s">
        <v>8</v>
      </c>
      <c r="C6638" s="3"/>
      <c r="D6638" s="3"/>
      <c r="E6638" s="5" t="str">
        <f>HYPERLINK("https://dpmzos25m8ivg.cloudfront.net/Documentos/631/38829229822/6313882922982206092023142125.jpeg","https://dpmzos25m8ivg.cloudfront.net/Documentos/631/38829229822/6313882922982206092023142125.jpeg")</f>
        <v>https://dpmzos25m8ivg.cloudfront.net/Documentos/631/38829229822/6313882922982206092023142125.jpeg</v>
      </c>
      <c r="F6638" s="5" t="str">
        <f>HYPERLINK("https://dpmzos25m8ivg.cloudfront.net/Documentos/631/38829229822/6313882922982206092023142144.jpeg","https://dpmzos25m8ivg.cloudfront.net/Documentos/631/38829229822/6313882922982206092023142144.jpeg")</f>
        <v>https://dpmzos25m8ivg.cloudfront.net/Documentos/631/38829229822/6313882922982206092023142144.jpeg</v>
      </c>
      <c r="G6638" s="5" t="str">
        <f>HYPERLINK("https://dpmzos25m8ivg.cloudfront.net/Documentos/631/38829229822/6313882922982206092023142205.jpeg","https://dpmzos25m8ivg.cloudfront.net/Documentos/631/38829229822/6313882922982206092023142205.jpeg")</f>
        <v>https://dpmzos25m8ivg.cloudfront.net/Documentos/631/38829229822/6313882922982206092023142205.jpeg</v>
      </c>
      <c r="H6638" s="5" t="s">
        <v>15208</v>
      </c>
    </row>
    <row r="6639" spans="1:8" x14ac:dyDescent="0.25">
      <c r="A6639" s="2" t="s">
        <v>6666</v>
      </c>
      <c r="B6639" s="3" t="s">
        <v>8</v>
      </c>
      <c r="C6639" s="3"/>
      <c r="D6639" s="3"/>
      <c r="E6639" s="5" t="str">
        <f>HYPERLINK("https://dpmzos25m8ivg.cloudfront.net/Documentos/631/38861267149/6313886126714911092023160504.pdf","https://dpmzos25m8ivg.cloudfront.net/Documentos/631/38861267149/6313886126714911092023160504.pdf")</f>
        <v>https://dpmzos25m8ivg.cloudfront.net/Documentos/631/38861267149/6313886126714911092023160504.pdf</v>
      </c>
      <c r="F6639" s="5" t="str">
        <f>HYPERLINK("https://dpmzos25m8ivg.cloudfront.net/Documentos/631/38861267149/6313886126714911092023161030.pdf","https://dpmzos25m8ivg.cloudfront.net/Documentos/631/38861267149/6313886126714911092023161030.pdf")</f>
        <v>https://dpmzos25m8ivg.cloudfront.net/Documentos/631/38861267149/6313886126714911092023161030.pdf</v>
      </c>
      <c r="G6639" s="5" t="str">
        <f>HYPERLINK("https://dpmzos25m8ivg.cloudfront.net/Documentos/631/38861267149/6313886126714911092023170107.pdf","https://dpmzos25m8ivg.cloudfront.net/Documentos/631/38861267149/6313886126714911092023170107.pdf")</f>
        <v>https://dpmzos25m8ivg.cloudfront.net/Documentos/631/38861267149/6313886126714911092023170107.pdf</v>
      </c>
      <c r="H6639" s="5" t="s">
        <v>15209</v>
      </c>
    </row>
    <row r="6640" spans="1:8" x14ac:dyDescent="0.25">
      <c r="A6640" s="2" t="s">
        <v>6667</v>
      </c>
      <c r="B6640" s="3"/>
      <c r="C6640" s="3"/>
      <c r="D6640" s="3"/>
      <c r="E6640" s="5" t="str">
        <f>HYPERLINK("https://dpmzos25m8ivg.cloudfront.net/Documentos/631/38970534890/6313897053489013092023155701.pdf","https://dpmzos25m8ivg.cloudfront.net/Documentos/631/38970534890/6313897053489013092023155701.pdf")</f>
        <v>https://dpmzos25m8ivg.cloudfront.net/Documentos/631/38970534890/6313897053489013092023155701.pdf</v>
      </c>
      <c r="F6640" s="5" t="str">
        <f>HYPERLINK("https://dpmzos25m8ivg.cloudfront.net/Documentos/631/38970534890/6313897053489013092023155715.pdf","https://dpmzos25m8ivg.cloudfront.net/Documentos/631/38970534890/6313897053489013092023155715.pdf")</f>
        <v>https://dpmzos25m8ivg.cloudfront.net/Documentos/631/38970534890/6313897053489013092023155715.pdf</v>
      </c>
      <c r="G6640" s="5" t="str">
        <f>HYPERLINK("https://dpmzos25m8ivg.cloudfront.net/Documentos/631/38970534890/6313897053489013092023155724.pdf","https://dpmzos25m8ivg.cloudfront.net/Documentos/631/38970534890/6313897053489013092023155724.pdf")</f>
        <v>https://dpmzos25m8ivg.cloudfront.net/Documentos/631/38970534890/6313897053489013092023155724.pdf</v>
      </c>
      <c r="H6640" s="5" t="s">
        <v>15210</v>
      </c>
    </row>
    <row r="6641" spans="1:8" x14ac:dyDescent="0.25">
      <c r="A6641" s="2" t="s">
        <v>6668</v>
      </c>
      <c r="B6641" s="3"/>
      <c r="C6641" s="3"/>
      <c r="D6641" s="3"/>
      <c r="E6641" s="5" t="str">
        <f>HYPERLINK("https://dpmzos25m8ivg.cloudfront.net/Documentos/631/38989519870/6313898951987011092023093207.pdf","https://dpmzos25m8ivg.cloudfront.net/Documentos/631/38989519870/6313898951987011092023093207.pdf")</f>
        <v>https://dpmzos25m8ivg.cloudfront.net/Documentos/631/38989519870/6313898951987011092023093207.pdf</v>
      </c>
      <c r="F6641" s="5" t="str">
        <f>HYPERLINK("https://dpmzos25m8ivg.cloudfront.net/Documentos/631/38989519870/6313898951987011092023093214.pdf","https://dpmzos25m8ivg.cloudfront.net/Documentos/631/38989519870/6313898951987011092023093214.pdf")</f>
        <v>https://dpmzos25m8ivg.cloudfront.net/Documentos/631/38989519870/6313898951987011092023093214.pdf</v>
      </c>
      <c r="G6641" s="5" t="str">
        <f>HYPERLINK("https://dpmzos25m8ivg.cloudfront.net/Documentos/631/38989519870/6313898951987011092023093221.pdf","https://dpmzos25m8ivg.cloudfront.net/Documentos/631/38989519870/6313898951987011092023093221.pdf")</f>
        <v>https://dpmzos25m8ivg.cloudfront.net/Documentos/631/38989519870/6313898951987011092023093221.pdf</v>
      </c>
      <c r="H6641" s="5" t="s">
        <v>15211</v>
      </c>
    </row>
    <row r="6642" spans="1:8" x14ac:dyDescent="0.25">
      <c r="A6642" s="2" t="s">
        <v>6669</v>
      </c>
      <c r="B6642" s="3"/>
      <c r="C6642" s="3"/>
      <c r="D6642" s="3"/>
      <c r="E6642" s="5" t="str">
        <f>HYPERLINK("https://dpmzos25m8ivg.cloudfront.net/Documentos/631/39030198877/6313903019887711092023112111.jpg","https://dpmzos25m8ivg.cloudfront.net/Documentos/631/39030198877/6313903019887711092023112111.jpg")</f>
        <v>https://dpmzos25m8ivg.cloudfront.net/Documentos/631/39030198877/6313903019887711092023112111.jpg</v>
      </c>
      <c r="F6642" s="5" t="str">
        <f>HYPERLINK("https://dpmzos25m8ivg.cloudfront.net/Documentos/631/39030198877/6313903019887711092023112133.jpg","https://dpmzos25m8ivg.cloudfront.net/Documentos/631/39030198877/6313903019887711092023112133.jpg")</f>
        <v>https://dpmzos25m8ivg.cloudfront.net/Documentos/631/39030198877/6313903019887711092023112133.jpg</v>
      </c>
      <c r="G6642" s="5" t="str">
        <f>HYPERLINK("https://dpmzos25m8ivg.cloudfront.net/Documentos/631/39030198877/6313903019887711092023112151.jpg","https://dpmzos25m8ivg.cloudfront.net/Documentos/631/39030198877/6313903019887711092023112151.jpg")</f>
        <v>https://dpmzos25m8ivg.cloudfront.net/Documentos/631/39030198877/6313903019887711092023112151.jpg</v>
      </c>
      <c r="H6642" s="5" t="s">
        <v>15212</v>
      </c>
    </row>
    <row r="6643" spans="1:8" x14ac:dyDescent="0.25">
      <c r="A6643" s="2" t="s">
        <v>6670</v>
      </c>
      <c r="B6643" s="3" t="s">
        <v>8</v>
      </c>
      <c r="C6643" s="3"/>
      <c r="D6643" s="3"/>
      <c r="E6643" s="5" t="str">
        <f>HYPERLINK("https://dpmzos25m8ivg.cloudfront.net/Documentos/631/39084572890/6313908457289011092023164513.jpg","https://dpmzos25m8ivg.cloudfront.net/Documentos/631/39084572890/6313908457289011092023164513.jpg")</f>
        <v>https://dpmzos25m8ivg.cloudfront.net/Documentos/631/39084572890/6313908457289011092023164513.jpg</v>
      </c>
      <c r="F6643" s="5" t="str">
        <f>HYPERLINK("https://dpmzos25m8ivg.cloudfront.net/Documentos/631/39084572890/6313908457289011092023151847.jpg","https://dpmzos25m8ivg.cloudfront.net/Documentos/631/39084572890/6313908457289011092023151847.jpg")</f>
        <v>https://dpmzos25m8ivg.cloudfront.net/Documentos/631/39084572890/6313908457289011092023151847.jpg</v>
      </c>
      <c r="G6643" s="5" t="str">
        <f>HYPERLINK("https://dpmzos25m8ivg.cloudfront.net/Documentos/631/39084572890/6313908457289011092023151813.jpg","https://dpmzos25m8ivg.cloudfront.net/Documentos/631/39084572890/6313908457289011092023151813.jpg")</f>
        <v>https://dpmzos25m8ivg.cloudfront.net/Documentos/631/39084572890/6313908457289011092023151813.jpg</v>
      </c>
      <c r="H6643" s="5" t="s">
        <v>15213</v>
      </c>
    </row>
    <row r="6644" spans="1:8" x14ac:dyDescent="0.25">
      <c r="A6644" s="2" t="s">
        <v>6671</v>
      </c>
      <c r="B6644" s="6" t="s">
        <v>23</v>
      </c>
      <c r="C6644" s="3"/>
      <c r="D6644" s="3"/>
      <c r="E6644" s="5" t="str">
        <f>HYPERLINK("https://dpmzos25m8ivg.cloudfront.net/Documentos/631/39124637866/6313912463786612092023182102.jpg","https://dpmzos25m8ivg.cloudfront.net/Documentos/631/39124637866/6313912463786612092023182102.jpg")</f>
        <v>https://dpmzos25m8ivg.cloudfront.net/Documentos/631/39124637866/6313912463786612092023182102.jpg</v>
      </c>
      <c r="F6644" s="5" t="str">
        <f>HYPERLINK("https://dpmzos25m8ivg.cloudfront.net/Documentos/631/39124637866/6313912463786612092023182126.jpg","https://dpmzos25m8ivg.cloudfront.net/Documentos/631/39124637866/6313912463786612092023182126.jpg")</f>
        <v>https://dpmzos25m8ivg.cloudfront.net/Documentos/631/39124637866/6313912463786612092023182126.jpg</v>
      </c>
      <c r="G6644" s="5" t="str">
        <f>HYPERLINK("https://dpmzos25m8ivg.cloudfront.net/Documentos/631/39124637866/6313912463786612092023182339.jpg","https://dpmzos25m8ivg.cloudfront.net/Documentos/631/39124637866/6313912463786612092023182339.jpg")</f>
        <v>https://dpmzos25m8ivg.cloudfront.net/Documentos/631/39124637866/6313912463786612092023182339.jpg</v>
      </c>
      <c r="H6644" s="5" t="s">
        <v>15214</v>
      </c>
    </row>
    <row r="6645" spans="1:8" x14ac:dyDescent="0.25">
      <c r="A6645" s="2" t="s">
        <v>6672</v>
      </c>
      <c r="B6645" s="3" t="s">
        <v>197</v>
      </c>
      <c r="C6645" s="3"/>
      <c r="D6645" s="3"/>
      <c r="E6645" s="5" t="str">
        <f>HYPERLINK("https://dpmzos25m8ivg.cloudfront.net/Documentos/631/39136004855/6313913600485505092023161225.pdf","https://dpmzos25m8ivg.cloudfront.net/Documentos/631/39136004855/6313913600485505092023161225.pdf")</f>
        <v>https://dpmzos25m8ivg.cloudfront.net/Documentos/631/39136004855/6313913600485505092023161225.pdf</v>
      </c>
      <c r="F6645" s="5" t="str">
        <f>HYPERLINK("https://dpmzos25m8ivg.cloudfront.net/Documentos/631/39136004855/6313913600485505092023161236.pdf","https://dpmzos25m8ivg.cloudfront.net/Documentos/631/39136004855/6313913600485505092023161236.pdf")</f>
        <v>https://dpmzos25m8ivg.cloudfront.net/Documentos/631/39136004855/6313913600485505092023161236.pdf</v>
      </c>
      <c r="G6645" s="5" t="str">
        <f>HYPERLINK("https://dpmzos25m8ivg.cloudfront.net/Documentos/631/39136004855/6313913600485505092023161248.pdf","https://dpmzos25m8ivg.cloudfront.net/Documentos/631/39136004855/6313913600485505092023161248.pdf")</f>
        <v>https://dpmzos25m8ivg.cloudfront.net/Documentos/631/39136004855/6313913600485505092023161248.pdf</v>
      </c>
      <c r="H6645" s="5" t="s">
        <v>15215</v>
      </c>
    </row>
    <row r="6646" spans="1:8" x14ac:dyDescent="0.25">
      <c r="A6646" s="2" t="s">
        <v>6673</v>
      </c>
      <c r="B6646" s="3"/>
      <c r="C6646" s="3"/>
      <c r="D6646" s="3"/>
      <c r="E6646" s="5" t="str">
        <f>HYPERLINK("https://dpmzos25m8ivg.cloudfront.net/Documentos/631/39163187809/6313916318780905092023203107.pdf","https://dpmzos25m8ivg.cloudfront.net/Documentos/631/39163187809/6313916318780905092023203107.pdf")</f>
        <v>https://dpmzos25m8ivg.cloudfront.net/Documentos/631/39163187809/6313916318780905092023203107.pdf</v>
      </c>
      <c r="F6646" s="5" t="str">
        <f>HYPERLINK("https://dpmzos25m8ivg.cloudfront.net/Documentos/631/39163187809/6313916318780905092023203120.pdf","https://dpmzos25m8ivg.cloudfront.net/Documentos/631/39163187809/6313916318780905092023203120.pdf")</f>
        <v>https://dpmzos25m8ivg.cloudfront.net/Documentos/631/39163187809/6313916318780905092023203120.pdf</v>
      </c>
      <c r="G6646" s="5" t="str">
        <f>HYPERLINK("https://dpmzos25m8ivg.cloudfront.net/Documentos/631/39163187809/6313916318780905092023203133.pdf","https://dpmzos25m8ivg.cloudfront.net/Documentos/631/39163187809/6313916318780905092023203133.pdf")</f>
        <v>https://dpmzos25m8ivg.cloudfront.net/Documentos/631/39163187809/6313916318780905092023203133.pdf</v>
      </c>
      <c r="H6646" s="5" t="s">
        <v>15216</v>
      </c>
    </row>
    <row r="6647" spans="1:8" x14ac:dyDescent="0.25">
      <c r="A6647" s="2" t="s">
        <v>6674</v>
      </c>
      <c r="B6647" s="3"/>
      <c r="C6647" s="3"/>
      <c r="D6647" s="3"/>
      <c r="E6647" s="5" t="str">
        <f>HYPERLINK("https://dpmzos25m8ivg.cloudfront.net/Documentos/631/39189050800/6313918905080006092023190945.pdf","https://dpmzos25m8ivg.cloudfront.net/Documentos/631/39189050800/6313918905080006092023190945.pdf")</f>
        <v>https://dpmzos25m8ivg.cloudfront.net/Documentos/631/39189050800/6313918905080006092023190945.pdf</v>
      </c>
      <c r="F6647" s="5" t="str">
        <f>HYPERLINK("https://dpmzos25m8ivg.cloudfront.net/Documentos/631/39189050800/6313918905080006092023190956.pdf","https://dpmzos25m8ivg.cloudfront.net/Documentos/631/39189050800/6313918905080006092023190956.pdf")</f>
        <v>https://dpmzos25m8ivg.cloudfront.net/Documentos/631/39189050800/6313918905080006092023190956.pdf</v>
      </c>
      <c r="G6647" s="5" t="str">
        <f>HYPERLINK("https://dpmzos25m8ivg.cloudfront.net/Documentos/631/39189050800/6313918905080006092023191006.pdf","https://dpmzos25m8ivg.cloudfront.net/Documentos/631/39189050800/6313918905080006092023191006.pdf")</f>
        <v>https://dpmzos25m8ivg.cloudfront.net/Documentos/631/39189050800/6313918905080006092023191006.pdf</v>
      </c>
      <c r="H6647" s="5" t="s">
        <v>15217</v>
      </c>
    </row>
    <row r="6648" spans="1:8" x14ac:dyDescent="0.25">
      <c r="A6648" s="2" t="s">
        <v>6675</v>
      </c>
      <c r="B6648" s="3"/>
      <c r="C6648" s="3"/>
      <c r="D6648" s="3"/>
      <c r="E6648" s="5" t="str">
        <f>HYPERLINK("https://dpmzos25m8ivg.cloudfront.net/Documentos/631/39202748810/6313920274881005092023152326.pdf","https://dpmzos25m8ivg.cloudfront.net/Documentos/631/39202748810/6313920274881005092023152326.pdf")</f>
        <v>https://dpmzos25m8ivg.cloudfront.net/Documentos/631/39202748810/6313920274881005092023152326.pdf</v>
      </c>
      <c r="F6648" s="5" t="str">
        <f>HYPERLINK("https://dpmzos25m8ivg.cloudfront.net/Documentos/631/39202748810/6313920274881005092023152342.pdf","https://dpmzos25m8ivg.cloudfront.net/Documentos/631/39202748810/6313920274881005092023152342.pdf")</f>
        <v>https://dpmzos25m8ivg.cloudfront.net/Documentos/631/39202748810/6313920274881005092023152342.pdf</v>
      </c>
      <c r="G6648" s="5" t="str">
        <f>HYPERLINK("https://dpmzos25m8ivg.cloudfront.net/Documentos/631/39202748810/6313920274881005092023152355.pdf","https://dpmzos25m8ivg.cloudfront.net/Documentos/631/39202748810/6313920274881005092023152355.pdf")</f>
        <v>https://dpmzos25m8ivg.cloudfront.net/Documentos/631/39202748810/6313920274881005092023152355.pdf</v>
      </c>
      <c r="H6648" s="5" t="s">
        <v>15218</v>
      </c>
    </row>
    <row r="6649" spans="1:8" x14ac:dyDescent="0.25">
      <c r="A6649" s="2" t="s">
        <v>6676</v>
      </c>
      <c r="B6649" s="3" t="s">
        <v>23</v>
      </c>
      <c r="C6649" s="3"/>
      <c r="D6649" s="3"/>
      <c r="E6649" s="5" t="str">
        <f>HYPERLINK("https://dpmzos25m8ivg.cloudfront.net/Documentos/631/39238381828/6313923838182804092023220610.pdf","https://dpmzos25m8ivg.cloudfront.net/Documentos/631/39238381828/6313923838182804092023220610.pdf")</f>
        <v>https://dpmzos25m8ivg.cloudfront.net/Documentos/631/39238381828/6313923838182804092023220610.pdf</v>
      </c>
      <c r="F6649" s="5" t="str">
        <f>HYPERLINK("https://dpmzos25m8ivg.cloudfront.net/Documentos/631/39238381828/6313923838182804092023221527.pdf","https://dpmzos25m8ivg.cloudfront.net/Documentos/631/39238381828/6313923838182804092023221527.pdf")</f>
        <v>https://dpmzos25m8ivg.cloudfront.net/Documentos/631/39238381828/6313923838182804092023221527.pdf</v>
      </c>
      <c r="G6649" s="5" t="str">
        <f>HYPERLINK("https://dpmzos25m8ivg.cloudfront.net/Documentos/631/39238381828/6313923838182804092023215121.pdf","https://dpmzos25m8ivg.cloudfront.net/Documentos/631/39238381828/6313923838182804092023215121.pdf")</f>
        <v>https://dpmzos25m8ivg.cloudfront.net/Documentos/631/39238381828/6313923838182804092023215121.pdf</v>
      </c>
      <c r="H6649" s="5" t="s">
        <v>15219</v>
      </c>
    </row>
    <row r="6650" spans="1:8" x14ac:dyDescent="0.25">
      <c r="A6650" s="2" t="s">
        <v>6677</v>
      </c>
      <c r="B6650" s="3"/>
      <c r="C6650" s="3"/>
      <c r="D6650" s="3"/>
      <c r="E6650" s="5" t="str">
        <f>HYPERLINK("https://dpmzos25m8ivg.cloudfront.net/Documentos/631/39425677840/6313942567784013092023145427.pdf","https://dpmzos25m8ivg.cloudfront.net/Documentos/631/39425677840/6313942567784013092023145427.pdf")</f>
        <v>https://dpmzos25m8ivg.cloudfront.net/Documentos/631/39425677840/6313942567784013092023145427.pdf</v>
      </c>
      <c r="F6650" s="5" t="str">
        <f>HYPERLINK("https://dpmzos25m8ivg.cloudfront.net/Documentos/631/39425677840/6313942567784013092023145435.pdf","https://dpmzos25m8ivg.cloudfront.net/Documentos/631/39425677840/6313942567784013092023145435.pdf")</f>
        <v>https://dpmzos25m8ivg.cloudfront.net/Documentos/631/39425677840/6313942567784013092023145435.pdf</v>
      </c>
      <c r="G6650" s="5" t="str">
        <f>HYPERLINK("https://dpmzos25m8ivg.cloudfront.net/Documentos/631/39425677840/6313942567784013092023145444.pdf","https://dpmzos25m8ivg.cloudfront.net/Documentos/631/39425677840/6313942567784013092023145444.pdf")</f>
        <v>https://dpmzos25m8ivg.cloudfront.net/Documentos/631/39425677840/6313942567784013092023145444.pdf</v>
      </c>
      <c r="H6650" s="5" t="s">
        <v>15220</v>
      </c>
    </row>
    <row r="6651" spans="1:8" x14ac:dyDescent="0.25">
      <c r="A6651" s="2" t="s">
        <v>6678</v>
      </c>
      <c r="B6651" s="3"/>
      <c r="C6651" s="3"/>
      <c r="D6651" s="3"/>
      <c r="E6651" s="5" t="str">
        <f>HYPERLINK("https://dpmzos25m8ivg.cloudfront.net/Documentos/631/39457387848/6313945738784811092023155035.jpeg","https://dpmzos25m8ivg.cloudfront.net/Documentos/631/39457387848/6313945738784811092023155035.jpeg")</f>
        <v>https://dpmzos25m8ivg.cloudfront.net/Documentos/631/39457387848/6313945738784811092023155035.jpeg</v>
      </c>
      <c r="F6651" s="5" t="str">
        <f>HYPERLINK("https://dpmzos25m8ivg.cloudfront.net/Documentos/631/39457387848/6313945738784811092023155046.jpeg","https://dpmzos25m8ivg.cloudfront.net/Documentos/631/39457387848/6313945738784811092023155046.jpeg")</f>
        <v>https://dpmzos25m8ivg.cloudfront.net/Documentos/631/39457387848/6313945738784811092023155046.jpeg</v>
      </c>
      <c r="G6651" s="5" t="str">
        <f>HYPERLINK("https://dpmzos25m8ivg.cloudfront.net/Documentos/631/39457387848/6313945738784811092023155053.jpeg","https://dpmzos25m8ivg.cloudfront.net/Documentos/631/39457387848/6313945738784811092023155053.jpeg")</f>
        <v>https://dpmzos25m8ivg.cloudfront.net/Documentos/631/39457387848/6313945738784811092023155053.jpeg</v>
      </c>
      <c r="H6651" s="5" t="s">
        <v>15221</v>
      </c>
    </row>
    <row r="6652" spans="1:8" x14ac:dyDescent="0.25">
      <c r="A6652" s="2" t="s">
        <v>6679</v>
      </c>
      <c r="B6652" s="3"/>
      <c r="C6652" s="3"/>
      <c r="D6652" s="3"/>
      <c r="E6652" s="5" t="str">
        <f>HYPERLINK("https://dpmzos25m8ivg.cloudfront.net/Documentos/631/39478206826/6313947820682611092023165001.pdf","https://dpmzos25m8ivg.cloudfront.net/Documentos/631/39478206826/6313947820682611092023165001.pdf")</f>
        <v>https://dpmzos25m8ivg.cloudfront.net/Documentos/631/39478206826/6313947820682611092023165001.pdf</v>
      </c>
      <c r="F6652" s="5" t="str">
        <f>HYPERLINK("https://dpmzos25m8ivg.cloudfront.net/Documentos/631/39478206826/6313947820682611092023165343.pdf","https://dpmzos25m8ivg.cloudfront.net/Documentos/631/39478206826/6313947820682611092023165343.pdf")</f>
        <v>https://dpmzos25m8ivg.cloudfront.net/Documentos/631/39478206826/6313947820682611092023165343.pdf</v>
      </c>
      <c r="G6652" s="5" t="str">
        <f>HYPERLINK("https://dpmzos25m8ivg.cloudfront.net/Documentos/631/39478206826/6313947820682611092023165357.pdf","https://dpmzos25m8ivg.cloudfront.net/Documentos/631/39478206826/6313947820682611092023165357.pdf")</f>
        <v>https://dpmzos25m8ivg.cloudfront.net/Documentos/631/39478206826/6313947820682611092023165357.pdf</v>
      </c>
      <c r="H6652" s="5" t="s">
        <v>15222</v>
      </c>
    </row>
    <row r="6653" spans="1:8" x14ac:dyDescent="0.25">
      <c r="A6653" s="2" t="s">
        <v>6680</v>
      </c>
      <c r="B6653" s="3"/>
      <c r="C6653" s="3"/>
      <c r="D6653" s="3"/>
      <c r="E6653" s="5" t="str">
        <f>HYPERLINK("https://dpmzos25m8ivg.cloudfront.net/Documentos/631/39490742520/6313949074252006092023124545.pdf","https://dpmzos25m8ivg.cloudfront.net/Documentos/631/39490742520/6313949074252006092023124545.pdf")</f>
        <v>https://dpmzos25m8ivg.cloudfront.net/Documentos/631/39490742520/6313949074252006092023124545.pdf</v>
      </c>
      <c r="F6653" s="5" t="str">
        <f>HYPERLINK("https://dpmzos25m8ivg.cloudfront.net/Documentos/631/39490742520/6313949074252006092023124640.pdf","https://dpmzos25m8ivg.cloudfront.net/Documentos/631/39490742520/6313949074252006092023124640.pdf")</f>
        <v>https://dpmzos25m8ivg.cloudfront.net/Documentos/631/39490742520/6313949074252006092023124640.pdf</v>
      </c>
      <c r="G6653" s="5" t="str">
        <f>HYPERLINK("https://dpmzos25m8ivg.cloudfront.net/Documentos/631/39490742520/6313949074252006092023124657.pdf","https://dpmzos25m8ivg.cloudfront.net/Documentos/631/39490742520/6313949074252006092023124657.pdf")</f>
        <v>https://dpmzos25m8ivg.cloudfront.net/Documentos/631/39490742520/6313949074252006092023124657.pdf</v>
      </c>
      <c r="H6653" s="5" t="s">
        <v>15223</v>
      </c>
    </row>
    <row r="6654" spans="1:8" x14ac:dyDescent="0.25">
      <c r="A6654" s="2" t="s">
        <v>6681</v>
      </c>
      <c r="B6654" s="3"/>
      <c r="C6654" s="3"/>
      <c r="D6654" s="3"/>
      <c r="E6654" s="5" t="str">
        <f>HYPERLINK("https://dpmzos25m8ivg.cloudfront.net/Documentos/631/39493806391/6313949380639105092023114323.pdf","https://dpmzos25m8ivg.cloudfront.net/Documentos/631/39493806391/6313949380639105092023114323.pdf")</f>
        <v>https://dpmzos25m8ivg.cloudfront.net/Documentos/631/39493806391/6313949380639105092023114323.pdf</v>
      </c>
      <c r="F6654" s="5" t="str">
        <f>HYPERLINK("https://dpmzos25m8ivg.cloudfront.net/Documentos/631/39493806391/6313949380639105092023114339.pdf","https://dpmzos25m8ivg.cloudfront.net/Documentos/631/39493806391/6313949380639105092023114339.pdf")</f>
        <v>https://dpmzos25m8ivg.cloudfront.net/Documentos/631/39493806391/6313949380639105092023114339.pdf</v>
      </c>
      <c r="G6654" s="5" t="str">
        <f>HYPERLINK("https://dpmzos25m8ivg.cloudfront.net/Documentos/631/39493806391/6313949380639105092023114358.pdf","https://dpmzos25m8ivg.cloudfront.net/Documentos/631/39493806391/6313949380639105092023114358.pdf")</f>
        <v>https://dpmzos25m8ivg.cloudfront.net/Documentos/631/39493806391/6313949380639105092023114358.pdf</v>
      </c>
      <c r="H6654" s="5" t="s">
        <v>15224</v>
      </c>
    </row>
    <row r="6655" spans="1:8" x14ac:dyDescent="0.25">
      <c r="A6655" s="2" t="s">
        <v>6682</v>
      </c>
      <c r="B6655" s="3"/>
      <c r="C6655" s="3"/>
      <c r="D6655" s="3"/>
      <c r="E6655" s="5" t="str">
        <f>HYPERLINK("https://dpmzos25m8ivg.cloudfront.net/Documentos/631/39498932883/6313949893288307092023000054.pdf","https://dpmzos25m8ivg.cloudfront.net/Documentos/631/39498932883/6313949893288307092023000054.pdf")</f>
        <v>https://dpmzos25m8ivg.cloudfront.net/Documentos/631/39498932883/6313949893288307092023000054.pdf</v>
      </c>
      <c r="F6655" s="5" t="str">
        <f>HYPERLINK("https://dpmzos25m8ivg.cloudfront.net/Documentos/631/39498932883/6313949893288307092023000136.pdf","https://dpmzos25m8ivg.cloudfront.net/Documentos/631/39498932883/6313949893288307092023000136.pdf")</f>
        <v>https://dpmzos25m8ivg.cloudfront.net/Documentos/631/39498932883/6313949893288307092023000136.pdf</v>
      </c>
      <c r="G6655" s="5" t="str">
        <f>HYPERLINK("https://dpmzos25m8ivg.cloudfront.net/Documentos/631/39498932883/6313949893288307092023000145.pdf","https://dpmzos25m8ivg.cloudfront.net/Documentos/631/39498932883/6313949893288307092023000145.pdf")</f>
        <v>https://dpmzos25m8ivg.cloudfront.net/Documentos/631/39498932883/6313949893288307092023000145.pdf</v>
      </c>
      <c r="H6655" s="5" t="s">
        <v>15225</v>
      </c>
    </row>
    <row r="6656" spans="1:8" x14ac:dyDescent="0.25">
      <c r="A6656" s="2" t="s">
        <v>6683</v>
      </c>
      <c r="B6656" s="3"/>
      <c r="C6656" s="3"/>
      <c r="D6656" s="3"/>
      <c r="E6656" s="5" t="str">
        <f>HYPERLINK("https://dpmzos25m8ivg.cloudfront.net/Documentos/631/39527809878/6313952780987811092023173229.pdf","https://dpmzos25m8ivg.cloudfront.net/Documentos/631/39527809878/6313952780987811092023173229.pdf")</f>
        <v>https://dpmzos25m8ivg.cloudfront.net/Documentos/631/39527809878/6313952780987811092023173229.pdf</v>
      </c>
      <c r="F6656" s="5" t="str">
        <f>HYPERLINK("https://dpmzos25m8ivg.cloudfront.net/Documentos/631/39527809878/6313952780987811092023173236.pdf","https://dpmzos25m8ivg.cloudfront.net/Documentos/631/39527809878/6313952780987811092023173236.pdf")</f>
        <v>https://dpmzos25m8ivg.cloudfront.net/Documentos/631/39527809878/6313952780987811092023173236.pdf</v>
      </c>
      <c r="G6656" s="5" t="str">
        <f>HYPERLINK("https://dpmzos25m8ivg.cloudfront.net/Documentos/631/39527809878/6313952780987811092023173242.pdf","https://dpmzos25m8ivg.cloudfront.net/Documentos/631/39527809878/6313952780987811092023173242.pdf")</f>
        <v>https://dpmzos25m8ivg.cloudfront.net/Documentos/631/39527809878/6313952780987811092023173242.pdf</v>
      </c>
      <c r="H6656" s="5" t="s">
        <v>15226</v>
      </c>
    </row>
    <row r="6657" spans="1:8" x14ac:dyDescent="0.25">
      <c r="A6657" s="2" t="s">
        <v>6684</v>
      </c>
      <c r="B6657" s="3" t="s">
        <v>8</v>
      </c>
      <c r="C6657" s="3"/>
      <c r="D6657" s="3"/>
      <c r="E6657" s="5" t="str">
        <f>HYPERLINK("https://dpmzos25m8ivg.cloudfront.net/Documentos/631/39540405220/6313954040522011092023084802.pdf","https://dpmzos25m8ivg.cloudfront.net/Documentos/631/39540405220/6313954040522011092023084802.pdf")</f>
        <v>https://dpmzos25m8ivg.cloudfront.net/Documentos/631/39540405220/6313954040522011092023084802.pdf</v>
      </c>
      <c r="F6657" s="5" t="str">
        <f>HYPERLINK("https://dpmzos25m8ivg.cloudfront.net/Documentos/631/39540405220/6313954040522011092023084816.pdf","https://dpmzos25m8ivg.cloudfront.net/Documentos/631/39540405220/6313954040522011092023084816.pdf")</f>
        <v>https://dpmzos25m8ivg.cloudfront.net/Documentos/631/39540405220/6313954040522011092023084816.pdf</v>
      </c>
      <c r="G6657" s="5" t="str">
        <f>HYPERLINK("https://dpmzos25m8ivg.cloudfront.net/Documentos/631/39540405220/6313954040522011092023084829.pdf","https://dpmzos25m8ivg.cloudfront.net/Documentos/631/39540405220/6313954040522011092023084829.pdf")</f>
        <v>https://dpmzos25m8ivg.cloudfront.net/Documentos/631/39540405220/6313954040522011092023084829.pdf</v>
      </c>
      <c r="H6657" s="5" t="s">
        <v>15227</v>
      </c>
    </row>
    <row r="6658" spans="1:8" x14ac:dyDescent="0.25">
      <c r="A6658" s="2" t="s">
        <v>6685</v>
      </c>
      <c r="B6658" s="3"/>
      <c r="C6658" s="3"/>
      <c r="D6658" s="3"/>
      <c r="E6658" s="5" t="str">
        <f>HYPERLINK("https://dpmzos25m8ivg.cloudfront.net/Documentos/631/39555482870/6313955548287011092023153956.pdf","https://dpmzos25m8ivg.cloudfront.net/Documentos/631/39555482870/6313955548287011092023153956.pdf")</f>
        <v>https://dpmzos25m8ivg.cloudfront.net/Documentos/631/39555482870/6313955548287011092023153956.pdf</v>
      </c>
      <c r="F6658" s="5" t="str">
        <f>HYPERLINK("https://dpmzos25m8ivg.cloudfront.net/Documentos/631/39555482870/6313955548287011092023154008.pdf","https://dpmzos25m8ivg.cloudfront.net/Documentos/631/39555482870/6313955548287011092023154008.pdf")</f>
        <v>https://dpmzos25m8ivg.cloudfront.net/Documentos/631/39555482870/6313955548287011092023154008.pdf</v>
      </c>
      <c r="G6658" s="5" t="str">
        <f>HYPERLINK("https://dpmzos25m8ivg.cloudfront.net/Documentos/631/39555482870/6313955548287011092023154018.pdf","https://dpmzos25m8ivg.cloudfront.net/Documentos/631/39555482870/6313955548287011092023154018.pdf")</f>
        <v>https://dpmzos25m8ivg.cloudfront.net/Documentos/631/39555482870/6313955548287011092023154018.pdf</v>
      </c>
      <c r="H6658" s="5" t="s">
        <v>15228</v>
      </c>
    </row>
    <row r="6659" spans="1:8" x14ac:dyDescent="0.25">
      <c r="A6659" s="2" t="s">
        <v>6686</v>
      </c>
      <c r="B6659" s="3"/>
      <c r="C6659" s="3"/>
      <c r="D6659" s="3"/>
      <c r="E6659" s="5" t="str">
        <f>HYPERLINK("https://dpmzos25m8ivg.cloudfront.net/Documentos/631/39620912896/6313962091289605092023110021.pdf","https://dpmzos25m8ivg.cloudfront.net/Documentos/631/39620912896/6313962091289605092023110021.pdf")</f>
        <v>https://dpmzos25m8ivg.cloudfront.net/Documentos/631/39620912896/6313962091289605092023110021.pdf</v>
      </c>
      <c r="F6659" s="5" t="str">
        <f>HYPERLINK("https://dpmzos25m8ivg.cloudfront.net/Documentos/631/39620912896/6313962091289605092023110040.pdf","https://dpmzos25m8ivg.cloudfront.net/Documentos/631/39620912896/6313962091289605092023110040.pdf")</f>
        <v>https://dpmzos25m8ivg.cloudfront.net/Documentos/631/39620912896/6313962091289605092023110040.pdf</v>
      </c>
      <c r="G6659" s="5" t="str">
        <f>HYPERLINK("https://dpmzos25m8ivg.cloudfront.net/Documentos/631/39620912896/6313962091289605092023110102.pdf","https://dpmzos25m8ivg.cloudfront.net/Documentos/631/39620912896/6313962091289605092023110102.pdf")</f>
        <v>https://dpmzos25m8ivg.cloudfront.net/Documentos/631/39620912896/6313962091289605092023110102.pdf</v>
      </c>
      <c r="H6659" s="5" t="s">
        <v>15229</v>
      </c>
    </row>
    <row r="6660" spans="1:8" x14ac:dyDescent="0.25">
      <c r="A6660" s="2" t="s">
        <v>6687</v>
      </c>
      <c r="B6660" s="3"/>
      <c r="C6660" s="3"/>
      <c r="D6660" s="3"/>
      <c r="E6660" s="5" t="str">
        <f>HYPERLINK("https://dpmzos25m8ivg.cloudfront.net/Documentos/631/39694235898/6313969423589805092023090911.jpg","https://dpmzos25m8ivg.cloudfront.net/Documentos/631/39694235898/6313969423589805092023090911.jpg")</f>
        <v>https://dpmzos25m8ivg.cloudfront.net/Documentos/631/39694235898/6313969423589805092023090911.jpg</v>
      </c>
      <c r="F6660" s="5" t="str">
        <f>HYPERLINK("https://dpmzos25m8ivg.cloudfront.net/Documentos/631/39694235898/6313969423589805092023090929.jpg","https://dpmzos25m8ivg.cloudfront.net/Documentos/631/39694235898/6313969423589805092023090929.jpg")</f>
        <v>https://dpmzos25m8ivg.cloudfront.net/Documentos/631/39694235898/6313969423589805092023090929.jpg</v>
      </c>
      <c r="G6660" s="5" t="str">
        <f>HYPERLINK("https://dpmzos25m8ivg.cloudfront.net/Documentos/631/39694235898/6313969423589805092023090951.jpg","https://dpmzos25m8ivg.cloudfront.net/Documentos/631/39694235898/6313969423589805092023090951.jpg")</f>
        <v>https://dpmzos25m8ivg.cloudfront.net/Documentos/631/39694235898/6313969423589805092023090951.jpg</v>
      </c>
      <c r="H6660" s="5" t="s">
        <v>15230</v>
      </c>
    </row>
    <row r="6661" spans="1:8" x14ac:dyDescent="0.25">
      <c r="A6661" s="2" t="s">
        <v>6688</v>
      </c>
      <c r="B6661" s="3"/>
      <c r="C6661" s="3"/>
      <c r="D6661" s="3"/>
      <c r="E6661" s="5" t="str">
        <f>HYPERLINK("https://dpmzos25m8ivg.cloudfront.net/Documentos/631/39712516504/6313971251650410092023222219.pdf","https://dpmzos25m8ivg.cloudfront.net/Documentos/631/39712516504/6313971251650410092023222219.pdf")</f>
        <v>https://dpmzos25m8ivg.cloudfront.net/Documentos/631/39712516504/6313971251650410092023222219.pdf</v>
      </c>
      <c r="F6661" s="5" t="str">
        <f>HYPERLINK("https://dpmzos25m8ivg.cloudfront.net/Documentos/631/39712516504/6313971251650410092023222233.pdf","https://dpmzos25m8ivg.cloudfront.net/Documentos/631/39712516504/6313971251650410092023222233.pdf")</f>
        <v>https://dpmzos25m8ivg.cloudfront.net/Documentos/631/39712516504/6313971251650410092023222233.pdf</v>
      </c>
      <c r="G6661" s="5" t="str">
        <f>HYPERLINK("https://dpmzos25m8ivg.cloudfront.net/Documentos/631/39712516504/6313971251650410092023222245.pdf","https://dpmzos25m8ivg.cloudfront.net/Documentos/631/39712516504/6313971251650410092023222245.pdf")</f>
        <v>https://dpmzos25m8ivg.cloudfront.net/Documentos/631/39712516504/6313971251650410092023222245.pdf</v>
      </c>
      <c r="H6661" s="5" t="s">
        <v>15231</v>
      </c>
    </row>
    <row r="6662" spans="1:8" x14ac:dyDescent="0.25">
      <c r="A6662" s="2" t="s">
        <v>6689</v>
      </c>
      <c r="B6662" s="3"/>
      <c r="C6662" s="3"/>
      <c r="D6662" s="3"/>
      <c r="E6662" s="5" t="str">
        <f>HYPERLINK("https://dpmzos25m8ivg.cloudfront.net/Documentos/631/39754550808/6313975455080811092023010234.jpg","https://dpmzos25m8ivg.cloudfront.net/Documentos/631/39754550808/6313975455080811092023010234.jpg")</f>
        <v>https://dpmzos25m8ivg.cloudfront.net/Documentos/631/39754550808/6313975455080811092023010234.jpg</v>
      </c>
      <c r="F6662" s="5" t="str">
        <f>HYPERLINK("https://dpmzos25m8ivg.cloudfront.net/Documentos/631/39754550808/6313975455080811092023010255.jpg","https://dpmzos25m8ivg.cloudfront.net/Documentos/631/39754550808/6313975455080811092023010255.jpg")</f>
        <v>https://dpmzos25m8ivg.cloudfront.net/Documentos/631/39754550808/6313975455080811092023010255.jpg</v>
      </c>
      <c r="G6662" s="5" t="str">
        <f>HYPERLINK("https://dpmzos25m8ivg.cloudfront.net/Documentos/631/39754550808/6313975455080811092023010305.jpg","https://dpmzos25m8ivg.cloudfront.net/Documentos/631/39754550808/6313975455080811092023010305.jpg")</f>
        <v>https://dpmzos25m8ivg.cloudfront.net/Documentos/631/39754550808/6313975455080811092023010305.jpg</v>
      </c>
      <c r="H6662" s="5" t="s">
        <v>15232</v>
      </c>
    </row>
    <row r="6663" spans="1:8" x14ac:dyDescent="0.25">
      <c r="A6663" s="2" t="s">
        <v>6690</v>
      </c>
      <c r="B6663" s="3"/>
      <c r="C6663" s="3"/>
      <c r="D6663" s="3"/>
      <c r="E6663" s="5" t="str">
        <f>HYPERLINK("https://dpmzos25m8ivg.cloudfront.net/Documentos/631/39766330549/6313976633054905092023172841.pdf","https://dpmzos25m8ivg.cloudfront.net/Documentos/631/39766330549/6313976633054905092023172841.pdf")</f>
        <v>https://dpmzos25m8ivg.cloudfront.net/Documentos/631/39766330549/6313976633054905092023172841.pdf</v>
      </c>
      <c r="F6663" s="5" t="str">
        <f>HYPERLINK("https://dpmzos25m8ivg.cloudfront.net/Documentos/631/39766330549/6313976633054905092023172846.pdf","https://dpmzos25m8ivg.cloudfront.net/Documentos/631/39766330549/6313976633054905092023172846.pdf")</f>
        <v>https://dpmzos25m8ivg.cloudfront.net/Documentos/631/39766330549/6313976633054905092023172846.pdf</v>
      </c>
      <c r="G6663" s="5" t="str">
        <f>HYPERLINK("https://dpmzos25m8ivg.cloudfront.net/Documentos/631/39766330549/6313976633054905092023172852.pdf","https://dpmzos25m8ivg.cloudfront.net/Documentos/631/39766330549/6313976633054905092023172852.pdf")</f>
        <v>https://dpmzos25m8ivg.cloudfront.net/Documentos/631/39766330549/6313976633054905092023172852.pdf</v>
      </c>
      <c r="H6663" s="5" t="s">
        <v>15233</v>
      </c>
    </row>
    <row r="6664" spans="1:8" x14ac:dyDescent="0.25">
      <c r="A6664" s="2" t="s">
        <v>6691</v>
      </c>
      <c r="B6664" s="3" t="s">
        <v>42</v>
      </c>
      <c r="C6664" s="3"/>
      <c r="D6664" s="3"/>
      <c r="E6664" s="5" t="str">
        <f>HYPERLINK("https://dpmzos25m8ivg.cloudfront.net/Documentos/631/39774346831/6313977434683105092023232310.pdf","https://dpmzos25m8ivg.cloudfront.net/Documentos/631/39774346831/6313977434683105092023232310.pdf")</f>
        <v>https://dpmzos25m8ivg.cloudfront.net/Documentos/631/39774346831/6313977434683105092023232310.pdf</v>
      </c>
      <c r="F6664" s="5" t="str">
        <f>HYPERLINK("https://dpmzos25m8ivg.cloudfront.net/Documentos/631/39774346831/6313977434683105092023232325.pdf","https://dpmzos25m8ivg.cloudfront.net/Documentos/631/39774346831/6313977434683105092023232325.pdf")</f>
        <v>https://dpmzos25m8ivg.cloudfront.net/Documentos/631/39774346831/6313977434683105092023232325.pdf</v>
      </c>
      <c r="G6664" s="5" t="str">
        <f>HYPERLINK("https://dpmzos25m8ivg.cloudfront.net/Documentos/631/39774346831/6313977434683105092023232340.pdf","https://dpmzos25m8ivg.cloudfront.net/Documentos/631/39774346831/6313977434683105092023232340.pdf")</f>
        <v>https://dpmzos25m8ivg.cloudfront.net/Documentos/631/39774346831/6313977434683105092023232340.pdf</v>
      </c>
      <c r="H6664" s="5" t="s">
        <v>15234</v>
      </c>
    </row>
    <row r="6665" spans="1:8" x14ac:dyDescent="0.25">
      <c r="A6665" s="2" t="s">
        <v>6692</v>
      </c>
      <c r="B6665" s="3"/>
      <c r="C6665" s="3"/>
      <c r="D6665" s="3"/>
      <c r="E6665" s="5" t="str">
        <f>HYPERLINK("https://dpmzos25m8ivg.cloudfront.net/Documentos/631/39776796869/6313977679686911092023105859.pdf","https://dpmzos25m8ivg.cloudfront.net/Documentos/631/39776796869/6313977679686911092023105859.pdf")</f>
        <v>https://dpmzos25m8ivg.cloudfront.net/Documentos/631/39776796869/6313977679686911092023105859.pdf</v>
      </c>
      <c r="F6665" s="5" t="str">
        <f>HYPERLINK("https://dpmzos25m8ivg.cloudfront.net/Documentos/631/39776796869/6313977679686911092023105909.pdf","https://dpmzos25m8ivg.cloudfront.net/Documentos/631/39776796869/6313977679686911092023105909.pdf")</f>
        <v>https://dpmzos25m8ivg.cloudfront.net/Documentos/631/39776796869/6313977679686911092023105909.pdf</v>
      </c>
      <c r="G6665" s="5" t="str">
        <f>HYPERLINK("https://dpmzos25m8ivg.cloudfront.net/Documentos/631/39776796869/6313977679686911092023105921.pdf","https://dpmzos25m8ivg.cloudfront.net/Documentos/631/39776796869/6313977679686911092023105921.pdf")</f>
        <v>https://dpmzos25m8ivg.cloudfront.net/Documentos/631/39776796869/6313977679686911092023105921.pdf</v>
      </c>
      <c r="H6665" s="5" t="s">
        <v>15235</v>
      </c>
    </row>
    <row r="6666" spans="1:8" x14ac:dyDescent="0.25">
      <c r="A6666" s="2" t="s">
        <v>6693</v>
      </c>
      <c r="B6666" s="3"/>
      <c r="C6666" s="3"/>
      <c r="D6666" s="3"/>
      <c r="E6666" s="5" t="str">
        <f>HYPERLINK("https://dpmzos25m8ivg.cloudfront.net/Documentos/631/39804398877/6313980439887711092023123437.jpg","https://dpmzos25m8ivg.cloudfront.net/Documentos/631/39804398877/6313980439887711092023123437.jpg")</f>
        <v>https://dpmzos25m8ivg.cloudfront.net/Documentos/631/39804398877/6313980439887711092023123437.jpg</v>
      </c>
      <c r="F6666" s="5" t="str">
        <f>HYPERLINK("https://dpmzos25m8ivg.cloudfront.net/Documentos/631/39804398877/6313980439887711092023123450.jpg","https://dpmzos25m8ivg.cloudfront.net/Documentos/631/39804398877/6313980439887711092023123450.jpg")</f>
        <v>https://dpmzos25m8ivg.cloudfront.net/Documentos/631/39804398877/6313980439887711092023123450.jpg</v>
      </c>
      <c r="G6666" s="5" t="str">
        <f>HYPERLINK("https://dpmzos25m8ivg.cloudfront.net/Documentos/631/39804398877/6313980439887711092023123514.jpg","https://dpmzos25m8ivg.cloudfront.net/Documentos/631/39804398877/6313980439887711092023123514.jpg")</f>
        <v>https://dpmzos25m8ivg.cloudfront.net/Documentos/631/39804398877/6313980439887711092023123514.jpg</v>
      </c>
      <c r="H6666" s="5" t="s">
        <v>15236</v>
      </c>
    </row>
    <row r="6667" spans="1:8" x14ac:dyDescent="0.25">
      <c r="A6667" s="2" t="s">
        <v>6694</v>
      </c>
      <c r="B6667" s="3"/>
      <c r="C6667" s="3"/>
      <c r="D6667" s="3"/>
      <c r="E6667" s="5" t="str">
        <f>HYPERLINK("https://dpmzos25m8ivg.cloudfront.net/Documentos/631/39821768830/6313982176883009092023130840.pdf","https://dpmzos25m8ivg.cloudfront.net/Documentos/631/39821768830/6313982176883009092023130840.pdf")</f>
        <v>https://dpmzos25m8ivg.cloudfront.net/Documentos/631/39821768830/6313982176883009092023130840.pdf</v>
      </c>
      <c r="F6667" s="5" t="str">
        <f>HYPERLINK("https://dpmzos25m8ivg.cloudfront.net/Documentos/631/39821768830/6313982176883009092023130923.pdf","https://dpmzos25m8ivg.cloudfront.net/Documentos/631/39821768830/6313982176883009092023130923.pdf")</f>
        <v>https://dpmzos25m8ivg.cloudfront.net/Documentos/631/39821768830/6313982176883009092023130923.pdf</v>
      </c>
      <c r="G6667" s="5" t="str">
        <f>HYPERLINK("https://dpmzos25m8ivg.cloudfront.net/Documentos/631/39821768830/6313982176883009092023130935.pdf","https://dpmzos25m8ivg.cloudfront.net/Documentos/631/39821768830/6313982176883009092023130935.pdf")</f>
        <v>https://dpmzos25m8ivg.cloudfront.net/Documentos/631/39821768830/6313982176883009092023130935.pdf</v>
      </c>
      <c r="H6667" s="5" t="s">
        <v>15237</v>
      </c>
    </row>
    <row r="6668" spans="1:8" x14ac:dyDescent="0.25">
      <c r="A6668" s="2" t="s">
        <v>6695</v>
      </c>
      <c r="B6668" s="3"/>
      <c r="C6668" s="3"/>
      <c r="D6668" s="3"/>
      <c r="E6668" s="5" t="str">
        <f>HYPERLINK("https://dpmzos25m8ivg.cloudfront.net/Documentos/631/39843131878/6313984313187814092023070420.pdf","https://dpmzos25m8ivg.cloudfront.net/Documentos/631/39843131878/6313984313187814092023070420.pdf")</f>
        <v>https://dpmzos25m8ivg.cloudfront.net/Documentos/631/39843131878/6313984313187814092023070420.pdf</v>
      </c>
      <c r="F6668" s="5" t="str">
        <f>HYPERLINK("https://dpmzos25m8ivg.cloudfront.net/Documentos/631/39843131878/6313984313187814092023103833.pdf","https://dpmzos25m8ivg.cloudfront.net/Documentos/631/39843131878/6313984313187814092023103833.pdf")</f>
        <v>https://dpmzos25m8ivg.cloudfront.net/Documentos/631/39843131878/6313984313187814092023103833.pdf</v>
      </c>
      <c r="G6668" s="5" t="str">
        <f>HYPERLINK("https://dpmzos25m8ivg.cloudfront.net/Documentos/631/39843131878/6313984313187814092023103902.pdf","https://dpmzos25m8ivg.cloudfront.net/Documentos/631/39843131878/6313984313187814092023103902.pdf")</f>
        <v>https://dpmzos25m8ivg.cloudfront.net/Documentos/631/39843131878/6313984313187814092023103902.pdf</v>
      </c>
      <c r="H6668" s="5" t="s">
        <v>15238</v>
      </c>
    </row>
    <row r="6669" spans="1:8" x14ac:dyDescent="0.25">
      <c r="A6669" s="2" t="s">
        <v>6696</v>
      </c>
      <c r="B6669" s="3"/>
      <c r="C6669" s="3"/>
      <c r="D6669" s="3"/>
      <c r="E6669" s="5" t="str">
        <f>HYPERLINK("https://dpmzos25m8ivg.cloudfront.net/Documentos/631/39849293829/6313984929382907092023144206.pdf","https://dpmzos25m8ivg.cloudfront.net/Documentos/631/39849293829/6313984929382907092023144206.pdf")</f>
        <v>https://dpmzos25m8ivg.cloudfront.net/Documentos/631/39849293829/6313984929382907092023144206.pdf</v>
      </c>
      <c r="F6669" s="5" t="str">
        <f>HYPERLINK("https://dpmzos25m8ivg.cloudfront.net/Documentos/631/39849293829/6313984929382907092023144214.pdf","https://dpmzos25m8ivg.cloudfront.net/Documentos/631/39849293829/6313984929382907092023144214.pdf")</f>
        <v>https://dpmzos25m8ivg.cloudfront.net/Documentos/631/39849293829/6313984929382907092023144214.pdf</v>
      </c>
      <c r="G6669" s="5" t="str">
        <f>HYPERLINK("https://dpmzos25m8ivg.cloudfront.net/Documentos/631/39849293829/6313984929382907092023144224.pdf","https://dpmzos25m8ivg.cloudfront.net/Documentos/631/39849293829/6313984929382907092023144224.pdf")</f>
        <v>https://dpmzos25m8ivg.cloudfront.net/Documentos/631/39849293829/6313984929382907092023144224.pdf</v>
      </c>
      <c r="H6669" s="5" t="s">
        <v>15239</v>
      </c>
    </row>
    <row r="6670" spans="1:8" x14ac:dyDescent="0.25">
      <c r="A6670" s="2" t="s">
        <v>6697</v>
      </c>
      <c r="B6670" s="3"/>
      <c r="C6670" s="3"/>
      <c r="D6670" s="3"/>
      <c r="E6670" s="5" t="str">
        <f>HYPERLINK("https://dpmzos25m8ivg.cloudfront.net/Documentos/631/39885827862/6313988582786211092023153024.jpg","https://dpmzos25m8ivg.cloudfront.net/Documentos/631/39885827862/6313988582786211092023153024.jpg")</f>
        <v>https://dpmzos25m8ivg.cloudfront.net/Documentos/631/39885827862/6313988582786211092023153024.jpg</v>
      </c>
      <c r="F6670" s="5" t="str">
        <f>HYPERLINK("https://dpmzos25m8ivg.cloudfront.net/Documentos/631/39885827862/6313988582786211092023153138.jpg","https://dpmzos25m8ivg.cloudfront.net/Documentos/631/39885827862/6313988582786211092023153138.jpg")</f>
        <v>https://dpmzos25m8ivg.cloudfront.net/Documentos/631/39885827862/6313988582786211092023153138.jpg</v>
      </c>
      <c r="G6670" s="5" t="str">
        <f>HYPERLINK("https://dpmzos25m8ivg.cloudfront.net/Documentos/631/39885827862/6313988582786211092023153204.jpg","https://dpmzos25m8ivg.cloudfront.net/Documentos/631/39885827862/6313988582786211092023153204.jpg")</f>
        <v>https://dpmzos25m8ivg.cloudfront.net/Documentos/631/39885827862/6313988582786211092023153204.jpg</v>
      </c>
      <c r="H6670" s="5" t="s">
        <v>15240</v>
      </c>
    </row>
    <row r="6671" spans="1:8" x14ac:dyDescent="0.25">
      <c r="A6671" s="2" t="s">
        <v>6698</v>
      </c>
      <c r="B6671" s="3"/>
      <c r="C6671" s="3"/>
      <c r="D6671" s="3"/>
      <c r="E6671" s="5" t="str">
        <f>HYPERLINK("https://dpmzos25m8ivg.cloudfront.net/Documentos/631/39900521870/6313990052187011092023160301.pdf","https://dpmzos25m8ivg.cloudfront.net/Documentos/631/39900521870/6313990052187011092023160301.pdf")</f>
        <v>https://dpmzos25m8ivg.cloudfront.net/Documentos/631/39900521870/6313990052187011092023160301.pdf</v>
      </c>
      <c r="F6671" s="5" t="str">
        <f>HYPERLINK("https://dpmzos25m8ivg.cloudfront.net/Documentos/631/39900521870/6313990052187011092023160324.pdf","https://dpmzos25m8ivg.cloudfront.net/Documentos/631/39900521870/6313990052187011092023160324.pdf")</f>
        <v>https://dpmzos25m8ivg.cloudfront.net/Documentos/631/39900521870/6313990052187011092023160324.pdf</v>
      </c>
      <c r="G6671" s="5" t="str">
        <f>HYPERLINK("https://dpmzos25m8ivg.cloudfront.net/Documentos/631/39900521870/6313990052187011092023160350.pdf","https://dpmzos25m8ivg.cloudfront.net/Documentos/631/39900521870/6313990052187011092023160350.pdf")</f>
        <v>https://dpmzos25m8ivg.cloudfront.net/Documentos/631/39900521870/6313990052187011092023160350.pdf</v>
      </c>
      <c r="H6671" s="5" t="s">
        <v>15241</v>
      </c>
    </row>
    <row r="6672" spans="1:8" x14ac:dyDescent="0.25">
      <c r="A6672" s="2" t="s">
        <v>6699</v>
      </c>
      <c r="B6672" s="3"/>
      <c r="C6672" s="3"/>
      <c r="D6672" s="3"/>
      <c r="E6672" s="5" t="str">
        <f>HYPERLINK("https://dpmzos25m8ivg.cloudfront.net/Documentos/631/39918513500/6313991851350011092023144608.pdf","https://dpmzos25m8ivg.cloudfront.net/Documentos/631/39918513500/6313991851350011092023144608.pdf")</f>
        <v>https://dpmzos25m8ivg.cloudfront.net/Documentos/631/39918513500/6313991851350011092023144608.pdf</v>
      </c>
      <c r="F6672" s="5" t="str">
        <f>HYPERLINK("https://dpmzos25m8ivg.cloudfront.net/Documentos/631/39918513500/6313991851350011092023144633.pdf","https://dpmzos25m8ivg.cloudfront.net/Documentos/631/39918513500/6313991851350011092023144633.pdf")</f>
        <v>https://dpmzos25m8ivg.cloudfront.net/Documentos/631/39918513500/6313991851350011092023144633.pdf</v>
      </c>
      <c r="G6672" s="5" t="str">
        <f>HYPERLINK("https://dpmzos25m8ivg.cloudfront.net/Documentos/631/39918513500/6313991851350011092023144654.pdf","https://dpmzos25m8ivg.cloudfront.net/Documentos/631/39918513500/6313991851350011092023144654.pdf")</f>
        <v>https://dpmzos25m8ivg.cloudfront.net/Documentos/631/39918513500/6313991851350011092023144654.pdf</v>
      </c>
      <c r="H6672" s="5" t="s">
        <v>15242</v>
      </c>
    </row>
    <row r="6673" spans="1:8" x14ac:dyDescent="0.25">
      <c r="A6673" s="2" t="s">
        <v>6700</v>
      </c>
      <c r="B6673" s="3"/>
      <c r="C6673" s="3"/>
      <c r="D6673" s="3"/>
      <c r="E6673" s="5" t="str">
        <f>HYPERLINK("https://dpmzos25m8ivg.cloudfront.net/Documentos/631/39925798833/6313992579883305092023172256.jpeg","https://dpmzos25m8ivg.cloudfront.net/Documentos/631/39925798833/6313992579883305092023172256.jpeg")</f>
        <v>https://dpmzos25m8ivg.cloudfront.net/Documentos/631/39925798833/6313992579883305092023172256.jpeg</v>
      </c>
      <c r="F6673" s="5" t="str">
        <f>HYPERLINK("https://dpmzos25m8ivg.cloudfront.net/Documentos/631/39925798833/6313992579883305092023172310.jpeg","https://dpmzos25m8ivg.cloudfront.net/Documentos/631/39925798833/6313992579883305092023172310.jpeg")</f>
        <v>https://dpmzos25m8ivg.cloudfront.net/Documentos/631/39925798833/6313992579883305092023172310.jpeg</v>
      </c>
      <c r="G6673" s="5" t="str">
        <f>HYPERLINK("https://dpmzos25m8ivg.cloudfront.net/Documentos/631/39925798833/6313992579883305092023172322.jpeg","https://dpmzos25m8ivg.cloudfront.net/Documentos/631/39925798833/6313992579883305092023172322.jpeg")</f>
        <v>https://dpmzos25m8ivg.cloudfront.net/Documentos/631/39925798833/6313992579883305092023172322.jpeg</v>
      </c>
      <c r="H6673" s="5" t="s">
        <v>15243</v>
      </c>
    </row>
    <row r="6674" spans="1:8" x14ac:dyDescent="0.25">
      <c r="A6674" s="2" t="s">
        <v>6701</v>
      </c>
      <c r="B6674" s="3"/>
      <c r="C6674" s="3"/>
      <c r="D6674" s="3"/>
      <c r="E6674" s="5" t="str">
        <f>HYPERLINK("https://dpmzos25m8ivg.cloudfront.net/Documentos/631/39957654837/6313995765483705092023130503.jpg","https://dpmzos25m8ivg.cloudfront.net/Documentos/631/39957654837/6313995765483705092023130503.jpg")</f>
        <v>https://dpmzos25m8ivg.cloudfront.net/Documentos/631/39957654837/6313995765483705092023130503.jpg</v>
      </c>
      <c r="F6674" s="5" t="str">
        <f>HYPERLINK("https://dpmzos25m8ivg.cloudfront.net/Documentos/631/39957654837/6313995765483705092023130523.jpg","https://dpmzos25m8ivg.cloudfront.net/Documentos/631/39957654837/6313995765483705092023130523.jpg")</f>
        <v>https://dpmzos25m8ivg.cloudfront.net/Documentos/631/39957654837/6313995765483705092023130523.jpg</v>
      </c>
      <c r="G6674" s="5" t="str">
        <f>HYPERLINK("https://dpmzos25m8ivg.cloudfront.net/Documentos/631/39957654837/6313995765483705092023130802.jpg","https://dpmzos25m8ivg.cloudfront.net/Documentos/631/39957654837/6313995765483705092023130802.jpg")</f>
        <v>https://dpmzos25m8ivg.cloudfront.net/Documentos/631/39957654837/6313995765483705092023130802.jpg</v>
      </c>
      <c r="H6674" s="5" t="s">
        <v>15244</v>
      </c>
    </row>
    <row r="6675" spans="1:8" x14ac:dyDescent="0.25">
      <c r="A6675" s="2" t="s">
        <v>6702</v>
      </c>
      <c r="B6675" s="3" t="s">
        <v>23</v>
      </c>
      <c r="C6675" s="3"/>
      <c r="D6675" s="3"/>
      <c r="E6675" s="5" t="str">
        <f>HYPERLINK("https://dpmzos25m8ivg.cloudfront.net/Documentos/631/39972456811/6313997245681111092023164757.pdf","https://dpmzos25m8ivg.cloudfront.net/Documentos/631/39972456811/6313997245681111092023164757.pdf")</f>
        <v>https://dpmzos25m8ivg.cloudfront.net/Documentos/631/39972456811/6313997245681111092023164757.pdf</v>
      </c>
      <c r="F6675" s="5" t="str">
        <f>HYPERLINK("https://dpmzos25m8ivg.cloudfront.net/Documentos/631/39972456811/6313997245681111092023164816.pdf","https://dpmzos25m8ivg.cloudfront.net/Documentos/631/39972456811/6313997245681111092023164816.pdf")</f>
        <v>https://dpmzos25m8ivg.cloudfront.net/Documentos/631/39972456811/6313997245681111092023164816.pdf</v>
      </c>
      <c r="G6675" s="5" t="str">
        <f>HYPERLINK("https://dpmzos25m8ivg.cloudfront.net/Documentos/631/39972456811/6313997245681111092023164829.pdf","https://dpmzos25m8ivg.cloudfront.net/Documentos/631/39972456811/6313997245681111092023164829.pdf")</f>
        <v>https://dpmzos25m8ivg.cloudfront.net/Documentos/631/39972456811/6313997245681111092023164829.pdf</v>
      </c>
      <c r="H6675" s="5" t="s">
        <v>15245</v>
      </c>
    </row>
    <row r="6676" spans="1:8" x14ac:dyDescent="0.25">
      <c r="A6676" s="2" t="s">
        <v>6703</v>
      </c>
      <c r="B6676" s="3"/>
      <c r="C6676" s="3"/>
      <c r="D6676" s="3"/>
      <c r="E6676" s="5" t="str">
        <f>HYPERLINK("https://dpmzos25m8ivg.cloudfront.net/Documentos/631/39972929817/6313997292981711092023013922.jpg","https://dpmzos25m8ivg.cloudfront.net/Documentos/631/39972929817/6313997292981711092023013922.jpg")</f>
        <v>https://dpmzos25m8ivg.cloudfront.net/Documentos/631/39972929817/6313997292981711092023013922.jpg</v>
      </c>
      <c r="F6676" s="5" t="str">
        <f>HYPERLINK("https://dpmzos25m8ivg.cloudfront.net/Documentos/631/39972929817/6313997292981711092023013959.jpg","https://dpmzos25m8ivg.cloudfront.net/Documentos/631/39972929817/6313997292981711092023013959.jpg")</f>
        <v>https://dpmzos25m8ivg.cloudfront.net/Documentos/631/39972929817/6313997292981711092023013959.jpg</v>
      </c>
      <c r="G6676" s="5" t="str">
        <f>HYPERLINK("https://dpmzos25m8ivg.cloudfront.net/Documentos/631/39972929817/6313997292981711092023014026.jpg","https://dpmzos25m8ivg.cloudfront.net/Documentos/631/39972929817/6313997292981711092023014026.jpg")</f>
        <v>https://dpmzos25m8ivg.cloudfront.net/Documentos/631/39972929817/6313997292981711092023014026.jpg</v>
      </c>
      <c r="H6676" s="5" t="s">
        <v>15246</v>
      </c>
    </row>
    <row r="6677" spans="1:8" x14ac:dyDescent="0.25">
      <c r="A6677" s="2" t="s">
        <v>6704</v>
      </c>
      <c r="B6677" s="3"/>
      <c r="C6677" s="3"/>
      <c r="D6677" s="3"/>
      <c r="E6677" s="5" t="str">
        <f>HYPERLINK("https://dpmzos25m8ivg.cloudfront.net/Documentos/631/40008931810/6314000893181009092023204202.pdf","https://dpmzos25m8ivg.cloudfront.net/Documentos/631/40008931810/6314000893181009092023204202.pdf")</f>
        <v>https://dpmzos25m8ivg.cloudfront.net/Documentos/631/40008931810/6314000893181009092023204202.pdf</v>
      </c>
      <c r="F6677" s="5" t="str">
        <f>HYPERLINK("https://dpmzos25m8ivg.cloudfront.net/Documentos/631/40008931810/6314000893181009092023204225.pdf","https://dpmzos25m8ivg.cloudfront.net/Documentos/631/40008931810/6314000893181009092023204225.pdf")</f>
        <v>https://dpmzos25m8ivg.cloudfront.net/Documentos/631/40008931810/6314000893181009092023204225.pdf</v>
      </c>
      <c r="G6677" s="5" t="str">
        <f>HYPERLINK("https://dpmzos25m8ivg.cloudfront.net/Documentos/631/40008931810/6314000893181009092023204245.pdf","https://dpmzos25m8ivg.cloudfront.net/Documentos/631/40008931810/6314000893181009092023204245.pdf")</f>
        <v>https://dpmzos25m8ivg.cloudfront.net/Documentos/631/40008931810/6314000893181009092023204245.pdf</v>
      </c>
      <c r="H6677" s="5" t="s">
        <v>15247</v>
      </c>
    </row>
    <row r="6678" spans="1:8" x14ac:dyDescent="0.25">
      <c r="A6678" s="2" t="s">
        <v>6705</v>
      </c>
      <c r="B6678" s="3"/>
      <c r="C6678" s="3"/>
      <c r="D6678" s="3"/>
      <c r="E6678" s="5" t="str">
        <f>HYPERLINK("https://dpmzos25m8ivg.cloudfront.net/Documentos/631/40009832882/6314000983288206092023095917.pdf","https://dpmzos25m8ivg.cloudfront.net/Documentos/631/40009832882/6314000983288206092023095917.pdf")</f>
        <v>https://dpmzos25m8ivg.cloudfront.net/Documentos/631/40009832882/6314000983288206092023095917.pdf</v>
      </c>
      <c r="F6678" s="5" t="str">
        <f>HYPERLINK("https://dpmzos25m8ivg.cloudfront.net/Documentos/631/40009832882/6314000983288206092023095931.pdf","https://dpmzos25m8ivg.cloudfront.net/Documentos/631/40009832882/6314000983288206092023095931.pdf")</f>
        <v>https://dpmzos25m8ivg.cloudfront.net/Documentos/631/40009832882/6314000983288206092023095931.pdf</v>
      </c>
      <c r="G6678" s="5" t="str">
        <f>HYPERLINK("https://dpmzos25m8ivg.cloudfront.net/Documentos/631/40009832882/6314000983288206092023095947.pdf","https://dpmzos25m8ivg.cloudfront.net/Documentos/631/40009832882/6314000983288206092023095947.pdf")</f>
        <v>https://dpmzos25m8ivg.cloudfront.net/Documentos/631/40009832882/6314000983288206092023095947.pdf</v>
      </c>
      <c r="H6678" s="5" t="s">
        <v>15248</v>
      </c>
    </row>
    <row r="6679" spans="1:8" x14ac:dyDescent="0.25">
      <c r="A6679" s="2" t="s">
        <v>6706</v>
      </c>
      <c r="B6679" s="3"/>
      <c r="C6679" s="3"/>
      <c r="D6679" s="3"/>
      <c r="E6679" s="5" t="str">
        <f>HYPERLINK("https://dpmzos25m8ivg.cloudfront.net/Documentos/631/40013440845/6314001344084511092023103117.jpg","https://dpmzos25m8ivg.cloudfront.net/Documentos/631/40013440845/6314001344084511092023103117.jpg")</f>
        <v>https://dpmzos25m8ivg.cloudfront.net/Documentos/631/40013440845/6314001344084511092023103117.jpg</v>
      </c>
      <c r="F6679" s="5" t="str">
        <f>HYPERLINK("https://dpmzos25m8ivg.cloudfront.net/Documentos/631/40013440845/6314001344084511092023103230.jpg","https://dpmzos25m8ivg.cloudfront.net/Documentos/631/40013440845/6314001344084511092023103230.jpg")</f>
        <v>https://dpmzos25m8ivg.cloudfront.net/Documentos/631/40013440845/6314001344084511092023103230.jpg</v>
      </c>
      <c r="G6679" s="5" t="str">
        <f>HYPERLINK("https://dpmzos25m8ivg.cloudfront.net/Documentos/631/40013440845/6314001344084511092023103248.jpg","https://dpmzos25m8ivg.cloudfront.net/Documentos/631/40013440845/6314001344084511092023103248.jpg")</f>
        <v>https://dpmzos25m8ivg.cloudfront.net/Documentos/631/40013440845/6314001344084511092023103248.jpg</v>
      </c>
      <c r="H6679" s="5" t="s">
        <v>15249</v>
      </c>
    </row>
    <row r="6680" spans="1:8" x14ac:dyDescent="0.25">
      <c r="A6680" s="2" t="s">
        <v>6707</v>
      </c>
      <c r="B6680" s="3"/>
      <c r="C6680" s="3"/>
      <c r="D6680" s="3"/>
      <c r="E6680" s="5" t="str">
        <f>HYPERLINK("https://dpmzos25m8ivg.cloudfront.net/Documentos/631/40027828832/6314002782883206092023095551.jpg","https://dpmzos25m8ivg.cloudfront.net/Documentos/631/40027828832/6314002782883206092023095551.jpg")</f>
        <v>https://dpmzos25m8ivg.cloudfront.net/Documentos/631/40027828832/6314002782883206092023095551.jpg</v>
      </c>
      <c r="F6680" s="5" t="str">
        <f>HYPERLINK("https://dpmzos25m8ivg.cloudfront.net/Documentos/631/40027828832/6314002782883206092023095602.jpg","https://dpmzos25m8ivg.cloudfront.net/Documentos/631/40027828832/6314002782883206092023095602.jpg")</f>
        <v>https://dpmzos25m8ivg.cloudfront.net/Documentos/631/40027828832/6314002782883206092023095602.jpg</v>
      </c>
      <c r="G6680" s="5" t="str">
        <f>HYPERLINK("https://dpmzos25m8ivg.cloudfront.net/Documentos/631/40027828832/6314002782883206092023095612.jpg","https://dpmzos25m8ivg.cloudfront.net/Documentos/631/40027828832/6314002782883206092023095612.jpg")</f>
        <v>https://dpmzos25m8ivg.cloudfront.net/Documentos/631/40027828832/6314002782883206092023095612.jpg</v>
      </c>
      <c r="H6680" s="5" t="s">
        <v>15250</v>
      </c>
    </row>
    <row r="6681" spans="1:8" x14ac:dyDescent="0.25">
      <c r="A6681" s="2" t="s">
        <v>6708</v>
      </c>
      <c r="B6681" s="3"/>
      <c r="C6681" s="3"/>
      <c r="D6681" s="3"/>
      <c r="E6681" s="5" t="str">
        <f>HYPERLINK("https://dpmzos25m8ivg.cloudfront.net/Documentos/631/40038294842/6314003829484214092023155822.pdf","https://dpmzos25m8ivg.cloudfront.net/Documentos/631/40038294842/6314003829484214092023155822.pdf")</f>
        <v>https://dpmzos25m8ivg.cloudfront.net/Documentos/631/40038294842/6314003829484214092023155822.pdf</v>
      </c>
      <c r="F6681" s="5" t="str">
        <f>HYPERLINK("https://dpmzos25m8ivg.cloudfront.net/Documentos/631/40038294842/6314003829484214092023155837.pdf","https://dpmzos25m8ivg.cloudfront.net/Documentos/631/40038294842/6314003829484214092023155837.pdf")</f>
        <v>https://dpmzos25m8ivg.cloudfront.net/Documentos/631/40038294842/6314003829484214092023155837.pdf</v>
      </c>
      <c r="G6681" s="5" t="str">
        <f>HYPERLINK("https://dpmzos25m8ivg.cloudfront.net/Documentos/631/40038294842/6314003829484214092023155850.pdf","https://dpmzos25m8ivg.cloudfront.net/Documentos/631/40038294842/6314003829484214092023155850.pdf")</f>
        <v>https://dpmzos25m8ivg.cloudfront.net/Documentos/631/40038294842/6314003829484214092023155850.pdf</v>
      </c>
      <c r="H6681" s="5" t="s">
        <v>15251</v>
      </c>
    </row>
    <row r="6682" spans="1:8" x14ac:dyDescent="0.25">
      <c r="A6682" s="2" t="s">
        <v>6709</v>
      </c>
      <c r="B6682" s="3"/>
      <c r="C6682" s="3"/>
      <c r="D6682" s="3"/>
      <c r="E6682" s="5" t="str">
        <f>HYPERLINK("https://dpmzos25m8ivg.cloudfront.net/Documentos/631/40081967810/6314008196781005092023183342.pdf","https://dpmzos25m8ivg.cloudfront.net/Documentos/631/40081967810/6314008196781005092023183342.pdf")</f>
        <v>https://dpmzos25m8ivg.cloudfront.net/Documentos/631/40081967810/6314008196781005092023183342.pdf</v>
      </c>
      <c r="F6682" s="5" t="str">
        <f>HYPERLINK("https://dpmzos25m8ivg.cloudfront.net/Documentos/631/40081967810/6314008196781005092023183352.pdf","https://dpmzos25m8ivg.cloudfront.net/Documentos/631/40081967810/6314008196781005092023183352.pdf")</f>
        <v>https://dpmzos25m8ivg.cloudfront.net/Documentos/631/40081967810/6314008196781005092023183352.pdf</v>
      </c>
      <c r="G6682" s="5" t="str">
        <f>HYPERLINK("https://dpmzos25m8ivg.cloudfront.net/Documentos/631/40081967810/6314008196781005092023183359.pdf","https://dpmzos25m8ivg.cloudfront.net/Documentos/631/40081967810/6314008196781005092023183359.pdf")</f>
        <v>https://dpmzos25m8ivg.cloudfront.net/Documentos/631/40081967810/6314008196781005092023183359.pdf</v>
      </c>
      <c r="H6682" s="5" t="s">
        <v>15252</v>
      </c>
    </row>
    <row r="6683" spans="1:8" x14ac:dyDescent="0.25">
      <c r="A6683" s="2" t="s">
        <v>6710</v>
      </c>
      <c r="B6683" s="6" t="s">
        <v>23</v>
      </c>
      <c r="C6683" s="3"/>
      <c r="D6683" s="3"/>
      <c r="E6683" s="5" t="str">
        <f>HYPERLINK("https://dpmzos25m8ivg.cloudfront.net/Documentos/631/40097726893/6314009772689314092023161528.pdf","https://dpmzos25m8ivg.cloudfront.net/Documentos/631/40097726893/6314009772689314092023161528.pdf")</f>
        <v>https://dpmzos25m8ivg.cloudfront.net/Documentos/631/40097726893/6314009772689314092023161528.pdf</v>
      </c>
      <c r="F6683" s="5" t="str">
        <f>HYPERLINK("https://dpmzos25m8ivg.cloudfront.net/Documentos/631/40097726893/6314009772689314092023161548.pdf","https://dpmzos25m8ivg.cloudfront.net/Documentos/631/40097726893/6314009772689314092023161548.pdf")</f>
        <v>https://dpmzos25m8ivg.cloudfront.net/Documentos/631/40097726893/6314009772689314092023161548.pdf</v>
      </c>
      <c r="G6683" s="5" t="str">
        <f>HYPERLINK("https://dpmzos25m8ivg.cloudfront.net/Documentos/631/40097726893/6314009772689314092023161603.pdf","https://dpmzos25m8ivg.cloudfront.net/Documentos/631/40097726893/6314009772689314092023161603.pdf")</f>
        <v>https://dpmzos25m8ivg.cloudfront.net/Documentos/631/40097726893/6314009772689314092023161603.pdf</v>
      </c>
      <c r="H6683" s="5" t="s">
        <v>15253</v>
      </c>
    </row>
    <row r="6684" spans="1:8" x14ac:dyDescent="0.25">
      <c r="A6684" s="2" t="s">
        <v>6711</v>
      </c>
      <c r="B6684" s="3"/>
      <c r="C6684" s="3"/>
      <c r="D6684" s="3"/>
      <c r="E6684" s="5" t="str">
        <f>HYPERLINK("https://dpmzos25m8ivg.cloudfront.net/Documentos/631/40152654836/6314015265483614092023120443.pdf","https://dpmzos25m8ivg.cloudfront.net/Documentos/631/40152654836/6314015265483614092023120443.pdf")</f>
        <v>https://dpmzos25m8ivg.cloudfront.net/Documentos/631/40152654836/6314015265483614092023120443.pdf</v>
      </c>
      <c r="F6684" s="5" t="str">
        <f>HYPERLINK("https://dpmzos25m8ivg.cloudfront.net/Documentos/631/40152654836/6314015265483614092023120451.pdf","https://dpmzos25m8ivg.cloudfront.net/Documentos/631/40152654836/6314015265483614092023120451.pdf")</f>
        <v>https://dpmzos25m8ivg.cloudfront.net/Documentos/631/40152654836/6314015265483614092023120451.pdf</v>
      </c>
      <c r="G6684" s="5" t="str">
        <f>HYPERLINK("https://dpmzos25m8ivg.cloudfront.net/Documentos/631/40152654836/6314015265483614092023120458.pdf","https://dpmzos25m8ivg.cloudfront.net/Documentos/631/40152654836/6314015265483614092023120458.pdf")</f>
        <v>https://dpmzos25m8ivg.cloudfront.net/Documentos/631/40152654836/6314015265483614092023120458.pdf</v>
      </c>
      <c r="H6684" s="5" t="s">
        <v>15254</v>
      </c>
    </row>
    <row r="6685" spans="1:8" x14ac:dyDescent="0.25">
      <c r="A6685" s="2" t="s">
        <v>6712</v>
      </c>
      <c r="B6685" s="3" t="s">
        <v>8</v>
      </c>
      <c r="C6685" s="3"/>
      <c r="D6685" s="3"/>
      <c r="E6685" s="5" t="str">
        <f>HYPERLINK("https://dpmzos25m8ivg.cloudfront.net/Documentos/631/40183041704/6314018304170406092023111601.pdf","https://dpmzos25m8ivg.cloudfront.net/Documentos/631/40183041704/6314018304170406092023111601.pdf")</f>
        <v>https://dpmzos25m8ivg.cloudfront.net/Documentos/631/40183041704/6314018304170406092023111601.pdf</v>
      </c>
      <c r="F6685" s="5" t="str">
        <f>HYPERLINK("https://dpmzos25m8ivg.cloudfront.net/Documentos/631/40183041704/6314018304170406092023111707.pdf","https://dpmzos25m8ivg.cloudfront.net/Documentos/631/40183041704/6314018304170406092023111707.pdf")</f>
        <v>https://dpmzos25m8ivg.cloudfront.net/Documentos/631/40183041704/6314018304170406092023111707.pdf</v>
      </c>
      <c r="G6685" s="5" t="str">
        <f>HYPERLINK("https://dpmzos25m8ivg.cloudfront.net/Documentos/631/40183041704/6314018304170406092023113619.pdf","https://dpmzos25m8ivg.cloudfront.net/Documentos/631/40183041704/6314018304170406092023113619.pdf")</f>
        <v>https://dpmzos25m8ivg.cloudfront.net/Documentos/631/40183041704/6314018304170406092023113619.pdf</v>
      </c>
      <c r="H6685" s="5" t="s">
        <v>15255</v>
      </c>
    </row>
    <row r="6686" spans="1:8" x14ac:dyDescent="0.25">
      <c r="A6686" s="2" t="s">
        <v>6713</v>
      </c>
      <c r="B6686" s="3"/>
      <c r="C6686" s="3"/>
      <c r="D6686" s="3"/>
      <c r="E6686" s="5" t="str">
        <f>HYPERLINK("https://dpmzos25m8ivg.cloudfront.net/Documentos/631/40300296800/6314030029680010092023161334.jpg","https://dpmzos25m8ivg.cloudfront.net/Documentos/631/40300296800/6314030029680010092023161334.jpg")</f>
        <v>https://dpmzos25m8ivg.cloudfront.net/Documentos/631/40300296800/6314030029680010092023161334.jpg</v>
      </c>
      <c r="F6686" s="5" t="str">
        <f>HYPERLINK("https://dpmzos25m8ivg.cloudfront.net/Documentos/631/40300296800/6314030029680010092023161349.jpg","https://dpmzos25m8ivg.cloudfront.net/Documentos/631/40300296800/6314030029680010092023161349.jpg")</f>
        <v>https://dpmzos25m8ivg.cloudfront.net/Documentos/631/40300296800/6314030029680010092023161349.jpg</v>
      </c>
      <c r="G6686" s="5" t="str">
        <f>HYPERLINK("https://dpmzos25m8ivg.cloudfront.net/Documentos/631/40300296800/6314030029680010092023161402.jpg","https://dpmzos25m8ivg.cloudfront.net/Documentos/631/40300296800/6314030029680010092023161402.jpg")</f>
        <v>https://dpmzos25m8ivg.cloudfront.net/Documentos/631/40300296800/6314030029680010092023161402.jpg</v>
      </c>
      <c r="H6686" s="5" t="s">
        <v>15256</v>
      </c>
    </row>
    <row r="6687" spans="1:8" x14ac:dyDescent="0.25">
      <c r="A6687" s="2" t="s">
        <v>6714</v>
      </c>
      <c r="B6687" s="3"/>
      <c r="C6687" s="3"/>
      <c r="D6687" s="3"/>
      <c r="E6687" s="5" t="str">
        <f>HYPERLINK("https://dpmzos25m8ivg.cloudfront.net/Documentos/631/40306705800/6314030670580011092023155736.pdf","https://dpmzos25m8ivg.cloudfront.net/Documentos/631/40306705800/6314030670580011092023155736.pdf")</f>
        <v>https://dpmzos25m8ivg.cloudfront.net/Documentos/631/40306705800/6314030670580011092023155736.pdf</v>
      </c>
      <c r="F6687" s="5" t="str">
        <f>HYPERLINK("https://dpmzos25m8ivg.cloudfront.net/Documentos/631/40306705800/6314030670580011092023155746.pdf","https://dpmzos25m8ivg.cloudfront.net/Documentos/631/40306705800/6314030670580011092023155746.pdf")</f>
        <v>https://dpmzos25m8ivg.cloudfront.net/Documentos/631/40306705800/6314030670580011092023155746.pdf</v>
      </c>
      <c r="G6687" s="5" t="str">
        <f>HYPERLINK("https://dpmzos25m8ivg.cloudfront.net/Documentos/631/40306705800/6314030670580011092023155756.pdf","https://dpmzos25m8ivg.cloudfront.net/Documentos/631/40306705800/6314030670580011092023155756.pdf")</f>
        <v>https://dpmzos25m8ivg.cloudfront.net/Documentos/631/40306705800/6314030670580011092023155756.pdf</v>
      </c>
      <c r="H6687" s="5" t="s">
        <v>15257</v>
      </c>
    </row>
    <row r="6688" spans="1:8" x14ac:dyDescent="0.25">
      <c r="A6688" s="2" t="s">
        <v>6715</v>
      </c>
      <c r="B6688" s="3" t="s">
        <v>8</v>
      </c>
      <c r="C6688" s="3"/>
      <c r="D6688" s="3"/>
      <c r="E6688" s="5" t="str">
        <f>HYPERLINK("https://dpmzos25m8ivg.cloudfront.net/Documentos/631/40335686893/6314033568689305092023224148.pdf","https://dpmzos25m8ivg.cloudfront.net/Documentos/631/40335686893/6314033568689305092023224148.pdf")</f>
        <v>https://dpmzos25m8ivg.cloudfront.net/Documentos/631/40335686893/6314033568689305092023224148.pdf</v>
      </c>
      <c r="F6688" s="5" t="str">
        <f>HYPERLINK("https://dpmzos25m8ivg.cloudfront.net/Documentos/631/40335686893/6314033568689305092023224157.pdf","https://dpmzos25m8ivg.cloudfront.net/Documentos/631/40335686893/6314033568689305092023224157.pdf")</f>
        <v>https://dpmzos25m8ivg.cloudfront.net/Documentos/631/40335686893/6314033568689305092023224157.pdf</v>
      </c>
      <c r="G6688" s="5" t="str">
        <f>HYPERLINK("https://dpmzos25m8ivg.cloudfront.net/Documentos/631/40335686893/6314033568689305092023224204.pdf","https://dpmzos25m8ivg.cloudfront.net/Documentos/631/40335686893/6314033568689305092023224204.pdf")</f>
        <v>https://dpmzos25m8ivg.cloudfront.net/Documentos/631/40335686893/6314033568689305092023224204.pdf</v>
      </c>
      <c r="H6688" s="5" t="s">
        <v>15258</v>
      </c>
    </row>
    <row r="6689" spans="1:8" x14ac:dyDescent="0.25">
      <c r="A6689" s="2" t="s">
        <v>6716</v>
      </c>
      <c r="B6689" s="3" t="s">
        <v>42</v>
      </c>
      <c r="C6689" s="3"/>
      <c r="D6689" s="3"/>
      <c r="E6689" s="5" t="str">
        <f>HYPERLINK("https://dpmzos25m8ivg.cloudfront.net/Documentos/631/40365830852/6314036583085211092023122002.pdf","https://dpmzos25m8ivg.cloudfront.net/Documentos/631/40365830852/6314036583085211092023122002.pdf")</f>
        <v>https://dpmzos25m8ivg.cloudfront.net/Documentos/631/40365830852/6314036583085211092023122002.pdf</v>
      </c>
      <c r="F6689" s="5" t="str">
        <f>HYPERLINK("https://dpmzos25m8ivg.cloudfront.net/Documentos/631/40365830852/6314036583085211092023122015.pdf","https://dpmzos25m8ivg.cloudfront.net/Documentos/631/40365830852/6314036583085211092023122015.pdf")</f>
        <v>https://dpmzos25m8ivg.cloudfront.net/Documentos/631/40365830852/6314036583085211092023122015.pdf</v>
      </c>
      <c r="G6689" s="5" t="str">
        <f>HYPERLINK("https://dpmzos25m8ivg.cloudfront.net/Documentos/631/40365830852/6314036583085211092023122036.pdf","https://dpmzos25m8ivg.cloudfront.net/Documentos/631/40365830852/6314036583085211092023122036.pdf")</f>
        <v>https://dpmzos25m8ivg.cloudfront.net/Documentos/631/40365830852/6314036583085211092023122036.pdf</v>
      </c>
      <c r="H6689" s="5" t="s">
        <v>15259</v>
      </c>
    </row>
    <row r="6690" spans="1:8" x14ac:dyDescent="0.25">
      <c r="A6690" s="2" t="s">
        <v>6717</v>
      </c>
      <c r="B6690" s="3"/>
      <c r="C6690" s="3"/>
      <c r="D6690" s="3"/>
      <c r="E6690" s="5" t="str">
        <f>HYPERLINK("https://dpmzos25m8ivg.cloudfront.net/Documentos/631/40405124805/6314040512480512092023195327.pdf","https://dpmzos25m8ivg.cloudfront.net/Documentos/631/40405124805/6314040512480512092023195327.pdf")</f>
        <v>https://dpmzos25m8ivg.cloudfront.net/Documentos/631/40405124805/6314040512480512092023195327.pdf</v>
      </c>
      <c r="F6690" s="5" t="str">
        <f>HYPERLINK("https://dpmzos25m8ivg.cloudfront.net/Documentos/631/40405124805/6314040512480512092023195318.pdf","https://dpmzos25m8ivg.cloudfront.net/Documentos/631/40405124805/6314040512480512092023195318.pdf")</f>
        <v>https://dpmzos25m8ivg.cloudfront.net/Documentos/631/40405124805/6314040512480512092023195318.pdf</v>
      </c>
      <c r="G6690" s="5" t="str">
        <f>HYPERLINK("https://dpmzos25m8ivg.cloudfront.net/Documentos/631/40405124805/6314040512480512092023195310.pdf","https://dpmzos25m8ivg.cloudfront.net/Documentos/631/40405124805/6314040512480512092023195310.pdf")</f>
        <v>https://dpmzos25m8ivg.cloudfront.net/Documentos/631/40405124805/6314040512480512092023195310.pdf</v>
      </c>
      <c r="H6690" s="5" t="s">
        <v>15260</v>
      </c>
    </row>
    <row r="6691" spans="1:8" x14ac:dyDescent="0.25">
      <c r="A6691" s="2" t="s">
        <v>6718</v>
      </c>
      <c r="B6691" s="3"/>
      <c r="C6691" s="3"/>
      <c r="D6691" s="3"/>
      <c r="E6691" s="5" t="str">
        <f>HYPERLINK("https://dpmzos25m8ivg.cloudfront.net/Documentos/631/40412684861/6314041268486111092023130711.pdf","https://dpmzos25m8ivg.cloudfront.net/Documentos/631/40412684861/6314041268486111092023130711.pdf")</f>
        <v>https://dpmzos25m8ivg.cloudfront.net/Documentos/631/40412684861/6314041268486111092023130711.pdf</v>
      </c>
      <c r="F6691" s="5" t="str">
        <f>HYPERLINK("https://dpmzos25m8ivg.cloudfront.net/Documentos/631/40412684861/6314041268486111092023130722.pdf","https://dpmzos25m8ivg.cloudfront.net/Documentos/631/40412684861/6314041268486111092023130722.pdf")</f>
        <v>https://dpmzos25m8ivg.cloudfront.net/Documentos/631/40412684861/6314041268486111092023130722.pdf</v>
      </c>
      <c r="G6691" s="5" t="str">
        <f>HYPERLINK("https://dpmzos25m8ivg.cloudfront.net/Documentos/631/40412684861/6314041268486111092023130729.pdf","https://dpmzos25m8ivg.cloudfront.net/Documentos/631/40412684861/6314041268486111092023130729.pdf")</f>
        <v>https://dpmzos25m8ivg.cloudfront.net/Documentos/631/40412684861/6314041268486111092023130729.pdf</v>
      </c>
      <c r="H6691" s="5" t="s">
        <v>15261</v>
      </c>
    </row>
    <row r="6692" spans="1:8" x14ac:dyDescent="0.25">
      <c r="A6692" s="2" t="s">
        <v>6719</v>
      </c>
      <c r="B6692" s="3"/>
      <c r="C6692" s="3"/>
      <c r="D6692" s="3"/>
      <c r="E6692" s="5" t="str">
        <f>HYPERLINK("https://dpmzos25m8ivg.cloudfront.net/Documentos/631/40503569291/6314050356929105092023232545.pdf","https://dpmzos25m8ivg.cloudfront.net/Documentos/631/40503569291/6314050356929105092023232545.pdf")</f>
        <v>https://dpmzos25m8ivg.cloudfront.net/Documentos/631/40503569291/6314050356929105092023232545.pdf</v>
      </c>
      <c r="F6692" s="5" t="str">
        <f>HYPERLINK("https://dpmzos25m8ivg.cloudfront.net/Documentos/631/40503569291/6314050356929105092023232610.pdf","https://dpmzos25m8ivg.cloudfront.net/Documentos/631/40503569291/6314050356929105092023232610.pdf")</f>
        <v>https://dpmzos25m8ivg.cloudfront.net/Documentos/631/40503569291/6314050356929105092023232610.pdf</v>
      </c>
      <c r="G6692" s="5" t="str">
        <f>HYPERLINK("https://dpmzos25m8ivg.cloudfront.net/Documentos/631/40503569291/6314050356929105092023232622.pdf","https://dpmzos25m8ivg.cloudfront.net/Documentos/631/40503569291/6314050356929105092023232622.pdf")</f>
        <v>https://dpmzos25m8ivg.cloudfront.net/Documentos/631/40503569291/6314050356929105092023232622.pdf</v>
      </c>
      <c r="H6692" s="5" t="s">
        <v>15262</v>
      </c>
    </row>
    <row r="6693" spans="1:8" x14ac:dyDescent="0.25">
      <c r="A6693" s="2" t="s">
        <v>6720</v>
      </c>
      <c r="B6693" s="3"/>
      <c r="C6693" s="3"/>
      <c r="D6693" s="3"/>
      <c r="E6693" s="5" t="str">
        <f>HYPERLINK("https://dpmzos25m8ivg.cloudfront.net/Documentos/631/40523935897/6314052393589714092023114532.jpeg","https://dpmzos25m8ivg.cloudfront.net/Documentos/631/40523935897/6314052393589714092023114532.jpeg")</f>
        <v>https://dpmzos25m8ivg.cloudfront.net/Documentos/631/40523935897/6314052393589714092023114532.jpeg</v>
      </c>
      <c r="F6693" s="5" t="str">
        <f>HYPERLINK("https://dpmzos25m8ivg.cloudfront.net/Documentos/631/40523935897/6314052393589714092023114540.jpeg","https://dpmzos25m8ivg.cloudfront.net/Documentos/631/40523935897/6314052393589714092023114540.jpeg")</f>
        <v>https://dpmzos25m8ivg.cloudfront.net/Documentos/631/40523935897/6314052393589714092023114540.jpeg</v>
      </c>
      <c r="G6693" s="5" t="str">
        <f>HYPERLINK("https://dpmzos25m8ivg.cloudfront.net/Documentos/631/40523935897/6314052393589714092023114547.jpeg","https://dpmzos25m8ivg.cloudfront.net/Documentos/631/40523935897/6314052393589714092023114547.jpeg")</f>
        <v>https://dpmzos25m8ivg.cloudfront.net/Documentos/631/40523935897/6314052393589714092023114547.jpeg</v>
      </c>
      <c r="H6693" s="5" t="s">
        <v>15263</v>
      </c>
    </row>
    <row r="6694" spans="1:8" x14ac:dyDescent="0.25">
      <c r="A6694" s="2" t="s">
        <v>6721</v>
      </c>
      <c r="B6694" s="3"/>
      <c r="C6694" s="3"/>
      <c r="D6694" s="3"/>
      <c r="E6694" s="5" t="str">
        <f>HYPERLINK("https://dpmzos25m8ivg.cloudfront.net/Documentos/631/40526268859/6314052626885911092023134653.pdf","https://dpmzos25m8ivg.cloudfront.net/Documentos/631/40526268859/6314052626885911092023134653.pdf")</f>
        <v>https://dpmzos25m8ivg.cloudfront.net/Documentos/631/40526268859/6314052626885911092023134653.pdf</v>
      </c>
      <c r="F6694" s="5" t="str">
        <f>HYPERLINK("https://dpmzos25m8ivg.cloudfront.net/Documentos/631/40526268859/6314052626885911092023134704.pdf","https://dpmzos25m8ivg.cloudfront.net/Documentos/631/40526268859/6314052626885911092023134704.pdf")</f>
        <v>https://dpmzos25m8ivg.cloudfront.net/Documentos/631/40526268859/6314052626885911092023134704.pdf</v>
      </c>
      <c r="G6694" s="5" t="str">
        <f>HYPERLINK("https://dpmzos25m8ivg.cloudfront.net/Documentos/631/40526268859/6314052626885911092023134714.pdf","https://dpmzos25m8ivg.cloudfront.net/Documentos/631/40526268859/6314052626885911092023134714.pdf")</f>
        <v>https://dpmzos25m8ivg.cloudfront.net/Documentos/631/40526268859/6314052626885911092023134714.pdf</v>
      </c>
      <c r="H6694" s="5" t="s">
        <v>15264</v>
      </c>
    </row>
    <row r="6695" spans="1:8" x14ac:dyDescent="0.25">
      <c r="A6695" s="2" t="s">
        <v>6722</v>
      </c>
      <c r="B6695" s="3"/>
      <c r="C6695" s="3"/>
      <c r="D6695" s="3"/>
      <c r="E6695" s="5" t="str">
        <f>HYPERLINK("https://dpmzos25m8ivg.cloudfront.net/Documentos/631/40528987291/6314052898729105092023092526.pdf","https://dpmzos25m8ivg.cloudfront.net/Documentos/631/40528987291/6314052898729105092023092526.pdf")</f>
        <v>https://dpmzos25m8ivg.cloudfront.net/Documentos/631/40528987291/6314052898729105092023092526.pdf</v>
      </c>
      <c r="F6695" s="5" t="str">
        <f>HYPERLINK("https://dpmzos25m8ivg.cloudfront.net/Documentos/631/40528987291/6314052898729105092023092616.pdf","https://dpmzos25m8ivg.cloudfront.net/Documentos/631/40528987291/6314052898729105092023092616.pdf")</f>
        <v>https://dpmzos25m8ivg.cloudfront.net/Documentos/631/40528987291/6314052898729105092023092616.pdf</v>
      </c>
      <c r="G6695" s="5" t="str">
        <f>HYPERLINK("https://dpmzos25m8ivg.cloudfront.net/Documentos/631/40528987291/6314052898729105092023092645.pdf","https://dpmzos25m8ivg.cloudfront.net/Documentos/631/40528987291/6314052898729105092023092645.pdf")</f>
        <v>https://dpmzos25m8ivg.cloudfront.net/Documentos/631/40528987291/6314052898729105092023092645.pdf</v>
      </c>
      <c r="H6695" s="5" t="s">
        <v>15265</v>
      </c>
    </row>
    <row r="6696" spans="1:8" x14ac:dyDescent="0.25">
      <c r="A6696" s="2" t="s">
        <v>6723</v>
      </c>
      <c r="B6696" s="3" t="s">
        <v>8</v>
      </c>
      <c r="C6696" s="3"/>
      <c r="D6696" s="3"/>
      <c r="E6696" s="5" t="str">
        <f>HYPERLINK("https://dpmzos25m8ivg.cloudfront.net/Documentos/631/40549447873/6314054944787305092023135123.pdf","https://dpmzos25m8ivg.cloudfront.net/Documentos/631/40549447873/6314054944787305092023135123.pdf")</f>
        <v>https://dpmzos25m8ivg.cloudfront.net/Documentos/631/40549447873/6314054944787305092023135123.pdf</v>
      </c>
      <c r="F6696" s="5" t="str">
        <f>HYPERLINK("https://dpmzos25m8ivg.cloudfront.net/Documentos/631/40549447873/6314054944787305092023135135.pdf","https://dpmzos25m8ivg.cloudfront.net/Documentos/631/40549447873/6314054944787305092023135135.pdf")</f>
        <v>https://dpmzos25m8ivg.cloudfront.net/Documentos/631/40549447873/6314054944787305092023135135.pdf</v>
      </c>
      <c r="G6696" s="5" t="str">
        <f>HYPERLINK("https://dpmzos25m8ivg.cloudfront.net/Documentos/631/40549447873/6314054944787305092023135147.pdf","https://dpmzos25m8ivg.cloudfront.net/Documentos/631/40549447873/6314054944787305092023135147.pdf")</f>
        <v>https://dpmzos25m8ivg.cloudfront.net/Documentos/631/40549447873/6314054944787305092023135147.pdf</v>
      </c>
      <c r="H6696" s="5" t="s">
        <v>15266</v>
      </c>
    </row>
    <row r="6697" spans="1:8" x14ac:dyDescent="0.25">
      <c r="A6697" s="2" t="s">
        <v>6724</v>
      </c>
      <c r="B6697" s="3"/>
      <c r="C6697" s="3"/>
      <c r="D6697" s="3"/>
      <c r="E6697" s="5" t="str">
        <f>HYPERLINK("https://dpmzos25m8ivg.cloudfront.net/Documentos/631/40607160225/6314060716022510092023121804.pdf","https://dpmzos25m8ivg.cloudfront.net/Documentos/631/40607160225/6314060716022510092023121804.pdf")</f>
        <v>https://dpmzos25m8ivg.cloudfront.net/Documentos/631/40607160225/6314060716022510092023121804.pdf</v>
      </c>
      <c r="F6697" s="5" t="str">
        <f>HYPERLINK("https://dpmzos25m8ivg.cloudfront.net/Documentos/631/40607160225/6314060716022510092023121844.pdf","https://dpmzos25m8ivg.cloudfront.net/Documentos/631/40607160225/6314060716022510092023121844.pdf")</f>
        <v>https://dpmzos25m8ivg.cloudfront.net/Documentos/631/40607160225/6314060716022510092023121844.pdf</v>
      </c>
      <c r="G6697" s="5" t="str">
        <f>HYPERLINK("https://dpmzos25m8ivg.cloudfront.net/Documentos/631/40607160225/6314060716022510092023121903.pdf","https://dpmzos25m8ivg.cloudfront.net/Documentos/631/40607160225/6314060716022510092023121903.pdf")</f>
        <v>https://dpmzos25m8ivg.cloudfront.net/Documentos/631/40607160225/6314060716022510092023121903.pdf</v>
      </c>
      <c r="H6697" s="5" t="s">
        <v>15267</v>
      </c>
    </row>
    <row r="6698" spans="1:8" x14ac:dyDescent="0.25">
      <c r="A6698" s="2" t="s">
        <v>6725</v>
      </c>
      <c r="B6698" s="3" t="s">
        <v>42</v>
      </c>
      <c r="C6698" s="3"/>
      <c r="D6698" s="3"/>
      <c r="E6698" s="5" t="str">
        <f>HYPERLINK("https://dpmzos25m8ivg.cloudfront.net/Documentos/631/40608918865/6314060891886512092023182845.jpg","https://dpmzos25m8ivg.cloudfront.net/Documentos/631/40608918865/6314060891886512092023182845.jpg")</f>
        <v>https://dpmzos25m8ivg.cloudfront.net/Documentos/631/40608918865/6314060891886512092023182845.jpg</v>
      </c>
      <c r="F6698" s="5" t="str">
        <f>HYPERLINK("https://dpmzos25m8ivg.cloudfront.net/Documentos/631/40608918865/6314060891886512092023182901.jpg","https://dpmzos25m8ivg.cloudfront.net/Documentos/631/40608918865/6314060891886512092023182901.jpg")</f>
        <v>https://dpmzos25m8ivg.cloudfront.net/Documentos/631/40608918865/6314060891886512092023182901.jpg</v>
      </c>
      <c r="G6698" s="5" t="str">
        <f>HYPERLINK("https://dpmzos25m8ivg.cloudfront.net/Documentos/631/40608918865/6314060891886512092023182913.jpg","https://dpmzos25m8ivg.cloudfront.net/Documentos/631/40608918865/6314060891886512092023182913.jpg")</f>
        <v>https://dpmzos25m8ivg.cloudfront.net/Documentos/631/40608918865/6314060891886512092023182913.jpg</v>
      </c>
      <c r="H6698" s="5" t="s">
        <v>15268</v>
      </c>
    </row>
    <row r="6699" spans="1:8" x14ac:dyDescent="0.25">
      <c r="A6699" s="2" t="s">
        <v>6726</v>
      </c>
      <c r="B6699" s="3"/>
      <c r="C6699" s="3"/>
      <c r="D6699" s="3"/>
      <c r="E6699" s="5" t="str">
        <f>HYPERLINK("https://dpmzos25m8ivg.cloudfront.net/Documentos/631/40611490838/6314061149083810092023145857.jpeg","https://dpmzos25m8ivg.cloudfront.net/Documentos/631/40611490838/6314061149083810092023145857.jpeg")</f>
        <v>https://dpmzos25m8ivg.cloudfront.net/Documentos/631/40611490838/6314061149083810092023145857.jpeg</v>
      </c>
      <c r="F6699" s="5" t="str">
        <f>HYPERLINK("https://dpmzos25m8ivg.cloudfront.net/Documentos/631/40611490838/6314061149083810092023145912.jpeg","https://dpmzos25m8ivg.cloudfront.net/Documentos/631/40611490838/6314061149083810092023145912.jpeg")</f>
        <v>https://dpmzos25m8ivg.cloudfront.net/Documentos/631/40611490838/6314061149083810092023145912.jpeg</v>
      </c>
      <c r="G6699" s="5" t="str">
        <f>HYPERLINK("https://dpmzos25m8ivg.cloudfront.net/Documentos/631/40611490838/6314061149083810092023145929.jpeg","https://dpmzos25m8ivg.cloudfront.net/Documentos/631/40611490838/6314061149083810092023145929.jpeg")</f>
        <v>https://dpmzos25m8ivg.cloudfront.net/Documentos/631/40611490838/6314061149083810092023145929.jpeg</v>
      </c>
      <c r="H6699" s="5" t="s">
        <v>15269</v>
      </c>
    </row>
    <row r="6700" spans="1:8" x14ac:dyDescent="0.25">
      <c r="A6700" s="2" t="s">
        <v>6727</v>
      </c>
      <c r="B6700" s="3"/>
      <c r="C6700" s="3"/>
      <c r="D6700" s="3"/>
      <c r="E6700" s="5" t="str">
        <f>HYPERLINK("https://dpmzos25m8ivg.cloudfront.net/Documentos/631/40634367803/6314063436780311092023161551.jpg","https://dpmzos25m8ivg.cloudfront.net/Documentos/631/40634367803/6314063436780311092023161551.jpg")</f>
        <v>https://dpmzos25m8ivg.cloudfront.net/Documentos/631/40634367803/6314063436780311092023161551.jpg</v>
      </c>
      <c r="F6700" s="5" t="str">
        <f>HYPERLINK("https://dpmzos25m8ivg.cloudfront.net/Documentos/631/40634367803/6314063436780311092023161539.jpg","https://dpmzos25m8ivg.cloudfront.net/Documentos/631/40634367803/6314063436780311092023161539.jpg")</f>
        <v>https://dpmzos25m8ivg.cloudfront.net/Documentos/631/40634367803/6314063436780311092023161539.jpg</v>
      </c>
      <c r="G6700" s="5" t="str">
        <f>HYPERLINK("https://dpmzos25m8ivg.cloudfront.net/Documentos/631/40634367803/6314063436780311092023161518.jpg","https://dpmzos25m8ivg.cloudfront.net/Documentos/631/40634367803/6314063436780311092023161518.jpg")</f>
        <v>https://dpmzos25m8ivg.cloudfront.net/Documentos/631/40634367803/6314063436780311092023161518.jpg</v>
      </c>
      <c r="H6700" s="5" t="s">
        <v>15270</v>
      </c>
    </row>
    <row r="6701" spans="1:8" x14ac:dyDescent="0.25">
      <c r="A6701" s="2" t="s">
        <v>6728</v>
      </c>
      <c r="B6701" s="3"/>
      <c r="C6701" s="3"/>
      <c r="D6701" s="3"/>
      <c r="E6701" s="5" t="str">
        <f>HYPERLINK("https://dpmzos25m8ivg.cloudfront.net/Documentos/631/40660638886/6314066063888610092023235211.pdf","https://dpmzos25m8ivg.cloudfront.net/Documentos/631/40660638886/6314066063888610092023235211.pdf")</f>
        <v>https://dpmzos25m8ivg.cloudfront.net/Documentos/631/40660638886/6314066063888610092023235211.pdf</v>
      </c>
      <c r="F6701" s="5" t="str">
        <f>HYPERLINK("https://dpmzos25m8ivg.cloudfront.net/Documentos/631/40660638886/6314066063888610092023235221.pdf","https://dpmzos25m8ivg.cloudfront.net/Documentos/631/40660638886/6314066063888610092023235221.pdf")</f>
        <v>https://dpmzos25m8ivg.cloudfront.net/Documentos/631/40660638886/6314066063888610092023235221.pdf</v>
      </c>
      <c r="G6701" s="5" t="str">
        <f>HYPERLINK("https://dpmzos25m8ivg.cloudfront.net/Documentos/631/40660638886/6314066063888610092023235229.pdf","https://dpmzos25m8ivg.cloudfront.net/Documentos/631/40660638886/6314066063888610092023235229.pdf")</f>
        <v>https://dpmzos25m8ivg.cloudfront.net/Documentos/631/40660638886/6314066063888610092023235229.pdf</v>
      </c>
      <c r="H6701" s="5" t="s">
        <v>15271</v>
      </c>
    </row>
    <row r="6702" spans="1:8" x14ac:dyDescent="0.25">
      <c r="A6702" s="2" t="s">
        <v>6729</v>
      </c>
      <c r="B6702" s="3"/>
      <c r="C6702" s="3"/>
      <c r="D6702" s="3"/>
      <c r="E6702" s="5" t="str">
        <f>HYPERLINK("https://dpmzos25m8ivg.cloudfront.net/Documentos/631/40661229220/6314066122922010092023233449.pdf","https://dpmzos25m8ivg.cloudfront.net/Documentos/631/40661229220/6314066122922010092023233449.pdf")</f>
        <v>https://dpmzos25m8ivg.cloudfront.net/Documentos/631/40661229220/6314066122922010092023233449.pdf</v>
      </c>
      <c r="F6702" s="5" t="str">
        <f>HYPERLINK("https://dpmzos25m8ivg.cloudfront.net/Documentos/631/40661229220/6314066122922010092023233532.pdf","https://dpmzos25m8ivg.cloudfront.net/Documentos/631/40661229220/6314066122922010092023233532.pdf")</f>
        <v>https://dpmzos25m8ivg.cloudfront.net/Documentos/631/40661229220/6314066122922010092023233532.pdf</v>
      </c>
      <c r="G6702" s="5" t="str">
        <f>HYPERLINK("https://dpmzos25m8ivg.cloudfront.net/Documentos/631/40661229220/6314066122922010092023233606.pdf","https://dpmzos25m8ivg.cloudfront.net/Documentos/631/40661229220/6314066122922010092023233606.pdf")</f>
        <v>https://dpmzos25m8ivg.cloudfront.net/Documentos/631/40661229220/6314066122922010092023233606.pdf</v>
      </c>
      <c r="H6702" s="5" t="s">
        <v>15272</v>
      </c>
    </row>
    <row r="6703" spans="1:8" x14ac:dyDescent="0.25">
      <c r="A6703" s="2" t="s">
        <v>6730</v>
      </c>
      <c r="B6703" s="3"/>
      <c r="C6703" s="3"/>
      <c r="D6703" s="3"/>
      <c r="E6703" s="5" t="str">
        <f>HYPERLINK("https://dpmzos25m8ivg.cloudfront.net/Documentos/631/40670811890/6314067081189011092023124856.jpg","https://dpmzos25m8ivg.cloudfront.net/Documentos/631/40670811890/6314067081189011092023124856.jpg")</f>
        <v>https://dpmzos25m8ivg.cloudfront.net/Documentos/631/40670811890/6314067081189011092023124856.jpg</v>
      </c>
      <c r="F6703" s="5" t="str">
        <f>HYPERLINK("https://dpmzos25m8ivg.cloudfront.net/Documentos/631/40670811890/6314067081189011092023142841.jpg","https://dpmzos25m8ivg.cloudfront.net/Documentos/631/40670811890/6314067081189011092023142841.jpg")</f>
        <v>https://dpmzos25m8ivg.cloudfront.net/Documentos/631/40670811890/6314067081189011092023142841.jpg</v>
      </c>
      <c r="G6703" s="5" t="str">
        <f>HYPERLINK("https://dpmzos25m8ivg.cloudfront.net/Documentos/631/40670811890/6314067081189011092023125353.jpg","https://dpmzos25m8ivg.cloudfront.net/Documentos/631/40670811890/6314067081189011092023125353.jpg")</f>
        <v>https://dpmzos25m8ivg.cloudfront.net/Documentos/631/40670811890/6314067081189011092023125353.jpg</v>
      </c>
      <c r="H6703" s="5" t="s">
        <v>15273</v>
      </c>
    </row>
    <row r="6704" spans="1:8" x14ac:dyDescent="0.25">
      <c r="A6704" s="2" t="s">
        <v>6731</v>
      </c>
      <c r="B6704" s="3"/>
      <c r="C6704" s="3"/>
      <c r="D6704" s="3"/>
      <c r="E6704" s="5" t="str">
        <f>HYPERLINK("https://dpmzos25m8ivg.cloudfront.net/Documentos/631/40676375863/6314067637586311092023131848.jpeg","https://dpmzos25m8ivg.cloudfront.net/Documentos/631/40676375863/6314067637586311092023131848.jpeg")</f>
        <v>https://dpmzos25m8ivg.cloudfront.net/Documentos/631/40676375863/6314067637586311092023131848.jpeg</v>
      </c>
      <c r="F6704" s="5" t="str">
        <f>HYPERLINK("https://dpmzos25m8ivg.cloudfront.net/Documentos/631/40676375863/6314067637586311092023131930.jpeg","https://dpmzos25m8ivg.cloudfront.net/Documentos/631/40676375863/6314067637586311092023131930.jpeg")</f>
        <v>https://dpmzos25m8ivg.cloudfront.net/Documentos/631/40676375863/6314067637586311092023131930.jpeg</v>
      </c>
      <c r="G6704" s="5" t="str">
        <f>HYPERLINK("https://dpmzos25m8ivg.cloudfront.net/Documentos/631/40676375863/6314067637586311092023131951.jpeg","https://dpmzos25m8ivg.cloudfront.net/Documentos/631/40676375863/6314067637586311092023131951.jpeg")</f>
        <v>https://dpmzos25m8ivg.cloudfront.net/Documentos/631/40676375863/6314067637586311092023131951.jpeg</v>
      </c>
      <c r="H6704" s="5" t="s">
        <v>15274</v>
      </c>
    </row>
    <row r="6705" spans="1:8" x14ac:dyDescent="0.25">
      <c r="A6705" s="2" t="s">
        <v>6732</v>
      </c>
      <c r="B6705" s="3"/>
      <c r="C6705" s="3"/>
      <c r="D6705" s="3"/>
      <c r="E6705" s="5" t="str">
        <f>HYPERLINK("https://dpmzos25m8ivg.cloudfront.net/Documentos/631/40731170334/6314073117033405092023233339.jpg","https://dpmzos25m8ivg.cloudfront.net/Documentos/631/40731170334/6314073117033405092023233339.jpg")</f>
        <v>https://dpmzos25m8ivg.cloudfront.net/Documentos/631/40731170334/6314073117033405092023233339.jpg</v>
      </c>
      <c r="F6705" s="5" t="str">
        <f>HYPERLINK("https://dpmzos25m8ivg.cloudfront.net/Documentos/631/40731170334/6314073117033405092023233405.jpg","https://dpmzos25m8ivg.cloudfront.net/Documentos/631/40731170334/6314073117033405092023233405.jpg")</f>
        <v>https://dpmzos25m8ivg.cloudfront.net/Documentos/631/40731170334/6314073117033405092023233405.jpg</v>
      </c>
      <c r="G6705" s="5" t="str">
        <f>HYPERLINK("https://dpmzos25m8ivg.cloudfront.net/Documentos/631/40731170334/6314073117033405092023233432.jpg","https://dpmzos25m8ivg.cloudfront.net/Documentos/631/40731170334/6314073117033405092023233432.jpg")</f>
        <v>https://dpmzos25m8ivg.cloudfront.net/Documentos/631/40731170334/6314073117033405092023233432.jpg</v>
      </c>
      <c r="H6705" s="5" t="s">
        <v>15275</v>
      </c>
    </row>
    <row r="6706" spans="1:8" x14ac:dyDescent="0.25">
      <c r="A6706" s="2" t="s">
        <v>6733</v>
      </c>
      <c r="B6706" s="3"/>
      <c r="C6706" s="3"/>
      <c r="D6706" s="3"/>
      <c r="E6706" s="5" t="str">
        <f>HYPERLINK("https://dpmzos25m8ivg.cloudfront.net/Documentos/631/40756696100/6314075669610008092023141001.pdf","https://dpmzos25m8ivg.cloudfront.net/Documentos/631/40756696100/6314075669610008092023141001.pdf")</f>
        <v>https://dpmzos25m8ivg.cloudfront.net/Documentos/631/40756696100/6314075669610008092023141001.pdf</v>
      </c>
      <c r="F6706" s="5" t="str">
        <f>HYPERLINK("https://dpmzos25m8ivg.cloudfront.net/Documentos/631/40756696100/6314075669610008092023141020.pdf","https://dpmzos25m8ivg.cloudfront.net/Documentos/631/40756696100/6314075669610008092023141020.pdf")</f>
        <v>https://dpmzos25m8ivg.cloudfront.net/Documentos/631/40756696100/6314075669610008092023141020.pdf</v>
      </c>
      <c r="G6706" s="5" t="str">
        <f>HYPERLINK("https://dpmzos25m8ivg.cloudfront.net/Documentos/631/40756696100/6314075669610008092023141034.pdf","https://dpmzos25m8ivg.cloudfront.net/Documentos/631/40756696100/6314075669610008092023141034.pdf")</f>
        <v>https://dpmzos25m8ivg.cloudfront.net/Documentos/631/40756696100/6314075669610008092023141034.pdf</v>
      </c>
      <c r="H6706" s="5" t="s">
        <v>15276</v>
      </c>
    </row>
    <row r="6707" spans="1:8" x14ac:dyDescent="0.25">
      <c r="A6707" s="2" t="s">
        <v>6734</v>
      </c>
      <c r="B6707" s="3"/>
      <c r="C6707" s="3"/>
      <c r="D6707" s="3"/>
      <c r="E6707" s="5" t="str">
        <f>HYPERLINK("https://dpmzos25m8ivg.cloudfront.net/Documentos/631/40759085854/6314075908585411092023123923.pdf","https://dpmzos25m8ivg.cloudfront.net/Documentos/631/40759085854/6314075908585411092023123923.pdf")</f>
        <v>https://dpmzos25m8ivg.cloudfront.net/Documentos/631/40759085854/6314075908585411092023123923.pdf</v>
      </c>
      <c r="F6707" s="5" t="str">
        <f>HYPERLINK("https://dpmzos25m8ivg.cloudfront.net/Documentos/631/40759085854/6314075908585411092023123952.pdf","https://dpmzos25m8ivg.cloudfront.net/Documentos/631/40759085854/6314075908585411092023123952.pdf")</f>
        <v>https://dpmzos25m8ivg.cloudfront.net/Documentos/631/40759085854/6314075908585411092023123952.pdf</v>
      </c>
      <c r="G6707" s="5" t="str">
        <f>HYPERLINK("https://dpmzos25m8ivg.cloudfront.net/Documentos/631/40759085854/6314075908585411092023124015.pdf","https://dpmzos25m8ivg.cloudfront.net/Documentos/631/40759085854/6314075908585411092023124015.pdf")</f>
        <v>https://dpmzos25m8ivg.cloudfront.net/Documentos/631/40759085854/6314075908585411092023124015.pdf</v>
      </c>
      <c r="H6707" s="5" t="s">
        <v>15277</v>
      </c>
    </row>
    <row r="6708" spans="1:8" x14ac:dyDescent="0.25">
      <c r="A6708" s="2" t="s">
        <v>6735</v>
      </c>
      <c r="B6708" s="3"/>
      <c r="C6708" s="3"/>
      <c r="D6708" s="3"/>
      <c r="E6708" s="5" t="str">
        <f>HYPERLINK("https://dpmzos25m8ivg.cloudfront.net/Documentos/631/40787444863/6314078744486313092023143346.jpg","https://dpmzos25m8ivg.cloudfront.net/Documentos/631/40787444863/6314078744486313092023143346.jpg")</f>
        <v>https://dpmzos25m8ivg.cloudfront.net/Documentos/631/40787444863/6314078744486313092023143346.jpg</v>
      </c>
      <c r="F6708" s="5" t="str">
        <f>HYPERLINK("https://dpmzos25m8ivg.cloudfront.net/Documentos/631/40787444863/6314078744486313092023143359.jpg","https://dpmzos25m8ivg.cloudfront.net/Documentos/631/40787444863/6314078744486313092023143359.jpg")</f>
        <v>https://dpmzos25m8ivg.cloudfront.net/Documentos/631/40787444863/6314078744486313092023143359.jpg</v>
      </c>
      <c r="G6708" s="5" t="str">
        <f>HYPERLINK("https://dpmzos25m8ivg.cloudfront.net/Documentos/631/40787444863/6314078744486313092023143408.jpg","https://dpmzos25m8ivg.cloudfront.net/Documentos/631/40787444863/6314078744486313092023143408.jpg")</f>
        <v>https://dpmzos25m8ivg.cloudfront.net/Documentos/631/40787444863/6314078744486313092023143408.jpg</v>
      </c>
      <c r="H6708" s="5" t="s">
        <v>15278</v>
      </c>
    </row>
    <row r="6709" spans="1:8" x14ac:dyDescent="0.25">
      <c r="A6709" s="2" t="s">
        <v>6736</v>
      </c>
      <c r="B6709" s="3"/>
      <c r="C6709" s="3"/>
      <c r="D6709" s="3"/>
      <c r="E6709" s="5" t="str">
        <f>HYPERLINK("https://dpmzos25m8ivg.cloudfront.net/Documentos/631/40852032153/6314085203215305092023095706.pdf","https://dpmzos25m8ivg.cloudfront.net/Documentos/631/40852032153/6314085203215305092023095706.pdf")</f>
        <v>https://dpmzos25m8ivg.cloudfront.net/Documentos/631/40852032153/6314085203215305092023095706.pdf</v>
      </c>
      <c r="F6709" s="5" t="str">
        <f>HYPERLINK("https://dpmzos25m8ivg.cloudfront.net/Documentos/631/40852032153/6314085203215305092023095730.pdf","https://dpmzos25m8ivg.cloudfront.net/Documentos/631/40852032153/6314085203215305092023095730.pdf")</f>
        <v>https://dpmzos25m8ivg.cloudfront.net/Documentos/631/40852032153/6314085203215305092023095730.pdf</v>
      </c>
      <c r="G6709" s="5" t="str">
        <f>HYPERLINK("https://dpmzos25m8ivg.cloudfront.net/Documentos/631/40852032153/6314085203215305092023095802.pdf","https://dpmzos25m8ivg.cloudfront.net/Documentos/631/40852032153/6314085203215305092023095802.pdf")</f>
        <v>https://dpmzos25m8ivg.cloudfront.net/Documentos/631/40852032153/6314085203215305092023095802.pdf</v>
      </c>
      <c r="H6709" s="5" t="s">
        <v>15279</v>
      </c>
    </row>
    <row r="6710" spans="1:8" x14ac:dyDescent="0.25">
      <c r="A6710" s="2" t="s">
        <v>6737</v>
      </c>
      <c r="B6710" s="3"/>
      <c r="C6710" s="3"/>
      <c r="D6710" s="3"/>
      <c r="E6710" s="5" t="str">
        <f>HYPERLINK("https://dpmzos25m8ivg.cloudfront.net/Documentos/631/40870502468/6314087050246806092023165405.pdf","https://dpmzos25m8ivg.cloudfront.net/Documentos/631/40870502468/6314087050246806092023165405.pdf")</f>
        <v>https://dpmzos25m8ivg.cloudfront.net/Documentos/631/40870502468/6314087050246806092023165405.pdf</v>
      </c>
      <c r="F6710" s="5" t="str">
        <f>HYPERLINK("https://dpmzos25m8ivg.cloudfront.net/Documentos/631/40870502468/6314087050246806092023165435.pdf","https://dpmzos25m8ivg.cloudfront.net/Documentos/631/40870502468/6314087050246806092023165435.pdf")</f>
        <v>https://dpmzos25m8ivg.cloudfront.net/Documentos/631/40870502468/6314087050246806092023165435.pdf</v>
      </c>
      <c r="G6710" s="5" t="str">
        <f>HYPERLINK("https://dpmzos25m8ivg.cloudfront.net/Documentos/631/40870502468/6314087050246806092023165500.pdf","https://dpmzos25m8ivg.cloudfront.net/Documentos/631/40870502468/6314087050246806092023165500.pdf")</f>
        <v>https://dpmzos25m8ivg.cloudfront.net/Documentos/631/40870502468/6314087050246806092023165500.pdf</v>
      </c>
      <c r="H6710" s="5" t="s">
        <v>15280</v>
      </c>
    </row>
    <row r="6711" spans="1:8" x14ac:dyDescent="0.25">
      <c r="A6711" s="2" t="s">
        <v>6738</v>
      </c>
      <c r="B6711" s="3"/>
      <c r="C6711" s="3"/>
      <c r="D6711" s="3"/>
      <c r="E6711" s="5" t="str">
        <f>HYPERLINK("https://dpmzos25m8ivg.cloudfront.net/Documentos/631/40891348115/6314089134811508092023184412.jpg","https://dpmzos25m8ivg.cloudfront.net/Documentos/631/40891348115/6314089134811508092023184412.jpg")</f>
        <v>https://dpmzos25m8ivg.cloudfront.net/Documentos/631/40891348115/6314089134811508092023184412.jpg</v>
      </c>
      <c r="F6711" s="5" t="str">
        <f>HYPERLINK("https://dpmzos25m8ivg.cloudfront.net/Documentos/631/40891348115/6314089134811508092023184440.jpg","https://dpmzos25m8ivg.cloudfront.net/Documentos/631/40891348115/6314089134811508092023184440.jpg")</f>
        <v>https://dpmzos25m8ivg.cloudfront.net/Documentos/631/40891348115/6314089134811508092023184440.jpg</v>
      </c>
      <c r="G6711" s="5" t="str">
        <f>HYPERLINK("https://dpmzos25m8ivg.cloudfront.net/Documentos/631/40891348115/6314089134811508092023184503.jpg","https://dpmzos25m8ivg.cloudfront.net/Documentos/631/40891348115/6314089134811508092023184503.jpg")</f>
        <v>https://dpmzos25m8ivg.cloudfront.net/Documentos/631/40891348115/6314089134811508092023184503.jpg</v>
      </c>
      <c r="H6711" s="5" t="s">
        <v>15281</v>
      </c>
    </row>
    <row r="6712" spans="1:8" x14ac:dyDescent="0.25">
      <c r="A6712" s="2" t="s">
        <v>6739</v>
      </c>
      <c r="B6712" s="3"/>
      <c r="C6712" s="3"/>
      <c r="D6712" s="3"/>
      <c r="E6712" s="5" t="str">
        <f>HYPERLINK("https://dpmzos25m8ivg.cloudfront.net/Documentos/631/40897562860/6314089756286006092023170046.pdf","https://dpmzos25m8ivg.cloudfront.net/Documentos/631/40897562860/6314089756286006092023170046.pdf")</f>
        <v>https://dpmzos25m8ivg.cloudfront.net/Documentos/631/40897562860/6314089756286006092023170046.pdf</v>
      </c>
      <c r="F6712" s="5" t="str">
        <f>HYPERLINK("https://dpmzos25m8ivg.cloudfront.net/Documentos/631/40897562860/6314089756286006092023170055.pdf","https://dpmzos25m8ivg.cloudfront.net/Documentos/631/40897562860/6314089756286006092023170055.pdf")</f>
        <v>https://dpmzos25m8ivg.cloudfront.net/Documentos/631/40897562860/6314089756286006092023170055.pdf</v>
      </c>
      <c r="G6712" s="5" t="str">
        <f>HYPERLINK("https://dpmzos25m8ivg.cloudfront.net/Documentos/631/40897562860/6314089756286006092023170104.pdf","https://dpmzos25m8ivg.cloudfront.net/Documentos/631/40897562860/6314089756286006092023170104.pdf")</f>
        <v>https://dpmzos25m8ivg.cloudfront.net/Documentos/631/40897562860/6314089756286006092023170104.pdf</v>
      </c>
      <c r="H6712" s="5" t="s">
        <v>15282</v>
      </c>
    </row>
    <row r="6713" spans="1:8" x14ac:dyDescent="0.25">
      <c r="A6713" s="2" t="s">
        <v>6740</v>
      </c>
      <c r="B6713" s="3"/>
      <c r="C6713" s="3"/>
      <c r="D6713" s="3"/>
      <c r="E6713" s="5" t="str">
        <f>HYPERLINK("https://dpmzos25m8ivg.cloudfront.net/Documentos/631/40922022291/6314092202229114092023084410.pdf","https://dpmzos25m8ivg.cloudfront.net/Documentos/631/40922022291/6314092202229114092023084410.pdf")</f>
        <v>https://dpmzos25m8ivg.cloudfront.net/Documentos/631/40922022291/6314092202229114092023084410.pdf</v>
      </c>
      <c r="F6713" s="5" t="str">
        <f>HYPERLINK("https://dpmzos25m8ivg.cloudfront.net/Documentos/631/40922022291/6314092202229114092023084442.pdf","https://dpmzos25m8ivg.cloudfront.net/Documentos/631/40922022291/6314092202229114092023084442.pdf")</f>
        <v>https://dpmzos25m8ivg.cloudfront.net/Documentos/631/40922022291/6314092202229114092023084442.pdf</v>
      </c>
      <c r="G6713" s="5" t="str">
        <f>HYPERLINK("https://dpmzos25m8ivg.cloudfront.net/Documentos/631/40922022291/6314092202229114092023084501.pdf","https://dpmzos25m8ivg.cloudfront.net/Documentos/631/40922022291/6314092202229114092023084501.pdf")</f>
        <v>https://dpmzos25m8ivg.cloudfront.net/Documentos/631/40922022291/6314092202229114092023084501.pdf</v>
      </c>
      <c r="H6713" s="5" t="s">
        <v>15283</v>
      </c>
    </row>
    <row r="6714" spans="1:8" x14ac:dyDescent="0.25">
      <c r="A6714" s="2" t="s">
        <v>6741</v>
      </c>
      <c r="B6714" s="3" t="s">
        <v>23</v>
      </c>
      <c r="C6714" s="3"/>
      <c r="D6714" s="3"/>
      <c r="E6714" s="5" t="str">
        <f>HYPERLINK("https://dpmzos25m8ivg.cloudfront.net/Documentos/631/40962252824/6314096225282414092023165022.jpeg","https://dpmzos25m8ivg.cloudfront.net/Documentos/631/40962252824/6314096225282414092023165022.jpeg")</f>
        <v>https://dpmzos25m8ivg.cloudfront.net/Documentos/631/40962252824/6314096225282414092023165022.jpeg</v>
      </c>
      <c r="F6714" s="5" t="str">
        <f>HYPERLINK("https://dpmzos25m8ivg.cloudfront.net/Documentos/631/40962252824/6314096225282414092023165030.jpeg","https://dpmzos25m8ivg.cloudfront.net/Documentos/631/40962252824/6314096225282414092023165030.jpeg")</f>
        <v>https://dpmzos25m8ivg.cloudfront.net/Documentos/631/40962252824/6314096225282414092023165030.jpeg</v>
      </c>
      <c r="G6714" s="5" t="str">
        <f>HYPERLINK("https://dpmzos25m8ivg.cloudfront.net/Documentos/631/40962252824/6314096225282414092023165037.jpeg","https://dpmzos25m8ivg.cloudfront.net/Documentos/631/40962252824/6314096225282414092023165037.jpeg")</f>
        <v>https://dpmzos25m8ivg.cloudfront.net/Documentos/631/40962252824/6314096225282414092023165037.jpeg</v>
      </c>
      <c r="H6714" s="5" t="s">
        <v>15284</v>
      </c>
    </row>
    <row r="6715" spans="1:8" x14ac:dyDescent="0.25">
      <c r="A6715" s="2" t="s">
        <v>6742</v>
      </c>
      <c r="B6715" s="3"/>
      <c r="C6715" s="3"/>
      <c r="D6715" s="3"/>
      <c r="E6715" s="5" t="str">
        <f>HYPERLINK("https://dpmzos25m8ivg.cloudfront.net/Documentos/631/41014250862/6314101425086211092023102416.pdf","https://dpmzos25m8ivg.cloudfront.net/Documentos/631/41014250862/6314101425086211092023102416.pdf")</f>
        <v>https://dpmzos25m8ivg.cloudfront.net/Documentos/631/41014250862/6314101425086211092023102416.pdf</v>
      </c>
      <c r="F6715" s="5" t="str">
        <f>HYPERLINK("https://dpmzos25m8ivg.cloudfront.net/Documentos/631/41014250862/6314101425086211092023102424.pdf","https://dpmzos25m8ivg.cloudfront.net/Documentos/631/41014250862/6314101425086211092023102424.pdf")</f>
        <v>https://dpmzos25m8ivg.cloudfront.net/Documentos/631/41014250862/6314101425086211092023102424.pdf</v>
      </c>
      <c r="G6715" s="5" t="str">
        <f>HYPERLINK("https://dpmzos25m8ivg.cloudfront.net/Documentos/631/41014250862/6314101425086211092023102434.pdf","https://dpmzos25m8ivg.cloudfront.net/Documentos/631/41014250862/6314101425086211092023102434.pdf")</f>
        <v>https://dpmzos25m8ivg.cloudfront.net/Documentos/631/41014250862/6314101425086211092023102434.pdf</v>
      </c>
      <c r="H6715" s="5" t="s">
        <v>15285</v>
      </c>
    </row>
    <row r="6716" spans="1:8" x14ac:dyDescent="0.25">
      <c r="A6716" s="2" t="s">
        <v>6743</v>
      </c>
      <c r="B6716" s="3"/>
      <c r="C6716" s="3"/>
      <c r="D6716" s="3"/>
      <c r="E6716" s="5" t="str">
        <f>HYPERLINK("https://dpmzos25m8ivg.cloudfront.net/Documentos/631/41057490210/6314105749021011092023013328.pdf","https://dpmzos25m8ivg.cloudfront.net/Documentos/631/41057490210/6314105749021011092023013328.pdf")</f>
        <v>https://dpmzos25m8ivg.cloudfront.net/Documentos/631/41057490210/6314105749021011092023013328.pdf</v>
      </c>
      <c r="F6716" s="5" t="str">
        <f>HYPERLINK("https://dpmzos25m8ivg.cloudfront.net/Documentos/631/41057490210/6314105749021011092023013355.pdf","https://dpmzos25m8ivg.cloudfront.net/Documentos/631/41057490210/6314105749021011092023013355.pdf")</f>
        <v>https://dpmzos25m8ivg.cloudfront.net/Documentos/631/41057490210/6314105749021011092023013355.pdf</v>
      </c>
      <c r="G6716" s="5" t="str">
        <f>HYPERLINK("https://dpmzos25m8ivg.cloudfront.net/Documentos/631/41057490210/6314105749021011092023013409.pdf","https://dpmzos25m8ivg.cloudfront.net/Documentos/631/41057490210/6314105749021011092023013409.pdf")</f>
        <v>https://dpmzos25m8ivg.cloudfront.net/Documentos/631/41057490210/6314105749021011092023013409.pdf</v>
      </c>
      <c r="H6716" s="5" t="s">
        <v>15286</v>
      </c>
    </row>
    <row r="6717" spans="1:8" x14ac:dyDescent="0.25">
      <c r="A6717" s="2" t="s">
        <v>6744</v>
      </c>
      <c r="B6717" s="3"/>
      <c r="C6717" s="3"/>
      <c r="D6717" s="3"/>
      <c r="E6717" s="5" t="str">
        <f>HYPERLINK("https://dpmzos25m8ivg.cloudfront.net/Documentos/631/41075889200/6314107588920011092023145526.pdf","https://dpmzos25m8ivg.cloudfront.net/Documentos/631/41075889200/6314107588920011092023145526.pdf")</f>
        <v>https://dpmzos25m8ivg.cloudfront.net/Documentos/631/41075889200/6314107588920011092023145526.pdf</v>
      </c>
      <c r="F6717" s="5" t="str">
        <f>HYPERLINK("https://dpmzos25m8ivg.cloudfront.net/Documentos/631/41075889200/6314107588920011092023145546.pdf","https://dpmzos25m8ivg.cloudfront.net/Documentos/631/41075889200/6314107588920011092023145546.pdf")</f>
        <v>https://dpmzos25m8ivg.cloudfront.net/Documentos/631/41075889200/6314107588920011092023145546.pdf</v>
      </c>
      <c r="G6717" s="5" t="str">
        <f>HYPERLINK("https://dpmzos25m8ivg.cloudfront.net/Documentos/631/41075889200/6314107588920011092023145604.pdf","https://dpmzos25m8ivg.cloudfront.net/Documentos/631/41075889200/6314107588920011092023145604.pdf")</f>
        <v>https://dpmzos25m8ivg.cloudfront.net/Documentos/631/41075889200/6314107588920011092023145604.pdf</v>
      </c>
      <c r="H6717" s="5" t="s">
        <v>15287</v>
      </c>
    </row>
    <row r="6718" spans="1:8" x14ac:dyDescent="0.25">
      <c r="A6718" s="2" t="s">
        <v>6745</v>
      </c>
      <c r="B6718" s="3"/>
      <c r="C6718" s="3"/>
      <c r="D6718" s="3"/>
      <c r="E6718" s="5" t="str">
        <f>HYPERLINK("https://dpmzos25m8ivg.cloudfront.net/Documentos/631/41082125504/6314108212550406092023174312.pdf","https://dpmzos25m8ivg.cloudfront.net/Documentos/631/41082125504/6314108212550406092023174312.pdf")</f>
        <v>https://dpmzos25m8ivg.cloudfront.net/Documentos/631/41082125504/6314108212550406092023174312.pdf</v>
      </c>
      <c r="F6718" s="5" t="str">
        <f>HYPERLINK("https://dpmzos25m8ivg.cloudfront.net/Documentos/631/41082125504/6314108212550406092023174416.pdf","https://dpmzos25m8ivg.cloudfront.net/Documentos/631/41082125504/6314108212550406092023174416.pdf")</f>
        <v>https://dpmzos25m8ivg.cloudfront.net/Documentos/631/41082125504/6314108212550406092023174416.pdf</v>
      </c>
      <c r="G6718" s="5" t="str">
        <f>HYPERLINK("https://dpmzos25m8ivg.cloudfront.net/Documentos/631/41082125504/6314108212550406092023174438.pdf","https://dpmzos25m8ivg.cloudfront.net/Documentos/631/41082125504/6314108212550406092023174438.pdf")</f>
        <v>https://dpmzos25m8ivg.cloudfront.net/Documentos/631/41082125504/6314108212550406092023174438.pdf</v>
      </c>
      <c r="H6718" s="5" t="s">
        <v>15288</v>
      </c>
    </row>
    <row r="6719" spans="1:8" x14ac:dyDescent="0.25">
      <c r="A6719" s="2" t="s">
        <v>6746</v>
      </c>
      <c r="B6719" s="3"/>
      <c r="C6719" s="3"/>
      <c r="D6719" s="3"/>
      <c r="E6719" s="5" t="str">
        <f>HYPERLINK("https://dpmzos25m8ivg.cloudfront.net/Documentos/631/41108797873/6314110879787311092023000221.pdf","https://dpmzos25m8ivg.cloudfront.net/Documentos/631/41108797873/6314110879787311092023000221.pdf")</f>
        <v>https://dpmzos25m8ivg.cloudfront.net/Documentos/631/41108797873/6314110879787311092023000221.pdf</v>
      </c>
      <c r="F6719" s="5" t="str">
        <f>HYPERLINK("https://dpmzos25m8ivg.cloudfront.net/Documentos/631/41108797873/6314110879787311092023000252.pdf","https://dpmzos25m8ivg.cloudfront.net/Documentos/631/41108797873/6314110879787311092023000252.pdf")</f>
        <v>https://dpmzos25m8ivg.cloudfront.net/Documentos/631/41108797873/6314110879787311092023000252.pdf</v>
      </c>
      <c r="G6719" s="5" t="str">
        <f>HYPERLINK("https://dpmzos25m8ivg.cloudfront.net/Documentos/631/41108797873/6314110879787311092023000315.pdf","https://dpmzos25m8ivg.cloudfront.net/Documentos/631/41108797873/6314110879787311092023000315.pdf")</f>
        <v>https://dpmzos25m8ivg.cloudfront.net/Documentos/631/41108797873/6314110879787311092023000315.pdf</v>
      </c>
      <c r="H6719" s="5" t="s">
        <v>15289</v>
      </c>
    </row>
    <row r="6720" spans="1:8" x14ac:dyDescent="0.25">
      <c r="A6720" s="2" t="s">
        <v>6747</v>
      </c>
      <c r="B6720" s="3"/>
      <c r="C6720" s="3"/>
      <c r="D6720" s="3"/>
      <c r="E6720" s="5" t="str">
        <f>HYPERLINK("https://dpmzos25m8ivg.cloudfront.net/Documentos/631/41109089813/6314110908981311092023095409.pdf","https://dpmzos25m8ivg.cloudfront.net/Documentos/631/41109089813/6314110908981311092023095409.pdf")</f>
        <v>https://dpmzos25m8ivg.cloudfront.net/Documentos/631/41109089813/6314110908981311092023095409.pdf</v>
      </c>
      <c r="F6720" s="5" t="str">
        <f>HYPERLINK("https://dpmzos25m8ivg.cloudfront.net/Documentos/631/41109089813/6314110908981311092023095805.pdf","https://dpmzos25m8ivg.cloudfront.net/Documentos/631/41109089813/6314110908981311092023095805.pdf")</f>
        <v>https://dpmzos25m8ivg.cloudfront.net/Documentos/631/41109089813/6314110908981311092023095805.pdf</v>
      </c>
      <c r="G6720" s="5" t="str">
        <f>HYPERLINK("https://dpmzos25m8ivg.cloudfront.net/Documentos/631/41109089813/6314110908981311092023095814.pdf","https://dpmzos25m8ivg.cloudfront.net/Documentos/631/41109089813/6314110908981311092023095814.pdf")</f>
        <v>https://dpmzos25m8ivg.cloudfront.net/Documentos/631/41109089813/6314110908981311092023095814.pdf</v>
      </c>
      <c r="H6720" s="5" t="s">
        <v>15290</v>
      </c>
    </row>
    <row r="6721" spans="1:8" x14ac:dyDescent="0.25">
      <c r="A6721" s="2" t="s">
        <v>6748</v>
      </c>
      <c r="B6721" s="3"/>
      <c r="C6721" s="3"/>
      <c r="D6721" s="3"/>
      <c r="E6721" s="5" t="str">
        <f>HYPERLINK("https://dpmzos25m8ivg.cloudfront.net/Documentos/631/41141368862/6314114136886206092023223013.jpeg","https://dpmzos25m8ivg.cloudfront.net/Documentos/631/41141368862/6314114136886206092023223013.jpeg")</f>
        <v>https://dpmzos25m8ivg.cloudfront.net/Documentos/631/41141368862/6314114136886206092023223013.jpeg</v>
      </c>
      <c r="F6721" s="5" t="str">
        <f>HYPERLINK("https://dpmzos25m8ivg.cloudfront.net/Documentos/631/41141368862/6314114136886206092023223028.jpeg","https://dpmzos25m8ivg.cloudfront.net/Documentos/631/41141368862/6314114136886206092023223028.jpeg")</f>
        <v>https://dpmzos25m8ivg.cloudfront.net/Documentos/631/41141368862/6314114136886206092023223028.jpeg</v>
      </c>
      <c r="G6721" s="5" t="str">
        <f>HYPERLINK("https://dpmzos25m8ivg.cloudfront.net/Documentos/631/41141368862/6314114136886206092023223040.jpeg","https://dpmzos25m8ivg.cloudfront.net/Documentos/631/41141368862/6314114136886206092023223040.jpeg")</f>
        <v>https://dpmzos25m8ivg.cloudfront.net/Documentos/631/41141368862/6314114136886206092023223040.jpeg</v>
      </c>
      <c r="H6721" s="5" t="s">
        <v>15291</v>
      </c>
    </row>
    <row r="6722" spans="1:8" x14ac:dyDescent="0.25">
      <c r="A6722" s="2" t="s">
        <v>6749</v>
      </c>
      <c r="B6722" s="6" t="s">
        <v>23</v>
      </c>
      <c r="C6722" s="3"/>
      <c r="D6722" s="3"/>
      <c r="E6722" s="5" t="str">
        <f>HYPERLINK("https://dpmzos25m8ivg.cloudfront.net/Documentos/631/41141917807/6314114191780705092023174748.pdf","https://dpmzos25m8ivg.cloudfront.net/Documentos/631/41141917807/6314114191780705092023174748.pdf")</f>
        <v>https://dpmzos25m8ivg.cloudfront.net/Documentos/631/41141917807/6314114191780705092023174748.pdf</v>
      </c>
      <c r="F6722" s="5" t="str">
        <f>HYPERLINK("https://dpmzos25m8ivg.cloudfront.net/Documentos/631/41141917807/6314114191780705092023174811.pdf","https://dpmzos25m8ivg.cloudfront.net/Documentos/631/41141917807/6314114191780705092023174811.pdf")</f>
        <v>https://dpmzos25m8ivg.cloudfront.net/Documentos/631/41141917807/6314114191780705092023174811.pdf</v>
      </c>
      <c r="G6722" s="5" t="str">
        <f>HYPERLINK("https://dpmzos25m8ivg.cloudfront.net/Documentos/631/41141917807/6314114191780705092023174841.pdf","https://dpmzos25m8ivg.cloudfront.net/Documentos/631/41141917807/6314114191780705092023174841.pdf")</f>
        <v>https://dpmzos25m8ivg.cloudfront.net/Documentos/631/41141917807/6314114191780705092023174841.pdf</v>
      </c>
      <c r="H6722" s="5" t="s">
        <v>15292</v>
      </c>
    </row>
    <row r="6723" spans="1:8" x14ac:dyDescent="0.25">
      <c r="A6723" s="2" t="s">
        <v>6750</v>
      </c>
      <c r="B6723" s="3"/>
      <c r="C6723" s="3"/>
      <c r="D6723" s="3"/>
      <c r="E6723" s="5" t="str">
        <f>HYPERLINK("https://dpmzos25m8ivg.cloudfront.net/Documentos/631/41158533870/6314115853387011092023164108.pdf","https://dpmzos25m8ivg.cloudfront.net/Documentos/631/41158533870/6314115853387011092023164108.pdf")</f>
        <v>https://dpmzos25m8ivg.cloudfront.net/Documentos/631/41158533870/6314115853387011092023164108.pdf</v>
      </c>
      <c r="F6723" s="5" t="str">
        <f>HYPERLINK("https://dpmzos25m8ivg.cloudfront.net/Documentos/631/41158533870/6314115853387011092023164117.pdf","https://dpmzos25m8ivg.cloudfront.net/Documentos/631/41158533870/6314115853387011092023164117.pdf")</f>
        <v>https://dpmzos25m8ivg.cloudfront.net/Documentos/631/41158533870/6314115853387011092023164117.pdf</v>
      </c>
      <c r="G6723" s="5" t="str">
        <f>HYPERLINK("https://dpmzos25m8ivg.cloudfront.net/Documentos/631/41158533870/6314115853387011092023164128.pdf","https://dpmzos25m8ivg.cloudfront.net/Documentos/631/41158533870/6314115853387011092023164128.pdf")</f>
        <v>https://dpmzos25m8ivg.cloudfront.net/Documentos/631/41158533870/6314115853387011092023164128.pdf</v>
      </c>
      <c r="H6723" s="5" t="s">
        <v>15293</v>
      </c>
    </row>
    <row r="6724" spans="1:8" x14ac:dyDescent="0.25">
      <c r="A6724" s="2" t="s">
        <v>6751</v>
      </c>
      <c r="B6724" s="3"/>
      <c r="C6724" s="3"/>
      <c r="D6724" s="3"/>
      <c r="E6724" s="5" t="str">
        <f>HYPERLINK("https://dpmzos25m8ivg.cloudfront.net/Documentos/631/41161525874/6314116152587411092023162022.pdf","https://dpmzos25m8ivg.cloudfront.net/Documentos/631/41161525874/6314116152587411092023162022.pdf")</f>
        <v>https://dpmzos25m8ivg.cloudfront.net/Documentos/631/41161525874/6314116152587411092023162022.pdf</v>
      </c>
      <c r="F6724" s="5" t="str">
        <f>HYPERLINK("https://dpmzos25m8ivg.cloudfront.net/Documentos/631/41161525874/6314116152587411092023162039.pdf","https://dpmzos25m8ivg.cloudfront.net/Documentos/631/41161525874/6314116152587411092023162039.pdf")</f>
        <v>https://dpmzos25m8ivg.cloudfront.net/Documentos/631/41161525874/6314116152587411092023162039.pdf</v>
      </c>
      <c r="G6724" s="5" t="str">
        <f>HYPERLINK("https://dpmzos25m8ivg.cloudfront.net/Documentos/631/41161525874/6314116152587411092023163746.pdf","https://dpmzos25m8ivg.cloudfront.net/Documentos/631/41161525874/6314116152587411092023163746.pdf")</f>
        <v>https://dpmzos25m8ivg.cloudfront.net/Documentos/631/41161525874/6314116152587411092023163746.pdf</v>
      </c>
      <c r="H6724" s="5" t="s">
        <v>15294</v>
      </c>
    </row>
    <row r="6725" spans="1:8" x14ac:dyDescent="0.25">
      <c r="A6725" s="2" t="s">
        <v>6752</v>
      </c>
      <c r="B6725" s="3"/>
      <c r="C6725" s="3"/>
      <c r="D6725" s="3"/>
      <c r="E6725" s="5" t="str">
        <f>HYPERLINK("https://dpmzos25m8ivg.cloudfront.net/Documentos/631/41186006846/6314118600684611092023093854.pdf","https://dpmzos25m8ivg.cloudfront.net/Documentos/631/41186006846/6314118600684611092023093854.pdf")</f>
        <v>https://dpmzos25m8ivg.cloudfront.net/Documentos/631/41186006846/6314118600684611092023093854.pdf</v>
      </c>
      <c r="F6725" s="5" t="str">
        <f>HYPERLINK("https://dpmzos25m8ivg.cloudfront.net/Documentos/631/41186006846/6314118600684611092023093900.pdf","https://dpmzos25m8ivg.cloudfront.net/Documentos/631/41186006846/6314118600684611092023093900.pdf")</f>
        <v>https://dpmzos25m8ivg.cloudfront.net/Documentos/631/41186006846/6314118600684611092023093900.pdf</v>
      </c>
      <c r="G6725" s="5" t="str">
        <f>HYPERLINK("https://dpmzos25m8ivg.cloudfront.net/Documentos/631/41186006846/6314118600684611092023093908.pdf","https://dpmzos25m8ivg.cloudfront.net/Documentos/631/41186006846/6314118600684611092023093908.pdf")</f>
        <v>https://dpmzos25m8ivg.cloudfront.net/Documentos/631/41186006846/6314118600684611092023093908.pdf</v>
      </c>
      <c r="H6725" s="5" t="s">
        <v>15295</v>
      </c>
    </row>
    <row r="6726" spans="1:8" x14ac:dyDescent="0.25">
      <c r="A6726" s="2" t="s">
        <v>6753</v>
      </c>
      <c r="B6726" s="3"/>
      <c r="C6726" s="3"/>
      <c r="D6726" s="3"/>
      <c r="E6726" s="5" t="str">
        <f>HYPERLINK("https://dpmzos25m8ivg.cloudfront.net/Documentos/631/41247239896/6314124723989611092023030734.pdf","https://dpmzos25m8ivg.cloudfront.net/Documentos/631/41247239896/6314124723989611092023030734.pdf")</f>
        <v>https://dpmzos25m8ivg.cloudfront.net/Documentos/631/41247239896/6314124723989611092023030734.pdf</v>
      </c>
      <c r="F6726" s="5" t="str">
        <f>HYPERLINK("https://dpmzos25m8ivg.cloudfront.net/Documentos/631/41247239896/6314124723989611092023030803.pdf","https://dpmzos25m8ivg.cloudfront.net/Documentos/631/41247239896/6314124723989611092023030803.pdf")</f>
        <v>https://dpmzos25m8ivg.cloudfront.net/Documentos/631/41247239896/6314124723989611092023030803.pdf</v>
      </c>
      <c r="G6726" s="5" t="str">
        <f>HYPERLINK("https://dpmzos25m8ivg.cloudfront.net/Documentos/631/41247239896/6314124723989611092023030820.pdf","https://dpmzos25m8ivg.cloudfront.net/Documentos/631/41247239896/6314124723989611092023030820.pdf")</f>
        <v>https://dpmzos25m8ivg.cloudfront.net/Documentos/631/41247239896/6314124723989611092023030820.pdf</v>
      </c>
      <c r="H6726" s="5" t="s">
        <v>15296</v>
      </c>
    </row>
    <row r="6727" spans="1:8" x14ac:dyDescent="0.25">
      <c r="A6727" s="2" t="s">
        <v>6754</v>
      </c>
      <c r="B6727" s="3"/>
      <c r="C6727" s="3"/>
      <c r="D6727" s="3"/>
      <c r="E6727" s="5" t="str">
        <f>HYPERLINK("https://dpmzos25m8ivg.cloudfront.net/Documentos/631/41256368857/6314125636885710092023212619.jpeg","https://dpmzos25m8ivg.cloudfront.net/Documentos/631/41256368857/6314125636885710092023212619.jpeg")</f>
        <v>https://dpmzos25m8ivg.cloudfront.net/Documentos/631/41256368857/6314125636885710092023212619.jpeg</v>
      </c>
      <c r="F6727" s="5" t="str">
        <f>HYPERLINK("https://dpmzos25m8ivg.cloudfront.net/Documentos/631/41256368857/6314125636885710092023212628.jpeg","https://dpmzos25m8ivg.cloudfront.net/Documentos/631/41256368857/6314125636885710092023212628.jpeg")</f>
        <v>https://dpmzos25m8ivg.cloudfront.net/Documentos/631/41256368857/6314125636885710092023212628.jpeg</v>
      </c>
      <c r="G6727" s="5" t="str">
        <f>HYPERLINK("https://dpmzos25m8ivg.cloudfront.net/Documentos/631/41256368857/6314125636885710092023212634.jpeg","https://dpmzos25m8ivg.cloudfront.net/Documentos/631/41256368857/6314125636885710092023212634.jpeg")</f>
        <v>https://dpmzos25m8ivg.cloudfront.net/Documentos/631/41256368857/6314125636885710092023212634.jpeg</v>
      </c>
      <c r="H6727" s="5" t="s">
        <v>15297</v>
      </c>
    </row>
    <row r="6728" spans="1:8" x14ac:dyDescent="0.25">
      <c r="A6728" s="2" t="s">
        <v>6755</v>
      </c>
      <c r="B6728" s="3"/>
      <c r="C6728" s="3"/>
      <c r="D6728" s="3"/>
      <c r="E6728" s="5" t="str">
        <f>HYPERLINK("https://dpmzos25m8ivg.cloudfront.net/Documentos/631/41299484824/6314129948482411092023150333.pdf","https://dpmzos25m8ivg.cloudfront.net/Documentos/631/41299484824/6314129948482411092023150333.pdf")</f>
        <v>https://dpmzos25m8ivg.cloudfront.net/Documentos/631/41299484824/6314129948482411092023150333.pdf</v>
      </c>
      <c r="F6728" s="5" t="str">
        <f>HYPERLINK("https://dpmzos25m8ivg.cloudfront.net/Documentos/631/41299484824/6314129948482411092023150341.pdf","https://dpmzos25m8ivg.cloudfront.net/Documentos/631/41299484824/6314129948482411092023150341.pdf")</f>
        <v>https://dpmzos25m8ivg.cloudfront.net/Documentos/631/41299484824/6314129948482411092023150341.pdf</v>
      </c>
      <c r="G6728" s="5" t="str">
        <f>HYPERLINK("https://dpmzos25m8ivg.cloudfront.net/Documentos/631/41299484824/6314129948482411092023150352.pdf","https://dpmzos25m8ivg.cloudfront.net/Documentos/631/41299484824/6314129948482411092023150352.pdf")</f>
        <v>https://dpmzos25m8ivg.cloudfront.net/Documentos/631/41299484824/6314129948482411092023150352.pdf</v>
      </c>
      <c r="H6728" s="5" t="s">
        <v>15298</v>
      </c>
    </row>
    <row r="6729" spans="1:8" x14ac:dyDescent="0.25">
      <c r="A6729" s="2" t="s">
        <v>6756</v>
      </c>
      <c r="B6729" s="3"/>
      <c r="C6729" s="3"/>
      <c r="D6729" s="3"/>
      <c r="E6729" s="5" t="str">
        <f>HYPERLINK("https://dpmzos25m8ivg.cloudfront.net/Documentos/631/41369094892/6314136909489205092023111329.pdf","https://dpmzos25m8ivg.cloudfront.net/Documentos/631/41369094892/6314136909489205092023111329.pdf")</f>
        <v>https://dpmzos25m8ivg.cloudfront.net/Documentos/631/41369094892/6314136909489205092023111329.pdf</v>
      </c>
      <c r="F6729" s="5" t="str">
        <f>HYPERLINK("https://dpmzos25m8ivg.cloudfront.net/Documentos/631/41369094892/6314136909489205092023111448.pdf","https://dpmzos25m8ivg.cloudfront.net/Documentos/631/41369094892/6314136909489205092023111448.pdf")</f>
        <v>https://dpmzos25m8ivg.cloudfront.net/Documentos/631/41369094892/6314136909489205092023111448.pdf</v>
      </c>
      <c r="G6729" s="5" t="str">
        <f>HYPERLINK("https://dpmzos25m8ivg.cloudfront.net/Documentos/631/41369094892/6314136909489205092023130850.pdf","https://dpmzos25m8ivg.cloudfront.net/Documentos/631/41369094892/6314136909489205092023130850.pdf")</f>
        <v>https://dpmzos25m8ivg.cloudfront.net/Documentos/631/41369094892/6314136909489205092023130850.pdf</v>
      </c>
      <c r="H6729" s="5" t="s">
        <v>15299</v>
      </c>
    </row>
    <row r="6730" spans="1:8" x14ac:dyDescent="0.25">
      <c r="A6730" s="2" t="s">
        <v>6757</v>
      </c>
      <c r="B6730" s="3"/>
      <c r="C6730" s="3"/>
      <c r="D6730" s="3"/>
      <c r="E6730" s="5" t="str">
        <f>HYPERLINK("https://dpmzos25m8ivg.cloudfront.net/Documentos/631/41386708828/6314138670882809092023075453.jpeg","https://dpmzos25m8ivg.cloudfront.net/Documentos/631/41386708828/6314138670882809092023075453.jpeg")</f>
        <v>https://dpmzos25m8ivg.cloudfront.net/Documentos/631/41386708828/6314138670882809092023075453.jpeg</v>
      </c>
      <c r="F6730" s="5" t="str">
        <f>HYPERLINK("https://dpmzos25m8ivg.cloudfront.net/Documentos/631/41386708828/6314138670882809092023075511.jpeg","https://dpmzos25m8ivg.cloudfront.net/Documentos/631/41386708828/6314138670882809092023075511.jpeg")</f>
        <v>https://dpmzos25m8ivg.cloudfront.net/Documentos/631/41386708828/6314138670882809092023075511.jpeg</v>
      </c>
      <c r="G6730" s="5" t="str">
        <f>HYPERLINK("https://dpmzos25m8ivg.cloudfront.net/Documentos/631/41386708828/6314138670882809092023075540.jpeg","https://dpmzos25m8ivg.cloudfront.net/Documentos/631/41386708828/6314138670882809092023075540.jpeg")</f>
        <v>https://dpmzos25m8ivg.cloudfront.net/Documentos/631/41386708828/6314138670882809092023075540.jpeg</v>
      </c>
      <c r="H6730" s="5" t="s">
        <v>15300</v>
      </c>
    </row>
    <row r="6731" spans="1:8" x14ac:dyDescent="0.25">
      <c r="A6731" s="2" t="s">
        <v>6758</v>
      </c>
      <c r="B6731" s="3" t="s">
        <v>8</v>
      </c>
      <c r="C6731" s="3"/>
      <c r="D6731" s="3"/>
      <c r="E6731" s="5" t="str">
        <f>HYPERLINK("https://dpmzos25m8ivg.cloudfront.net/Documentos/631/41423476832/6314142347683211092023123026.jpeg","https://dpmzos25m8ivg.cloudfront.net/Documentos/631/41423476832/6314142347683211092023123026.jpeg")</f>
        <v>https://dpmzos25m8ivg.cloudfront.net/Documentos/631/41423476832/6314142347683211092023123026.jpeg</v>
      </c>
      <c r="F6731" s="5" t="str">
        <f>HYPERLINK("https://dpmzos25m8ivg.cloudfront.net/Documentos/631/41423476832/6314142347683211092023123034.jpeg","https://dpmzos25m8ivg.cloudfront.net/Documentos/631/41423476832/6314142347683211092023123034.jpeg")</f>
        <v>https://dpmzos25m8ivg.cloudfront.net/Documentos/631/41423476832/6314142347683211092023123034.jpeg</v>
      </c>
      <c r="G6731" s="5" t="str">
        <f>HYPERLINK("https://dpmzos25m8ivg.cloudfront.net/Documentos/631/41423476832/6314142347683211092023123043.jpeg","https://dpmzos25m8ivg.cloudfront.net/Documentos/631/41423476832/6314142347683211092023123043.jpeg")</f>
        <v>https://dpmzos25m8ivg.cloudfront.net/Documentos/631/41423476832/6314142347683211092023123043.jpeg</v>
      </c>
      <c r="H6731" s="5" t="s">
        <v>15301</v>
      </c>
    </row>
    <row r="6732" spans="1:8" x14ac:dyDescent="0.25">
      <c r="A6732" s="2" t="s">
        <v>6759</v>
      </c>
      <c r="B6732" s="3"/>
      <c r="C6732" s="3"/>
      <c r="D6732" s="3"/>
      <c r="E6732" s="5" t="str">
        <f>HYPERLINK("https://dpmzos25m8ivg.cloudfront.net/Documentos/631/41430494816/6314143049481611092023153553.jpg","https://dpmzos25m8ivg.cloudfront.net/Documentos/631/41430494816/6314143049481611092023153553.jpg")</f>
        <v>https://dpmzos25m8ivg.cloudfront.net/Documentos/631/41430494816/6314143049481611092023153553.jpg</v>
      </c>
      <c r="F6732" s="5" t="str">
        <f>HYPERLINK("https://dpmzos25m8ivg.cloudfront.net/Documentos/631/41430494816/6314143049481611092023153603.jpg","https://dpmzos25m8ivg.cloudfront.net/Documentos/631/41430494816/6314143049481611092023153603.jpg")</f>
        <v>https://dpmzos25m8ivg.cloudfront.net/Documentos/631/41430494816/6314143049481611092023153603.jpg</v>
      </c>
      <c r="G6732" s="5" t="str">
        <f>HYPERLINK("https://dpmzos25m8ivg.cloudfront.net/Documentos/631/41430494816/6314143049481611092023153618.jpg","https://dpmzos25m8ivg.cloudfront.net/Documentos/631/41430494816/6314143049481611092023153618.jpg")</f>
        <v>https://dpmzos25m8ivg.cloudfront.net/Documentos/631/41430494816/6314143049481611092023153618.jpg</v>
      </c>
      <c r="H6732" s="5" t="s">
        <v>15302</v>
      </c>
    </row>
    <row r="6733" spans="1:8" x14ac:dyDescent="0.25">
      <c r="A6733" s="2" t="s">
        <v>6760</v>
      </c>
      <c r="B6733" s="3" t="s">
        <v>8</v>
      </c>
      <c r="C6733" s="3"/>
      <c r="D6733" s="3"/>
      <c r="E6733" s="5" t="str">
        <f>HYPERLINK("https://dpmzos25m8ivg.cloudfront.net/Documentos/631/41471125874/6314147112587410092023233911.jpeg","https://dpmzos25m8ivg.cloudfront.net/Documentos/631/41471125874/6314147112587410092023233911.jpeg")</f>
        <v>https://dpmzos25m8ivg.cloudfront.net/Documentos/631/41471125874/6314147112587410092023233911.jpeg</v>
      </c>
      <c r="F6733" s="5" t="str">
        <f>HYPERLINK("https://dpmzos25m8ivg.cloudfront.net/Documentos/631/41471125874/6314147112587410092023233924.jpeg","https://dpmzos25m8ivg.cloudfront.net/Documentos/631/41471125874/6314147112587410092023233924.jpeg")</f>
        <v>https://dpmzos25m8ivg.cloudfront.net/Documentos/631/41471125874/6314147112587410092023233924.jpeg</v>
      </c>
      <c r="G6733" s="5" t="str">
        <f>HYPERLINK("https://dpmzos25m8ivg.cloudfront.net/Documentos/631/41471125874/6314147112587410092023233935.jpeg","https://dpmzos25m8ivg.cloudfront.net/Documentos/631/41471125874/6314147112587410092023233935.jpeg")</f>
        <v>https://dpmzos25m8ivg.cloudfront.net/Documentos/631/41471125874/6314147112587410092023233935.jpeg</v>
      </c>
      <c r="H6733" s="5" t="s">
        <v>15303</v>
      </c>
    </row>
    <row r="6734" spans="1:8" x14ac:dyDescent="0.25">
      <c r="A6734" s="2" t="s">
        <v>6761</v>
      </c>
      <c r="B6734" s="3"/>
      <c r="C6734" s="3"/>
      <c r="D6734" s="3"/>
      <c r="E6734" s="5" t="str">
        <f>HYPERLINK("https://dpmzos25m8ivg.cloudfront.net/Documentos/631/41482399806/6314148239980607092023200702.pdf","https://dpmzos25m8ivg.cloudfront.net/Documentos/631/41482399806/6314148239980607092023200702.pdf")</f>
        <v>https://dpmzos25m8ivg.cloudfront.net/Documentos/631/41482399806/6314148239980607092023200702.pdf</v>
      </c>
      <c r="F6734" s="5" t="str">
        <f>HYPERLINK("https://dpmzos25m8ivg.cloudfront.net/Documentos/631/41482399806/6314148239980607092023200729.pdf","https://dpmzos25m8ivg.cloudfront.net/Documentos/631/41482399806/6314148239980607092023200729.pdf")</f>
        <v>https://dpmzos25m8ivg.cloudfront.net/Documentos/631/41482399806/6314148239980607092023200729.pdf</v>
      </c>
      <c r="G6734" s="5" t="str">
        <f>HYPERLINK("https://dpmzos25m8ivg.cloudfront.net/Documentos/631/41482399806/6314148239980607092023200743.pdf","https://dpmzos25m8ivg.cloudfront.net/Documentos/631/41482399806/6314148239980607092023200743.pdf")</f>
        <v>https://dpmzos25m8ivg.cloudfront.net/Documentos/631/41482399806/6314148239980607092023200743.pdf</v>
      </c>
      <c r="H6734" s="5" t="s">
        <v>15304</v>
      </c>
    </row>
    <row r="6735" spans="1:8" x14ac:dyDescent="0.25">
      <c r="A6735" s="2" t="s">
        <v>6762</v>
      </c>
      <c r="B6735" s="3"/>
      <c r="C6735" s="3"/>
      <c r="D6735" s="3"/>
      <c r="E6735" s="5" t="str">
        <f>HYPERLINK("https://dpmzos25m8ivg.cloudfront.net/Documentos/631/41488524874/6314148852487408092023132241.pdf","https://dpmzos25m8ivg.cloudfront.net/Documentos/631/41488524874/6314148852487408092023132241.pdf")</f>
        <v>https://dpmzos25m8ivg.cloudfront.net/Documentos/631/41488524874/6314148852487408092023132241.pdf</v>
      </c>
      <c r="F6735" s="5" t="str">
        <f>HYPERLINK("https://dpmzos25m8ivg.cloudfront.net/Documentos/631/41488524874/6314148852487408092023132252.pdf","https://dpmzos25m8ivg.cloudfront.net/Documentos/631/41488524874/6314148852487408092023132252.pdf")</f>
        <v>https://dpmzos25m8ivg.cloudfront.net/Documentos/631/41488524874/6314148852487408092023132252.pdf</v>
      </c>
      <c r="G6735" s="5" t="str">
        <f>HYPERLINK("https://dpmzos25m8ivg.cloudfront.net/Documentos/631/41488524874/6314148852487408092023132303.pdf","https://dpmzos25m8ivg.cloudfront.net/Documentos/631/41488524874/6314148852487408092023132303.pdf")</f>
        <v>https://dpmzos25m8ivg.cloudfront.net/Documentos/631/41488524874/6314148852487408092023132303.pdf</v>
      </c>
      <c r="H6735" s="5" t="s">
        <v>15305</v>
      </c>
    </row>
    <row r="6736" spans="1:8" x14ac:dyDescent="0.25">
      <c r="A6736" s="2" t="s">
        <v>6763</v>
      </c>
      <c r="B6736" s="3"/>
      <c r="C6736" s="3"/>
      <c r="D6736" s="3"/>
      <c r="E6736" s="5" t="str">
        <f>HYPERLINK("https://dpmzos25m8ivg.cloudfront.net/Documentos/631/41499647859/6314149964785911092023091350.pdf","https://dpmzos25m8ivg.cloudfront.net/Documentos/631/41499647859/6314149964785911092023091350.pdf")</f>
        <v>https://dpmzos25m8ivg.cloudfront.net/Documentos/631/41499647859/6314149964785911092023091350.pdf</v>
      </c>
      <c r="F6736" s="5" t="str">
        <f>HYPERLINK("https://dpmzos25m8ivg.cloudfront.net/Documentos/631/41499647859/6314149964785911092023091359.pdf","https://dpmzos25m8ivg.cloudfront.net/Documentos/631/41499647859/6314149964785911092023091359.pdf")</f>
        <v>https://dpmzos25m8ivg.cloudfront.net/Documentos/631/41499647859/6314149964785911092023091359.pdf</v>
      </c>
      <c r="G6736" s="5" t="str">
        <f>HYPERLINK("https://dpmzos25m8ivg.cloudfront.net/Documentos/631/41499647859/6314149964785911092023091409.pdf","https://dpmzos25m8ivg.cloudfront.net/Documentos/631/41499647859/6314149964785911092023091409.pdf")</f>
        <v>https://dpmzos25m8ivg.cloudfront.net/Documentos/631/41499647859/6314149964785911092023091409.pdf</v>
      </c>
      <c r="H6736" s="5" t="s">
        <v>15306</v>
      </c>
    </row>
    <row r="6737" spans="1:8" x14ac:dyDescent="0.25">
      <c r="A6737" s="2" t="s">
        <v>6764</v>
      </c>
      <c r="B6737" s="3" t="s">
        <v>42</v>
      </c>
      <c r="C6737" s="3"/>
      <c r="D6737" s="3"/>
      <c r="E6737" s="5" t="str">
        <f>HYPERLINK("https://dpmzos25m8ivg.cloudfront.net/Documentos/631/41511486805/6314151148680511092023123704.jpg","https://dpmzos25m8ivg.cloudfront.net/Documentos/631/41511486805/6314151148680511092023123704.jpg")</f>
        <v>https://dpmzos25m8ivg.cloudfront.net/Documentos/631/41511486805/6314151148680511092023123704.jpg</v>
      </c>
      <c r="F6737" s="5" t="str">
        <f>HYPERLINK("https://dpmzos25m8ivg.cloudfront.net/Documentos/631/41511486805/6314151148680511092023121739.jpg","https://dpmzos25m8ivg.cloudfront.net/Documentos/631/41511486805/6314151148680511092023121739.jpg")</f>
        <v>https://dpmzos25m8ivg.cloudfront.net/Documentos/631/41511486805/6314151148680511092023121739.jpg</v>
      </c>
      <c r="G6737" s="5" t="str">
        <f>HYPERLINK("https://dpmzos25m8ivg.cloudfront.net/Documentos/631/41511486805/6314151148680511092023121804.jpg","https://dpmzos25m8ivg.cloudfront.net/Documentos/631/41511486805/6314151148680511092023121804.jpg")</f>
        <v>https://dpmzos25m8ivg.cloudfront.net/Documentos/631/41511486805/6314151148680511092023121804.jpg</v>
      </c>
      <c r="H6737" s="5" t="s">
        <v>15307</v>
      </c>
    </row>
    <row r="6738" spans="1:8" x14ac:dyDescent="0.25">
      <c r="A6738" s="2" t="s">
        <v>6765</v>
      </c>
      <c r="B6738" s="3"/>
      <c r="C6738" s="3"/>
      <c r="D6738" s="3"/>
      <c r="E6738" s="5" t="str">
        <f>HYPERLINK("https://dpmzos25m8ivg.cloudfront.net/Documentos/631/41518628893/6314151862889305092023235222.pdf","https://dpmzos25m8ivg.cloudfront.net/Documentos/631/41518628893/6314151862889305092023235222.pdf")</f>
        <v>https://dpmzos25m8ivg.cloudfront.net/Documentos/631/41518628893/6314151862889305092023235222.pdf</v>
      </c>
      <c r="F6738" s="5" t="str">
        <f>HYPERLINK("https://dpmzos25m8ivg.cloudfront.net/Documentos/631/41518628893/6314151862889305092023204747.pdf","https://dpmzos25m8ivg.cloudfront.net/Documentos/631/41518628893/6314151862889305092023204747.pdf")</f>
        <v>https://dpmzos25m8ivg.cloudfront.net/Documentos/631/41518628893/6314151862889305092023204747.pdf</v>
      </c>
      <c r="G6738" s="5" t="str">
        <f>HYPERLINK("https://dpmzos25m8ivg.cloudfront.net/Documentos/631/41518628893/6314151862889305092023204738.pdf","https://dpmzos25m8ivg.cloudfront.net/Documentos/631/41518628893/6314151862889305092023204738.pdf")</f>
        <v>https://dpmzos25m8ivg.cloudfront.net/Documentos/631/41518628893/6314151862889305092023204738.pdf</v>
      </c>
      <c r="H6738" s="5" t="s">
        <v>15308</v>
      </c>
    </row>
    <row r="6739" spans="1:8" x14ac:dyDescent="0.25">
      <c r="A6739" s="2" t="s">
        <v>6766</v>
      </c>
      <c r="B6739" s="3"/>
      <c r="C6739" s="3"/>
      <c r="D6739" s="3"/>
      <c r="E6739" s="5" t="str">
        <f>HYPERLINK("https://dpmzos25m8ivg.cloudfront.net/Documentos/631/41570928134/6314157092813408092023201458.pdf","https://dpmzos25m8ivg.cloudfront.net/Documentos/631/41570928134/6314157092813408092023201458.pdf")</f>
        <v>https://dpmzos25m8ivg.cloudfront.net/Documentos/631/41570928134/6314157092813408092023201458.pdf</v>
      </c>
      <c r="F6739" s="5" t="str">
        <f>HYPERLINK("https://dpmzos25m8ivg.cloudfront.net/Documentos/631/41570928134/6314157092813408092023201507.pdf","https://dpmzos25m8ivg.cloudfront.net/Documentos/631/41570928134/6314157092813408092023201507.pdf")</f>
        <v>https://dpmzos25m8ivg.cloudfront.net/Documentos/631/41570928134/6314157092813408092023201507.pdf</v>
      </c>
      <c r="G6739" s="5" t="str">
        <f>HYPERLINK("https://dpmzos25m8ivg.cloudfront.net/Documentos/631/41570928134/6314157092813408092023201517.pdf","https://dpmzos25m8ivg.cloudfront.net/Documentos/631/41570928134/6314157092813408092023201517.pdf")</f>
        <v>https://dpmzos25m8ivg.cloudfront.net/Documentos/631/41570928134/6314157092813408092023201517.pdf</v>
      </c>
      <c r="H6739" s="5" t="s">
        <v>15309</v>
      </c>
    </row>
    <row r="6740" spans="1:8" x14ac:dyDescent="0.25">
      <c r="A6740" s="2" t="s">
        <v>6767</v>
      </c>
      <c r="B6740" s="3"/>
      <c r="C6740" s="3"/>
      <c r="D6740" s="3"/>
      <c r="E6740" s="5" t="str">
        <f>HYPERLINK("https://dpmzos25m8ivg.cloudfront.net/Documentos/631/41589814843/6314158981484306092023114636.jpg","https://dpmzos25m8ivg.cloudfront.net/Documentos/631/41589814843/6314158981484306092023114636.jpg")</f>
        <v>https://dpmzos25m8ivg.cloudfront.net/Documentos/631/41589814843/6314158981484306092023114636.jpg</v>
      </c>
      <c r="F6740" s="5" t="str">
        <f>HYPERLINK("https://dpmzos25m8ivg.cloudfront.net/Documentos/631/41589814843/6314158981484306092023114652.jpg","https://dpmzos25m8ivg.cloudfront.net/Documentos/631/41589814843/6314158981484306092023114652.jpg")</f>
        <v>https://dpmzos25m8ivg.cloudfront.net/Documentos/631/41589814843/6314158981484306092023114652.jpg</v>
      </c>
      <c r="G6740" s="5" t="str">
        <f>HYPERLINK("https://dpmzos25m8ivg.cloudfront.net/Documentos/631/41589814843/6314158981484306092023114707.jpg","https://dpmzos25m8ivg.cloudfront.net/Documentos/631/41589814843/6314158981484306092023114707.jpg")</f>
        <v>https://dpmzos25m8ivg.cloudfront.net/Documentos/631/41589814843/6314158981484306092023114707.jpg</v>
      </c>
      <c r="H6740" s="5" t="s">
        <v>15310</v>
      </c>
    </row>
    <row r="6741" spans="1:8" x14ac:dyDescent="0.25">
      <c r="A6741" s="2" t="s">
        <v>6768</v>
      </c>
      <c r="B6741" s="3"/>
      <c r="C6741" s="3"/>
      <c r="D6741" s="3"/>
      <c r="E6741" s="5" t="str">
        <f>HYPERLINK("https://dpmzos25m8ivg.cloudfront.net/Documentos/631/41604222840/6314160422284011092023150657.pdf","https://dpmzos25m8ivg.cloudfront.net/Documentos/631/41604222840/6314160422284011092023150657.pdf")</f>
        <v>https://dpmzos25m8ivg.cloudfront.net/Documentos/631/41604222840/6314160422284011092023150657.pdf</v>
      </c>
      <c r="F6741" s="5" t="str">
        <f>HYPERLINK("https://dpmzos25m8ivg.cloudfront.net/Documentos/631/41604222840/6314160422284011092023150706.pdf","https://dpmzos25m8ivg.cloudfront.net/Documentos/631/41604222840/6314160422284011092023150706.pdf")</f>
        <v>https://dpmzos25m8ivg.cloudfront.net/Documentos/631/41604222840/6314160422284011092023150706.pdf</v>
      </c>
      <c r="G6741" s="5" t="str">
        <f>HYPERLINK("https://dpmzos25m8ivg.cloudfront.net/Documentos/631/41604222840/6314160422284011092023150716.pdf","https://dpmzos25m8ivg.cloudfront.net/Documentos/631/41604222840/6314160422284011092023150716.pdf")</f>
        <v>https://dpmzos25m8ivg.cloudfront.net/Documentos/631/41604222840/6314160422284011092023150716.pdf</v>
      </c>
      <c r="H6741" s="5" t="s">
        <v>15311</v>
      </c>
    </row>
    <row r="6742" spans="1:8" x14ac:dyDescent="0.25">
      <c r="A6742" s="2" t="s">
        <v>6769</v>
      </c>
      <c r="B6742" s="3"/>
      <c r="C6742" s="3"/>
      <c r="D6742" s="3"/>
      <c r="E6742" s="5" t="str">
        <f>HYPERLINK("https://dpmzos25m8ivg.cloudfront.net/Documentos/631/41614835896/6314161483589609092023212102.pdf","https://dpmzos25m8ivg.cloudfront.net/Documentos/631/41614835896/6314161483589609092023212102.pdf")</f>
        <v>https://dpmzos25m8ivg.cloudfront.net/Documentos/631/41614835896/6314161483589609092023212102.pdf</v>
      </c>
      <c r="F6742" s="5" t="str">
        <f>HYPERLINK("https://dpmzos25m8ivg.cloudfront.net/Documentos/631/41614835896/6314161483589609092023212123.pdf","https://dpmzos25m8ivg.cloudfront.net/Documentos/631/41614835896/6314161483589609092023212123.pdf")</f>
        <v>https://dpmzos25m8ivg.cloudfront.net/Documentos/631/41614835896/6314161483589609092023212123.pdf</v>
      </c>
      <c r="G6742" s="5" t="str">
        <f>HYPERLINK("https://dpmzos25m8ivg.cloudfront.net/Documentos/631/41614835896/6314161483589609092023212136.pdf","https://dpmzos25m8ivg.cloudfront.net/Documentos/631/41614835896/6314161483589609092023212136.pdf")</f>
        <v>https://dpmzos25m8ivg.cloudfront.net/Documentos/631/41614835896/6314161483589609092023212136.pdf</v>
      </c>
      <c r="H6742" s="5" t="s">
        <v>15312</v>
      </c>
    </row>
    <row r="6743" spans="1:8" x14ac:dyDescent="0.25">
      <c r="A6743" s="2" t="s">
        <v>6770</v>
      </c>
      <c r="B6743" s="3"/>
      <c r="C6743" s="3"/>
      <c r="D6743" s="3"/>
      <c r="E6743" s="5" t="str">
        <f>HYPERLINK("https://dpmzos25m8ivg.cloudfront.net/Documentos/631/41619342898/6314161934289808092023121151.jpg","https://dpmzos25m8ivg.cloudfront.net/Documentos/631/41619342898/6314161934289808092023121151.jpg")</f>
        <v>https://dpmzos25m8ivg.cloudfront.net/Documentos/631/41619342898/6314161934289808092023121151.jpg</v>
      </c>
      <c r="F6743" s="5" t="str">
        <f>HYPERLINK("https://dpmzos25m8ivg.cloudfront.net/Documentos/631/41619342898/6314161934289808092023121208.jpg","https://dpmzos25m8ivg.cloudfront.net/Documentos/631/41619342898/6314161934289808092023121208.jpg")</f>
        <v>https://dpmzos25m8ivg.cloudfront.net/Documentos/631/41619342898/6314161934289808092023121208.jpg</v>
      </c>
      <c r="G6743" s="5" t="str">
        <f>HYPERLINK("https://dpmzos25m8ivg.cloudfront.net/Documentos/631/41619342898/6314161934289808092023121220.jpg","https://dpmzos25m8ivg.cloudfront.net/Documentos/631/41619342898/6314161934289808092023121220.jpg")</f>
        <v>https://dpmzos25m8ivg.cloudfront.net/Documentos/631/41619342898/6314161934289808092023121220.jpg</v>
      </c>
      <c r="H6743" s="5" t="s">
        <v>15313</v>
      </c>
    </row>
    <row r="6744" spans="1:8" x14ac:dyDescent="0.25">
      <c r="A6744" s="2" t="s">
        <v>6771</v>
      </c>
      <c r="B6744" s="3"/>
      <c r="C6744" s="3"/>
      <c r="D6744" s="3"/>
      <c r="E6744" s="5" t="str">
        <f>HYPERLINK("https://dpmzos25m8ivg.cloudfront.net/Documentos/631/41665188871/6314166518887111092023155745.pdf","https://dpmzos25m8ivg.cloudfront.net/Documentos/631/41665188871/6314166518887111092023155745.pdf")</f>
        <v>https://dpmzos25m8ivg.cloudfront.net/Documentos/631/41665188871/6314166518887111092023155745.pdf</v>
      </c>
      <c r="F6744" s="5" t="str">
        <f>HYPERLINK("https://dpmzos25m8ivg.cloudfront.net/Documentos/631/41665188871/6314166518887111092023155800.pdf","https://dpmzos25m8ivg.cloudfront.net/Documentos/631/41665188871/6314166518887111092023155800.pdf")</f>
        <v>https://dpmzos25m8ivg.cloudfront.net/Documentos/631/41665188871/6314166518887111092023155800.pdf</v>
      </c>
      <c r="G6744" s="5" t="str">
        <f>HYPERLINK("https://dpmzos25m8ivg.cloudfront.net/Documentos/631/41665188871/6314166518887111092023155829.pdf","https://dpmzos25m8ivg.cloudfront.net/Documentos/631/41665188871/6314166518887111092023155829.pdf")</f>
        <v>https://dpmzos25m8ivg.cloudfront.net/Documentos/631/41665188871/6314166518887111092023155829.pdf</v>
      </c>
      <c r="H6744" s="5" t="s">
        <v>15314</v>
      </c>
    </row>
    <row r="6745" spans="1:8" x14ac:dyDescent="0.25">
      <c r="A6745" s="2" t="s">
        <v>6772</v>
      </c>
      <c r="B6745" s="3"/>
      <c r="C6745" s="3"/>
      <c r="D6745" s="3"/>
      <c r="E6745" s="5" t="str">
        <f>HYPERLINK("https://dpmzos25m8ivg.cloudfront.net/Documentos/631/41677628898/6314167762889811092023123201.pdf","https://dpmzos25m8ivg.cloudfront.net/Documentos/631/41677628898/6314167762889811092023123201.pdf")</f>
        <v>https://dpmzos25m8ivg.cloudfront.net/Documentos/631/41677628898/6314167762889811092023123201.pdf</v>
      </c>
      <c r="F6745" s="5" t="str">
        <f>HYPERLINK("https://dpmzos25m8ivg.cloudfront.net/Documentos/631/41677628898/6314167762889811092023123210.pdf","https://dpmzos25m8ivg.cloudfront.net/Documentos/631/41677628898/6314167762889811092023123210.pdf")</f>
        <v>https://dpmzos25m8ivg.cloudfront.net/Documentos/631/41677628898/6314167762889811092023123210.pdf</v>
      </c>
      <c r="G6745" s="5" t="str">
        <f>HYPERLINK("https://dpmzos25m8ivg.cloudfront.net/Documentos/631/41677628898/6314167762889811092023123218.pdf","https://dpmzos25m8ivg.cloudfront.net/Documentos/631/41677628898/6314167762889811092023123218.pdf")</f>
        <v>https://dpmzos25m8ivg.cloudfront.net/Documentos/631/41677628898/6314167762889811092023123218.pdf</v>
      </c>
      <c r="H6745" s="5" t="s">
        <v>15315</v>
      </c>
    </row>
    <row r="6746" spans="1:8" x14ac:dyDescent="0.25">
      <c r="A6746" s="2" t="s">
        <v>6773</v>
      </c>
      <c r="B6746" s="3"/>
      <c r="C6746" s="3"/>
      <c r="D6746" s="3"/>
      <c r="E6746" s="5" t="str">
        <f>HYPERLINK("https://dpmzos25m8ivg.cloudfront.net/Documentos/631/41703758404/6314170375840409092023183919.pdf","https://dpmzos25m8ivg.cloudfront.net/Documentos/631/41703758404/6314170375840409092023183919.pdf")</f>
        <v>https://dpmzos25m8ivg.cloudfront.net/Documentos/631/41703758404/6314170375840409092023183919.pdf</v>
      </c>
      <c r="F6746" s="5" t="str">
        <f>HYPERLINK("https://dpmzos25m8ivg.cloudfront.net/Documentos/631/41703758404/6314170375840409092023184002.pdf","https://dpmzos25m8ivg.cloudfront.net/Documentos/631/41703758404/6314170375840409092023184002.pdf")</f>
        <v>https://dpmzos25m8ivg.cloudfront.net/Documentos/631/41703758404/6314170375840409092023184002.pdf</v>
      </c>
      <c r="G6746" s="5" t="str">
        <f>HYPERLINK("https://dpmzos25m8ivg.cloudfront.net/Documentos/631/41703758404/6314170375840409092023184048.pdf","https://dpmzos25m8ivg.cloudfront.net/Documentos/631/41703758404/6314170375840409092023184048.pdf")</f>
        <v>https://dpmzos25m8ivg.cloudfront.net/Documentos/631/41703758404/6314170375840409092023184048.pdf</v>
      </c>
      <c r="H6746" s="5" t="s">
        <v>15316</v>
      </c>
    </row>
    <row r="6747" spans="1:8" x14ac:dyDescent="0.25">
      <c r="A6747" s="2" t="s">
        <v>6774</v>
      </c>
      <c r="B6747" s="3"/>
      <c r="C6747" s="3"/>
      <c r="D6747" s="3"/>
      <c r="E6747" s="5" t="str">
        <f>HYPERLINK("https://dpmzos25m8ivg.cloudfront.net/Documentos/631/41720257817/6314172025781711092023114209.pdf","https://dpmzos25m8ivg.cloudfront.net/Documentos/631/41720257817/6314172025781711092023114209.pdf")</f>
        <v>https://dpmzos25m8ivg.cloudfront.net/Documentos/631/41720257817/6314172025781711092023114209.pdf</v>
      </c>
      <c r="F6747" s="5" t="str">
        <f>HYPERLINK("https://dpmzos25m8ivg.cloudfront.net/Documentos/631/41720257817/6314172025781711092023114237.pdf","https://dpmzos25m8ivg.cloudfront.net/Documentos/631/41720257817/6314172025781711092023114237.pdf")</f>
        <v>https://dpmzos25m8ivg.cloudfront.net/Documentos/631/41720257817/6314172025781711092023114237.pdf</v>
      </c>
      <c r="G6747" s="5" t="str">
        <f>HYPERLINK("https://dpmzos25m8ivg.cloudfront.net/Documentos/631/41720257817/6314172025781711092023114257.pdf","https://dpmzos25m8ivg.cloudfront.net/Documentos/631/41720257817/6314172025781711092023114257.pdf")</f>
        <v>https://dpmzos25m8ivg.cloudfront.net/Documentos/631/41720257817/6314172025781711092023114257.pdf</v>
      </c>
      <c r="H6747" s="5" t="s">
        <v>15317</v>
      </c>
    </row>
    <row r="6748" spans="1:8" x14ac:dyDescent="0.25">
      <c r="A6748" s="2" t="s">
        <v>6775</v>
      </c>
      <c r="B6748" s="3"/>
      <c r="C6748" s="3"/>
      <c r="D6748" s="3"/>
      <c r="E6748" s="5" t="str">
        <f>HYPERLINK("https://dpmzos25m8ivg.cloudfront.net/Documentos/631/41727936817/6314172793681708092023190042.pdf","https://dpmzos25m8ivg.cloudfront.net/Documentos/631/41727936817/6314172793681708092023190042.pdf")</f>
        <v>https://dpmzos25m8ivg.cloudfront.net/Documentos/631/41727936817/6314172793681708092023190042.pdf</v>
      </c>
      <c r="F6748" s="5" t="str">
        <f>HYPERLINK("https://dpmzos25m8ivg.cloudfront.net/Documentos/631/41727936817/6314172793681708092023190051.pdf","https://dpmzos25m8ivg.cloudfront.net/Documentos/631/41727936817/6314172793681708092023190051.pdf")</f>
        <v>https://dpmzos25m8ivg.cloudfront.net/Documentos/631/41727936817/6314172793681708092023190051.pdf</v>
      </c>
      <c r="G6748" s="5" t="str">
        <f>HYPERLINK("https://dpmzos25m8ivg.cloudfront.net/Documentos/631/41727936817/6314172793681708092023190137.pdf","https://dpmzos25m8ivg.cloudfront.net/Documentos/631/41727936817/6314172793681708092023190137.pdf")</f>
        <v>https://dpmzos25m8ivg.cloudfront.net/Documentos/631/41727936817/6314172793681708092023190137.pdf</v>
      </c>
      <c r="H6748" s="5" t="s">
        <v>15318</v>
      </c>
    </row>
    <row r="6749" spans="1:8" x14ac:dyDescent="0.25">
      <c r="A6749" s="2" t="s">
        <v>6776</v>
      </c>
      <c r="B6749" s="3"/>
      <c r="C6749" s="3"/>
      <c r="D6749" s="3"/>
      <c r="E6749" s="5" t="str">
        <f>HYPERLINK("https://dpmzos25m8ivg.cloudfront.net/Documentos/631/41735045861/6314173504586106092023211408.jpeg","https://dpmzos25m8ivg.cloudfront.net/Documentos/631/41735045861/6314173504586106092023211408.jpeg")</f>
        <v>https://dpmzos25m8ivg.cloudfront.net/Documentos/631/41735045861/6314173504586106092023211408.jpeg</v>
      </c>
      <c r="F6749" s="5" t="str">
        <f>HYPERLINK("https://dpmzos25m8ivg.cloudfront.net/Documentos/631/41735045861/6314173504586106092023211417.jpeg","https://dpmzos25m8ivg.cloudfront.net/Documentos/631/41735045861/6314173504586106092023211417.jpeg")</f>
        <v>https://dpmzos25m8ivg.cloudfront.net/Documentos/631/41735045861/6314173504586106092023211417.jpeg</v>
      </c>
      <c r="G6749" s="5" t="str">
        <f>HYPERLINK("https://dpmzos25m8ivg.cloudfront.net/Documentos/631/41735045861/6314173504586106092023211427.jpeg","https://dpmzos25m8ivg.cloudfront.net/Documentos/631/41735045861/6314173504586106092023211427.jpeg")</f>
        <v>https://dpmzos25m8ivg.cloudfront.net/Documentos/631/41735045861/6314173504586106092023211427.jpeg</v>
      </c>
      <c r="H6749" s="5" t="s">
        <v>15319</v>
      </c>
    </row>
    <row r="6750" spans="1:8" x14ac:dyDescent="0.25">
      <c r="A6750" s="2" t="s">
        <v>6777</v>
      </c>
      <c r="B6750" s="3"/>
      <c r="C6750" s="3"/>
      <c r="D6750" s="3"/>
      <c r="E6750" s="5" t="str">
        <f>HYPERLINK("https://dpmzos25m8ivg.cloudfront.net/Documentos/631/41796829404/6314179682940407092023115746.pdf","https://dpmzos25m8ivg.cloudfront.net/Documentos/631/41796829404/6314179682940407092023115746.pdf")</f>
        <v>https://dpmzos25m8ivg.cloudfront.net/Documentos/631/41796829404/6314179682940407092023115746.pdf</v>
      </c>
      <c r="F6750" s="5" t="str">
        <f>HYPERLINK("https://dpmzos25m8ivg.cloudfront.net/Documentos/631/41796829404/6314179682940407092023115831.pdf","https://dpmzos25m8ivg.cloudfront.net/Documentos/631/41796829404/6314179682940407092023115831.pdf")</f>
        <v>https://dpmzos25m8ivg.cloudfront.net/Documentos/631/41796829404/6314179682940407092023115831.pdf</v>
      </c>
      <c r="G6750" s="5" t="str">
        <f>HYPERLINK("https://dpmzos25m8ivg.cloudfront.net/Documentos/631/41796829404/6314179682940407092023115900.pdf","https://dpmzos25m8ivg.cloudfront.net/Documentos/631/41796829404/6314179682940407092023115900.pdf")</f>
        <v>https://dpmzos25m8ivg.cloudfront.net/Documentos/631/41796829404/6314179682940407092023115900.pdf</v>
      </c>
      <c r="H6750" s="5" t="s">
        <v>15320</v>
      </c>
    </row>
    <row r="6751" spans="1:8" x14ac:dyDescent="0.25">
      <c r="A6751" s="2" t="s">
        <v>6778</v>
      </c>
      <c r="B6751" s="3"/>
      <c r="C6751" s="3"/>
      <c r="D6751" s="3"/>
      <c r="E6751" s="5" t="str">
        <f>HYPERLINK("https://dpmzos25m8ivg.cloudfront.net/Documentos/631/41800957858/6314180095785810092023225627.jpeg","https://dpmzos25m8ivg.cloudfront.net/Documentos/631/41800957858/6314180095785810092023225627.jpeg")</f>
        <v>https://dpmzos25m8ivg.cloudfront.net/Documentos/631/41800957858/6314180095785810092023225627.jpeg</v>
      </c>
      <c r="F6751" s="5" t="str">
        <f>HYPERLINK("https://dpmzos25m8ivg.cloudfront.net/Documentos/631/41800957858/6314180095785810092023225643.jpeg","https://dpmzos25m8ivg.cloudfront.net/Documentos/631/41800957858/6314180095785810092023225643.jpeg")</f>
        <v>https://dpmzos25m8ivg.cloudfront.net/Documentos/631/41800957858/6314180095785810092023225643.jpeg</v>
      </c>
      <c r="G6751" s="5" t="str">
        <f>HYPERLINK("https://dpmzos25m8ivg.cloudfront.net/Documentos/631/41800957858/6314180095785810092023225713.jpeg","https://dpmzos25m8ivg.cloudfront.net/Documentos/631/41800957858/6314180095785810092023225713.jpeg")</f>
        <v>https://dpmzos25m8ivg.cloudfront.net/Documentos/631/41800957858/6314180095785810092023225713.jpeg</v>
      </c>
      <c r="H6751" s="5" t="s">
        <v>15321</v>
      </c>
    </row>
    <row r="6752" spans="1:8" x14ac:dyDescent="0.25">
      <c r="A6752" s="2" t="s">
        <v>6779</v>
      </c>
      <c r="B6752" s="3"/>
      <c r="C6752" s="3"/>
      <c r="D6752" s="3"/>
      <c r="E6752" s="5" t="str">
        <f>HYPERLINK("https://dpmzos25m8ivg.cloudfront.net/Documentos/631/41822774810/6314182277481011092023143758.pdf","https://dpmzos25m8ivg.cloudfront.net/Documentos/631/41822774810/6314182277481011092023143758.pdf")</f>
        <v>https://dpmzos25m8ivg.cloudfront.net/Documentos/631/41822774810/6314182277481011092023143758.pdf</v>
      </c>
      <c r="F6752" s="5" t="str">
        <f>HYPERLINK("https://dpmzos25m8ivg.cloudfront.net/Documentos/631/41822774810/6314182277481011092023143809.pdf","https://dpmzos25m8ivg.cloudfront.net/Documentos/631/41822774810/6314182277481011092023143809.pdf")</f>
        <v>https://dpmzos25m8ivg.cloudfront.net/Documentos/631/41822774810/6314182277481011092023143809.pdf</v>
      </c>
      <c r="G6752" s="5" t="str">
        <f>HYPERLINK("https://dpmzos25m8ivg.cloudfront.net/Documentos/631/41822774810/6314182277481011092023143820.pdf","https://dpmzos25m8ivg.cloudfront.net/Documentos/631/41822774810/6314182277481011092023143820.pdf")</f>
        <v>https://dpmzos25m8ivg.cloudfront.net/Documentos/631/41822774810/6314182277481011092023143820.pdf</v>
      </c>
      <c r="H6752" s="5" t="s">
        <v>15322</v>
      </c>
    </row>
    <row r="6753" spans="1:8" x14ac:dyDescent="0.25">
      <c r="A6753" s="2" t="s">
        <v>6780</v>
      </c>
      <c r="B6753" s="3" t="s">
        <v>2358</v>
      </c>
      <c r="C6753" s="3"/>
      <c r="D6753" s="3"/>
      <c r="E6753" s="5" t="str">
        <f>HYPERLINK("https://dpmzos25m8ivg.cloudfront.net/Documentos/631/41830143875/6314183014387511092023155248.pdf","https://dpmzos25m8ivg.cloudfront.net/Documentos/631/41830143875/6314183014387511092023155248.pdf")</f>
        <v>https://dpmzos25m8ivg.cloudfront.net/Documentos/631/41830143875/6314183014387511092023155248.pdf</v>
      </c>
      <c r="F6753" s="5" t="str">
        <f>HYPERLINK("https://dpmzos25m8ivg.cloudfront.net/Documentos/631/41830143875/6314183014387511092023155325.pdf","https://dpmzos25m8ivg.cloudfront.net/Documentos/631/41830143875/6314183014387511092023155325.pdf")</f>
        <v>https://dpmzos25m8ivg.cloudfront.net/Documentos/631/41830143875/6314183014387511092023155325.pdf</v>
      </c>
      <c r="G6753" s="5" t="str">
        <f>HYPERLINK("https://dpmzos25m8ivg.cloudfront.net/Documentos/631/41830143875/6314183014387511092023155343.pdf","https://dpmzos25m8ivg.cloudfront.net/Documentos/631/41830143875/6314183014387511092023155343.pdf")</f>
        <v>https://dpmzos25m8ivg.cloudfront.net/Documentos/631/41830143875/6314183014387511092023155343.pdf</v>
      </c>
      <c r="H6753" s="5" t="s">
        <v>15323</v>
      </c>
    </row>
    <row r="6754" spans="1:8" x14ac:dyDescent="0.25">
      <c r="A6754" s="2" t="s">
        <v>6781</v>
      </c>
      <c r="B6754" s="3"/>
      <c r="C6754" s="3"/>
      <c r="D6754" s="3"/>
      <c r="E6754" s="5" t="str">
        <f>HYPERLINK("https://dpmzos25m8ivg.cloudfront.net/Documentos/631/41859072810/6314185907281010092023232546.jpg","https://dpmzos25m8ivg.cloudfront.net/Documentos/631/41859072810/6314185907281010092023232546.jpg")</f>
        <v>https://dpmzos25m8ivg.cloudfront.net/Documentos/631/41859072810/6314185907281010092023232546.jpg</v>
      </c>
      <c r="F6754" s="5" t="str">
        <f>HYPERLINK("https://dpmzos25m8ivg.cloudfront.net/Documentos/631/41859072810/6314185907281010092023232657.jpg","https://dpmzos25m8ivg.cloudfront.net/Documentos/631/41859072810/6314185907281010092023232657.jpg")</f>
        <v>https://dpmzos25m8ivg.cloudfront.net/Documentos/631/41859072810/6314185907281010092023232657.jpg</v>
      </c>
      <c r="G6754" s="5" t="str">
        <f>HYPERLINK("https://dpmzos25m8ivg.cloudfront.net/Documentos/631/41859072810/6314185907281010092023232738.jpg","https://dpmzos25m8ivg.cloudfront.net/Documentos/631/41859072810/6314185907281010092023232738.jpg")</f>
        <v>https://dpmzos25m8ivg.cloudfront.net/Documentos/631/41859072810/6314185907281010092023232738.jpg</v>
      </c>
      <c r="H6754" s="5" t="s">
        <v>15324</v>
      </c>
    </row>
    <row r="6755" spans="1:8" x14ac:dyDescent="0.25">
      <c r="A6755" s="2" t="s">
        <v>6782</v>
      </c>
      <c r="B6755" s="3" t="s">
        <v>8</v>
      </c>
      <c r="C6755" s="3"/>
      <c r="D6755" s="3"/>
      <c r="E6755" s="5" t="str">
        <f>HYPERLINK("https://dpmzos25m8ivg.cloudfront.net/Documentos/631/41871936420/6314187193642011092023114851.pdf","https://dpmzos25m8ivg.cloudfront.net/Documentos/631/41871936420/6314187193642011092023114851.pdf")</f>
        <v>https://dpmzos25m8ivg.cloudfront.net/Documentos/631/41871936420/6314187193642011092023114851.pdf</v>
      </c>
      <c r="F6755" s="5" t="str">
        <f>HYPERLINK("https://dpmzos25m8ivg.cloudfront.net/Documentos/631/41871936420/6314187193642011092023114955.pdf","https://dpmzos25m8ivg.cloudfront.net/Documentos/631/41871936420/6314187193642011092023114955.pdf")</f>
        <v>https://dpmzos25m8ivg.cloudfront.net/Documentos/631/41871936420/6314187193642011092023114955.pdf</v>
      </c>
      <c r="G6755" s="5" t="str">
        <f>HYPERLINK("https://dpmzos25m8ivg.cloudfront.net/Documentos/631/41871936420/6314187193642011092023115051.pdf","https://dpmzos25m8ivg.cloudfront.net/Documentos/631/41871936420/6314187193642011092023115051.pdf")</f>
        <v>https://dpmzos25m8ivg.cloudfront.net/Documentos/631/41871936420/6314187193642011092023115051.pdf</v>
      </c>
      <c r="H6755" s="5" t="s">
        <v>15325</v>
      </c>
    </row>
    <row r="6756" spans="1:8" x14ac:dyDescent="0.25">
      <c r="A6756" s="2" t="s">
        <v>6783</v>
      </c>
      <c r="B6756" s="3" t="s">
        <v>8</v>
      </c>
      <c r="C6756" s="3"/>
      <c r="D6756" s="3"/>
      <c r="E6756" s="5" t="str">
        <f>HYPERLINK("https://dpmzos25m8ivg.cloudfront.net/Documentos/631/41916999387/6314191699938708092023101057.jpeg","https://dpmzos25m8ivg.cloudfront.net/Documentos/631/41916999387/6314191699938708092023101057.jpeg")</f>
        <v>https://dpmzos25m8ivg.cloudfront.net/Documentos/631/41916999387/6314191699938708092023101057.jpeg</v>
      </c>
      <c r="F6756" s="5" t="str">
        <f>HYPERLINK("https://dpmzos25m8ivg.cloudfront.net/Documentos/631/41916999387/6314191699938708092023101109.jpeg","https://dpmzos25m8ivg.cloudfront.net/Documentos/631/41916999387/6314191699938708092023101109.jpeg")</f>
        <v>https://dpmzos25m8ivg.cloudfront.net/Documentos/631/41916999387/6314191699938708092023101109.jpeg</v>
      </c>
      <c r="G6756" s="5" t="str">
        <f>HYPERLINK("https://dpmzos25m8ivg.cloudfront.net/Documentos/631/41916999387/6314191699938708092023101121.jpeg","https://dpmzos25m8ivg.cloudfront.net/Documentos/631/41916999387/6314191699938708092023101121.jpeg")</f>
        <v>https://dpmzos25m8ivg.cloudfront.net/Documentos/631/41916999387/6314191699938708092023101121.jpeg</v>
      </c>
      <c r="H6756" s="5" t="s">
        <v>15326</v>
      </c>
    </row>
    <row r="6757" spans="1:8" x14ac:dyDescent="0.25">
      <c r="A6757" s="2" t="s">
        <v>6784</v>
      </c>
      <c r="B6757" s="3"/>
      <c r="C6757" s="3"/>
      <c r="D6757" s="3"/>
      <c r="E6757" s="5" t="str">
        <f>HYPERLINK("https://dpmzos25m8ivg.cloudfront.net/Documentos/631/41929511850/6314192951185005092023152652.pdf","https://dpmzos25m8ivg.cloudfront.net/Documentos/631/41929511850/6314192951185005092023152652.pdf")</f>
        <v>https://dpmzos25m8ivg.cloudfront.net/Documentos/631/41929511850/6314192951185005092023152652.pdf</v>
      </c>
      <c r="F6757" s="5" t="str">
        <f>HYPERLINK("https://dpmzos25m8ivg.cloudfront.net/Documentos/631/41929511850/6314192951185005092023152705.pdf","https://dpmzos25m8ivg.cloudfront.net/Documentos/631/41929511850/6314192951185005092023152705.pdf")</f>
        <v>https://dpmzos25m8ivg.cloudfront.net/Documentos/631/41929511850/6314192951185005092023152705.pdf</v>
      </c>
      <c r="G6757" s="5" t="str">
        <f>HYPERLINK("https://dpmzos25m8ivg.cloudfront.net/Documentos/631/41929511850/6314192951185005092023152718.pdf","https://dpmzos25m8ivg.cloudfront.net/Documentos/631/41929511850/6314192951185005092023152718.pdf")</f>
        <v>https://dpmzos25m8ivg.cloudfront.net/Documentos/631/41929511850/6314192951185005092023152718.pdf</v>
      </c>
      <c r="H6757" s="5" t="s">
        <v>15327</v>
      </c>
    </row>
    <row r="6758" spans="1:8" x14ac:dyDescent="0.25">
      <c r="A6758" s="2" t="s">
        <v>6785</v>
      </c>
      <c r="B6758" s="3"/>
      <c r="C6758" s="3"/>
      <c r="D6758" s="3"/>
      <c r="E6758" s="5" t="str">
        <f>HYPERLINK("https://dpmzos25m8ivg.cloudfront.net/Documentos/631/41945023880/6314194502388011092023151755.pdf","https://dpmzos25m8ivg.cloudfront.net/Documentos/631/41945023880/6314194502388011092023151755.pdf")</f>
        <v>https://dpmzos25m8ivg.cloudfront.net/Documentos/631/41945023880/6314194502388011092023151755.pdf</v>
      </c>
      <c r="F6758" s="5" t="str">
        <f>HYPERLINK("https://dpmzos25m8ivg.cloudfront.net/Documentos/631/41945023880/6314194502388011092023151849.pdf","https://dpmzos25m8ivg.cloudfront.net/Documentos/631/41945023880/6314194502388011092023151849.pdf")</f>
        <v>https://dpmzos25m8ivg.cloudfront.net/Documentos/631/41945023880/6314194502388011092023151849.pdf</v>
      </c>
      <c r="G6758" s="5" t="str">
        <f>HYPERLINK("https://dpmzos25m8ivg.cloudfront.net/Documentos/631/41945023880/6314194502388011092023151901.pdf","https://dpmzos25m8ivg.cloudfront.net/Documentos/631/41945023880/6314194502388011092023151901.pdf")</f>
        <v>https://dpmzos25m8ivg.cloudfront.net/Documentos/631/41945023880/6314194502388011092023151901.pdf</v>
      </c>
      <c r="H6758" s="5" t="s">
        <v>15328</v>
      </c>
    </row>
    <row r="6759" spans="1:8" x14ac:dyDescent="0.25">
      <c r="A6759" s="2" t="s">
        <v>6786</v>
      </c>
      <c r="B6759" s="3"/>
      <c r="C6759" s="3"/>
      <c r="D6759" s="3"/>
      <c r="E6759" s="5" t="str">
        <f>HYPERLINK("https://dpmzos25m8ivg.cloudfront.net/Documentos/631/41949204812/6314194920481208092023075335.pdf","https://dpmzos25m8ivg.cloudfront.net/Documentos/631/41949204812/6314194920481208092023075335.pdf")</f>
        <v>https://dpmzos25m8ivg.cloudfront.net/Documentos/631/41949204812/6314194920481208092023075335.pdf</v>
      </c>
      <c r="F6759" s="5" t="str">
        <f>HYPERLINK("https://dpmzos25m8ivg.cloudfront.net/Documentos/631/41949204812/6314194920481208092023075355.pdf","https://dpmzos25m8ivg.cloudfront.net/Documentos/631/41949204812/6314194920481208092023075355.pdf")</f>
        <v>https://dpmzos25m8ivg.cloudfront.net/Documentos/631/41949204812/6314194920481208092023075355.pdf</v>
      </c>
      <c r="G6759" s="5" t="str">
        <f>HYPERLINK("https://dpmzos25m8ivg.cloudfront.net/Documentos/631/41949204812/6314194920481208092023075417.pdf","https://dpmzos25m8ivg.cloudfront.net/Documentos/631/41949204812/6314194920481208092023075417.pdf")</f>
        <v>https://dpmzos25m8ivg.cloudfront.net/Documentos/631/41949204812/6314194920481208092023075417.pdf</v>
      </c>
      <c r="H6759" s="5" t="s">
        <v>15329</v>
      </c>
    </row>
    <row r="6760" spans="1:8" x14ac:dyDescent="0.25">
      <c r="A6760" s="2" t="s">
        <v>6787</v>
      </c>
      <c r="B6760" s="3"/>
      <c r="C6760" s="3"/>
      <c r="D6760" s="3"/>
      <c r="E6760" s="5" t="str">
        <f>HYPERLINK("https://dpmzos25m8ivg.cloudfront.net/Documentos/631/41958926515/6314195892651511092023152347.jpg","https://dpmzos25m8ivg.cloudfront.net/Documentos/631/41958926515/6314195892651511092023152347.jpg")</f>
        <v>https://dpmzos25m8ivg.cloudfront.net/Documentos/631/41958926515/6314195892651511092023152347.jpg</v>
      </c>
      <c r="F6760" s="5" t="str">
        <f>HYPERLINK("https://dpmzos25m8ivg.cloudfront.net/Documentos/631/41958926515/6314195892651511092023152418.jpg","https://dpmzos25m8ivg.cloudfront.net/Documentos/631/41958926515/6314195892651511092023152418.jpg")</f>
        <v>https://dpmzos25m8ivg.cloudfront.net/Documentos/631/41958926515/6314195892651511092023152418.jpg</v>
      </c>
      <c r="G6760" s="5" t="str">
        <f>HYPERLINK("https://dpmzos25m8ivg.cloudfront.net/Documentos/631/41958926515/6314195892651511092023152448.jpg","https://dpmzos25m8ivg.cloudfront.net/Documentos/631/41958926515/6314195892651511092023152448.jpg")</f>
        <v>https://dpmzos25m8ivg.cloudfront.net/Documentos/631/41958926515/6314195892651511092023152448.jpg</v>
      </c>
      <c r="H6760" s="5" t="s">
        <v>15330</v>
      </c>
    </row>
    <row r="6761" spans="1:8" x14ac:dyDescent="0.25">
      <c r="A6761" s="2" t="s">
        <v>6788</v>
      </c>
      <c r="B6761" s="3"/>
      <c r="C6761" s="3"/>
      <c r="D6761" s="3"/>
      <c r="E6761" s="5" t="str">
        <f>HYPERLINK("https://dpmzos25m8ivg.cloudfront.net/Documentos/631/42012489842/6314201248984211092023161546.pdf","https://dpmzos25m8ivg.cloudfront.net/Documentos/631/42012489842/6314201248984211092023161546.pdf")</f>
        <v>https://dpmzos25m8ivg.cloudfront.net/Documentos/631/42012489842/6314201248984211092023161546.pdf</v>
      </c>
      <c r="F6761" s="5" t="str">
        <f>HYPERLINK("https://dpmzos25m8ivg.cloudfront.net/Documentos/631/42012489842/6314201248984211092023161557.pdf","https://dpmzos25m8ivg.cloudfront.net/Documentos/631/42012489842/6314201248984211092023161557.pdf")</f>
        <v>https://dpmzos25m8ivg.cloudfront.net/Documentos/631/42012489842/6314201248984211092023161557.pdf</v>
      </c>
      <c r="G6761" s="5" t="str">
        <f>HYPERLINK("https://dpmzos25m8ivg.cloudfront.net/Documentos/631/42012489842/6314201248984211092023161607.pdf","https://dpmzos25m8ivg.cloudfront.net/Documentos/631/42012489842/6314201248984211092023161607.pdf")</f>
        <v>https://dpmzos25m8ivg.cloudfront.net/Documentos/631/42012489842/6314201248984211092023161607.pdf</v>
      </c>
      <c r="H6761" s="5" t="s">
        <v>15331</v>
      </c>
    </row>
    <row r="6762" spans="1:8" x14ac:dyDescent="0.25">
      <c r="A6762" s="2" t="s">
        <v>6789</v>
      </c>
      <c r="B6762" s="3" t="s">
        <v>2358</v>
      </c>
      <c r="C6762" s="3"/>
      <c r="D6762" s="3"/>
      <c r="E6762" s="5" t="str">
        <f>HYPERLINK("https://dpmzos25m8ivg.cloudfront.net/Documentos/631/42030507822/6314203050782211092023134629.jpeg","https://dpmzos25m8ivg.cloudfront.net/Documentos/631/42030507822/6314203050782211092023134629.jpeg")</f>
        <v>https://dpmzos25m8ivg.cloudfront.net/Documentos/631/42030507822/6314203050782211092023134629.jpeg</v>
      </c>
      <c r="F6762" s="5" t="str">
        <f>HYPERLINK("https://dpmzos25m8ivg.cloudfront.net/Documentos/631/42030507822/6314203050782211092023134647.jpeg","https://dpmzos25m8ivg.cloudfront.net/Documentos/631/42030507822/6314203050782211092023134647.jpeg")</f>
        <v>https://dpmzos25m8ivg.cloudfront.net/Documentos/631/42030507822/6314203050782211092023134647.jpeg</v>
      </c>
      <c r="G6762" s="5" t="str">
        <f>HYPERLINK("https://dpmzos25m8ivg.cloudfront.net/Documentos/631/42030507822/6314203050782211092023134705.jpeg","https://dpmzos25m8ivg.cloudfront.net/Documentos/631/42030507822/6314203050782211092023134705.jpeg")</f>
        <v>https://dpmzos25m8ivg.cloudfront.net/Documentos/631/42030507822/6314203050782211092023134705.jpeg</v>
      </c>
      <c r="H6762" s="5" t="s">
        <v>15332</v>
      </c>
    </row>
    <row r="6763" spans="1:8" x14ac:dyDescent="0.25">
      <c r="A6763" s="2" t="s">
        <v>6790</v>
      </c>
      <c r="B6763" s="3"/>
      <c r="C6763" s="3"/>
      <c r="D6763" s="3"/>
      <c r="E6763" s="5" t="str">
        <f>HYPERLINK("https://dpmzos25m8ivg.cloudfront.net/Documentos/631/42034761863/6314203476186305092023151728.pdf","https://dpmzos25m8ivg.cloudfront.net/Documentos/631/42034761863/6314203476186305092023151728.pdf")</f>
        <v>https://dpmzos25m8ivg.cloudfront.net/Documentos/631/42034761863/6314203476186305092023151728.pdf</v>
      </c>
      <c r="F6763" s="5" t="str">
        <f>HYPERLINK("https://dpmzos25m8ivg.cloudfront.net/Documentos/631/42034761863/6314203476186306092023152004.pdf","https://dpmzos25m8ivg.cloudfront.net/Documentos/631/42034761863/6314203476186306092023152004.pdf")</f>
        <v>https://dpmzos25m8ivg.cloudfront.net/Documentos/631/42034761863/6314203476186306092023152004.pdf</v>
      </c>
      <c r="G6763" s="5" t="str">
        <f>HYPERLINK("https://dpmzos25m8ivg.cloudfront.net/Documentos/631/42034761863/6314203476186306092023152012.pdf","https://dpmzos25m8ivg.cloudfront.net/Documentos/631/42034761863/6314203476186306092023152012.pdf")</f>
        <v>https://dpmzos25m8ivg.cloudfront.net/Documentos/631/42034761863/6314203476186306092023152012.pdf</v>
      </c>
      <c r="H6763" s="5" t="s">
        <v>15333</v>
      </c>
    </row>
    <row r="6764" spans="1:8" x14ac:dyDescent="0.25">
      <c r="A6764" s="2" t="s">
        <v>6791</v>
      </c>
      <c r="B6764" s="3"/>
      <c r="C6764" s="3"/>
      <c r="D6764" s="3"/>
      <c r="E6764" s="5" t="str">
        <f>HYPERLINK("https://dpmzos25m8ivg.cloudfront.net/Documentos/631/42054094862/6314205409486211092023092652.pdf","https://dpmzos25m8ivg.cloudfront.net/Documentos/631/42054094862/6314205409486211092023092652.pdf")</f>
        <v>https://dpmzos25m8ivg.cloudfront.net/Documentos/631/42054094862/6314205409486211092023092652.pdf</v>
      </c>
      <c r="F6764" s="5" t="str">
        <f>HYPERLINK("https://dpmzos25m8ivg.cloudfront.net/Documentos/631/42054094862/6314205409486211092023092701.pdf","https://dpmzos25m8ivg.cloudfront.net/Documentos/631/42054094862/6314205409486211092023092701.pdf")</f>
        <v>https://dpmzos25m8ivg.cloudfront.net/Documentos/631/42054094862/6314205409486211092023092701.pdf</v>
      </c>
      <c r="G6764" s="5" t="str">
        <f>HYPERLINK("https://dpmzos25m8ivg.cloudfront.net/Documentos/631/42054094862/6314205409486211092023092709.pdf","https://dpmzos25m8ivg.cloudfront.net/Documentos/631/42054094862/6314205409486211092023092709.pdf")</f>
        <v>https://dpmzos25m8ivg.cloudfront.net/Documentos/631/42054094862/6314205409486211092023092709.pdf</v>
      </c>
      <c r="H6764" s="5" t="s">
        <v>15334</v>
      </c>
    </row>
    <row r="6765" spans="1:8" x14ac:dyDescent="0.25">
      <c r="A6765" s="2" t="s">
        <v>6792</v>
      </c>
      <c r="B6765" s="3"/>
      <c r="C6765" s="3"/>
      <c r="D6765" s="3"/>
      <c r="E6765" s="5" t="str">
        <f>HYPERLINK("https://dpmzos25m8ivg.cloudfront.net/Documentos/631/42069099890/6314206909989006092023070643.pdf","https://dpmzos25m8ivg.cloudfront.net/Documentos/631/42069099890/6314206909989006092023070643.pdf")</f>
        <v>https://dpmzos25m8ivg.cloudfront.net/Documentos/631/42069099890/6314206909989006092023070643.pdf</v>
      </c>
      <c r="F6765" s="5" t="str">
        <f>HYPERLINK("https://dpmzos25m8ivg.cloudfront.net/Documentos/631/42069099890/6314206909989006092023070656.pdf","https://dpmzos25m8ivg.cloudfront.net/Documentos/631/42069099890/6314206909989006092023070656.pdf")</f>
        <v>https://dpmzos25m8ivg.cloudfront.net/Documentos/631/42069099890/6314206909989006092023070656.pdf</v>
      </c>
      <c r="G6765" s="5" t="str">
        <f>HYPERLINK("https://dpmzos25m8ivg.cloudfront.net/Documentos/631/42069099890/6314206909989006092023070705.pdf","https://dpmzos25m8ivg.cloudfront.net/Documentos/631/42069099890/6314206909989006092023070705.pdf")</f>
        <v>https://dpmzos25m8ivg.cloudfront.net/Documentos/631/42069099890/6314206909989006092023070705.pdf</v>
      </c>
      <c r="H6765" s="5" t="s">
        <v>15335</v>
      </c>
    </row>
    <row r="6766" spans="1:8" x14ac:dyDescent="0.25">
      <c r="A6766" s="2" t="s">
        <v>6793</v>
      </c>
      <c r="B6766" s="3"/>
      <c r="C6766" s="3"/>
      <c r="D6766" s="3"/>
      <c r="E6766" s="5" t="str">
        <f>HYPERLINK("https://dpmzos25m8ivg.cloudfront.net/Documentos/631/42128153204/6314212815320405092023084500.pdf","https://dpmzos25m8ivg.cloudfront.net/Documentos/631/42128153204/6314212815320405092023084500.pdf")</f>
        <v>https://dpmzos25m8ivg.cloudfront.net/Documentos/631/42128153204/6314212815320405092023084500.pdf</v>
      </c>
      <c r="F6766" s="5" t="str">
        <f>HYPERLINK("https://dpmzos25m8ivg.cloudfront.net/Documentos/631/42128153204/6314212815320405092023084517.pdf","https://dpmzos25m8ivg.cloudfront.net/Documentos/631/42128153204/6314212815320405092023084517.pdf")</f>
        <v>https://dpmzos25m8ivg.cloudfront.net/Documentos/631/42128153204/6314212815320405092023084517.pdf</v>
      </c>
      <c r="G6766" s="5" t="str">
        <f>HYPERLINK("https://dpmzos25m8ivg.cloudfront.net/Documentos/631/42128153204/6314212815320405092023084529.pdf","https://dpmzos25m8ivg.cloudfront.net/Documentos/631/42128153204/6314212815320405092023084529.pdf")</f>
        <v>https://dpmzos25m8ivg.cloudfront.net/Documentos/631/42128153204/6314212815320405092023084529.pdf</v>
      </c>
      <c r="H6766" s="5" t="s">
        <v>15336</v>
      </c>
    </row>
    <row r="6767" spans="1:8" x14ac:dyDescent="0.25">
      <c r="A6767" s="2" t="s">
        <v>6794</v>
      </c>
      <c r="B6767" s="3"/>
      <c r="C6767" s="3"/>
      <c r="D6767" s="3"/>
      <c r="E6767" s="5" t="str">
        <f>HYPERLINK("https://dpmzos25m8ivg.cloudfront.net/Documentos/631/42142457843/6314214245784311092023144911.pdf","https://dpmzos25m8ivg.cloudfront.net/Documentos/631/42142457843/6314214245784311092023144911.pdf")</f>
        <v>https://dpmzos25m8ivg.cloudfront.net/Documentos/631/42142457843/6314214245784311092023144911.pdf</v>
      </c>
      <c r="F6767" s="5" t="str">
        <f>HYPERLINK("https://dpmzos25m8ivg.cloudfront.net/Documentos/631/42142457843/6314214245784311092023144919.pdf","https://dpmzos25m8ivg.cloudfront.net/Documentos/631/42142457843/6314214245784311092023144919.pdf")</f>
        <v>https://dpmzos25m8ivg.cloudfront.net/Documentos/631/42142457843/6314214245784311092023144919.pdf</v>
      </c>
      <c r="G6767" s="5" t="str">
        <f>HYPERLINK("https://dpmzos25m8ivg.cloudfront.net/Documentos/631/42142457843/6314214245784311092023144928.pdf","https://dpmzos25m8ivg.cloudfront.net/Documentos/631/42142457843/6314214245784311092023144928.pdf")</f>
        <v>https://dpmzos25m8ivg.cloudfront.net/Documentos/631/42142457843/6314214245784311092023144928.pdf</v>
      </c>
      <c r="H6767" s="5" t="s">
        <v>15337</v>
      </c>
    </row>
    <row r="6768" spans="1:8" x14ac:dyDescent="0.25">
      <c r="A6768" s="2" t="s">
        <v>6795</v>
      </c>
      <c r="B6768" s="3"/>
      <c r="C6768" s="3"/>
      <c r="D6768" s="3"/>
      <c r="E6768" s="5" t="str">
        <f>HYPERLINK("https://dpmzos25m8ivg.cloudfront.net/Documentos/631/42184729809/6314218472980911092023163524.jpg","https://dpmzos25m8ivg.cloudfront.net/Documentos/631/42184729809/6314218472980911092023163524.jpg")</f>
        <v>https://dpmzos25m8ivg.cloudfront.net/Documentos/631/42184729809/6314218472980911092023163524.jpg</v>
      </c>
      <c r="F6768" s="5" t="str">
        <f>HYPERLINK("https://dpmzos25m8ivg.cloudfront.net/Documentos/631/42184729809/6314218472980911092023163535.jpg","https://dpmzos25m8ivg.cloudfront.net/Documentos/631/42184729809/6314218472980911092023163535.jpg")</f>
        <v>https://dpmzos25m8ivg.cloudfront.net/Documentos/631/42184729809/6314218472980911092023163535.jpg</v>
      </c>
      <c r="G6768" s="5" t="str">
        <f>HYPERLINK("https://dpmzos25m8ivg.cloudfront.net/Documentos/631/42184729809/6314218472980911092023163544.jpg","https://dpmzos25m8ivg.cloudfront.net/Documentos/631/42184729809/6314218472980911092023163544.jpg")</f>
        <v>https://dpmzos25m8ivg.cloudfront.net/Documentos/631/42184729809/6314218472980911092023163544.jpg</v>
      </c>
      <c r="H6768" s="5" t="s">
        <v>15338</v>
      </c>
    </row>
    <row r="6769" spans="1:8" x14ac:dyDescent="0.25">
      <c r="A6769" s="2" t="s">
        <v>6796</v>
      </c>
      <c r="B6769" s="3"/>
      <c r="C6769" s="3"/>
      <c r="D6769" s="3"/>
      <c r="E6769" s="5" t="str">
        <f>HYPERLINK("https://dpmzos25m8ivg.cloudfront.net/Documentos/631/42187855899/6314218785589911092023133114.pdf","https://dpmzos25m8ivg.cloudfront.net/Documentos/631/42187855899/6314218785589911092023133114.pdf")</f>
        <v>https://dpmzos25m8ivg.cloudfront.net/Documentos/631/42187855899/6314218785589911092023133114.pdf</v>
      </c>
      <c r="F6769" s="5" t="str">
        <f>HYPERLINK("https://dpmzos25m8ivg.cloudfront.net/Documentos/631/42187855899/6314218785589911092023133122.pdf","https://dpmzos25m8ivg.cloudfront.net/Documentos/631/42187855899/6314218785589911092023133122.pdf")</f>
        <v>https://dpmzos25m8ivg.cloudfront.net/Documentos/631/42187855899/6314218785589911092023133122.pdf</v>
      </c>
      <c r="G6769" s="5" t="str">
        <f>HYPERLINK("https://dpmzos25m8ivg.cloudfront.net/Documentos/631/42187855899/6314218785589911092023133131.pdf","https://dpmzos25m8ivg.cloudfront.net/Documentos/631/42187855899/6314218785589911092023133131.pdf")</f>
        <v>https://dpmzos25m8ivg.cloudfront.net/Documentos/631/42187855899/6314218785589911092023133131.pdf</v>
      </c>
      <c r="H6769" s="5" t="s">
        <v>15339</v>
      </c>
    </row>
    <row r="6770" spans="1:8" x14ac:dyDescent="0.25">
      <c r="A6770" s="2" t="s">
        <v>6797</v>
      </c>
      <c r="B6770" s="3"/>
      <c r="C6770" s="3"/>
      <c r="D6770" s="3"/>
      <c r="E6770" s="5" t="str">
        <f>HYPERLINK("https://dpmzos25m8ivg.cloudfront.net/Documentos/631/42220426840/6314222042684011092023120824.jpg","https://dpmzos25m8ivg.cloudfront.net/Documentos/631/42220426840/6314222042684011092023120824.jpg")</f>
        <v>https://dpmzos25m8ivg.cloudfront.net/Documentos/631/42220426840/6314222042684011092023120824.jpg</v>
      </c>
      <c r="F6770" s="5" t="str">
        <f>HYPERLINK("https://dpmzos25m8ivg.cloudfront.net/Documentos/631/42220426840/6314222042684011092023120836.jpg","https://dpmzos25m8ivg.cloudfront.net/Documentos/631/42220426840/6314222042684011092023120836.jpg")</f>
        <v>https://dpmzos25m8ivg.cloudfront.net/Documentos/631/42220426840/6314222042684011092023120836.jpg</v>
      </c>
      <c r="G6770" s="5" t="str">
        <f>HYPERLINK("https://dpmzos25m8ivg.cloudfront.net/Documentos/631/42220426840/6314222042684011092023120848.jpg","https://dpmzos25m8ivg.cloudfront.net/Documentos/631/42220426840/6314222042684011092023120848.jpg")</f>
        <v>https://dpmzos25m8ivg.cloudfront.net/Documentos/631/42220426840/6314222042684011092023120848.jpg</v>
      </c>
      <c r="H6770" s="5" t="s">
        <v>15340</v>
      </c>
    </row>
    <row r="6771" spans="1:8" x14ac:dyDescent="0.25">
      <c r="A6771" s="2" t="s">
        <v>6798</v>
      </c>
      <c r="B6771" s="3"/>
      <c r="C6771" s="3"/>
      <c r="D6771" s="3"/>
      <c r="E6771" s="5" t="str">
        <f>HYPERLINK("https://dpmzos25m8ivg.cloudfront.net/Documentos/631/42222581800/6314222258180008092023085325.pdf","https://dpmzos25m8ivg.cloudfront.net/Documentos/631/42222581800/6314222258180008092023085325.pdf")</f>
        <v>https://dpmzos25m8ivg.cloudfront.net/Documentos/631/42222581800/6314222258180008092023085325.pdf</v>
      </c>
      <c r="F6771" s="5" t="str">
        <f>HYPERLINK("https://dpmzos25m8ivg.cloudfront.net/Documentos/631/42222581800/6314222258180008092023085349.pdf","https://dpmzos25m8ivg.cloudfront.net/Documentos/631/42222581800/6314222258180008092023085349.pdf")</f>
        <v>https://dpmzos25m8ivg.cloudfront.net/Documentos/631/42222581800/6314222258180008092023085349.pdf</v>
      </c>
      <c r="G6771" s="5" t="str">
        <f>HYPERLINK("https://dpmzos25m8ivg.cloudfront.net/Documentos/631/42222581800/6314222258180008092023085403.pdf","https://dpmzos25m8ivg.cloudfront.net/Documentos/631/42222581800/6314222258180008092023085403.pdf")</f>
        <v>https://dpmzos25m8ivg.cloudfront.net/Documentos/631/42222581800/6314222258180008092023085403.pdf</v>
      </c>
      <c r="H6771" s="5" t="s">
        <v>15341</v>
      </c>
    </row>
    <row r="6772" spans="1:8" x14ac:dyDescent="0.25">
      <c r="A6772" s="2" t="s">
        <v>6799</v>
      </c>
      <c r="B6772" s="3" t="s">
        <v>8</v>
      </c>
      <c r="C6772" s="3"/>
      <c r="D6772" s="3"/>
      <c r="E6772" s="5" t="str">
        <f>HYPERLINK("https://dpmzos25m8ivg.cloudfront.net/Documentos/631/42254128817/6314225412881711092023021219.pdf","https://dpmzos25m8ivg.cloudfront.net/Documentos/631/42254128817/6314225412881711092023021219.pdf")</f>
        <v>https://dpmzos25m8ivg.cloudfront.net/Documentos/631/42254128817/6314225412881711092023021219.pdf</v>
      </c>
      <c r="F6772" s="5" t="str">
        <f>HYPERLINK("https://dpmzos25m8ivg.cloudfront.net/Documentos/631/42254128817/6314225412881711092023020953.pdf","https://dpmzos25m8ivg.cloudfront.net/Documentos/631/42254128817/6314225412881711092023020953.pdf")</f>
        <v>https://dpmzos25m8ivg.cloudfront.net/Documentos/631/42254128817/6314225412881711092023020953.pdf</v>
      </c>
      <c r="G6772" s="5" t="str">
        <f>HYPERLINK("https://dpmzos25m8ivg.cloudfront.net/Documentos/631/42254128817/6314225412881711092023020741.pdf","https://dpmzos25m8ivg.cloudfront.net/Documentos/631/42254128817/6314225412881711092023020741.pdf")</f>
        <v>https://dpmzos25m8ivg.cloudfront.net/Documentos/631/42254128817/6314225412881711092023020741.pdf</v>
      </c>
      <c r="H6772" s="5" t="s">
        <v>15342</v>
      </c>
    </row>
    <row r="6773" spans="1:8" x14ac:dyDescent="0.25">
      <c r="A6773" s="2" t="s">
        <v>6800</v>
      </c>
      <c r="B6773" s="6" t="s">
        <v>23</v>
      </c>
      <c r="C6773" s="3"/>
      <c r="D6773" s="3"/>
      <c r="E6773" s="5" t="str">
        <f>HYPERLINK("https://dpmzos25m8ivg.cloudfront.net/Documentos/631/42280194805/6314228019480506092023003829.jpeg","https://dpmzos25m8ivg.cloudfront.net/Documentos/631/42280194805/6314228019480506092023003829.jpeg")</f>
        <v>https://dpmzos25m8ivg.cloudfront.net/Documentos/631/42280194805/6314228019480506092023003829.jpeg</v>
      </c>
      <c r="F6773" s="5" t="str">
        <f>HYPERLINK("https://dpmzos25m8ivg.cloudfront.net/Documentos/631/42280194805/6314228019480506092023003853.jpeg","https://dpmzos25m8ivg.cloudfront.net/Documentos/631/42280194805/6314228019480506092023003853.jpeg")</f>
        <v>https://dpmzos25m8ivg.cloudfront.net/Documentos/631/42280194805/6314228019480506092023003853.jpeg</v>
      </c>
      <c r="G6773" s="5" t="str">
        <f>HYPERLINK("https://dpmzos25m8ivg.cloudfront.net/Documentos/631/42280194805/6314228019480506092023003910.jpeg","https://dpmzos25m8ivg.cloudfront.net/Documentos/631/42280194805/6314228019480506092023003910.jpeg")</f>
        <v>https://dpmzos25m8ivg.cloudfront.net/Documentos/631/42280194805/6314228019480506092023003910.jpeg</v>
      </c>
      <c r="H6773" s="5" t="s">
        <v>15343</v>
      </c>
    </row>
    <row r="6774" spans="1:8" x14ac:dyDescent="0.25">
      <c r="A6774" s="2" t="s">
        <v>6801</v>
      </c>
      <c r="B6774" s="3"/>
      <c r="C6774" s="3"/>
      <c r="D6774" s="3"/>
      <c r="E6774" s="5" t="str">
        <f>HYPERLINK("https://dpmzos25m8ivg.cloudfront.net/Documentos/631/42294684826/6314229468482611092023092311.pdf","https://dpmzos25m8ivg.cloudfront.net/Documentos/631/42294684826/6314229468482611092023092311.pdf")</f>
        <v>https://dpmzos25m8ivg.cloudfront.net/Documentos/631/42294684826/6314229468482611092023092311.pdf</v>
      </c>
      <c r="F6774" s="5" t="str">
        <f>HYPERLINK("https://dpmzos25m8ivg.cloudfront.net/Documentos/631/42294684826/6314229468482611092023092333.pdf","https://dpmzos25m8ivg.cloudfront.net/Documentos/631/42294684826/6314229468482611092023092333.pdf")</f>
        <v>https://dpmzos25m8ivg.cloudfront.net/Documentos/631/42294684826/6314229468482611092023092333.pdf</v>
      </c>
      <c r="G6774" s="5" t="str">
        <f>HYPERLINK("https://dpmzos25m8ivg.cloudfront.net/Documentos/631/42294684826/6314229468482611092023092351.pdf","https://dpmzos25m8ivg.cloudfront.net/Documentos/631/42294684826/6314229468482611092023092351.pdf")</f>
        <v>https://dpmzos25m8ivg.cloudfront.net/Documentos/631/42294684826/6314229468482611092023092351.pdf</v>
      </c>
      <c r="H6774" s="5" t="s">
        <v>15344</v>
      </c>
    </row>
    <row r="6775" spans="1:8" x14ac:dyDescent="0.25">
      <c r="A6775" s="2" t="s">
        <v>6802</v>
      </c>
      <c r="B6775" s="3"/>
      <c r="C6775" s="3"/>
      <c r="D6775" s="3"/>
      <c r="E6775" s="5" t="str">
        <f>HYPERLINK("https://dpmzos25m8ivg.cloudfront.net/Documentos/631/42359823892/6314235982389211092023033627.pdf","https://dpmzos25m8ivg.cloudfront.net/Documentos/631/42359823892/6314235982389211092023033627.pdf")</f>
        <v>https://dpmzos25m8ivg.cloudfront.net/Documentos/631/42359823892/6314235982389211092023033627.pdf</v>
      </c>
      <c r="F6775" s="5" t="str">
        <f>HYPERLINK("https://dpmzos25m8ivg.cloudfront.net/Documentos/631/42359823892/6314235982389211092023033640.pdf","https://dpmzos25m8ivg.cloudfront.net/Documentos/631/42359823892/6314235982389211092023033640.pdf")</f>
        <v>https://dpmzos25m8ivg.cloudfront.net/Documentos/631/42359823892/6314235982389211092023033640.pdf</v>
      </c>
      <c r="G6775" s="5" t="str">
        <f>HYPERLINK("https://dpmzos25m8ivg.cloudfront.net/Documentos/631/42359823892/6314235982389211092023033652.pdf","https://dpmzos25m8ivg.cloudfront.net/Documentos/631/42359823892/6314235982389211092023033652.pdf")</f>
        <v>https://dpmzos25m8ivg.cloudfront.net/Documentos/631/42359823892/6314235982389211092023033652.pdf</v>
      </c>
      <c r="H6775" s="5" t="s">
        <v>15345</v>
      </c>
    </row>
    <row r="6776" spans="1:8" x14ac:dyDescent="0.25">
      <c r="A6776" s="2" t="s">
        <v>6803</v>
      </c>
      <c r="B6776" s="3"/>
      <c r="C6776" s="3"/>
      <c r="D6776" s="3"/>
      <c r="E6776" s="5" t="str">
        <f>HYPERLINK("https://dpmzos25m8ivg.cloudfront.net/Documentos/631/42387191404/6314238719140405092023101823.pdf","https://dpmzos25m8ivg.cloudfront.net/Documentos/631/42387191404/6314238719140405092023101823.pdf")</f>
        <v>https://dpmzos25m8ivg.cloudfront.net/Documentos/631/42387191404/6314238719140405092023101823.pdf</v>
      </c>
      <c r="F6776" s="5" t="str">
        <f>HYPERLINK("https://dpmzos25m8ivg.cloudfront.net/Documentos/631/42387191404/6314238719140405092023101854.pdf","https://dpmzos25m8ivg.cloudfront.net/Documentos/631/42387191404/6314238719140405092023101854.pdf")</f>
        <v>https://dpmzos25m8ivg.cloudfront.net/Documentos/631/42387191404/6314238719140405092023101854.pdf</v>
      </c>
      <c r="G6776" s="5" t="str">
        <f>HYPERLINK("https://dpmzos25m8ivg.cloudfront.net/Documentos/631/42387191404/6314238719140405092023101912.pdf","https://dpmzos25m8ivg.cloudfront.net/Documentos/631/42387191404/6314238719140405092023101912.pdf")</f>
        <v>https://dpmzos25m8ivg.cloudfront.net/Documentos/631/42387191404/6314238719140405092023101912.pdf</v>
      </c>
      <c r="H6776" s="5" t="s">
        <v>15346</v>
      </c>
    </row>
    <row r="6777" spans="1:8" x14ac:dyDescent="0.25">
      <c r="A6777" s="2" t="s">
        <v>6804</v>
      </c>
      <c r="B6777" s="3"/>
      <c r="C6777" s="3"/>
      <c r="D6777" s="3"/>
      <c r="E6777" s="5" t="str">
        <f>HYPERLINK("https://dpmzos25m8ivg.cloudfront.net/Documentos/631/42415214876/6314241521487613092023203349.pdf","https://dpmzos25m8ivg.cloudfront.net/Documentos/631/42415214876/6314241521487613092023203349.pdf")</f>
        <v>https://dpmzos25m8ivg.cloudfront.net/Documentos/631/42415214876/6314241521487613092023203349.pdf</v>
      </c>
      <c r="F6777" s="5" t="str">
        <f>HYPERLINK("https://dpmzos25m8ivg.cloudfront.net/Documentos/631/42415214876/6314241521487613092023203406.pdf","https://dpmzos25m8ivg.cloudfront.net/Documentos/631/42415214876/6314241521487613092023203406.pdf")</f>
        <v>https://dpmzos25m8ivg.cloudfront.net/Documentos/631/42415214876/6314241521487613092023203406.pdf</v>
      </c>
      <c r="G6777" s="5" t="str">
        <f>HYPERLINK("https://dpmzos25m8ivg.cloudfront.net/Documentos/631/42415214876/6314241521487613092023203422.pdf","https://dpmzos25m8ivg.cloudfront.net/Documentos/631/42415214876/6314241521487613092023203422.pdf")</f>
        <v>https://dpmzos25m8ivg.cloudfront.net/Documentos/631/42415214876/6314241521487613092023203422.pdf</v>
      </c>
      <c r="H6777" s="5" t="s">
        <v>15347</v>
      </c>
    </row>
    <row r="6778" spans="1:8" x14ac:dyDescent="0.25">
      <c r="A6778" s="2" t="s">
        <v>6805</v>
      </c>
      <c r="B6778" s="3" t="s">
        <v>8</v>
      </c>
      <c r="C6778" s="3"/>
      <c r="D6778" s="3"/>
      <c r="E6778" s="5" t="str">
        <f>HYPERLINK("https://dpmzos25m8ivg.cloudfront.net/Documentos/631/42419933893/6314241993389306092023114026.jpeg","https://dpmzos25m8ivg.cloudfront.net/Documentos/631/42419933893/6314241993389306092023114026.jpeg")</f>
        <v>https://dpmzos25m8ivg.cloudfront.net/Documentos/631/42419933893/6314241993389306092023114026.jpeg</v>
      </c>
      <c r="F6778" s="5" t="str">
        <f>HYPERLINK("https://dpmzos25m8ivg.cloudfront.net/Documentos/631/42419933893/6314241993389306092023114130.jpeg","https://dpmzos25m8ivg.cloudfront.net/Documentos/631/42419933893/6314241993389306092023114130.jpeg")</f>
        <v>https://dpmzos25m8ivg.cloudfront.net/Documentos/631/42419933893/6314241993389306092023114130.jpeg</v>
      </c>
      <c r="G6778" s="5" t="str">
        <f>HYPERLINK("https://dpmzos25m8ivg.cloudfront.net/Documentos/631/42419933893/6314241993389306092023114203.jpeg","https://dpmzos25m8ivg.cloudfront.net/Documentos/631/42419933893/6314241993389306092023114203.jpeg")</f>
        <v>https://dpmzos25m8ivg.cloudfront.net/Documentos/631/42419933893/6314241993389306092023114203.jpeg</v>
      </c>
      <c r="H6778" s="5" t="s">
        <v>15348</v>
      </c>
    </row>
    <row r="6779" spans="1:8" x14ac:dyDescent="0.25">
      <c r="A6779" s="2" t="s">
        <v>6806</v>
      </c>
      <c r="B6779" s="3" t="s">
        <v>8</v>
      </c>
      <c r="C6779" s="3"/>
      <c r="D6779" s="3"/>
      <c r="E6779" s="5" t="str">
        <f>HYPERLINK("https://dpmzos25m8ivg.cloudfront.net/Documentos/631/42426316420/6314242631642011092023161038.pdf","https://dpmzos25m8ivg.cloudfront.net/Documentos/631/42426316420/6314242631642011092023161038.pdf")</f>
        <v>https://dpmzos25m8ivg.cloudfront.net/Documentos/631/42426316420/6314242631642011092023161038.pdf</v>
      </c>
      <c r="F6779" s="5" t="str">
        <f>HYPERLINK("https://dpmzos25m8ivg.cloudfront.net/Documentos/631/42426316420/6314242631642011092023161110.pdf","https://dpmzos25m8ivg.cloudfront.net/Documentos/631/42426316420/6314242631642011092023161110.pdf")</f>
        <v>https://dpmzos25m8ivg.cloudfront.net/Documentos/631/42426316420/6314242631642011092023161110.pdf</v>
      </c>
      <c r="G6779" s="5" t="str">
        <f>HYPERLINK("https://dpmzos25m8ivg.cloudfront.net/Documentos/631/42426316420/6314242631642011092023161131.pdf","https://dpmzos25m8ivg.cloudfront.net/Documentos/631/42426316420/6314242631642011092023161131.pdf")</f>
        <v>https://dpmzos25m8ivg.cloudfront.net/Documentos/631/42426316420/6314242631642011092023161131.pdf</v>
      </c>
      <c r="H6779" s="5" t="s">
        <v>15349</v>
      </c>
    </row>
    <row r="6780" spans="1:8" x14ac:dyDescent="0.25">
      <c r="A6780" s="2" t="s">
        <v>6807</v>
      </c>
      <c r="B6780" s="3"/>
      <c r="C6780" s="3"/>
      <c r="D6780" s="3"/>
      <c r="E6780" s="5" t="str">
        <f>HYPERLINK("https://dpmzos25m8ivg.cloudfront.net/Documentos/631/42431807843/6314243180784311092023165739.pdf","https://dpmzos25m8ivg.cloudfront.net/Documentos/631/42431807843/6314243180784311092023165739.pdf")</f>
        <v>https://dpmzos25m8ivg.cloudfront.net/Documentos/631/42431807843/6314243180784311092023165739.pdf</v>
      </c>
      <c r="F6780" s="5" t="str">
        <f>HYPERLINK("https://dpmzos25m8ivg.cloudfront.net/Documentos/631/42431807843/6314243180784311092023165800.pdf","https://dpmzos25m8ivg.cloudfront.net/Documentos/631/42431807843/6314243180784311092023165800.pdf")</f>
        <v>https://dpmzos25m8ivg.cloudfront.net/Documentos/631/42431807843/6314243180784311092023165800.pdf</v>
      </c>
      <c r="G6780" s="5" t="str">
        <f>HYPERLINK("https://dpmzos25m8ivg.cloudfront.net/Documentos/631/42431807843/6314243180784311092023165816.pdf","https://dpmzos25m8ivg.cloudfront.net/Documentos/631/42431807843/6314243180784311092023165816.pdf")</f>
        <v>https://dpmzos25m8ivg.cloudfront.net/Documentos/631/42431807843/6314243180784311092023165816.pdf</v>
      </c>
      <c r="H6780" s="5" t="s">
        <v>15350</v>
      </c>
    </row>
    <row r="6781" spans="1:8" x14ac:dyDescent="0.25">
      <c r="A6781" s="2" t="s">
        <v>6808</v>
      </c>
      <c r="B6781" s="3"/>
      <c r="C6781" s="3"/>
      <c r="D6781" s="3"/>
      <c r="E6781" s="5" t="str">
        <f>HYPERLINK("https://dpmzos25m8ivg.cloudfront.net/Documentos/631/42452351873/6314245235187313092023144544.jpeg","https://dpmzos25m8ivg.cloudfront.net/Documentos/631/42452351873/6314245235187313092023144544.jpeg")</f>
        <v>https://dpmzos25m8ivg.cloudfront.net/Documentos/631/42452351873/6314245235187313092023144544.jpeg</v>
      </c>
      <c r="F6781" s="5" t="str">
        <f>HYPERLINK("https://dpmzos25m8ivg.cloudfront.net/Documentos/631/42452351873/6314245235187313092023144554.jpeg","https://dpmzos25m8ivg.cloudfront.net/Documentos/631/42452351873/6314245235187313092023144554.jpeg")</f>
        <v>https://dpmzos25m8ivg.cloudfront.net/Documentos/631/42452351873/6314245235187313092023144554.jpeg</v>
      </c>
      <c r="G6781" s="5" t="str">
        <f>HYPERLINK("https://dpmzos25m8ivg.cloudfront.net/Documentos/631/42452351873/6314245235187313092023144604.jpeg","https://dpmzos25m8ivg.cloudfront.net/Documentos/631/42452351873/6314245235187313092023144604.jpeg")</f>
        <v>https://dpmzos25m8ivg.cloudfront.net/Documentos/631/42452351873/6314245235187313092023144604.jpeg</v>
      </c>
      <c r="H6781" s="5" t="s">
        <v>15351</v>
      </c>
    </row>
    <row r="6782" spans="1:8" x14ac:dyDescent="0.25">
      <c r="A6782" s="2" t="s">
        <v>6809</v>
      </c>
      <c r="B6782" s="3"/>
      <c r="C6782" s="3"/>
      <c r="D6782" s="3"/>
      <c r="E6782" s="5" t="str">
        <f>HYPERLINK("https://dpmzos25m8ivg.cloudfront.net/Documentos/631/42473314268/6314247331426810092023001108.pdf","https://dpmzos25m8ivg.cloudfront.net/Documentos/631/42473314268/6314247331426810092023001108.pdf")</f>
        <v>https://dpmzos25m8ivg.cloudfront.net/Documentos/631/42473314268/6314247331426810092023001108.pdf</v>
      </c>
      <c r="F6782" s="5" t="str">
        <f>HYPERLINK("https://dpmzos25m8ivg.cloudfront.net/Documentos/631/42473314268/6314247331426810092023001122.pdf","https://dpmzos25m8ivg.cloudfront.net/Documentos/631/42473314268/6314247331426810092023001122.pdf")</f>
        <v>https://dpmzos25m8ivg.cloudfront.net/Documentos/631/42473314268/6314247331426810092023001122.pdf</v>
      </c>
      <c r="G6782" s="5" t="str">
        <f>HYPERLINK("https://dpmzos25m8ivg.cloudfront.net/Documentos/631/42473314268/6314247331426810092023001138.pdf","https://dpmzos25m8ivg.cloudfront.net/Documentos/631/42473314268/6314247331426810092023001138.pdf")</f>
        <v>https://dpmzos25m8ivg.cloudfront.net/Documentos/631/42473314268/6314247331426810092023001138.pdf</v>
      </c>
      <c r="H6782" s="5" t="s">
        <v>15352</v>
      </c>
    </row>
    <row r="6783" spans="1:8" x14ac:dyDescent="0.25">
      <c r="A6783" s="2" t="s">
        <v>6810</v>
      </c>
      <c r="B6783" s="3" t="s">
        <v>42</v>
      </c>
      <c r="C6783" s="3"/>
      <c r="D6783" s="3"/>
      <c r="E6783" s="5" t="str">
        <f>HYPERLINK("https://dpmzos25m8ivg.cloudfront.net/Documentos/631/42476589802/6314247658980205092023222714.jpg","https://dpmzos25m8ivg.cloudfront.net/Documentos/631/42476589802/6314247658980205092023222714.jpg")</f>
        <v>https://dpmzos25m8ivg.cloudfront.net/Documentos/631/42476589802/6314247658980205092023222714.jpg</v>
      </c>
      <c r="F6783" s="5" t="str">
        <f>HYPERLINK("https://dpmzos25m8ivg.cloudfront.net/Documentos/631/42476589802/6314247658980205092023222735.jpg","https://dpmzos25m8ivg.cloudfront.net/Documentos/631/42476589802/6314247658980205092023222735.jpg")</f>
        <v>https://dpmzos25m8ivg.cloudfront.net/Documentos/631/42476589802/6314247658980205092023222735.jpg</v>
      </c>
      <c r="G6783" s="5" t="str">
        <f>HYPERLINK("https://dpmzos25m8ivg.cloudfront.net/Documentos/631/42476589802/6314247658980205092023222753.jpg","https://dpmzos25m8ivg.cloudfront.net/Documentos/631/42476589802/6314247658980205092023222753.jpg")</f>
        <v>https://dpmzos25m8ivg.cloudfront.net/Documentos/631/42476589802/6314247658980205092023222753.jpg</v>
      </c>
      <c r="H6783" s="5" t="s">
        <v>15353</v>
      </c>
    </row>
    <row r="6784" spans="1:8" x14ac:dyDescent="0.25">
      <c r="A6784" s="2" t="s">
        <v>6811</v>
      </c>
      <c r="B6784" s="3"/>
      <c r="C6784" s="3"/>
      <c r="D6784" s="3"/>
      <c r="E6784" s="5" t="str">
        <f>HYPERLINK("https://dpmzos25m8ivg.cloudfront.net/Documentos/631/42499041803/6314249904180311092023163339.pdf","https://dpmzos25m8ivg.cloudfront.net/Documentos/631/42499041803/6314249904180311092023163339.pdf")</f>
        <v>https://dpmzos25m8ivg.cloudfront.net/Documentos/631/42499041803/6314249904180311092023163339.pdf</v>
      </c>
      <c r="F6784" s="5" t="str">
        <f>HYPERLINK("https://dpmzos25m8ivg.cloudfront.net/Documentos/631/42499041803/6314249904180311092023163400.pdf","https://dpmzos25m8ivg.cloudfront.net/Documentos/631/42499041803/6314249904180311092023163400.pdf")</f>
        <v>https://dpmzos25m8ivg.cloudfront.net/Documentos/631/42499041803/6314249904180311092023163400.pdf</v>
      </c>
      <c r="G6784" s="5" t="str">
        <f>HYPERLINK("https://dpmzos25m8ivg.cloudfront.net/Documentos/631/42499041803/6314249904180311092023163415.pdf","https://dpmzos25m8ivg.cloudfront.net/Documentos/631/42499041803/6314249904180311092023163415.pdf")</f>
        <v>https://dpmzos25m8ivg.cloudfront.net/Documentos/631/42499041803/6314249904180311092023163415.pdf</v>
      </c>
      <c r="H6784" s="5" t="s">
        <v>15354</v>
      </c>
    </row>
    <row r="6785" spans="1:8" x14ac:dyDescent="0.25">
      <c r="A6785" s="2" t="s">
        <v>6812</v>
      </c>
      <c r="B6785" s="3"/>
      <c r="C6785" s="3"/>
      <c r="D6785" s="3"/>
      <c r="E6785" s="5" t="str">
        <f>HYPERLINK("https://dpmzos25m8ivg.cloudfront.net/Documentos/631/42525152549/6314252515254908092023180038.jpg","https://dpmzos25m8ivg.cloudfront.net/Documentos/631/42525152549/6314252515254908092023180038.jpg")</f>
        <v>https://dpmzos25m8ivg.cloudfront.net/Documentos/631/42525152549/6314252515254908092023180038.jpg</v>
      </c>
      <c r="F6785" s="5" t="str">
        <f>HYPERLINK("https://dpmzos25m8ivg.cloudfront.net/Documentos/631/42525152549/6314252515254908092023180554.jpg","https://dpmzos25m8ivg.cloudfront.net/Documentos/631/42525152549/6314252515254908092023180554.jpg")</f>
        <v>https://dpmzos25m8ivg.cloudfront.net/Documentos/631/42525152549/6314252515254908092023180554.jpg</v>
      </c>
      <c r="G6785" s="5" t="str">
        <f>HYPERLINK("https://dpmzos25m8ivg.cloudfront.net/Documentos/631/42525152549/6314252515254908092023180621.jpg","https://dpmzos25m8ivg.cloudfront.net/Documentos/631/42525152549/6314252515254908092023180621.jpg")</f>
        <v>https://dpmzos25m8ivg.cloudfront.net/Documentos/631/42525152549/6314252515254908092023180621.jpg</v>
      </c>
      <c r="H6785" s="5" t="s">
        <v>15355</v>
      </c>
    </row>
    <row r="6786" spans="1:8" x14ac:dyDescent="0.25">
      <c r="A6786" s="2" t="s">
        <v>6813</v>
      </c>
      <c r="B6786" s="3"/>
      <c r="C6786" s="3"/>
      <c r="D6786" s="3"/>
      <c r="E6786" s="5" t="str">
        <f>HYPERLINK("https://dpmzos25m8ivg.cloudfront.net/Documentos/631/42545969877/6314254596987713092023171012.pdf","https://dpmzos25m8ivg.cloudfront.net/Documentos/631/42545969877/6314254596987713092023171012.pdf")</f>
        <v>https://dpmzos25m8ivg.cloudfront.net/Documentos/631/42545969877/6314254596987713092023171012.pdf</v>
      </c>
      <c r="F6786" s="5" t="str">
        <f>HYPERLINK("https://dpmzos25m8ivg.cloudfront.net/Documentos/631/42545969877/6314254596987713092023171025.pdf","https://dpmzos25m8ivg.cloudfront.net/Documentos/631/42545969877/6314254596987713092023171025.pdf")</f>
        <v>https://dpmzos25m8ivg.cloudfront.net/Documentos/631/42545969877/6314254596987713092023171025.pdf</v>
      </c>
      <c r="G6786" s="5" t="str">
        <f>HYPERLINK("https://dpmzos25m8ivg.cloudfront.net/Documentos/631/42545969877/6314254596987713092023171037.pdf","https://dpmzos25m8ivg.cloudfront.net/Documentos/631/42545969877/6314254596987713092023171037.pdf")</f>
        <v>https://dpmzos25m8ivg.cloudfront.net/Documentos/631/42545969877/6314254596987713092023171037.pdf</v>
      </c>
      <c r="H6786" s="5" t="s">
        <v>15356</v>
      </c>
    </row>
    <row r="6787" spans="1:8" x14ac:dyDescent="0.25">
      <c r="A6787" s="2" t="s">
        <v>6814</v>
      </c>
      <c r="B6787" s="3"/>
      <c r="C6787" s="3"/>
      <c r="D6787" s="3"/>
      <c r="E6787" s="5" t="str">
        <f>HYPERLINK("https://dpmzos25m8ivg.cloudfront.net/Documentos/631/42548306291/6314254830629109092023133914.pdf","https://dpmzos25m8ivg.cloudfront.net/Documentos/631/42548306291/6314254830629109092023133914.pdf")</f>
        <v>https://dpmzos25m8ivg.cloudfront.net/Documentos/631/42548306291/6314254830629109092023133914.pdf</v>
      </c>
      <c r="F6787" s="5" t="str">
        <f>HYPERLINK("https://dpmzos25m8ivg.cloudfront.net/Documentos/631/42548306291/6314254830629109092023133930.pdf","https://dpmzos25m8ivg.cloudfront.net/Documentos/631/42548306291/6314254830629109092023133930.pdf")</f>
        <v>https://dpmzos25m8ivg.cloudfront.net/Documentos/631/42548306291/6314254830629109092023133930.pdf</v>
      </c>
      <c r="G6787" s="5" t="str">
        <f>HYPERLINK("https://dpmzos25m8ivg.cloudfront.net/Documentos/631/42548306291/6314254830629109092023133951.pdf","https://dpmzos25m8ivg.cloudfront.net/Documentos/631/42548306291/6314254830629109092023133951.pdf")</f>
        <v>https://dpmzos25m8ivg.cloudfront.net/Documentos/631/42548306291/6314254830629109092023133951.pdf</v>
      </c>
      <c r="H6787" s="5" t="s">
        <v>15357</v>
      </c>
    </row>
    <row r="6788" spans="1:8" x14ac:dyDescent="0.25">
      <c r="A6788" s="2" t="s">
        <v>6815</v>
      </c>
      <c r="B6788" s="3"/>
      <c r="C6788" s="3"/>
      <c r="D6788" s="3"/>
      <c r="E6788" s="5" t="str">
        <f>HYPERLINK("https://dpmzos25m8ivg.cloudfront.net/Documentos/631/42553503881/6314255350388110092023123506.pdf","https://dpmzos25m8ivg.cloudfront.net/Documentos/631/42553503881/6314255350388110092023123506.pdf")</f>
        <v>https://dpmzos25m8ivg.cloudfront.net/Documentos/631/42553503881/6314255350388110092023123506.pdf</v>
      </c>
      <c r="F6788" s="5" t="str">
        <f>HYPERLINK("https://dpmzos25m8ivg.cloudfront.net/Documentos/631/42553503881/6314255350388110092023123518.pdf","https://dpmzos25m8ivg.cloudfront.net/Documentos/631/42553503881/6314255350388110092023123518.pdf")</f>
        <v>https://dpmzos25m8ivg.cloudfront.net/Documentos/631/42553503881/6314255350388110092023123518.pdf</v>
      </c>
      <c r="G6788" s="5" t="str">
        <f>HYPERLINK("https://dpmzos25m8ivg.cloudfront.net/Documentos/631/42553503881/6314255350388110092023123548.pdf","https://dpmzos25m8ivg.cloudfront.net/Documentos/631/42553503881/6314255350388110092023123548.pdf")</f>
        <v>https://dpmzos25m8ivg.cloudfront.net/Documentos/631/42553503881/6314255350388110092023123548.pdf</v>
      </c>
      <c r="H6788" s="5" t="s">
        <v>15358</v>
      </c>
    </row>
    <row r="6789" spans="1:8" x14ac:dyDescent="0.25">
      <c r="A6789" s="2" t="s">
        <v>6816</v>
      </c>
      <c r="B6789" s="3"/>
      <c r="C6789" s="3"/>
      <c r="D6789" s="3"/>
      <c r="E6789" s="5" t="str">
        <f>HYPERLINK("https://dpmzos25m8ivg.cloudfront.net/Documentos/631/42559421100/6314255942110011092023150028.pdf","https://dpmzos25m8ivg.cloudfront.net/Documentos/631/42559421100/6314255942110011092023150028.pdf")</f>
        <v>https://dpmzos25m8ivg.cloudfront.net/Documentos/631/42559421100/6314255942110011092023150028.pdf</v>
      </c>
      <c r="F6789" s="5" t="str">
        <f>HYPERLINK("https://dpmzos25m8ivg.cloudfront.net/Documentos/631/42559421100/6314255942110011092023150102.pdf","https://dpmzos25m8ivg.cloudfront.net/Documentos/631/42559421100/6314255942110011092023150102.pdf")</f>
        <v>https://dpmzos25m8ivg.cloudfront.net/Documentos/631/42559421100/6314255942110011092023150102.pdf</v>
      </c>
      <c r="G6789" s="5" t="str">
        <f>HYPERLINK("https://dpmzos25m8ivg.cloudfront.net/Documentos/631/42559421100/6314255942110011092023150130.pdf","https://dpmzos25m8ivg.cloudfront.net/Documentos/631/42559421100/6314255942110011092023150130.pdf")</f>
        <v>https://dpmzos25m8ivg.cloudfront.net/Documentos/631/42559421100/6314255942110011092023150130.pdf</v>
      </c>
      <c r="H6789" s="5" t="s">
        <v>15359</v>
      </c>
    </row>
    <row r="6790" spans="1:8" x14ac:dyDescent="0.25">
      <c r="A6790" s="2" t="s">
        <v>6817</v>
      </c>
      <c r="B6790" s="3" t="s">
        <v>8</v>
      </c>
      <c r="C6790" s="3"/>
      <c r="D6790" s="3"/>
      <c r="E6790" s="5" t="str">
        <f>HYPERLINK("https://dpmzos25m8ivg.cloudfront.net/Documentos/631/42606874846/6314260687484611092023162645.pdf","https://dpmzos25m8ivg.cloudfront.net/Documentos/631/42606874846/6314260687484611092023162645.pdf")</f>
        <v>https://dpmzos25m8ivg.cloudfront.net/Documentos/631/42606874846/6314260687484611092023162645.pdf</v>
      </c>
      <c r="F6790" s="5" t="str">
        <f>HYPERLINK("https://dpmzos25m8ivg.cloudfront.net/Documentos/631/42606874846/6314260687484611092023162752.pdf","https://dpmzos25m8ivg.cloudfront.net/Documentos/631/42606874846/6314260687484611092023162752.pdf")</f>
        <v>https://dpmzos25m8ivg.cloudfront.net/Documentos/631/42606874846/6314260687484611092023162752.pdf</v>
      </c>
      <c r="G6790" s="5" t="str">
        <f>HYPERLINK("https://dpmzos25m8ivg.cloudfront.net/Documentos/631/42606874846/6314260687484611092023162813.pdf","https://dpmzos25m8ivg.cloudfront.net/Documentos/631/42606874846/6314260687484611092023162813.pdf")</f>
        <v>https://dpmzos25m8ivg.cloudfront.net/Documentos/631/42606874846/6314260687484611092023162813.pdf</v>
      </c>
      <c r="H6790" s="5" t="s">
        <v>15360</v>
      </c>
    </row>
    <row r="6791" spans="1:8" x14ac:dyDescent="0.25">
      <c r="A6791" s="2" t="s">
        <v>6818</v>
      </c>
      <c r="B6791" s="3"/>
      <c r="C6791" s="3"/>
      <c r="D6791" s="3"/>
      <c r="E6791" s="5" t="str">
        <f>HYPERLINK("https://dpmzos25m8ivg.cloudfront.net/Documentos/631/42614473200/6314261447320006092023004339.pdf","https://dpmzos25m8ivg.cloudfront.net/Documentos/631/42614473200/6314261447320006092023004339.pdf")</f>
        <v>https://dpmzos25m8ivg.cloudfront.net/Documentos/631/42614473200/6314261447320006092023004339.pdf</v>
      </c>
      <c r="F6791" s="5" t="str">
        <f>HYPERLINK("https://dpmzos25m8ivg.cloudfront.net/Documentos/631/42614473200/6314261447320006092023004507.pdf","https://dpmzos25m8ivg.cloudfront.net/Documentos/631/42614473200/6314261447320006092023004507.pdf")</f>
        <v>https://dpmzos25m8ivg.cloudfront.net/Documentos/631/42614473200/6314261447320006092023004507.pdf</v>
      </c>
      <c r="G6791" s="5" t="str">
        <f>HYPERLINK("https://dpmzos25m8ivg.cloudfront.net/Documentos/631/42614473200/6314261447320006092023004533.pdf","https://dpmzos25m8ivg.cloudfront.net/Documentos/631/42614473200/6314261447320006092023004533.pdf")</f>
        <v>https://dpmzos25m8ivg.cloudfront.net/Documentos/631/42614473200/6314261447320006092023004533.pdf</v>
      </c>
      <c r="H6791" s="5" t="s">
        <v>15361</v>
      </c>
    </row>
    <row r="6792" spans="1:8" x14ac:dyDescent="0.25">
      <c r="A6792" s="2" t="s">
        <v>6819</v>
      </c>
      <c r="B6792" s="3"/>
      <c r="C6792" s="3"/>
      <c r="D6792" s="3"/>
      <c r="E6792" s="5" t="str">
        <f>HYPERLINK("https://dpmzos25m8ivg.cloudfront.net/Documentos/631/42642392813/6314264239281305092023192400.jpg","https://dpmzos25m8ivg.cloudfront.net/Documentos/631/42642392813/6314264239281305092023192400.jpg")</f>
        <v>https://dpmzos25m8ivg.cloudfront.net/Documentos/631/42642392813/6314264239281305092023192400.jpg</v>
      </c>
      <c r="F6792" s="5" t="str">
        <f>HYPERLINK("https://dpmzos25m8ivg.cloudfront.net/Documentos/631/42642392813/6314264239281305092023192430.jpg","https://dpmzos25m8ivg.cloudfront.net/Documentos/631/42642392813/6314264239281305092023192430.jpg")</f>
        <v>https://dpmzos25m8ivg.cloudfront.net/Documentos/631/42642392813/6314264239281305092023192430.jpg</v>
      </c>
      <c r="G6792" s="5" t="str">
        <f>HYPERLINK("https://dpmzos25m8ivg.cloudfront.net/Documentos/631/42642392813/6314264239281305092023192457.jpg","https://dpmzos25m8ivg.cloudfront.net/Documentos/631/42642392813/6314264239281305092023192457.jpg")</f>
        <v>https://dpmzos25m8ivg.cloudfront.net/Documentos/631/42642392813/6314264239281305092023192457.jpg</v>
      </c>
      <c r="H6792" s="5" t="s">
        <v>15362</v>
      </c>
    </row>
    <row r="6793" spans="1:8" x14ac:dyDescent="0.25">
      <c r="A6793" s="2" t="s">
        <v>6820</v>
      </c>
      <c r="B6793" s="3"/>
      <c r="C6793" s="3"/>
      <c r="D6793" s="3"/>
      <c r="E6793" s="5" t="str">
        <f>HYPERLINK("https://dpmzos25m8ivg.cloudfront.net/Documentos/631/42666861880/6314266686188011092023150441.pdf","https://dpmzos25m8ivg.cloudfront.net/Documentos/631/42666861880/6314266686188011092023150441.pdf")</f>
        <v>https://dpmzos25m8ivg.cloudfront.net/Documentos/631/42666861880/6314266686188011092023150441.pdf</v>
      </c>
      <c r="F6793" s="5" t="str">
        <f>HYPERLINK("https://dpmzos25m8ivg.cloudfront.net/Documentos/631/42666861880/6314266686188011092023150452.pdf","https://dpmzos25m8ivg.cloudfront.net/Documentos/631/42666861880/6314266686188011092023150452.pdf")</f>
        <v>https://dpmzos25m8ivg.cloudfront.net/Documentos/631/42666861880/6314266686188011092023150452.pdf</v>
      </c>
      <c r="G6793" s="5" t="str">
        <f>HYPERLINK("https://dpmzos25m8ivg.cloudfront.net/Documentos/631/42666861880/6314266686188011092023150502.pdf","https://dpmzos25m8ivg.cloudfront.net/Documentos/631/42666861880/6314266686188011092023150502.pdf")</f>
        <v>https://dpmzos25m8ivg.cloudfront.net/Documentos/631/42666861880/6314266686188011092023150502.pdf</v>
      </c>
      <c r="H6793" s="5" t="s">
        <v>15363</v>
      </c>
    </row>
    <row r="6794" spans="1:8" x14ac:dyDescent="0.25">
      <c r="A6794" s="2" t="s">
        <v>6821</v>
      </c>
      <c r="B6794" s="3"/>
      <c r="C6794" s="3"/>
      <c r="D6794" s="3"/>
      <c r="E6794" s="5" t="str">
        <f>HYPERLINK("https://dpmzos25m8ivg.cloudfront.net/Documentos/631/42698931841/6314269893184111092023165814.jpg","https://dpmzos25m8ivg.cloudfront.net/Documentos/631/42698931841/6314269893184111092023165814.jpg")</f>
        <v>https://dpmzos25m8ivg.cloudfront.net/Documentos/631/42698931841/6314269893184111092023165814.jpg</v>
      </c>
      <c r="F6794" s="5" t="str">
        <f>HYPERLINK("https://dpmzos25m8ivg.cloudfront.net/Documentos/631/42698931841/6314269893184111092023165823.jpg","https://dpmzos25m8ivg.cloudfront.net/Documentos/631/42698931841/6314269893184111092023165823.jpg")</f>
        <v>https://dpmzos25m8ivg.cloudfront.net/Documentos/631/42698931841/6314269893184111092023165823.jpg</v>
      </c>
      <c r="G6794" s="5" t="str">
        <f>HYPERLINK("https://dpmzos25m8ivg.cloudfront.net/Documentos/631/42698931841/6314269893184111092023165833.jpg","https://dpmzos25m8ivg.cloudfront.net/Documentos/631/42698931841/6314269893184111092023165833.jpg")</f>
        <v>https://dpmzos25m8ivg.cloudfront.net/Documentos/631/42698931841/6314269893184111092023165833.jpg</v>
      </c>
      <c r="H6794" s="5" t="s">
        <v>15364</v>
      </c>
    </row>
    <row r="6795" spans="1:8" x14ac:dyDescent="0.25">
      <c r="A6795" s="2" t="s">
        <v>6822</v>
      </c>
      <c r="B6795" s="3"/>
      <c r="C6795" s="3"/>
      <c r="D6795" s="3"/>
      <c r="E6795" s="5" t="str">
        <f>HYPERLINK("https://dpmzos25m8ivg.cloudfront.net/Documentos/631/42719255866/6314271925586611092023135053.jpg","https://dpmzos25m8ivg.cloudfront.net/Documentos/631/42719255866/6314271925586611092023135053.jpg")</f>
        <v>https://dpmzos25m8ivg.cloudfront.net/Documentos/631/42719255866/6314271925586611092023135053.jpg</v>
      </c>
      <c r="F6795" s="5" t="str">
        <f>HYPERLINK("https://dpmzos25m8ivg.cloudfront.net/Documentos/631/42719255866/6314271925586611092023135101.jpg","https://dpmzos25m8ivg.cloudfront.net/Documentos/631/42719255866/6314271925586611092023135101.jpg")</f>
        <v>https://dpmzos25m8ivg.cloudfront.net/Documentos/631/42719255866/6314271925586611092023135101.jpg</v>
      </c>
      <c r="G6795" s="5" t="str">
        <f>HYPERLINK("https://dpmzos25m8ivg.cloudfront.net/Documentos/631/42719255866/6314271925586611092023135110.jpg","https://dpmzos25m8ivg.cloudfront.net/Documentos/631/42719255866/6314271925586611092023135110.jpg")</f>
        <v>https://dpmzos25m8ivg.cloudfront.net/Documentos/631/42719255866/6314271925586611092023135110.jpg</v>
      </c>
      <c r="H6795" s="5" t="s">
        <v>15365</v>
      </c>
    </row>
    <row r="6796" spans="1:8" x14ac:dyDescent="0.25">
      <c r="A6796" s="2" t="s">
        <v>6823</v>
      </c>
      <c r="B6796" s="3"/>
      <c r="C6796" s="3"/>
      <c r="D6796" s="3"/>
      <c r="E6796" s="5" t="str">
        <f>HYPERLINK("https://dpmzos25m8ivg.cloudfront.net/Documentos/631/42740318880/6314274031888011092023155242.pdf","https://dpmzos25m8ivg.cloudfront.net/Documentos/631/42740318880/6314274031888011092023155242.pdf")</f>
        <v>https://dpmzos25m8ivg.cloudfront.net/Documentos/631/42740318880/6314274031888011092023155242.pdf</v>
      </c>
      <c r="F6796" s="5" t="str">
        <f>HYPERLINK("https://dpmzos25m8ivg.cloudfront.net/Documentos/631/42740318880/6314274031888011092023155248.pdf","https://dpmzos25m8ivg.cloudfront.net/Documentos/631/42740318880/6314274031888011092023155248.pdf")</f>
        <v>https://dpmzos25m8ivg.cloudfront.net/Documentos/631/42740318880/6314274031888011092023155248.pdf</v>
      </c>
      <c r="G6796" s="5" t="str">
        <f>HYPERLINK("https://dpmzos25m8ivg.cloudfront.net/Documentos/631/42740318880/6314274031888011092023155255.pdf","https://dpmzos25m8ivg.cloudfront.net/Documentos/631/42740318880/6314274031888011092023155255.pdf")</f>
        <v>https://dpmzos25m8ivg.cloudfront.net/Documentos/631/42740318880/6314274031888011092023155255.pdf</v>
      </c>
      <c r="H6796" s="5" t="s">
        <v>15366</v>
      </c>
    </row>
    <row r="6797" spans="1:8" x14ac:dyDescent="0.25">
      <c r="A6797" s="2" t="s">
        <v>6824</v>
      </c>
      <c r="B6797" s="3"/>
      <c r="C6797" s="3"/>
      <c r="D6797" s="3"/>
      <c r="E6797" s="5" t="str">
        <f>HYPERLINK("https://dpmzos25m8ivg.cloudfront.net/Documentos/631/42751521827/6314275152182708092023155407.pdf","https://dpmzos25m8ivg.cloudfront.net/Documentos/631/42751521827/6314275152182708092023155407.pdf")</f>
        <v>https://dpmzos25m8ivg.cloudfront.net/Documentos/631/42751521827/6314275152182708092023155407.pdf</v>
      </c>
      <c r="F6797" s="5" t="str">
        <f>HYPERLINK("https://dpmzos25m8ivg.cloudfront.net/Documentos/631/42751521827/6314275152182708092023155421.pdf","https://dpmzos25m8ivg.cloudfront.net/Documentos/631/42751521827/6314275152182708092023155421.pdf")</f>
        <v>https://dpmzos25m8ivg.cloudfront.net/Documentos/631/42751521827/6314275152182708092023155421.pdf</v>
      </c>
      <c r="G6797" s="5" t="str">
        <f>HYPERLINK("https://dpmzos25m8ivg.cloudfront.net/Documentos/631/42751521827/6314275152182708092023155434.pdf","https://dpmzos25m8ivg.cloudfront.net/Documentos/631/42751521827/6314275152182708092023155434.pdf")</f>
        <v>https://dpmzos25m8ivg.cloudfront.net/Documentos/631/42751521827/6314275152182708092023155434.pdf</v>
      </c>
      <c r="H6797" s="5" t="s">
        <v>15367</v>
      </c>
    </row>
    <row r="6798" spans="1:8" x14ac:dyDescent="0.25">
      <c r="A6798" s="2" t="s">
        <v>6825</v>
      </c>
      <c r="B6798" s="3"/>
      <c r="C6798" s="3"/>
      <c r="D6798" s="3"/>
      <c r="E6798" s="5" t="str">
        <f>HYPERLINK("https://dpmzos25m8ivg.cloudfront.net/Documentos/631/42782724134/6314278272413411092023113756.jpg","https://dpmzos25m8ivg.cloudfront.net/Documentos/631/42782724134/6314278272413411092023113756.jpg")</f>
        <v>https://dpmzos25m8ivg.cloudfront.net/Documentos/631/42782724134/6314278272413411092023113756.jpg</v>
      </c>
      <c r="F6798" s="5" t="str">
        <f>HYPERLINK("https://dpmzos25m8ivg.cloudfront.net/Documentos/631/42782724134/6314278272413411092023113823.jpg","https://dpmzos25m8ivg.cloudfront.net/Documentos/631/42782724134/6314278272413411092023113823.jpg")</f>
        <v>https://dpmzos25m8ivg.cloudfront.net/Documentos/631/42782724134/6314278272413411092023113823.jpg</v>
      </c>
      <c r="G6798" s="5" t="str">
        <f>HYPERLINK("https://dpmzos25m8ivg.cloudfront.net/Documentos/631/42782724134/6314278272413411092023113844.jpg","https://dpmzos25m8ivg.cloudfront.net/Documentos/631/42782724134/6314278272413411092023113844.jpg")</f>
        <v>https://dpmzos25m8ivg.cloudfront.net/Documentos/631/42782724134/6314278272413411092023113844.jpg</v>
      </c>
      <c r="H6798" s="5" t="s">
        <v>15368</v>
      </c>
    </row>
    <row r="6799" spans="1:8" x14ac:dyDescent="0.25">
      <c r="A6799" s="2" t="s">
        <v>6826</v>
      </c>
      <c r="B6799" s="3"/>
      <c r="C6799" s="3"/>
      <c r="D6799" s="3"/>
      <c r="E6799" s="5" t="str">
        <f>HYPERLINK("https://dpmzos25m8ivg.cloudfront.net/Documentos/631/42803445824/6314280344582411092023032009.jpg","https://dpmzos25m8ivg.cloudfront.net/Documentos/631/42803445824/6314280344582411092023032009.jpg")</f>
        <v>https://dpmzos25m8ivg.cloudfront.net/Documentos/631/42803445824/6314280344582411092023032009.jpg</v>
      </c>
      <c r="F6799" s="5" t="str">
        <f>HYPERLINK("https://dpmzos25m8ivg.cloudfront.net/Documentos/631/42803445824/6314280344582411092023032037.jpg","https://dpmzos25m8ivg.cloudfront.net/Documentos/631/42803445824/6314280344582411092023032037.jpg")</f>
        <v>https://dpmzos25m8ivg.cloudfront.net/Documentos/631/42803445824/6314280344582411092023032037.jpg</v>
      </c>
      <c r="G6799" s="5" t="str">
        <f>HYPERLINK("https://dpmzos25m8ivg.cloudfront.net/Documentos/631/42803445824/6314280344582411092023032147.jpg","https://dpmzos25m8ivg.cloudfront.net/Documentos/631/42803445824/6314280344582411092023032147.jpg")</f>
        <v>https://dpmzos25m8ivg.cloudfront.net/Documentos/631/42803445824/6314280344582411092023032147.jpg</v>
      </c>
      <c r="H6799" s="5" t="s">
        <v>15369</v>
      </c>
    </row>
    <row r="6800" spans="1:8" x14ac:dyDescent="0.25">
      <c r="A6800" s="2" t="s">
        <v>6827</v>
      </c>
      <c r="B6800" s="3"/>
      <c r="C6800" s="3"/>
      <c r="D6800" s="3"/>
      <c r="E6800" s="5" t="str">
        <f>HYPERLINK("https://dpmzos25m8ivg.cloudfront.net/Documentos/631/42815408813/6314281540881309092023130008.jpg","https://dpmzos25m8ivg.cloudfront.net/Documentos/631/42815408813/6314281540881309092023130008.jpg")</f>
        <v>https://dpmzos25m8ivg.cloudfront.net/Documentos/631/42815408813/6314281540881309092023130008.jpg</v>
      </c>
      <c r="F6800" s="5" t="str">
        <f>HYPERLINK("https://dpmzos25m8ivg.cloudfront.net/Documentos/631/42815408813/6314281540881309092023130018.jpg","https://dpmzos25m8ivg.cloudfront.net/Documentos/631/42815408813/6314281540881309092023130018.jpg")</f>
        <v>https://dpmzos25m8ivg.cloudfront.net/Documentos/631/42815408813/6314281540881309092023130018.jpg</v>
      </c>
      <c r="G6800" s="5" t="str">
        <f>HYPERLINK("https://dpmzos25m8ivg.cloudfront.net/Documentos/631/42815408813/6314281540881309092023130031.jpg","https://dpmzos25m8ivg.cloudfront.net/Documentos/631/42815408813/6314281540881309092023130031.jpg")</f>
        <v>https://dpmzos25m8ivg.cloudfront.net/Documentos/631/42815408813/6314281540881309092023130031.jpg</v>
      </c>
      <c r="H6800" s="5" t="s">
        <v>15370</v>
      </c>
    </row>
    <row r="6801" spans="1:8" x14ac:dyDescent="0.25">
      <c r="A6801" s="2" t="s">
        <v>6828</v>
      </c>
      <c r="B6801" s="3"/>
      <c r="C6801" s="3"/>
      <c r="D6801" s="3"/>
      <c r="E6801" s="5" t="str">
        <f>HYPERLINK("https://dpmzos25m8ivg.cloudfront.net/Documentos/631/42816580687/6314281658068711092023160507.pdf","https://dpmzos25m8ivg.cloudfront.net/Documentos/631/42816580687/6314281658068711092023160507.pdf")</f>
        <v>https://dpmzos25m8ivg.cloudfront.net/Documentos/631/42816580687/6314281658068711092023160507.pdf</v>
      </c>
      <c r="F6801" s="5" t="str">
        <f>HYPERLINK("https://dpmzos25m8ivg.cloudfront.net/Documentos/631/42816580687/6314281658068711092023160529.pdf","https://dpmzos25m8ivg.cloudfront.net/Documentos/631/42816580687/6314281658068711092023160529.pdf")</f>
        <v>https://dpmzos25m8ivg.cloudfront.net/Documentos/631/42816580687/6314281658068711092023160529.pdf</v>
      </c>
      <c r="G6801" s="5" t="str">
        <f>HYPERLINK("https://dpmzos25m8ivg.cloudfront.net/Documentos/631/42816580687/6314281658068711092023160555.pdf","https://dpmzos25m8ivg.cloudfront.net/Documentos/631/42816580687/6314281658068711092023160555.pdf")</f>
        <v>https://dpmzos25m8ivg.cloudfront.net/Documentos/631/42816580687/6314281658068711092023160555.pdf</v>
      </c>
      <c r="H6801" s="5" t="s">
        <v>15371</v>
      </c>
    </row>
    <row r="6802" spans="1:8" x14ac:dyDescent="0.25">
      <c r="A6802" s="2" t="s">
        <v>6829</v>
      </c>
      <c r="B6802" s="3"/>
      <c r="C6802" s="3"/>
      <c r="D6802" s="3"/>
      <c r="E6802" s="5" t="str">
        <f>HYPERLINK("https://dpmzos25m8ivg.cloudfront.net/Documentos/631/42824888830/6314282488883011092023163012.jpg","https://dpmzos25m8ivg.cloudfront.net/Documentos/631/42824888830/6314282488883011092023163012.jpg")</f>
        <v>https://dpmzos25m8ivg.cloudfront.net/Documentos/631/42824888830/6314282488883011092023163012.jpg</v>
      </c>
      <c r="F6802" s="5" t="str">
        <f>HYPERLINK("https://dpmzos25m8ivg.cloudfront.net/Documentos/631/42824888830/6314282488883011092023163044.jpg","https://dpmzos25m8ivg.cloudfront.net/Documentos/631/42824888830/6314282488883011092023163044.jpg")</f>
        <v>https://dpmzos25m8ivg.cloudfront.net/Documentos/631/42824888830/6314282488883011092023163044.jpg</v>
      </c>
      <c r="G6802" s="5" t="str">
        <f>HYPERLINK("https://dpmzos25m8ivg.cloudfront.net/Documentos/631/42824888830/6314282488883011092023163122.jpg","https://dpmzos25m8ivg.cloudfront.net/Documentos/631/42824888830/6314282488883011092023163122.jpg")</f>
        <v>https://dpmzos25m8ivg.cloudfront.net/Documentos/631/42824888830/6314282488883011092023163122.jpg</v>
      </c>
      <c r="H6802" s="5" t="s">
        <v>15372</v>
      </c>
    </row>
    <row r="6803" spans="1:8" x14ac:dyDescent="0.25">
      <c r="A6803" s="2" t="s">
        <v>6830</v>
      </c>
      <c r="B6803" s="3"/>
      <c r="C6803" s="3"/>
      <c r="D6803" s="3"/>
      <c r="E6803" s="5" t="str">
        <f>HYPERLINK("https://dpmzos25m8ivg.cloudfront.net/Documentos/631/42854440544/6314285444054406092023075503.pdf","https://dpmzos25m8ivg.cloudfront.net/Documentos/631/42854440544/6314285444054406092023075503.pdf")</f>
        <v>https://dpmzos25m8ivg.cloudfront.net/Documentos/631/42854440544/6314285444054406092023075503.pdf</v>
      </c>
      <c r="F6803" s="5" t="str">
        <f>HYPERLINK("https://dpmzos25m8ivg.cloudfront.net/Documentos/631/42854440544/6314285444054406092023075607.pdf","https://dpmzos25m8ivg.cloudfront.net/Documentos/631/42854440544/6314285444054406092023075607.pdf")</f>
        <v>https://dpmzos25m8ivg.cloudfront.net/Documentos/631/42854440544/6314285444054406092023075607.pdf</v>
      </c>
      <c r="G6803" s="5" t="str">
        <f>HYPERLINK("https://dpmzos25m8ivg.cloudfront.net/Documentos/631/42854440544/6314285444054406092023075633.pdf","https://dpmzos25m8ivg.cloudfront.net/Documentos/631/42854440544/6314285444054406092023075633.pdf")</f>
        <v>https://dpmzos25m8ivg.cloudfront.net/Documentos/631/42854440544/6314285444054406092023075633.pdf</v>
      </c>
      <c r="H6803" s="5" t="s">
        <v>15373</v>
      </c>
    </row>
    <row r="6804" spans="1:8" x14ac:dyDescent="0.25">
      <c r="A6804" s="2" t="s">
        <v>6831</v>
      </c>
      <c r="B6804" s="3"/>
      <c r="C6804" s="3"/>
      <c r="D6804" s="3"/>
      <c r="E6804" s="5" t="str">
        <f>HYPERLINK("https://dpmzos25m8ivg.cloudfront.net/Documentos/631/42859480870/6314285948087011092023121959.pdf","https://dpmzos25m8ivg.cloudfront.net/Documentos/631/42859480870/6314285948087011092023121959.pdf")</f>
        <v>https://dpmzos25m8ivg.cloudfront.net/Documentos/631/42859480870/6314285948087011092023121959.pdf</v>
      </c>
      <c r="F6804" s="5" t="str">
        <f>HYPERLINK("https://dpmzos25m8ivg.cloudfront.net/Documentos/631/42859480870/6314285948087011092023122007.pdf","https://dpmzos25m8ivg.cloudfront.net/Documentos/631/42859480870/6314285948087011092023122007.pdf")</f>
        <v>https://dpmzos25m8ivg.cloudfront.net/Documentos/631/42859480870/6314285948087011092023122007.pdf</v>
      </c>
      <c r="G6804" s="5" t="str">
        <f>HYPERLINK("https://dpmzos25m8ivg.cloudfront.net/Documentos/631/42859480870/6314285948087011092023122016.pdf","https://dpmzos25m8ivg.cloudfront.net/Documentos/631/42859480870/6314285948087011092023122016.pdf")</f>
        <v>https://dpmzos25m8ivg.cloudfront.net/Documentos/631/42859480870/6314285948087011092023122016.pdf</v>
      </c>
      <c r="H6804" s="5" t="s">
        <v>15374</v>
      </c>
    </row>
    <row r="6805" spans="1:8" x14ac:dyDescent="0.25">
      <c r="A6805" s="2" t="s">
        <v>6832</v>
      </c>
      <c r="B6805" s="3"/>
      <c r="C6805" s="3"/>
      <c r="D6805" s="3"/>
      <c r="E6805" s="5" t="str">
        <f>HYPERLINK("https://dpmzos25m8ivg.cloudfront.net/Documentos/631/42862744387/6314286274438711092023123009.pdf","https://dpmzos25m8ivg.cloudfront.net/Documentos/631/42862744387/6314286274438711092023123009.pdf")</f>
        <v>https://dpmzos25m8ivg.cloudfront.net/Documentos/631/42862744387/6314286274438711092023123009.pdf</v>
      </c>
      <c r="F6805" s="5" t="str">
        <f>HYPERLINK("https://dpmzos25m8ivg.cloudfront.net/Documentos/631/42862744387/6314286274438711092023123452.pdf","https://dpmzos25m8ivg.cloudfront.net/Documentos/631/42862744387/6314286274438711092023123452.pdf")</f>
        <v>https://dpmzos25m8ivg.cloudfront.net/Documentos/631/42862744387/6314286274438711092023123452.pdf</v>
      </c>
      <c r="G6805" s="5" t="str">
        <f>HYPERLINK("https://dpmzos25m8ivg.cloudfront.net/Documentos/631/42862744387/6314286274438711092023124224.pdf","https://dpmzos25m8ivg.cloudfront.net/Documentos/631/42862744387/6314286274438711092023124224.pdf")</f>
        <v>https://dpmzos25m8ivg.cloudfront.net/Documentos/631/42862744387/6314286274438711092023124224.pdf</v>
      </c>
      <c r="H6805" s="5" t="s">
        <v>15375</v>
      </c>
    </row>
    <row r="6806" spans="1:8" x14ac:dyDescent="0.25">
      <c r="A6806" s="2" t="s">
        <v>6833</v>
      </c>
      <c r="B6806" s="3"/>
      <c r="C6806" s="3"/>
      <c r="D6806" s="3"/>
      <c r="E6806" s="5" t="str">
        <f>HYPERLINK("https://dpmzos25m8ivg.cloudfront.net/Documentos/631/42879272300/6314287927230005092023175439.pdf","https://dpmzos25m8ivg.cloudfront.net/Documentos/631/42879272300/6314287927230005092023175439.pdf")</f>
        <v>https://dpmzos25m8ivg.cloudfront.net/Documentos/631/42879272300/6314287927230005092023175439.pdf</v>
      </c>
      <c r="F6806" s="5" t="str">
        <f>HYPERLINK("https://dpmzos25m8ivg.cloudfront.net/Documentos/631/42879272300/6314287927230005092023175504.pdf","https://dpmzos25m8ivg.cloudfront.net/Documentos/631/42879272300/6314287927230005092023175504.pdf")</f>
        <v>https://dpmzos25m8ivg.cloudfront.net/Documentos/631/42879272300/6314287927230005092023175504.pdf</v>
      </c>
      <c r="G6806" s="5" t="str">
        <f>HYPERLINK("https://dpmzos25m8ivg.cloudfront.net/Documentos/631/42879272300/6314287927230005092023175518.pdf","https://dpmzos25m8ivg.cloudfront.net/Documentos/631/42879272300/6314287927230005092023175518.pdf")</f>
        <v>https://dpmzos25m8ivg.cloudfront.net/Documentos/631/42879272300/6314287927230005092023175518.pdf</v>
      </c>
      <c r="H6806" s="5" t="s">
        <v>15376</v>
      </c>
    </row>
    <row r="6807" spans="1:8" x14ac:dyDescent="0.25">
      <c r="A6807" s="2" t="s">
        <v>6834</v>
      </c>
      <c r="B6807" s="3"/>
      <c r="C6807" s="3"/>
      <c r="D6807" s="3"/>
      <c r="E6807" s="5" t="str">
        <f>HYPERLINK("https://dpmzos25m8ivg.cloudfront.net/Documentos/631/42896140867/6314289614086711092023160730.pdf","https://dpmzos25m8ivg.cloudfront.net/Documentos/631/42896140867/6314289614086711092023160730.pdf")</f>
        <v>https://dpmzos25m8ivg.cloudfront.net/Documentos/631/42896140867/6314289614086711092023160730.pdf</v>
      </c>
      <c r="F6807" s="5" t="str">
        <f>HYPERLINK("https://dpmzos25m8ivg.cloudfront.net/Documentos/631/42896140867/6314289614086711092023160742.pdf","https://dpmzos25m8ivg.cloudfront.net/Documentos/631/42896140867/6314289614086711092023160742.pdf")</f>
        <v>https://dpmzos25m8ivg.cloudfront.net/Documentos/631/42896140867/6314289614086711092023160742.pdf</v>
      </c>
      <c r="G6807" s="5" t="str">
        <f>HYPERLINK("https://dpmzos25m8ivg.cloudfront.net/Documentos/631/42896140867/6314289614086711092023160802.pdf","https://dpmzos25m8ivg.cloudfront.net/Documentos/631/42896140867/6314289614086711092023160802.pdf")</f>
        <v>https://dpmzos25m8ivg.cloudfront.net/Documentos/631/42896140867/6314289614086711092023160802.pdf</v>
      </c>
      <c r="H6807" s="5" t="s">
        <v>15377</v>
      </c>
    </row>
    <row r="6808" spans="1:8" x14ac:dyDescent="0.25">
      <c r="A6808" s="2" t="s">
        <v>6835</v>
      </c>
      <c r="B6808" s="3"/>
      <c r="C6808" s="3"/>
      <c r="D6808" s="3"/>
      <c r="E6808" s="5" t="str">
        <f>HYPERLINK("https://dpmzos25m8ivg.cloudfront.net/Documentos/631/42897610204/6314289761020408092023225124.pdf","https://dpmzos25m8ivg.cloudfront.net/Documentos/631/42897610204/6314289761020408092023225124.pdf")</f>
        <v>https://dpmzos25m8ivg.cloudfront.net/Documentos/631/42897610204/6314289761020408092023225124.pdf</v>
      </c>
      <c r="F6808" s="5" t="str">
        <f>HYPERLINK("https://dpmzos25m8ivg.cloudfront.net/Documentos/631/42897610204/6314289761020408092023225207.pdf","https://dpmzos25m8ivg.cloudfront.net/Documentos/631/42897610204/6314289761020408092023225207.pdf")</f>
        <v>https://dpmzos25m8ivg.cloudfront.net/Documentos/631/42897610204/6314289761020408092023225207.pdf</v>
      </c>
      <c r="G6808" s="5" t="str">
        <f>HYPERLINK("https://dpmzos25m8ivg.cloudfront.net/Documentos/631/42897610204/6314289761020408092023225239.pdf","https://dpmzos25m8ivg.cloudfront.net/Documentos/631/42897610204/6314289761020408092023225239.pdf")</f>
        <v>https://dpmzos25m8ivg.cloudfront.net/Documentos/631/42897610204/6314289761020408092023225239.pdf</v>
      </c>
      <c r="H6808" s="5" t="s">
        <v>15378</v>
      </c>
    </row>
    <row r="6809" spans="1:8" x14ac:dyDescent="0.25">
      <c r="A6809" s="2" t="s">
        <v>6836</v>
      </c>
      <c r="B6809" s="3"/>
      <c r="C6809" s="3"/>
      <c r="D6809" s="3"/>
      <c r="E6809" s="5" t="str">
        <f>HYPERLINK("https://dpmzos25m8ivg.cloudfront.net/Documentos/631/42921058120/6314292105812010092023144204.pdf","https://dpmzos25m8ivg.cloudfront.net/Documentos/631/42921058120/6314292105812010092023144204.pdf")</f>
        <v>https://dpmzos25m8ivg.cloudfront.net/Documentos/631/42921058120/6314292105812010092023144204.pdf</v>
      </c>
      <c r="F6809" s="5" t="str">
        <f>HYPERLINK("https://dpmzos25m8ivg.cloudfront.net/Documentos/631/42921058120/6314292105812010092023144241.pdf","https://dpmzos25m8ivg.cloudfront.net/Documentos/631/42921058120/6314292105812010092023144241.pdf")</f>
        <v>https://dpmzos25m8ivg.cloudfront.net/Documentos/631/42921058120/6314292105812010092023144241.pdf</v>
      </c>
      <c r="G6809" s="5" t="str">
        <f>HYPERLINK("https://dpmzos25m8ivg.cloudfront.net/Documentos/631/42921058120/6314292105812010092023144325.pdf","https://dpmzos25m8ivg.cloudfront.net/Documentos/631/42921058120/6314292105812010092023144325.pdf")</f>
        <v>https://dpmzos25m8ivg.cloudfront.net/Documentos/631/42921058120/6314292105812010092023144325.pdf</v>
      </c>
      <c r="H6809" s="5" t="s">
        <v>15379</v>
      </c>
    </row>
    <row r="6810" spans="1:8" x14ac:dyDescent="0.25">
      <c r="A6810" s="2" t="s">
        <v>6837</v>
      </c>
      <c r="B6810" s="6" t="s">
        <v>23</v>
      </c>
      <c r="C6810" s="3"/>
      <c r="D6810" s="3"/>
      <c r="E6810" s="5" t="str">
        <f>HYPERLINK("https://dpmzos25m8ivg.cloudfront.net/Documentos/631/42966915897/6314296691589705092023191317.pdf","https://dpmzos25m8ivg.cloudfront.net/Documentos/631/42966915897/6314296691589705092023191317.pdf")</f>
        <v>https://dpmzos25m8ivg.cloudfront.net/Documentos/631/42966915897/6314296691589705092023191317.pdf</v>
      </c>
      <c r="F6810" s="5" t="str">
        <f>HYPERLINK("https://dpmzos25m8ivg.cloudfront.net/Documentos/631/42966915897/6314296691589705092023191328.pdf","https://dpmzos25m8ivg.cloudfront.net/Documentos/631/42966915897/6314296691589705092023191328.pdf")</f>
        <v>https://dpmzos25m8ivg.cloudfront.net/Documentos/631/42966915897/6314296691589705092023191328.pdf</v>
      </c>
      <c r="G6810" s="5" t="str">
        <f>HYPERLINK("https://dpmzos25m8ivg.cloudfront.net/Documentos/631/42966915897/6314296691589705092023191346.pdf","https://dpmzos25m8ivg.cloudfront.net/Documentos/631/42966915897/6314296691589705092023191346.pdf")</f>
        <v>https://dpmzos25m8ivg.cloudfront.net/Documentos/631/42966915897/6314296691589705092023191346.pdf</v>
      </c>
      <c r="H6810" s="5" t="s">
        <v>15380</v>
      </c>
    </row>
    <row r="6811" spans="1:8" x14ac:dyDescent="0.25">
      <c r="A6811" s="2" t="s">
        <v>6838</v>
      </c>
      <c r="B6811" s="3"/>
      <c r="C6811" s="3"/>
      <c r="D6811" s="3"/>
      <c r="E6811" s="5" t="str">
        <f>HYPERLINK("https://dpmzos25m8ivg.cloudfront.net/Documentos/631/43025200359/6314302520035911092023132026.pdf","https://dpmzos25m8ivg.cloudfront.net/Documentos/631/43025200359/6314302520035911092023132026.pdf")</f>
        <v>https://dpmzos25m8ivg.cloudfront.net/Documentos/631/43025200359/6314302520035911092023132026.pdf</v>
      </c>
      <c r="F6811" s="5" t="str">
        <f>HYPERLINK("https://dpmzos25m8ivg.cloudfront.net/Documentos/631/43025200359/6314302520035911092023132052.pdf","https://dpmzos25m8ivg.cloudfront.net/Documentos/631/43025200359/6314302520035911092023132052.pdf")</f>
        <v>https://dpmzos25m8ivg.cloudfront.net/Documentos/631/43025200359/6314302520035911092023132052.pdf</v>
      </c>
      <c r="G6811" s="5" t="str">
        <f>HYPERLINK("https://dpmzos25m8ivg.cloudfront.net/Documentos/631/43025200359/6314302520035911092023132252.pdf","https://dpmzos25m8ivg.cloudfront.net/Documentos/631/43025200359/6314302520035911092023132252.pdf")</f>
        <v>https://dpmzos25m8ivg.cloudfront.net/Documentos/631/43025200359/6314302520035911092023132252.pdf</v>
      </c>
      <c r="H6811" s="5" t="s">
        <v>15381</v>
      </c>
    </row>
    <row r="6812" spans="1:8" x14ac:dyDescent="0.25">
      <c r="A6812" s="2" t="s">
        <v>6839</v>
      </c>
      <c r="B6812" s="3"/>
      <c r="C6812" s="3"/>
      <c r="D6812" s="3"/>
      <c r="E6812" s="5" t="str">
        <f>HYPERLINK("https://dpmzos25m8ivg.cloudfront.net/Documentos/631/43027591860/6314302759186005092023152313.pdf","https://dpmzos25m8ivg.cloudfront.net/Documentos/631/43027591860/6314302759186005092023152313.pdf")</f>
        <v>https://dpmzos25m8ivg.cloudfront.net/Documentos/631/43027591860/6314302759186005092023152313.pdf</v>
      </c>
      <c r="F6812" s="5" t="str">
        <f>HYPERLINK("https://dpmzos25m8ivg.cloudfront.net/Documentos/631/43027591860/6314302759186005092023152325.pdf","https://dpmzos25m8ivg.cloudfront.net/Documentos/631/43027591860/6314302759186005092023152325.pdf")</f>
        <v>https://dpmzos25m8ivg.cloudfront.net/Documentos/631/43027591860/6314302759186005092023152325.pdf</v>
      </c>
      <c r="G6812" s="5" t="str">
        <f>HYPERLINK("https://dpmzos25m8ivg.cloudfront.net/Documentos/631/43027591860/6314302759186005092023152336.pdf","https://dpmzos25m8ivg.cloudfront.net/Documentos/631/43027591860/6314302759186005092023152336.pdf")</f>
        <v>https://dpmzos25m8ivg.cloudfront.net/Documentos/631/43027591860/6314302759186005092023152336.pdf</v>
      </c>
      <c r="H6812" s="5" t="s">
        <v>15382</v>
      </c>
    </row>
    <row r="6813" spans="1:8" x14ac:dyDescent="0.25">
      <c r="A6813" s="2" t="s">
        <v>6840</v>
      </c>
      <c r="B6813" s="3"/>
      <c r="C6813" s="3"/>
      <c r="D6813" s="3"/>
      <c r="E6813" s="5" t="str">
        <f>HYPERLINK("https://dpmzos25m8ivg.cloudfront.net/Documentos/631/43063799300/6314306379930008092023093010.pdf","https://dpmzos25m8ivg.cloudfront.net/Documentos/631/43063799300/6314306379930008092023093010.pdf")</f>
        <v>https://dpmzos25m8ivg.cloudfront.net/Documentos/631/43063799300/6314306379930008092023093010.pdf</v>
      </c>
      <c r="F6813" s="5" t="str">
        <f>HYPERLINK("https://dpmzos25m8ivg.cloudfront.net/Documentos/631/43063799300/6314306379930008092023093112.pdf","https://dpmzos25m8ivg.cloudfront.net/Documentos/631/43063799300/6314306379930008092023093112.pdf")</f>
        <v>https://dpmzos25m8ivg.cloudfront.net/Documentos/631/43063799300/6314306379930008092023093112.pdf</v>
      </c>
      <c r="G6813" s="5" t="str">
        <f>HYPERLINK("https://dpmzos25m8ivg.cloudfront.net/Documentos/631/43063799300/6314306379930008092023093129.pdf","https://dpmzos25m8ivg.cloudfront.net/Documentos/631/43063799300/6314306379930008092023093129.pdf")</f>
        <v>https://dpmzos25m8ivg.cloudfront.net/Documentos/631/43063799300/6314306379930008092023093129.pdf</v>
      </c>
      <c r="H6813" s="5" t="s">
        <v>15383</v>
      </c>
    </row>
    <row r="6814" spans="1:8" x14ac:dyDescent="0.25">
      <c r="A6814" s="2" t="s">
        <v>6841</v>
      </c>
      <c r="B6814" s="3"/>
      <c r="C6814" s="3"/>
      <c r="D6814" s="3"/>
      <c r="E6814" s="5" t="str">
        <f>HYPERLINK("https://dpmzos25m8ivg.cloudfront.net/Documentos/631/43089573890/6314308957389008092023164100.jpeg","https://dpmzos25m8ivg.cloudfront.net/Documentos/631/43089573890/6314308957389008092023164100.jpeg")</f>
        <v>https://dpmzos25m8ivg.cloudfront.net/Documentos/631/43089573890/6314308957389008092023164100.jpeg</v>
      </c>
      <c r="F6814" s="5" t="str">
        <f>HYPERLINK("https://dpmzos25m8ivg.cloudfront.net/Documentos/631/43089573890/6314308957389008092023164135.jpeg","https://dpmzos25m8ivg.cloudfront.net/Documentos/631/43089573890/6314308957389008092023164135.jpeg")</f>
        <v>https://dpmzos25m8ivg.cloudfront.net/Documentos/631/43089573890/6314308957389008092023164135.jpeg</v>
      </c>
      <c r="G6814" s="5" t="str">
        <f>HYPERLINK("https://dpmzos25m8ivg.cloudfront.net/Documentos/631/43089573890/6314308957389008092023164149.jpeg","https://dpmzos25m8ivg.cloudfront.net/Documentos/631/43089573890/6314308957389008092023164149.jpeg")</f>
        <v>https://dpmzos25m8ivg.cloudfront.net/Documentos/631/43089573890/6314308957389008092023164149.jpeg</v>
      </c>
      <c r="H6814" s="5" t="s">
        <v>15384</v>
      </c>
    </row>
    <row r="6815" spans="1:8" x14ac:dyDescent="0.25">
      <c r="A6815" s="2" t="s">
        <v>6842</v>
      </c>
      <c r="B6815" s="3"/>
      <c r="C6815" s="3"/>
      <c r="D6815" s="3"/>
      <c r="E6815" s="5" t="str">
        <f>HYPERLINK("https://dpmzos25m8ivg.cloudfront.net/Documentos/631/43091440206/6314309144020611092023150542.jpg","https://dpmzos25m8ivg.cloudfront.net/Documentos/631/43091440206/6314309144020611092023150542.jpg")</f>
        <v>https://dpmzos25m8ivg.cloudfront.net/Documentos/631/43091440206/6314309144020611092023150542.jpg</v>
      </c>
      <c r="F6815" s="5" t="str">
        <f>HYPERLINK("https://dpmzos25m8ivg.cloudfront.net/Documentos/631/43091440206/6314309144020611092023150617.jpg","https://dpmzos25m8ivg.cloudfront.net/Documentos/631/43091440206/6314309144020611092023150617.jpg")</f>
        <v>https://dpmzos25m8ivg.cloudfront.net/Documentos/631/43091440206/6314309144020611092023150617.jpg</v>
      </c>
      <c r="G6815" s="5" t="str">
        <f>HYPERLINK("https://dpmzos25m8ivg.cloudfront.net/Documentos/631/43091440206/6314309144020611092023150634.jpg","https://dpmzos25m8ivg.cloudfront.net/Documentos/631/43091440206/6314309144020611092023150634.jpg")</f>
        <v>https://dpmzos25m8ivg.cloudfront.net/Documentos/631/43091440206/6314309144020611092023150634.jpg</v>
      </c>
      <c r="H6815" s="5" t="s">
        <v>15385</v>
      </c>
    </row>
    <row r="6816" spans="1:8" x14ac:dyDescent="0.25">
      <c r="A6816" s="2" t="s">
        <v>6843</v>
      </c>
      <c r="B6816" s="3"/>
      <c r="C6816" s="3"/>
      <c r="D6816" s="3"/>
      <c r="E6816" s="5" t="str">
        <f>HYPERLINK("https://dpmzos25m8ivg.cloudfront.net/Documentos/631/43094267866/6314309426786611092023135252.pdf","https://dpmzos25m8ivg.cloudfront.net/Documentos/631/43094267866/6314309426786611092023135252.pdf")</f>
        <v>https://dpmzos25m8ivg.cloudfront.net/Documentos/631/43094267866/6314309426786611092023135252.pdf</v>
      </c>
      <c r="F6816" s="5" t="str">
        <f>HYPERLINK("https://dpmzos25m8ivg.cloudfront.net/Documentos/631/43094267866/6314309426786611092023135303.pdf","https://dpmzos25m8ivg.cloudfront.net/Documentos/631/43094267866/6314309426786611092023135303.pdf")</f>
        <v>https://dpmzos25m8ivg.cloudfront.net/Documentos/631/43094267866/6314309426786611092023135303.pdf</v>
      </c>
      <c r="G6816" s="5" t="str">
        <f>HYPERLINK("https://dpmzos25m8ivg.cloudfront.net/Documentos/631/43094267866/6314309426786611092023135317.pdf","https://dpmzos25m8ivg.cloudfront.net/Documentos/631/43094267866/6314309426786611092023135317.pdf")</f>
        <v>https://dpmzos25m8ivg.cloudfront.net/Documentos/631/43094267866/6314309426786611092023135317.pdf</v>
      </c>
      <c r="H6816" s="5" t="s">
        <v>15386</v>
      </c>
    </row>
    <row r="6817" spans="1:8" x14ac:dyDescent="0.25">
      <c r="A6817" s="2" t="s">
        <v>6844</v>
      </c>
      <c r="B6817" s="3"/>
      <c r="C6817" s="3"/>
      <c r="D6817" s="3"/>
      <c r="E6817" s="5" t="str">
        <f>HYPERLINK("https://dpmzos25m8ivg.cloudfront.net/Documentos/631/43106587504/6314310658750405092023155647.pdf","https://dpmzos25m8ivg.cloudfront.net/Documentos/631/43106587504/6314310658750405092023155647.pdf")</f>
        <v>https://dpmzos25m8ivg.cloudfront.net/Documentos/631/43106587504/6314310658750405092023155647.pdf</v>
      </c>
      <c r="F6817" s="5" t="str">
        <f>HYPERLINK("https://dpmzos25m8ivg.cloudfront.net/Documentos/631/43106587504/6314310658750405092023155705.pdf","https://dpmzos25m8ivg.cloudfront.net/Documentos/631/43106587504/6314310658750405092023155705.pdf")</f>
        <v>https://dpmzos25m8ivg.cloudfront.net/Documentos/631/43106587504/6314310658750405092023155705.pdf</v>
      </c>
      <c r="G6817" s="5" t="str">
        <f>HYPERLINK("https://dpmzos25m8ivg.cloudfront.net/Documentos/631/43106587504/6314310658750405092023155724.pdf","https://dpmzos25m8ivg.cloudfront.net/Documentos/631/43106587504/6314310658750405092023155724.pdf")</f>
        <v>https://dpmzos25m8ivg.cloudfront.net/Documentos/631/43106587504/6314310658750405092023155724.pdf</v>
      </c>
      <c r="H6817" s="5" t="s">
        <v>15387</v>
      </c>
    </row>
    <row r="6818" spans="1:8" x14ac:dyDescent="0.25">
      <c r="A6818" s="2" t="s">
        <v>6845</v>
      </c>
      <c r="B6818" s="3" t="s">
        <v>42</v>
      </c>
      <c r="C6818" s="3"/>
      <c r="D6818" s="3"/>
      <c r="E6818" s="5" t="str">
        <f>HYPERLINK("https://dpmzos25m8ivg.cloudfront.net/Documentos/631/43125919894/6314312591989411092023164250.pdf","https://dpmzos25m8ivg.cloudfront.net/Documentos/631/43125919894/6314312591989411092023164250.pdf")</f>
        <v>https://dpmzos25m8ivg.cloudfront.net/Documentos/631/43125919894/6314312591989411092023164250.pdf</v>
      </c>
      <c r="F6818" s="5" t="str">
        <f>HYPERLINK("https://dpmzos25m8ivg.cloudfront.net/Documentos/631/43125919894/6314312591989411092023164215.pdf","https://dpmzos25m8ivg.cloudfront.net/Documentos/631/43125919894/6314312591989411092023164215.pdf")</f>
        <v>https://dpmzos25m8ivg.cloudfront.net/Documentos/631/43125919894/6314312591989411092023164215.pdf</v>
      </c>
      <c r="G6818" s="5" t="str">
        <f>HYPERLINK("https://dpmzos25m8ivg.cloudfront.net/Documentos/631/43125919894/6314312591989411092023163828.pdf","https://dpmzos25m8ivg.cloudfront.net/Documentos/631/43125919894/6314312591989411092023163828.pdf")</f>
        <v>https://dpmzos25m8ivg.cloudfront.net/Documentos/631/43125919894/6314312591989411092023163828.pdf</v>
      </c>
      <c r="H6818" s="5" t="s">
        <v>15388</v>
      </c>
    </row>
    <row r="6819" spans="1:8" x14ac:dyDescent="0.25">
      <c r="A6819" s="2" t="s">
        <v>6846</v>
      </c>
      <c r="B6819" s="3"/>
      <c r="C6819" s="3"/>
      <c r="D6819" s="3"/>
      <c r="E6819" s="5" t="str">
        <f>HYPERLINK("https://dpmzos25m8ivg.cloudfront.net/Documentos/631/43194672487/6314319467248707092023132705.pdf","https://dpmzos25m8ivg.cloudfront.net/Documentos/631/43194672487/6314319467248707092023132705.pdf")</f>
        <v>https://dpmzos25m8ivg.cloudfront.net/Documentos/631/43194672487/6314319467248707092023132705.pdf</v>
      </c>
      <c r="F6819" s="5" t="str">
        <f>HYPERLINK("https://dpmzos25m8ivg.cloudfront.net/Documentos/631/43194672487/6314319467248707092023132739.pdf","https://dpmzos25m8ivg.cloudfront.net/Documentos/631/43194672487/6314319467248707092023132739.pdf")</f>
        <v>https://dpmzos25m8ivg.cloudfront.net/Documentos/631/43194672487/6314319467248707092023132739.pdf</v>
      </c>
      <c r="G6819" s="5" t="str">
        <f>HYPERLINK("https://dpmzos25m8ivg.cloudfront.net/Documentos/631/43194672487/6314319467248707092023132805.pdf","https://dpmzos25m8ivg.cloudfront.net/Documentos/631/43194672487/6314319467248707092023132805.pdf")</f>
        <v>https://dpmzos25m8ivg.cloudfront.net/Documentos/631/43194672487/6314319467248707092023132805.pdf</v>
      </c>
      <c r="H6819" s="5" t="s">
        <v>15389</v>
      </c>
    </row>
    <row r="6820" spans="1:8" x14ac:dyDescent="0.25">
      <c r="A6820" s="2" t="s">
        <v>6847</v>
      </c>
      <c r="B6820" s="3" t="s">
        <v>23</v>
      </c>
      <c r="C6820" s="3"/>
      <c r="D6820" s="3"/>
      <c r="E6820" s="5" t="str">
        <f>HYPERLINK("https://dpmzos25m8ivg.cloudfront.net/Documentos/631/43258798893/6314325879889310092023210823.jpeg","https://dpmzos25m8ivg.cloudfront.net/Documentos/631/43258798893/6314325879889310092023210823.jpeg")</f>
        <v>https://dpmzos25m8ivg.cloudfront.net/Documentos/631/43258798893/6314325879889310092023210823.jpeg</v>
      </c>
      <c r="F6820" s="5" t="str">
        <f>HYPERLINK("https://dpmzos25m8ivg.cloudfront.net/Documentos/631/43258798893/6314325879889310092023210835.jpeg","https://dpmzos25m8ivg.cloudfront.net/Documentos/631/43258798893/6314325879889310092023210835.jpeg")</f>
        <v>https://dpmzos25m8ivg.cloudfront.net/Documentos/631/43258798893/6314325879889310092023210835.jpeg</v>
      </c>
      <c r="G6820" s="5" t="str">
        <f>HYPERLINK("https://dpmzos25m8ivg.cloudfront.net/Documentos/631/43258798893/6314325879889310092023210848.jpeg","https://dpmzos25m8ivg.cloudfront.net/Documentos/631/43258798893/6314325879889310092023210848.jpeg")</f>
        <v>https://dpmzos25m8ivg.cloudfront.net/Documentos/631/43258798893/6314325879889310092023210848.jpeg</v>
      </c>
      <c r="H6820" s="5" t="s">
        <v>15390</v>
      </c>
    </row>
    <row r="6821" spans="1:8" x14ac:dyDescent="0.25">
      <c r="A6821" s="2" t="s">
        <v>6848</v>
      </c>
      <c r="B6821" s="3"/>
      <c r="C6821" s="3"/>
      <c r="D6821" s="3"/>
      <c r="E6821" s="5" t="str">
        <f>HYPERLINK("https://dpmzos25m8ivg.cloudfront.net/Documentos/631/43263976249/6314326397624905092023095330.pdf","https://dpmzos25m8ivg.cloudfront.net/Documentos/631/43263976249/6314326397624905092023095330.pdf")</f>
        <v>https://dpmzos25m8ivg.cloudfront.net/Documentos/631/43263976249/6314326397624905092023095330.pdf</v>
      </c>
      <c r="F6821" s="5" t="str">
        <f>HYPERLINK("https://dpmzos25m8ivg.cloudfront.net/Documentos/631/43263976249/6314326397624905092023095619.pdf","https://dpmzos25m8ivg.cloudfront.net/Documentos/631/43263976249/6314326397624905092023095619.pdf")</f>
        <v>https://dpmzos25m8ivg.cloudfront.net/Documentos/631/43263976249/6314326397624905092023095619.pdf</v>
      </c>
      <c r="G6821" s="5" t="str">
        <f>HYPERLINK("https://dpmzos25m8ivg.cloudfront.net/Documentos/631/43263976249/6314326397624905092023095701.pdf","https://dpmzos25m8ivg.cloudfront.net/Documentos/631/43263976249/6314326397624905092023095701.pdf")</f>
        <v>https://dpmzos25m8ivg.cloudfront.net/Documentos/631/43263976249/6314326397624905092023095701.pdf</v>
      </c>
      <c r="H6821" s="5" t="s">
        <v>15391</v>
      </c>
    </row>
    <row r="6822" spans="1:8" x14ac:dyDescent="0.25">
      <c r="A6822" s="2" t="s">
        <v>6849</v>
      </c>
      <c r="B6822" s="3"/>
      <c r="C6822" s="3"/>
      <c r="D6822" s="3"/>
      <c r="E6822" s="5" t="str">
        <f>HYPERLINK("https://dpmzos25m8ivg.cloudfront.net/Documentos/631/43270581149/6314327058114913092023113240.pdf","https://dpmzos25m8ivg.cloudfront.net/Documentos/631/43270581149/6314327058114913092023113240.pdf")</f>
        <v>https://dpmzos25m8ivg.cloudfront.net/Documentos/631/43270581149/6314327058114913092023113240.pdf</v>
      </c>
      <c r="F6822" s="5" t="str">
        <f>HYPERLINK("https://dpmzos25m8ivg.cloudfront.net/Documentos/631/43270581149/6314327058114913092023113254.pdf","https://dpmzos25m8ivg.cloudfront.net/Documentos/631/43270581149/6314327058114913092023113254.pdf")</f>
        <v>https://dpmzos25m8ivg.cloudfront.net/Documentos/631/43270581149/6314327058114913092023113254.pdf</v>
      </c>
      <c r="G6822" s="5" t="str">
        <f>HYPERLINK("https://dpmzos25m8ivg.cloudfront.net/Documentos/631/43270581149/6314327058114913092023113324.pdf","https://dpmzos25m8ivg.cloudfront.net/Documentos/631/43270581149/6314327058114913092023113324.pdf")</f>
        <v>https://dpmzos25m8ivg.cloudfront.net/Documentos/631/43270581149/6314327058114913092023113324.pdf</v>
      </c>
      <c r="H6822" s="5" t="s">
        <v>15392</v>
      </c>
    </row>
    <row r="6823" spans="1:8" x14ac:dyDescent="0.25">
      <c r="A6823" s="2" t="s">
        <v>6850</v>
      </c>
      <c r="B6823" s="3"/>
      <c r="C6823" s="3"/>
      <c r="D6823" s="3"/>
      <c r="E6823" s="5" t="str">
        <f>HYPERLINK("https://dpmzos25m8ivg.cloudfront.net/Documentos/631/43277919897/6314327791989711092023161057.pdf","https://dpmzos25m8ivg.cloudfront.net/Documentos/631/43277919897/6314327791989711092023161057.pdf")</f>
        <v>https://dpmzos25m8ivg.cloudfront.net/Documentos/631/43277919897/6314327791989711092023161057.pdf</v>
      </c>
      <c r="F6823" s="5" t="str">
        <f>HYPERLINK("https://dpmzos25m8ivg.cloudfront.net/Documentos/631/43277919897/6314327791989711092023161126.pdf","https://dpmzos25m8ivg.cloudfront.net/Documentos/631/43277919897/6314327791989711092023161126.pdf")</f>
        <v>https://dpmzos25m8ivg.cloudfront.net/Documentos/631/43277919897/6314327791989711092023161126.pdf</v>
      </c>
      <c r="G6823" s="5" t="str">
        <f>HYPERLINK("https://dpmzos25m8ivg.cloudfront.net/Documentos/631/43277919897/6314327791989711092023161139.pdf","https://dpmzos25m8ivg.cloudfront.net/Documentos/631/43277919897/6314327791989711092023161139.pdf")</f>
        <v>https://dpmzos25m8ivg.cloudfront.net/Documentos/631/43277919897/6314327791989711092023161139.pdf</v>
      </c>
      <c r="H6823" s="5" t="s">
        <v>15393</v>
      </c>
    </row>
    <row r="6824" spans="1:8" x14ac:dyDescent="0.25">
      <c r="A6824" s="2" t="s">
        <v>6851</v>
      </c>
      <c r="B6824" s="3" t="s">
        <v>2358</v>
      </c>
      <c r="C6824" s="3"/>
      <c r="D6824" s="3"/>
      <c r="E6824" s="5" t="str">
        <f>HYPERLINK("https://dpmzos25m8ivg.cloudfront.net/Documentos/631/43282609876/6314328260987613092023100610.pdf","https://dpmzos25m8ivg.cloudfront.net/Documentos/631/43282609876/6314328260987613092023100610.pdf")</f>
        <v>https://dpmzos25m8ivg.cloudfront.net/Documentos/631/43282609876/6314328260987613092023100610.pdf</v>
      </c>
      <c r="F6824" s="5" t="str">
        <f>HYPERLINK("https://dpmzos25m8ivg.cloudfront.net/Documentos/631/43282609876/6314328260987613092023100639.pdf","https://dpmzos25m8ivg.cloudfront.net/Documentos/631/43282609876/6314328260987613092023100639.pdf")</f>
        <v>https://dpmzos25m8ivg.cloudfront.net/Documentos/631/43282609876/6314328260987613092023100639.pdf</v>
      </c>
      <c r="G6824" s="5" t="str">
        <f>HYPERLINK("https://dpmzos25m8ivg.cloudfront.net/Documentos/631/43282609876/6314328260987613092023100651.pdf","https://dpmzos25m8ivg.cloudfront.net/Documentos/631/43282609876/6314328260987613092023100651.pdf")</f>
        <v>https://dpmzos25m8ivg.cloudfront.net/Documentos/631/43282609876/6314328260987613092023100651.pdf</v>
      </c>
      <c r="H6824" s="5" t="s">
        <v>15394</v>
      </c>
    </row>
    <row r="6825" spans="1:8" x14ac:dyDescent="0.25">
      <c r="A6825" s="2" t="s">
        <v>6852</v>
      </c>
      <c r="B6825" s="3"/>
      <c r="C6825" s="3"/>
      <c r="D6825" s="3"/>
      <c r="E6825" s="5" t="str">
        <f>HYPERLINK("https://dpmzos25m8ivg.cloudfront.net/Documentos/631/43305873272/6314330587327208092023233925.pdf","https://dpmzos25m8ivg.cloudfront.net/Documentos/631/43305873272/6314330587327208092023233925.pdf")</f>
        <v>https://dpmzos25m8ivg.cloudfront.net/Documentos/631/43305873272/6314330587327208092023233925.pdf</v>
      </c>
      <c r="F6825" s="5" t="str">
        <f>HYPERLINK("https://dpmzos25m8ivg.cloudfront.net/Documentos/631/43305873272/6314330587327208092023233955.pdf","https://dpmzos25m8ivg.cloudfront.net/Documentos/631/43305873272/6314330587327208092023233955.pdf")</f>
        <v>https://dpmzos25m8ivg.cloudfront.net/Documentos/631/43305873272/6314330587327208092023233955.pdf</v>
      </c>
      <c r="G6825" s="5" t="str">
        <f>HYPERLINK("https://dpmzos25m8ivg.cloudfront.net/Documentos/631/43305873272/6314330587327208092023234019.pdf","https://dpmzos25m8ivg.cloudfront.net/Documentos/631/43305873272/6314330587327208092023234019.pdf")</f>
        <v>https://dpmzos25m8ivg.cloudfront.net/Documentos/631/43305873272/6314330587327208092023234019.pdf</v>
      </c>
      <c r="H6825" s="5" t="s">
        <v>15395</v>
      </c>
    </row>
    <row r="6826" spans="1:8" x14ac:dyDescent="0.25">
      <c r="A6826" s="2" t="s">
        <v>6853</v>
      </c>
      <c r="B6826" s="3"/>
      <c r="C6826" s="3"/>
      <c r="D6826" s="3"/>
      <c r="E6826" s="5" t="str">
        <f>HYPERLINK("https://dpmzos25m8ivg.cloudfront.net/Documentos/631/43356533878/6314335653387811092023164442.pdf","https://dpmzos25m8ivg.cloudfront.net/Documentos/631/43356533878/6314335653387811092023164442.pdf")</f>
        <v>https://dpmzos25m8ivg.cloudfront.net/Documentos/631/43356533878/6314335653387811092023164442.pdf</v>
      </c>
      <c r="F6826" s="5" t="str">
        <f>HYPERLINK("https://dpmzos25m8ivg.cloudfront.net/Documentos/631/43356533878/6314335653387811092023164456.pdf","https://dpmzos25m8ivg.cloudfront.net/Documentos/631/43356533878/6314335653387811092023164456.pdf")</f>
        <v>https://dpmzos25m8ivg.cloudfront.net/Documentos/631/43356533878/6314335653387811092023164456.pdf</v>
      </c>
      <c r="G6826" s="5" t="str">
        <f>HYPERLINK("https://dpmzos25m8ivg.cloudfront.net/Documentos/631/43356533878/6314335653387811092023164510.pdf","https://dpmzos25m8ivg.cloudfront.net/Documentos/631/43356533878/6314335653387811092023164510.pdf")</f>
        <v>https://dpmzos25m8ivg.cloudfront.net/Documentos/631/43356533878/6314335653387811092023164510.pdf</v>
      </c>
      <c r="H6826" s="5" t="s">
        <v>15396</v>
      </c>
    </row>
    <row r="6827" spans="1:8" x14ac:dyDescent="0.25">
      <c r="A6827" s="2" t="s">
        <v>6854</v>
      </c>
      <c r="B6827" s="3"/>
      <c r="C6827" s="3"/>
      <c r="D6827" s="3"/>
      <c r="E6827" s="5" t="str">
        <f>HYPERLINK("https://dpmzos25m8ivg.cloudfront.net/Documentos/631/43380750824/6314338075082411092023145928.pdf","https://dpmzos25m8ivg.cloudfront.net/Documentos/631/43380750824/6314338075082411092023145928.pdf")</f>
        <v>https://dpmzos25m8ivg.cloudfront.net/Documentos/631/43380750824/6314338075082411092023145928.pdf</v>
      </c>
      <c r="F6827" s="5" t="str">
        <f>HYPERLINK("https://dpmzos25m8ivg.cloudfront.net/Documentos/631/43380750824/6314338075082411092023145936.pdf","https://dpmzos25m8ivg.cloudfront.net/Documentos/631/43380750824/6314338075082411092023145936.pdf")</f>
        <v>https://dpmzos25m8ivg.cloudfront.net/Documentos/631/43380750824/6314338075082411092023145936.pdf</v>
      </c>
      <c r="G6827" s="5" t="str">
        <f>HYPERLINK("https://dpmzos25m8ivg.cloudfront.net/Documentos/631/43380750824/6314338075082411092023145946.pdf","https://dpmzos25m8ivg.cloudfront.net/Documentos/631/43380750824/6314338075082411092023145946.pdf")</f>
        <v>https://dpmzos25m8ivg.cloudfront.net/Documentos/631/43380750824/6314338075082411092023145946.pdf</v>
      </c>
      <c r="H6827" s="5" t="s">
        <v>15397</v>
      </c>
    </row>
    <row r="6828" spans="1:8" x14ac:dyDescent="0.25">
      <c r="A6828" s="2" t="s">
        <v>6855</v>
      </c>
      <c r="B6828" s="3"/>
      <c r="C6828" s="3"/>
      <c r="D6828" s="3"/>
      <c r="E6828" s="5" t="str">
        <f>HYPERLINK("https://dpmzos25m8ivg.cloudfront.net/Documentos/631/43388694885/6314338869488505092023113341.pdf","https://dpmzos25m8ivg.cloudfront.net/Documentos/631/43388694885/6314338869488505092023113341.pdf")</f>
        <v>https://dpmzos25m8ivg.cloudfront.net/Documentos/631/43388694885/6314338869488505092023113341.pdf</v>
      </c>
      <c r="F6828" s="5" t="str">
        <f>HYPERLINK("https://dpmzos25m8ivg.cloudfront.net/Documentos/631/43388694885/6314338869488505092023113359.pdf","https://dpmzos25m8ivg.cloudfront.net/Documentos/631/43388694885/6314338869488505092023113359.pdf")</f>
        <v>https://dpmzos25m8ivg.cloudfront.net/Documentos/631/43388694885/6314338869488505092023113359.pdf</v>
      </c>
      <c r="G6828" s="5" t="str">
        <f>HYPERLINK("https://dpmzos25m8ivg.cloudfront.net/Documentos/631/43388694885/6314338869488505092023113417.pdf","https://dpmzos25m8ivg.cloudfront.net/Documentos/631/43388694885/6314338869488505092023113417.pdf")</f>
        <v>https://dpmzos25m8ivg.cloudfront.net/Documentos/631/43388694885/6314338869488505092023113417.pdf</v>
      </c>
      <c r="H6828" s="5" t="s">
        <v>15398</v>
      </c>
    </row>
    <row r="6829" spans="1:8" x14ac:dyDescent="0.25">
      <c r="A6829" s="2" t="s">
        <v>6856</v>
      </c>
      <c r="B6829" s="3" t="s">
        <v>23</v>
      </c>
      <c r="C6829" s="3"/>
      <c r="D6829" s="3"/>
      <c r="E6829" s="5" t="str">
        <f>HYPERLINK("https://dpmzos25m8ivg.cloudfront.net/Documentos/631/43416938836/6314341693883613092023184507.pdf","https://dpmzos25m8ivg.cloudfront.net/Documentos/631/43416938836/6314341693883613092023184507.pdf")</f>
        <v>https://dpmzos25m8ivg.cloudfront.net/Documentos/631/43416938836/6314341693883613092023184507.pdf</v>
      </c>
      <c r="F6829" s="5" t="str">
        <f>HYPERLINK("https://dpmzos25m8ivg.cloudfront.net/Documentos/631/43416938836/6314341693883613092023184535.pdf","https://dpmzos25m8ivg.cloudfront.net/Documentos/631/43416938836/6314341693883613092023184535.pdf")</f>
        <v>https://dpmzos25m8ivg.cloudfront.net/Documentos/631/43416938836/6314341693883613092023184535.pdf</v>
      </c>
      <c r="G6829" s="5" t="str">
        <f>HYPERLINK("https://dpmzos25m8ivg.cloudfront.net/Documentos/631/43416938836/6314341693883613092023184548.pdf","https://dpmzos25m8ivg.cloudfront.net/Documentos/631/43416938836/6314341693883613092023184548.pdf")</f>
        <v>https://dpmzos25m8ivg.cloudfront.net/Documentos/631/43416938836/6314341693883613092023184548.pdf</v>
      </c>
      <c r="H6829" s="5" t="s">
        <v>15399</v>
      </c>
    </row>
    <row r="6830" spans="1:8" x14ac:dyDescent="0.25">
      <c r="A6830" s="2" t="s">
        <v>6857</v>
      </c>
      <c r="B6830" s="3"/>
      <c r="C6830" s="3"/>
      <c r="D6830" s="3"/>
      <c r="E6830" s="5" t="str">
        <f>HYPERLINK("https://dpmzos25m8ivg.cloudfront.net/Documentos/631/43438933837/6314343893383711092023151803.pdf","https://dpmzos25m8ivg.cloudfront.net/Documentos/631/43438933837/6314343893383711092023151803.pdf")</f>
        <v>https://dpmzos25m8ivg.cloudfront.net/Documentos/631/43438933837/6314343893383711092023151803.pdf</v>
      </c>
      <c r="F6830" s="5" t="str">
        <f>HYPERLINK("https://dpmzos25m8ivg.cloudfront.net/Documentos/631/43438933837/6314343893383711092023151819.pdf","https://dpmzos25m8ivg.cloudfront.net/Documentos/631/43438933837/6314343893383711092023151819.pdf")</f>
        <v>https://dpmzos25m8ivg.cloudfront.net/Documentos/631/43438933837/6314343893383711092023151819.pdf</v>
      </c>
      <c r="G6830" s="5" t="str">
        <f>HYPERLINK("https://dpmzos25m8ivg.cloudfront.net/Documentos/631/43438933837/6314343893383711092023151832.pdf","https://dpmzos25m8ivg.cloudfront.net/Documentos/631/43438933837/6314343893383711092023151832.pdf")</f>
        <v>https://dpmzos25m8ivg.cloudfront.net/Documentos/631/43438933837/6314343893383711092023151832.pdf</v>
      </c>
      <c r="H6830" s="5" t="s">
        <v>15400</v>
      </c>
    </row>
    <row r="6831" spans="1:8" x14ac:dyDescent="0.25">
      <c r="A6831" s="2" t="s">
        <v>6858</v>
      </c>
      <c r="B6831" s="3"/>
      <c r="C6831" s="3"/>
      <c r="D6831" s="3"/>
      <c r="E6831" s="5" t="str">
        <f>HYPERLINK("https://dpmzos25m8ivg.cloudfront.net/Documentos/631/43441137809/6314344113780905092023110129.pdf","https://dpmzos25m8ivg.cloudfront.net/Documentos/631/43441137809/6314344113780905092023110129.pdf")</f>
        <v>https://dpmzos25m8ivg.cloudfront.net/Documentos/631/43441137809/6314344113780905092023110129.pdf</v>
      </c>
      <c r="F6831" s="5" t="str">
        <f>HYPERLINK("https://dpmzos25m8ivg.cloudfront.net/Documentos/631/43441137809/6314344113780905092023110136.pdf","https://dpmzos25m8ivg.cloudfront.net/Documentos/631/43441137809/6314344113780905092023110136.pdf")</f>
        <v>https://dpmzos25m8ivg.cloudfront.net/Documentos/631/43441137809/6314344113780905092023110136.pdf</v>
      </c>
      <c r="G6831" s="5" t="str">
        <f>HYPERLINK("https://dpmzos25m8ivg.cloudfront.net/Documentos/631/43441137809/6314344113780905092023110144.pdf","https://dpmzos25m8ivg.cloudfront.net/Documentos/631/43441137809/6314344113780905092023110144.pdf")</f>
        <v>https://dpmzos25m8ivg.cloudfront.net/Documentos/631/43441137809/6314344113780905092023110144.pdf</v>
      </c>
      <c r="H6831" s="5" t="s">
        <v>15401</v>
      </c>
    </row>
    <row r="6832" spans="1:8" x14ac:dyDescent="0.25">
      <c r="A6832" s="2" t="s">
        <v>6859</v>
      </c>
      <c r="B6832" s="3"/>
      <c r="C6832" s="3"/>
      <c r="D6832" s="3"/>
      <c r="E6832" s="5" t="str">
        <f>HYPERLINK("https://dpmzos25m8ivg.cloudfront.net/Documentos/631/43453984870/6314345398487011092023145514.pdf","https://dpmzos25m8ivg.cloudfront.net/Documentos/631/43453984870/6314345398487011092023145514.pdf")</f>
        <v>https://dpmzos25m8ivg.cloudfront.net/Documentos/631/43453984870/6314345398487011092023145514.pdf</v>
      </c>
      <c r="F6832" s="5" t="str">
        <f>HYPERLINK("https://dpmzos25m8ivg.cloudfront.net/Documentos/631/43453984870/6314345398487011092023145548.pdf","https://dpmzos25m8ivg.cloudfront.net/Documentos/631/43453984870/6314345398487011092023145548.pdf")</f>
        <v>https://dpmzos25m8ivg.cloudfront.net/Documentos/631/43453984870/6314345398487011092023145548.pdf</v>
      </c>
      <c r="G6832" s="5" t="str">
        <f>HYPERLINK("https://dpmzos25m8ivg.cloudfront.net/Documentos/631/43453984870/6314345398487011092023145618.pdf","https://dpmzos25m8ivg.cloudfront.net/Documentos/631/43453984870/6314345398487011092023145618.pdf")</f>
        <v>https://dpmzos25m8ivg.cloudfront.net/Documentos/631/43453984870/6314345398487011092023145618.pdf</v>
      </c>
      <c r="H6832" s="5" t="s">
        <v>15402</v>
      </c>
    </row>
    <row r="6833" spans="1:8" x14ac:dyDescent="0.25">
      <c r="A6833" s="2" t="s">
        <v>6860</v>
      </c>
      <c r="B6833" s="3"/>
      <c r="C6833" s="3"/>
      <c r="D6833" s="3"/>
      <c r="E6833" s="5" t="str">
        <f>HYPERLINK("https://dpmzos25m8ivg.cloudfront.net/Documentos/631/43470531854/6314347053185405092023135837.pdf","https://dpmzos25m8ivg.cloudfront.net/Documentos/631/43470531854/6314347053185405092023135837.pdf")</f>
        <v>https://dpmzos25m8ivg.cloudfront.net/Documentos/631/43470531854/6314347053185405092023135837.pdf</v>
      </c>
      <c r="F6833" s="5" t="str">
        <f>HYPERLINK("https://dpmzos25m8ivg.cloudfront.net/Documentos/631/43470531854/6314347053185405092023135914.pdf","https://dpmzos25m8ivg.cloudfront.net/Documentos/631/43470531854/6314347053185405092023135914.pdf")</f>
        <v>https://dpmzos25m8ivg.cloudfront.net/Documentos/631/43470531854/6314347053185405092023135914.pdf</v>
      </c>
      <c r="G6833" s="5" t="str">
        <f>HYPERLINK("https://dpmzos25m8ivg.cloudfront.net/Documentos/631/43470531854/6314347053185405092023140002.pdf","https://dpmzos25m8ivg.cloudfront.net/Documentos/631/43470531854/6314347053185405092023140002.pdf")</f>
        <v>https://dpmzos25m8ivg.cloudfront.net/Documentos/631/43470531854/6314347053185405092023140002.pdf</v>
      </c>
      <c r="H6833" s="5" t="s">
        <v>15403</v>
      </c>
    </row>
    <row r="6834" spans="1:8" x14ac:dyDescent="0.25">
      <c r="A6834" s="2" t="s">
        <v>6861</v>
      </c>
      <c r="B6834" s="3" t="s">
        <v>2358</v>
      </c>
      <c r="C6834" s="3"/>
      <c r="D6834" s="3"/>
      <c r="E6834" s="5" t="str">
        <f>HYPERLINK("https://dpmzos25m8ivg.cloudfront.net/Documentos/631/43527717838/6314352771783806092023121950.pdf","https://dpmzos25m8ivg.cloudfront.net/Documentos/631/43527717838/6314352771783806092023121950.pdf")</f>
        <v>https://dpmzos25m8ivg.cloudfront.net/Documentos/631/43527717838/6314352771783806092023121950.pdf</v>
      </c>
      <c r="F6834" s="5" t="str">
        <f>HYPERLINK("https://dpmzos25m8ivg.cloudfront.net/Documentos/631/43527717838/6314352771783806092023122000.pdf","https://dpmzos25m8ivg.cloudfront.net/Documentos/631/43527717838/6314352771783806092023122000.pdf")</f>
        <v>https://dpmzos25m8ivg.cloudfront.net/Documentos/631/43527717838/6314352771783806092023122000.pdf</v>
      </c>
      <c r="G6834" s="5" t="str">
        <f>HYPERLINK("https://dpmzos25m8ivg.cloudfront.net/Documentos/631/43527717838/6314352771783806092023122011.pdf","https://dpmzos25m8ivg.cloudfront.net/Documentos/631/43527717838/6314352771783806092023122011.pdf")</f>
        <v>https://dpmzos25m8ivg.cloudfront.net/Documentos/631/43527717838/6314352771783806092023122011.pdf</v>
      </c>
      <c r="H6834" s="5" t="s">
        <v>15404</v>
      </c>
    </row>
    <row r="6835" spans="1:8" x14ac:dyDescent="0.25">
      <c r="A6835" s="2" t="s">
        <v>6862</v>
      </c>
      <c r="B6835" s="3"/>
      <c r="C6835" s="3"/>
      <c r="D6835" s="3"/>
      <c r="E6835" s="5" t="str">
        <f>HYPERLINK("https://dpmzos25m8ivg.cloudfront.net/Documentos/631/43552849807/6314355284980710092023164550.pdf","https://dpmzos25m8ivg.cloudfront.net/Documentos/631/43552849807/6314355284980710092023164550.pdf")</f>
        <v>https://dpmzos25m8ivg.cloudfront.net/Documentos/631/43552849807/6314355284980710092023164550.pdf</v>
      </c>
      <c r="F6835" s="5" t="str">
        <f>HYPERLINK("https://dpmzos25m8ivg.cloudfront.net/Documentos/631/43552849807/6314355284980710092023164600.pdf","https://dpmzos25m8ivg.cloudfront.net/Documentos/631/43552849807/6314355284980710092023164600.pdf")</f>
        <v>https://dpmzos25m8ivg.cloudfront.net/Documentos/631/43552849807/6314355284980710092023164600.pdf</v>
      </c>
      <c r="G6835" s="5" t="str">
        <f>HYPERLINK("https://dpmzos25m8ivg.cloudfront.net/Documentos/631/43552849807/6314355284980710092023164610.pdf","https://dpmzos25m8ivg.cloudfront.net/Documentos/631/43552849807/6314355284980710092023164610.pdf")</f>
        <v>https://dpmzos25m8ivg.cloudfront.net/Documentos/631/43552849807/6314355284980710092023164610.pdf</v>
      </c>
      <c r="H6835" s="5" t="s">
        <v>15405</v>
      </c>
    </row>
    <row r="6836" spans="1:8" x14ac:dyDescent="0.25">
      <c r="A6836" s="2" t="s">
        <v>6863</v>
      </c>
      <c r="B6836" s="3"/>
      <c r="C6836" s="3"/>
      <c r="D6836" s="3"/>
      <c r="E6836" s="5" t="str">
        <f>HYPERLINK("https://dpmzos25m8ivg.cloudfront.net/Documentos/631/43564455892/6314356445589207092023164935.pdf","https://dpmzos25m8ivg.cloudfront.net/Documentos/631/43564455892/6314356445589207092023164935.pdf")</f>
        <v>https://dpmzos25m8ivg.cloudfront.net/Documentos/631/43564455892/6314356445589207092023164935.pdf</v>
      </c>
      <c r="F6836" s="5" t="str">
        <f>HYPERLINK("https://dpmzos25m8ivg.cloudfront.net/Documentos/631/43564455892/6314356445589207092023164952.pdf","https://dpmzos25m8ivg.cloudfront.net/Documentos/631/43564455892/6314356445589207092023164952.pdf")</f>
        <v>https://dpmzos25m8ivg.cloudfront.net/Documentos/631/43564455892/6314356445589207092023164952.pdf</v>
      </c>
      <c r="G6836" s="5" t="str">
        <f>HYPERLINK("https://dpmzos25m8ivg.cloudfront.net/Documentos/631/43564455892/6314356445589207092023165013.pdf","https://dpmzos25m8ivg.cloudfront.net/Documentos/631/43564455892/6314356445589207092023165013.pdf")</f>
        <v>https://dpmzos25m8ivg.cloudfront.net/Documentos/631/43564455892/6314356445589207092023165013.pdf</v>
      </c>
      <c r="H6836" s="5" t="s">
        <v>15406</v>
      </c>
    </row>
    <row r="6837" spans="1:8" x14ac:dyDescent="0.25">
      <c r="A6837" s="2" t="s">
        <v>6864</v>
      </c>
      <c r="B6837" s="6" t="s">
        <v>23</v>
      </c>
      <c r="C6837" s="3"/>
      <c r="D6837" s="3"/>
      <c r="E6837" s="5" t="str">
        <f>HYPERLINK("https://dpmzos25m8ivg.cloudfront.net/Documentos/631/43615279549/6314361527954905092023131411.jpg","https://dpmzos25m8ivg.cloudfront.net/Documentos/631/43615279549/6314361527954905092023131411.jpg")</f>
        <v>https://dpmzos25m8ivg.cloudfront.net/Documentos/631/43615279549/6314361527954905092023131411.jpg</v>
      </c>
      <c r="F6837" s="5" t="str">
        <f>HYPERLINK("https://dpmzos25m8ivg.cloudfront.net/Documentos/631/43615279549/6314361527954905092023131428.jpg","https://dpmzos25m8ivg.cloudfront.net/Documentos/631/43615279549/6314361527954905092023131428.jpg")</f>
        <v>https://dpmzos25m8ivg.cloudfront.net/Documentos/631/43615279549/6314361527954905092023131428.jpg</v>
      </c>
      <c r="G6837" s="5" t="str">
        <f>HYPERLINK("https://dpmzos25m8ivg.cloudfront.net/Documentos/631/43615279549/6314361527954905092023131445.jpg","https://dpmzos25m8ivg.cloudfront.net/Documentos/631/43615279549/6314361527954905092023131445.jpg")</f>
        <v>https://dpmzos25m8ivg.cloudfront.net/Documentos/631/43615279549/6314361527954905092023131445.jpg</v>
      </c>
      <c r="H6837" s="5" t="s">
        <v>15407</v>
      </c>
    </row>
    <row r="6838" spans="1:8" x14ac:dyDescent="0.25">
      <c r="A6838" s="2" t="s">
        <v>6865</v>
      </c>
      <c r="B6838" s="3"/>
      <c r="C6838" s="3"/>
      <c r="D6838" s="3"/>
      <c r="E6838" s="5" t="str">
        <f>HYPERLINK("https://dpmzos25m8ivg.cloudfront.net/Documentos/631/43654051871/6314365405187111092023105921.pdf","https://dpmzos25m8ivg.cloudfront.net/Documentos/631/43654051871/6314365405187111092023105921.pdf")</f>
        <v>https://dpmzos25m8ivg.cloudfront.net/Documentos/631/43654051871/6314365405187111092023105921.pdf</v>
      </c>
      <c r="F6838" s="5" t="str">
        <f>HYPERLINK("https://dpmzos25m8ivg.cloudfront.net/Documentos/631/43654051871/6314365405187111092023105937.pdf","https://dpmzos25m8ivg.cloudfront.net/Documentos/631/43654051871/6314365405187111092023105937.pdf")</f>
        <v>https://dpmzos25m8ivg.cloudfront.net/Documentos/631/43654051871/6314365405187111092023105937.pdf</v>
      </c>
      <c r="G6838" s="5" t="str">
        <f>HYPERLINK("https://dpmzos25m8ivg.cloudfront.net/Documentos/631/43654051871/6314365405187111092023110029.pdf","https://dpmzos25m8ivg.cloudfront.net/Documentos/631/43654051871/6314365405187111092023110029.pdf")</f>
        <v>https://dpmzos25m8ivg.cloudfront.net/Documentos/631/43654051871/6314365405187111092023110029.pdf</v>
      </c>
      <c r="H6838" s="5" t="s">
        <v>15408</v>
      </c>
    </row>
    <row r="6839" spans="1:8" x14ac:dyDescent="0.25">
      <c r="A6839" s="2" t="s">
        <v>6866</v>
      </c>
      <c r="B6839" s="3"/>
      <c r="C6839" s="3"/>
      <c r="D6839" s="3"/>
      <c r="E6839" s="5" t="str">
        <f>HYPERLINK("https://dpmzos25m8ivg.cloudfront.net/Documentos/631/43670490604/6314367049060406092023182440.pdf","https://dpmzos25m8ivg.cloudfront.net/Documentos/631/43670490604/6314367049060406092023182440.pdf")</f>
        <v>https://dpmzos25m8ivg.cloudfront.net/Documentos/631/43670490604/6314367049060406092023182440.pdf</v>
      </c>
      <c r="F6839" s="5" t="str">
        <f>HYPERLINK("https://dpmzos25m8ivg.cloudfront.net/Documentos/631/43670490604/6314367049060406092023182506.pdf","https://dpmzos25m8ivg.cloudfront.net/Documentos/631/43670490604/6314367049060406092023182506.pdf")</f>
        <v>https://dpmzos25m8ivg.cloudfront.net/Documentos/631/43670490604/6314367049060406092023182506.pdf</v>
      </c>
      <c r="G6839" s="5" t="str">
        <f>HYPERLINK("https://dpmzos25m8ivg.cloudfront.net/Documentos/631/43670490604/6314367049060406092023182522.pdf","https://dpmzos25m8ivg.cloudfront.net/Documentos/631/43670490604/6314367049060406092023182522.pdf")</f>
        <v>https://dpmzos25m8ivg.cloudfront.net/Documentos/631/43670490604/6314367049060406092023182522.pdf</v>
      </c>
      <c r="H6839" s="5" t="s">
        <v>15409</v>
      </c>
    </row>
    <row r="6840" spans="1:8" x14ac:dyDescent="0.25">
      <c r="A6840" s="2" t="s">
        <v>6867</v>
      </c>
      <c r="B6840" s="3"/>
      <c r="C6840" s="3"/>
      <c r="D6840" s="3"/>
      <c r="E6840" s="5" t="str">
        <f>HYPERLINK("https://dpmzos25m8ivg.cloudfront.net/Documentos/631/43670792449/6314367079244908092023210216.pdf","https://dpmzos25m8ivg.cloudfront.net/Documentos/631/43670792449/6314367079244908092023210216.pdf")</f>
        <v>https://dpmzos25m8ivg.cloudfront.net/Documentos/631/43670792449/6314367079244908092023210216.pdf</v>
      </c>
      <c r="F6840" s="5" t="str">
        <f>HYPERLINK("https://dpmzos25m8ivg.cloudfront.net/Documentos/631/43670792449/6314367079244908092023210228.pdf","https://dpmzos25m8ivg.cloudfront.net/Documentos/631/43670792449/6314367079244908092023210228.pdf")</f>
        <v>https://dpmzos25m8ivg.cloudfront.net/Documentos/631/43670792449/6314367079244908092023210228.pdf</v>
      </c>
      <c r="G6840" s="5" t="str">
        <f>HYPERLINK("https://dpmzos25m8ivg.cloudfront.net/Documentos/631/43670792449/6314367079244908092023210243.pdf","https://dpmzos25m8ivg.cloudfront.net/Documentos/631/43670792449/6314367079244908092023210243.pdf")</f>
        <v>https://dpmzos25m8ivg.cloudfront.net/Documentos/631/43670792449/6314367079244908092023210243.pdf</v>
      </c>
      <c r="H6840" s="5" t="s">
        <v>15410</v>
      </c>
    </row>
    <row r="6841" spans="1:8" x14ac:dyDescent="0.25">
      <c r="A6841" s="2" t="s">
        <v>6868</v>
      </c>
      <c r="B6841" s="3"/>
      <c r="C6841" s="3"/>
      <c r="D6841" s="3"/>
      <c r="E6841" s="5" t="str">
        <f>HYPERLINK("https://dpmzos25m8ivg.cloudfront.net/Documentos/631/43673192884/6314367319288406092023135744.pdf","https://dpmzos25m8ivg.cloudfront.net/Documentos/631/43673192884/6314367319288406092023135744.pdf")</f>
        <v>https://dpmzos25m8ivg.cloudfront.net/Documentos/631/43673192884/6314367319288406092023135744.pdf</v>
      </c>
      <c r="F6841" s="5" t="str">
        <f>HYPERLINK("https://dpmzos25m8ivg.cloudfront.net/Documentos/631/43673192884/6314367319288406092023135753.pdf","https://dpmzos25m8ivg.cloudfront.net/Documentos/631/43673192884/6314367319288406092023135753.pdf")</f>
        <v>https://dpmzos25m8ivg.cloudfront.net/Documentos/631/43673192884/6314367319288406092023135753.pdf</v>
      </c>
      <c r="G6841" s="5" t="str">
        <f>HYPERLINK("https://dpmzos25m8ivg.cloudfront.net/Documentos/631/43673192884/6314367319288406092023135854.pdf","https://dpmzos25m8ivg.cloudfront.net/Documentos/631/43673192884/6314367319288406092023135854.pdf")</f>
        <v>https://dpmzos25m8ivg.cloudfront.net/Documentos/631/43673192884/6314367319288406092023135854.pdf</v>
      </c>
      <c r="H6841" s="5" t="s">
        <v>15411</v>
      </c>
    </row>
    <row r="6842" spans="1:8" x14ac:dyDescent="0.25">
      <c r="A6842" s="2" t="s">
        <v>6869</v>
      </c>
      <c r="B6842" s="3"/>
      <c r="C6842" s="3"/>
      <c r="D6842" s="3"/>
      <c r="E6842" s="5" t="str">
        <f>HYPERLINK("https://dpmzos25m8ivg.cloudfront.net/Documentos/631/43678562833/6314367856283311092023153336.pdf","https://dpmzos25m8ivg.cloudfront.net/Documentos/631/43678562833/6314367856283311092023153336.pdf")</f>
        <v>https://dpmzos25m8ivg.cloudfront.net/Documentos/631/43678562833/6314367856283311092023153336.pdf</v>
      </c>
      <c r="F6842" s="5" t="str">
        <f>HYPERLINK("https://dpmzos25m8ivg.cloudfront.net/Documentos/631/43678562833/6314367856283311092023153346.pdf","https://dpmzos25m8ivg.cloudfront.net/Documentos/631/43678562833/6314367856283311092023153346.pdf")</f>
        <v>https://dpmzos25m8ivg.cloudfront.net/Documentos/631/43678562833/6314367856283311092023153346.pdf</v>
      </c>
      <c r="G6842" s="5" t="str">
        <f>HYPERLINK("https://dpmzos25m8ivg.cloudfront.net/Documentos/631/43678562833/6314367856283311092023153358.pdf","https://dpmzos25m8ivg.cloudfront.net/Documentos/631/43678562833/6314367856283311092023153358.pdf")</f>
        <v>https://dpmzos25m8ivg.cloudfront.net/Documentos/631/43678562833/6314367856283311092023153358.pdf</v>
      </c>
      <c r="H6842" s="5" t="s">
        <v>15412</v>
      </c>
    </row>
    <row r="6843" spans="1:8" x14ac:dyDescent="0.25">
      <c r="A6843" s="2" t="s">
        <v>6870</v>
      </c>
      <c r="B6843" s="3"/>
      <c r="C6843" s="3"/>
      <c r="D6843" s="3"/>
      <c r="E6843" s="5" t="str">
        <f>HYPERLINK("https://dpmzos25m8ivg.cloudfront.net/Documentos/631/43727004827/6314372700482707092023225249.pdf","https://dpmzos25m8ivg.cloudfront.net/Documentos/631/43727004827/6314372700482707092023225249.pdf")</f>
        <v>https://dpmzos25m8ivg.cloudfront.net/Documentos/631/43727004827/6314372700482707092023225249.pdf</v>
      </c>
      <c r="F6843" s="5" t="str">
        <f>HYPERLINK("https://dpmzos25m8ivg.cloudfront.net/Documentos/631/43727004827/6314372700482707092023225301.pdf","https://dpmzos25m8ivg.cloudfront.net/Documentos/631/43727004827/6314372700482707092023225301.pdf")</f>
        <v>https://dpmzos25m8ivg.cloudfront.net/Documentos/631/43727004827/6314372700482707092023225301.pdf</v>
      </c>
      <c r="G6843" s="5" t="str">
        <f>HYPERLINK("https://dpmzos25m8ivg.cloudfront.net/Documentos/631/43727004827/6314372700482707092023225312.pdf","https://dpmzos25m8ivg.cloudfront.net/Documentos/631/43727004827/6314372700482707092023225312.pdf")</f>
        <v>https://dpmzos25m8ivg.cloudfront.net/Documentos/631/43727004827/6314372700482707092023225312.pdf</v>
      </c>
      <c r="H6843" s="5" t="s">
        <v>15413</v>
      </c>
    </row>
    <row r="6844" spans="1:8" x14ac:dyDescent="0.25">
      <c r="A6844" s="2" t="s">
        <v>6871</v>
      </c>
      <c r="B6844" s="3"/>
      <c r="C6844" s="3"/>
      <c r="D6844" s="3"/>
      <c r="E6844" s="5" t="str">
        <f>HYPERLINK("https://dpmzos25m8ivg.cloudfront.net/Documentos/631/43754436856/6314375443685610092023133928.jpg","https://dpmzos25m8ivg.cloudfront.net/Documentos/631/43754436856/6314375443685610092023133928.jpg")</f>
        <v>https://dpmzos25m8ivg.cloudfront.net/Documentos/631/43754436856/6314375443685610092023133928.jpg</v>
      </c>
      <c r="F6844" s="5" t="str">
        <f>HYPERLINK("https://dpmzos25m8ivg.cloudfront.net/Documentos/631/43754436856/6314375443685610092023133938.jpg","https://dpmzos25m8ivg.cloudfront.net/Documentos/631/43754436856/6314375443685610092023133938.jpg")</f>
        <v>https://dpmzos25m8ivg.cloudfront.net/Documentos/631/43754436856/6314375443685610092023133938.jpg</v>
      </c>
      <c r="G6844" s="5" t="str">
        <f>HYPERLINK("https://dpmzos25m8ivg.cloudfront.net/Documentos/631/43754436856/6314375443685610092023133951.jpg","https://dpmzos25m8ivg.cloudfront.net/Documentos/631/43754436856/6314375443685610092023133951.jpg")</f>
        <v>https://dpmzos25m8ivg.cloudfront.net/Documentos/631/43754436856/6314375443685610092023133951.jpg</v>
      </c>
      <c r="H6844" s="5" t="s">
        <v>15414</v>
      </c>
    </row>
    <row r="6845" spans="1:8" x14ac:dyDescent="0.25">
      <c r="A6845" s="2" t="s">
        <v>6872</v>
      </c>
      <c r="B6845" s="3"/>
      <c r="C6845" s="3"/>
      <c r="D6845" s="3"/>
      <c r="E6845" s="5" t="str">
        <f>HYPERLINK("https://dpmzos25m8ivg.cloudfront.net/Documentos/631/43778440837/6314377844083708092023163034.pdf","https://dpmzos25m8ivg.cloudfront.net/Documentos/631/43778440837/6314377844083708092023163034.pdf")</f>
        <v>https://dpmzos25m8ivg.cloudfront.net/Documentos/631/43778440837/6314377844083708092023163034.pdf</v>
      </c>
      <c r="F6845" s="5" t="str">
        <f>HYPERLINK("https://dpmzos25m8ivg.cloudfront.net/Documentos/631/43778440837/6314377844083708092023163240.pdf","https://dpmzos25m8ivg.cloudfront.net/Documentos/631/43778440837/6314377844083708092023163240.pdf")</f>
        <v>https://dpmzos25m8ivg.cloudfront.net/Documentos/631/43778440837/6314377844083708092023163240.pdf</v>
      </c>
      <c r="G6845" s="5" t="str">
        <f>HYPERLINK("https://dpmzos25m8ivg.cloudfront.net/Documentos/631/43778440837/6314377844083708092023163252.pdf","https://dpmzos25m8ivg.cloudfront.net/Documentos/631/43778440837/6314377844083708092023163252.pdf")</f>
        <v>https://dpmzos25m8ivg.cloudfront.net/Documentos/631/43778440837/6314377844083708092023163252.pdf</v>
      </c>
      <c r="H6845" s="5" t="s">
        <v>15415</v>
      </c>
    </row>
    <row r="6846" spans="1:8" x14ac:dyDescent="0.25">
      <c r="A6846" s="2" t="s">
        <v>6873</v>
      </c>
      <c r="B6846" s="3" t="s">
        <v>2358</v>
      </c>
      <c r="C6846" s="3"/>
      <c r="D6846" s="3"/>
      <c r="E6846" s="5" t="str">
        <f>HYPERLINK("https://dpmzos25m8ivg.cloudfront.net/Documentos/631/43842039859/6314384203985905092023174523.pdf","https://dpmzos25m8ivg.cloudfront.net/Documentos/631/43842039859/6314384203985905092023174523.pdf")</f>
        <v>https://dpmzos25m8ivg.cloudfront.net/Documentos/631/43842039859/6314384203985905092023174523.pdf</v>
      </c>
      <c r="F6846" s="5" t="str">
        <f>HYPERLINK("https://dpmzos25m8ivg.cloudfront.net/Documentos/631/43842039859/6314384203985905092023174550.pdf","https://dpmzos25m8ivg.cloudfront.net/Documentos/631/43842039859/6314384203985905092023174550.pdf")</f>
        <v>https://dpmzos25m8ivg.cloudfront.net/Documentos/631/43842039859/6314384203985905092023174550.pdf</v>
      </c>
      <c r="G6846" s="5" t="str">
        <f>HYPERLINK("https://dpmzos25m8ivg.cloudfront.net/Documentos/631/43842039859/6314384203985905092023173537.pdf","https://dpmzos25m8ivg.cloudfront.net/Documentos/631/43842039859/6314384203985905092023173537.pdf")</f>
        <v>https://dpmzos25m8ivg.cloudfront.net/Documentos/631/43842039859/6314384203985905092023173537.pdf</v>
      </c>
      <c r="H6846" s="5" t="s">
        <v>15416</v>
      </c>
    </row>
    <row r="6847" spans="1:8" x14ac:dyDescent="0.25">
      <c r="A6847" s="2" t="s">
        <v>6874</v>
      </c>
      <c r="B6847" s="3"/>
      <c r="C6847" s="3"/>
      <c r="D6847" s="3"/>
      <c r="E6847" s="5" t="str">
        <f>HYPERLINK("https://dpmzos25m8ivg.cloudfront.net/Documentos/631/43850103234/6314385010323411092023115510.pdf","https://dpmzos25m8ivg.cloudfront.net/Documentos/631/43850103234/6314385010323411092023115510.pdf")</f>
        <v>https://dpmzos25m8ivg.cloudfront.net/Documentos/631/43850103234/6314385010323411092023115510.pdf</v>
      </c>
      <c r="F6847" s="5" t="str">
        <f>HYPERLINK("https://dpmzos25m8ivg.cloudfront.net/Documentos/631/43850103234/6314385010323411092023115534.pdf","https://dpmzos25m8ivg.cloudfront.net/Documentos/631/43850103234/6314385010323411092023115534.pdf")</f>
        <v>https://dpmzos25m8ivg.cloudfront.net/Documentos/631/43850103234/6314385010323411092023115534.pdf</v>
      </c>
      <c r="G6847" s="5" t="str">
        <f>HYPERLINK("https://dpmzos25m8ivg.cloudfront.net/Documentos/631/43850103234/6314385010323411092023115551.pdf","https://dpmzos25m8ivg.cloudfront.net/Documentos/631/43850103234/6314385010323411092023115551.pdf")</f>
        <v>https://dpmzos25m8ivg.cloudfront.net/Documentos/631/43850103234/6314385010323411092023115551.pdf</v>
      </c>
      <c r="H6847" s="5" t="s">
        <v>15417</v>
      </c>
    </row>
    <row r="6848" spans="1:8" x14ac:dyDescent="0.25">
      <c r="A6848" s="2" t="s">
        <v>6875</v>
      </c>
      <c r="B6848" s="3"/>
      <c r="C6848" s="3"/>
      <c r="D6848" s="3"/>
      <c r="E6848" s="5" t="str">
        <f>HYPERLINK("https://dpmzos25m8ivg.cloudfront.net/Documentos/631/43866050453/6314386605045307092023203543.pdf","https://dpmzos25m8ivg.cloudfront.net/Documentos/631/43866050453/6314386605045307092023203543.pdf")</f>
        <v>https://dpmzos25m8ivg.cloudfront.net/Documentos/631/43866050453/6314386605045307092023203543.pdf</v>
      </c>
      <c r="F6848" s="5" t="str">
        <f>HYPERLINK("https://dpmzos25m8ivg.cloudfront.net/Documentos/631/43866050453/6314386605045307092023203629.pdf","https://dpmzos25m8ivg.cloudfront.net/Documentos/631/43866050453/6314386605045307092023203629.pdf")</f>
        <v>https://dpmzos25m8ivg.cloudfront.net/Documentos/631/43866050453/6314386605045307092023203629.pdf</v>
      </c>
      <c r="G6848" s="5" t="str">
        <f>HYPERLINK("https://dpmzos25m8ivg.cloudfront.net/Documentos/631/43866050453/6314386605045307092023203712.pdf","https://dpmzos25m8ivg.cloudfront.net/Documentos/631/43866050453/6314386605045307092023203712.pdf")</f>
        <v>https://dpmzos25m8ivg.cloudfront.net/Documentos/631/43866050453/6314386605045307092023203712.pdf</v>
      </c>
      <c r="H6848" s="5" t="s">
        <v>15418</v>
      </c>
    </row>
    <row r="6849" spans="1:8" x14ac:dyDescent="0.25">
      <c r="A6849" s="2" t="s">
        <v>6876</v>
      </c>
      <c r="B6849" s="3"/>
      <c r="C6849" s="3"/>
      <c r="D6849" s="3"/>
      <c r="E6849" s="5" t="str">
        <f>HYPERLINK("https://dpmzos25m8ivg.cloudfront.net/Documentos/631/43872540840/6314387254084011092023141904.pdf","https://dpmzos25m8ivg.cloudfront.net/Documentos/631/43872540840/6314387254084011092023141904.pdf")</f>
        <v>https://dpmzos25m8ivg.cloudfront.net/Documentos/631/43872540840/6314387254084011092023141904.pdf</v>
      </c>
      <c r="F6849" s="5" t="str">
        <f>HYPERLINK("https://dpmzos25m8ivg.cloudfront.net/Documentos/631/43872540840/6314387254084011092023141935.pdf","https://dpmzos25m8ivg.cloudfront.net/Documentos/631/43872540840/6314387254084011092023141935.pdf")</f>
        <v>https://dpmzos25m8ivg.cloudfront.net/Documentos/631/43872540840/6314387254084011092023141935.pdf</v>
      </c>
      <c r="G6849" s="5" t="str">
        <f>HYPERLINK("https://dpmzos25m8ivg.cloudfront.net/Documentos/631/43872540840/6314387254084011092023141957.pdf","https://dpmzos25m8ivg.cloudfront.net/Documentos/631/43872540840/6314387254084011092023141957.pdf")</f>
        <v>https://dpmzos25m8ivg.cloudfront.net/Documentos/631/43872540840/6314387254084011092023141957.pdf</v>
      </c>
      <c r="H6849" s="5" t="s">
        <v>15419</v>
      </c>
    </row>
    <row r="6850" spans="1:8" x14ac:dyDescent="0.25">
      <c r="A6850" s="2" t="s">
        <v>6877</v>
      </c>
      <c r="B6850" s="3"/>
      <c r="C6850" s="3"/>
      <c r="D6850" s="3"/>
      <c r="E6850" s="5" t="str">
        <f>HYPERLINK("https://dpmzos25m8ivg.cloudfront.net/Documentos/631/43897053268/6314389705326811092023163521.pdf","https://dpmzos25m8ivg.cloudfront.net/Documentos/631/43897053268/6314389705326811092023163521.pdf")</f>
        <v>https://dpmzos25m8ivg.cloudfront.net/Documentos/631/43897053268/6314389705326811092023163521.pdf</v>
      </c>
      <c r="F6850" s="5" t="str">
        <f>HYPERLINK("https://dpmzos25m8ivg.cloudfront.net/Documentos/631/43897053268/6314389705326811092023163533.pdf","https://dpmzos25m8ivg.cloudfront.net/Documentos/631/43897053268/6314389705326811092023163533.pdf")</f>
        <v>https://dpmzos25m8ivg.cloudfront.net/Documentos/631/43897053268/6314389705326811092023163533.pdf</v>
      </c>
      <c r="G6850" s="5" t="str">
        <f>HYPERLINK("https://dpmzos25m8ivg.cloudfront.net/Documentos/631/43897053268/6314389705326811092023163545.pdf","https://dpmzos25m8ivg.cloudfront.net/Documentos/631/43897053268/6314389705326811092023163545.pdf")</f>
        <v>https://dpmzos25m8ivg.cloudfront.net/Documentos/631/43897053268/6314389705326811092023163545.pdf</v>
      </c>
      <c r="H6850" s="5" t="s">
        <v>15420</v>
      </c>
    </row>
    <row r="6851" spans="1:8" x14ac:dyDescent="0.25">
      <c r="A6851" s="2" t="s">
        <v>6878</v>
      </c>
      <c r="B6851" s="3"/>
      <c r="C6851" s="3"/>
      <c r="D6851" s="3"/>
      <c r="E6851" s="5" t="str">
        <f>HYPERLINK("https://dpmzos25m8ivg.cloudfront.net/Documentos/631/43909990444/6314390999044411092023150658.pdf","https://dpmzos25m8ivg.cloudfront.net/Documentos/631/43909990444/6314390999044411092023150658.pdf")</f>
        <v>https://dpmzos25m8ivg.cloudfront.net/Documentos/631/43909990444/6314390999044411092023150658.pdf</v>
      </c>
      <c r="F6851" s="5" t="str">
        <f>HYPERLINK("https://dpmzos25m8ivg.cloudfront.net/Documentos/631/43909990444/6314390999044411092023150733.pdf","https://dpmzos25m8ivg.cloudfront.net/Documentos/631/43909990444/6314390999044411092023150733.pdf")</f>
        <v>https://dpmzos25m8ivg.cloudfront.net/Documentos/631/43909990444/6314390999044411092023150733.pdf</v>
      </c>
      <c r="G6851" s="5" t="str">
        <f>HYPERLINK("https://dpmzos25m8ivg.cloudfront.net/Documentos/631/43909990444/6314390999044411092023150756.pdf","https://dpmzos25m8ivg.cloudfront.net/Documentos/631/43909990444/6314390999044411092023150756.pdf")</f>
        <v>https://dpmzos25m8ivg.cloudfront.net/Documentos/631/43909990444/6314390999044411092023150756.pdf</v>
      </c>
      <c r="H6851" s="5" t="s">
        <v>15421</v>
      </c>
    </row>
    <row r="6852" spans="1:8" x14ac:dyDescent="0.25">
      <c r="A6852" s="2" t="s">
        <v>6879</v>
      </c>
      <c r="B6852" s="3" t="s">
        <v>2358</v>
      </c>
      <c r="C6852" s="3"/>
      <c r="D6852" s="3"/>
      <c r="E6852" s="5" t="str">
        <f>HYPERLINK("https://dpmzos25m8ivg.cloudfront.net/Documentos/631/43913947825/6314391394782511092023124035.pdf","https://dpmzos25m8ivg.cloudfront.net/Documentos/631/43913947825/6314391394782511092023124035.pdf")</f>
        <v>https://dpmzos25m8ivg.cloudfront.net/Documentos/631/43913947825/6314391394782511092023124035.pdf</v>
      </c>
      <c r="F6852" s="5" t="str">
        <f>HYPERLINK("https://dpmzos25m8ivg.cloudfront.net/Documentos/631/43913947825/6314391394782511092023124052.pdf","https://dpmzos25m8ivg.cloudfront.net/Documentos/631/43913947825/6314391394782511092023124052.pdf")</f>
        <v>https://dpmzos25m8ivg.cloudfront.net/Documentos/631/43913947825/6314391394782511092023124052.pdf</v>
      </c>
      <c r="G6852" s="5" t="str">
        <f>HYPERLINK("https://dpmzos25m8ivg.cloudfront.net/Documentos/631/43913947825/6314391394782511092023124108.pdf","https://dpmzos25m8ivg.cloudfront.net/Documentos/631/43913947825/6314391394782511092023124108.pdf")</f>
        <v>https://dpmzos25m8ivg.cloudfront.net/Documentos/631/43913947825/6314391394782511092023124108.pdf</v>
      </c>
      <c r="H6852" s="5" t="s">
        <v>15422</v>
      </c>
    </row>
    <row r="6853" spans="1:8" x14ac:dyDescent="0.25">
      <c r="A6853" s="2" t="s">
        <v>6880</v>
      </c>
      <c r="B6853" s="3"/>
      <c r="C6853" s="3"/>
      <c r="D6853" s="3"/>
      <c r="E6853" s="5" t="str">
        <f>HYPERLINK("https://dpmzos25m8ivg.cloudfront.net/Documentos/631/43921729882/6314392172988208092023165405.pdf","https://dpmzos25m8ivg.cloudfront.net/Documentos/631/43921729882/6314392172988208092023165405.pdf")</f>
        <v>https://dpmzos25m8ivg.cloudfront.net/Documentos/631/43921729882/6314392172988208092023165405.pdf</v>
      </c>
      <c r="F6853" s="5" t="str">
        <f>HYPERLINK("https://dpmzos25m8ivg.cloudfront.net/Documentos/631/43921729882/6314392172988208092023165417.pdf","https://dpmzos25m8ivg.cloudfront.net/Documentos/631/43921729882/6314392172988208092023165417.pdf")</f>
        <v>https://dpmzos25m8ivg.cloudfront.net/Documentos/631/43921729882/6314392172988208092023165417.pdf</v>
      </c>
      <c r="G6853" s="5" t="str">
        <f>HYPERLINK("https://dpmzos25m8ivg.cloudfront.net/Documentos/631/43921729882/6314392172988208092023165441.pdf","https://dpmzos25m8ivg.cloudfront.net/Documentos/631/43921729882/6314392172988208092023165441.pdf")</f>
        <v>https://dpmzos25m8ivg.cloudfront.net/Documentos/631/43921729882/6314392172988208092023165441.pdf</v>
      </c>
      <c r="H6853" s="5" t="s">
        <v>15423</v>
      </c>
    </row>
    <row r="6854" spans="1:8" x14ac:dyDescent="0.25">
      <c r="A6854" s="2" t="s">
        <v>6881</v>
      </c>
      <c r="B6854" s="3"/>
      <c r="C6854" s="3"/>
      <c r="D6854" s="3"/>
      <c r="E6854" s="5" t="str">
        <f>HYPERLINK("https://dpmzos25m8ivg.cloudfront.net/Documentos/631/43963943572/6314396394357208092023120033.jpeg","https://dpmzos25m8ivg.cloudfront.net/Documentos/631/43963943572/6314396394357208092023120033.jpeg")</f>
        <v>https://dpmzos25m8ivg.cloudfront.net/Documentos/631/43963943572/6314396394357208092023120033.jpeg</v>
      </c>
      <c r="F6854" s="5" t="str">
        <f>HYPERLINK("https://dpmzos25m8ivg.cloudfront.net/Documentos/631/43963943572/6314396394357208092023120054.jpeg","https://dpmzos25m8ivg.cloudfront.net/Documentos/631/43963943572/6314396394357208092023120054.jpeg")</f>
        <v>https://dpmzos25m8ivg.cloudfront.net/Documentos/631/43963943572/6314396394357208092023120054.jpeg</v>
      </c>
      <c r="G6854" s="5" t="str">
        <f>HYPERLINK("https://dpmzos25m8ivg.cloudfront.net/Documentos/631/43963943572/6314396394357208092023120812.jpeg","https://dpmzos25m8ivg.cloudfront.net/Documentos/631/43963943572/6314396394357208092023120812.jpeg")</f>
        <v>https://dpmzos25m8ivg.cloudfront.net/Documentos/631/43963943572/6314396394357208092023120812.jpeg</v>
      </c>
      <c r="H6854" s="5" t="s">
        <v>15424</v>
      </c>
    </row>
    <row r="6855" spans="1:8" x14ac:dyDescent="0.25">
      <c r="A6855" s="2" t="s">
        <v>6882</v>
      </c>
      <c r="B6855" s="3"/>
      <c r="C6855" s="3"/>
      <c r="D6855" s="3"/>
      <c r="E6855" s="5" t="str">
        <f>HYPERLINK("https://dpmzos25m8ivg.cloudfront.net/Documentos/631/43984282249/6314398428224905092023092712.pdf","https://dpmzos25m8ivg.cloudfront.net/Documentos/631/43984282249/6314398428224905092023092712.pdf")</f>
        <v>https://dpmzos25m8ivg.cloudfront.net/Documentos/631/43984282249/6314398428224905092023092712.pdf</v>
      </c>
      <c r="F6855" s="5" t="str">
        <f>HYPERLINK("https://dpmzos25m8ivg.cloudfront.net/Documentos/631/43984282249/6314398428224905092023092737.pdf","https://dpmzos25m8ivg.cloudfront.net/Documentos/631/43984282249/6314398428224905092023092737.pdf")</f>
        <v>https://dpmzos25m8ivg.cloudfront.net/Documentos/631/43984282249/6314398428224905092023092737.pdf</v>
      </c>
      <c r="G6855" s="5" t="str">
        <f>HYPERLINK("https://dpmzos25m8ivg.cloudfront.net/Documentos/631/43984282249/6314398428224905092023092808.pdf","https://dpmzos25m8ivg.cloudfront.net/Documentos/631/43984282249/6314398428224905092023092808.pdf")</f>
        <v>https://dpmzos25m8ivg.cloudfront.net/Documentos/631/43984282249/6314398428224905092023092808.pdf</v>
      </c>
      <c r="H6855" s="5" t="s">
        <v>15425</v>
      </c>
    </row>
    <row r="6856" spans="1:8" x14ac:dyDescent="0.25">
      <c r="A6856" s="2" t="s">
        <v>6883</v>
      </c>
      <c r="B6856" s="3"/>
      <c r="C6856" s="3"/>
      <c r="D6856" s="3"/>
      <c r="E6856" s="5" t="str">
        <f>HYPERLINK("https://dpmzos25m8ivg.cloudfront.net/Documentos/631/43990971832/6314399097183211092023135625.jpeg","https://dpmzos25m8ivg.cloudfront.net/Documentos/631/43990971832/6314399097183211092023135625.jpeg")</f>
        <v>https://dpmzos25m8ivg.cloudfront.net/Documentos/631/43990971832/6314399097183211092023135625.jpeg</v>
      </c>
      <c r="F6856" s="5" t="str">
        <f>HYPERLINK("https://dpmzos25m8ivg.cloudfront.net/Documentos/631/43990971832/6314399097183211092023135642.jpeg","https://dpmzos25m8ivg.cloudfront.net/Documentos/631/43990971832/6314399097183211092023135642.jpeg")</f>
        <v>https://dpmzos25m8ivg.cloudfront.net/Documentos/631/43990971832/6314399097183211092023135642.jpeg</v>
      </c>
      <c r="G6856" s="5" t="str">
        <f>HYPERLINK("https://dpmzos25m8ivg.cloudfront.net/Documentos/631/43990971832/6314399097183211092023135654.jpeg","https://dpmzos25m8ivg.cloudfront.net/Documentos/631/43990971832/6314399097183211092023135654.jpeg")</f>
        <v>https://dpmzos25m8ivg.cloudfront.net/Documentos/631/43990971832/6314399097183211092023135654.jpeg</v>
      </c>
      <c r="H6856" s="5" t="s">
        <v>15426</v>
      </c>
    </row>
    <row r="6857" spans="1:8" x14ac:dyDescent="0.25">
      <c r="A6857" s="2" t="s">
        <v>6884</v>
      </c>
      <c r="B6857" s="3"/>
      <c r="C6857" s="3"/>
      <c r="D6857" s="3"/>
      <c r="E6857" s="5" t="str">
        <f>HYPERLINK("https://dpmzos25m8ivg.cloudfront.net/Documentos/631/44003131827/6314400313182711092023111156.pdf","https://dpmzos25m8ivg.cloudfront.net/Documentos/631/44003131827/6314400313182711092023111156.pdf")</f>
        <v>https://dpmzos25m8ivg.cloudfront.net/Documentos/631/44003131827/6314400313182711092023111156.pdf</v>
      </c>
      <c r="F6857" s="5" t="str">
        <f>HYPERLINK("https://dpmzos25m8ivg.cloudfront.net/Documentos/631/44003131827/6314400313182711092023111214.pdf","https://dpmzos25m8ivg.cloudfront.net/Documentos/631/44003131827/6314400313182711092023111214.pdf")</f>
        <v>https://dpmzos25m8ivg.cloudfront.net/Documentos/631/44003131827/6314400313182711092023111214.pdf</v>
      </c>
      <c r="G6857" s="5" t="str">
        <f>HYPERLINK("https://dpmzos25m8ivg.cloudfront.net/Documentos/631/44003131827/6314400313182711092023111727.pdf","https://dpmzos25m8ivg.cloudfront.net/Documentos/631/44003131827/6314400313182711092023111727.pdf")</f>
        <v>https://dpmzos25m8ivg.cloudfront.net/Documentos/631/44003131827/6314400313182711092023111727.pdf</v>
      </c>
      <c r="H6857" s="5" t="s">
        <v>15427</v>
      </c>
    </row>
    <row r="6858" spans="1:8" x14ac:dyDescent="0.25">
      <c r="A6858" s="2" t="s">
        <v>6885</v>
      </c>
      <c r="B6858" s="3"/>
      <c r="C6858" s="3"/>
      <c r="D6858" s="3"/>
      <c r="E6858" s="5" t="str">
        <f>HYPERLINK("https://dpmzos25m8ivg.cloudfront.net/Documentos/631/44017231802/6314401723180210092023213725.pdf","https://dpmzos25m8ivg.cloudfront.net/Documentos/631/44017231802/6314401723180210092023213725.pdf")</f>
        <v>https://dpmzos25m8ivg.cloudfront.net/Documentos/631/44017231802/6314401723180210092023213725.pdf</v>
      </c>
      <c r="F6858" s="5" t="str">
        <f>HYPERLINK("https://dpmzos25m8ivg.cloudfront.net/Documentos/631/44017231802/6314401723180210092023213736.pdf","https://dpmzos25m8ivg.cloudfront.net/Documentos/631/44017231802/6314401723180210092023213736.pdf")</f>
        <v>https://dpmzos25m8ivg.cloudfront.net/Documentos/631/44017231802/6314401723180210092023213736.pdf</v>
      </c>
      <c r="G6858" s="5" t="str">
        <f>HYPERLINK("https://dpmzos25m8ivg.cloudfront.net/Documentos/631/44017231802/6314401723180210092023213751.pdf","https://dpmzos25m8ivg.cloudfront.net/Documentos/631/44017231802/6314401723180210092023213751.pdf")</f>
        <v>https://dpmzos25m8ivg.cloudfront.net/Documentos/631/44017231802/6314401723180210092023213751.pdf</v>
      </c>
      <c r="H6858" s="5" t="s">
        <v>15428</v>
      </c>
    </row>
    <row r="6859" spans="1:8" x14ac:dyDescent="0.25">
      <c r="A6859" s="14" t="s">
        <v>6886</v>
      </c>
      <c r="B6859" s="3" t="s">
        <v>42</v>
      </c>
      <c r="C6859" s="3"/>
      <c r="D6859" s="3"/>
      <c r="E6859" s="25" t="str">
        <f>HYPERLINK("https://dpmzos25m8ivg.cloudfront.net/Documentos/631/44100795904/6314410079590413092023230707.pdf","https://dpmzos25m8ivg.cloudfront.net/Documentos/631/44100795904/6314410079590413092023230707.pdf")</f>
        <v>https://dpmzos25m8ivg.cloudfront.net/Documentos/631/44100795904/6314410079590413092023230707.pdf</v>
      </c>
      <c r="F6859" s="25" t="str">
        <f>HYPERLINK("https://dpmzos25m8ivg.cloudfront.net/Documentos/631/44100795904/6314410079590413092023231136.pdf","https://dpmzos25m8ivg.cloudfront.net/Documentos/631/44100795904/6314410079590413092023231136.pdf")</f>
        <v>https://dpmzos25m8ivg.cloudfront.net/Documentos/631/44100795904/6314410079590413092023231136.pdf</v>
      </c>
      <c r="G6859" s="26" t="str">
        <f>HYPERLINK("https://dpmzos25m8ivg.cloudfront.net/Documentos/631/44100795904/6314410079590413092023231418.pdf","https://dpmzos25m8ivg.cloudfront.net/Documentos/631/44100795904/6314410079590413092023231418.pdf")</f>
        <v>https://dpmzos25m8ivg.cloudfront.net/Documentos/631/44100795904/6314410079590413092023231418.pdf</v>
      </c>
      <c r="H6859" s="26" t="s">
        <v>15429</v>
      </c>
    </row>
    <row r="6860" spans="1:8" x14ac:dyDescent="0.25">
      <c r="A6860" s="2" t="s">
        <v>6887</v>
      </c>
      <c r="B6860" s="3"/>
      <c r="C6860" s="3"/>
      <c r="D6860" s="3"/>
      <c r="E6860" s="5" t="str">
        <f>HYPERLINK("https://dpmzos25m8ivg.cloudfront.net/Documentos/631/44103274883/6314410327488305092023155252.pdf","https://dpmzos25m8ivg.cloudfront.net/Documentos/631/44103274883/6314410327488305092023155252.pdf")</f>
        <v>https://dpmzos25m8ivg.cloudfront.net/Documentos/631/44103274883/6314410327488305092023155252.pdf</v>
      </c>
      <c r="F6860" s="5" t="str">
        <f>HYPERLINK("https://dpmzos25m8ivg.cloudfront.net/Documentos/631/44103274883/6314410327488305092023155305.pdf","https://dpmzos25m8ivg.cloudfront.net/Documentos/631/44103274883/6314410327488305092023155305.pdf")</f>
        <v>https://dpmzos25m8ivg.cloudfront.net/Documentos/631/44103274883/6314410327488305092023155305.pdf</v>
      </c>
      <c r="G6860" s="5" t="str">
        <f>HYPERLINK("https://dpmzos25m8ivg.cloudfront.net/Documentos/631/44103274883/6314410327488305092023155315.pdf","https://dpmzos25m8ivg.cloudfront.net/Documentos/631/44103274883/6314410327488305092023155315.pdf")</f>
        <v>https://dpmzos25m8ivg.cloudfront.net/Documentos/631/44103274883/6314410327488305092023155315.pdf</v>
      </c>
      <c r="H6860" s="5" t="s">
        <v>15430</v>
      </c>
    </row>
    <row r="6861" spans="1:8" x14ac:dyDescent="0.25">
      <c r="A6861" s="2" t="s">
        <v>6888</v>
      </c>
      <c r="B6861" s="6" t="s">
        <v>23</v>
      </c>
      <c r="C6861" s="3"/>
      <c r="D6861" s="3"/>
      <c r="E6861" s="5" t="str">
        <f>HYPERLINK("https://dpmzos25m8ivg.cloudfront.net/Documentos/631/44110456568/6314411045656810092023172426.jpg","https://dpmzos25m8ivg.cloudfront.net/Documentos/631/44110456568/6314411045656810092023172426.jpg")</f>
        <v>https://dpmzos25m8ivg.cloudfront.net/Documentos/631/44110456568/6314411045656810092023172426.jpg</v>
      </c>
      <c r="F6861" s="5" t="str">
        <f>HYPERLINK("https://dpmzos25m8ivg.cloudfront.net/Documentos/631/44110456568/6314411045656810092023175647.jpg","https://dpmzos25m8ivg.cloudfront.net/Documentos/631/44110456568/6314411045656810092023175647.jpg")</f>
        <v>https://dpmzos25m8ivg.cloudfront.net/Documentos/631/44110456568/6314411045656810092023175647.jpg</v>
      </c>
      <c r="G6861" s="5" t="str">
        <f>HYPERLINK("https://dpmzos25m8ivg.cloudfront.net/Documentos/631/44110456568/6314411045656810092023175806.jpg","https://dpmzos25m8ivg.cloudfront.net/Documentos/631/44110456568/6314411045656810092023175806.jpg")</f>
        <v>https://dpmzos25m8ivg.cloudfront.net/Documentos/631/44110456568/6314411045656810092023175806.jpg</v>
      </c>
      <c r="H6861" s="5" t="s">
        <v>15431</v>
      </c>
    </row>
    <row r="6862" spans="1:8" x14ac:dyDescent="0.25">
      <c r="A6862" s="2" t="s">
        <v>6889</v>
      </c>
      <c r="B6862" s="3"/>
      <c r="C6862" s="3"/>
      <c r="D6862" s="3"/>
      <c r="E6862" s="5" t="str">
        <f>HYPERLINK("https://dpmzos25m8ivg.cloudfront.net/Documentos/631/44121868811/6314412186881111092023155146.jpg","https://dpmzos25m8ivg.cloudfront.net/Documentos/631/44121868811/6314412186881111092023155146.jpg")</f>
        <v>https://dpmzos25m8ivg.cloudfront.net/Documentos/631/44121868811/6314412186881111092023155146.jpg</v>
      </c>
      <c r="F6862" s="5" t="str">
        <f>HYPERLINK("https://dpmzos25m8ivg.cloudfront.net/Documentos/631/44121868811/6314412186881111092023155202.jpg","https://dpmzos25m8ivg.cloudfront.net/Documentos/631/44121868811/6314412186881111092023155202.jpg")</f>
        <v>https://dpmzos25m8ivg.cloudfront.net/Documentos/631/44121868811/6314412186881111092023155202.jpg</v>
      </c>
      <c r="G6862" s="5" t="str">
        <f>HYPERLINK("https://dpmzos25m8ivg.cloudfront.net/Documentos/631/44121868811/6314412186881111092023155214.jpg","https://dpmzos25m8ivg.cloudfront.net/Documentos/631/44121868811/6314412186881111092023155214.jpg")</f>
        <v>https://dpmzos25m8ivg.cloudfront.net/Documentos/631/44121868811/6314412186881111092023155214.jpg</v>
      </c>
      <c r="H6862" s="5" t="s">
        <v>15432</v>
      </c>
    </row>
    <row r="6863" spans="1:8" x14ac:dyDescent="0.25">
      <c r="A6863" s="2" t="s">
        <v>6890</v>
      </c>
      <c r="B6863" s="3"/>
      <c r="C6863" s="3"/>
      <c r="D6863" s="3"/>
      <c r="E6863" s="5" t="str">
        <f>HYPERLINK("https://dpmzos25m8ivg.cloudfront.net/Documentos/631/44198396434/6314419839643405092023180059.pdf","https://dpmzos25m8ivg.cloudfront.net/Documentos/631/44198396434/6314419839643405092023180059.pdf")</f>
        <v>https://dpmzos25m8ivg.cloudfront.net/Documentos/631/44198396434/6314419839643405092023180059.pdf</v>
      </c>
      <c r="F6863" s="5" t="str">
        <f>HYPERLINK("https://dpmzos25m8ivg.cloudfront.net/Documentos/631/44198396434/6314419839643405092023182925.pdf","https://dpmzos25m8ivg.cloudfront.net/Documentos/631/44198396434/6314419839643405092023182925.pdf")</f>
        <v>https://dpmzos25m8ivg.cloudfront.net/Documentos/631/44198396434/6314419839643405092023182925.pdf</v>
      </c>
      <c r="G6863" s="5" t="str">
        <f>HYPERLINK("https://dpmzos25m8ivg.cloudfront.net/Documentos/631/44198396434/6314419839643405092023182949.pdf","https://dpmzos25m8ivg.cloudfront.net/Documentos/631/44198396434/6314419839643405092023182949.pdf")</f>
        <v>https://dpmzos25m8ivg.cloudfront.net/Documentos/631/44198396434/6314419839643405092023182949.pdf</v>
      </c>
      <c r="H6863" s="5" t="s">
        <v>15433</v>
      </c>
    </row>
    <row r="6864" spans="1:8" x14ac:dyDescent="0.25">
      <c r="A6864" s="2" t="s">
        <v>6891</v>
      </c>
      <c r="B6864" s="3" t="s">
        <v>42</v>
      </c>
      <c r="C6864" s="3"/>
      <c r="D6864" s="3"/>
      <c r="E6864" s="5" t="str">
        <f>HYPERLINK("https://dpmzos25m8ivg.cloudfront.net/Documentos/631/44214117875/6314421411787511092023130926.pdf","https://dpmzos25m8ivg.cloudfront.net/Documentos/631/44214117875/6314421411787511092023130926.pdf")</f>
        <v>https://dpmzos25m8ivg.cloudfront.net/Documentos/631/44214117875/6314421411787511092023130926.pdf</v>
      </c>
      <c r="F6864" s="5" t="str">
        <f>HYPERLINK("https://dpmzos25m8ivg.cloudfront.net/Documentos/631/44214117875/6314421411787511092023130935.pdf","https://dpmzos25m8ivg.cloudfront.net/Documentos/631/44214117875/6314421411787511092023130935.pdf")</f>
        <v>https://dpmzos25m8ivg.cloudfront.net/Documentos/631/44214117875/6314421411787511092023130935.pdf</v>
      </c>
      <c r="G6864" s="5" t="str">
        <f>HYPERLINK("https://dpmzos25m8ivg.cloudfront.net/Documentos/631/44214117875/6314421411787511092023130942.pdf","https://dpmzos25m8ivg.cloudfront.net/Documentos/631/44214117875/6314421411787511092023130942.pdf")</f>
        <v>https://dpmzos25m8ivg.cloudfront.net/Documentos/631/44214117875/6314421411787511092023130942.pdf</v>
      </c>
      <c r="H6864" s="5" t="s">
        <v>15434</v>
      </c>
    </row>
    <row r="6865" spans="1:8" x14ac:dyDescent="0.25">
      <c r="A6865" s="2" t="s">
        <v>6892</v>
      </c>
      <c r="B6865" s="3"/>
      <c r="C6865" s="3"/>
      <c r="D6865" s="3"/>
      <c r="E6865" s="5" t="str">
        <f>HYPERLINK("https://dpmzos25m8ivg.cloudfront.net/Documentos/631/44228861857/6314422886185705092023232406.jpg","https://dpmzos25m8ivg.cloudfront.net/Documentos/631/44228861857/6314422886185705092023232406.jpg")</f>
        <v>https://dpmzos25m8ivg.cloudfront.net/Documentos/631/44228861857/6314422886185705092023232406.jpg</v>
      </c>
      <c r="F6865" s="5" t="str">
        <f>HYPERLINK("https://dpmzos25m8ivg.cloudfront.net/Documentos/631/44228861857/6314422886185705092023232415.jpg","https://dpmzos25m8ivg.cloudfront.net/Documentos/631/44228861857/6314422886185705092023232415.jpg")</f>
        <v>https://dpmzos25m8ivg.cloudfront.net/Documentos/631/44228861857/6314422886185705092023232415.jpg</v>
      </c>
      <c r="G6865" s="5" t="str">
        <f>HYPERLINK("https://dpmzos25m8ivg.cloudfront.net/Documentos/631/44228861857/6314422886185705092023232428.jpg","https://dpmzos25m8ivg.cloudfront.net/Documentos/631/44228861857/6314422886185705092023232428.jpg")</f>
        <v>https://dpmzos25m8ivg.cloudfront.net/Documentos/631/44228861857/6314422886185705092023232428.jpg</v>
      </c>
      <c r="H6865" s="5" t="s">
        <v>15435</v>
      </c>
    </row>
    <row r="6866" spans="1:8" x14ac:dyDescent="0.25">
      <c r="A6866" s="2" t="s">
        <v>6893</v>
      </c>
      <c r="B6866" s="3"/>
      <c r="C6866" s="3"/>
      <c r="D6866" s="3"/>
      <c r="E6866" s="5" t="str">
        <f>HYPERLINK("https://dpmzos25m8ivg.cloudfront.net/Documentos/631/44229470525/6314422947052511092023171339.jpeg","https://dpmzos25m8ivg.cloudfront.net/Documentos/631/44229470525/6314422947052511092023171339.jpeg")</f>
        <v>https://dpmzos25m8ivg.cloudfront.net/Documentos/631/44229470525/6314422947052511092023171339.jpeg</v>
      </c>
      <c r="F6866" s="5" t="str">
        <f>HYPERLINK("https://dpmzos25m8ivg.cloudfront.net/Documentos/631/44229470525/6314422947052511092023171439.jpeg","https://dpmzos25m8ivg.cloudfront.net/Documentos/631/44229470525/6314422947052511092023171439.jpeg")</f>
        <v>https://dpmzos25m8ivg.cloudfront.net/Documentos/631/44229470525/6314422947052511092023171439.jpeg</v>
      </c>
      <c r="G6866" s="5" t="str">
        <f>HYPERLINK("https://dpmzos25m8ivg.cloudfront.net/Documentos/631/44229470525/6314422947052511092023171526.jpeg","https://dpmzos25m8ivg.cloudfront.net/Documentos/631/44229470525/6314422947052511092023171526.jpeg")</f>
        <v>https://dpmzos25m8ivg.cloudfront.net/Documentos/631/44229470525/6314422947052511092023171526.jpeg</v>
      </c>
      <c r="H6866" s="5" t="s">
        <v>15436</v>
      </c>
    </row>
    <row r="6867" spans="1:8" x14ac:dyDescent="0.25">
      <c r="A6867" s="2" t="s">
        <v>6894</v>
      </c>
      <c r="B6867" s="3"/>
      <c r="C6867" s="3"/>
      <c r="D6867" s="3"/>
      <c r="E6867" s="5" t="str">
        <f>HYPERLINK("https://dpmzos25m8ivg.cloudfront.net/Documentos/631/44242146809/6314424214680914092023111011.pdf","https://dpmzos25m8ivg.cloudfront.net/Documentos/631/44242146809/6314424214680914092023111011.pdf")</f>
        <v>https://dpmzos25m8ivg.cloudfront.net/Documentos/631/44242146809/6314424214680914092023111011.pdf</v>
      </c>
      <c r="F6867" s="5" t="str">
        <f>HYPERLINK("https://dpmzos25m8ivg.cloudfront.net/Documentos/631/44242146809/6314424214680914092023111022.pdf","https://dpmzos25m8ivg.cloudfront.net/Documentos/631/44242146809/6314424214680914092023111022.pdf")</f>
        <v>https://dpmzos25m8ivg.cloudfront.net/Documentos/631/44242146809/6314424214680914092023111022.pdf</v>
      </c>
      <c r="G6867" s="5" t="str">
        <f>HYPERLINK("https://dpmzos25m8ivg.cloudfront.net/Documentos/631/44242146809/6314424214680914092023111029.pdf","https://dpmzos25m8ivg.cloudfront.net/Documentos/631/44242146809/6314424214680914092023111029.pdf")</f>
        <v>https://dpmzos25m8ivg.cloudfront.net/Documentos/631/44242146809/6314424214680914092023111029.pdf</v>
      </c>
      <c r="H6867" s="5" t="s">
        <v>15437</v>
      </c>
    </row>
    <row r="6868" spans="1:8" x14ac:dyDescent="0.25">
      <c r="A6868" s="2" t="s">
        <v>6895</v>
      </c>
      <c r="B6868" s="3"/>
      <c r="C6868" s="3"/>
      <c r="D6868" s="3"/>
      <c r="E6868" s="5" t="str">
        <f>HYPERLINK("https://dpmzos25m8ivg.cloudfront.net/Documentos/631/44261918404/6314426191840406092023124428.pdf","https://dpmzos25m8ivg.cloudfront.net/Documentos/631/44261918404/6314426191840406092023124428.pdf")</f>
        <v>https://dpmzos25m8ivg.cloudfront.net/Documentos/631/44261918404/6314426191840406092023124428.pdf</v>
      </c>
      <c r="F6868" s="5" t="str">
        <f>HYPERLINK("https://dpmzos25m8ivg.cloudfront.net/Documentos/631/44261918404/6314426191840406092023125036.pdf","https://dpmzos25m8ivg.cloudfront.net/Documentos/631/44261918404/6314426191840406092023125036.pdf")</f>
        <v>https://dpmzos25m8ivg.cloudfront.net/Documentos/631/44261918404/6314426191840406092023125036.pdf</v>
      </c>
      <c r="G6868" s="5" t="str">
        <f>HYPERLINK("https://dpmzos25m8ivg.cloudfront.net/Documentos/631/44261918404/6314426191840406092023063212.pdf","https://dpmzos25m8ivg.cloudfront.net/Documentos/631/44261918404/6314426191840406092023063212.pdf")</f>
        <v>https://dpmzos25m8ivg.cloudfront.net/Documentos/631/44261918404/6314426191840406092023063212.pdf</v>
      </c>
      <c r="H6868" s="5" t="s">
        <v>15438</v>
      </c>
    </row>
    <row r="6869" spans="1:8" x14ac:dyDescent="0.25">
      <c r="A6869" s="2" t="s">
        <v>6896</v>
      </c>
      <c r="B6869" s="3"/>
      <c r="C6869" s="3"/>
      <c r="D6869" s="3"/>
      <c r="E6869" s="5" t="str">
        <f>HYPERLINK("https://dpmzos25m8ivg.cloudfront.net/Documentos/631/44305176491/6314430517649109092023000226.pdf","https://dpmzos25m8ivg.cloudfront.net/Documentos/631/44305176491/6314430517649109092023000226.pdf")</f>
        <v>https://dpmzos25m8ivg.cloudfront.net/Documentos/631/44305176491/6314430517649109092023000226.pdf</v>
      </c>
      <c r="F6869" s="5" t="str">
        <f>HYPERLINK("https://dpmzos25m8ivg.cloudfront.net/Documentos/631/44305176491/6314430517649109092023000301.pdf","https://dpmzos25m8ivg.cloudfront.net/Documentos/631/44305176491/6314430517649109092023000301.pdf")</f>
        <v>https://dpmzos25m8ivg.cloudfront.net/Documentos/631/44305176491/6314430517649109092023000301.pdf</v>
      </c>
      <c r="G6869" s="5" t="str">
        <f>HYPERLINK("https://dpmzos25m8ivg.cloudfront.net/Documentos/631/44305176491/6314430517649109092023000328.pdf","https://dpmzos25m8ivg.cloudfront.net/Documentos/631/44305176491/6314430517649109092023000328.pdf")</f>
        <v>https://dpmzos25m8ivg.cloudfront.net/Documentos/631/44305176491/6314430517649109092023000328.pdf</v>
      </c>
      <c r="H6869" s="5" t="s">
        <v>15439</v>
      </c>
    </row>
    <row r="6870" spans="1:8" x14ac:dyDescent="0.25">
      <c r="A6870" s="2" t="s">
        <v>6897</v>
      </c>
      <c r="B6870" s="3" t="s">
        <v>8</v>
      </c>
      <c r="C6870" s="3"/>
      <c r="D6870" s="3"/>
      <c r="E6870" s="5" t="str">
        <f>HYPERLINK("https://dpmzos25m8ivg.cloudfront.net/Documentos/631/44308565839/6314430856583905092023120624.pdf","https://dpmzos25m8ivg.cloudfront.net/Documentos/631/44308565839/6314430856583905092023120624.pdf")</f>
        <v>https://dpmzos25m8ivg.cloudfront.net/Documentos/631/44308565839/6314430856583905092023120624.pdf</v>
      </c>
      <c r="F6870" s="5" t="str">
        <f>HYPERLINK("https://dpmzos25m8ivg.cloudfront.net/Documentos/631/44308565839/6314430856583905092023120714.pdf","https://dpmzos25m8ivg.cloudfront.net/Documentos/631/44308565839/6314430856583905092023120714.pdf")</f>
        <v>https://dpmzos25m8ivg.cloudfront.net/Documentos/631/44308565839/6314430856583905092023120714.pdf</v>
      </c>
      <c r="G6870" s="5" t="str">
        <f>HYPERLINK("https://dpmzos25m8ivg.cloudfront.net/Documentos/631/44308565839/6314430856583905092023120650.pdf","https://dpmzos25m8ivg.cloudfront.net/Documentos/631/44308565839/6314430856583905092023120650.pdf")</f>
        <v>https://dpmzos25m8ivg.cloudfront.net/Documentos/631/44308565839/6314430856583905092023120650.pdf</v>
      </c>
      <c r="H6870" s="5" t="s">
        <v>15440</v>
      </c>
    </row>
    <row r="6871" spans="1:8" x14ac:dyDescent="0.25">
      <c r="A6871" s="2" t="s">
        <v>6898</v>
      </c>
      <c r="B6871" s="3"/>
      <c r="C6871" s="3"/>
      <c r="D6871" s="3"/>
      <c r="E6871" s="5" t="str">
        <f>HYPERLINK("https://dpmzos25m8ivg.cloudfront.net/Documentos/631/44405680841/6314440568084105092023210918.pdf","https://dpmzos25m8ivg.cloudfront.net/Documentos/631/44405680841/6314440568084105092023210918.pdf")</f>
        <v>https://dpmzos25m8ivg.cloudfront.net/Documentos/631/44405680841/6314440568084105092023210918.pdf</v>
      </c>
      <c r="F6871" s="5" t="str">
        <f>HYPERLINK("https://dpmzos25m8ivg.cloudfront.net/Documentos/631/44405680841/6314440568084105092023210940.pdf","https://dpmzos25m8ivg.cloudfront.net/Documentos/631/44405680841/6314440568084105092023210940.pdf")</f>
        <v>https://dpmzos25m8ivg.cloudfront.net/Documentos/631/44405680841/6314440568084105092023210940.pdf</v>
      </c>
      <c r="G6871" s="5" t="str">
        <f>HYPERLINK("https://dpmzos25m8ivg.cloudfront.net/Documentos/631/44405680841/6314440568084105092023210950.pdf","https://dpmzos25m8ivg.cloudfront.net/Documentos/631/44405680841/6314440568084105092023210950.pdf")</f>
        <v>https://dpmzos25m8ivg.cloudfront.net/Documentos/631/44405680841/6314440568084105092023210950.pdf</v>
      </c>
      <c r="H6871" s="5" t="s">
        <v>15441</v>
      </c>
    </row>
    <row r="6872" spans="1:8" x14ac:dyDescent="0.25">
      <c r="A6872" s="2" t="s">
        <v>6899</v>
      </c>
      <c r="B6872" s="3" t="s">
        <v>2358</v>
      </c>
      <c r="C6872" s="3"/>
      <c r="D6872" s="3"/>
      <c r="E6872" s="5" t="str">
        <f>HYPERLINK("https://dpmzos25m8ivg.cloudfront.net/Documentos/631/44441807813/6314444180781310092023221133.pdf","https://dpmzos25m8ivg.cloudfront.net/Documentos/631/44441807813/6314444180781310092023221133.pdf")</f>
        <v>https://dpmzos25m8ivg.cloudfront.net/Documentos/631/44441807813/6314444180781310092023221133.pdf</v>
      </c>
      <c r="F6872" s="5" t="str">
        <f>HYPERLINK("https://dpmzos25m8ivg.cloudfront.net/Documentos/631/44441807813/6314444180781310092023221142.pdf","https://dpmzos25m8ivg.cloudfront.net/Documentos/631/44441807813/6314444180781310092023221142.pdf")</f>
        <v>https://dpmzos25m8ivg.cloudfront.net/Documentos/631/44441807813/6314444180781310092023221142.pdf</v>
      </c>
      <c r="G6872" s="5" t="str">
        <f>HYPERLINK("https://dpmzos25m8ivg.cloudfront.net/Documentos/631/44441807813/6314444180781310092023221417.pdf","https://dpmzos25m8ivg.cloudfront.net/Documentos/631/44441807813/6314444180781310092023221417.pdf")</f>
        <v>https://dpmzos25m8ivg.cloudfront.net/Documentos/631/44441807813/6314444180781310092023221417.pdf</v>
      </c>
      <c r="H6872" s="5" t="s">
        <v>15442</v>
      </c>
    </row>
    <row r="6873" spans="1:8" x14ac:dyDescent="0.25">
      <c r="A6873" s="2" t="s">
        <v>6900</v>
      </c>
      <c r="B6873" s="3"/>
      <c r="C6873" s="3"/>
      <c r="D6873" s="3"/>
      <c r="E6873" s="5" t="str">
        <f>HYPERLINK("https://dpmzos25m8ivg.cloudfront.net/Documentos/631/44442111804/6314444211180414092023123040.pdf","https://dpmzos25m8ivg.cloudfront.net/Documentos/631/44442111804/6314444211180414092023123040.pdf")</f>
        <v>https://dpmzos25m8ivg.cloudfront.net/Documentos/631/44442111804/6314444211180414092023123040.pdf</v>
      </c>
      <c r="F6873" s="5" t="str">
        <f>HYPERLINK("https://dpmzos25m8ivg.cloudfront.net/Documentos/631/44442111804/6314444211180414092023123102.pdf","https://dpmzos25m8ivg.cloudfront.net/Documentos/631/44442111804/6314444211180414092023123102.pdf")</f>
        <v>https://dpmzos25m8ivg.cloudfront.net/Documentos/631/44442111804/6314444211180414092023123102.pdf</v>
      </c>
      <c r="G6873" s="5" t="str">
        <f>HYPERLINK("https://dpmzos25m8ivg.cloudfront.net/Documentos/631/44442111804/6314444211180414092023123129.pdf","https://dpmzos25m8ivg.cloudfront.net/Documentos/631/44442111804/6314444211180414092023123129.pdf")</f>
        <v>https://dpmzos25m8ivg.cloudfront.net/Documentos/631/44442111804/6314444211180414092023123129.pdf</v>
      </c>
      <c r="H6873" s="5" t="s">
        <v>15443</v>
      </c>
    </row>
    <row r="6874" spans="1:8" x14ac:dyDescent="0.25">
      <c r="A6874" s="2" t="s">
        <v>6901</v>
      </c>
      <c r="B6874" s="3"/>
      <c r="C6874" s="3"/>
      <c r="D6874" s="3"/>
      <c r="E6874" s="5" t="str">
        <f>HYPERLINK("https://dpmzos25m8ivg.cloudfront.net/Documentos/631/44501153253/6314450115325306092023152730.jpg","https://dpmzos25m8ivg.cloudfront.net/Documentos/631/44501153253/6314450115325306092023152730.jpg")</f>
        <v>https://dpmzos25m8ivg.cloudfront.net/Documentos/631/44501153253/6314450115325306092023152730.jpg</v>
      </c>
      <c r="F6874" s="5" t="str">
        <f>HYPERLINK("https://dpmzos25m8ivg.cloudfront.net/Documentos/631/44501153253/6314450115325306092023152756.jpg","https://dpmzos25m8ivg.cloudfront.net/Documentos/631/44501153253/6314450115325306092023152756.jpg")</f>
        <v>https://dpmzos25m8ivg.cloudfront.net/Documentos/631/44501153253/6314450115325306092023152756.jpg</v>
      </c>
      <c r="G6874" s="5" t="str">
        <f>HYPERLINK("https://dpmzos25m8ivg.cloudfront.net/Documentos/631/44501153253/6314450115325306092023152821.jpg","https://dpmzos25m8ivg.cloudfront.net/Documentos/631/44501153253/6314450115325306092023152821.jpg")</f>
        <v>https://dpmzos25m8ivg.cloudfront.net/Documentos/631/44501153253/6314450115325306092023152821.jpg</v>
      </c>
      <c r="H6874" s="5" t="s">
        <v>15444</v>
      </c>
    </row>
    <row r="6875" spans="1:8" x14ac:dyDescent="0.25">
      <c r="A6875" s="2" t="s">
        <v>6902</v>
      </c>
      <c r="B6875" s="3"/>
      <c r="C6875" s="3"/>
      <c r="D6875" s="3"/>
      <c r="E6875" s="5" t="str">
        <f>HYPERLINK("https://dpmzos25m8ivg.cloudfront.net/Documentos/631/44620035866/6314462003586610092023140825.jpg","https://dpmzos25m8ivg.cloudfront.net/Documentos/631/44620035866/6314462003586610092023140825.jpg")</f>
        <v>https://dpmzos25m8ivg.cloudfront.net/Documentos/631/44620035866/6314462003586610092023140825.jpg</v>
      </c>
      <c r="F6875" s="5" t="str">
        <f>HYPERLINK("https://dpmzos25m8ivg.cloudfront.net/Documentos/631/44620035866/6314462003586610092023140832.pdf","https://dpmzos25m8ivg.cloudfront.net/Documentos/631/44620035866/6314462003586610092023140832.pdf")</f>
        <v>https://dpmzos25m8ivg.cloudfront.net/Documentos/631/44620035866/6314462003586610092023140832.pdf</v>
      </c>
      <c r="G6875" s="5" t="str">
        <f>HYPERLINK("https://dpmzos25m8ivg.cloudfront.net/Documentos/631/44620035866/6314462003586610092023140837.jpg","https://dpmzos25m8ivg.cloudfront.net/Documentos/631/44620035866/6314462003586610092023140837.jpg")</f>
        <v>https://dpmzos25m8ivg.cloudfront.net/Documentos/631/44620035866/6314462003586610092023140837.jpg</v>
      </c>
      <c r="H6875" s="5" t="s">
        <v>15445</v>
      </c>
    </row>
    <row r="6876" spans="1:8" x14ac:dyDescent="0.25">
      <c r="A6876" s="2" t="s">
        <v>6903</v>
      </c>
      <c r="B6876" s="3"/>
      <c r="C6876" s="3"/>
      <c r="D6876" s="3"/>
      <c r="E6876" s="5" t="str">
        <f>HYPERLINK("https://dpmzos25m8ivg.cloudfront.net/Documentos/631/44625710880/6314462571088014092023153425.pdf","https://dpmzos25m8ivg.cloudfront.net/Documentos/631/44625710880/6314462571088014092023153425.pdf")</f>
        <v>https://dpmzos25m8ivg.cloudfront.net/Documentos/631/44625710880/6314462571088014092023153425.pdf</v>
      </c>
      <c r="F6876" s="5" t="str">
        <f>HYPERLINK("https://dpmzos25m8ivg.cloudfront.net/Documentos/631/44625710880/6314462571088014092023153458.pdf","https://dpmzos25m8ivg.cloudfront.net/Documentos/631/44625710880/6314462571088014092023153458.pdf")</f>
        <v>https://dpmzos25m8ivg.cloudfront.net/Documentos/631/44625710880/6314462571088014092023153458.pdf</v>
      </c>
      <c r="G6876" s="5" t="str">
        <f>HYPERLINK("https://dpmzos25m8ivg.cloudfront.net/Documentos/631/44625710880/6314462571088014092023153511.pdf","https://dpmzos25m8ivg.cloudfront.net/Documentos/631/44625710880/6314462571088014092023153511.pdf")</f>
        <v>https://dpmzos25m8ivg.cloudfront.net/Documentos/631/44625710880/6314462571088014092023153511.pdf</v>
      </c>
      <c r="H6876" s="5" t="s">
        <v>15446</v>
      </c>
    </row>
    <row r="6877" spans="1:8" x14ac:dyDescent="0.25">
      <c r="A6877" s="2" t="s">
        <v>6904</v>
      </c>
      <c r="B6877" s="3" t="s">
        <v>8</v>
      </c>
      <c r="C6877" s="3"/>
      <c r="D6877" s="3"/>
      <c r="E6877" s="5" t="str">
        <f>HYPERLINK("https://dpmzos25m8ivg.cloudfront.net/Documentos/631/44643149884/6314464314988410092023231905.jpg","https://dpmzos25m8ivg.cloudfront.net/Documentos/631/44643149884/6314464314988410092023231905.jpg")</f>
        <v>https://dpmzos25m8ivg.cloudfront.net/Documentos/631/44643149884/6314464314988410092023231905.jpg</v>
      </c>
      <c r="F6877" s="5" t="str">
        <f>HYPERLINK("https://dpmzos25m8ivg.cloudfront.net/Documentos/631/44643149884/6314464314988410092023231924.jpg","https://dpmzos25m8ivg.cloudfront.net/Documentos/631/44643149884/6314464314988410092023231924.jpg")</f>
        <v>https://dpmzos25m8ivg.cloudfront.net/Documentos/631/44643149884/6314464314988410092023231924.jpg</v>
      </c>
      <c r="G6877" s="5" t="str">
        <f>HYPERLINK("https://dpmzos25m8ivg.cloudfront.net/Documentos/631/44643149884/6314464314988410092023231940.jpg","https://dpmzos25m8ivg.cloudfront.net/Documentos/631/44643149884/6314464314988410092023231940.jpg")</f>
        <v>https://dpmzos25m8ivg.cloudfront.net/Documentos/631/44643149884/6314464314988410092023231940.jpg</v>
      </c>
      <c r="H6877" s="5" t="s">
        <v>15447</v>
      </c>
    </row>
    <row r="6878" spans="1:8" x14ac:dyDescent="0.25">
      <c r="A6878" s="2" t="s">
        <v>6905</v>
      </c>
      <c r="B6878" s="3"/>
      <c r="C6878" s="3"/>
      <c r="D6878" s="3"/>
      <c r="E6878" s="5" t="str">
        <f>HYPERLINK("https://dpmzos25m8ivg.cloudfront.net/Documentos/631/44675566804/6314467556680411092023163331.jpeg","https://dpmzos25m8ivg.cloudfront.net/Documentos/631/44675566804/6314467556680411092023163331.jpeg")</f>
        <v>https://dpmzos25m8ivg.cloudfront.net/Documentos/631/44675566804/6314467556680411092023163331.jpeg</v>
      </c>
      <c r="F6878" s="5" t="str">
        <f>HYPERLINK("https://dpmzos25m8ivg.cloudfront.net/Documentos/631/44675566804/6314467556680411092023163344.jpeg","https://dpmzos25m8ivg.cloudfront.net/Documentos/631/44675566804/6314467556680411092023163344.jpeg")</f>
        <v>https://dpmzos25m8ivg.cloudfront.net/Documentos/631/44675566804/6314467556680411092023163344.jpeg</v>
      </c>
      <c r="G6878" s="5" t="str">
        <f>HYPERLINK("https://dpmzos25m8ivg.cloudfront.net/Documentos/631/44675566804/6314467556680411092023163457.jpeg","https://dpmzos25m8ivg.cloudfront.net/Documentos/631/44675566804/6314467556680411092023163457.jpeg")</f>
        <v>https://dpmzos25m8ivg.cloudfront.net/Documentos/631/44675566804/6314467556680411092023163457.jpeg</v>
      </c>
      <c r="H6878" s="5" t="s">
        <v>15448</v>
      </c>
    </row>
    <row r="6879" spans="1:8" x14ac:dyDescent="0.25">
      <c r="A6879" s="2" t="s">
        <v>6906</v>
      </c>
      <c r="B6879" s="3"/>
      <c r="C6879" s="3"/>
      <c r="D6879" s="3"/>
      <c r="E6879" s="5" t="str">
        <f>HYPERLINK("https://dpmzos25m8ivg.cloudfront.net/Documentos/631/44711470808/6314471147080809092023200932.jpeg","https://dpmzos25m8ivg.cloudfront.net/Documentos/631/44711470808/6314471147080809092023200932.jpeg")</f>
        <v>https://dpmzos25m8ivg.cloudfront.net/Documentos/631/44711470808/6314471147080809092023200932.jpeg</v>
      </c>
      <c r="F6879" s="5" t="str">
        <f>HYPERLINK("https://dpmzos25m8ivg.cloudfront.net/Documentos/631/44711470808/6314471147080809092023201004.jpeg","https://dpmzos25m8ivg.cloudfront.net/Documentos/631/44711470808/6314471147080809092023201004.jpeg")</f>
        <v>https://dpmzos25m8ivg.cloudfront.net/Documentos/631/44711470808/6314471147080809092023201004.jpeg</v>
      </c>
      <c r="G6879" s="5" t="str">
        <f>HYPERLINK("https://dpmzos25m8ivg.cloudfront.net/Documentos/631/44711470808/6314471147080809092023201013.jpeg","https://dpmzos25m8ivg.cloudfront.net/Documentos/631/44711470808/6314471147080809092023201013.jpeg")</f>
        <v>https://dpmzos25m8ivg.cloudfront.net/Documentos/631/44711470808/6314471147080809092023201013.jpeg</v>
      </c>
      <c r="H6879" s="5" t="s">
        <v>15449</v>
      </c>
    </row>
    <row r="6880" spans="1:8" x14ac:dyDescent="0.25">
      <c r="A6880" s="2" t="s">
        <v>6907</v>
      </c>
      <c r="B6880" s="3" t="s">
        <v>42</v>
      </c>
      <c r="C6880" s="3"/>
      <c r="D6880" s="3"/>
      <c r="E6880" s="5" t="str">
        <f>HYPERLINK("https://dpmzos25m8ivg.cloudfront.net/Documentos/631/44740650851/6314474065085111092023153754.jpg","https://dpmzos25m8ivg.cloudfront.net/Documentos/631/44740650851/6314474065085111092023153754.jpg")</f>
        <v>https://dpmzos25m8ivg.cloudfront.net/Documentos/631/44740650851/6314474065085111092023153754.jpg</v>
      </c>
      <c r="F6880" s="5" t="str">
        <f>HYPERLINK("https://dpmzos25m8ivg.cloudfront.net/Documentos/631/44740650851/6314474065085111092023153902.jpg","https://dpmzos25m8ivg.cloudfront.net/Documentos/631/44740650851/6314474065085111092023153902.jpg")</f>
        <v>https://dpmzos25m8ivg.cloudfront.net/Documentos/631/44740650851/6314474065085111092023153902.jpg</v>
      </c>
      <c r="G6880" s="5" t="str">
        <f>HYPERLINK("https://dpmzos25m8ivg.cloudfront.net/Documentos/631/44740650851/6314474065085111092023153932.jpg","https://dpmzos25m8ivg.cloudfront.net/Documentos/631/44740650851/6314474065085111092023153932.jpg")</f>
        <v>https://dpmzos25m8ivg.cloudfront.net/Documentos/631/44740650851/6314474065085111092023153932.jpg</v>
      </c>
      <c r="H6880" s="5" t="s">
        <v>15450</v>
      </c>
    </row>
    <row r="6881" spans="1:8" x14ac:dyDescent="0.25">
      <c r="A6881" s="2" t="s">
        <v>6908</v>
      </c>
      <c r="B6881" s="3"/>
      <c r="C6881" s="3"/>
      <c r="D6881" s="3"/>
      <c r="E6881" s="5" t="str">
        <f>HYPERLINK("https://dpmzos25m8ivg.cloudfront.net/Documentos/631/44742834810/6314474283481010092023141256.pdf","https://dpmzos25m8ivg.cloudfront.net/Documentos/631/44742834810/6314474283481010092023141256.pdf")</f>
        <v>https://dpmzos25m8ivg.cloudfront.net/Documentos/631/44742834810/6314474283481010092023141256.pdf</v>
      </c>
      <c r="F6881" s="5" t="str">
        <f>HYPERLINK("https://dpmzos25m8ivg.cloudfront.net/Documentos/631/44742834810/6314474283481010092023141315.pdf","https://dpmzos25m8ivg.cloudfront.net/Documentos/631/44742834810/6314474283481010092023141315.pdf")</f>
        <v>https://dpmzos25m8ivg.cloudfront.net/Documentos/631/44742834810/6314474283481010092023141315.pdf</v>
      </c>
      <c r="G6881" s="5" t="str">
        <f>HYPERLINK("https://dpmzos25m8ivg.cloudfront.net/Documentos/631/44742834810/6314474283481010092023141321.pdf","https://dpmzos25m8ivg.cloudfront.net/Documentos/631/44742834810/6314474283481010092023141321.pdf")</f>
        <v>https://dpmzos25m8ivg.cloudfront.net/Documentos/631/44742834810/6314474283481010092023141321.pdf</v>
      </c>
      <c r="H6881" s="5" t="s">
        <v>15451</v>
      </c>
    </row>
    <row r="6882" spans="1:8" x14ac:dyDescent="0.25">
      <c r="A6882" s="2" t="s">
        <v>6909</v>
      </c>
      <c r="B6882" s="3"/>
      <c r="C6882" s="3"/>
      <c r="D6882" s="3"/>
      <c r="E6882" s="5" t="str">
        <f>HYPERLINK("https://dpmzos25m8ivg.cloudfront.net/Documentos/631/44803153817/6314480315381705092023135312.pdf","https://dpmzos25m8ivg.cloudfront.net/Documentos/631/44803153817/6314480315381705092023135312.pdf")</f>
        <v>https://dpmzos25m8ivg.cloudfront.net/Documentos/631/44803153817/6314480315381705092023135312.pdf</v>
      </c>
      <c r="F6882" s="5" t="str">
        <f>HYPERLINK("https://dpmzos25m8ivg.cloudfront.net/Documentos/631/44803153817/6314480315381705092023135319.pdf","https://dpmzos25m8ivg.cloudfront.net/Documentos/631/44803153817/6314480315381705092023135319.pdf")</f>
        <v>https://dpmzos25m8ivg.cloudfront.net/Documentos/631/44803153817/6314480315381705092023135319.pdf</v>
      </c>
      <c r="G6882" s="5" t="str">
        <f>HYPERLINK("https://dpmzos25m8ivg.cloudfront.net/Documentos/631/44803153817/6314480315381705092023135325.pdf","https://dpmzos25m8ivg.cloudfront.net/Documentos/631/44803153817/6314480315381705092023135325.pdf")</f>
        <v>https://dpmzos25m8ivg.cloudfront.net/Documentos/631/44803153817/6314480315381705092023135325.pdf</v>
      </c>
      <c r="H6882" s="5" t="s">
        <v>15452</v>
      </c>
    </row>
    <row r="6883" spans="1:8" x14ac:dyDescent="0.25">
      <c r="A6883" s="2" t="s">
        <v>6910</v>
      </c>
      <c r="B6883" s="3" t="s">
        <v>42</v>
      </c>
      <c r="C6883" s="3"/>
      <c r="D6883" s="3"/>
      <c r="E6883" s="5" t="str">
        <f>HYPERLINK("https://dpmzos25m8ivg.cloudfront.net/Documentos/631/44809202852/6314480920285211092023103637.pdf","https://dpmzos25m8ivg.cloudfront.net/Documentos/631/44809202852/6314480920285211092023103637.pdf")</f>
        <v>https://dpmzos25m8ivg.cloudfront.net/Documentos/631/44809202852/6314480920285211092023103637.pdf</v>
      </c>
      <c r="F6883" s="5" t="str">
        <f>HYPERLINK("https://dpmzos25m8ivg.cloudfront.net/Documentos/631/44809202852/6314480920285211092023103651.pdf","https://dpmzos25m8ivg.cloudfront.net/Documentos/631/44809202852/6314480920285211092023103651.pdf")</f>
        <v>https://dpmzos25m8ivg.cloudfront.net/Documentos/631/44809202852/6314480920285211092023103651.pdf</v>
      </c>
      <c r="G6883" s="5" t="str">
        <f>HYPERLINK("https://dpmzos25m8ivg.cloudfront.net/Documentos/631/44809202852/6314480920285211092023103702.pdf","https://dpmzos25m8ivg.cloudfront.net/Documentos/631/44809202852/6314480920285211092023103702.pdf")</f>
        <v>https://dpmzos25m8ivg.cloudfront.net/Documentos/631/44809202852/6314480920285211092023103702.pdf</v>
      </c>
      <c r="H6883" s="5" t="s">
        <v>15453</v>
      </c>
    </row>
    <row r="6884" spans="1:8" x14ac:dyDescent="0.25">
      <c r="A6884" s="2" t="s">
        <v>6911</v>
      </c>
      <c r="B6884" s="6" t="s">
        <v>23</v>
      </c>
      <c r="C6884" s="3"/>
      <c r="D6884" s="3"/>
      <c r="E6884" s="5" t="str">
        <f>HYPERLINK("https://dpmzos25m8ivg.cloudfront.net/Documentos/631/44909935878/6314490993587814092023164034.jpeg","https://dpmzos25m8ivg.cloudfront.net/Documentos/631/44909935878/6314490993587814092023164034.jpeg")</f>
        <v>https://dpmzos25m8ivg.cloudfront.net/Documentos/631/44909935878/6314490993587814092023164034.jpeg</v>
      </c>
      <c r="F6884" s="5" t="str">
        <f>HYPERLINK("https://dpmzos25m8ivg.cloudfront.net/Documentos/631/44909935878/6314490993587814092023164047.jpeg","https://dpmzos25m8ivg.cloudfront.net/Documentos/631/44909935878/6314490993587814092023164047.jpeg")</f>
        <v>https://dpmzos25m8ivg.cloudfront.net/Documentos/631/44909935878/6314490993587814092023164047.jpeg</v>
      </c>
      <c r="G6884" s="5" t="str">
        <f>HYPERLINK("https://dpmzos25m8ivg.cloudfront.net/Documentos/631/44909935878/6314490993587814092023164101.jpeg","https://dpmzos25m8ivg.cloudfront.net/Documentos/631/44909935878/6314490993587814092023164101.jpeg")</f>
        <v>https://dpmzos25m8ivg.cloudfront.net/Documentos/631/44909935878/6314490993587814092023164101.jpeg</v>
      </c>
      <c r="H6884" s="5" t="s">
        <v>15454</v>
      </c>
    </row>
    <row r="6885" spans="1:8" x14ac:dyDescent="0.25">
      <c r="A6885" s="2" t="s">
        <v>6912</v>
      </c>
      <c r="B6885" s="3"/>
      <c r="C6885" s="3"/>
      <c r="D6885" s="3"/>
      <c r="E6885" s="5" t="str">
        <f>HYPERLINK("https://dpmzos25m8ivg.cloudfront.net/Documentos/631/44913663810/6314491366381011092023100233.pdf","https://dpmzos25m8ivg.cloudfront.net/Documentos/631/44913663810/6314491366381011092023100233.pdf")</f>
        <v>https://dpmzos25m8ivg.cloudfront.net/Documentos/631/44913663810/6314491366381011092023100233.pdf</v>
      </c>
      <c r="F6885" s="5" t="str">
        <f>HYPERLINK("https://dpmzos25m8ivg.cloudfront.net/Documentos/631/44913663810/6314491366381011092023100244.pdf","https://dpmzos25m8ivg.cloudfront.net/Documentos/631/44913663810/6314491366381011092023100244.pdf")</f>
        <v>https://dpmzos25m8ivg.cloudfront.net/Documentos/631/44913663810/6314491366381011092023100244.pdf</v>
      </c>
      <c r="G6885" s="5" t="str">
        <f>HYPERLINK("https://dpmzos25m8ivg.cloudfront.net/Documentos/631/44913663810/6314491366381011092023100252.pdf","https://dpmzos25m8ivg.cloudfront.net/Documentos/631/44913663810/6314491366381011092023100252.pdf")</f>
        <v>https://dpmzos25m8ivg.cloudfront.net/Documentos/631/44913663810/6314491366381011092023100252.pdf</v>
      </c>
      <c r="H6885" s="5" t="s">
        <v>15455</v>
      </c>
    </row>
    <row r="6886" spans="1:8" x14ac:dyDescent="0.25">
      <c r="A6886" s="2" t="s">
        <v>6913</v>
      </c>
      <c r="B6886" s="3"/>
      <c r="C6886" s="3"/>
      <c r="D6886" s="3"/>
      <c r="E6886" s="5" t="str">
        <f>HYPERLINK("https://dpmzos25m8ivg.cloudfront.net/Documentos/631/44956640854/6314495664085414092023092748.pdf","https://dpmzos25m8ivg.cloudfront.net/Documentos/631/44956640854/6314495664085414092023092748.pdf")</f>
        <v>https://dpmzos25m8ivg.cloudfront.net/Documentos/631/44956640854/6314495664085414092023092748.pdf</v>
      </c>
      <c r="F6886" s="5" t="str">
        <f>HYPERLINK("https://dpmzos25m8ivg.cloudfront.net/Documentos/631/44956640854/6314495664085414092023092707.pdf","https://dpmzos25m8ivg.cloudfront.net/Documentos/631/44956640854/6314495664085414092023092707.pdf")</f>
        <v>https://dpmzos25m8ivg.cloudfront.net/Documentos/631/44956640854/6314495664085414092023092707.pdf</v>
      </c>
      <c r="G6886" s="5" t="str">
        <f>HYPERLINK("https://dpmzos25m8ivg.cloudfront.net/Documentos/631/44956640854/6314495664085414092023092658.pdf","https://dpmzos25m8ivg.cloudfront.net/Documentos/631/44956640854/6314495664085414092023092658.pdf")</f>
        <v>https://dpmzos25m8ivg.cloudfront.net/Documentos/631/44956640854/6314495664085414092023092658.pdf</v>
      </c>
      <c r="H6886" s="5" t="s">
        <v>15456</v>
      </c>
    </row>
    <row r="6887" spans="1:8" x14ac:dyDescent="0.25">
      <c r="A6887" s="2" t="s">
        <v>6914</v>
      </c>
      <c r="B6887" s="3"/>
      <c r="C6887" s="3"/>
      <c r="D6887" s="3"/>
      <c r="E6887" s="5" t="str">
        <f>HYPERLINK("https://dpmzos25m8ivg.cloudfront.net/Documentos/631/44969034826/6314496903482609092023080256.pdf","https://dpmzos25m8ivg.cloudfront.net/Documentos/631/44969034826/6314496903482609092023080256.pdf")</f>
        <v>https://dpmzos25m8ivg.cloudfront.net/Documentos/631/44969034826/6314496903482609092023080256.pdf</v>
      </c>
      <c r="F6887" s="5" t="str">
        <f>HYPERLINK("https://dpmzos25m8ivg.cloudfront.net/Documentos/631/44969034826/6314496903482609092023080310.pdf","https://dpmzos25m8ivg.cloudfront.net/Documentos/631/44969034826/6314496903482609092023080310.pdf")</f>
        <v>https://dpmzos25m8ivg.cloudfront.net/Documentos/631/44969034826/6314496903482609092023080310.pdf</v>
      </c>
      <c r="G6887" s="5" t="str">
        <f>HYPERLINK("https://dpmzos25m8ivg.cloudfront.net/Documentos/631/44969034826/6314496903482609092023080400.pdf","https://dpmzos25m8ivg.cloudfront.net/Documentos/631/44969034826/6314496903482609092023080400.pdf")</f>
        <v>https://dpmzos25m8ivg.cloudfront.net/Documentos/631/44969034826/6314496903482609092023080400.pdf</v>
      </c>
      <c r="H6887" s="5" t="s">
        <v>15457</v>
      </c>
    </row>
    <row r="6888" spans="1:8" x14ac:dyDescent="0.25">
      <c r="A6888" s="2" t="s">
        <v>6915</v>
      </c>
      <c r="B6888" s="6" t="s">
        <v>23</v>
      </c>
      <c r="C6888" s="3"/>
      <c r="D6888" s="3"/>
      <c r="E6888" s="5" t="str">
        <f>HYPERLINK("https://dpmzos25m8ivg.cloudfront.net/Documentos/631/45005935860/6314500593586011092023154952.jpg","https://dpmzos25m8ivg.cloudfront.net/Documentos/631/45005935860/6314500593586011092023154952.jpg")</f>
        <v>https://dpmzos25m8ivg.cloudfront.net/Documentos/631/45005935860/6314500593586011092023154952.jpg</v>
      </c>
      <c r="F6888" s="5" t="str">
        <f>HYPERLINK("https://dpmzos25m8ivg.cloudfront.net/Documentos/631/45005935860/6314500593586011092023155004.jpg","https://dpmzos25m8ivg.cloudfront.net/Documentos/631/45005935860/6314500593586011092023155004.jpg")</f>
        <v>https://dpmzos25m8ivg.cloudfront.net/Documentos/631/45005935860/6314500593586011092023155004.jpg</v>
      </c>
      <c r="G6888" s="5" t="str">
        <f>HYPERLINK("https://dpmzos25m8ivg.cloudfront.net/Documentos/631/45005935860/6314500593586011092023155016.jpg","https://dpmzos25m8ivg.cloudfront.net/Documentos/631/45005935860/6314500593586011092023155016.jpg")</f>
        <v>https://dpmzos25m8ivg.cloudfront.net/Documentos/631/45005935860/6314500593586011092023155016.jpg</v>
      </c>
      <c r="H6888" s="5" t="s">
        <v>15458</v>
      </c>
    </row>
    <row r="6889" spans="1:8" x14ac:dyDescent="0.25">
      <c r="A6889" s="2" t="s">
        <v>6916</v>
      </c>
      <c r="B6889" s="3"/>
      <c r="C6889" s="3"/>
      <c r="D6889" s="3"/>
      <c r="E6889" s="5" t="str">
        <f>HYPERLINK("https://dpmzos25m8ivg.cloudfront.net/Documentos/631/45015953372/6314501595337214092023161507.pdf","https://dpmzos25m8ivg.cloudfront.net/Documentos/631/45015953372/6314501595337214092023161507.pdf")</f>
        <v>https://dpmzos25m8ivg.cloudfront.net/Documentos/631/45015953372/6314501595337214092023161507.pdf</v>
      </c>
      <c r="F6889" s="5" t="str">
        <f>HYPERLINK("https://dpmzos25m8ivg.cloudfront.net/Documentos/631/45015953372/6314501595337214092023161554.pdf","https://dpmzos25m8ivg.cloudfront.net/Documentos/631/45015953372/6314501595337214092023161554.pdf")</f>
        <v>https://dpmzos25m8ivg.cloudfront.net/Documentos/631/45015953372/6314501595337214092023161554.pdf</v>
      </c>
      <c r="G6889" s="5" t="str">
        <f>HYPERLINK("https://dpmzos25m8ivg.cloudfront.net/Documentos/631/45015953372/6314501595337214092023161611.pdf","https://dpmzos25m8ivg.cloudfront.net/Documentos/631/45015953372/6314501595337214092023161611.pdf")</f>
        <v>https://dpmzos25m8ivg.cloudfront.net/Documentos/631/45015953372/6314501595337214092023161611.pdf</v>
      </c>
      <c r="H6889" s="5" t="s">
        <v>15459</v>
      </c>
    </row>
    <row r="6890" spans="1:8" x14ac:dyDescent="0.25">
      <c r="A6890" s="2" t="s">
        <v>6917</v>
      </c>
      <c r="B6890" s="3"/>
      <c r="C6890" s="3"/>
      <c r="D6890" s="3"/>
      <c r="E6890" s="5" t="str">
        <f>HYPERLINK("https://dpmzos25m8ivg.cloudfront.net/Documentos/631/45041804800/6314504180480005092023205900.jpg","https://dpmzos25m8ivg.cloudfront.net/Documentos/631/45041804800/6314504180480005092023205900.jpg")</f>
        <v>https://dpmzos25m8ivg.cloudfront.net/Documentos/631/45041804800/6314504180480005092023205900.jpg</v>
      </c>
      <c r="F6890" s="5" t="str">
        <f>HYPERLINK("https://dpmzos25m8ivg.cloudfront.net/Documentos/631/45041804800/6314504180480005092023205919.jpg","https://dpmzos25m8ivg.cloudfront.net/Documentos/631/45041804800/6314504180480005092023205919.jpg")</f>
        <v>https://dpmzos25m8ivg.cloudfront.net/Documentos/631/45041804800/6314504180480005092023205919.jpg</v>
      </c>
      <c r="G6890" s="5" t="str">
        <f>HYPERLINK("https://dpmzos25m8ivg.cloudfront.net/Documentos/631/45041804800/6314504180480005092023205952.jpg","https://dpmzos25m8ivg.cloudfront.net/Documentos/631/45041804800/6314504180480005092023205952.jpg")</f>
        <v>https://dpmzos25m8ivg.cloudfront.net/Documentos/631/45041804800/6314504180480005092023205952.jpg</v>
      </c>
      <c r="H6890" s="5" t="s">
        <v>15460</v>
      </c>
    </row>
    <row r="6891" spans="1:8" x14ac:dyDescent="0.25">
      <c r="A6891" s="2" t="s">
        <v>6918</v>
      </c>
      <c r="B6891" s="3"/>
      <c r="C6891" s="3"/>
      <c r="D6891" s="3"/>
      <c r="E6891" s="5" t="str">
        <f>HYPERLINK("https://dpmzos25m8ivg.cloudfront.net/Documentos/631/45051556841/6314505155684105092023165933.pdf","https://dpmzos25m8ivg.cloudfront.net/Documentos/631/45051556841/6314505155684105092023165933.pdf")</f>
        <v>https://dpmzos25m8ivg.cloudfront.net/Documentos/631/45051556841/6314505155684105092023165933.pdf</v>
      </c>
      <c r="F6891" s="5" t="str">
        <f>HYPERLINK("https://dpmzos25m8ivg.cloudfront.net/Documentos/631/45051556841/6314505155684105092023165940.pdf","https://dpmzos25m8ivg.cloudfront.net/Documentos/631/45051556841/6314505155684105092023165940.pdf")</f>
        <v>https://dpmzos25m8ivg.cloudfront.net/Documentos/631/45051556841/6314505155684105092023165940.pdf</v>
      </c>
      <c r="G6891" s="5" t="str">
        <f>HYPERLINK("https://dpmzos25m8ivg.cloudfront.net/Documentos/631/45051556841/6314505155684105092023165949.pdf","https://dpmzos25m8ivg.cloudfront.net/Documentos/631/45051556841/6314505155684105092023165949.pdf")</f>
        <v>https://dpmzos25m8ivg.cloudfront.net/Documentos/631/45051556841/6314505155684105092023165949.pdf</v>
      </c>
      <c r="H6891" s="5" t="s">
        <v>15461</v>
      </c>
    </row>
    <row r="6892" spans="1:8" x14ac:dyDescent="0.25">
      <c r="A6892" s="2" t="s">
        <v>6919</v>
      </c>
      <c r="B6892" s="3"/>
      <c r="C6892" s="3"/>
      <c r="D6892" s="3"/>
      <c r="E6892" s="5" t="str">
        <f>HYPERLINK("https://dpmzos25m8ivg.cloudfront.net/Documentos/631/45074186587/6314507418658711092023154940.jpg","https://dpmzos25m8ivg.cloudfront.net/Documentos/631/45074186587/6314507418658711092023154940.jpg")</f>
        <v>https://dpmzos25m8ivg.cloudfront.net/Documentos/631/45074186587/6314507418658711092023154940.jpg</v>
      </c>
      <c r="F6892" s="5" t="str">
        <f>HYPERLINK("https://dpmzos25m8ivg.cloudfront.net/Documentos/631/45074186587/6314507418658711092023154947.jpg","https://dpmzos25m8ivg.cloudfront.net/Documentos/631/45074186587/6314507418658711092023154947.jpg")</f>
        <v>https://dpmzos25m8ivg.cloudfront.net/Documentos/631/45074186587/6314507418658711092023154947.jpg</v>
      </c>
      <c r="G6892" s="5" t="str">
        <f>HYPERLINK("https://dpmzos25m8ivg.cloudfront.net/Documentos/631/45074186587/6314507418658711092023154954.jpg","https://dpmzos25m8ivg.cloudfront.net/Documentos/631/45074186587/6314507418658711092023154954.jpg")</f>
        <v>https://dpmzos25m8ivg.cloudfront.net/Documentos/631/45074186587/6314507418658711092023154954.jpg</v>
      </c>
      <c r="H6892" s="5" t="s">
        <v>15462</v>
      </c>
    </row>
    <row r="6893" spans="1:8" x14ac:dyDescent="0.25">
      <c r="A6893" s="2" t="s">
        <v>6920</v>
      </c>
      <c r="B6893" s="3"/>
      <c r="C6893" s="3"/>
      <c r="D6893" s="3"/>
      <c r="E6893" s="5" t="str">
        <f>HYPERLINK("https://dpmzos25m8ivg.cloudfront.net/Documentos/631/45099523846/6314509952384611092023144724.pdf","https://dpmzos25m8ivg.cloudfront.net/Documentos/631/45099523846/6314509952384611092023144724.pdf")</f>
        <v>https://dpmzos25m8ivg.cloudfront.net/Documentos/631/45099523846/6314509952384611092023144724.pdf</v>
      </c>
      <c r="F6893" s="5" t="str">
        <f>HYPERLINK("https://dpmzos25m8ivg.cloudfront.net/Documentos/631/45099523846/6314509952384611092023144742.pdf","https://dpmzos25m8ivg.cloudfront.net/Documentos/631/45099523846/6314509952384611092023144742.pdf")</f>
        <v>https://dpmzos25m8ivg.cloudfront.net/Documentos/631/45099523846/6314509952384611092023144742.pdf</v>
      </c>
      <c r="G6893" s="5" t="str">
        <f>HYPERLINK("https://dpmzos25m8ivg.cloudfront.net/Documentos/631/45099523846/6314509952384611092023144755.pdf","https://dpmzos25m8ivg.cloudfront.net/Documentos/631/45099523846/6314509952384611092023144755.pdf")</f>
        <v>https://dpmzos25m8ivg.cloudfront.net/Documentos/631/45099523846/6314509952384611092023144755.pdf</v>
      </c>
      <c r="H6893" s="5" t="s">
        <v>15463</v>
      </c>
    </row>
    <row r="6894" spans="1:8" x14ac:dyDescent="0.25">
      <c r="A6894" s="2" t="s">
        <v>6921</v>
      </c>
      <c r="B6894" s="3"/>
      <c r="C6894" s="3"/>
      <c r="D6894" s="3"/>
      <c r="E6894" s="5" t="str">
        <f>HYPERLINK("https://dpmzos25m8ivg.cloudfront.net/Documentos/631/45137784826/6314513778482611092023091444.pdf","https://dpmzos25m8ivg.cloudfront.net/Documentos/631/45137784826/6314513778482611092023091444.pdf")</f>
        <v>https://dpmzos25m8ivg.cloudfront.net/Documentos/631/45137784826/6314513778482611092023091444.pdf</v>
      </c>
      <c r="F6894" s="5" t="str">
        <f>HYPERLINK("https://dpmzos25m8ivg.cloudfront.net/Documentos/631/45137784826/6314513778482611092023091502.pdf","https://dpmzos25m8ivg.cloudfront.net/Documentos/631/45137784826/6314513778482611092023091502.pdf")</f>
        <v>https://dpmzos25m8ivg.cloudfront.net/Documentos/631/45137784826/6314513778482611092023091502.pdf</v>
      </c>
      <c r="G6894" s="5" t="str">
        <f>HYPERLINK("https://dpmzos25m8ivg.cloudfront.net/Documentos/631/45137784826/6314513778482611092023091522.pdf","https://dpmzos25m8ivg.cloudfront.net/Documentos/631/45137784826/6314513778482611092023091522.pdf")</f>
        <v>https://dpmzos25m8ivg.cloudfront.net/Documentos/631/45137784826/6314513778482611092023091522.pdf</v>
      </c>
      <c r="H6894" s="5" t="s">
        <v>15464</v>
      </c>
    </row>
    <row r="6895" spans="1:8" x14ac:dyDescent="0.25">
      <c r="A6895" s="14" t="s">
        <v>6922</v>
      </c>
      <c r="B6895" s="15" t="s">
        <v>42</v>
      </c>
      <c r="C6895" s="3"/>
      <c r="D6895" s="3"/>
      <c r="E6895" s="8" t="str">
        <f>HYPERLINK("https://dpmzos25m8ivg.cloudfront.net/Documentos/631/45159578803/6314515957880307092023115126.pdf","https://dpmzos25m8ivg.cloudfront.net/Documentos/631/45159578803/6314515957880307092023115126.pdf")</f>
        <v>https://dpmzos25m8ivg.cloudfront.net/Documentos/631/45159578803/6314515957880307092023115126.pdf</v>
      </c>
      <c r="F6895" s="8" t="str">
        <f>HYPERLINK("https://dpmzos25m8ivg.cloudfront.net/Documentos/631/45159578803/6314515957880307092023115135.pdf","https://dpmzos25m8ivg.cloudfront.net/Documentos/631/45159578803/6314515957880307092023115135.pdf")</f>
        <v>https://dpmzos25m8ivg.cloudfront.net/Documentos/631/45159578803/6314515957880307092023115135.pdf</v>
      </c>
      <c r="G6895" s="8" t="str">
        <f>HYPERLINK("https://dpmzos25m8ivg.cloudfront.net/Documentos/631/45159578803/6314515957880307092023115142.pdf","https://dpmzos25m8ivg.cloudfront.net/Documentos/631/45159578803/6314515957880307092023115142.pdf")</f>
        <v>https://dpmzos25m8ivg.cloudfront.net/Documentos/631/45159578803/6314515957880307092023115142.pdf</v>
      </c>
      <c r="H6895" s="9" t="s">
        <v>15465</v>
      </c>
    </row>
    <row r="6896" spans="1:8" x14ac:dyDescent="0.25">
      <c r="A6896" s="2" t="s">
        <v>6923</v>
      </c>
      <c r="B6896" s="3"/>
      <c r="C6896" s="3"/>
      <c r="D6896" s="3"/>
      <c r="E6896" s="5" t="str">
        <f>HYPERLINK("https://dpmzos25m8ivg.cloudfront.net/Documentos/631/45162369829/6314516236982911092023153348.pdf","https://dpmzos25m8ivg.cloudfront.net/Documentos/631/45162369829/6314516236982911092023153348.pdf")</f>
        <v>https://dpmzos25m8ivg.cloudfront.net/Documentos/631/45162369829/6314516236982911092023153348.pdf</v>
      </c>
      <c r="F6896" s="5" t="str">
        <f>HYPERLINK("https://dpmzos25m8ivg.cloudfront.net/Documentos/631/45162369829/6314516236982911092023153401.pdf","https://dpmzos25m8ivg.cloudfront.net/Documentos/631/45162369829/6314516236982911092023153401.pdf")</f>
        <v>https://dpmzos25m8ivg.cloudfront.net/Documentos/631/45162369829/6314516236982911092023153401.pdf</v>
      </c>
      <c r="G6896" s="5" t="str">
        <f>HYPERLINK("https://dpmzos25m8ivg.cloudfront.net/Documentos/631/45162369829/6314516236982911092023153414.pdf","https://dpmzos25m8ivg.cloudfront.net/Documentos/631/45162369829/6314516236982911092023153414.pdf")</f>
        <v>https://dpmzos25m8ivg.cloudfront.net/Documentos/631/45162369829/6314516236982911092023153414.pdf</v>
      </c>
      <c r="H6896" s="5" t="s">
        <v>15466</v>
      </c>
    </row>
    <row r="6897" spans="1:8" x14ac:dyDescent="0.25">
      <c r="A6897" s="2" t="s">
        <v>6924</v>
      </c>
      <c r="B6897" s="3"/>
      <c r="C6897" s="3"/>
      <c r="D6897" s="3"/>
      <c r="E6897" s="5" t="str">
        <f>HYPERLINK("https://dpmzos25m8ivg.cloudfront.net/Documentos/631/45175441841/6314517544184111092023155242.jpg","https://dpmzos25m8ivg.cloudfront.net/Documentos/631/45175441841/6314517544184111092023155242.jpg")</f>
        <v>https://dpmzos25m8ivg.cloudfront.net/Documentos/631/45175441841/6314517544184111092023155242.jpg</v>
      </c>
      <c r="F6897" s="5" t="str">
        <f>HYPERLINK("https://dpmzos25m8ivg.cloudfront.net/Documentos/631/45175441841/6314517544184111092023155257.jpg","https://dpmzos25m8ivg.cloudfront.net/Documentos/631/45175441841/6314517544184111092023155257.jpg")</f>
        <v>https://dpmzos25m8ivg.cloudfront.net/Documentos/631/45175441841/6314517544184111092023155257.jpg</v>
      </c>
      <c r="G6897" s="5" t="str">
        <f>HYPERLINK("https://dpmzos25m8ivg.cloudfront.net/Documentos/631/45175441841/6314517544184111092023155315.jpg","https://dpmzos25m8ivg.cloudfront.net/Documentos/631/45175441841/6314517544184111092023155315.jpg")</f>
        <v>https://dpmzos25m8ivg.cloudfront.net/Documentos/631/45175441841/6314517544184111092023155315.jpg</v>
      </c>
      <c r="H6897" s="5" t="s">
        <v>15467</v>
      </c>
    </row>
    <row r="6898" spans="1:8" x14ac:dyDescent="0.25">
      <c r="A6898" s="2" t="s">
        <v>6925</v>
      </c>
      <c r="B6898" s="3"/>
      <c r="C6898" s="3"/>
      <c r="D6898" s="3"/>
      <c r="E6898" s="5" t="str">
        <f>HYPERLINK("https://dpmzos25m8ivg.cloudfront.net/Documentos/631/45235110803/6314523511080305092023084736.pdf","https://dpmzos25m8ivg.cloudfront.net/Documentos/631/45235110803/6314523511080305092023084736.pdf")</f>
        <v>https://dpmzos25m8ivg.cloudfront.net/Documentos/631/45235110803/6314523511080305092023084736.pdf</v>
      </c>
      <c r="F6898" s="5" t="str">
        <f>HYPERLINK("https://dpmzos25m8ivg.cloudfront.net/Documentos/631/45235110803/6314523511080305092023084752.pdf","https://dpmzos25m8ivg.cloudfront.net/Documentos/631/45235110803/6314523511080305092023084752.pdf")</f>
        <v>https://dpmzos25m8ivg.cloudfront.net/Documentos/631/45235110803/6314523511080305092023084752.pdf</v>
      </c>
      <c r="G6898" s="5" t="str">
        <f>HYPERLINK("https://dpmzos25m8ivg.cloudfront.net/Documentos/631/45235110803/6314523511080305092023084806.pdf","https://dpmzos25m8ivg.cloudfront.net/Documentos/631/45235110803/6314523511080305092023084806.pdf")</f>
        <v>https://dpmzos25m8ivg.cloudfront.net/Documentos/631/45235110803/6314523511080305092023084806.pdf</v>
      </c>
      <c r="H6898" s="5" t="s">
        <v>15468</v>
      </c>
    </row>
    <row r="6899" spans="1:8" x14ac:dyDescent="0.25">
      <c r="A6899" s="2" t="s">
        <v>6926</v>
      </c>
      <c r="B6899" s="6" t="s">
        <v>23</v>
      </c>
      <c r="C6899" s="3"/>
      <c r="D6899" s="3"/>
      <c r="E6899" s="5" t="str">
        <f>HYPERLINK("https://dpmzos25m8ivg.cloudfront.net/Documentos/631/45238095856/6314523809585611092023120208.pdf","https://dpmzos25m8ivg.cloudfront.net/Documentos/631/45238095856/6314523809585611092023120208.pdf")</f>
        <v>https://dpmzos25m8ivg.cloudfront.net/Documentos/631/45238095856/6314523809585611092023120208.pdf</v>
      </c>
      <c r="F6899" s="5" t="str">
        <f>HYPERLINK("https://dpmzos25m8ivg.cloudfront.net/Documentos/631/45238095856/6314523809585611092023120316.pdf","https://dpmzos25m8ivg.cloudfront.net/Documentos/631/45238095856/6314523809585611092023120316.pdf")</f>
        <v>https://dpmzos25m8ivg.cloudfront.net/Documentos/631/45238095856/6314523809585611092023120316.pdf</v>
      </c>
      <c r="G6899" s="5" t="str">
        <f>HYPERLINK("https://dpmzos25m8ivg.cloudfront.net/Documentos/631/45238095856/6314523809585611092023120405.pdf","https://dpmzos25m8ivg.cloudfront.net/Documentos/631/45238095856/6314523809585611092023120405.pdf")</f>
        <v>https://dpmzos25m8ivg.cloudfront.net/Documentos/631/45238095856/6314523809585611092023120405.pdf</v>
      </c>
      <c r="H6899" s="5" t="s">
        <v>15469</v>
      </c>
    </row>
    <row r="6900" spans="1:8" x14ac:dyDescent="0.25">
      <c r="A6900" s="2" t="s">
        <v>6927</v>
      </c>
      <c r="B6900" s="3" t="s">
        <v>90</v>
      </c>
      <c r="C6900" s="3"/>
      <c r="D6900" s="3"/>
      <c r="E6900" s="5" t="str">
        <f>HYPERLINK("https://dpmzos25m8ivg.cloudfront.net/Documentos/631/45264968802/6314526496880213092023175141.jpeg","https://dpmzos25m8ivg.cloudfront.net/Documentos/631/45264968802/6314526496880213092023175141.jpeg")</f>
        <v>https://dpmzos25m8ivg.cloudfront.net/Documentos/631/45264968802/6314526496880213092023175141.jpeg</v>
      </c>
      <c r="F6900" s="5" t="str">
        <f>HYPERLINK("https://dpmzos25m8ivg.cloudfront.net/Documentos/631/45264968802/6314526496880213092023175154.jpeg","https://dpmzos25m8ivg.cloudfront.net/Documentos/631/45264968802/6314526496880213092023175154.jpeg")</f>
        <v>https://dpmzos25m8ivg.cloudfront.net/Documentos/631/45264968802/6314526496880213092023175154.jpeg</v>
      </c>
      <c r="G6900" s="5" t="str">
        <f>HYPERLINK("https://dpmzos25m8ivg.cloudfront.net/Documentos/631/45264968802/6314526496880213092023175201.jpeg","https://dpmzos25m8ivg.cloudfront.net/Documentos/631/45264968802/6314526496880213092023175201.jpeg")</f>
        <v>https://dpmzos25m8ivg.cloudfront.net/Documentos/631/45264968802/6314526496880213092023175201.jpeg</v>
      </c>
      <c r="H6900" s="5" t="s">
        <v>15470</v>
      </c>
    </row>
    <row r="6901" spans="1:8" x14ac:dyDescent="0.25">
      <c r="A6901" s="2" t="s">
        <v>6928</v>
      </c>
      <c r="B6901" s="3"/>
      <c r="C6901" s="3"/>
      <c r="D6901" s="3"/>
      <c r="E6901" s="5" t="str">
        <f>HYPERLINK("https://dpmzos25m8ivg.cloudfront.net/Documentos/631/45278719869/6314527871986906092023161321.pdf","https://dpmzos25m8ivg.cloudfront.net/Documentos/631/45278719869/6314527871986906092023161321.pdf")</f>
        <v>https://dpmzos25m8ivg.cloudfront.net/Documentos/631/45278719869/6314527871986906092023161321.pdf</v>
      </c>
      <c r="F6901" s="5" t="str">
        <f>HYPERLINK("https://dpmzos25m8ivg.cloudfront.net/Documentos/631/45278719869/6314527871986906092023161334.pdf","https://dpmzos25m8ivg.cloudfront.net/Documentos/631/45278719869/6314527871986906092023161334.pdf")</f>
        <v>https://dpmzos25m8ivg.cloudfront.net/Documentos/631/45278719869/6314527871986906092023161334.pdf</v>
      </c>
      <c r="G6901" s="5" t="str">
        <f>HYPERLINK("https://dpmzos25m8ivg.cloudfront.net/Documentos/631/45278719869/6314527871986906092023161356.pdf","https://dpmzos25m8ivg.cloudfront.net/Documentos/631/45278719869/6314527871986906092023161356.pdf")</f>
        <v>https://dpmzos25m8ivg.cloudfront.net/Documentos/631/45278719869/6314527871986906092023161356.pdf</v>
      </c>
      <c r="H6901" s="5" t="s">
        <v>15471</v>
      </c>
    </row>
    <row r="6902" spans="1:8" x14ac:dyDescent="0.25">
      <c r="A6902" s="2" t="s">
        <v>6929</v>
      </c>
      <c r="B6902" s="3"/>
      <c r="C6902" s="3"/>
      <c r="D6902" s="3"/>
      <c r="E6902" s="5" t="str">
        <f>HYPERLINK("https://dpmzos25m8ivg.cloudfront.net/Documentos/631/45283134806/6314528313480610092023205754.pdf","https://dpmzos25m8ivg.cloudfront.net/Documentos/631/45283134806/6314528313480610092023205754.pdf")</f>
        <v>https://dpmzos25m8ivg.cloudfront.net/Documentos/631/45283134806/6314528313480610092023205754.pdf</v>
      </c>
      <c r="F6902" s="5" t="str">
        <f>HYPERLINK("https://dpmzos25m8ivg.cloudfront.net/Documentos/631/45283134806/6314528313480610092023205813.pdf","https://dpmzos25m8ivg.cloudfront.net/Documentos/631/45283134806/6314528313480610092023205813.pdf")</f>
        <v>https://dpmzos25m8ivg.cloudfront.net/Documentos/631/45283134806/6314528313480610092023205813.pdf</v>
      </c>
      <c r="G6902" s="5" t="str">
        <f>HYPERLINK("https://dpmzos25m8ivg.cloudfront.net/Documentos/631/45283134806/6314528313480610092023205826.pdf","https://dpmzos25m8ivg.cloudfront.net/Documentos/631/45283134806/6314528313480610092023205826.pdf")</f>
        <v>https://dpmzos25m8ivg.cloudfront.net/Documentos/631/45283134806/6314528313480610092023205826.pdf</v>
      </c>
      <c r="H6902" s="5" t="s">
        <v>15472</v>
      </c>
    </row>
    <row r="6903" spans="1:8" x14ac:dyDescent="0.25">
      <c r="A6903" s="2" t="s">
        <v>6930</v>
      </c>
      <c r="B6903" s="3"/>
      <c r="C6903" s="3"/>
      <c r="D6903" s="3"/>
      <c r="E6903" s="5" t="str">
        <f>HYPERLINK("https://dpmzos25m8ivg.cloudfront.net/Documentos/631/45303485803/6314530348580311092023010330.jpg","https://dpmzos25m8ivg.cloudfront.net/Documentos/631/45303485803/6314530348580311092023010330.jpg")</f>
        <v>https://dpmzos25m8ivg.cloudfront.net/Documentos/631/45303485803/6314530348580311092023010330.jpg</v>
      </c>
      <c r="F6903" s="5" t="str">
        <f>HYPERLINK("https://dpmzos25m8ivg.cloudfront.net/Documentos/631/45303485803/6314530348580311092023010349.jpg","https://dpmzos25m8ivg.cloudfront.net/Documentos/631/45303485803/6314530348580311092023010349.jpg")</f>
        <v>https://dpmzos25m8ivg.cloudfront.net/Documentos/631/45303485803/6314530348580311092023010349.jpg</v>
      </c>
      <c r="G6903" s="5" t="str">
        <f>HYPERLINK("https://dpmzos25m8ivg.cloudfront.net/Documentos/631/45303485803/6314530348580311092023010404.jpg","https://dpmzos25m8ivg.cloudfront.net/Documentos/631/45303485803/6314530348580311092023010404.jpg")</f>
        <v>https://dpmzos25m8ivg.cloudfront.net/Documentos/631/45303485803/6314530348580311092023010404.jpg</v>
      </c>
      <c r="H6903" s="5" t="s">
        <v>15473</v>
      </c>
    </row>
    <row r="6904" spans="1:8" x14ac:dyDescent="0.25">
      <c r="A6904" s="2" t="s">
        <v>6931</v>
      </c>
      <c r="B6904" s="3"/>
      <c r="C6904" s="3"/>
      <c r="D6904" s="3"/>
      <c r="E6904" s="5" t="str">
        <f>HYPERLINK("https://dpmzos25m8ivg.cloudfront.net/Documentos/631/45313137808/6314531313780811092023155711.jpeg","https://dpmzos25m8ivg.cloudfront.net/Documentos/631/45313137808/6314531313780811092023155711.jpeg")</f>
        <v>https://dpmzos25m8ivg.cloudfront.net/Documentos/631/45313137808/6314531313780811092023155711.jpeg</v>
      </c>
      <c r="F6904" s="5" t="str">
        <f>HYPERLINK("https://dpmzos25m8ivg.cloudfront.net/Documentos/631/45313137808/6314531313780811092023155742.jpeg","https://dpmzos25m8ivg.cloudfront.net/Documentos/631/45313137808/6314531313780811092023155742.jpeg")</f>
        <v>https://dpmzos25m8ivg.cloudfront.net/Documentos/631/45313137808/6314531313780811092023155742.jpeg</v>
      </c>
      <c r="G6904" s="5" t="str">
        <f>HYPERLINK("https://dpmzos25m8ivg.cloudfront.net/Documentos/631/45313137808/6314531313780811092023155841.jpeg","https://dpmzos25m8ivg.cloudfront.net/Documentos/631/45313137808/6314531313780811092023155841.jpeg")</f>
        <v>https://dpmzos25m8ivg.cloudfront.net/Documentos/631/45313137808/6314531313780811092023155841.jpeg</v>
      </c>
      <c r="H6904" s="5" t="s">
        <v>15474</v>
      </c>
    </row>
    <row r="6905" spans="1:8" x14ac:dyDescent="0.25">
      <c r="A6905" s="2" t="s">
        <v>6932</v>
      </c>
      <c r="B6905" s="3" t="s">
        <v>42</v>
      </c>
      <c r="C6905" s="3"/>
      <c r="D6905" s="3"/>
      <c r="E6905" s="5" t="str">
        <f>HYPERLINK("https://dpmzos25m8ivg.cloudfront.net/Documentos/631/45334641149/6314533464114906092023162125.jpeg","https://dpmzos25m8ivg.cloudfront.net/Documentos/631/45334641149/6314533464114906092023162125.jpeg")</f>
        <v>https://dpmzos25m8ivg.cloudfront.net/Documentos/631/45334641149/6314533464114906092023162125.jpeg</v>
      </c>
      <c r="F6905" s="5" t="str">
        <f>HYPERLINK("https://dpmzos25m8ivg.cloudfront.net/Documentos/631/45334641149/6314533464114906092023162135.jpeg","https://dpmzos25m8ivg.cloudfront.net/Documentos/631/45334641149/6314533464114906092023162135.jpeg")</f>
        <v>https://dpmzos25m8ivg.cloudfront.net/Documentos/631/45334641149/6314533464114906092023162135.jpeg</v>
      </c>
      <c r="G6905" s="5" t="str">
        <f>HYPERLINK("https://dpmzos25m8ivg.cloudfront.net/Documentos/631/45334641149/6314533464114906092023162143.jpeg","https://dpmzos25m8ivg.cloudfront.net/Documentos/631/45334641149/6314533464114906092023162143.jpeg")</f>
        <v>https://dpmzos25m8ivg.cloudfront.net/Documentos/631/45334641149/6314533464114906092023162143.jpeg</v>
      </c>
      <c r="H6905" s="5" t="s">
        <v>15475</v>
      </c>
    </row>
    <row r="6906" spans="1:8" x14ac:dyDescent="0.25">
      <c r="A6906" s="2" t="s">
        <v>6933</v>
      </c>
      <c r="B6906" s="3"/>
      <c r="C6906" s="3"/>
      <c r="D6906" s="3"/>
      <c r="E6906" s="5" t="str">
        <f>HYPERLINK("https://dpmzos25m8ivg.cloudfront.net/Documentos/631/45487162204/6314548716220411092023163311.jpeg","https://dpmzos25m8ivg.cloudfront.net/Documentos/631/45487162204/6314548716220411092023163311.jpeg")</f>
        <v>https://dpmzos25m8ivg.cloudfront.net/Documentos/631/45487162204/6314548716220411092023163311.jpeg</v>
      </c>
      <c r="F6906" s="5" t="str">
        <f>HYPERLINK("https://dpmzos25m8ivg.cloudfront.net/Documentos/631/45487162204/6314548716220411092023163324.jpeg","https://dpmzos25m8ivg.cloudfront.net/Documentos/631/45487162204/6314548716220411092023163324.jpeg")</f>
        <v>https://dpmzos25m8ivg.cloudfront.net/Documentos/631/45487162204/6314548716220411092023163324.jpeg</v>
      </c>
      <c r="G6906" s="5" t="str">
        <f>HYPERLINK("https://dpmzos25m8ivg.cloudfront.net/Documentos/631/45487162204/6314548716220411092023163345.jpeg","https://dpmzos25m8ivg.cloudfront.net/Documentos/631/45487162204/6314548716220411092023163345.jpeg")</f>
        <v>https://dpmzos25m8ivg.cloudfront.net/Documentos/631/45487162204/6314548716220411092023163345.jpeg</v>
      </c>
      <c r="H6906" s="5" t="s">
        <v>15476</v>
      </c>
    </row>
    <row r="6907" spans="1:8" x14ac:dyDescent="0.25">
      <c r="A6907" s="2" t="s">
        <v>6934</v>
      </c>
      <c r="B6907" s="3"/>
      <c r="C6907" s="3"/>
      <c r="D6907" s="3"/>
      <c r="E6907" s="5" t="str">
        <f>HYPERLINK("https://dpmzos25m8ivg.cloudfront.net/Documentos/631/45496786827/6314549678682713092023203748.jpg","https://dpmzos25m8ivg.cloudfront.net/Documentos/631/45496786827/6314549678682713092023203748.jpg")</f>
        <v>https://dpmzos25m8ivg.cloudfront.net/Documentos/631/45496786827/6314549678682713092023203748.jpg</v>
      </c>
      <c r="F6907" s="5" t="str">
        <f>HYPERLINK("https://dpmzos25m8ivg.cloudfront.net/Documentos/631/45496786827/6314549678682713092023203818.jpg","https://dpmzos25m8ivg.cloudfront.net/Documentos/631/45496786827/6314549678682713092023203818.jpg")</f>
        <v>https://dpmzos25m8ivg.cloudfront.net/Documentos/631/45496786827/6314549678682713092023203818.jpg</v>
      </c>
      <c r="G6907" s="5" t="str">
        <f>HYPERLINK("https://dpmzos25m8ivg.cloudfront.net/Documentos/631/45496786827/6314549678682713092023203838.jpg","https://dpmzos25m8ivg.cloudfront.net/Documentos/631/45496786827/6314549678682713092023203838.jpg")</f>
        <v>https://dpmzos25m8ivg.cloudfront.net/Documentos/631/45496786827/6314549678682713092023203838.jpg</v>
      </c>
      <c r="H6907" s="5" t="s">
        <v>15477</v>
      </c>
    </row>
    <row r="6908" spans="1:8" x14ac:dyDescent="0.25">
      <c r="A6908" s="2" t="s">
        <v>6935</v>
      </c>
      <c r="B6908" s="3"/>
      <c r="C6908" s="3"/>
      <c r="D6908" s="3"/>
      <c r="E6908" s="5" t="str">
        <f>HYPERLINK("https://dpmzos25m8ivg.cloudfront.net/Documentos/631/45533604898/6314553360489811092023121614.pdf","https://dpmzos25m8ivg.cloudfront.net/Documentos/631/45533604898/6314553360489811092023121614.pdf")</f>
        <v>https://dpmzos25m8ivg.cloudfront.net/Documentos/631/45533604898/6314553360489811092023121614.pdf</v>
      </c>
      <c r="F6908" s="5" t="str">
        <f>HYPERLINK("https://dpmzos25m8ivg.cloudfront.net/Documentos/631/45533604898/6314553360489811092023121631.pdf","https://dpmzos25m8ivg.cloudfront.net/Documentos/631/45533604898/6314553360489811092023121631.pdf")</f>
        <v>https://dpmzos25m8ivg.cloudfront.net/Documentos/631/45533604898/6314553360489811092023121631.pdf</v>
      </c>
      <c r="G6908" s="5" t="str">
        <f>HYPERLINK("https://dpmzos25m8ivg.cloudfront.net/Documentos/631/45533604898/6314553360489811092023121640.pdf","https://dpmzos25m8ivg.cloudfront.net/Documentos/631/45533604898/6314553360489811092023121640.pdf")</f>
        <v>https://dpmzos25m8ivg.cloudfront.net/Documentos/631/45533604898/6314553360489811092023121640.pdf</v>
      </c>
      <c r="H6908" s="5" t="s">
        <v>15478</v>
      </c>
    </row>
    <row r="6909" spans="1:8" x14ac:dyDescent="0.25">
      <c r="A6909" s="2" t="s">
        <v>6936</v>
      </c>
      <c r="B6909" s="3" t="s">
        <v>42</v>
      </c>
      <c r="C6909" s="3"/>
      <c r="D6909" s="3"/>
      <c r="E6909" s="5" t="str">
        <f>HYPERLINK("https://dpmzos25m8ivg.cloudfront.net/Documentos/631/45542686168/6314554268616811092023135336.pdf","https://dpmzos25m8ivg.cloudfront.net/Documentos/631/45542686168/6314554268616811092023135336.pdf")</f>
        <v>https://dpmzos25m8ivg.cloudfront.net/Documentos/631/45542686168/6314554268616811092023135336.pdf</v>
      </c>
      <c r="F6909" s="5" t="str">
        <f>HYPERLINK("https://dpmzos25m8ivg.cloudfront.net/Documentos/631/45542686168/6314554268616811092023135423.pdf","https://dpmzos25m8ivg.cloudfront.net/Documentos/631/45542686168/6314554268616811092023135423.pdf")</f>
        <v>https://dpmzos25m8ivg.cloudfront.net/Documentos/631/45542686168/6314554268616811092023135423.pdf</v>
      </c>
      <c r="G6909" s="5" t="str">
        <f>HYPERLINK("https://dpmzos25m8ivg.cloudfront.net/Documentos/631/45542686168/6314554268616811092023135449.pdf","https://dpmzos25m8ivg.cloudfront.net/Documentos/631/45542686168/6314554268616811092023135449.pdf")</f>
        <v>https://dpmzos25m8ivg.cloudfront.net/Documentos/631/45542686168/6314554268616811092023135449.pdf</v>
      </c>
      <c r="H6909" s="5" t="s">
        <v>15479</v>
      </c>
    </row>
    <row r="6910" spans="1:8" x14ac:dyDescent="0.25">
      <c r="A6910" s="2" t="s">
        <v>6937</v>
      </c>
      <c r="B6910" s="3"/>
      <c r="C6910" s="3"/>
      <c r="D6910" s="3"/>
      <c r="E6910" s="5" t="str">
        <f>HYPERLINK("https://dpmzos25m8ivg.cloudfront.net/Documentos/631/45553849896/6314555384989611092023064730.pdf","https://dpmzos25m8ivg.cloudfront.net/Documentos/631/45553849896/6314555384989611092023064730.pdf")</f>
        <v>https://dpmzos25m8ivg.cloudfront.net/Documentos/631/45553849896/6314555384989611092023064730.pdf</v>
      </c>
      <c r="F6910" s="5" t="str">
        <f>HYPERLINK("https://dpmzos25m8ivg.cloudfront.net/Documentos/631/45553849896/6314555384989611092023064808.pdf","https://dpmzos25m8ivg.cloudfront.net/Documentos/631/45553849896/6314555384989611092023064808.pdf")</f>
        <v>https://dpmzos25m8ivg.cloudfront.net/Documentos/631/45553849896/6314555384989611092023064808.pdf</v>
      </c>
      <c r="G6910" s="5" t="str">
        <f>HYPERLINK("https://dpmzos25m8ivg.cloudfront.net/Documentos/631/45553849896/6314555384989611092023064817.pdf","https://dpmzos25m8ivg.cloudfront.net/Documentos/631/45553849896/6314555384989611092023064817.pdf")</f>
        <v>https://dpmzos25m8ivg.cloudfront.net/Documentos/631/45553849896/6314555384989611092023064817.pdf</v>
      </c>
      <c r="H6910" s="5" t="s">
        <v>15480</v>
      </c>
    </row>
    <row r="6911" spans="1:8" x14ac:dyDescent="0.25">
      <c r="A6911" s="2" t="s">
        <v>6938</v>
      </c>
      <c r="B6911" s="3" t="s">
        <v>42</v>
      </c>
      <c r="C6911" s="3"/>
      <c r="D6911" s="3"/>
      <c r="E6911" s="5" t="str">
        <f>HYPERLINK("https://dpmzos25m8ivg.cloudfront.net/Documentos/631/45605127870/6314560512787005092023192821.pdf","https://dpmzos25m8ivg.cloudfront.net/Documentos/631/45605127870/6314560512787005092023192821.pdf")</f>
        <v>https://dpmzos25m8ivg.cloudfront.net/Documentos/631/45605127870/6314560512787005092023192821.pdf</v>
      </c>
      <c r="F6911" s="5" t="str">
        <f>HYPERLINK("https://dpmzos25m8ivg.cloudfront.net/Documentos/631/45605127870/6314560512787005092023192854.pdf","https://dpmzos25m8ivg.cloudfront.net/Documentos/631/45605127870/6314560512787005092023192854.pdf")</f>
        <v>https://dpmzos25m8ivg.cloudfront.net/Documentos/631/45605127870/6314560512787005092023192854.pdf</v>
      </c>
      <c r="G6911" s="5" t="str">
        <f>HYPERLINK("https://dpmzos25m8ivg.cloudfront.net/Documentos/631/45605127870/6314560512787005092023192904.pdf","https://dpmzos25m8ivg.cloudfront.net/Documentos/631/45605127870/6314560512787005092023192904.pdf")</f>
        <v>https://dpmzos25m8ivg.cloudfront.net/Documentos/631/45605127870/6314560512787005092023192904.pdf</v>
      </c>
      <c r="H6911" s="5" t="s">
        <v>15481</v>
      </c>
    </row>
    <row r="6912" spans="1:8" x14ac:dyDescent="0.25">
      <c r="A6912" s="2" t="s">
        <v>6939</v>
      </c>
      <c r="B6912" s="3"/>
      <c r="C6912" s="3"/>
      <c r="D6912" s="3"/>
      <c r="E6912" s="5" t="str">
        <f>HYPERLINK("https://dpmzos25m8ivg.cloudfront.net/Documentos/631/45648065809/6314564806580905092023182212.jpeg","https://dpmzos25m8ivg.cloudfront.net/Documentos/631/45648065809/6314564806580905092023182212.jpeg")</f>
        <v>https://dpmzos25m8ivg.cloudfront.net/Documentos/631/45648065809/6314564806580905092023182212.jpeg</v>
      </c>
      <c r="F6912" s="5" t="str">
        <f>HYPERLINK("https://dpmzos25m8ivg.cloudfront.net/Documentos/631/45648065809/6314564806580905092023182220.jpeg","https://dpmzos25m8ivg.cloudfront.net/Documentos/631/45648065809/6314564806580905092023182220.jpeg")</f>
        <v>https://dpmzos25m8ivg.cloudfront.net/Documentos/631/45648065809/6314564806580905092023182220.jpeg</v>
      </c>
      <c r="G6912" s="5" t="str">
        <f>HYPERLINK("https://dpmzos25m8ivg.cloudfront.net/Documentos/631/45648065809/6314564806580905092023182229.jpeg","https://dpmzos25m8ivg.cloudfront.net/Documentos/631/45648065809/6314564806580905092023182229.jpeg")</f>
        <v>https://dpmzos25m8ivg.cloudfront.net/Documentos/631/45648065809/6314564806580905092023182229.jpeg</v>
      </c>
      <c r="H6912" s="5" t="s">
        <v>15482</v>
      </c>
    </row>
    <row r="6913" spans="1:8" x14ac:dyDescent="0.25">
      <c r="A6913" s="2" t="s">
        <v>6940</v>
      </c>
      <c r="B6913" s="3"/>
      <c r="C6913" s="3"/>
      <c r="D6913" s="3"/>
      <c r="E6913" s="5" t="str">
        <f>HYPERLINK("https://dpmzos25m8ivg.cloudfront.net/Documentos/631/45695762812/6314569576281211092023142815.pdf","https://dpmzos25m8ivg.cloudfront.net/Documentos/631/45695762812/6314569576281211092023142815.pdf")</f>
        <v>https://dpmzos25m8ivg.cloudfront.net/Documentos/631/45695762812/6314569576281211092023142815.pdf</v>
      </c>
      <c r="F6913" s="5" t="str">
        <f>HYPERLINK("https://dpmzos25m8ivg.cloudfront.net/Documentos/631/45695762812/6314569576281211092023142858.pdf","https://dpmzos25m8ivg.cloudfront.net/Documentos/631/45695762812/6314569576281211092023142858.pdf")</f>
        <v>https://dpmzos25m8ivg.cloudfront.net/Documentos/631/45695762812/6314569576281211092023142858.pdf</v>
      </c>
      <c r="G6913" s="5" t="str">
        <f>HYPERLINK("https://dpmzos25m8ivg.cloudfront.net/Documentos/631/45695762812/6314569576281211092023142920.pdf","https://dpmzos25m8ivg.cloudfront.net/Documentos/631/45695762812/6314569576281211092023142920.pdf")</f>
        <v>https://dpmzos25m8ivg.cloudfront.net/Documentos/631/45695762812/6314569576281211092023142920.pdf</v>
      </c>
      <c r="H6913" s="5" t="s">
        <v>15483</v>
      </c>
    </row>
    <row r="6914" spans="1:8" x14ac:dyDescent="0.25">
      <c r="A6914" s="2" t="s">
        <v>6941</v>
      </c>
      <c r="B6914" s="3"/>
      <c r="C6914" s="3"/>
      <c r="D6914" s="3"/>
      <c r="E6914" s="5" t="str">
        <f>HYPERLINK("https://dpmzos25m8ivg.cloudfront.net/Documentos/631/45705968515/6314570596851505092023155446.jpg","https://dpmzos25m8ivg.cloudfront.net/Documentos/631/45705968515/6314570596851505092023155446.jpg")</f>
        <v>https://dpmzos25m8ivg.cloudfront.net/Documentos/631/45705968515/6314570596851505092023155446.jpg</v>
      </c>
      <c r="F6914" s="5" t="str">
        <f>HYPERLINK("https://dpmzos25m8ivg.cloudfront.net/Documentos/631/45705968515/6314570596851505092023155511.jpg","https://dpmzos25m8ivg.cloudfront.net/Documentos/631/45705968515/6314570596851505092023155511.jpg")</f>
        <v>https://dpmzos25m8ivg.cloudfront.net/Documentos/631/45705968515/6314570596851505092023155511.jpg</v>
      </c>
      <c r="G6914" s="5" t="str">
        <f>HYPERLINK("https://dpmzos25m8ivg.cloudfront.net/Documentos/631/45705968515/6314570596851505092023155542.jpg","https://dpmzos25m8ivg.cloudfront.net/Documentos/631/45705968515/6314570596851505092023155542.jpg")</f>
        <v>https://dpmzos25m8ivg.cloudfront.net/Documentos/631/45705968515/6314570596851505092023155542.jpg</v>
      </c>
      <c r="H6914" s="5" t="s">
        <v>15484</v>
      </c>
    </row>
    <row r="6915" spans="1:8" x14ac:dyDescent="0.25">
      <c r="A6915" s="2" t="s">
        <v>6942</v>
      </c>
      <c r="B6915" s="3"/>
      <c r="C6915" s="3"/>
      <c r="D6915" s="3"/>
      <c r="E6915" s="5" t="str">
        <f>HYPERLINK("https://dpmzos25m8ivg.cloudfront.net/Documentos/631/45744473890/6314574447389014092023135517.jpg","https://dpmzos25m8ivg.cloudfront.net/Documentos/631/45744473890/6314574447389014092023135517.jpg")</f>
        <v>https://dpmzos25m8ivg.cloudfront.net/Documentos/631/45744473890/6314574447389014092023135517.jpg</v>
      </c>
      <c r="F6915" s="5" t="str">
        <f>HYPERLINK("https://dpmzos25m8ivg.cloudfront.net/Documentos/631/45744473890/6314574447389014092023135616.jpg","https://dpmzos25m8ivg.cloudfront.net/Documentos/631/45744473890/6314574447389014092023135616.jpg")</f>
        <v>https://dpmzos25m8ivg.cloudfront.net/Documentos/631/45744473890/6314574447389014092023135616.jpg</v>
      </c>
      <c r="G6915" s="5" t="str">
        <f>HYPERLINK("https://dpmzos25m8ivg.cloudfront.net/Documentos/631/45744473890/6314574447389014092023135638.jpg","https://dpmzos25m8ivg.cloudfront.net/Documentos/631/45744473890/6314574447389014092023135638.jpg")</f>
        <v>https://dpmzos25m8ivg.cloudfront.net/Documentos/631/45744473890/6314574447389014092023135638.jpg</v>
      </c>
      <c r="H6915" s="5" t="s">
        <v>15485</v>
      </c>
    </row>
    <row r="6916" spans="1:8" x14ac:dyDescent="0.25">
      <c r="A6916" s="2" t="s">
        <v>6943</v>
      </c>
      <c r="B6916" s="3"/>
      <c r="C6916" s="3"/>
      <c r="D6916" s="3"/>
      <c r="E6916" s="5" t="str">
        <f>HYPERLINK("https://dpmzos25m8ivg.cloudfront.net/Documentos/631/45765155863/6314576515586312092023173645.pdf","https://dpmzos25m8ivg.cloudfront.net/Documentos/631/45765155863/6314576515586312092023173645.pdf")</f>
        <v>https://dpmzos25m8ivg.cloudfront.net/Documentos/631/45765155863/6314576515586312092023173645.pdf</v>
      </c>
      <c r="F6916" s="5" t="str">
        <f>HYPERLINK("https://dpmzos25m8ivg.cloudfront.net/Documentos/631/45765155863/6314576515586312092023173652.pdf","https://dpmzos25m8ivg.cloudfront.net/Documentos/631/45765155863/6314576515586312092023173652.pdf")</f>
        <v>https://dpmzos25m8ivg.cloudfront.net/Documentos/631/45765155863/6314576515586312092023173652.pdf</v>
      </c>
      <c r="G6916" s="5" t="str">
        <f>HYPERLINK("https://dpmzos25m8ivg.cloudfront.net/Documentos/631/45765155863/6314576515586312092023173705.pdf","https://dpmzos25m8ivg.cloudfront.net/Documentos/631/45765155863/6314576515586312092023173705.pdf")</f>
        <v>https://dpmzos25m8ivg.cloudfront.net/Documentos/631/45765155863/6314576515586312092023173705.pdf</v>
      </c>
      <c r="H6916" s="5" t="s">
        <v>15486</v>
      </c>
    </row>
    <row r="6917" spans="1:8" x14ac:dyDescent="0.25">
      <c r="A6917" s="2" t="s">
        <v>6944</v>
      </c>
      <c r="B6917" s="3"/>
      <c r="C6917" s="3"/>
      <c r="D6917" s="3"/>
      <c r="E6917" s="5" t="str">
        <f>HYPERLINK("https://dpmzos25m8ivg.cloudfront.net/Documentos/631/45766680805/6314576668080511092023152514.pdf","https://dpmzos25m8ivg.cloudfront.net/Documentos/631/45766680805/6314576668080511092023152514.pdf")</f>
        <v>https://dpmzos25m8ivg.cloudfront.net/Documentos/631/45766680805/6314576668080511092023152514.pdf</v>
      </c>
      <c r="F6917" s="5" t="str">
        <f>HYPERLINK("https://dpmzos25m8ivg.cloudfront.net/Documentos/631/45766680805/6314576668080511092023152530.pdf","https://dpmzos25m8ivg.cloudfront.net/Documentos/631/45766680805/6314576668080511092023152530.pdf")</f>
        <v>https://dpmzos25m8ivg.cloudfront.net/Documentos/631/45766680805/6314576668080511092023152530.pdf</v>
      </c>
      <c r="G6917" s="5" t="str">
        <f>HYPERLINK("https://dpmzos25m8ivg.cloudfront.net/Documentos/631/45766680805/6314576668080511092023152541.pdf","https://dpmzos25m8ivg.cloudfront.net/Documentos/631/45766680805/6314576668080511092023152541.pdf")</f>
        <v>https://dpmzos25m8ivg.cloudfront.net/Documentos/631/45766680805/6314576668080511092023152541.pdf</v>
      </c>
      <c r="H6917" s="5" t="s">
        <v>15487</v>
      </c>
    </row>
    <row r="6918" spans="1:8" x14ac:dyDescent="0.25">
      <c r="A6918" s="2" t="s">
        <v>6945</v>
      </c>
      <c r="B6918" s="3" t="s">
        <v>6946</v>
      </c>
      <c r="C6918" s="3"/>
      <c r="D6918" s="3"/>
      <c r="E6918" s="5" t="str">
        <f>HYPERLINK("https://dpmzos25m8ivg.cloudfront.net/Documentos/631/45770317876/6314577031787608092023101259.pdf","https://dpmzos25m8ivg.cloudfront.net/Documentos/631/45770317876/6314577031787608092023101259.pdf")</f>
        <v>https://dpmzos25m8ivg.cloudfront.net/Documentos/631/45770317876/6314577031787608092023101259.pdf</v>
      </c>
      <c r="F6918" s="5" t="str">
        <f>HYPERLINK("https://dpmzos25m8ivg.cloudfront.net/Documentos/631/45770317876/6314577031787608092023101343.pdf","https://dpmzos25m8ivg.cloudfront.net/Documentos/631/45770317876/6314577031787608092023101343.pdf")</f>
        <v>https://dpmzos25m8ivg.cloudfront.net/Documentos/631/45770317876/6314577031787608092023101343.pdf</v>
      </c>
      <c r="G6918" s="5" t="str">
        <f>HYPERLINK("https://dpmzos25m8ivg.cloudfront.net/Documentos/631/45770317876/6314577031787608092023101416.pdf","https://dpmzos25m8ivg.cloudfront.net/Documentos/631/45770317876/6314577031787608092023101416.pdf")</f>
        <v>https://dpmzos25m8ivg.cloudfront.net/Documentos/631/45770317876/6314577031787608092023101416.pdf</v>
      </c>
      <c r="H6918" s="5" t="s">
        <v>15488</v>
      </c>
    </row>
    <row r="6919" spans="1:8" x14ac:dyDescent="0.25">
      <c r="A6919" s="2" t="s">
        <v>6947</v>
      </c>
      <c r="B6919" s="3"/>
      <c r="C6919" s="3"/>
      <c r="D6919" s="3"/>
      <c r="E6919" s="5" t="str">
        <f>HYPERLINK("https://dpmzos25m8ivg.cloudfront.net/Documentos/631/45784289829/6314578428982905092023171448.jpeg","https://dpmzos25m8ivg.cloudfront.net/Documentos/631/45784289829/6314578428982905092023171448.jpeg")</f>
        <v>https://dpmzos25m8ivg.cloudfront.net/Documentos/631/45784289829/6314578428982905092023171448.jpeg</v>
      </c>
      <c r="F6919" s="5" t="str">
        <f>HYPERLINK("https://dpmzos25m8ivg.cloudfront.net/Documentos/631/45784289829/6314578428982905092023171457.jpeg","https://dpmzos25m8ivg.cloudfront.net/Documentos/631/45784289829/6314578428982905092023171457.jpeg")</f>
        <v>https://dpmzos25m8ivg.cloudfront.net/Documentos/631/45784289829/6314578428982905092023171457.jpeg</v>
      </c>
      <c r="G6919" s="5" t="str">
        <f>HYPERLINK("https://dpmzos25m8ivg.cloudfront.net/Documentos/631/45784289829/6314578428982905092023171508.jpeg","https://dpmzos25m8ivg.cloudfront.net/Documentos/631/45784289829/6314578428982905092023171508.jpeg")</f>
        <v>https://dpmzos25m8ivg.cloudfront.net/Documentos/631/45784289829/6314578428982905092023171508.jpeg</v>
      </c>
      <c r="H6919" s="5" t="s">
        <v>15489</v>
      </c>
    </row>
    <row r="6920" spans="1:8" x14ac:dyDescent="0.25">
      <c r="A6920" s="2" t="s">
        <v>6948</v>
      </c>
      <c r="B6920" s="3" t="s">
        <v>90</v>
      </c>
      <c r="C6920" s="3"/>
      <c r="D6920" s="3"/>
      <c r="E6920" s="5" t="str">
        <f>HYPERLINK("https://dpmzos25m8ivg.cloudfront.net/Documentos/631/45786187810/6314578618781011092023153539.jpeg","https://dpmzos25m8ivg.cloudfront.net/Documentos/631/45786187810/6314578618781011092023153539.jpeg")</f>
        <v>https://dpmzos25m8ivg.cloudfront.net/Documentos/631/45786187810/6314578618781011092023153539.jpeg</v>
      </c>
      <c r="F6920" s="5" t="str">
        <f>HYPERLINK("https://dpmzos25m8ivg.cloudfront.net/Documentos/631/45786187810/6314578618781011092023153544.jpeg","https://dpmzos25m8ivg.cloudfront.net/Documentos/631/45786187810/6314578618781011092023153544.jpeg")</f>
        <v>https://dpmzos25m8ivg.cloudfront.net/Documentos/631/45786187810/6314578618781011092023153544.jpeg</v>
      </c>
      <c r="G6920" s="5" t="str">
        <f>HYPERLINK("https://dpmzos25m8ivg.cloudfront.net/Documentos/631/45786187810/6314578618781011092023160445.pdf","https://dpmzos25m8ivg.cloudfront.net/Documentos/631/45786187810/6314578618781011092023160445.pdf")</f>
        <v>https://dpmzos25m8ivg.cloudfront.net/Documentos/631/45786187810/6314578618781011092023160445.pdf</v>
      </c>
      <c r="H6920" s="5" t="s">
        <v>15490</v>
      </c>
    </row>
    <row r="6921" spans="1:8" x14ac:dyDescent="0.25">
      <c r="A6921" s="2" t="s">
        <v>6949</v>
      </c>
      <c r="B6921" s="3"/>
      <c r="C6921" s="3"/>
      <c r="D6921" s="3"/>
      <c r="E6921" s="5" t="str">
        <f>HYPERLINK("https://dpmzos25m8ivg.cloudfront.net/Documentos/631/45786539865/6314578653986505092023094039.pdf","https://dpmzos25m8ivg.cloudfront.net/Documentos/631/45786539865/6314578653986505092023094039.pdf")</f>
        <v>https://dpmzos25m8ivg.cloudfront.net/Documentos/631/45786539865/6314578653986505092023094039.pdf</v>
      </c>
      <c r="F6921" s="5" t="str">
        <f>HYPERLINK("https://dpmzos25m8ivg.cloudfront.net/Documentos/631/45786539865/6314578653986505092023094110.pdf","https://dpmzos25m8ivg.cloudfront.net/Documentos/631/45786539865/6314578653986505092023094110.pdf")</f>
        <v>https://dpmzos25m8ivg.cloudfront.net/Documentos/631/45786539865/6314578653986505092023094110.pdf</v>
      </c>
      <c r="G6921" s="5" t="str">
        <f>HYPERLINK("https://dpmzos25m8ivg.cloudfront.net/Documentos/631/45786539865/6314578653986505092023094121.pdf","https://dpmzos25m8ivg.cloudfront.net/Documentos/631/45786539865/6314578653986505092023094121.pdf")</f>
        <v>https://dpmzos25m8ivg.cloudfront.net/Documentos/631/45786539865/6314578653986505092023094121.pdf</v>
      </c>
      <c r="H6921" s="5" t="s">
        <v>15491</v>
      </c>
    </row>
    <row r="6922" spans="1:8" x14ac:dyDescent="0.25">
      <c r="A6922" s="2" t="s">
        <v>6950</v>
      </c>
      <c r="B6922" s="3"/>
      <c r="C6922" s="3"/>
      <c r="D6922" s="3"/>
      <c r="E6922" s="5" t="str">
        <f>HYPERLINK("https://dpmzos25m8ivg.cloudfront.net/Documentos/631/45787647882/6314578764788210092023142056.pdf","https://dpmzos25m8ivg.cloudfront.net/Documentos/631/45787647882/6314578764788210092023142056.pdf")</f>
        <v>https://dpmzos25m8ivg.cloudfront.net/Documentos/631/45787647882/6314578764788210092023142056.pdf</v>
      </c>
      <c r="F6922" s="5" t="str">
        <f>HYPERLINK("https://dpmzos25m8ivg.cloudfront.net/Documentos/631/45787647882/6314578764788210092023142124.pdf","https://dpmzos25m8ivg.cloudfront.net/Documentos/631/45787647882/6314578764788210092023142124.pdf")</f>
        <v>https://dpmzos25m8ivg.cloudfront.net/Documentos/631/45787647882/6314578764788210092023142124.pdf</v>
      </c>
      <c r="G6922" s="5" t="str">
        <f>HYPERLINK("https://dpmzos25m8ivg.cloudfront.net/Documentos/631/45787647882/6314578764788210092023142200.pdf","https://dpmzos25m8ivg.cloudfront.net/Documentos/631/45787647882/6314578764788210092023142200.pdf")</f>
        <v>https://dpmzos25m8ivg.cloudfront.net/Documentos/631/45787647882/6314578764788210092023142200.pdf</v>
      </c>
      <c r="H6922" s="5" t="s">
        <v>15492</v>
      </c>
    </row>
    <row r="6923" spans="1:8" x14ac:dyDescent="0.25">
      <c r="A6923" s="2" t="s">
        <v>6951</v>
      </c>
      <c r="B6923" s="3"/>
      <c r="C6923" s="3"/>
      <c r="D6923" s="3"/>
      <c r="E6923" s="5" t="str">
        <f>HYPERLINK("https://dpmzos25m8ivg.cloudfront.net/Documentos/631/45878304880/6314587830488006092023100207.pdf","https://dpmzos25m8ivg.cloudfront.net/Documentos/631/45878304880/6314587830488006092023100207.pdf")</f>
        <v>https://dpmzos25m8ivg.cloudfront.net/Documentos/631/45878304880/6314587830488006092023100207.pdf</v>
      </c>
      <c r="F6923" s="5" t="str">
        <f>HYPERLINK("https://dpmzos25m8ivg.cloudfront.net/Documentos/631/45878304880/6314587830488006092023124628.pdf","https://dpmzos25m8ivg.cloudfront.net/Documentos/631/45878304880/6314587830488006092023124628.pdf")</f>
        <v>https://dpmzos25m8ivg.cloudfront.net/Documentos/631/45878304880/6314587830488006092023124628.pdf</v>
      </c>
      <c r="G6923" s="5" t="str">
        <f>HYPERLINK("https://dpmzos25m8ivg.cloudfront.net/Documentos/631/45878304880/6314587830488006092023124638.pdf","https://dpmzos25m8ivg.cloudfront.net/Documentos/631/45878304880/6314587830488006092023124638.pdf")</f>
        <v>https://dpmzos25m8ivg.cloudfront.net/Documentos/631/45878304880/6314587830488006092023124638.pdf</v>
      </c>
      <c r="H6923" s="5" t="s">
        <v>15493</v>
      </c>
    </row>
    <row r="6924" spans="1:8" x14ac:dyDescent="0.25">
      <c r="A6924" s="2" t="s">
        <v>6952</v>
      </c>
      <c r="B6924" s="3"/>
      <c r="C6924" s="3"/>
      <c r="D6924" s="3"/>
      <c r="E6924" s="5" t="str">
        <f>HYPERLINK("https://dpmzos25m8ivg.cloudfront.net/Documentos/631/45932701897/6314593270189706092023133218.pdf","https://dpmzos25m8ivg.cloudfront.net/Documentos/631/45932701897/6314593270189706092023133218.pdf")</f>
        <v>https://dpmzos25m8ivg.cloudfront.net/Documentos/631/45932701897/6314593270189706092023133218.pdf</v>
      </c>
      <c r="F6924" s="5" t="str">
        <f>HYPERLINK("https://dpmzos25m8ivg.cloudfront.net/Documentos/631/45932701897/6314593270189706092023133225.pdf","https://dpmzos25m8ivg.cloudfront.net/Documentos/631/45932701897/6314593270189706092023133225.pdf")</f>
        <v>https://dpmzos25m8ivg.cloudfront.net/Documentos/631/45932701897/6314593270189706092023133225.pdf</v>
      </c>
      <c r="G6924" s="5" t="str">
        <f>HYPERLINK("https://dpmzos25m8ivg.cloudfront.net/Documentos/631/45932701897/6314593270189706092023133231.pdf","https://dpmzos25m8ivg.cloudfront.net/Documentos/631/45932701897/6314593270189706092023133231.pdf")</f>
        <v>https://dpmzos25m8ivg.cloudfront.net/Documentos/631/45932701897/6314593270189706092023133231.pdf</v>
      </c>
      <c r="H6924" s="5" t="s">
        <v>15494</v>
      </c>
    </row>
    <row r="6925" spans="1:8" x14ac:dyDescent="0.25">
      <c r="A6925" s="2" t="s">
        <v>6953</v>
      </c>
      <c r="B6925" s="3"/>
      <c r="C6925" s="3"/>
      <c r="D6925" s="3"/>
      <c r="E6925" s="5" t="str">
        <f>HYPERLINK("https://dpmzos25m8ivg.cloudfront.net/Documentos/631/45944682841/6314594468284110092023151524.pdf","https://dpmzos25m8ivg.cloudfront.net/Documentos/631/45944682841/6314594468284110092023151524.pdf")</f>
        <v>https://dpmzos25m8ivg.cloudfront.net/Documentos/631/45944682841/6314594468284110092023151524.pdf</v>
      </c>
      <c r="F6925" s="5" t="str">
        <f>HYPERLINK("https://dpmzos25m8ivg.cloudfront.net/Documentos/631/45944682841/6314594468284110092023151535.pdf","https://dpmzos25m8ivg.cloudfront.net/Documentos/631/45944682841/6314594468284110092023151535.pdf")</f>
        <v>https://dpmzos25m8ivg.cloudfront.net/Documentos/631/45944682841/6314594468284110092023151535.pdf</v>
      </c>
      <c r="G6925" s="5" t="str">
        <f>HYPERLINK("https://dpmzos25m8ivg.cloudfront.net/Documentos/631/45944682841/6314594468284110092023151553.pdf","https://dpmzos25m8ivg.cloudfront.net/Documentos/631/45944682841/6314594468284110092023151553.pdf")</f>
        <v>https://dpmzos25m8ivg.cloudfront.net/Documentos/631/45944682841/6314594468284110092023151553.pdf</v>
      </c>
      <c r="H6925" s="5" t="s">
        <v>15495</v>
      </c>
    </row>
    <row r="6926" spans="1:8" x14ac:dyDescent="0.25">
      <c r="A6926" s="2" t="s">
        <v>6954</v>
      </c>
      <c r="B6926" s="3" t="s">
        <v>8</v>
      </c>
      <c r="C6926" s="3"/>
      <c r="D6926" s="3"/>
      <c r="E6926" s="5" t="str">
        <f>HYPERLINK("https://dpmzos25m8ivg.cloudfront.net/Documentos/631/45971186833/6314597118683307092023105533.pdf","https://dpmzos25m8ivg.cloudfront.net/Documentos/631/45971186833/6314597118683307092023105533.pdf")</f>
        <v>https://dpmzos25m8ivg.cloudfront.net/Documentos/631/45971186833/6314597118683307092023105533.pdf</v>
      </c>
      <c r="F6926" s="5" t="str">
        <f>HYPERLINK("https://dpmzos25m8ivg.cloudfront.net/Documentos/631/45971186833/6314597118683307092023105544.pdf","https://dpmzos25m8ivg.cloudfront.net/Documentos/631/45971186833/6314597118683307092023105544.pdf")</f>
        <v>https://dpmzos25m8ivg.cloudfront.net/Documentos/631/45971186833/6314597118683307092023105544.pdf</v>
      </c>
      <c r="G6926" s="5" t="str">
        <f>HYPERLINK("https://dpmzos25m8ivg.cloudfront.net/Documentos/631/45971186833/6314597118683307092023105555.pdf","https://dpmzos25m8ivg.cloudfront.net/Documentos/631/45971186833/6314597118683307092023105555.pdf")</f>
        <v>https://dpmzos25m8ivg.cloudfront.net/Documentos/631/45971186833/6314597118683307092023105555.pdf</v>
      </c>
      <c r="H6926" s="5" t="s">
        <v>15496</v>
      </c>
    </row>
    <row r="6927" spans="1:8" x14ac:dyDescent="0.25">
      <c r="A6927" s="2" t="s">
        <v>6955</v>
      </c>
      <c r="B6927" s="3"/>
      <c r="C6927" s="3"/>
      <c r="D6927" s="3"/>
      <c r="E6927" s="5" t="str">
        <f>HYPERLINK("https://dpmzos25m8ivg.cloudfront.net/Documentos/631/45972110806/6314597211080606092023121429.pdf","https://dpmzos25m8ivg.cloudfront.net/Documentos/631/45972110806/6314597211080606092023121429.pdf")</f>
        <v>https://dpmzos25m8ivg.cloudfront.net/Documentos/631/45972110806/6314597211080606092023121429.pdf</v>
      </c>
      <c r="F6927" s="5" t="str">
        <f>HYPERLINK("https://dpmzos25m8ivg.cloudfront.net/Documentos/631/45972110806/6314597211080606092023121447.pdf","https://dpmzos25m8ivg.cloudfront.net/Documentos/631/45972110806/6314597211080606092023121447.pdf")</f>
        <v>https://dpmzos25m8ivg.cloudfront.net/Documentos/631/45972110806/6314597211080606092023121447.pdf</v>
      </c>
      <c r="G6927" s="5" t="str">
        <f>HYPERLINK("https://dpmzos25m8ivg.cloudfront.net/Documentos/631/45972110806/6314597211080606092023121511.pdf","https://dpmzos25m8ivg.cloudfront.net/Documentos/631/45972110806/6314597211080606092023121511.pdf")</f>
        <v>https://dpmzos25m8ivg.cloudfront.net/Documentos/631/45972110806/6314597211080606092023121511.pdf</v>
      </c>
      <c r="H6927" s="5" t="s">
        <v>15497</v>
      </c>
    </row>
    <row r="6928" spans="1:8" x14ac:dyDescent="0.25">
      <c r="A6928" s="2" t="s">
        <v>6956</v>
      </c>
      <c r="B6928" s="3"/>
      <c r="C6928" s="3"/>
      <c r="D6928" s="3"/>
      <c r="E6928" s="5" t="str">
        <f>HYPERLINK("https://dpmzos25m8ivg.cloudfront.net/Documentos/631/45990964153/6314599096415314092023155456.jpg","https://dpmzos25m8ivg.cloudfront.net/Documentos/631/45990964153/6314599096415314092023155456.jpg")</f>
        <v>https://dpmzos25m8ivg.cloudfront.net/Documentos/631/45990964153/6314599096415314092023155456.jpg</v>
      </c>
      <c r="F6928" s="5" t="str">
        <f>HYPERLINK("https://dpmzos25m8ivg.cloudfront.net/Documentos/631/45990964153/6314599096415314092023155705.jpg","https://dpmzos25m8ivg.cloudfront.net/Documentos/631/45990964153/6314599096415314092023155705.jpg")</f>
        <v>https://dpmzos25m8ivg.cloudfront.net/Documentos/631/45990964153/6314599096415314092023155705.jpg</v>
      </c>
      <c r="G6928" s="5" t="str">
        <f>HYPERLINK("https://dpmzos25m8ivg.cloudfront.net/Documentos/631/45990964153/6314599096415314092023155745.jpg","https://dpmzos25m8ivg.cloudfront.net/Documentos/631/45990964153/6314599096415314092023155745.jpg")</f>
        <v>https://dpmzos25m8ivg.cloudfront.net/Documentos/631/45990964153/6314599096415314092023155745.jpg</v>
      </c>
      <c r="H6928" s="5" t="s">
        <v>15498</v>
      </c>
    </row>
    <row r="6929" spans="1:8" x14ac:dyDescent="0.25">
      <c r="A6929" s="2" t="s">
        <v>6957</v>
      </c>
      <c r="B6929" s="3"/>
      <c r="C6929" s="3"/>
      <c r="D6929" s="3"/>
      <c r="E6929" s="5" t="str">
        <f>HYPERLINK("https://dpmzos25m8ivg.cloudfront.net/Documentos/631/46015388153/6314601538815310092023214256.pdf","https://dpmzos25m8ivg.cloudfront.net/Documentos/631/46015388153/6314601538815310092023214256.pdf")</f>
        <v>https://dpmzos25m8ivg.cloudfront.net/Documentos/631/46015388153/6314601538815310092023214256.pdf</v>
      </c>
      <c r="F6929" s="5" t="str">
        <f>HYPERLINK("https://dpmzos25m8ivg.cloudfront.net/Documentos/631/46015388153/6314601538815310092023214350.pdf","https://dpmzos25m8ivg.cloudfront.net/Documentos/631/46015388153/6314601538815310092023214350.pdf")</f>
        <v>https://dpmzos25m8ivg.cloudfront.net/Documentos/631/46015388153/6314601538815310092023214350.pdf</v>
      </c>
      <c r="G6929" s="5" t="str">
        <f>HYPERLINK("https://dpmzos25m8ivg.cloudfront.net/Documentos/631/46015388153/6314601538815310092023214425.pdf","https://dpmzos25m8ivg.cloudfront.net/Documentos/631/46015388153/6314601538815310092023214425.pdf")</f>
        <v>https://dpmzos25m8ivg.cloudfront.net/Documentos/631/46015388153/6314601538815310092023214425.pdf</v>
      </c>
      <c r="H6929" s="5" t="s">
        <v>15499</v>
      </c>
    </row>
    <row r="6930" spans="1:8" x14ac:dyDescent="0.25">
      <c r="A6930" s="2" t="s">
        <v>6958</v>
      </c>
      <c r="B6930" s="3"/>
      <c r="C6930" s="3"/>
      <c r="D6930" s="3"/>
      <c r="E6930" s="5" t="str">
        <f>HYPERLINK("https://dpmzos25m8ivg.cloudfront.net/Documentos/631/46015602848/6314601560284810092023203051.pdf","https://dpmzos25m8ivg.cloudfront.net/Documentos/631/46015602848/6314601560284810092023203051.pdf")</f>
        <v>https://dpmzos25m8ivg.cloudfront.net/Documentos/631/46015602848/6314601560284810092023203051.pdf</v>
      </c>
      <c r="F6930" s="5" t="str">
        <f>HYPERLINK("https://dpmzos25m8ivg.cloudfront.net/Documentos/631/46015602848/6314601560284810092023203102.pdf","https://dpmzos25m8ivg.cloudfront.net/Documentos/631/46015602848/6314601560284810092023203102.pdf")</f>
        <v>https://dpmzos25m8ivg.cloudfront.net/Documentos/631/46015602848/6314601560284810092023203102.pdf</v>
      </c>
      <c r="G6930" s="5" t="str">
        <f>HYPERLINK("https://dpmzos25m8ivg.cloudfront.net/Documentos/631/46015602848/6314601560284810092023203116.pdf","https://dpmzos25m8ivg.cloudfront.net/Documentos/631/46015602848/6314601560284810092023203116.pdf")</f>
        <v>https://dpmzos25m8ivg.cloudfront.net/Documentos/631/46015602848/6314601560284810092023203116.pdf</v>
      </c>
      <c r="H6930" s="5" t="s">
        <v>15500</v>
      </c>
    </row>
    <row r="6931" spans="1:8" x14ac:dyDescent="0.25">
      <c r="A6931" s="2" t="s">
        <v>6959</v>
      </c>
      <c r="B6931" s="3"/>
      <c r="C6931" s="3"/>
      <c r="D6931" s="3"/>
      <c r="E6931" s="5" t="str">
        <f>HYPERLINK("https://dpmzos25m8ivg.cloudfront.net/Documentos/631/46031858800/6314603185880011092023134416.jpg","https://dpmzos25m8ivg.cloudfront.net/Documentos/631/46031858800/6314603185880011092023134416.jpg")</f>
        <v>https://dpmzos25m8ivg.cloudfront.net/Documentos/631/46031858800/6314603185880011092023134416.jpg</v>
      </c>
      <c r="F6931" s="5" t="str">
        <f>HYPERLINK("https://dpmzos25m8ivg.cloudfront.net/Documentos/631/46031858800/6314603185880011092023134436.jpg","https://dpmzos25m8ivg.cloudfront.net/Documentos/631/46031858800/6314603185880011092023134436.jpg")</f>
        <v>https://dpmzos25m8ivg.cloudfront.net/Documentos/631/46031858800/6314603185880011092023134436.jpg</v>
      </c>
      <c r="G6931" s="5" t="str">
        <f>HYPERLINK("https://dpmzos25m8ivg.cloudfront.net/Documentos/631/46031858800/6314603185880011092023134453.jpg","https://dpmzos25m8ivg.cloudfront.net/Documentos/631/46031858800/6314603185880011092023134453.jpg")</f>
        <v>https://dpmzos25m8ivg.cloudfront.net/Documentos/631/46031858800/6314603185880011092023134453.jpg</v>
      </c>
      <c r="H6931" s="5" t="s">
        <v>15501</v>
      </c>
    </row>
    <row r="6932" spans="1:8" x14ac:dyDescent="0.25">
      <c r="A6932" s="2" t="s">
        <v>6960</v>
      </c>
      <c r="B6932" s="3"/>
      <c r="C6932" s="3"/>
      <c r="D6932" s="3"/>
      <c r="E6932" s="5" t="str">
        <f>HYPERLINK("https://dpmzos25m8ivg.cloudfront.net/Documentos/631/46035630006/6314603563000611092023121233.jpg","https://dpmzos25m8ivg.cloudfront.net/Documentos/631/46035630006/6314603563000611092023121233.jpg")</f>
        <v>https://dpmzos25m8ivg.cloudfront.net/Documentos/631/46035630006/6314603563000611092023121233.jpg</v>
      </c>
      <c r="F6932" s="5" t="str">
        <f>HYPERLINK("https://dpmzos25m8ivg.cloudfront.net/Documentos/631/46035630006/6314603563000611092023121302.jpg","https://dpmzos25m8ivg.cloudfront.net/Documentos/631/46035630006/6314603563000611092023121302.jpg")</f>
        <v>https://dpmzos25m8ivg.cloudfront.net/Documentos/631/46035630006/6314603563000611092023121302.jpg</v>
      </c>
      <c r="G6932" s="5" t="str">
        <f>HYPERLINK("https://dpmzos25m8ivg.cloudfront.net/Documentos/631/46035630006/6314603563000611092023121322.jpg","https://dpmzos25m8ivg.cloudfront.net/Documentos/631/46035630006/6314603563000611092023121322.jpg")</f>
        <v>https://dpmzos25m8ivg.cloudfront.net/Documentos/631/46035630006/6314603563000611092023121322.jpg</v>
      </c>
      <c r="H6932" s="5" t="s">
        <v>15502</v>
      </c>
    </row>
    <row r="6933" spans="1:8" x14ac:dyDescent="0.25">
      <c r="A6933" s="2" t="s">
        <v>6961</v>
      </c>
      <c r="B6933" s="3"/>
      <c r="C6933" s="3"/>
      <c r="D6933" s="3"/>
      <c r="E6933" s="5" t="str">
        <f>HYPERLINK("https://dpmzos25m8ivg.cloudfront.net/Documentos/631/46037259810/6314603725981005092023144903.pdf","https://dpmzos25m8ivg.cloudfront.net/Documentos/631/46037259810/6314603725981005092023144903.pdf")</f>
        <v>https://dpmzos25m8ivg.cloudfront.net/Documentos/631/46037259810/6314603725981005092023144903.pdf</v>
      </c>
      <c r="F6933" s="5" t="str">
        <f>HYPERLINK("https://dpmzos25m8ivg.cloudfront.net/Documentos/631/46037259810/6314603725981005092023144912.pdf","https://dpmzos25m8ivg.cloudfront.net/Documentos/631/46037259810/6314603725981005092023144912.pdf")</f>
        <v>https://dpmzos25m8ivg.cloudfront.net/Documentos/631/46037259810/6314603725981005092023144912.pdf</v>
      </c>
      <c r="G6933" s="5" t="str">
        <f>HYPERLINK("https://dpmzos25m8ivg.cloudfront.net/Documentos/631/46037259810/6314603725981005092023144920.pdf","https://dpmzos25m8ivg.cloudfront.net/Documentos/631/46037259810/6314603725981005092023144920.pdf")</f>
        <v>https://dpmzos25m8ivg.cloudfront.net/Documentos/631/46037259810/6314603725981005092023144920.pdf</v>
      </c>
      <c r="H6933" s="5" t="s">
        <v>15503</v>
      </c>
    </row>
    <row r="6934" spans="1:8" x14ac:dyDescent="0.25">
      <c r="A6934" s="2" t="s">
        <v>6962</v>
      </c>
      <c r="B6934" s="3"/>
      <c r="C6934" s="3"/>
      <c r="D6934" s="3"/>
      <c r="E6934" s="5" t="str">
        <f>HYPERLINK("https://dpmzos25m8ivg.cloudfront.net/Documentos/631/46039596805/6314603959680509092023192608.pdf","https://dpmzos25m8ivg.cloudfront.net/Documentos/631/46039596805/6314603959680509092023192608.pdf")</f>
        <v>https://dpmzos25m8ivg.cloudfront.net/Documentos/631/46039596805/6314603959680509092023192608.pdf</v>
      </c>
      <c r="F6934" s="5" t="str">
        <f>HYPERLINK("https://dpmzos25m8ivg.cloudfront.net/Documentos/631/46039596805/6314603959680509092023192620.pdf","https://dpmzos25m8ivg.cloudfront.net/Documentos/631/46039596805/6314603959680509092023192620.pdf")</f>
        <v>https://dpmzos25m8ivg.cloudfront.net/Documentos/631/46039596805/6314603959680509092023192620.pdf</v>
      </c>
      <c r="G6934" s="5" t="str">
        <f>HYPERLINK("https://dpmzos25m8ivg.cloudfront.net/Documentos/631/46039596805/6314603959680509092023192631.pdf","https://dpmzos25m8ivg.cloudfront.net/Documentos/631/46039596805/6314603959680509092023192631.pdf")</f>
        <v>https://dpmzos25m8ivg.cloudfront.net/Documentos/631/46039596805/6314603959680509092023192631.pdf</v>
      </c>
      <c r="H6934" s="5" t="s">
        <v>15504</v>
      </c>
    </row>
    <row r="6935" spans="1:8" x14ac:dyDescent="0.25">
      <c r="A6935" s="2" t="s">
        <v>6963</v>
      </c>
      <c r="B6935" s="3"/>
      <c r="C6935" s="3"/>
      <c r="D6935" s="3"/>
      <c r="E6935" s="5" t="str">
        <f>HYPERLINK("https://dpmzos25m8ivg.cloudfront.net/Documentos/631/46047433200/6314604743320011092023122809.pdf","https://dpmzos25m8ivg.cloudfront.net/Documentos/631/46047433200/6314604743320011092023122809.pdf")</f>
        <v>https://dpmzos25m8ivg.cloudfront.net/Documentos/631/46047433200/6314604743320011092023122809.pdf</v>
      </c>
      <c r="F6935" s="5" t="str">
        <f>HYPERLINK("https://dpmzos25m8ivg.cloudfront.net/Documentos/631/46047433200/6314604743320011092023122829.pdf","https://dpmzos25m8ivg.cloudfront.net/Documentos/631/46047433200/6314604743320011092023122829.pdf")</f>
        <v>https://dpmzos25m8ivg.cloudfront.net/Documentos/631/46047433200/6314604743320011092023122829.pdf</v>
      </c>
      <c r="G6935" s="5" t="str">
        <f>HYPERLINK("https://dpmzos25m8ivg.cloudfront.net/Documentos/631/46047433200/6314604743320011092023122855.pdf","https://dpmzos25m8ivg.cloudfront.net/Documentos/631/46047433200/6314604743320011092023122855.pdf")</f>
        <v>https://dpmzos25m8ivg.cloudfront.net/Documentos/631/46047433200/6314604743320011092023122855.pdf</v>
      </c>
      <c r="H6935" s="5" t="s">
        <v>15505</v>
      </c>
    </row>
    <row r="6936" spans="1:8" x14ac:dyDescent="0.25">
      <c r="A6936" s="2" t="s">
        <v>6964</v>
      </c>
      <c r="B6936" s="3"/>
      <c r="C6936" s="3"/>
      <c r="D6936" s="3"/>
      <c r="E6936" s="5" t="str">
        <f>HYPERLINK("https://dpmzos25m8ivg.cloudfront.net/Documentos/631/46050010854/6314605001085406092023105647.jpg","https://dpmzos25m8ivg.cloudfront.net/Documentos/631/46050010854/6314605001085406092023105647.jpg")</f>
        <v>https://dpmzos25m8ivg.cloudfront.net/Documentos/631/46050010854/6314605001085406092023105647.jpg</v>
      </c>
      <c r="F6936" s="5" t="str">
        <f>HYPERLINK("https://dpmzos25m8ivg.cloudfront.net/Documentos/631/46050010854/6314605001085406092023105656.jpg","https://dpmzos25m8ivg.cloudfront.net/Documentos/631/46050010854/6314605001085406092023105656.jpg")</f>
        <v>https://dpmzos25m8ivg.cloudfront.net/Documentos/631/46050010854/6314605001085406092023105656.jpg</v>
      </c>
      <c r="G6936" s="5" t="str">
        <f>HYPERLINK("https://dpmzos25m8ivg.cloudfront.net/Documentos/631/46050010854/6314605001085406092023105707.jpg","https://dpmzos25m8ivg.cloudfront.net/Documentos/631/46050010854/6314605001085406092023105707.jpg")</f>
        <v>https://dpmzos25m8ivg.cloudfront.net/Documentos/631/46050010854/6314605001085406092023105707.jpg</v>
      </c>
      <c r="H6936" s="5" t="s">
        <v>15506</v>
      </c>
    </row>
    <row r="6937" spans="1:8" x14ac:dyDescent="0.25">
      <c r="A6937" s="2" t="s">
        <v>6965</v>
      </c>
      <c r="B6937" s="3"/>
      <c r="C6937" s="3"/>
      <c r="D6937" s="3"/>
      <c r="E6937" s="5" t="str">
        <f>HYPERLINK("https://dpmzos25m8ivg.cloudfront.net/Documentos/631/46052708840/6314605270884011092023150512.pdf","https://dpmzos25m8ivg.cloudfront.net/Documentos/631/46052708840/6314605270884011092023150512.pdf")</f>
        <v>https://dpmzos25m8ivg.cloudfront.net/Documentos/631/46052708840/6314605270884011092023150512.pdf</v>
      </c>
      <c r="F6937" s="5" t="str">
        <f>HYPERLINK("https://dpmzos25m8ivg.cloudfront.net/Documentos/631/46052708840/6314605270884011092023150531.pdf","https://dpmzos25m8ivg.cloudfront.net/Documentos/631/46052708840/6314605270884011092023150531.pdf")</f>
        <v>https://dpmzos25m8ivg.cloudfront.net/Documentos/631/46052708840/6314605270884011092023150531.pdf</v>
      </c>
      <c r="G6937" s="5" t="str">
        <f>HYPERLINK("https://dpmzos25m8ivg.cloudfront.net/Documentos/631/46052708840/6314605270884011092023150540.pdf","https://dpmzos25m8ivg.cloudfront.net/Documentos/631/46052708840/6314605270884011092023150540.pdf")</f>
        <v>https://dpmzos25m8ivg.cloudfront.net/Documentos/631/46052708840/6314605270884011092023150540.pdf</v>
      </c>
      <c r="H6937" s="5" t="s">
        <v>15507</v>
      </c>
    </row>
    <row r="6938" spans="1:8" x14ac:dyDescent="0.25">
      <c r="A6938" s="2" t="s">
        <v>6966</v>
      </c>
      <c r="B6938" s="3"/>
      <c r="C6938" s="3"/>
      <c r="D6938" s="3"/>
      <c r="E6938" s="5" t="str">
        <f>HYPERLINK("https://dpmzos25m8ivg.cloudfront.net/Documentos/631/46139438845/6314613943884511092023163939.pdf","https://dpmzos25m8ivg.cloudfront.net/Documentos/631/46139438845/6314613943884511092023163939.pdf")</f>
        <v>https://dpmzos25m8ivg.cloudfront.net/Documentos/631/46139438845/6314613943884511092023163939.pdf</v>
      </c>
      <c r="F6938" s="5" t="str">
        <f>HYPERLINK("https://dpmzos25m8ivg.cloudfront.net/Documentos/631/46139438845/6314613943884511092023164002.pdf","https://dpmzos25m8ivg.cloudfront.net/Documentos/631/46139438845/6314613943884511092023164002.pdf")</f>
        <v>https://dpmzos25m8ivg.cloudfront.net/Documentos/631/46139438845/6314613943884511092023164002.pdf</v>
      </c>
      <c r="G6938" s="5" t="str">
        <f>HYPERLINK("https://dpmzos25m8ivg.cloudfront.net/Documentos/631/46139438845/6314613943884511092023164026.pdf","https://dpmzos25m8ivg.cloudfront.net/Documentos/631/46139438845/6314613943884511092023164026.pdf")</f>
        <v>https://dpmzos25m8ivg.cloudfront.net/Documentos/631/46139438845/6314613943884511092023164026.pdf</v>
      </c>
      <c r="H6938" s="5" t="s">
        <v>15508</v>
      </c>
    </row>
    <row r="6939" spans="1:8" x14ac:dyDescent="0.25">
      <c r="A6939" s="2" t="s">
        <v>6967</v>
      </c>
      <c r="B6939" s="3" t="s">
        <v>42</v>
      </c>
      <c r="C6939" s="3"/>
      <c r="D6939" s="3"/>
      <c r="E6939" s="5" t="str">
        <f>HYPERLINK("https://dpmzos25m8ivg.cloudfront.net/Documentos/631/46193243453/6314619324345311092023145137.pdf","https://dpmzos25m8ivg.cloudfront.net/Documentos/631/46193243453/6314619324345311092023145137.pdf")</f>
        <v>https://dpmzos25m8ivg.cloudfront.net/Documentos/631/46193243453/6314619324345311092023145137.pdf</v>
      </c>
      <c r="F6939" s="5" t="str">
        <f>HYPERLINK("https://dpmzos25m8ivg.cloudfront.net/Documentos/631/46193243453/6314619324345311092023145148.pdf","https://dpmzos25m8ivg.cloudfront.net/Documentos/631/46193243453/6314619324345311092023145148.pdf")</f>
        <v>https://dpmzos25m8ivg.cloudfront.net/Documentos/631/46193243453/6314619324345311092023145148.pdf</v>
      </c>
      <c r="G6939" s="5" t="str">
        <f>HYPERLINK("https://dpmzos25m8ivg.cloudfront.net/Documentos/631/46193243453/6314619324345311092023145158.pdf","https://dpmzos25m8ivg.cloudfront.net/Documentos/631/46193243453/6314619324345311092023145158.pdf")</f>
        <v>https://dpmzos25m8ivg.cloudfront.net/Documentos/631/46193243453/6314619324345311092023145158.pdf</v>
      </c>
      <c r="H6939" s="5" t="s">
        <v>15509</v>
      </c>
    </row>
    <row r="6940" spans="1:8" x14ac:dyDescent="0.25">
      <c r="A6940" s="2" t="s">
        <v>6968</v>
      </c>
      <c r="B6940" s="3"/>
      <c r="C6940" s="3"/>
      <c r="D6940" s="3"/>
      <c r="E6940" s="5" t="str">
        <f>HYPERLINK("https://dpmzos25m8ivg.cloudfront.net/Documentos/631/46198153819/6314619815381911092023164323.pdf","https://dpmzos25m8ivg.cloudfront.net/Documentos/631/46198153819/6314619815381911092023164323.pdf")</f>
        <v>https://dpmzos25m8ivg.cloudfront.net/Documentos/631/46198153819/6314619815381911092023164323.pdf</v>
      </c>
      <c r="F6940" s="5" t="str">
        <f>HYPERLINK("https://dpmzos25m8ivg.cloudfront.net/Documentos/631/46198153819/6314619815381911092023164350.pdf","https://dpmzos25m8ivg.cloudfront.net/Documentos/631/46198153819/6314619815381911092023164350.pdf")</f>
        <v>https://dpmzos25m8ivg.cloudfront.net/Documentos/631/46198153819/6314619815381911092023164350.pdf</v>
      </c>
      <c r="G6940" s="5" t="str">
        <f>HYPERLINK("https://dpmzos25m8ivg.cloudfront.net/Documentos/631/46198153819/6314619815381911092023164405.pdf","https://dpmzos25m8ivg.cloudfront.net/Documentos/631/46198153819/6314619815381911092023164405.pdf")</f>
        <v>https://dpmzos25m8ivg.cloudfront.net/Documentos/631/46198153819/6314619815381911092023164405.pdf</v>
      </c>
      <c r="H6940" s="5" t="s">
        <v>15510</v>
      </c>
    </row>
    <row r="6941" spans="1:8" x14ac:dyDescent="0.25">
      <c r="A6941" s="2" t="s">
        <v>6969</v>
      </c>
      <c r="B6941" s="3"/>
      <c r="C6941" s="3"/>
      <c r="D6941" s="3"/>
      <c r="E6941" s="5" t="str">
        <f>HYPERLINK("https://dpmzos25m8ivg.cloudfront.net/Documentos/631/46219629817/6314621962981711092023103106.pdf","https://dpmzos25m8ivg.cloudfront.net/Documentos/631/46219629817/6314621962981711092023103106.pdf")</f>
        <v>https://dpmzos25m8ivg.cloudfront.net/Documentos/631/46219629817/6314621962981711092023103106.pdf</v>
      </c>
      <c r="F6941" s="5" t="str">
        <f>HYPERLINK("https://dpmzos25m8ivg.cloudfront.net/Documentos/631/46219629817/6314621962981711092023103124.pdf","https://dpmzos25m8ivg.cloudfront.net/Documentos/631/46219629817/6314621962981711092023103124.pdf")</f>
        <v>https://dpmzos25m8ivg.cloudfront.net/Documentos/631/46219629817/6314621962981711092023103124.pdf</v>
      </c>
      <c r="G6941" s="5" t="str">
        <f>HYPERLINK("https://dpmzos25m8ivg.cloudfront.net/Documentos/631/46219629817/6314621962981711092023103132.pdf","https://dpmzos25m8ivg.cloudfront.net/Documentos/631/46219629817/6314621962981711092023103132.pdf")</f>
        <v>https://dpmzos25m8ivg.cloudfront.net/Documentos/631/46219629817/6314621962981711092023103132.pdf</v>
      </c>
      <c r="H6941" s="5" t="s">
        <v>15511</v>
      </c>
    </row>
    <row r="6942" spans="1:8" x14ac:dyDescent="0.25">
      <c r="A6942" s="2" t="s">
        <v>6970</v>
      </c>
      <c r="B6942" s="3" t="s">
        <v>8</v>
      </c>
      <c r="C6942" s="3"/>
      <c r="D6942" s="3"/>
      <c r="E6942" s="5" t="str">
        <f>HYPERLINK("https://dpmzos25m8ivg.cloudfront.net/Documentos/631/46225471553/6314622547155310092023211953.jpg","https://dpmzos25m8ivg.cloudfront.net/Documentos/631/46225471553/6314622547155310092023211953.jpg")</f>
        <v>https://dpmzos25m8ivg.cloudfront.net/Documentos/631/46225471553/6314622547155310092023211953.jpg</v>
      </c>
      <c r="F6942" s="5" t="str">
        <f>HYPERLINK("https://dpmzos25m8ivg.cloudfront.net/Documentos/631/46225471553/6314622547155310092023212016.jpg","https://dpmzos25m8ivg.cloudfront.net/Documentos/631/46225471553/6314622547155310092023212016.jpg")</f>
        <v>https://dpmzos25m8ivg.cloudfront.net/Documentos/631/46225471553/6314622547155310092023212016.jpg</v>
      </c>
      <c r="G6942" s="5" t="str">
        <f>HYPERLINK("https://dpmzos25m8ivg.cloudfront.net/Documentos/631/46225471553/6314622547155310092023212049.jpg","https://dpmzos25m8ivg.cloudfront.net/Documentos/631/46225471553/6314622547155310092023212049.jpg")</f>
        <v>https://dpmzos25m8ivg.cloudfront.net/Documentos/631/46225471553/6314622547155310092023212049.jpg</v>
      </c>
      <c r="H6942" s="5" t="s">
        <v>15512</v>
      </c>
    </row>
    <row r="6943" spans="1:8" x14ac:dyDescent="0.25">
      <c r="A6943" s="2" t="s">
        <v>6971</v>
      </c>
      <c r="B6943" s="3" t="s">
        <v>6946</v>
      </c>
      <c r="C6943" s="3"/>
      <c r="D6943" s="3"/>
      <c r="E6943" s="5" t="str">
        <f>HYPERLINK("https://dpmzos25m8ivg.cloudfront.net/Documentos/631/46231365824/6314623136582408092023223128.pdf","https://dpmzos25m8ivg.cloudfront.net/Documentos/631/46231365824/6314623136582408092023223128.pdf")</f>
        <v>https://dpmzos25m8ivg.cloudfront.net/Documentos/631/46231365824/6314623136582408092023223128.pdf</v>
      </c>
      <c r="F6943" s="5" t="str">
        <f>HYPERLINK("https://dpmzos25m8ivg.cloudfront.net/Documentos/631/46231365824/6314623136582408092023223143.pdf","https://dpmzos25m8ivg.cloudfront.net/Documentos/631/46231365824/6314623136582408092023223143.pdf")</f>
        <v>https://dpmzos25m8ivg.cloudfront.net/Documentos/631/46231365824/6314623136582408092023223143.pdf</v>
      </c>
      <c r="G6943" s="5" t="str">
        <f>HYPERLINK("https://dpmzos25m8ivg.cloudfront.net/Documentos/631/46231365824/6314623136582408092023223152.pdf","https://dpmzos25m8ivg.cloudfront.net/Documentos/631/46231365824/6314623136582408092023223152.pdf")</f>
        <v>https://dpmzos25m8ivg.cloudfront.net/Documentos/631/46231365824/6314623136582408092023223152.pdf</v>
      </c>
      <c r="H6943" s="5" t="s">
        <v>15513</v>
      </c>
    </row>
    <row r="6944" spans="1:8" x14ac:dyDescent="0.25">
      <c r="A6944" s="2" t="s">
        <v>6972</v>
      </c>
      <c r="B6944" s="3" t="s">
        <v>8</v>
      </c>
      <c r="C6944" s="3"/>
      <c r="D6944" s="3"/>
      <c r="E6944" s="5" t="str">
        <f>HYPERLINK("https://dpmzos25m8ivg.cloudfront.net/Documentos/631/46250285822/6314625028582211092023160343.jpeg","https://dpmzos25m8ivg.cloudfront.net/Documentos/631/46250285822/6314625028582211092023160343.jpeg")</f>
        <v>https://dpmzos25m8ivg.cloudfront.net/Documentos/631/46250285822/6314625028582211092023160343.jpeg</v>
      </c>
      <c r="F6944" s="5" t="str">
        <f>HYPERLINK("https://dpmzos25m8ivg.cloudfront.net/Documentos/631/46250285822/6314625028582211092023160351.jpeg","https://dpmzos25m8ivg.cloudfront.net/Documentos/631/46250285822/6314625028582211092023160351.jpeg")</f>
        <v>https://dpmzos25m8ivg.cloudfront.net/Documentos/631/46250285822/6314625028582211092023160351.jpeg</v>
      </c>
      <c r="G6944" s="5" t="str">
        <f>HYPERLINK("https://dpmzos25m8ivg.cloudfront.net/Documentos/631/46250285822/6314625028582211092023160359.jpeg","https://dpmzos25m8ivg.cloudfront.net/Documentos/631/46250285822/6314625028582211092023160359.jpeg")</f>
        <v>https://dpmzos25m8ivg.cloudfront.net/Documentos/631/46250285822/6314625028582211092023160359.jpeg</v>
      </c>
      <c r="H6944" s="5" t="s">
        <v>15514</v>
      </c>
    </row>
    <row r="6945" spans="1:8" x14ac:dyDescent="0.25">
      <c r="A6945" s="2" t="s">
        <v>6973</v>
      </c>
      <c r="B6945" s="3"/>
      <c r="C6945" s="3"/>
      <c r="D6945" s="3"/>
      <c r="E6945" s="5" t="str">
        <f>HYPERLINK("https://dpmzos25m8ivg.cloudfront.net/Documentos/631/46259213840/6314625921384011092023170213.pdf","https://dpmzos25m8ivg.cloudfront.net/Documentos/631/46259213840/6314625921384011092023170213.pdf")</f>
        <v>https://dpmzos25m8ivg.cloudfront.net/Documentos/631/46259213840/6314625921384011092023170213.pdf</v>
      </c>
      <c r="F6945" s="5" t="str">
        <f>HYPERLINK("https://dpmzos25m8ivg.cloudfront.net/Documentos/631/46259213840/6314625921384011092023170227.pdf","https://dpmzos25m8ivg.cloudfront.net/Documentos/631/46259213840/6314625921384011092023170227.pdf")</f>
        <v>https://dpmzos25m8ivg.cloudfront.net/Documentos/631/46259213840/6314625921384011092023170227.pdf</v>
      </c>
      <c r="G6945" s="5" t="str">
        <f>HYPERLINK("https://dpmzos25m8ivg.cloudfront.net/Documentos/631/46259213840/6314625921384011092023170239.pdf","https://dpmzos25m8ivg.cloudfront.net/Documentos/631/46259213840/6314625921384011092023170239.pdf")</f>
        <v>https://dpmzos25m8ivg.cloudfront.net/Documentos/631/46259213840/6314625921384011092023170239.pdf</v>
      </c>
      <c r="H6945" s="5" t="s">
        <v>15515</v>
      </c>
    </row>
    <row r="6946" spans="1:8" x14ac:dyDescent="0.25">
      <c r="A6946" s="2" t="s">
        <v>6974</v>
      </c>
      <c r="B6946" s="3" t="s">
        <v>90</v>
      </c>
      <c r="C6946" s="3"/>
      <c r="D6946" s="3"/>
      <c r="E6946" s="5" t="str">
        <f>HYPERLINK("https://dpmzos25m8ivg.cloudfront.net/Documentos/631/46270683874/6314627068387407092023180757.pdf","https://dpmzos25m8ivg.cloudfront.net/Documentos/631/46270683874/6314627068387407092023180757.pdf")</f>
        <v>https://dpmzos25m8ivg.cloudfront.net/Documentos/631/46270683874/6314627068387407092023180757.pdf</v>
      </c>
      <c r="F6946" s="5" t="str">
        <f>HYPERLINK("https://dpmzos25m8ivg.cloudfront.net/Documentos/631/46270683874/6314627068387407092023180831.pdf","https://dpmzos25m8ivg.cloudfront.net/Documentos/631/46270683874/6314627068387407092023180831.pdf")</f>
        <v>https://dpmzos25m8ivg.cloudfront.net/Documentos/631/46270683874/6314627068387407092023180831.pdf</v>
      </c>
      <c r="G6946" s="5" t="str">
        <f>HYPERLINK("https://dpmzos25m8ivg.cloudfront.net/Documentos/631/46270683874/6314627068387407092023180841.pdf","https://dpmzos25m8ivg.cloudfront.net/Documentos/631/46270683874/6314627068387407092023180841.pdf")</f>
        <v>https://dpmzos25m8ivg.cloudfront.net/Documentos/631/46270683874/6314627068387407092023180841.pdf</v>
      </c>
      <c r="H6946" s="5" t="s">
        <v>15516</v>
      </c>
    </row>
    <row r="6947" spans="1:8" x14ac:dyDescent="0.25">
      <c r="A6947" s="2" t="s">
        <v>6975</v>
      </c>
      <c r="B6947" s="3" t="s">
        <v>90</v>
      </c>
      <c r="C6947" s="3"/>
      <c r="D6947" s="3"/>
      <c r="E6947" s="5" t="str">
        <f>HYPERLINK("https://dpmzos25m8ivg.cloudfront.net/Documentos/631/46271557864/6314627155786411092023150907.pdf","https://dpmzos25m8ivg.cloudfront.net/Documentos/631/46271557864/6314627155786411092023150907.pdf")</f>
        <v>https://dpmzos25m8ivg.cloudfront.net/Documentos/631/46271557864/6314627155786411092023150907.pdf</v>
      </c>
      <c r="F6947" s="5" t="str">
        <f>HYPERLINK("https://dpmzos25m8ivg.cloudfront.net/Documentos/631/46271557864/6314627155786411092023150924.pdf","https://dpmzos25m8ivg.cloudfront.net/Documentos/631/46271557864/6314627155786411092023150924.pdf")</f>
        <v>https://dpmzos25m8ivg.cloudfront.net/Documentos/631/46271557864/6314627155786411092023150924.pdf</v>
      </c>
      <c r="G6947" s="5" t="str">
        <f>HYPERLINK("https://dpmzos25m8ivg.cloudfront.net/Documentos/631/46271557864/6314627155786411092023150939.pdf","https://dpmzos25m8ivg.cloudfront.net/Documentos/631/46271557864/6314627155786411092023150939.pdf")</f>
        <v>https://dpmzos25m8ivg.cloudfront.net/Documentos/631/46271557864/6314627155786411092023150939.pdf</v>
      </c>
      <c r="H6947" s="5" t="s">
        <v>15517</v>
      </c>
    </row>
    <row r="6948" spans="1:8" x14ac:dyDescent="0.25">
      <c r="A6948" s="2" t="s">
        <v>6976</v>
      </c>
      <c r="B6948" s="3" t="s">
        <v>90</v>
      </c>
      <c r="C6948" s="3"/>
      <c r="D6948" s="3"/>
      <c r="E6948" s="5" t="str">
        <f>HYPERLINK("https://dpmzos25m8ivg.cloudfront.net/Documentos/631/46326400856/6314632640085605092023131303.pdf","https://dpmzos25m8ivg.cloudfront.net/Documentos/631/46326400856/6314632640085605092023131303.pdf")</f>
        <v>https://dpmzos25m8ivg.cloudfront.net/Documentos/631/46326400856/6314632640085605092023131303.pdf</v>
      </c>
      <c r="F6948" s="5" t="str">
        <f>HYPERLINK("https://dpmzos25m8ivg.cloudfront.net/Documentos/631/46326400856/6314632640085605092023131311.pdf","https://dpmzos25m8ivg.cloudfront.net/Documentos/631/46326400856/6314632640085605092023131311.pdf")</f>
        <v>https://dpmzos25m8ivg.cloudfront.net/Documentos/631/46326400856/6314632640085605092023131311.pdf</v>
      </c>
      <c r="G6948" s="5" t="str">
        <f>HYPERLINK("https://dpmzos25m8ivg.cloudfront.net/Documentos/631/46326400856/6314632640085605092023131319.pdf","https://dpmzos25m8ivg.cloudfront.net/Documentos/631/46326400856/6314632640085605092023131319.pdf")</f>
        <v>https://dpmzos25m8ivg.cloudfront.net/Documentos/631/46326400856/6314632640085605092023131319.pdf</v>
      </c>
      <c r="H6948" s="5" t="s">
        <v>15518</v>
      </c>
    </row>
    <row r="6949" spans="1:8" x14ac:dyDescent="0.25">
      <c r="A6949" s="2" t="s">
        <v>6977</v>
      </c>
      <c r="B6949" s="3"/>
      <c r="C6949" s="3"/>
      <c r="D6949" s="3"/>
      <c r="E6949" s="5" t="str">
        <f>HYPERLINK("https://dpmzos25m8ivg.cloudfront.net/Documentos/631/46380035249/6314638003524905092023150604.pdf","https://dpmzos25m8ivg.cloudfront.net/Documentos/631/46380035249/6314638003524905092023150604.pdf")</f>
        <v>https://dpmzos25m8ivg.cloudfront.net/Documentos/631/46380035249/6314638003524905092023150604.pdf</v>
      </c>
      <c r="F6949" s="5" t="str">
        <f>HYPERLINK("https://dpmzos25m8ivg.cloudfront.net/Documentos/631/46380035249/6314638003524905092023150614.pdf","https://dpmzos25m8ivg.cloudfront.net/Documentos/631/46380035249/6314638003524905092023150614.pdf")</f>
        <v>https://dpmzos25m8ivg.cloudfront.net/Documentos/631/46380035249/6314638003524905092023150614.pdf</v>
      </c>
      <c r="G6949" s="5" t="str">
        <f>HYPERLINK("https://dpmzos25m8ivg.cloudfront.net/Documentos/631/46380035249/6314638003524905092023150623.pdf","https://dpmzos25m8ivg.cloudfront.net/Documentos/631/46380035249/6314638003524905092023150623.pdf")</f>
        <v>https://dpmzos25m8ivg.cloudfront.net/Documentos/631/46380035249/6314638003524905092023150623.pdf</v>
      </c>
      <c r="H6949" s="5" t="s">
        <v>15519</v>
      </c>
    </row>
    <row r="6950" spans="1:8" x14ac:dyDescent="0.25">
      <c r="A6950" s="2" t="s">
        <v>6978</v>
      </c>
      <c r="B6950" s="3"/>
      <c r="C6950" s="3"/>
      <c r="D6950" s="3"/>
      <c r="E6950" s="5" t="str">
        <f>HYPERLINK("https://dpmzos25m8ivg.cloudfront.net/Documentos/631/46398461851/6314639846185111092023101635.pdf","https://dpmzos25m8ivg.cloudfront.net/Documentos/631/46398461851/6314639846185111092023101635.pdf")</f>
        <v>https://dpmzos25m8ivg.cloudfront.net/Documentos/631/46398461851/6314639846185111092023101635.pdf</v>
      </c>
      <c r="F6950" s="5" t="str">
        <f>HYPERLINK("https://dpmzos25m8ivg.cloudfront.net/Documentos/631/46398461851/6314639846185111092023101645.pdf","https://dpmzos25m8ivg.cloudfront.net/Documentos/631/46398461851/6314639846185111092023101645.pdf")</f>
        <v>https://dpmzos25m8ivg.cloudfront.net/Documentos/631/46398461851/6314639846185111092023101645.pdf</v>
      </c>
      <c r="G6950" s="5" t="str">
        <f>HYPERLINK("https://dpmzos25m8ivg.cloudfront.net/Documentos/631/46398461851/6314639846185111092023101654.pdf","https://dpmzos25m8ivg.cloudfront.net/Documentos/631/46398461851/6314639846185111092023101654.pdf")</f>
        <v>https://dpmzos25m8ivg.cloudfront.net/Documentos/631/46398461851/6314639846185111092023101654.pdf</v>
      </c>
      <c r="H6950" s="5" t="s">
        <v>15520</v>
      </c>
    </row>
    <row r="6951" spans="1:8" x14ac:dyDescent="0.25">
      <c r="A6951" s="2" t="s">
        <v>6979</v>
      </c>
      <c r="B6951" s="3"/>
      <c r="C6951" s="3"/>
      <c r="D6951" s="3"/>
      <c r="E6951" s="5" t="str">
        <f>HYPERLINK("https://dpmzos25m8ivg.cloudfront.net/Documentos/631/46402020400/6314640202040011092023070222.jpeg","https://dpmzos25m8ivg.cloudfront.net/Documentos/631/46402020400/6314640202040011092023070222.jpeg")</f>
        <v>https://dpmzos25m8ivg.cloudfront.net/Documentos/631/46402020400/6314640202040011092023070222.jpeg</v>
      </c>
      <c r="F6951" s="5" t="str">
        <f>HYPERLINK("https://dpmzos25m8ivg.cloudfront.net/Documentos/631/46402020400/6314640202040011092023070245.jpeg","https://dpmzos25m8ivg.cloudfront.net/Documentos/631/46402020400/6314640202040011092023070245.jpeg")</f>
        <v>https://dpmzos25m8ivg.cloudfront.net/Documentos/631/46402020400/6314640202040011092023070245.jpeg</v>
      </c>
      <c r="G6951" s="5" t="str">
        <f>HYPERLINK("https://dpmzos25m8ivg.cloudfront.net/Documentos/631/46402020400/6314640202040011092023070305.jpeg","https://dpmzos25m8ivg.cloudfront.net/Documentos/631/46402020400/6314640202040011092023070305.jpeg")</f>
        <v>https://dpmzos25m8ivg.cloudfront.net/Documentos/631/46402020400/6314640202040011092023070305.jpeg</v>
      </c>
      <c r="H6951" s="5" t="s">
        <v>15521</v>
      </c>
    </row>
    <row r="6952" spans="1:8" x14ac:dyDescent="0.25">
      <c r="A6952" s="2" t="s">
        <v>6980</v>
      </c>
      <c r="B6952" s="3"/>
      <c r="C6952" s="3"/>
      <c r="D6952" s="3"/>
      <c r="E6952" s="5" t="str">
        <f>HYPERLINK("https://dpmzos25m8ivg.cloudfront.net/Documentos/631/46444715857/6314644471585705092023134757.pdf","https://dpmzos25m8ivg.cloudfront.net/Documentos/631/46444715857/6314644471585705092023134757.pdf")</f>
        <v>https://dpmzos25m8ivg.cloudfront.net/Documentos/631/46444715857/6314644471585705092023134757.pdf</v>
      </c>
      <c r="F6952" s="5" t="str">
        <f>HYPERLINK("https://dpmzos25m8ivg.cloudfront.net/Documentos/631/46444715857/6314644471585705092023134810.pdf","https://dpmzos25m8ivg.cloudfront.net/Documentos/631/46444715857/6314644471585705092023134810.pdf")</f>
        <v>https://dpmzos25m8ivg.cloudfront.net/Documentos/631/46444715857/6314644471585705092023134810.pdf</v>
      </c>
      <c r="G6952" s="5" t="str">
        <f>HYPERLINK("https://dpmzos25m8ivg.cloudfront.net/Documentos/631/46444715857/6314644471585705092023134820.pdf","https://dpmzos25m8ivg.cloudfront.net/Documentos/631/46444715857/6314644471585705092023134820.pdf")</f>
        <v>https://dpmzos25m8ivg.cloudfront.net/Documentos/631/46444715857/6314644471585705092023134820.pdf</v>
      </c>
      <c r="H6952" s="5" t="s">
        <v>15522</v>
      </c>
    </row>
    <row r="6953" spans="1:8" x14ac:dyDescent="0.25">
      <c r="A6953" s="2" t="s">
        <v>6981</v>
      </c>
      <c r="B6953" s="3"/>
      <c r="C6953" s="3"/>
      <c r="D6953" s="3"/>
      <c r="E6953" s="5" t="str">
        <f>HYPERLINK("https://dpmzos25m8ivg.cloudfront.net/Documentos/631/46463461334/6314646346133411092023155422.pdf","https://dpmzos25m8ivg.cloudfront.net/Documentos/631/46463461334/6314646346133411092023155422.pdf")</f>
        <v>https://dpmzos25m8ivg.cloudfront.net/Documentos/631/46463461334/6314646346133411092023155422.pdf</v>
      </c>
      <c r="F6953" s="5" t="str">
        <f>HYPERLINK("https://dpmzos25m8ivg.cloudfront.net/Documentos/631/46463461334/6314646346133411092023155431.pdf","https://dpmzos25m8ivg.cloudfront.net/Documentos/631/46463461334/6314646346133411092023155431.pdf")</f>
        <v>https://dpmzos25m8ivg.cloudfront.net/Documentos/631/46463461334/6314646346133411092023155431.pdf</v>
      </c>
      <c r="G6953" s="5" t="str">
        <f>HYPERLINK("https://dpmzos25m8ivg.cloudfront.net/Documentos/631/46463461334/6314646346133411092023155439.pdf","https://dpmzos25m8ivg.cloudfront.net/Documentos/631/46463461334/6314646346133411092023155439.pdf")</f>
        <v>https://dpmzos25m8ivg.cloudfront.net/Documentos/631/46463461334/6314646346133411092023155439.pdf</v>
      </c>
      <c r="H6953" s="5" t="s">
        <v>15523</v>
      </c>
    </row>
    <row r="6954" spans="1:8" x14ac:dyDescent="0.25">
      <c r="A6954" s="2" t="s">
        <v>6982</v>
      </c>
      <c r="B6954" s="3"/>
      <c r="C6954" s="3"/>
      <c r="D6954" s="3"/>
      <c r="E6954" s="5" t="str">
        <f>HYPERLINK("https://dpmzos25m8ivg.cloudfront.net/Documentos/631/46477084899/6314647708489910092023173033.pdf","https://dpmzos25m8ivg.cloudfront.net/Documentos/631/46477084899/6314647708489910092023173033.pdf")</f>
        <v>https://dpmzos25m8ivg.cloudfront.net/Documentos/631/46477084899/6314647708489910092023173033.pdf</v>
      </c>
      <c r="F6954" s="5" t="str">
        <f>HYPERLINK("https://dpmzos25m8ivg.cloudfront.net/Documentos/631/46477084899/6314647708489910092023173109.pdf","https://dpmzos25m8ivg.cloudfront.net/Documentos/631/46477084899/6314647708489910092023173109.pdf")</f>
        <v>https://dpmzos25m8ivg.cloudfront.net/Documentos/631/46477084899/6314647708489910092023173109.pdf</v>
      </c>
      <c r="G6954" s="5" t="str">
        <f>HYPERLINK("https://dpmzos25m8ivg.cloudfront.net/Documentos/631/46477084899/6314647708489910092023173129.pdf","https://dpmzos25m8ivg.cloudfront.net/Documentos/631/46477084899/6314647708489910092023173129.pdf")</f>
        <v>https://dpmzos25m8ivg.cloudfront.net/Documentos/631/46477084899/6314647708489910092023173129.pdf</v>
      </c>
      <c r="H6954" s="5" t="s">
        <v>15524</v>
      </c>
    </row>
    <row r="6955" spans="1:8" x14ac:dyDescent="0.25">
      <c r="A6955" s="2" t="s">
        <v>6983</v>
      </c>
      <c r="B6955" s="3"/>
      <c r="C6955" s="3"/>
      <c r="D6955" s="3"/>
      <c r="E6955" s="5" t="str">
        <f>HYPERLINK("https://dpmzos25m8ivg.cloudfront.net/Documentos/631/46488104810/6314648810481005092023234159.pdf","https://dpmzos25m8ivg.cloudfront.net/Documentos/631/46488104810/6314648810481005092023234159.pdf")</f>
        <v>https://dpmzos25m8ivg.cloudfront.net/Documentos/631/46488104810/6314648810481005092023234159.pdf</v>
      </c>
      <c r="F6955" s="5" t="str">
        <f>HYPERLINK("https://dpmzos25m8ivg.cloudfront.net/Documentos/631/46488104810/6314648810481005092023234211.pdf","https://dpmzos25m8ivg.cloudfront.net/Documentos/631/46488104810/6314648810481005092023234211.pdf")</f>
        <v>https://dpmzos25m8ivg.cloudfront.net/Documentos/631/46488104810/6314648810481005092023234211.pdf</v>
      </c>
      <c r="G6955" s="5" t="str">
        <f>HYPERLINK("https://dpmzos25m8ivg.cloudfront.net/Documentos/631/46488104810/6314648810481005092023234223.pdf","https://dpmzos25m8ivg.cloudfront.net/Documentos/631/46488104810/6314648810481005092023234223.pdf")</f>
        <v>https://dpmzos25m8ivg.cloudfront.net/Documentos/631/46488104810/6314648810481005092023234223.pdf</v>
      </c>
      <c r="H6955" s="5" t="s">
        <v>15525</v>
      </c>
    </row>
    <row r="6956" spans="1:8" x14ac:dyDescent="0.25">
      <c r="A6956" s="2" t="s">
        <v>6984</v>
      </c>
      <c r="B6956" s="3"/>
      <c r="C6956" s="3"/>
      <c r="D6956" s="3"/>
      <c r="E6956" s="5" t="str">
        <f>HYPERLINK("https://dpmzos25m8ivg.cloudfront.net/Documentos/631/46495929846/6314649592984610092023213136.jpg","https://dpmzos25m8ivg.cloudfront.net/Documentos/631/46495929846/6314649592984610092023213136.jpg")</f>
        <v>https://dpmzos25m8ivg.cloudfront.net/Documentos/631/46495929846/6314649592984610092023213136.jpg</v>
      </c>
      <c r="F6956" s="5" t="str">
        <f>HYPERLINK("https://dpmzos25m8ivg.cloudfront.net/Documentos/631/46495929846/6314649592984610092023213150.jpg","https://dpmzos25m8ivg.cloudfront.net/Documentos/631/46495929846/6314649592984610092023213150.jpg")</f>
        <v>https://dpmzos25m8ivg.cloudfront.net/Documentos/631/46495929846/6314649592984610092023213150.jpg</v>
      </c>
      <c r="G6956" s="5" t="str">
        <f>HYPERLINK("https://dpmzos25m8ivg.cloudfront.net/Documentos/631/46495929846/6314649592984610092023213204.jpg","https://dpmzos25m8ivg.cloudfront.net/Documentos/631/46495929846/6314649592984610092023213204.jpg")</f>
        <v>https://dpmzos25m8ivg.cloudfront.net/Documentos/631/46495929846/6314649592984610092023213204.jpg</v>
      </c>
      <c r="H6956" s="5" t="s">
        <v>15526</v>
      </c>
    </row>
    <row r="6957" spans="1:8" x14ac:dyDescent="0.25">
      <c r="A6957" s="2" t="s">
        <v>6985</v>
      </c>
      <c r="B6957" s="3"/>
      <c r="C6957" s="3"/>
      <c r="D6957" s="3"/>
      <c r="E6957" s="5" t="str">
        <f>HYPERLINK("https://dpmzos25m8ivg.cloudfront.net/Documentos/631/46525903858/6314652590385810092023225231.pdf","https://dpmzos25m8ivg.cloudfront.net/Documentos/631/46525903858/6314652590385810092023225231.pdf")</f>
        <v>https://dpmzos25m8ivg.cloudfront.net/Documentos/631/46525903858/6314652590385810092023225231.pdf</v>
      </c>
      <c r="F6957" s="5" t="str">
        <f>HYPERLINK("https://dpmzos25m8ivg.cloudfront.net/Documentos/631/46525903858/6314652590385810092023225240.pdf","https://dpmzos25m8ivg.cloudfront.net/Documentos/631/46525903858/6314652590385810092023225240.pdf")</f>
        <v>https://dpmzos25m8ivg.cloudfront.net/Documentos/631/46525903858/6314652590385810092023225240.pdf</v>
      </c>
      <c r="G6957" s="5" t="str">
        <f>HYPERLINK("https://dpmzos25m8ivg.cloudfront.net/Documentos/631/46525903858/6314652590385810092023225250.pdf","https://dpmzos25m8ivg.cloudfront.net/Documentos/631/46525903858/6314652590385810092023225250.pdf")</f>
        <v>https://dpmzos25m8ivg.cloudfront.net/Documentos/631/46525903858/6314652590385810092023225250.pdf</v>
      </c>
      <c r="H6957" s="5" t="s">
        <v>15527</v>
      </c>
    </row>
    <row r="6958" spans="1:8" x14ac:dyDescent="0.25">
      <c r="A6958" s="2" t="s">
        <v>6986</v>
      </c>
      <c r="B6958" s="3"/>
      <c r="C6958" s="3"/>
      <c r="D6958" s="3"/>
      <c r="E6958" s="5" t="str">
        <f>HYPERLINK("https://dpmzos25m8ivg.cloudfront.net/Documentos/631/46535607810/6314653560781011092023113825.jpg","https://dpmzos25m8ivg.cloudfront.net/Documentos/631/46535607810/6314653560781011092023113825.jpg")</f>
        <v>https://dpmzos25m8ivg.cloudfront.net/Documentos/631/46535607810/6314653560781011092023113825.jpg</v>
      </c>
      <c r="F6958" s="5" t="str">
        <f>HYPERLINK("https://dpmzos25m8ivg.cloudfront.net/Documentos/631/46535607810/6314653560781011092023113832.jpg","https://dpmzos25m8ivg.cloudfront.net/Documentos/631/46535607810/6314653560781011092023113832.jpg")</f>
        <v>https://dpmzos25m8ivg.cloudfront.net/Documentos/631/46535607810/6314653560781011092023113832.jpg</v>
      </c>
      <c r="G6958" s="5" t="str">
        <f>HYPERLINK("https://dpmzos25m8ivg.cloudfront.net/Documentos/631/46535607810/6314653560781011092023113839.jpg","https://dpmzos25m8ivg.cloudfront.net/Documentos/631/46535607810/6314653560781011092023113839.jpg")</f>
        <v>https://dpmzos25m8ivg.cloudfront.net/Documentos/631/46535607810/6314653560781011092023113839.jpg</v>
      </c>
      <c r="H6958" s="5" t="s">
        <v>15528</v>
      </c>
    </row>
    <row r="6959" spans="1:8" x14ac:dyDescent="0.25">
      <c r="A6959" s="2" t="s">
        <v>6987</v>
      </c>
      <c r="B6959" s="3"/>
      <c r="C6959" s="3"/>
      <c r="D6959" s="3"/>
      <c r="E6959" s="5" t="str">
        <f>HYPERLINK("https://dpmzos25m8ivg.cloudfront.net/Documentos/631/46536189841/6314653618984111092023155417.jpg","https://dpmzos25m8ivg.cloudfront.net/Documentos/631/46536189841/6314653618984111092023155417.jpg")</f>
        <v>https://dpmzos25m8ivg.cloudfront.net/Documentos/631/46536189841/6314653618984111092023155417.jpg</v>
      </c>
      <c r="F6959" s="5" t="str">
        <f>HYPERLINK("https://dpmzos25m8ivg.cloudfront.net/Documentos/631/46536189841/6314653618984111092023155428.jpg","https://dpmzos25m8ivg.cloudfront.net/Documentos/631/46536189841/6314653618984111092023155428.jpg")</f>
        <v>https://dpmzos25m8ivg.cloudfront.net/Documentos/631/46536189841/6314653618984111092023155428.jpg</v>
      </c>
      <c r="G6959" s="5" t="str">
        <f>HYPERLINK("https://dpmzos25m8ivg.cloudfront.net/Documentos/631/46536189841/6314653618984111092023155440.jpg","https://dpmzos25m8ivg.cloudfront.net/Documentos/631/46536189841/6314653618984111092023155440.jpg")</f>
        <v>https://dpmzos25m8ivg.cloudfront.net/Documentos/631/46536189841/6314653618984111092023155440.jpg</v>
      </c>
      <c r="H6959" s="5" t="s">
        <v>15529</v>
      </c>
    </row>
    <row r="6960" spans="1:8" x14ac:dyDescent="0.25">
      <c r="A6960" s="2" t="s">
        <v>6988</v>
      </c>
      <c r="B6960" s="3" t="s">
        <v>90</v>
      </c>
      <c r="C6960" s="3"/>
      <c r="D6960" s="3"/>
      <c r="E6960" s="5" t="str">
        <f>HYPERLINK("https://dpmzos25m8ivg.cloudfront.net/Documentos/631/46544551830/6314654455183011092023151433.pdf","https://dpmzos25m8ivg.cloudfront.net/Documentos/631/46544551830/6314654455183011092023151433.pdf")</f>
        <v>https://dpmzos25m8ivg.cloudfront.net/Documentos/631/46544551830/6314654455183011092023151433.pdf</v>
      </c>
      <c r="F6960" s="5" t="str">
        <f>HYPERLINK("https://dpmzos25m8ivg.cloudfront.net/Documentos/631/46544551830/6314654455183011092023151458.pdf","https://dpmzos25m8ivg.cloudfront.net/Documentos/631/46544551830/6314654455183011092023151458.pdf")</f>
        <v>https://dpmzos25m8ivg.cloudfront.net/Documentos/631/46544551830/6314654455183011092023151458.pdf</v>
      </c>
      <c r="G6960" s="5" t="str">
        <f>HYPERLINK("https://dpmzos25m8ivg.cloudfront.net/Documentos/631/46544551830/6314654455183011092023151517.pdf","https://dpmzos25m8ivg.cloudfront.net/Documentos/631/46544551830/6314654455183011092023151517.pdf")</f>
        <v>https://dpmzos25m8ivg.cloudfront.net/Documentos/631/46544551830/6314654455183011092023151517.pdf</v>
      </c>
      <c r="H6960" s="5" t="s">
        <v>15530</v>
      </c>
    </row>
    <row r="6961" spans="1:8" x14ac:dyDescent="0.25">
      <c r="A6961" s="2" t="s">
        <v>6989</v>
      </c>
      <c r="B6961" s="3"/>
      <c r="C6961" s="3"/>
      <c r="D6961" s="3"/>
      <c r="E6961" s="5" t="str">
        <f>HYPERLINK("https://dpmzos25m8ivg.cloudfront.net/Documentos/631/46547894134/6314654789413411092023003355.jpg","https://dpmzos25m8ivg.cloudfront.net/Documentos/631/46547894134/6314654789413411092023003355.jpg")</f>
        <v>https://dpmzos25m8ivg.cloudfront.net/Documentos/631/46547894134/6314654789413411092023003355.jpg</v>
      </c>
      <c r="F6961" s="5" t="str">
        <f>HYPERLINK("https://dpmzos25m8ivg.cloudfront.net/Documentos/631/46547894134/6314654789413411092023003408.jpg","https://dpmzos25m8ivg.cloudfront.net/Documentos/631/46547894134/6314654789413411092023003408.jpg")</f>
        <v>https://dpmzos25m8ivg.cloudfront.net/Documentos/631/46547894134/6314654789413411092023003408.jpg</v>
      </c>
      <c r="G6961" s="5" t="str">
        <f>HYPERLINK("https://dpmzos25m8ivg.cloudfront.net/Documentos/631/46547894134/6314654789413411092023003420.jpg","https://dpmzos25m8ivg.cloudfront.net/Documentos/631/46547894134/6314654789413411092023003420.jpg")</f>
        <v>https://dpmzos25m8ivg.cloudfront.net/Documentos/631/46547894134/6314654789413411092023003420.jpg</v>
      </c>
      <c r="H6961" s="5" t="s">
        <v>15531</v>
      </c>
    </row>
    <row r="6962" spans="1:8" x14ac:dyDescent="0.25">
      <c r="A6962" s="2" t="s">
        <v>6990</v>
      </c>
      <c r="B6962" s="3"/>
      <c r="C6962" s="3"/>
      <c r="D6962" s="3"/>
      <c r="E6962" s="5" t="str">
        <f>HYPERLINK("https://dpmzos25m8ivg.cloudfront.net/Documentos/631/46555676787/6314655567678707092023212450.pdf","https://dpmzos25m8ivg.cloudfront.net/Documentos/631/46555676787/6314655567678707092023212450.pdf")</f>
        <v>https://dpmzos25m8ivg.cloudfront.net/Documentos/631/46555676787/6314655567678707092023212450.pdf</v>
      </c>
      <c r="F6962" s="5" t="str">
        <f>HYPERLINK("https://dpmzos25m8ivg.cloudfront.net/Documentos/631/46555676787/6314655567678707092023212513.pdf","https://dpmzos25m8ivg.cloudfront.net/Documentos/631/46555676787/6314655567678707092023212513.pdf")</f>
        <v>https://dpmzos25m8ivg.cloudfront.net/Documentos/631/46555676787/6314655567678707092023212513.pdf</v>
      </c>
      <c r="G6962" s="5" t="str">
        <f>HYPERLINK("https://dpmzos25m8ivg.cloudfront.net/Documentos/631/46555676787/6314655567678707092023212533.pdf","https://dpmzos25m8ivg.cloudfront.net/Documentos/631/46555676787/6314655567678707092023212533.pdf")</f>
        <v>https://dpmzos25m8ivg.cloudfront.net/Documentos/631/46555676787/6314655567678707092023212533.pdf</v>
      </c>
      <c r="H6962" s="5" t="s">
        <v>15532</v>
      </c>
    </row>
    <row r="6963" spans="1:8" x14ac:dyDescent="0.25">
      <c r="A6963" s="2" t="s">
        <v>6991</v>
      </c>
      <c r="B6963" s="3"/>
      <c r="C6963" s="3"/>
      <c r="D6963" s="3"/>
      <c r="E6963" s="5" t="str">
        <f>HYPERLINK("https://dpmzos25m8ivg.cloudfront.net/Documentos/631/46592969890/6314659296989010092023182130.pdf","https://dpmzos25m8ivg.cloudfront.net/Documentos/631/46592969890/6314659296989010092023182130.pdf")</f>
        <v>https://dpmzos25m8ivg.cloudfront.net/Documentos/631/46592969890/6314659296989010092023182130.pdf</v>
      </c>
      <c r="F6963" s="5" t="str">
        <f>HYPERLINK("https://dpmzos25m8ivg.cloudfront.net/Documentos/631/46592969890/6314659296989010092023182137.pdf","https://dpmzos25m8ivg.cloudfront.net/Documentos/631/46592969890/6314659296989010092023182137.pdf")</f>
        <v>https://dpmzos25m8ivg.cloudfront.net/Documentos/631/46592969890/6314659296989010092023182137.pdf</v>
      </c>
      <c r="G6963" s="5" t="str">
        <f>HYPERLINK("https://dpmzos25m8ivg.cloudfront.net/Documentos/631/46592969890/6314659296989010092023182146.pdf","https://dpmzos25m8ivg.cloudfront.net/Documentos/631/46592969890/6314659296989010092023182146.pdf")</f>
        <v>https://dpmzos25m8ivg.cloudfront.net/Documentos/631/46592969890/6314659296989010092023182146.pdf</v>
      </c>
      <c r="H6963" s="5" t="s">
        <v>15533</v>
      </c>
    </row>
    <row r="6964" spans="1:8" x14ac:dyDescent="0.25">
      <c r="A6964" s="2" t="s">
        <v>6992</v>
      </c>
      <c r="B6964" s="3"/>
      <c r="C6964" s="3"/>
      <c r="D6964" s="3"/>
      <c r="E6964" s="5" t="str">
        <f>HYPERLINK("https://dpmzos25m8ivg.cloudfront.net/Documentos/631/46624246820/6314662424682005092023142352.jpeg","https://dpmzos25m8ivg.cloudfront.net/Documentos/631/46624246820/6314662424682005092023142352.jpeg")</f>
        <v>https://dpmzos25m8ivg.cloudfront.net/Documentos/631/46624246820/6314662424682005092023142352.jpeg</v>
      </c>
      <c r="F6964" s="5" t="str">
        <f>HYPERLINK("https://dpmzos25m8ivg.cloudfront.net/Documentos/631/46624246820/6314662424682005092023142402.jpeg","https://dpmzos25m8ivg.cloudfront.net/Documentos/631/46624246820/6314662424682005092023142402.jpeg")</f>
        <v>https://dpmzos25m8ivg.cloudfront.net/Documentos/631/46624246820/6314662424682005092023142402.jpeg</v>
      </c>
      <c r="G6964" s="5" t="str">
        <f>HYPERLINK("https://dpmzos25m8ivg.cloudfront.net/Documentos/631/46624246820/6314662424682005092023142411.jpeg","https://dpmzos25m8ivg.cloudfront.net/Documentos/631/46624246820/6314662424682005092023142411.jpeg")</f>
        <v>https://dpmzos25m8ivg.cloudfront.net/Documentos/631/46624246820/6314662424682005092023142411.jpeg</v>
      </c>
      <c r="H6964" s="5" t="s">
        <v>15534</v>
      </c>
    </row>
    <row r="6965" spans="1:8" x14ac:dyDescent="0.25">
      <c r="A6965" s="2" t="s">
        <v>6993</v>
      </c>
      <c r="B6965" s="3"/>
      <c r="C6965" s="3"/>
      <c r="D6965" s="3"/>
      <c r="E6965" s="5" t="str">
        <f>HYPERLINK("https://dpmzos25m8ivg.cloudfront.net/Documentos/631/46629353854/6314662935385404092023173254.pdf","https://dpmzos25m8ivg.cloudfront.net/Documentos/631/46629353854/6314662935385404092023173254.pdf")</f>
        <v>https://dpmzos25m8ivg.cloudfront.net/Documentos/631/46629353854/6314662935385404092023173254.pdf</v>
      </c>
      <c r="F6965" s="5" t="str">
        <f>HYPERLINK("https://dpmzos25m8ivg.cloudfront.net/Documentos/631/46629353854/6314662935385405092023153248.pdf","https://dpmzos25m8ivg.cloudfront.net/Documentos/631/46629353854/6314662935385405092023153248.pdf")</f>
        <v>https://dpmzos25m8ivg.cloudfront.net/Documentos/631/46629353854/6314662935385405092023153248.pdf</v>
      </c>
      <c r="G6965" s="5" t="str">
        <f>HYPERLINK("https://dpmzos25m8ivg.cloudfront.net/Documentos/631/46629353854/6314662935385405092023153121.pdf","https://dpmzos25m8ivg.cloudfront.net/Documentos/631/46629353854/6314662935385405092023153121.pdf")</f>
        <v>https://dpmzos25m8ivg.cloudfront.net/Documentos/631/46629353854/6314662935385405092023153121.pdf</v>
      </c>
      <c r="H6965" s="5" t="s">
        <v>15535</v>
      </c>
    </row>
    <row r="6966" spans="1:8" x14ac:dyDescent="0.25">
      <c r="A6966" s="2" t="s">
        <v>6994</v>
      </c>
      <c r="B6966" s="3"/>
      <c r="C6966" s="3"/>
      <c r="D6966" s="3"/>
      <c r="E6966" s="5" t="str">
        <f>HYPERLINK("https://dpmzos25m8ivg.cloudfront.net/Documentos/631/46638898833/6314663889883311092023165754.jpg","https://dpmzos25m8ivg.cloudfront.net/Documentos/631/46638898833/6314663889883311092023165754.jpg")</f>
        <v>https://dpmzos25m8ivg.cloudfront.net/Documentos/631/46638898833/6314663889883311092023165754.jpg</v>
      </c>
      <c r="F6966" s="5" t="str">
        <f>HYPERLINK("https://dpmzos25m8ivg.cloudfront.net/Documentos/631/46638898833/6314663889883311092023165804.jpg","https://dpmzos25m8ivg.cloudfront.net/Documentos/631/46638898833/6314663889883311092023165804.jpg")</f>
        <v>https://dpmzos25m8ivg.cloudfront.net/Documentos/631/46638898833/6314663889883311092023165804.jpg</v>
      </c>
      <c r="G6966" s="5" t="str">
        <f>HYPERLINK("https://dpmzos25m8ivg.cloudfront.net/Documentos/631/46638898833/6314663889883311092023165813.jpg","https://dpmzos25m8ivg.cloudfront.net/Documentos/631/46638898833/6314663889883311092023165813.jpg")</f>
        <v>https://dpmzos25m8ivg.cloudfront.net/Documentos/631/46638898833/6314663889883311092023165813.jpg</v>
      </c>
      <c r="H6966" s="5" t="s">
        <v>15536</v>
      </c>
    </row>
    <row r="6967" spans="1:8" x14ac:dyDescent="0.25">
      <c r="A6967" s="2" t="s">
        <v>6995</v>
      </c>
      <c r="B6967" s="3"/>
      <c r="C6967" s="3"/>
      <c r="D6967" s="3"/>
      <c r="E6967" s="5" t="str">
        <f>HYPERLINK("https://dpmzos25m8ivg.cloudfront.net/Documentos/631/46646656878/6314664665687811092023153840.jpg","https://dpmzos25m8ivg.cloudfront.net/Documentos/631/46646656878/6314664665687811092023153840.jpg")</f>
        <v>https://dpmzos25m8ivg.cloudfront.net/Documentos/631/46646656878/6314664665687811092023153840.jpg</v>
      </c>
      <c r="F6967" s="5" t="str">
        <f>HYPERLINK("https://dpmzos25m8ivg.cloudfront.net/Documentos/631/46646656878/6314664665687811092023153850.jpg","https://dpmzos25m8ivg.cloudfront.net/Documentos/631/46646656878/6314664665687811092023153850.jpg")</f>
        <v>https://dpmzos25m8ivg.cloudfront.net/Documentos/631/46646656878/6314664665687811092023153850.jpg</v>
      </c>
      <c r="G6967" s="5" t="str">
        <f>HYPERLINK("https://dpmzos25m8ivg.cloudfront.net/Documentos/631/46646656878/6314664665687811092023153902.jpg","https://dpmzos25m8ivg.cloudfront.net/Documentos/631/46646656878/6314664665687811092023153902.jpg")</f>
        <v>https://dpmzos25m8ivg.cloudfront.net/Documentos/631/46646656878/6314664665687811092023153902.jpg</v>
      </c>
      <c r="H6967" s="5" t="s">
        <v>15537</v>
      </c>
    </row>
    <row r="6968" spans="1:8" x14ac:dyDescent="0.25">
      <c r="A6968" s="2" t="s">
        <v>6996</v>
      </c>
      <c r="B6968" s="3"/>
      <c r="C6968" s="3"/>
      <c r="D6968" s="3"/>
      <c r="E6968" s="5" t="str">
        <f>HYPERLINK("https://dpmzos25m8ivg.cloudfront.net/Documentos/631/46648246880/6314664824688005092023101224.jpg","https://dpmzos25m8ivg.cloudfront.net/Documentos/631/46648246880/6314664824688005092023101224.jpg")</f>
        <v>https://dpmzos25m8ivg.cloudfront.net/Documentos/631/46648246880/6314664824688005092023101224.jpg</v>
      </c>
      <c r="F6968" s="5" t="str">
        <f>HYPERLINK("https://dpmzos25m8ivg.cloudfront.net/Documentos/631/46648246880/6314664824688005092023101242.jpg","https://dpmzos25m8ivg.cloudfront.net/Documentos/631/46648246880/6314664824688005092023101242.jpg")</f>
        <v>https://dpmzos25m8ivg.cloudfront.net/Documentos/631/46648246880/6314664824688005092023101242.jpg</v>
      </c>
      <c r="G6968" s="5" t="str">
        <f>HYPERLINK("https://dpmzos25m8ivg.cloudfront.net/Documentos/631/46648246880/6314664824688005092023101324.jpg","https://dpmzos25m8ivg.cloudfront.net/Documentos/631/46648246880/6314664824688005092023101324.jpg")</f>
        <v>https://dpmzos25m8ivg.cloudfront.net/Documentos/631/46648246880/6314664824688005092023101324.jpg</v>
      </c>
      <c r="H6968" s="5" t="s">
        <v>15538</v>
      </c>
    </row>
    <row r="6969" spans="1:8" x14ac:dyDescent="0.25">
      <c r="A6969" s="2" t="s">
        <v>6997</v>
      </c>
      <c r="B6969" s="3"/>
      <c r="C6969" s="3"/>
      <c r="D6969" s="3"/>
      <c r="E6969" s="5" t="str">
        <f>HYPERLINK("https://dpmzos25m8ivg.cloudfront.net/Documentos/631/46783963810/6314678396381007092023191809.jpg","https://dpmzos25m8ivg.cloudfront.net/Documentos/631/46783963810/6314678396381007092023191809.jpg")</f>
        <v>https://dpmzos25m8ivg.cloudfront.net/Documentos/631/46783963810/6314678396381007092023191809.jpg</v>
      </c>
      <c r="F6969" s="5" t="str">
        <f>HYPERLINK("https://dpmzos25m8ivg.cloudfront.net/Documentos/631/46783963810/6314678396381007092023191817.jpg","https://dpmzos25m8ivg.cloudfront.net/Documentos/631/46783963810/6314678396381007092023191817.jpg")</f>
        <v>https://dpmzos25m8ivg.cloudfront.net/Documentos/631/46783963810/6314678396381007092023191817.jpg</v>
      </c>
      <c r="G6969" s="5" t="str">
        <f>HYPERLINK("https://dpmzos25m8ivg.cloudfront.net/Documentos/631/46783963810/6314678396381007092023191826.jpg","https://dpmzos25m8ivg.cloudfront.net/Documentos/631/46783963810/6314678396381007092023191826.jpg")</f>
        <v>https://dpmzos25m8ivg.cloudfront.net/Documentos/631/46783963810/6314678396381007092023191826.jpg</v>
      </c>
      <c r="H6969" s="5" t="s">
        <v>15539</v>
      </c>
    </row>
    <row r="6970" spans="1:8" x14ac:dyDescent="0.25">
      <c r="A6970" s="2" t="s">
        <v>6998</v>
      </c>
      <c r="B6970" s="3"/>
      <c r="C6970" s="3"/>
      <c r="D6970" s="3"/>
      <c r="E6970" s="5" t="str">
        <f>HYPERLINK("https://dpmzos25m8ivg.cloudfront.net/Documentos/631/46809994890/6314680999489011092023164208.jpg","https://dpmzos25m8ivg.cloudfront.net/Documentos/631/46809994890/6314680999489011092023164208.jpg")</f>
        <v>https://dpmzos25m8ivg.cloudfront.net/Documentos/631/46809994890/6314680999489011092023164208.jpg</v>
      </c>
      <c r="F6970" s="5" t="str">
        <f>HYPERLINK("https://dpmzos25m8ivg.cloudfront.net/Documentos/631/46809994890/6314680999489011092023164221.jpg","https://dpmzos25m8ivg.cloudfront.net/Documentos/631/46809994890/6314680999489011092023164221.jpg")</f>
        <v>https://dpmzos25m8ivg.cloudfront.net/Documentos/631/46809994890/6314680999489011092023164221.jpg</v>
      </c>
      <c r="G6970" s="5" t="str">
        <f>HYPERLINK("https://dpmzos25m8ivg.cloudfront.net/Documentos/631/46809994890/6314680999489011092023164233.jpg","https://dpmzos25m8ivg.cloudfront.net/Documentos/631/46809994890/6314680999489011092023164233.jpg")</f>
        <v>https://dpmzos25m8ivg.cloudfront.net/Documentos/631/46809994890/6314680999489011092023164233.jpg</v>
      </c>
      <c r="H6970" s="5" t="s">
        <v>15540</v>
      </c>
    </row>
    <row r="6971" spans="1:8" x14ac:dyDescent="0.25">
      <c r="A6971" s="2" t="s">
        <v>6999</v>
      </c>
      <c r="B6971" s="3"/>
      <c r="C6971" s="3"/>
      <c r="D6971" s="3"/>
      <c r="E6971" s="5" t="str">
        <f>HYPERLINK("https://dpmzos25m8ivg.cloudfront.net/Documentos/631/46822497897/6314682249789706092023234251.pdf","https://dpmzos25m8ivg.cloudfront.net/Documentos/631/46822497897/6314682249789706092023234251.pdf")</f>
        <v>https://dpmzos25m8ivg.cloudfront.net/Documentos/631/46822497897/6314682249789706092023234251.pdf</v>
      </c>
      <c r="F6971" s="5" t="str">
        <f>HYPERLINK("https://dpmzos25m8ivg.cloudfront.net/Documentos/631/46822497897/6314682249789706092023234306.pdf","https://dpmzos25m8ivg.cloudfront.net/Documentos/631/46822497897/6314682249789706092023234306.pdf")</f>
        <v>https://dpmzos25m8ivg.cloudfront.net/Documentos/631/46822497897/6314682249789706092023234306.pdf</v>
      </c>
      <c r="G6971" s="5" t="str">
        <f>HYPERLINK("https://dpmzos25m8ivg.cloudfront.net/Documentos/631/46822497897/6314682249789706092023234325.pdf","https://dpmzos25m8ivg.cloudfront.net/Documentos/631/46822497897/6314682249789706092023234325.pdf")</f>
        <v>https://dpmzos25m8ivg.cloudfront.net/Documentos/631/46822497897/6314682249789706092023234325.pdf</v>
      </c>
      <c r="H6971" s="5" t="s">
        <v>15541</v>
      </c>
    </row>
    <row r="6972" spans="1:8" x14ac:dyDescent="0.25">
      <c r="A6972" s="2" t="s">
        <v>7000</v>
      </c>
      <c r="B6972" s="3"/>
      <c r="C6972" s="3"/>
      <c r="D6972" s="3"/>
      <c r="E6972" s="5" t="str">
        <f>HYPERLINK("https://dpmzos25m8ivg.cloudfront.net/Documentos/631/46834788204/6314683478820411092023151703.jpeg","https://dpmzos25m8ivg.cloudfront.net/Documentos/631/46834788204/6314683478820411092023151703.jpeg")</f>
        <v>https://dpmzos25m8ivg.cloudfront.net/Documentos/631/46834788204/6314683478820411092023151703.jpeg</v>
      </c>
      <c r="F6972" s="5" t="str">
        <f>HYPERLINK("https://dpmzos25m8ivg.cloudfront.net/Documentos/631/46834788204/6314683478820411092023151738.jpeg","https://dpmzos25m8ivg.cloudfront.net/Documentos/631/46834788204/6314683478820411092023151738.jpeg")</f>
        <v>https://dpmzos25m8ivg.cloudfront.net/Documentos/631/46834788204/6314683478820411092023151738.jpeg</v>
      </c>
      <c r="G6972" s="5" t="str">
        <f>HYPERLINK("https://dpmzos25m8ivg.cloudfront.net/Documentos/631/46834788204/6314683478820411092023151802.jpeg","https://dpmzos25m8ivg.cloudfront.net/Documentos/631/46834788204/6314683478820411092023151802.jpeg")</f>
        <v>https://dpmzos25m8ivg.cloudfront.net/Documentos/631/46834788204/6314683478820411092023151802.jpeg</v>
      </c>
      <c r="H6972" s="5" t="s">
        <v>15542</v>
      </c>
    </row>
    <row r="6973" spans="1:8" x14ac:dyDescent="0.25">
      <c r="A6973" s="2" t="s">
        <v>7001</v>
      </c>
      <c r="B6973" s="3" t="s">
        <v>90</v>
      </c>
      <c r="C6973" s="3"/>
      <c r="D6973" s="3"/>
      <c r="E6973" s="5" t="str">
        <f>HYPERLINK("https://dpmzos25m8ivg.cloudfront.net/Documentos/631/46861226866/6314686122686607092023132639.jpg","https://dpmzos25m8ivg.cloudfront.net/Documentos/631/46861226866/6314686122686607092023132639.jpg")</f>
        <v>https://dpmzos25m8ivg.cloudfront.net/Documentos/631/46861226866/6314686122686607092023132639.jpg</v>
      </c>
      <c r="F6973" s="5" t="str">
        <f>HYPERLINK("https://dpmzos25m8ivg.cloudfront.net/Documentos/631/46861226866/6314686122686607092023132650.jpg","https://dpmzos25m8ivg.cloudfront.net/Documentos/631/46861226866/6314686122686607092023132650.jpg")</f>
        <v>https://dpmzos25m8ivg.cloudfront.net/Documentos/631/46861226866/6314686122686607092023132650.jpg</v>
      </c>
      <c r="G6973" s="5" t="str">
        <f>HYPERLINK("https://dpmzos25m8ivg.cloudfront.net/Documentos/631/46861226866/6314686122686607092023132733.jpg","https://dpmzos25m8ivg.cloudfront.net/Documentos/631/46861226866/6314686122686607092023132733.jpg")</f>
        <v>https://dpmzos25m8ivg.cloudfront.net/Documentos/631/46861226866/6314686122686607092023132733.jpg</v>
      </c>
      <c r="H6973" s="5" t="s">
        <v>15543</v>
      </c>
    </row>
    <row r="6974" spans="1:8" x14ac:dyDescent="0.25">
      <c r="A6974" s="2" t="s">
        <v>7002</v>
      </c>
      <c r="B6974" s="3" t="s">
        <v>42</v>
      </c>
      <c r="C6974" s="3"/>
      <c r="D6974" s="3"/>
      <c r="E6974" s="5" t="str">
        <f>HYPERLINK("https://dpmzos25m8ivg.cloudfront.net/Documentos/631/46896148810/6314689614881011092023100013.pdf","https://dpmzos25m8ivg.cloudfront.net/Documentos/631/46896148810/6314689614881011092023100013.pdf")</f>
        <v>https://dpmzos25m8ivg.cloudfront.net/Documentos/631/46896148810/6314689614881011092023100013.pdf</v>
      </c>
      <c r="F6974" s="5" t="str">
        <f>HYPERLINK("https://dpmzos25m8ivg.cloudfront.net/Documentos/631/46896148810/6314689614881011092023100142.pdf","https://dpmzos25m8ivg.cloudfront.net/Documentos/631/46896148810/6314689614881011092023100142.pdf")</f>
        <v>https://dpmzos25m8ivg.cloudfront.net/Documentos/631/46896148810/6314689614881011092023100142.pdf</v>
      </c>
      <c r="G6974" s="5" t="str">
        <f>HYPERLINK("https://dpmzos25m8ivg.cloudfront.net/Documentos/631/46896148810/6314689614881011092023100202.pdf","https://dpmzos25m8ivg.cloudfront.net/Documentos/631/46896148810/6314689614881011092023100202.pdf")</f>
        <v>https://dpmzos25m8ivg.cloudfront.net/Documentos/631/46896148810/6314689614881011092023100202.pdf</v>
      </c>
      <c r="H6974" s="5" t="s">
        <v>15544</v>
      </c>
    </row>
    <row r="6975" spans="1:8" x14ac:dyDescent="0.25">
      <c r="A6975" s="2" t="s">
        <v>7003</v>
      </c>
      <c r="B6975" s="3"/>
      <c r="C6975" s="3"/>
      <c r="D6975" s="3"/>
      <c r="E6975" s="5" t="str">
        <f>HYPERLINK("https://dpmzos25m8ivg.cloudfront.net/Documentos/631/46941472855/6314694147285506092023103922.pdf","https://dpmzos25m8ivg.cloudfront.net/Documentos/631/46941472855/6314694147285506092023103922.pdf")</f>
        <v>https://dpmzos25m8ivg.cloudfront.net/Documentos/631/46941472855/6314694147285506092023103922.pdf</v>
      </c>
      <c r="F6975" s="5" t="str">
        <f>HYPERLINK("https://dpmzos25m8ivg.cloudfront.net/Documentos/631/46941472855/6314694147285506092023103932.pdf","https://dpmzos25m8ivg.cloudfront.net/Documentos/631/46941472855/6314694147285506092023103932.pdf")</f>
        <v>https://dpmzos25m8ivg.cloudfront.net/Documentos/631/46941472855/6314694147285506092023103932.pdf</v>
      </c>
      <c r="G6975" s="5" t="str">
        <f>HYPERLINK("https://dpmzos25m8ivg.cloudfront.net/Documentos/631/46941472855/6314694147285506092023103942.pdf","https://dpmzos25m8ivg.cloudfront.net/Documentos/631/46941472855/6314694147285506092023103942.pdf")</f>
        <v>https://dpmzos25m8ivg.cloudfront.net/Documentos/631/46941472855/6314694147285506092023103942.pdf</v>
      </c>
      <c r="H6975" s="5" t="s">
        <v>15545</v>
      </c>
    </row>
    <row r="6976" spans="1:8" x14ac:dyDescent="0.25">
      <c r="A6976" s="2" t="s">
        <v>7004</v>
      </c>
      <c r="B6976" s="3"/>
      <c r="C6976" s="3"/>
      <c r="D6976" s="3"/>
      <c r="E6976" s="5" t="str">
        <f>HYPERLINK("https://dpmzos25m8ivg.cloudfront.net/Documentos/631/46950830866/6314695083086614092023130911.jpeg","https://dpmzos25m8ivg.cloudfront.net/Documentos/631/46950830866/6314695083086614092023130911.jpeg")</f>
        <v>https://dpmzos25m8ivg.cloudfront.net/Documentos/631/46950830866/6314695083086614092023130911.jpeg</v>
      </c>
      <c r="F6976" s="5" t="str">
        <f>HYPERLINK("https://dpmzos25m8ivg.cloudfront.net/Documentos/631/46950830866/6314695083086614092023130931.jpeg","https://dpmzos25m8ivg.cloudfront.net/Documentos/631/46950830866/6314695083086614092023130931.jpeg")</f>
        <v>https://dpmzos25m8ivg.cloudfront.net/Documentos/631/46950830866/6314695083086614092023130931.jpeg</v>
      </c>
      <c r="G6976" s="5" t="str">
        <f>HYPERLINK("https://dpmzos25m8ivg.cloudfront.net/Documentos/631/46950830866/6314695083086614092023130952.jpeg","https://dpmzos25m8ivg.cloudfront.net/Documentos/631/46950830866/6314695083086614092023130952.jpeg")</f>
        <v>https://dpmzos25m8ivg.cloudfront.net/Documentos/631/46950830866/6314695083086614092023130952.jpeg</v>
      </c>
      <c r="H6976" s="5" t="s">
        <v>15546</v>
      </c>
    </row>
    <row r="6977" spans="1:8" x14ac:dyDescent="0.25">
      <c r="A6977" s="2" t="s">
        <v>7005</v>
      </c>
      <c r="B6977" s="3" t="s">
        <v>6946</v>
      </c>
      <c r="C6977" s="3"/>
      <c r="D6977" s="3"/>
      <c r="E6977" s="5" t="str">
        <f>HYPERLINK("https://dpmzos25m8ivg.cloudfront.net/Documentos/631/46959593808/6314695959380805092023234547.jpg","https://dpmzos25m8ivg.cloudfront.net/Documentos/631/46959593808/6314695959380805092023234547.jpg")</f>
        <v>https://dpmzos25m8ivg.cloudfront.net/Documentos/631/46959593808/6314695959380805092023234547.jpg</v>
      </c>
      <c r="F6977" s="5" t="str">
        <f>HYPERLINK("https://dpmzos25m8ivg.cloudfront.net/Documentos/631/46959593808/6314695959380805092023234554.jpg","https://dpmzos25m8ivg.cloudfront.net/Documentos/631/46959593808/6314695959380805092023234554.jpg")</f>
        <v>https://dpmzos25m8ivg.cloudfront.net/Documentos/631/46959593808/6314695959380805092023234554.jpg</v>
      </c>
      <c r="G6977" s="5" t="str">
        <f>HYPERLINK("https://dpmzos25m8ivg.cloudfront.net/Documentos/631/46959593808/6314695959380805092023234603.jpg","https://dpmzos25m8ivg.cloudfront.net/Documentos/631/46959593808/6314695959380805092023234603.jpg")</f>
        <v>https://dpmzos25m8ivg.cloudfront.net/Documentos/631/46959593808/6314695959380805092023234603.jpg</v>
      </c>
      <c r="H6977" s="5" t="s">
        <v>15547</v>
      </c>
    </row>
    <row r="6978" spans="1:8" x14ac:dyDescent="0.25">
      <c r="A6978" s="2" t="s">
        <v>7006</v>
      </c>
      <c r="B6978" s="3"/>
      <c r="C6978" s="3"/>
      <c r="D6978" s="3"/>
      <c r="E6978" s="5" t="str">
        <f>HYPERLINK("https://dpmzos25m8ivg.cloudfront.net/Documentos/631/46964510893/6314696451089305092023115340.pdf","https://dpmzos25m8ivg.cloudfront.net/Documentos/631/46964510893/6314696451089305092023115340.pdf")</f>
        <v>https://dpmzos25m8ivg.cloudfront.net/Documentos/631/46964510893/6314696451089305092023115340.pdf</v>
      </c>
      <c r="F6978" s="5" t="str">
        <f>HYPERLINK("https://dpmzos25m8ivg.cloudfront.net/Documentos/631/46964510893/6314696451089305092023115356.pdf","https://dpmzos25m8ivg.cloudfront.net/Documentos/631/46964510893/6314696451089305092023115356.pdf")</f>
        <v>https://dpmzos25m8ivg.cloudfront.net/Documentos/631/46964510893/6314696451089305092023115356.pdf</v>
      </c>
      <c r="G6978" s="5" t="str">
        <f>HYPERLINK("https://dpmzos25m8ivg.cloudfront.net/Documentos/631/46964510893/6314696451089305092023115414.pdf","https://dpmzos25m8ivg.cloudfront.net/Documentos/631/46964510893/6314696451089305092023115414.pdf")</f>
        <v>https://dpmzos25m8ivg.cloudfront.net/Documentos/631/46964510893/6314696451089305092023115414.pdf</v>
      </c>
      <c r="H6978" s="5" t="s">
        <v>15548</v>
      </c>
    </row>
    <row r="6979" spans="1:8" x14ac:dyDescent="0.25">
      <c r="A6979" s="2" t="s">
        <v>7007</v>
      </c>
      <c r="B6979" s="3"/>
      <c r="C6979" s="3"/>
      <c r="D6979" s="3"/>
      <c r="E6979" s="5" t="str">
        <f>HYPERLINK("https://dpmzos25m8ivg.cloudfront.net/Documentos/631/47010524858/6314701052485811092023142237.jpeg","https://dpmzos25m8ivg.cloudfront.net/Documentos/631/47010524858/6314701052485811092023142237.jpeg")</f>
        <v>https://dpmzos25m8ivg.cloudfront.net/Documentos/631/47010524858/6314701052485811092023142237.jpeg</v>
      </c>
      <c r="F6979" s="5" t="str">
        <f>HYPERLINK("https://dpmzos25m8ivg.cloudfront.net/Documentos/631/47010524858/6314701052485811092023142251.jpeg","https://dpmzos25m8ivg.cloudfront.net/Documentos/631/47010524858/6314701052485811092023142251.jpeg")</f>
        <v>https://dpmzos25m8ivg.cloudfront.net/Documentos/631/47010524858/6314701052485811092023142251.jpeg</v>
      </c>
      <c r="G6979" s="5" t="str">
        <f>HYPERLINK("https://dpmzos25m8ivg.cloudfront.net/Documentos/631/47010524858/6314701052485811092023141407.jpeg","https://dpmzos25m8ivg.cloudfront.net/Documentos/631/47010524858/6314701052485811092023141407.jpeg")</f>
        <v>https://dpmzos25m8ivg.cloudfront.net/Documentos/631/47010524858/6314701052485811092023141407.jpeg</v>
      </c>
      <c r="H6979" s="5" t="s">
        <v>15549</v>
      </c>
    </row>
    <row r="6980" spans="1:8" x14ac:dyDescent="0.25">
      <c r="A6980" s="2" t="s">
        <v>7008</v>
      </c>
      <c r="B6980" s="3" t="s">
        <v>90</v>
      </c>
      <c r="C6980" s="3"/>
      <c r="D6980" s="3"/>
      <c r="E6980" s="5" t="str">
        <f>HYPERLINK("https://dpmzos25m8ivg.cloudfront.net/Documentos/631/47269210888/6314726921088806092023005850.pdf","https://dpmzos25m8ivg.cloudfront.net/Documentos/631/47269210888/6314726921088806092023005850.pdf")</f>
        <v>https://dpmzos25m8ivg.cloudfront.net/Documentos/631/47269210888/6314726921088806092023005850.pdf</v>
      </c>
      <c r="F6980" s="5" t="str">
        <f>HYPERLINK("https://dpmzos25m8ivg.cloudfront.net/Documentos/631/47269210888/6314726921088806092023005901.jpg","https://dpmzos25m8ivg.cloudfront.net/Documentos/631/47269210888/6314726921088806092023005901.jpg")</f>
        <v>https://dpmzos25m8ivg.cloudfront.net/Documentos/631/47269210888/6314726921088806092023005901.jpg</v>
      </c>
      <c r="G6980" s="5" t="str">
        <f>HYPERLINK("https://dpmzos25m8ivg.cloudfront.net/Documentos/631/47269210888/6314726921088806092023005913.jpg","https://dpmzos25m8ivg.cloudfront.net/Documentos/631/47269210888/6314726921088806092023005913.jpg")</f>
        <v>https://dpmzos25m8ivg.cloudfront.net/Documentos/631/47269210888/6314726921088806092023005913.jpg</v>
      </c>
      <c r="H6980" s="5" t="s">
        <v>15550</v>
      </c>
    </row>
    <row r="6981" spans="1:8" x14ac:dyDescent="0.25">
      <c r="A6981" s="2" t="s">
        <v>7009</v>
      </c>
      <c r="B6981" s="3" t="s">
        <v>90</v>
      </c>
      <c r="C6981" s="3"/>
      <c r="D6981" s="3"/>
      <c r="E6981" s="5" t="str">
        <f>HYPERLINK("https://dpmzos25m8ivg.cloudfront.net/Documentos/631/47334762304/6314733476230411092023164735.pdf","https://dpmzos25m8ivg.cloudfront.net/Documentos/631/47334762304/6314733476230411092023164735.pdf")</f>
        <v>https://dpmzos25m8ivg.cloudfront.net/Documentos/631/47334762304/6314733476230411092023164735.pdf</v>
      </c>
      <c r="F6981" s="5" t="str">
        <f>HYPERLINK("https://dpmzos25m8ivg.cloudfront.net/Documentos/631/47334762304/6314733476230411092023164752.pdf","https://dpmzos25m8ivg.cloudfront.net/Documentos/631/47334762304/6314733476230411092023164752.pdf")</f>
        <v>https://dpmzos25m8ivg.cloudfront.net/Documentos/631/47334762304/6314733476230411092023164752.pdf</v>
      </c>
      <c r="G6981" s="5" t="str">
        <f>HYPERLINK("https://dpmzos25m8ivg.cloudfront.net/Documentos/631/47334762304/6314733476230411092023164810.pdf","https://dpmzos25m8ivg.cloudfront.net/Documentos/631/47334762304/6314733476230411092023164810.pdf")</f>
        <v>https://dpmzos25m8ivg.cloudfront.net/Documentos/631/47334762304/6314733476230411092023164810.pdf</v>
      </c>
      <c r="H6981" s="5" t="s">
        <v>15551</v>
      </c>
    </row>
    <row r="6982" spans="1:8" x14ac:dyDescent="0.25">
      <c r="A6982" s="2" t="s">
        <v>7010</v>
      </c>
      <c r="B6982" s="3" t="s">
        <v>6946</v>
      </c>
      <c r="C6982" s="3"/>
      <c r="D6982" s="3"/>
      <c r="E6982" s="5" t="str">
        <f>HYPERLINK("https://dpmzos25m8ivg.cloudfront.net/Documentos/631/47350849400/6314735084940009092023103027.jpg","https://dpmzos25m8ivg.cloudfront.net/Documentos/631/47350849400/6314735084940009092023103027.jpg")</f>
        <v>https://dpmzos25m8ivg.cloudfront.net/Documentos/631/47350849400/6314735084940009092023103027.jpg</v>
      </c>
      <c r="F6982" s="5" t="str">
        <f>HYPERLINK("https://dpmzos25m8ivg.cloudfront.net/Documentos/631/47350849400/6314735084940009092023103101.jpg","https://dpmzos25m8ivg.cloudfront.net/Documentos/631/47350849400/6314735084940009092023103101.jpg")</f>
        <v>https://dpmzos25m8ivg.cloudfront.net/Documentos/631/47350849400/6314735084940009092023103101.jpg</v>
      </c>
      <c r="G6982" s="5" t="str">
        <f>HYPERLINK("https://dpmzos25m8ivg.cloudfront.net/Documentos/631/47350849400/6314735084940009092023103115.jpg","https://dpmzos25m8ivg.cloudfront.net/Documentos/631/47350849400/6314735084940009092023103115.jpg")</f>
        <v>https://dpmzos25m8ivg.cloudfront.net/Documentos/631/47350849400/6314735084940009092023103115.jpg</v>
      </c>
      <c r="H6982" s="5" t="s">
        <v>15552</v>
      </c>
    </row>
    <row r="6983" spans="1:8" x14ac:dyDescent="0.25">
      <c r="A6983" s="2" t="s">
        <v>7011</v>
      </c>
      <c r="B6983" s="3"/>
      <c r="C6983" s="3"/>
      <c r="D6983" s="3"/>
      <c r="E6983" s="5" t="str">
        <f>HYPERLINK("https://dpmzos25m8ivg.cloudfront.net/Documentos/631/47361935818/6314736193581807092023134249.pdf","https://dpmzos25m8ivg.cloudfront.net/Documentos/631/47361935818/6314736193581807092023134249.pdf")</f>
        <v>https://dpmzos25m8ivg.cloudfront.net/Documentos/631/47361935818/6314736193581807092023134249.pdf</v>
      </c>
      <c r="F6983" s="5" t="str">
        <f>HYPERLINK("https://dpmzos25m8ivg.cloudfront.net/Documentos/631/47361935818/6314736193581807092023134259.pdf","https://dpmzos25m8ivg.cloudfront.net/Documentos/631/47361935818/6314736193581807092023134259.pdf")</f>
        <v>https://dpmzos25m8ivg.cloudfront.net/Documentos/631/47361935818/6314736193581807092023134259.pdf</v>
      </c>
      <c r="G6983" s="5" t="str">
        <f>HYPERLINK("https://dpmzos25m8ivg.cloudfront.net/Documentos/631/47361935818/6314736193581807092023134310.pdf","https://dpmzos25m8ivg.cloudfront.net/Documentos/631/47361935818/6314736193581807092023134310.pdf")</f>
        <v>https://dpmzos25m8ivg.cloudfront.net/Documentos/631/47361935818/6314736193581807092023134310.pdf</v>
      </c>
      <c r="H6983" s="5" t="s">
        <v>15553</v>
      </c>
    </row>
    <row r="6984" spans="1:8" x14ac:dyDescent="0.25">
      <c r="A6984" s="2" t="s">
        <v>7012</v>
      </c>
      <c r="B6984" s="3"/>
      <c r="C6984" s="3"/>
      <c r="D6984" s="3"/>
      <c r="E6984" s="5" t="str">
        <f>HYPERLINK("https://dpmzos25m8ivg.cloudfront.net/Documentos/631/47433574115/6314743357411505092023144545.pdf","https://dpmzos25m8ivg.cloudfront.net/Documentos/631/47433574115/6314743357411505092023144545.pdf")</f>
        <v>https://dpmzos25m8ivg.cloudfront.net/Documentos/631/47433574115/6314743357411505092023144545.pdf</v>
      </c>
      <c r="F6984" s="5" t="str">
        <f>HYPERLINK("https://dpmzos25m8ivg.cloudfront.net/Documentos/631/47433574115/6314743357411505092023144713.pdf","https://dpmzos25m8ivg.cloudfront.net/Documentos/631/47433574115/6314743357411505092023144713.pdf")</f>
        <v>https://dpmzos25m8ivg.cloudfront.net/Documentos/631/47433574115/6314743357411505092023144713.pdf</v>
      </c>
      <c r="G6984" s="5" t="str">
        <f>HYPERLINK("https://dpmzos25m8ivg.cloudfront.net/Documentos/631/47433574115/6314743357411505092023144723.pdf","https://dpmzos25m8ivg.cloudfront.net/Documentos/631/47433574115/6314743357411505092023144723.pdf")</f>
        <v>https://dpmzos25m8ivg.cloudfront.net/Documentos/631/47433574115/6314743357411505092023144723.pdf</v>
      </c>
      <c r="H6984" s="5" t="s">
        <v>15554</v>
      </c>
    </row>
    <row r="6985" spans="1:8" x14ac:dyDescent="0.25">
      <c r="A6985" s="2" t="s">
        <v>7013</v>
      </c>
      <c r="B6985" s="3"/>
      <c r="C6985" s="3"/>
      <c r="D6985" s="3"/>
      <c r="E6985" s="5" t="str">
        <f>HYPERLINK("https://dpmzos25m8ivg.cloudfront.net/Documentos/631/47489682819/6314748968281914092023085114.pdf","https://dpmzos25m8ivg.cloudfront.net/Documentos/631/47489682819/6314748968281914092023085114.pdf")</f>
        <v>https://dpmzos25m8ivg.cloudfront.net/Documentos/631/47489682819/6314748968281914092023085114.pdf</v>
      </c>
      <c r="F6985" s="5" t="str">
        <f>HYPERLINK("https://dpmzos25m8ivg.cloudfront.net/Documentos/631/47489682819/6314748968281914092023085234.pdf","https://dpmzos25m8ivg.cloudfront.net/Documentos/631/47489682819/6314748968281914092023085234.pdf")</f>
        <v>https://dpmzos25m8ivg.cloudfront.net/Documentos/631/47489682819/6314748968281914092023085234.pdf</v>
      </c>
      <c r="G6985" s="5" t="str">
        <f>HYPERLINK("https://dpmzos25m8ivg.cloudfront.net/Documentos/631/47489682819/6314748968281914092023085243.pdf","https://dpmzos25m8ivg.cloudfront.net/Documentos/631/47489682819/6314748968281914092023085243.pdf")</f>
        <v>https://dpmzos25m8ivg.cloudfront.net/Documentos/631/47489682819/6314748968281914092023085243.pdf</v>
      </c>
      <c r="H6985" s="5" t="s">
        <v>15555</v>
      </c>
    </row>
    <row r="6986" spans="1:8" x14ac:dyDescent="0.25">
      <c r="A6986" s="2" t="s">
        <v>7014</v>
      </c>
      <c r="B6986" s="3"/>
      <c r="C6986" s="3"/>
      <c r="D6986" s="3"/>
      <c r="E6986" s="5" t="str">
        <f>HYPERLINK("https://dpmzos25m8ivg.cloudfront.net/Documentos/631/47490184819/6314749018481904092023215423.pdf","https://dpmzos25m8ivg.cloudfront.net/Documentos/631/47490184819/6314749018481904092023215423.pdf")</f>
        <v>https://dpmzos25m8ivg.cloudfront.net/Documentos/631/47490184819/6314749018481904092023215423.pdf</v>
      </c>
      <c r="F6986" s="5" t="str">
        <f>HYPERLINK("https://dpmzos25m8ivg.cloudfront.net/Documentos/631/47490184819/6314749018481904092023215629.pdf","https://dpmzos25m8ivg.cloudfront.net/Documentos/631/47490184819/6314749018481904092023215629.pdf")</f>
        <v>https://dpmzos25m8ivg.cloudfront.net/Documentos/631/47490184819/6314749018481904092023215629.pdf</v>
      </c>
      <c r="G6986" s="5" t="str">
        <f>HYPERLINK("https://dpmzos25m8ivg.cloudfront.net/Documentos/631/47490184819/6314749018481904092023215726.pdf","https://dpmzos25m8ivg.cloudfront.net/Documentos/631/47490184819/6314749018481904092023215726.pdf")</f>
        <v>https://dpmzos25m8ivg.cloudfront.net/Documentos/631/47490184819/6314749018481904092023215726.pdf</v>
      </c>
      <c r="H6986" s="5" t="s">
        <v>15556</v>
      </c>
    </row>
    <row r="6987" spans="1:8" x14ac:dyDescent="0.25">
      <c r="A6987" s="2" t="s">
        <v>7015</v>
      </c>
      <c r="B6987" s="3"/>
      <c r="C6987" s="3"/>
      <c r="D6987" s="3"/>
      <c r="E6987" s="5" t="str">
        <f>HYPERLINK("https://dpmzos25m8ivg.cloudfront.net/Documentos/631/47503270268/6314750327026813092023150905.pdf","https://dpmzos25m8ivg.cloudfront.net/Documentos/631/47503270268/6314750327026813092023150905.pdf")</f>
        <v>https://dpmzos25m8ivg.cloudfront.net/Documentos/631/47503270268/6314750327026813092023150905.pdf</v>
      </c>
      <c r="F6987" s="5" t="str">
        <f>HYPERLINK("https://dpmzos25m8ivg.cloudfront.net/Documentos/631/47503270268/6314750327026813092023150923.pdf","https://dpmzos25m8ivg.cloudfront.net/Documentos/631/47503270268/6314750327026813092023150923.pdf")</f>
        <v>https://dpmzos25m8ivg.cloudfront.net/Documentos/631/47503270268/6314750327026813092023150923.pdf</v>
      </c>
      <c r="G6987" s="5" t="str">
        <f>HYPERLINK("https://dpmzos25m8ivg.cloudfront.net/Documentos/631/47503270268/6314750327026813092023150938.pdf","https://dpmzos25m8ivg.cloudfront.net/Documentos/631/47503270268/6314750327026813092023150938.pdf")</f>
        <v>https://dpmzos25m8ivg.cloudfront.net/Documentos/631/47503270268/6314750327026813092023150938.pdf</v>
      </c>
      <c r="H6987" s="5" t="s">
        <v>15557</v>
      </c>
    </row>
    <row r="6988" spans="1:8" x14ac:dyDescent="0.25">
      <c r="A6988" s="2" t="s">
        <v>7016</v>
      </c>
      <c r="B6988" s="3"/>
      <c r="C6988" s="3"/>
      <c r="D6988" s="3"/>
      <c r="E6988" s="5" t="str">
        <f>HYPERLINK("https://dpmzos25m8ivg.cloudfront.net/Documentos/631/47516855898/6314751685589811092023094203.jpg","https://dpmzos25m8ivg.cloudfront.net/Documentos/631/47516855898/6314751685589811092023094203.jpg")</f>
        <v>https://dpmzos25m8ivg.cloudfront.net/Documentos/631/47516855898/6314751685589811092023094203.jpg</v>
      </c>
      <c r="F6988" s="5" t="str">
        <f>HYPERLINK("https://dpmzos25m8ivg.cloudfront.net/Documentos/631/47516855898/6314751685589811092023094214.jpg","https://dpmzos25m8ivg.cloudfront.net/Documentos/631/47516855898/6314751685589811092023094214.jpg")</f>
        <v>https://dpmzos25m8ivg.cloudfront.net/Documentos/631/47516855898/6314751685589811092023094214.jpg</v>
      </c>
      <c r="G6988" s="5" t="str">
        <f>HYPERLINK("https://dpmzos25m8ivg.cloudfront.net/Documentos/631/47516855898/6314751685589811092023094224.jpg","https://dpmzos25m8ivg.cloudfront.net/Documentos/631/47516855898/6314751685589811092023094224.jpg")</f>
        <v>https://dpmzos25m8ivg.cloudfront.net/Documentos/631/47516855898/6314751685589811092023094224.jpg</v>
      </c>
      <c r="H6988" s="5" t="s">
        <v>15558</v>
      </c>
    </row>
    <row r="6989" spans="1:8" x14ac:dyDescent="0.25">
      <c r="A6989" s="2" t="s">
        <v>7017</v>
      </c>
      <c r="B6989" s="3" t="s">
        <v>90</v>
      </c>
      <c r="C6989" s="3"/>
      <c r="D6989" s="3"/>
      <c r="E6989" s="5" t="str">
        <f>HYPERLINK("https://dpmzos25m8ivg.cloudfront.net/Documentos/631/47525469814/6314752546981411092023144602.pdf","https://dpmzos25m8ivg.cloudfront.net/Documentos/631/47525469814/6314752546981411092023144602.pdf")</f>
        <v>https://dpmzos25m8ivg.cloudfront.net/Documentos/631/47525469814/6314752546981411092023144602.pdf</v>
      </c>
      <c r="F6989" s="5" t="str">
        <f>HYPERLINK("https://dpmzos25m8ivg.cloudfront.net/Documentos/631/47525469814/6314752546981411092023144613.pdf","https://dpmzos25m8ivg.cloudfront.net/Documentos/631/47525469814/6314752546981411092023144613.pdf")</f>
        <v>https://dpmzos25m8ivg.cloudfront.net/Documentos/631/47525469814/6314752546981411092023144613.pdf</v>
      </c>
      <c r="G6989" s="5" t="str">
        <f>HYPERLINK("https://dpmzos25m8ivg.cloudfront.net/Documentos/631/47525469814/6314752546981411092023144623.pdf","https://dpmzos25m8ivg.cloudfront.net/Documentos/631/47525469814/6314752546981411092023144623.pdf")</f>
        <v>https://dpmzos25m8ivg.cloudfront.net/Documentos/631/47525469814/6314752546981411092023144623.pdf</v>
      </c>
      <c r="H6989" s="5" t="s">
        <v>15559</v>
      </c>
    </row>
    <row r="6990" spans="1:8" x14ac:dyDescent="0.25">
      <c r="A6990" s="2" t="s">
        <v>7018</v>
      </c>
      <c r="B6990" s="3"/>
      <c r="C6990" s="3"/>
      <c r="D6990" s="3"/>
      <c r="E6990" s="5" t="str">
        <f>HYPERLINK("https://dpmzos25m8ivg.cloudfront.net/Documentos/631/47542902830/6314754290283011092023095430.pdf","https://dpmzos25m8ivg.cloudfront.net/Documentos/631/47542902830/6314754290283011092023095430.pdf")</f>
        <v>https://dpmzos25m8ivg.cloudfront.net/Documentos/631/47542902830/6314754290283011092023095430.pdf</v>
      </c>
      <c r="F6990" s="5" t="str">
        <f>HYPERLINK("https://dpmzos25m8ivg.cloudfront.net/Documentos/631/47542902830/6314754290283011092023095446.pdf","https://dpmzos25m8ivg.cloudfront.net/Documentos/631/47542902830/6314754290283011092023095446.pdf")</f>
        <v>https://dpmzos25m8ivg.cloudfront.net/Documentos/631/47542902830/6314754290283011092023095446.pdf</v>
      </c>
      <c r="G6990" s="5" t="str">
        <f>HYPERLINK("https://dpmzos25m8ivg.cloudfront.net/Documentos/631/47542902830/6314754290283011092023095501.pdf","https://dpmzos25m8ivg.cloudfront.net/Documentos/631/47542902830/6314754290283011092023095501.pdf")</f>
        <v>https://dpmzos25m8ivg.cloudfront.net/Documentos/631/47542902830/6314754290283011092023095501.pdf</v>
      </c>
      <c r="H6990" s="5" t="s">
        <v>15560</v>
      </c>
    </row>
    <row r="6991" spans="1:8" x14ac:dyDescent="0.25">
      <c r="A6991" s="2" t="s">
        <v>7019</v>
      </c>
      <c r="B6991" s="3"/>
      <c r="C6991" s="3"/>
      <c r="D6991" s="3"/>
      <c r="E6991" s="5" t="str">
        <f>HYPERLINK("https://dpmzos25m8ivg.cloudfront.net/Documentos/631/47562189897/6314756218989708092023153249.jpg","https://dpmzos25m8ivg.cloudfront.net/Documentos/631/47562189897/6314756218989708092023153249.jpg")</f>
        <v>https://dpmzos25m8ivg.cloudfront.net/Documentos/631/47562189897/6314756218989708092023153249.jpg</v>
      </c>
      <c r="F6991" s="5" t="str">
        <f>HYPERLINK("https://dpmzos25m8ivg.cloudfront.net/Documentos/631/47562189897/6314756218989708092023153238.jpg","https://dpmzos25m8ivg.cloudfront.net/Documentos/631/47562189897/6314756218989708092023153238.jpg")</f>
        <v>https://dpmzos25m8ivg.cloudfront.net/Documentos/631/47562189897/6314756218989708092023153238.jpg</v>
      </c>
      <c r="G6991" s="5" t="str">
        <f>HYPERLINK("https://dpmzos25m8ivg.cloudfront.net/Documentos/631/47562189897/6314756218989708092023153228.pdf","https://dpmzos25m8ivg.cloudfront.net/Documentos/631/47562189897/6314756218989708092023153228.pdf")</f>
        <v>https://dpmzos25m8ivg.cloudfront.net/Documentos/631/47562189897/6314756218989708092023153228.pdf</v>
      </c>
      <c r="H6991" s="5" t="s">
        <v>15561</v>
      </c>
    </row>
    <row r="6992" spans="1:8" x14ac:dyDescent="0.25">
      <c r="A6992" s="2" t="s">
        <v>7020</v>
      </c>
      <c r="B6992" s="3"/>
      <c r="C6992" s="3"/>
      <c r="D6992" s="3"/>
      <c r="E6992" s="5" t="str">
        <f>HYPERLINK("https://dpmzos25m8ivg.cloudfront.net/Documentos/631/47572283845/6314757228384511092023163134.jpg","https://dpmzos25m8ivg.cloudfront.net/Documentos/631/47572283845/6314757228384511092023163134.jpg")</f>
        <v>https://dpmzos25m8ivg.cloudfront.net/Documentos/631/47572283845/6314757228384511092023163134.jpg</v>
      </c>
      <c r="F6992" s="5" t="str">
        <f>HYPERLINK("https://dpmzos25m8ivg.cloudfront.net/Documentos/631/47572283845/6314757228384511092023163200.jpg","https://dpmzos25m8ivg.cloudfront.net/Documentos/631/47572283845/6314757228384511092023163200.jpg")</f>
        <v>https://dpmzos25m8ivg.cloudfront.net/Documentos/631/47572283845/6314757228384511092023163200.jpg</v>
      </c>
      <c r="G6992" s="5" t="str">
        <f>HYPERLINK("https://dpmzos25m8ivg.cloudfront.net/Documentos/631/47572283845/6314757228384511092023163224.jpg","https://dpmzos25m8ivg.cloudfront.net/Documentos/631/47572283845/6314757228384511092023163224.jpg")</f>
        <v>https://dpmzos25m8ivg.cloudfront.net/Documentos/631/47572283845/6314757228384511092023163224.jpg</v>
      </c>
      <c r="H6992" s="5" t="s">
        <v>15562</v>
      </c>
    </row>
    <row r="6993" spans="1:8" x14ac:dyDescent="0.25">
      <c r="A6993" s="2" t="s">
        <v>7021</v>
      </c>
      <c r="B6993" s="3"/>
      <c r="C6993" s="3"/>
      <c r="D6993" s="3"/>
      <c r="E6993" s="5" t="str">
        <f>HYPERLINK("https://dpmzos25m8ivg.cloudfront.net/Documentos/631/47587016368/6314758701636807092023181030.pdf","https://dpmzos25m8ivg.cloudfront.net/Documentos/631/47587016368/6314758701636807092023181030.pdf")</f>
        <v>https://dpmzos25m8ivg.cloudfront.net/Documentos/631/47587016368/6314758701636807092023181030.pdf</v>
      </c>
      <c r="F6993" s="5" t="str">
        <f>HYPERLINK("https://dpmzos25m8ivg.cloudfront.net/Documentos/631/47587016368/6314758701636807092023181046.pdf","https://dpmzos25m8ivg.cloudfront.net/Documentos/631/47587016368/6314758701636807092023181046.pdf")</f>
        <v>https://dpmzos25m8ivg.cloudfront.net/Documentos/631/47587016368/6314758701636807092023181046.pdf</v>
      </c>
      <c r="G6993" s="5" t="str">
        <f>HYPERLINK("https://dpmzos25m8ivg.cloudfront.net/Documentos/631/47587016368/6314758701636807092023181106.pdf","https://dpmzos25m8ivg.cloudfront.net/Documentos/631/47587016368/6314758701636807092023181106.pdf")</f>
        <v>https://dpmzos25m8ivg.cloudfront.net/Documentos/631/47587016368/6314758701636807092023181106.pdf</v>
      </c>
      <c r="H6993" s="5" t="s">
        <v>15563</v>
      </c>
    </row>
    <row r="6994" spans="1:8" x14ac:dyDescent="0.25">
      <c r="A6994" s="2" t="s">
        <v>7022</v>
      </c>
      <c r="B6994" s="3"/>
      <c r="C6994" s="3"/>
      <c r="D6994" s="3"/>
      <c r="E6994" s="5" t="str">
        <f>HYPERLINK("https://dpmzos25m8ivg.cloudfront.net/Documentos/631/47597496320/6314759749632005092023215806.jpg","https://dpmzos25m8ivg.cloudfront.net/Documentos/631/47597496320/6314759749632005092023215806.jpg")</f>
        <v>https://dpmzos25m8ivg.cloudfront.net/Documentos/631/47597496320/6314759749632005092023215806.jpg</v>
      </c>
      <c r="F6994" s="5" t="str">
        <f>HYPERLINK("https://dpmzos25m8ivg.cloudfront.net/Documentos/631/47597496320/6314759749632005092023041412.jpg","https://dpmzos25m8ivg.cloudfront.net/Documentos/631/47597496320/6314759749632005092023041412.jpg")</f>
        <v>https://dpmzos25m8ivg.cloudfront.net/Documentos/631/47597496320/6314759749632005092023041412.jpg</v>
      </c>
      <c r="G6994" s="5" t="str">
        <f>HYPERLINK("https://dpmzos25m8ivg.cloudfront.net/Documentos/631/47597496320/6314759749632005092023042020.jpg","https://dpmzos25m8ivg.cloudfront.net/Documentos/631/47597496320/6314759749632005092023042020.jpg")</f>
        <v>https://dpmzos25m8ivg.cloudfront.net/Documentos/631/47597496320/6314759749632005092023042020.jpg</v>
      </c>
      <c r="H6994" s="5" t="s">
        <v>15564</v>
      </c>
    </row>
    <row r="6995" spans="1:8" x14ac:dyDescent="0.25">
      <c r="A6995" s="2" t="s">
        <v>7023</v>
      </c>
      <c r="B6995" s="3"/>
      <c r="C6995" s="3"/>
      <c r="D6995" s="3"/>
      <c r="E6995" s="5" t="str">
        <f>HYPERLINK("https://dpmzos25m8ivg.cloudfront.net/Documentos/631/47686642100/6314768664210011092023145126.pdf","https://dpmzos25m8ivg.cloudfront.net/Documentos/631/47686642100/6314768664210011092023145126.pdf")</f>
        <v>https://dpmzos25m8ivg.cloudfront.net/Documentos/631/47686642100/6314768664210011092023145126.pdf</v>
      </c>
      <c r="F6995" s="5" t="str">
        <f>HYPERLINK("https://dpmzos25m8ivg.cloudfront.net/Documentos/631/47686642100/6314768664210011092023145148.pdf","https://dpmzos25m8ivg.cloudfront.net/Documentos/631/47686642100/6314768664210011092023145148.pdf")</f>
        <v>https://dpmzos25m8ivg.cloudfront.net/Documentos/631/47686642100/6314768664210011092023145148.pdf</v>
      </c>
      <c r="G6995" s="5" t="str">
        <f>HYPERLINK("https://dpmzos25m8ivg.cloudfront.net/Documentos/631/47686642100/6314768664210011092023145201.pdf","https://dpmzos25m8ivg.cloudfront.net/Documentos/631/47686642100/6314768664210011092023145201.pdf")</f>
        <v>https://dpmzos25m8ivg.cloudfront.net/Documentos/631/47686642100/6314768664210011092023145201.pdf</v>
      </c>
      <c r="H6995" s="5" t="s">
        <v>15565</v>
      </c>
    </row>
    <row r="6996" spans="1:8" x14ac:dyDescent="0.25">
      <c r="A6996" s="2" t="s">
        <v>7024</v>
      </c>
      <c r="B6996" s="3"/>
      <c r="C6996" s="3"/>
      <c r="D6996" s="3"/>
      <c r="E6996" s="5" t="str">
        <f>HYPERLINK("https://dpmzos25m8ivg.cloudfront.net/Documentos/631/47728546813/6314772854681311092023152624.pdf","https://dpmzos25m8ivg.cloudfront.net/Documentos/631/47728546813/6314772854681311092023152624.pdf")</f>
        <v>https://dpmzos25m8ivg.cloudfront.net/Documentos/631/47728546813/6314772854681311092023152624.pdf</v>
      </c>
      <c r="F6996" s="5" t="str">
        <f>HYPERLINK("https://dpmzos25m8ivg.cloudfront.net/Documentos/631/47728546813/6314772854681311092023152509.pdf","https://dpmzos25m8ivg.cloudfront.net/Documentos/631/47728546813/6314772854681311092023152509.pdf")</f>
        <v>https://dpmzos25m8ivg.cloudfront.net/Documentos/631/47728546813/6314772854681311092023152509.pdf</v>
      </c>
      <c r="G6996" s="5" t="str">
        <f>HYPERLINK("https://dpmzos25m8ivg.cloudfront.net/Documentos/631/47728546813/6314772854681311092023152418.pdf","https://dpmzos25m8ivg.cloudfront.net/Documentos/631/47728546813/6314772854681311092023152418.pdf")</f>
        <v>https://dpmzos25m8ivg.cloudfront.net/Documentos/631/47728546813/6314772854681311092023152418.pdf</v>
      </c>
      <c r="H6996" s="5" t="s">
        <v>15566</v>
      </c>
    </row>
    <row r="6997" spans="1:8" x14ac:dyDescent="0.25">
      <c r="A6997" s="2" t="s">
        <v>7025</v>
      </c>
      <c r="B6997" s="3"/>
      <c r="C6997" s="3"/>
      <c r="D6997" s="3"/>
      <c r="E6997" s="5" t="str">
        <f>HYPERLINK("https://dpmzos25m8ivg.cloudfront.net/Documentos/631/47730747871/6314773074787111092023131015.pdf","https://dpmzos25m8ivg.cloudfront.net/Documentos/631/47730747871/6314773074787111092023131015.pdf")</f>
        <v>https://dpmzos25m8ivg.cloudfront.net/Documentos/631/47730747871/6314773074787111092023131015.pdf</v>
      </c>
      <c r="F6997" s="5" t="str">
        <f>HYPERLINK("https://dpmzos25m8ivg.cloudfront.net/Documentos/631/47730747871/6314773074787111092023131022.pdf","https://dpmzos25m8ivg.cloudfront.net/Documentos/631/47730747871/6314773074787111092023131022.pdf")</f>
        <v>https://dpmzos25m8ivg.cloudfront.net/Documentos/631/47730747871/6314773074787111092023131022.pdf</v>
      </c>
      <c r="G6997" s="5" t="str">
        <f>HYPERLINK("https://dpmzos25m8ivg.cloudfront.net/Documentos/631/47730747871/6314773074787111092023131033.pdf","https://dpmzos25m8ivg.cloudfront.net/Documentos/631/47730747871/6314773074787111092023131033.pdf")</f>
        <v>https://dpmzos25m8ivg.cloudfront.net/Documentos/631/47730747871/6314773074787111092023131033.pdf</v>
      </c>
      <c r="H6997" s="5" t="s">
        <v>15567</v>
      </c>
    </row>
    <row r="6998" spans="1:8" x14ac:dyDescent="0.25">
      <c r="A6998" s="2" t="s">
        <v>7026</v>
      </c>
      <c r="B6998" s="3"/>
      <c r="C6998" s="3"/>
      <c r="D6998" s="3"/>
      <c r="E6998" s="5" t="str">
        <f>HYPERLINK("https://dpmzos25m8ivg.cloudfront.net/Documentos/631/47748555885/6314774855588507092023122802.pdf","https://dpmzos25m8ivg.cloudfront.net/Documentos/631/47748555885/6314774855588507092023122802.pdf")</f>
        <v>https://dpmzos25m8ivg.cloudfront.net/Documentos/631/47748555885/6314774855588507092023122802.pdf</v>
      </c>
      <c r="F6998" s="5" t="str">
        <f>HYPERLINK("https://dpmzos25m8ivg.cloudfront.net/Documentos/631/47748555885/6314774855588507092023123047.pdf","https://dpmzos25m8ivg.cloudfront.net/Documentos/631/47748555885/6314774855588507092023123047.pdf")</f>
        <v>https://dpmzos25m8ivg.cloudfront.net/Documentos/631/47748555885/6314774855588507092023123047.pdf</v>
      </c>
      <c r="G6998" s="5" t="str">
        <f>HYPERLINK("https://dpmzos25m8ivg.cloudfront.net/Documentos/631/47748555885/6314774855588507092023123053.pdf","https://dpmzos25m8ivg.cloudfront.net/Documentos/631/47748555885/6314774855588507092023123053.pdf")</f>
        <v>https://dpmzos25m8ivg.cloudfront.net/Documentos/631/47748555885/6314774855588507092023123053.pdf</v>
      </c>
      <c r="H6998" s="5" t="s">
        <v>15568</v>
      </c>
    </row>
    <row r="6999" spans="1:8" x14ac:dyDescent="0.25">
      <c r="A6999" s="2" t="s">
        <v>7027</v>
      </c>
      <c r="B6999" s="3"/>
      <c r="C6999" s="3"/>
      <c r="D6999" s="3"/>
      <c r="E6999" s="5" t="str">
        <f>HYPERLINK("https://dpmzos25m8ivg.cloudfront.net/Documentos/631/47761007896/6314776100789611092023134641.pdf","https://dpmzos25m8ivg.cloudfront.net/Documentos/631/47761007896/6314776100789611092023134641.pdf")</f>
        <v>https://dpmzos25m8ivg.cloudfront.net/Documentos/631/47761007896/6314776100789611092023134641.pdf</v>
      </c>
      <c r="F6999" s="5" t="str">
        <f>HYPERLINK("https://dpmzos25m8ivg.cloudfront.net/Documentos/631/47761007896/6314776100789611092023134653.pdf","https://dpmzos25m8ivg.cloudfront.net/Documentos/631/47761007896/6314776100789611092023134653.pdf")</f>
        <v>https://dpmzos25m8ivg.cloudfront.net/Documentos/631/47761007896/6314776100789611092023134653.pdf</v>
      </c>
      <c r="G6999" s="5" t="str">
        <f>HYPERLINK("https://dpmzos25m8ivg.cloudfront.net/Documentos/631/47761007896/6314776100789611092023134710.pdf","https://dpmzos25m8ivg.cloudfront.net/Documentos/631/47761007896/6314776100789611092023134710.pdf")</f>
        <v>https://dpmzos25m8ivg.cloudfront.net/Documentos/631/47761007896/6314776100789611092023134710.pdf</v>
      </c>
      <c r="H6999" s="5" t="s">
        <v>15569</v>
      </c>
    </row>
    <row r="7000" spans="1:8" x14ac:dyDescent="0.25">
      <c r="A7000" s="2" t="s">
        <v>7028</v>
      </c>
      <c r="B7000" s="3"/>
      <c r="C7000" s="3"/>
      <c r="D7000" s="3"/>
      <c r="E7000" s="5" t="str">
        <f>HYPERLINK("https://dpmzos25m8ivg.cloudfront.net/Documentos/631/47826959187/6314782695918713092023211354.pdf","https://dpmzos25m8ivg.cloudfront.net/Documentos/631/47826959187/6314782695918713092023211354.pdf")</f>
        <v>https://dpmzos25m8ivg.cloudfront.net/Documentos/631/47826959187/6314782695918713092023211354.pdf</v>
      </c>
      <c r="F7000" s="5" t="str">
        <f>HYPERLINK("https://dpmzos25m8ivg.cloudfront.net/Documentos/631/47826959187/6314782695918713092023211404.pdf","https://dpmzos25m8ivg.cloudfront.net/Documentos/631/47826959187/6314782695918713092023211404.pdf")</f>
        <v>https://dpmzos25m8ivg.cloudfront.net/Documentos/631/47826959187/6314782695918713092023211404.pdf</v>
      </c>
      <c r="G7000" s="5" t="str">
        <f>HYPERLINK("https://dpmzos25m8ivg.cloudfront.net/Documentos/631/47826959187/6314782695918713092023211414.pdf","https://dpmzos25m8ivg.cloudfront.net/Documentos/631/47826959187/6314782695918713092023211414.pdf")</f>
        <v>https://dpmzos25m8ivg.cloudfront.net/Documentos/631/47826959187/6314782695918713092023211414.pdf</v>
      </c>
      <c r="H7000" s="5" t="s">
        <v>15570</v>
      </c>
    </row>
    <row r="7001" spans="1:8" x14ac:dyDescent="0.25">
      <c r="A7001" s="2" t="s">
        <v>7029</v>
      </c>
      <c r="B7001" s="3"/>
      <c r="C7001" s="3"/>
      <c r="D7001" s="3"/>
      <c r="E7001" s="5" t="str">
        <f>HYPERLINK("https://dpmzos25m8ivg.cloudfront.net/Documentos/631/47878857822/6314787885782211092023104808.jpeg","https://dpmzos25m8ivg.cloudfront.net/Documentos/631/47878857822/6314787885782211092023104808.jpeg")</f>
        <v>https://dpmzos25m8ivg.cloudfront.net/Documentos/631/47878857822/6314787885782211092023104808.jpeg</v>
      </c>
      <c r="F7001" s="5" t="str">
        <f>HYPERLINK("https://dpmzos25m8ivg.cloudfront.net/Documentos/631/47878857822/6314787885782211092023104754.jpeg","https://dpmzos25m8ivg.cloudfront.net/Documentos/631/47878857822/6314787885782211092023104754.jpeg")</f>
        <v>https://dpmzos25m8ivg.cloudfront.net/Documentos/631/47878857822/6314787885782211092023104754.jpeg</v>
      </c>
      <c r="G7001" s="5" t="str">
        <f>HYPERLINK("https://dpmzos25m8ivg.cloudfront.net/Documentos/631/47878857822/6314787885782211092023104730.jpeg","https://dpmzos25m8ivg.cloudfront.net/Documentos/631/47878857822/6314787885782211092023104730.jpeg")</f>
        <v>https://dpmzos25m8ivg.cloudfront.net/Documentos/631/47878857822/6314787885782211092023104730.jpeg</v>
      </c>
      <c r="H7001" s="5" t="s">
        <v>15571</v>
      </c>
    </row>
    <row r="7002" spans="1:8" x14ac:dyDescent="0.25">
      <c r="A7002" s="2" t="s">
        <v>7030</v>
      </c>
      <c r="B7002" s="3"/>
      <c r="C7002" s="3"/>
      <c r="D7002" s="3"/>
      <c r="E7002" s="5" t="str">
        <f>HYPERLINK("https://dpmzos25m8ivg.cloudfront.net/Documentos/631/47926022896/6314792602289611092023111528.pdf","https://dpmzos25m8ivg.cloudfront.net/Documentos/631/47926022896/6314792602289611092023111528.pdf")</f>
        <v>https://dpmzos25m8ivg.cloudfront.net/Documentos/631/47926022896/6314792602289611092023111528.pdf</v>
      </c>
      <c r="F7002" s="5" t="str">
        <f>HYPERLINK("https://dpmzos25m8ivg.cloudfront.net/Documentos/631/47926022896/6314792602289611092023111546.pdf","https://dpmzos25m8ivg.cloudfront.net/Documentos/631/47926022896/6314792602289611092023111546.pdf")</f>
        <v>https://dpmzos25m8ivg.cloudfront.net/Documentos/631/47926022896/6314792602289611092023111546.pdf</v>
      </c>
      <c r="G7002" s="5" t="str">
        <f>HYPERLINK("https://dpmzos25m8ivg.cloudfront.net/Documentos/631/47926022896/6314792602289611092023111559.pdf","https://dpmzos25m8ivg.cloudfront.net/Documentos/631/47926022896/6314792602289611092023111559.pdf")</f>
        <v>https://dpmzos25m8ivg.cloudfront.net/Documentos/631/47926022896/6314792602289611092023111559.pdf</v>
      </c>
      <c r="H7002" s="5" t="s">
        <v>15572</v>
      </c>
    </row>
    <row r="7003" spans="1:8" x14ac:dyDescent="0.25">
      <c r="A7003" s="2" t="s">
        <v>7031</v>
      </c>
      <c r="B7003" s="3" t="s">
        <v>90</v>
      </c>
      <c r="C7003" s="3"/>
      <c r="D7003" s="3"/>
      <c r="E7003" s="5" t="str">
        <f>HYPERLINK("https://dpmzos25m8ivg.cloudfront.net/Documentos/631/47995657889/6314799565788905092023122415.jpg","https://dpmzos25m8ivg.cloudfront.net/Documentos/631/47995657889/6314799565788905092023122415.jpg")</f>
        <v>https://dpmzos25m8ivg.cloudfront.net/Documentos/631/47995657889/6314799565788905092023122415.jpg</v>
      </c>
      <c r="F7003" s="5" t="str">
        <f>HYPERLINK("https://dpmzos25m8ivg.cloudfront.net/Documentos/631/47995657889/6314799565788905092023122437.jpg","https://dpmzos25m8ivg.cloudfront.net/Documentos/631/47995657889/6314799565788905092023122437.jpg")</f>
        <v>https://dpmzos25m8ivg.cloudfront.net/Documentos/631/47995657889/6314799565788905092023122437.jpg</v>
      </c>
      <c r="G7003" s="5" t="str">
        <f>HYPERLINK("https://dpmzos25m8ivg.cloudfront.net/Documentos/631/47995657889/6314799565788905092023122455.jpg","https://dpmzos25m8ivg.cloudfront.net/Documentos/631/47995657889/6314799565788905092023122455.jpg")</f>
        <v>https://dpmzos25m8ivg.cloudfront.net/Documentos/631/47995657889/6314799565788905092023122455.jpg</v>
      </c>
      <c r="H7003" s="5" t="s">
        <v>15573</v>
      </c>
    </row>
    <row r="7004" spans="1:8" x14ac:dyDescent="0.25">
      <c r="A7004" s="2" t="s">
        <v>7032</v>
      </c>
      <c r="B7004" s="3"/>
      <c r="C7004" s="3"/>
      <c r="D7004" s="3"/>
      <c r="E7004" s="5" t="str">
        <f>HYPERLINK("https://dpmzos25m8ivg.cloudfront.net/Documentos/631/47998034840/6314799803484008092023174501.pdf","https://dpmzos25m8ivg.cloudfront.net/Documentos/631/47998034840/6314799803484008092023174501.pdf")</f>
        <v>https://dpmzos25m8ivg.cloudfront.net/Documentos/631/47998034840/6314799803484008092023174501.pdf</v>
      </c>
      <c r="F7004" s="5" t="str">
        <f>HYPERLINK("https://dpmzos25m8ivg.cloudfront.net/Documentos/631/47998034840/6314799803484008092023174509.pdf","https://dpmzos25m8ivg.cloudfront.net/Documentos/631/47998034840/6314799803484008092023174509.pdf")</f>
        <v>https://dpmzos25m8ivg.cloudfront.net/Documentos/631/47998034840/6314799803484008092023174509.pdf</v>
      </c>
      <c r="G7004" s="5" t="str">
        <f>HYPERLINK("https://dpmzos25m8ivg.cloudfront.net/Documentos/631/47998034840/6314799803484008092023174518.pdf","https://dpmzos25m8ivg.cloudfront.net/Documentos/631/47998034840/6314799803484008092023174518.pdf")</f>
        <v>https://dpmzos25m8ivg.cloudfront.net/Documentos/631/47998034840/6314799803484008092023174518.pdf</v>
      </c>
      <c r="H7004" s="5" t="s">
        <v>15574</v>
      </c>
    </row>
    <row r="7005" spans="1:8" x14ac:dyDescent="0.25">
      <c r="A7005" s="2" t="s">
        <v>7033</v>
      </c>
      <c r="B7005" s="3"/>
      <c r="C7005" s="3"/>
      <c r="D7005" s="3"/>
      <c r="E7005" s="5" t="str">
        <f>HYPERLINK("https://dpmzos25m8ivg.cloudfront.net/Documentos/631/48006538867/6314800653886711092023155429.pdf","https://dpmzos25m8ivg.cloudfront.net/Documentos/631/48006538867/6314800653886711092023155429.pdf")</f>
        <v>https://dpmzos25m8ivg.cloudfront.net/Documentos/631/48006538867/6314800653886711092023155429.pdf</v>
      </c>
      <c r="F7005" s="5" t="str">
        <f>HYPERLINK("https://dpmzos25m8ivg.cloudfront.net/Documentos/631/48006538867/6314800653886711092023155446.pdf","https://dpmzos25m8ivg.cloudfront.net/Documentos/631/48006538867/6314800653886711092023155446.pdf")</f>
        <v>https://dpmzos25m8ivg.cloudfront.net/Documentos/631/48006538867/6314800653886711092023155446.pdf</v>
      </c>
      <c r="G7005" s="5" t="str">
        <f>HYPERLINK("https://dpmzos25m8ivg.cloudfront.net/Documentos/631/48006538867/6314800653886711092023155457.pdf","https://dpmzos25m8ivg.cloudfront.net/Documentos/631/48006538867/6314800653886711092023155457.pdf")</f>
        <v>https://dpmzos25m8ivg.cloudfront.net/Documentos/631/48006538867/6314800653886711092023155457.pdf</v>
      </c>
      <c r="H7005" s="5" t="s">
        <v>15575</v>
      </c>
    </row>
    <row r="7006" spans="1:8" x14ac:dyDescent="0.25">
      <c r="A7006" s="2" t="s">
        <v>7034</v>
      </c>
      <c r="B7006" s="3"/>
      <c r="C7006" s="3"/>
      <c r="D7006" s="3"/>
      <c r="E7006" s="5" t="str">
        <f>HYPERLINK("https://dpmzos25m8ivg.cloudfront.net/Documentos/631/48053288863/6314805328886308092023101553.pdf","https://dpmzos25m8ivg.cloudfront.net/Documentos/631/48053288863/6314805328886308092023101553.pdf")</f>
        <v>https://dpmzos25m8ivg.cloudfront.net/Documentos/631/48053288863/6314805328886308092023101553.pdf</v>
      </c>
      <c r="F7006" s="5" t="str">
        <f>HYPERLINK("https://dpmzos25m8ivg.cloudfront.net/Documentos/631/48053288863/6314805328886308092023101605.pdf","https://dpmzos25m8ivg.cloudfront.net/Documentos/631/48053288863/6314805328886308092023101605.pdf")</f>
        <v>https://dpmzos25m8ivg.cloudfront.net/Documentos/631/48053288863/6314805328886308092023101605.pdf</v>
      </c>
      <c r="G7006" s="5" t="str">
        <f>HYPERLINK("https://dpmzos25m8ivg.cloudfront.net/Documentos/631/48053288863/6314805328886308092023101614.pdf","https://dpmzos25m8ivg.cloudfront.net/Documentos/631/48053288863/6314805328886308092023101614.pdf")</f>
        <v>https://dpmzos25m8ivg.cloudfront.net/Documentos/631/48053288863/6314805328886308092023101614.pdf</v>
      </c>
      <c r="H7006" s="5" t="s">
        <v>15576</v>
      </c>
    </row>
    <row r="7007" spans="1:8" x14ac:dyDescent="0.25">
      <c r="A7007" s="2" t="s">
        <v>7035</v>
      </c>
      <c r="B7007" s="3"/>
      <c r="C7007" s="3"/>
      <c r="D7007" s="3"/>
      <c r="E7007" s="5" t="str">
        <f>HYPERLINK("https://dpmzos25m8ivg.cloudfront.net/Documentos/631/48053966870/6314805396687010092023013021.pdf","https://dpmzos25m8ivg.cloudfront.net/Documentos/631/48053966870/6314805396687010092023013021.pdf")</f>
        <v>https://dpmzos25m8ivg.cloudfront.net/Documentos/631/48053966870/6314805396687010092023013021.pdf</v>
      </c>
      <c r="F7007" s="5" t="str">
        <f>HYPERLINK("https://dpmzos25m8ivg.cloudfront.net/Documentos/631/48053966870/6314805396687010092023013031.pdf","https://dpmzos25m8ivg.cloudfront.net/Documentos/631/48053966870/6314805396687010092023013031.pdf")</f>
        <v>https://dpmzos25m8ivg.cloudfront.net/Documentos/631/48053966870/6314805396687010092023013031.pdf</v>
      </c>
      <c r="G7007" s="5" t="str">
        <f>HYPERLINK("https://dpmzos25m8ivg.cloudfront.net/Documentos/631/48053966870/6314805396687010092023013041.pdf","https://dpmzos25m8ivg.cloudfront.net/Documentos/631/48053966870/6314805396687010092023013041.pdf")</f>
        <v>https://dpmzos25m8ivg.cloudfront.net/Documentos/631/48053966870/6314805396687010092023013041.pdf</v>
      </c>
      <c r="H7007" s="5" t="s">
        <v>15577</v>
      </c>
    </row>
    <row r="7008" spans="1:8" x14ac:dyDescent="0.25">
      <c r="A7008" s="2" t="s">
        <v>7036</v>
      </c>
      <c r="B7008" s="3" t="s">
        <v>90</v>
      </c>
      <c r="C7008" s="3"/>
      <c r="D7008" s="3"/>
      <c r="E7008" s="5" t="str">
        <f>HYPERLINK("https://dpmzos25m8ivg.cloudfront.net/Documentos/631/48075642856/6314807564285610092023114000.pdf","https://dpmzos25m8ivg.cloudfront.net/Documentos/631/48075642856/6314807564285610092023114000.pdf")</f>
        <v>https://dpmzos25m8ivg.cloudfront.net/Documentos/631/48075642856/6314807564285610092023114000.pdf</v>
      </c>
      <c r="F7008" s="5" t="str">
        <f>HYPERLINK("https://dpmzos25m8ivg.cloudfront.net/Documentos/631/48075642856/6314807564285610092023114013.pdf","https://dpmzos25m8ivg.cloudfront.net/Documentos/631/48075642856/6314807564285610092023114013.pdf")</f>
        <v>https://dpmzos25m8ivg.cloudfront.net/Documentos/631/48075642856/6314807564285610092023114013.pdf</v>
      </c>
      <c r="G7008" s="5" t="str">
        <f>HYPERLINK("https://dpmzos25m8ivg.cloudfront.net/Documentos/631/48075642856/6314807564285610092023114035.pdf","https://dpmzos25m8ivg.cloudfront.net/Documentos/631/48075642856/6314807564285610092023114035.pdf")</f>
        <v>https://dpmzos25m8ivg.cloudfront.net/Documentos/631/48075642856/6314807564285610092023114035.pdf</v>
      </c>
      <c r="H7008" s="5" t="s">
        <v>15578</v>
      </c>
    </row>
    <row r="7009" spans="1:8" x14ac:dyDescent="0.25">
      <c r="A7009" s="2" t="s">
        <v>7037</v>
      </c>
      <c r="B7009" s="3" t="s">
        <v>90</v>
      </c>
      <c r="C7009" s="3"/>
      <c r="D7009" s="3"/>
      <c r="E7009" s="5" t="str">
        <f>HYPERLINK("https://dpmzos25m8ivg.cloudfront.net/Documentos/631/48077267491/6314807726749111092023162445.jpeg","https://dpmzos25m8ivg.cloudfront.net/Documentos/631/48077267491/6314807726749111092023162445.jpeg")</f>
        <v>https://dpmzos25m8ivg.cloudfront.net/Documentos/631/48077267491/6314807726749111092023162445.jpeg</v>
      </c>
      <c r="F7009" s="5" t="str">
        <f>HYPERLINK("https://dpmzos25m8ivg.cloudfront.net/Documentos/631/48077267491/6314807726749111092023162507.jpeg","https://dpmzos25m8ivg.cloudfront.net/Documentos/631/48077267491/6314807726749111092023162507.jpeg")</f>
        <v>https://dpmzos25m8ivg.cloudfront.net/Documentos/631/48077267491/6314807726749111092023162507.jpeg</v>
      </c>
      <c r="G7009" s="5" t="str">
        <f>HYPERLINK("https://dpmzos25m8ivg.cloudfront.net/Documentos/631/48077267491/6314807726749111092023162520.jpeg","https://dpmzos25m8ivg.cloudfront.net/Documentos/631/48077267491/6314807726749111092023162520.jpeg")</f>
        <v>https://dpmzos25m8ivg.cloudfront.net/Documentos/631/48077267491/6314807726749111092023162520.jpeg</v>
      </c>
      <c r="H7009" s="5" t="s">
        <v>15579</v>
      </c>
    </row>
    <row r="7010" spans="1:8" x14ac:dyDescent="0.25">
      <c r="A7010" s="2" t="s">
        <v>7038</v>
      </c>
      <c r="B7010" s="3"/>
      <c r="C7010" s="3"/>
      <c r="D7010" s="3"/>
      <c r="E7010" s="5" t="str">
        <f>HYPERLINK("https://dpmzos25m8ivg.cloudfront.net/Documentos/631/48096593803/6314809659380311092023163420.pdf","https://dpmzos25m8ivg.cloudfront.net/Documentos/631/48096593803/6314809659380311092023163420.pdf")</f>
        <v>https://dpmzos25m8ivg.cloudfront.net/Documentos/631/48096593803/6314809659380311092023163420.pdf</v>
      </c>
      <c r="F7010" s="5" t="str">
        <f>HYPERLINK("https://dpmzos25m8ivg.cloudfront.net/Documentos/631/48096593803/6314809659380311092023163431.pdf","https://dpmzos25m8ivg.cloudfront.net/Documentos/631/48096593803/6314809659380311092023163431.pdf")</f>
        <v>https://dpmzos25m8ivg.cloudfront.net/Documentos/631/48096593803/6314809659380311092023163431.pdf</v>
      </c>
      <c r="G7010" s="5" t="str">
        <f>HYPERLINK("https://dpmzos25m8ivg.cloudfront.net/Documentos/631/48096593803/6314809659380311092023163448.pdf","https://dpmzos25m8ivg.cloudfront.net/Documentos/631/48096593803/6314809659380311092023163448.pdf")</f>
        <v>https://dpmzos25m8ivg.cloudfront.net/Documentos/631/48096593803/6314809659380311092023163448.pdf</v>
      </c>
      <c r="H7010" s="5" t="s">
        <v>15580</v>
      </c>
    </row>
    <row r="7011" spans="1:8" x14ac:dyDescent="0.25">
      <c r="A7011" s="2" t="s">
        <v>7039</v>
      </c>
      <c r="B7011" s="3"/>
      <c r="C7011" s="3"/>
      <c r="D7011" s="3"/>
      <c r="E7011" s="5" t="str">
        <f>HYPERLINK("https://dpmzos25m8ivg.cloudfront.net/Documentos/631/48138199822/6314813819982211092023141015.pdf","https://dpmzos25m8ivg.cloudfront.net/Documentos/631/48138199822/6314813819982211092023141015.pdf")</f>
        <v>https://dpmzos25m8ivg.cloudfront.net/Documentos/631/48138199822/6314813819982211092023141015.pdf</v>
      </c>
      <c r="F7011" s="5" t="str">
        <f>HYPERLINK("https://dpmzos25m8ivg.cloudfront.net/Documentos/631/48138199822/6314813819982211092023141058.pdf","https://dpmzos25m8ivg.cloudfront.net/Documentos/631/48138199822/6314813819982211092023141058.pdf")</f>
        <v>https://dpmzos25m8ivg.cloudfront.net/Documentos/631/48138199822/6314813819982211092023141058.pdf</v>
      </c>
      <c r="G7011" s="5" t="str">
        <f>HYPERLINK("https://dpmzos25m8ivg.cloudfront.net/Documentos/631/48138199822/6314813819982211092023141148.pdf","https://dpmzos25m8ivg.cloudfront.net/Documentos/631/48138199822/6314813819982211092023141148.pdf")</f>
        <v>https://dpmzos25m8ivg.cloudfront.net/Documentos/631/48138199822/6314813819982211092023141148.pdf</v>
      </c>
      <c r="H7011" s="5" t="s">
        <v>15581</v>
      </c>
    </row>
    <row r="7012" spans="1:8" x14ac:dyDescent="0.25">
      <c r="A7012" s="2" t="s">
        <v>7040</v>
      </c>
      <c r="B7012" s="3"/>
      <c r="C7012" s="3"/>
      <c r="D7012" s="3"/>
      <c r="E7012" s="5" t="str">
        <f>HYPERLINK("https://dpmzos25m8ivg.cloudfront.net/Documentos/631/48216704534/6314821670453406092023191524.pdf","https://dpmzos25m8ivg.cloudfront.net/Documentos/631/48216704534/6314821670453406092023191524.pdf")</f>
        <v>https://dpmzos25m8ivg.cloudfront.net/Documentos/631/48216704534/6314821670453406092023191524.pdf</v>
      </c>
      <c r="F7012" s="5" t="str">
        <f>HYPERLINK("https://dpmzos25m8ivg.cloudfront.net/Documentos/631/48216704534/6314821670453406092023191557.pdf","https://dpmzos25m8ivg.cloudfront.net/Documentos/631/48216704534/6314821670453406092023191557.pdf")</f>
        <v>https://dpmzos25m8ivg.cloudfront.net/Documentos/631/48216704534/6314821670453406092023191557.pdf</v>
      </c>
      <c r="G7012" s="5" t="str">
        <f>HYPERLINK("https://dpmzos25m8ivg.cloudfront.net/Documentos/631/48216704534/6314821670453406092023191609.pdf","https://dpmzos25m8ivg.cloudfront.net/Documentos/631/48216704534/6314821670453406092023191609.pdf")</f>
        <v>https://dpmzos25m8ivg.cloudfront.net/Documentos/631/48216704534/6314821670453406092023191609.pdf</v>
      </c>
      <c r="H7012" s="5" t="s">
        <v>15582</v>
      </c>
    </row>
    <row r="7013" spans="1:8" x14ac:dyDescent="0.25">
      <c r="A7013" s="2" t="s">
        <v>7041</v>
      </c>
      <c r="B7013" s="3"/>
      <c r="C7013" s="3"/>
      <c r="D7013" s="3"/>
      <c r="E7013" s="5" t="str">
        <f>HYPERLINK("https://dpmzos25m8ivg.cloudfront.net/Documentos/631/48315665863/6314831566586311092023130125.jpeg","https://dpmzos25m8ivg.cloudfront.net/Documentos/631/48315665863/6314831566586311092023130125.jpeg")</f>
        <v>https://dpmzos25m8ivg.cloudfront.net/Documentos/631/48315665863/6314831566586311092023130125.jpeg</v>
      </c>
      <c r="F7013" s="5" t="str">
        <f>HYPERLINK("https://dpmzos25m8ivg.cloudfront.net/Documentos/631/48315665863/6314831566586311092023130210.jpeg","https://dpmzos25m8ivg.cloudfront.net/Documentos/631/48315665863/6314831566586311092023130210.jpeg")</f>
        <v>https://dpmzos25m8ivg.cloudfront.net/Documentos/631/48315665863/6314831566586311092023130210.jpeg</v>
      </c>
      <c r="G7013" s="5" t="str">
        <f>HYPERLINK("https://dpmzos25m8ivg.cloudfront.net/Documentos/631/48315665863/6314831566586311092023130316.jpeg","https://dpmzos25m8ivg.cloudfront.net/Documentos/631/48315665863/6314831566586311092023130316.jpeg")</f>
        <v>https://dpmzos25m8ivg.cloudfront.net/Documentos/631/48315665863/6314831566586311092023130316.jpeg</v>
      </c>
      <c r="H7013" s="5" t="s">
        <v>15583</v>
      </c>
    </row>
    <row r="7014" spans="1:8" x14ac:dyDescent="0.25">
      <c r="A7014" s="2" t="s">
        <v>7042</v>
      </c>
      <c r="B7014" s="3"/>
      <c r="C7014" s="3"/>
      <c r="D7014" s="3"/>
      <c r="E7014" s="5" t="str">
        <f>HYPERLINK("https://dpmzos25m8ivg.cloudfront.net/Documentos/631/48363476889/6314836347688907092023113543.jpeg","https://dpmzos25m8ivg.cloudfront.net/Documentos/631/48363476889/6314836347688907092023113543.jpeg")</f>
        <v>https://dpmzos25m8ivg.cloudfront.net/Documentos/631/48363476889/6314836347688907092023113543.jpeg</v>
      </c>
      <c r="F7014" s="5" t="str">
        <f>HYPERLINK("https://dpmzos25m8ivg.cloudfront.net/Documentos/631/48363476889/6314836347688907092023113557.jpeg","https://dpmzos25m8ivg.cloudfront.net/Documentos/631/48363476889/6314836347688907092023113557.jpeg")</f>
        <v>https://dpmzos25m8ivg.cloudfront.net/Documentos/631/48363476889/6314836347688907092023113557.jpeg</v>
      </c>
      <c r="G7014" s="5" t="str">
        <f>HYPERLINK("https://dpmzos25m8ivg.cloudfront.net/Documentos/631/48363476889/6314836347688907092023114210.jpeg","https://dpmzos25m8ivg.cloudfront.net/Documentos/631/48363476889/6314836347688907092023114210.jpeg")</f>
        <v>https://dpmzos25m8ivg.cloudfront.net/Documentos/631/48363476889/6314836347688907092023114210.jpeg</v>
      </c>
      <c r="H7014" s="5" t="s">
        <v>15584</v>
      </c>
    </row>
    <row r="7015" spans="1:8" x14ac:dyDescent="0.25">
      <c r="A7015" s="2" t="s">
        <v>7043</v>
      </c>
      <c r="B7015" s="3"/>
      <c r="C7015" s="3"/>
      <c r="D7015" s="3"/>
      <c r="E7015" s="5" t="str">
        <f>HYPERLINK("https://dpmzos25m8ivg.cloudfront.net/Documentos/631/48378032884/6314837803288407092023145236.pdf","https://dpmzos25m8ivg.cloudfront.net/Documentos/631/48378032884/6314837803288407092023145236.pdf")</f>
        <v>https://dpmzos25m8ivg.cloudfront.net/Documentos/631/48378032884/6314837803288407092023145236.pdf</v>
      </c>
      <c r="F7015" s="5" t="str">
        <f>HYPERLINK("https://dpmzos25m8ivg.cloudfront.net/Documentos/631/48378032884/6314837803288407092023145259.pdf","https://dpmzos25m8ivg.cloudfront.net/Documentos/631/48378032884/6314837803288407092023145259.pdf")</f>
        <v>https://dpmzos25m8ivg.cloudfront.net/Documentos/631/48378032884/6314837803288407092023145259.pdf</v>
      </c>
      <c r="G7015" s="5" t="str">
        <f>HYPERLINK("https://dpmzos25m8ivg.cloudfront.net/Documentos/631/48378032884/6314837803288407092023145311.pdf","https://dpmzos25m8ivg.cloudfront.net/Documentos/631/48378032884/6314837803288407092023145311.pdf")</f>
        <v>https://dpmzos25m8ivg.cloudfront.net/Documentos/631/48378032884/6314837803288407092023145311.pdf</v>
      </c>
      <c r="H7015" s="5" t="s">
        <v>15585</v>
      </c>
    </row>
    <row r="7016" spans="1:8" x14ac:dyDescent="0.25">
      <c r="A7016" s="2" t="s">
        <v>7044</v>
      </c>
      <c r="B7016" s="3"/>
      <c r="C7016" s="3"/>
      <c r="D7016" s="3"/>
      <c r="E7016" s="5" t="str">
        <f>HYPERLINK("https://dpmzos25m8ivg.cloudfront.net/Documentos/631/48414236804/6314841423680406092023185441.pdf","https://dpmzos25m8ivg.cloudfront.net/Documentos/631/48414236804/6314841423680406092023185441.pdf")</f>
        <v>https://dpmzos25m8ivg.cloudfront.net/Documentos/631/48414236804/6314841423680406092023185441.pdf</v>
      </c>
      <c r="F7016" s="5" t="str">
        <f>HYPERLINK("https://dpmzos25m8ivg.cloudfront.net/Documentos/631/48414236804/6314841423680406092023185511.pdf","https://dpmzos25m8ivg.cloudfront.net/Documentos/631/48414236804/6314841423680406092023185511.pdf")</f>
        <v>https://dpmzos25m8ivg.cloudfront.net/Documentos/631/48414236804/6314841423680406092023185511.pdf</v>
      </c>
      <c r="G7016" s="5" t="str">
        <f>HYPERLINK("https://dpmzos25m8ivg.cloudfront.net/Documentos/631/48414236804/6314841423680406092023183648.pdf","https://dpmzos25m8ivg.cloudfront.net/Documentos/631/48414236804/6314841423680406092023183648.pdf")</f>
        <v>https://dpmzos25m8ivg.cloudfront.net/Documentos/631/48414236804/6314841423680406092023183648.pdf</v>
      </c>
      <c r="H7016" s="5" t="s">
        <v>15586</v>
      </c>
    </row>
    <row r="7017" spans="1:8" x14ac:dyDescent="0.25">
      <c r="A7017" s="2" t="s">
        <v>7045</v>
      </c>
      <c r="B7017" s="3"/>
      <c r="C7017" s="3"/>
      <c r="D7017" s="3"/>
      <c r="E7017" s="5" t="str">
        <f>HYPERLINK("https://dpmzos25m8ivg.cloudfront.net/Documentos/631/48417355855/6314841735585507092023170625.jpg","https://dpmzos25m8ivg.cloudfront.net/Documentos/631/48417355855/6314841735585507092023170625.jpg")</f>
        <v>https://dpmzos25m8ivg.cloudfront.net/Documentos/631/48417355855/6314841735585507092023170625.jpg</v>
      </c>
      <c r="F7017" s="5" t="str">
        <f>HYPERLINK("https://dpmzos25m8ivg.cloudfront.net/Documentos/631/48417355855/6314841735585507092023171004.jpg","https://dpmzos25m8ivg.cloudfront.net/Documentos/631/48417355855/6314841735585507092023171004.jpg")</f>
        <v>https://dpmzos25m8ivg.cloudfront.net/Documentos/631/48417355855/6314841735585507092023171004.jpg</v>
      </c>
      <c r="G7017" s="5" t="str">
        <f>HYPERLINK("https://dpmzos25m8ivg.cloudfront.net/Documentos/631/48417355855/6314841735585507092023171149.jpg","https://dpmzos25m8ivg.cloudfront.net/Documentos/631/48417355855/6314841735585507092023171149.jpg")</f>
        <v>https://dpmzos25m8ivg.cloudfront.net/Documentos/631/48417355855/6314841735585507092023171149.jpg</v>
      </c>
      <c r="H7017" s="5" t="s">
        <v>15587</v>
      </c>
    </row>
    <row r="7018" spans="1:8" x14ac:dyDescent="0.25">
      <c r="A7018" s="2" t="s">
        <v>7046</v>
      </c>
      <c r="B7018" s="3"/>
      <c r="C7018" s="3"/>
      <c r="D7018" s="3"/>
      <c r="E7018" s="5" t="str">
        <f>HYPERLINK("https://dpmzos25m8ivg.cloudfront.net/Documentos/631/48428521867/6314842852186711092023152011.pdf","https://dpmzos25m8ivg.cloudfront.net/Documentos/631/48428521867/6314842852186711092023152011.pdf")</f>
        <v>https://dpmzos25m8ivg.cloudfront.net/Documentos/631/48428521867/6314842852186711092023152011.pdf</v>
      </c>
      <c r="F7018" s="5" t="str">
        <f>HYPERLINK("https://dpmzos25m8ivg.cloudfront.net/Documentos/631/48428521867/6314842852186711092023152022.pdf","https://dpmzos25m8ivg.cloudfront.net/Documentos/631/48428521867/6314842852186711092023152022.pdf")</f>
        <v>https://dpmzos25m8ivg.cloudfront.net/Documentos/631/48428521867/6314842852186711092023152022.pdf</v>
      </c>
      <c r="G7018" s="5" t="str">
        <f>HYPERLINK("https://dpmzos25m8ivg.cloudfront.net/Documentos/631/48428521867/6314842852186711092023152034.pdf","https://dpmzos25m8ivg.cloudfront.net/Documentos/631/48428521867/6314842852186711092023152034.pdf")</f>
        <v>https://dpmzos25m8ivg.cloudfront.net/Documentos/631/48428521867/6314842852186711092023152034.pdf</v>
      </c>
      <c r="H7018" s="5" t="s">
        <v>15588</v>
      </c>
    </row>
    <row r="7019" spans="1:8" x14ac:dyDescent="0.25">
      <c r="A7019" s="2" t="s">
        <v>7047</v>
      </c>
      <c r="B7019" s="3"/>
      <c r="C7019" s="3"/>
      <c r="D7019" s="3"/>
      <c r="E7019" s="5" t="str">
        <f>HYPERLINK("https://dpmzos25m8ivg.cloudfront.net/Documentos/631/48431537884/6314843153788411092023131809.pdf","https://dpmzos25m8ivg.cloudfront.net/Documentos/631/48431537884/6314843153788411092023131809.pdf")</f>
        <v>https://dpmzos25m8ivg.cloudfront.net/Documentos/631/48431537884/6314843153788411092023131809.pdf</v>
      </c>
      <c r="F7019" s="5" t="str">
        <f>HYPERLINK("https://dpmzos25m8ivg.cloudfront.net/Documentos/631/48431537884/6314843153788411092023132119.pdf","https://dpmzos25m8ivg.cloudfront.net/Documentos/631/48431537884/6314843153788411092023132119.pdf")</f>
        <v>https://dpmzos25m8ivg.cloudfront.net/Documentos/631/48431537884/6314843153788411092023132119.pdf</v>
      </c>
      <c r="G7019" s="5" t="str">
        <f>HYPERLINK("https://dpmzos25m8ivg.cloudfront.net/Documentos/631/48431537884/6314843153788411092023132426.pdf","https://dpmzos25m8ivg.cloudfront.net/Documentos/631/48431537884/6314843153788411092023132426.pdf")</f>
        <v>https://dpmzos25m8ivg.cloudfront.net/Documentos/631/48431537884/6314843153788411092023132426.pdf</v>
      </c>
      <c r="H7019" s="5" t="s">
        <v>15589</v>
      </c>
    </row>
    <row r="7020" spans="1:8" x14ac:dyDescent="0.25">
      <c r="A7020" s="2" t="s">
        <v>7048</v>
      </c>
      <c r="B7020" s="3"/>
      <c r="C7020" s="3"/>
      <c r="D7020" s="3"/>
      <c r="E7020" s="5" t="str">
        <f>HYPERLINK("https://dpmzos25m8ivg.cloudfront.net/Documentos/631/48443885840/6314844388584011092023150254.jpg","https://dpmzos25m8ivg.cloudfront.net/Documentos/631/48443885840/6314844388584011092023150254.jpg")</f>
        <v>https://dpmzos25m8ivg.cloudfront.net/Documentos/631/48443885840/6314844388584011092023150254.jpg</v>
      </c>
      <c r="F7020" s="5" t="str">
        <f>HYPERLINK("https://dpmzos25m8ivg.cloudfront.net/Documentos/631/48443885840/6314844388584011092023150330.jpg","https://dpmzos25m8ivg.cloudfront.net/Documentos/631/48443885840/6314844388584011092023150330.jpg")</f>
        <v>https://dpmzos25m8ivg.cloudfront.net/Documentos/631/48443885840/6314844388584011092023150330.jpg</v>
      </c>
      <c r="G7020" s="5" t="str">
        <f>HYPERLINK("https://dpmzos25m8ivg.cloudfront.net/Documentos/631/48443885840/6314844388584011092023150448.jpg","https://dpmzos25m8ivg.cloudfront.net/Documentos/631/48443885840/6314844388584011092023150448.jpg")</f>
        <v>https://dpmzos25m8ivg.cloudfront.net/Documentos/631/48443885840/6314844388584011092023150448.jpg</v>
      </c>
      <c r="H7020" s="5" t="s">
        <v>15590</v>
      </c>
    </row>
    <row r="7021" spans="1:8" x14ac:dyDescent="0.25">
      <c r="A7021" s="2" t="s">
        <v>7049</v>
      </c>
      <c r="B7021" s="3"/>
      <c r="C7021" s="3"/>
      <c r="D7021" s="3"/>
      <c r="E7021" s="5" t="str">
        <f>HYPERLINK("https://dpmzos25m8ivg.cloudfront.net/Documentos/631/48456583804/6314845658380411092023140707.jpeg","https://dpmzos25m8ivg.cloudfront.net/Documentos/631/48456583804/6314845658380411092023140707.jpeg")</f>
        <v>https://dpmzos25m8ivg.cloudfront.net/Documentos/631/48456583804/6314845658380411092023140707.jpeg</v>
      </c>
      <c r="F7021" s="5" t="str">
        <f>HYPERLINK("https://dpmzos25m8ivg.cloudfront.net/Documentos/631/48456583804/6314845658380411092023140721.jpeg","https://dpmzos25m8ivg.cloudfront.net/Documentos/631/48456583804/6314845658380411092023140721.jpeg")</f>
        <v>https://dpmzos25m8ivg.cloudfront.net/Documentos/631/48456583804/6314845658380411092023140721.jpeg</v>
      </c>
      <c r="G7021" s="5" t="str">
        <f>HYPERLINK("https://dpmzos25m8ivg.cloudfront.net/Documentos/631/48456583804/6314845658380411092023140731.jpeg","https://dpmzos25m8ivg.cloudfront.net/Documentos/631/48456583804/6314845658380411092023140731.jpeg")</f>
        <v>https://dpmzos25m8ivg.cloudfront.net/Documentos/631/48456583804/6314845658380411092023140731.jpeg</v>
      </c>
      <c r="H7021" s="5" t="s">
        <v>15591</v>
      </c>
    </row>
    <row r="7022" spans="1:8" x14ac:dyDescent="0.25">
      <c r="A7022" s="2" t="s">
        <v>7050</v>
      </c>
      <c r="B7022" s="3"/>
      <c r="C7022" s="3"/>
      <c r="D7022" s="3"/>
      <c r="E7022" s="5" t="str">
        <f>HYPERLINK("https://dpmzos25m8ivg.cloudfront.net/Documentos/631/48457122886/6314845712288606092023151228.jpeg","https://dpmzos25m8ivg.cloudfront.net/Documentos/631/48457122886/6314845712288606092023151228.jpeg")</f>
        <v>https://dpmzos25m8ivg.cloudfront.net/Documentos/631/48457122886/6314845712288606092023151228.jpeg</v>
      </c>
      <c r="F7022" s="5" t="str">
        <f>HYPERLINK("https://dpmzos25m8ivg.cloudfront.net/Documentos/631/48457122886/6314845712288606092023151247.jpeg","https://dpmzos25m8ivg.cloudfront.net/Documentos/631/48457122886/6314845712288606092023151247.jpeg")</f>
        <v>https://dpmzos25m8ivg.cloudfront.net/Documentos/631/48457122886/6314845712288606092023151247.jpeg</v>
      </c>
      <c r="G7022" s="5" t="str">
        <f>HYPERLINK("https://dpmzos25m8ivg.cloudfront.net/Documentos/631/48457122886/6314845712288606092023151257.jpeg","https://dpmzos25m8ivg.cloudfront.net/Documentos/631/48457122886/6314845712288606092023151257.jpeg")</f>
        <v>https://dpmzos25m8ivg.cloudfront.net/Documentos/631/48457122886/6314845712288606092023151257.jpeg</v>
      </c>
      <c r="H7022" s="5" t="s">
        <v>15592</v>
      </c>
    </row>
    <row r="7023" spans="1:8" x14ac:dyDescent="0.25">
      <c r="A7023" s="2" t="s">
        <v>7051</v>
      </c>
      <c r="B7023" s="3"/>
      <c r="C7023" s="3"/>
      <c r="D7023" s="3"/>
      <c r="E7023" s="5" t="str">
        <f>HYPERLINK("https://dpmzos25m8ivg.cloudfront.net/Documentos/631/48522747890/6314852274789011092023151221.pdf","https://dpmzos25m8ivg.cloudfront.net/Documentos/631/48522747890/6314852274789011092023151221.pdf")</f>
        <v>https://dpmzos25m8ivg.cloudfront.net/Documentos/631/48522747890/6314852274789011092023151221.pdf</v>
      </c>
      <c r="F7023" s="5" t="str">
        <f>HYPERLINK("https://dpmzos25m8ivg.cloudfront.net/Documentos/631/48522747890/6314852274789011092023151231.pdf","https://dpmzos25m8ivg.cloudfront.net/Documentos/631/48522747890/6314852274789011092023151231.pdf")</f>
        <v>https://dpmzos25m8ivg.cloudfront.net/Documentos/631/48522747890/6314852274789011092023151231.pdf</v>
      </c>
      <c r="G7023" s="5" t="str">
        <f>HYPERLINK("https://dpmzos25m8ivg.cloudfront.net/Documentos/631/48522747890/6314852274789011092023151245.pdf","https://dpmzos25m8ivg.cloudfront.net/Documentos/631/48522747890/6314852274789011092023151245.pdf")</f>
        <v>https://dpmzos25m8ivg.cloudfront.net/Documentos/631/48522747890/6314852274789011092023151245.pdf</v>
      </c>
      <c r="H7023" s="5" t="s">
        <v>15593</v>
      </c>
    </row>
    <row r="7024" spans="1:8" x14ac:dyDescent="0.25">
      <c r="A7024" s="2" t="s">
        <v>7052</v>
      </c>
      <c r="B7024" s="3" t="s">
        <v>6946</v>
      </c>
      <c r="C7024" s="3"/>
      <c r="D7024" s="3"/>
      <c r="E7024" s="5" t="str">
        <f>HYPERLINK("https://dpmzos25m8ivg.cloudfront.net/Documentos/631/48522767220/6314852276722011092023153041.pdf","https://dpmzos25m8ivg.cloudfront.net/Documentos/631/48522767220/6314852276722011092023153041.pdf")</f>
        <v>https://dpmzos25m8ivg.cloudfront.net/Documentos/631/48522767220/6314852276722011092023153041.pdf</v>
      </c>
      <c r="F7024" s="5" t="str">
        <f>HYPERLINK("https://dpmzos25m8ivg.cloudfront.net/Documentos/631/48522767220/6314852276722011092023153053.pdf","https://dpmzos25m8ivg.cloudfront.net/Documentos/631/48522767220/6314852276722011092023153053.pdf")</f>
        <v>https://dpmzos25m8ivg.cloudfront.net/Documentos/631/48522767220/6314852276722011092023153053.pdf</v>
      </c>
      <c r="G7024" s="5" t="str">
        <f>HYPERLINK("https://dpmzos25m8ivg.cloudfront.net/Documentos/631/48522767220/6314852276722011092023153105.pdf","https://dpmzos25m8ivg.cloudfront.net/Documentos/631/48522767220/6314852276722011092023153105.pdf")</f>
        <v>https://dpmzos25m8ivg.cloudfront.net/Documentos/631/48522767220/6314852276722011092023153105.pdf</v>
      </c>
      <c r="H7024" s="5" t="s">
        <v>15594</v>
      </c>
    </row>
    <row r="7025" spans="1:8" x14ac:dyDescent="0.25">
      <c r="A7025" s="2" t="s">
        <v>7053</v>
      </c>
      <c r="B7025" s="3"/>
      <c r="C7025" s="3"/>
      <c r="D7025" s="3"/>
      <c r="E7025" s="5" t="str">
        <f>HYPERLINK("https://dpmzos25m8ivg.cloudfront.net/Documentos/631/48553526836/6314855352683611092023102853.pdf","https://dpmzos25m8ivg.cloudfront.net/Documentos/631/48553526836/6314855352683611092023102853.pdf")</f>
        <v>https://dpmzos25m8ivg.cloudfront.net/Documentos/631/48553526836/6314855352683611092023102853.pdf</v>
      </c>
      <c r="F7025" s="5" t="str">
        <f>HYPERLINK("https://dpmzos25m8ivg.cloudfront.net/Documentos/631/48553526836/6314855352683611092023102910.pdf","https://dpmzos25m8ivg.cloudfront.net/Documentos/631/48553526836/6314855352683611092023102910.pdf")</f>
        <v>https://dpmzos25m8ivg.cloudfront.net/Documentos/631/48553526836/6314855352683611092023102910.pdf</v>
      </c>
      <c r="G7025" s="5" t="str">
        <f>HYPERLINK("https://dpmzos25m8ivg.cloudfront.net/Documentos/631/48553526836/6314855352683611092023102929.pdf","https://dpmzos25m8ivg.cloudfront.net/Documentos/631/48553526836/6314855352683611092023102929.pdf")</f>
        <v>https://dpmzos25m8ivg.cloudfront.net/Documentos/631/48553526836/6314855352683611092023102929.pdf</v>
      </c>
      <c r="H7025" s="5" t="s">
        <v>15595</v>
      </c>
    </row>
    <row r="7026" spans="1:8" x14ac:dyDescent="0.25">
      <c r="A7026" s="2" t="s">
        <v>7054</v>
      </c>
      <c r="B7026" s="3"/>
      <c r="C7026" s="3"/>
      <c r="D7026" s="3"/>
      <c r="E7026" s="5" t="str">
        <f>HYPERLINK("https://dpmzos25m8ivg.cloudfront.net/Documentos/631/48565035883/6314856503588311092023111817.pdf","https://dpmzos25m8ivg.cloudfront.net/Documentos/631/48565035883/6314856503588311092023111817.pdf")</f>
        <v>https://dpmzos25m8ivg.cloudfront.net/Documentos/631/48565035883/6314856503588311092023111817.pdf</v>
      </c>
      <c r="F7026" s="5" t="str">
        <f>HYPERLINK("https://dpmzos25m8ivg.cloudfront.net/Documentos/631/48565035883/6314856503588311092023111910.pdf","https://dpmzos25m8ivg.cloudfront.net/Documentos/631/48565035883/6314856503588311092023111910.pdf")</f>
        <v>https://dpmzos25m8ivg.cloudfront.net/Documentos/631/48565035883/6314856503588311092023111910.pdf</v>
      </c>
      <c r="G7026" s="5" t="str">
        <f>HYPERLINK("https://dpmzos25m8ivg.cloudfront.net/Documentos/631/48565035883/6314856503588311092023111939.pdf","https://dpmzos25m8ivg.cloudfront.net/Documentos/631/48565035883/6314856503588311092023111939.pdf")</f>
        <v>https://dpmzos25m8ivg.cloudfront.net/Documentos/631/48565035883/6314856503588311092023111939.pdf</v>
      </c>
      <c r="H7026" s="5" t="s">
        <v>15596</v>
      </c>
    </row>
    <row r="7027" spans="1:8" x14ac:dyDescent="0.25">
      <c r="A7027" s="2" t="s">
        <v>7055</v>
      </c>
      <c r="B7027" s="3"/>
      <c r="C7027" s="3"/>
      <c r="D7027" s="3"/>
      <c r="E7027" s="5" t="str">
        <f>HYPERLINK("https://dpmzos25m8ivg.cloudfront.net/Documentos/631/48587492829/6314858749282911092023111551.pdf","https://dpmzos25m8ivg.cloudfront.net/Documentos/631/48587492829/6314858749282911092023111551.pdf")</f>
        <v>https://dpmzos25m8ivg.cloudfront.net/Documentos/631/48587492829/6314858749282911092023111551.pdf</v>
      </c>
      <c r="F7027" s="5" t="str">
        <f>HYPERLINK("https://dpmzos25m8ivg.cloudfront.net/Documentos/631/48587492829/6314858749282911092023111612.pdf","https://dpmzos25m8ivg.cloudfront.net/Documentos/631/48587492829/6314858749282911092023111612.pdf")</f>
        <v>https://dpmzos25m8ivg.cloudfront.net/Documentos/631/48587492829/6314858749282911092023111612.pdf</v>
      </c>
      <c r="G7027" s="5" t="str">
        <f>HYPERLINK("https://dpmzos25m8ivg.cloudfront.net/Documentos/631/48587492829/6314858749282911092023111623.pdf","https://dpmzos25m8ivg.cloudfront.net/Documentos/631/48587492829/6314858749282911092023111623.pdf")</f>
        <v>https://dpmzos25m8ivg.cloudfront.net/Documentos/631/48587492829/6314858749282911092023111623.pdf</v>
      </c>
      <c r="H7027" s="5" t="s">
        <v>15597</v>
      </c>
    </row>
    <row r="7028" spans="1:8" x14ac:dyDescent="0.25">
      <c r="A7028" s="2" t="s">
        <v>7056</v>
      </c>
      <c r="B7028" s="3"/>
      <c r="C7028" s="3"/>
      <c r="D7028" s="3"/>
      <c r="E7028" s="5" t="str">
        <f>HYPERLINK("https://dpmzos25m8ivg.cloudfront.net/Documentos/631/48624510805/6314862451080507092023134016.jpg","https://dpmzos25m8ivg.cloudfront.net/Documentos/631/48624510805/6314862451080507092023134016.jpg")</f>
        <v>https://dpmzos25m8ivg.cloudfront.net/Documentos/631/48624510805/6314862451080507092023134016.jpg</v>
      </c>
      <c r="F7028" s="5" t="str">
        <f>HYPERLINK("https://dpmzos25m8ivg.cloudfront.net/Documentos/631/48624510805/6314862451080507092023134032.jpg","https://dpmzos25m8ivg.cloudfront.net/Documentos/631/48624510805/6314862451080507092023134032.jpg")</f>
        <v>https://dpmzos25m8ivg.cloudfront.net/Documentos/631/48624510805/6314862451080507092023134032.jpg</v>
      </c>
      <c r="G7028" s="5" t="str">
        <f>HYPERLINK("https://dpmzos25m8ivg.cloudfront.net/Documentos/631/48624510805/6314862451080507092023134040.jpg","https://dpmzos25m8ivg.cloudfront.net/Documentos/631/48624510805/6314862451080507092023134040.jpg")</f>
        <v>https://dpmzos25m8ivg.cloudfront.net/Documentos/631/48624510805/6314862451080507092023134040.jpg</v>
      </c>
      <c r="H7028" s="5" t="s">
        <v>15598</v>
      </c>
    </row>
    <row r="7029" spans="1:8" x14ac:dyDescent="0.25">
      <c r="A7029" s="2" t="s">
        <v>7057</v>
      </c>
      <c r="B7029" s="3"/>
      <c r="C7029" s="3"/>
      <c r="D7029" s="3"/>
      <c r="E7029" s="5" t="str">
        <f>HYPERLINK("https://dpmzos25m8ivg.cloudfront.net/Documentos/631/48630796804/6314863079680413092023133411.jpeg","https://dpmzos25m8ivg.cloudfront.net/Documentos/631/48630796804/6314863079680413092023133411.jpeg")</f>
        <v>https://dpmzos25m8ivg.cloudfront.net/Documentos/631/48630796804/6314863079680413092023133411.jpeg</v>
      </c>
      <c r="F7029" s="5" t="str">
        <f>HYPERLINK("https://dpmzos25m8ivg.cloudfront.net/Documentos/631/48630796804/6314863079680413092023133422.jpeg","https://dpmzos25m8ivg.cloudfront.net/Documentos/631/48630796804/6314863079680413092023133422.jpeg")</f>
        <v>https://dpmzos25m8ivg.cloudfront.net/Documentos/631/48630796804/6314863079680413092023133422.jpeg</v>
      </c>
      <c r="G7029" s="5" t="str">
        <f>HYPERLINK("https://dpmzos25m8ivg.cloudfront.net/Documentos/631/48630796804/6314863079680413092023133429.jpeg","https://dpmzos25m8ivg.cloudfront.net/Documentos/631/48630796804/6314863079680413092023133429.jpeg")</f>
        <v>https://dpmzos25m8ivg.cloudfront.net/Documentos/631/48630796804/6314863079680413092023133429.jpeg</v>
      </c>
      <c r="H7029" s="5" t="s">
        <v>15599</v>
      </c>
    </row>
    <row r="7030" spans="1:8" x14ac:dyDescent="0.25">
      <c r="A7030" s="2" t="s">
        <v>7058</v>
      </c>
      <c r="B7030" s="3"/>
      <c r="C7030" s="3"/>
      <c r="D7030" s="3"/>
      <c r="E7030" s="5" t="str">
        <f>HYPERLINK("https://dpmzos25m8ivg.cloudfront.net/Documentos/631/48639360871/6314863936087111092023135753.pdf","https://dpmzos25m8ivg.cloudfront.net/Documentos/631/48639360871/6314863936087111092023135753.pdf")</f>
        <v>https://dpmzos25m8ivg.cloudfront.net/Documentos/631/48639360871/6314863936087111092023135753.pdf</v>
      </c>
      <c r="F7030" s="5" t="str">
        <f>HYPERLINK("https://dpmzos25m8ivg.cloudfront.net/Documentos/631/48639360871/6314863936087111092023135818.pdf","https://dpmzos25m8ivg.cloudfront.net/Documentos/631/48639360871/6314863936087111092023135818.pdf")</f>
        <v>https://dpmzos25m8ivg.cloudfront.net/Documentos/631/48639360871/6314863936087111092023135818.pdf</v>
      </c>
      <c r="G7030" s="5" t="str">
        <f>HYPERLINK("https://dpmzos25m8ivg.cloudfront.net/Documentos/631/48639360871/6314863936087111092023135841.pdf","https://dpmzos25m8ivg.cloudfront.net/Documentos/631/48639360871/6314863936087111092023135841.pdf")</f>
        <v>https://dpmzos25m8ivg.cloudfront.net/Documentos/631/48639360871/6314863936087111092023135841.pdf</v>
      </c>
      <c r="H7030" s="5" t="s">
        <v>15600</v>
      </c>
    </row>
    <row r="7031" spans="1:8" x14ac:dyDescent="0.25">
      <c r="A7031" s="2" t="s">
        <v>7059</v>
      </c>
      <c r="B7031" s="3"/>
      <c r="C7031" s="3"/>
      <c r="D7031" s="3"/>
      <c r="E7031" s="5" t="str">
        <f>HYPERLINK("https://dpmzos25m8ivg.cloudfront.net/Documentos/631/48664497800/6314866449780011092023101116.pdf","https://dpmzos25m8ivg.cloudfront.net/Documentos/631/48664497800/6314866449780011092023101116.pdf")</f>
        <v>https://dpmzos25m8ivg.cloudfront.net/Documentos/631/48664497800/6314866449780011092023101116.pdf</v>
      </c>
      <c r="F7031" s="5" t="str">
        <f>HYPERLINK("https://dpmzos25m8ivg.cloudfront.net/Documentos/631/48664497800/6314866449780011092023101127.pdf","https://dpmzos25m8ivg.cloudfront.net/Documentos/631/48664497800/6314866449780011092023101127.pdf")</f>
        <v>https://dpmzos25m8ivg.cloudfront.net/Documentos/631/48664497800/6314866449780011092023101127.pdf</v>
      </c>
      <c r="G7031" s="5" t="str">
        <f>HYPERLINK("https://dpmzos25m8ivg.cloudfront.net/Documentos/631/48664497800/6314866449780011092023101138.pdf","https://dpmzos25m8ivg.cloudfront.net/Documentos/631/48664497800/6314866449780011092023101138.pdf")</f>
        <v>https://dpmzos25m8ivg.cloudfront.net/Documentos/631/48664497800/6314866449780011092023101138.pdf</v>
      </c>
      <c r="H7031" s="5" t="s">
        <v>15601</v>
      </c>
    </row>
    <row r="7032" spans="1:8" x14ac:dyDescent="0.25">
      <c r="A7032" s="2" t="s">
        <v>7060</v>
      </c>
      <c r="B7032" s="3"/>
      <c r="C7032" s="3"/>
      <c r="D7032" s="3"/>
      <c r="E7032" s="5" t="str">
        <f>HYPERLINK("https://dpmzos25m8ivg.cloudfront.net/Documentos/631/48664930899/6314866493089907092023202847.pdf","https://dpmzos25m8ivg.cloudfront.net/Documentos/631/48664930899/6314866493089907092023202847.pdf")</f>
        <v>https://dpmzos25m8ivg.cloudfront.net/Documentos/631/48664930899/6314866493089907092023202847.pdf</v>
      </c>
      <c r="F7032" s="5" t="str">
        <f>HYPERLINK("https://dpmzos25m8ivg.cloudfront.net/Documentos/631/48664930899/6314866493089907092023202909.pdf","https://dpmzos25m8ivg.cloudfront.net/Documentos/631/48664930899/6314866493089907092023202909.pdf")</f>
        <v>https://dpmzos25m8ivg.cloudfront.net/Documentos/631/48664930899/6314866493089907092023202909.pdf</v>
      </c>
      <c r="G7032" s="5" t="str">
        <f>HYPERLINK("https://dpmzos25m8ivg.cloudfront.net/Documentos/631/48664930899/6314866493089907092023202930.pdf","https://dpmzos25m8ivg.cloudfront.net/Documentos/631/48664930899/6314866493089907092023202930.pdf")</f>
        <v>https://dpmzos25m8ivg.cloudfront.net/Documentos/631/48664930899/6314866493089907092023202930.pdf</v>
      </c>
      <c r="H7032" s="5" t="s">
        <v>15602</v>
      </c>
    </row>
    <row r="7033" spans="1:8" x14ac:dyDescent="0.25">
      <c r="A7033" s="2" t="s">
        <v>7061</v>
      </c>
      <c r="B7033" s="3"/>
      <c r="C7033" s="3"/>
      <c r="D7033" s="3"/>
      <c r="E7033" s="5" t="str">
        <f>HYPERLINK("https://dpmzos25m8ivg.cloudfront.net/Documentos/631/48675580100/6314867558010005092023162816.pdf","https://dpmzos25m8ivg.cloudfront.net/Documentos/631/48675580100/6314867558010005092023162816.pdf")</f>
        <v>https://dpmzos25m8ivg.cloudfront.net/Documentos/631/48675580100/6314867558010005092023162816.pdf</v>
      </c>
      <c r="F7033" s="5" t="str">
        <f>HYPERLINK("https://dpmzos25m8ivg.cloudfront.net/Documentos/631/48675580100/6314867558010005092023162846.pdf","https://dpmzos25m8ivg.cloudfront.net/Documentos/631/48675580100/6314867558010005092023162846.pdf")</f>
        <v>https://dpmzos25m8ivg.cloudfront.net/Documentos/631/48675580100/6314867558010005092023162846.pdf</v>
      </c>
      <c r="G7033" s="5" t="str">
        <f>HYPERLINK("https://dpmzos25m8ivg.cloudfront.net/Documentos/631/48675580100/6314867558010005092023162858.pdf","https://dpmzos25m8ivg.cloudfront.net/Documentos/631/48675580100/6314867558010005092023162858.pdf")</f>
        <v>https://dpmzos25m8ivg.cloudfront.net/Documentos/631/48675580100/6314867558010005092023162858.pdf</v>
      </c>
      <c r="H7033" s="5" t="s">
        <v>15603</v>
      </c>
    </row>
    <row r="7034" spans="1:8" x14ac:dyDescent="0.25">
      <c r="A7034" s="2" t="s">
        <v>7062</v>
      </c>
      <c r="B7034" s="3"/>
      <c r="C7034" s="3"/>
      <c r="D7034" s="3"/>
      <c r="E7034" s="5" t="str">
        <f>HYPERLINK("https://dpmzos25m8ivg.cloudfront.net/Documentos/631/48696330862/6314869633086213092023124855.pdf","https://dpmzos25m8ivg.cloudfront.net/Documentos/631/48696330862/6314869633086213092023124855.pdf")</f>
        <v>https://dpmzos25m8ivg.cloudfront.net/Documentos/631/48696330862/6314869633086213092023124855.pdf</v>
      </c>
      <c r="F7034" s="5" t="str">
        <f>HYPERLINK("https://dpmzos25m8ivg.cloudfront.net/Documentos/631/48696330862/6314869633086213092023124902.pdf","https://dpmzos25m8ivg.cloudfront.net/Documentos/631/48696330862/6314869633086213092023124902.pdf")</f>
        <v>https://dpmzos25m8ivg.cloudfront.net/Documentos/631/48696330862/6314869633086213092023124902.pdf</v>
      </c>
      <c r="G7034" s="5" t="str">
        <f>HYPERLINK("https://dpmzos25m8ivg.cloudfront.net/Documentos/631/48696330862/6314869633086213092023124907.pdf","https://dpmzos25m8ivg.cloudfront.net/Documentos/631/48696330862/6314869633086213092023124907.pdf")</f>
        <v>https://dpmzos25m8ivg.cloudfront.net/Documentos/631/48696330862/6314869633086213092023124907.pdf</v>
      </c>
      <c r="H7034" s="5" t="s">
        <v>15604</v>
      </c>
    </row>
    <row r="7035" spans="1:8" x14ac:dyDescent="0.25">
      <c r="A7035" s="2" t="s">
        <v>7063</v>
      </c>
      <c r="B7035" s="3"/>
      <c r="C7035" s="3"/>
      <c r="D7035" s="3"/>
      <c r="E7035" s="5" t="str">
        <f>HYPERLINK("https://dpmzos25m8ivg.cloudfront.net/Documentos/631/48698497802/6314869849780205092023130216.pdf","https://dpmzos25m8ivg.cloudfront.net/Documentos/631/48698497802/6314869849780205092023130216.pdf")</f>
        <v>https://dpmzos25m8ivg.cloudfront.net/Documentos/631/48698497802/6314869849780205092023130216.pdf</v>
      </c>
      <c r="F7035" s="5" t="str">
        <f>HYPERLINK("https://dpmzos25m8ivg.cloudfront.net/Documentos/631/48698497802/6314869849780205092023130225.pdf","https://dpmzos25m8ivg.cloudfront.net/Documentos/631/48698497802/6314869849780205092023130225.pdf")</f>
        <v>https://dpmzos25m8ivg.cloudfront.net/Documentos/631/48698497802/6314869849780205092023130225.pdf</v>
      </c>
      <c r="G7035" s="5" t="str">
        <f>HYPERLINK("https://dpmzos25m8ivg.cloudfront.net/Documentos/631/48698497802/6314869849780205092023130239.pdf","https://dpmzos25m8ivg.cloudfront.net/Documentos/631/48698497802/6314869849780205092023130239.pdf")</f>
        <v>https://dpmzos25m8ivg.cloudfront.net/Documentos/631/48698497802/6314869849780205092023130239.pdf</v>
      </c>
      <c r="H7035" s="5" t="s">
        <v>15605</v>
      </c>
    </row>
    <row r="7036" spans="1:8" x14ac:dyDescent="0.25">
      <c r="A7036" s="2" t="s">
        <v>7064</v>
      </c>
      <c r="B7036" s="3" t="s">
        <v>23</v>
      </c>
      <c r="C7036" s="3"/>
      <c r="D7036" s="3"/>
      <c r="E7036" s="5" t="str">
        <f>HYPERLINK("https://dpmzos25m8ivg.cloudfront.net/Documentos/631/48698988881/6314869898888111092023143312.pdf","https://dpmzos25m8ivg.cloudfront.net/Documentos/631/48698988881/6314869898888111092023143312.pdf")</f>
        <v>https://dpmzos25m8ivg.cloudfront.net/Documentos/631/48698988881/6314869898888111092023143312.pdf</v>
      </c>
      <c r="F7036" s="5" t="str">
        <f>HYPERLINK("https://dpmzos25m8ivg.cloudfront.net/Documentos/631/48698988881/6314869898888111092023143326.pdf","https://dpmzos25m8ivg.cloudfront.net/Documentos/631/48698988881/6314869898888111092023143326.pdf")</f>
        <v>https://dpmzos25m8ivg.cloudfront.net/Documentos/631/48698988881/6314869898888111092023143326.pdf</v>
      </c>
      <c r="G7036" s="5" t="str">
        <f>HYPERLINK("https://dpmzos25m8ivg.cloudfront.net/Documentos/631/48698988881/6314869898888111092023143339.pdf","https://dpmzos25m8ivg.cloudfront.net/Documentos/631/48698988881/6314869898888111092023143339.pdf")</f>
        <v>https://dpmzos25m8ivg.cloudfront.net/Documentos/631/48698988881/6314869898888111092023143339.pdf</v>
      </c>
      <c r="H7036" s="5" t="s">
        <v>15606</v>
      </c>
    </row>
    <row r="7037" spans="1:8" x14ac:dyDescent="0.25">
      <c r="A7037" s="2" t="s">
        <v>7065</v>
      </c>
      <c r="B7037" s="3"/>
      <c r="C7037" s="3"/>
      <c r="D7037" s="3"/>
      <c r="E7037" s="5" t="str">
        <f>HYPERLINK("https://dpmzos25m8ivg.cloudfront.net/Documentos/631/48737852272/6314873785227211092023103719.pdf","https://dpmzos25m8ivg.cloudfront.net/Documentos/631/48737852272/6314873785227211092023103719.pdf")</f>
        <v>https://dpmzos25m8ivg.cloudfront.net/Documentos/631/48737852272/6314873785227211092023103719.pdf</v>
      </c>
      <c r="F7037" s="5" t="str">
        <f>HYPERLINK("https://dpmzos25m8ivg.cloudfront.net/Documentos/631/48737852272/6314873785227211092023103741.pdf","https://dpmzos25m8ivg.cloudfront.net/Documentos/631/48737852272/6314873785227211092023103741.pdf")</f>
        <v>https://dpmzos25m8ivg.cloudfront.net/Documentos/631/48737852272/6314873785227211092023103741.pdf</v>
      </c>
      <c r="G7037" s="5" t="str">
        <f>HYPERLINK("https://dpmzos25m8ivg.cloudfront.net/Documentos/631/48737852272/6314873785227211092023103759.pdf","https://dpmzos25m8ivg.cloudfront.net/Documentos/631/48737852272/6314873785227211092023103759.pdf")</f>
        <v>https://dpmzos25m8ivg.cloudfront.net/Documentos/631/48737852272/6314873785227211092023103759.pdf</v>
      </c>
      <c r="H7037" s="5" t="s">
        <v>15607</v>
      </c>
    </row>
    <row r="7038" spans="1:8" x14ac:dyDescent="0.25">
      <c r="A7038" s="2" t="s">
        <v>7066</v>
      </c>
      <c r="B7038" s="3"/>
      <c r="C7038" s="3"/>
      <c r="D7038" s="3"/>
      <c r="E7038" s="5" t="str">
        <f>HYPERLINK("https://dpmzos25m8ivg.cloudfront.net/Documentos/631/48799167816/6314879916781611092023162306.pdf","https://dpmzos25m8ivg.cloudfront.net/Documentos/631/48799167816/6314879916781611092023162306.pdf")</f>
        <v>https://dpmzos25m8ivg.cloudfront.net/Documentos/631/48799167816/6314879916781611092023162306.pdf</v>
      </c>
      <c r="F7038" s="5" t="str">
        <f>HYPERLINK("https://dpmzos25m8ivg.cloudfront.net/Documentos/631/48799167816/6314879916781611092023162319.pdf","https://dpmzos25m8ivg.cloudfront.net/Documentos/631/48799167816/6314879916781611092023162319.pdf")</f>
        <v>https://dpmzos25m8ivg.cloudfront.net/Documentos/631/48799167816/6314879916781611092023162319.pdf</v>
      </c>
      <c r="G7038" s="5" t="str">
        <f>HYPERLINK("https://dpmzos25m8ivg.cloudfront.net/Documentos/631/48799167816/6314879916781611092023162327.pdf","https://dpmzos25m8ivg.cloudfront.net/Documentos/631/48799167816/6314879916781611092023162327.pdf")</f>
        <v>https://dpmzos25m8ivg.cloudfront.net/Documentos/631/48799167816/6314879916781611092023162327.pdf</v>
      </c>
      <c r="H7038" s="5" t="s">
        <v>15608</v>
      </c>
    </row>
    <row r="7039" spans="1:8" x14ac:dyDescent="0.25">
      <c r="A7039" s="2" t="s">
        <v>7067</v>
      </c>
      <c r="B7039" s="3"/>
      <c r="C7039" s="3"/>
      <c r="D7039" s="3"/>
      <c r="E7039" s="5" t="str">
        <f>HYPERLINK("https://dpmzos25m8ivg.cloudfront.net/Documentos/631/48892611844/6314889261184405092023124555.pdf","https://dpmzos25m8ivg.cloudfront.net/Documentos/631/48892611844/6314889261184405092023124555.pdf")</f>
        <v>https://dpmzos25m8ivg.cloudfront.net/Documentos/631/48892611844/6314889261184405092023124555.pdf</v>
      </c>
      <c r="F7039" s="5" t="str">
        <f>HYPERLINK("https://dpmzos25m8ivg.cloudfront.net/Documentos/631/48892611844/6314889261184405092023124603.pdf","https://dpmzos25m8ivg.cloudfront.net/Documentos/631/48892611844/6314889261184405092023124603.pdf")</f>
        <v>https://dpmzos25m8ivg.cloudfront.net/Documentos/631/48892611844/6314889261184405092023124603.pdf</v>
      </c>
      <c r="G7039" s="5" t="str">
        <f>HYPERLINK("https://dpmzos25m8ivg.cloudfront.net/Documentos/631/48892611844/6314889261184405092023124611.pdf","https://dpmzos25m8ivg.cloudfront.net/Documentos/631/48892611844/6314889261184405092023124611.pdf")</f>
        <v>https://dpmzos25m8ivg.cloudfront.net/Documentos/631/48892611844/6314889261184405092023124611.pdf</v>
      </c>
      <c r="H7039" s="5" t="s">
        <v>15609</v>
      </c>
    </row>
    <row r="7040" spans="1:8" x14ac:dyDescent="0.25">
      <c r="A7040" s="2" t="s">
        <v>7068</v>
      </c>
      <c r="B7040" s="3"/>
      <c r="C7040" s="3"/>
      <c r="D7040" s="3"/>
      <c r="E7040" s="5" t="str">
        <f>HYPERLINK("https://dpmzos25m8ivg.cloudfront.net/Documentos/631/48900257153/6314890025715311092023115129.pdf","https://dpmzos25m8ivg.cloudfront.net/Documentos/631/48900257153/6314890025715311092023115129.pdf")</f>
        <v>https://dpmzos25m8ivg.cloudfront.net/Documentos/631/48900257153/6314890025715311092023115129.pdf</v>
      </c>
      <c r="F7040" s="5" t="str">
        <f>HYPERLINK("https://dpmzos25m8ivg.cloudfront.net/Documentos/631/48900257153/6314890025715311092023115148.pdf","https://dpmzos25m8ivg.cloudfront.net/Documentos/631/48900257153/6314890025715311092023115148.pdf")</f>
        <v>https://dpmzos25m8ivg.cloudfront.net/Documentos/631/48900257153/6314890025715311092023115148.pdf</v>
      </c>
      <c r="G7040" s="5" t="str">
        <f>HYPERLINK("https://dpmzos25m8ivg.cloudfront.net/Documentos/631/48900257153/6314890025715311092023115205.pdf","https://dpmzos25m8ivg.cloudfront.net/Documentos/631/48900257153/6314890025715311092023115205.pdf")</f>
        <v>https://dpmzos25m8ivg.cloudfront.net/Documentos/631/48900257153/6314890025715311092023115205.pdf</v>
      </c>
      <c r="H7040" s="5" t="s">
        <v>15610</v>
      </c>
    </row>
    <row r="7041" spans="1:8" x14ac:dyDescent="0.25">
      <c r="A7041" s="2" t="s">
        <v>7069</v>
      </c>
      <c r="B7041" s="3" t="s">
        <v>90</v>
      </c>
      <c r="C7041" s="3"/>
      <c r="D7041" s="3"/>
      <c r="E7041" s="5" t="str">
        <f>HYPERLINK("https://dpmzos25m8ivg.cloudfront.net/Documentos/631/48994258809/6314899425880911092023141614.pdf","https://dpmzos25m8ivg.cloudfront.net/Documentos/631/48994258809/6314899425880911092023141614.pdf")</f>
        <v>https://dpmzos25m8ivg.cloudfront.net/Documentos/631/48994258809/6314899425880911092023141614.pdf</v>
      </c>
      <c r="F7041" s="5" t="str">
        <f>HYPERLINK("https://dpmzos25m8ivg.cloudfront.net/Documentos/631/48994258809/6314899425880911092023161238.pdf","https://dpmzos25m8ivg.cloudfront.net/Documentos/631/48994258809/6314899425880911092023161238.pdf")</f>
        <v>https://dpmzos25m8ivg.cloudfront.net/Documentos/631/48994258809/6314899425880911092023161238.pdf</v>
      </c>
      <c r="G7041" s="5" t="str">
        <f>HYPERLINK("https://dpmzos25m8ivg.cloudfront.net/Documentos/631/48994258809/6314899425880911092023161259.pdf","https://dpmzos25m8ivg.cloudfront.net/Documentos/631/48994258809/6314899425880911092023161259.pdf")</f>
        <v>https://dpmzos25m8ivg.cloudfront.net/Documentos/631/48994258809/6314899425880911092023161259.pdf</v>
      </c>
      <c r="H7041" s="5" t="s">
        <v>15611</v>
      </c>
    </row>
    <row r="7042" spans="1:8" x14ac:dyDescent="0.25">
      <c r="A7042" s="2" t="s">
        <v>7070</v>
      </c>
      <c r="B7042" s="3" t="s">
        <v>90</v>
      </c>
      <c r="C7042" s="3"/>
      <c r="D7042" s="3"/>
      <c r="E7042" s="5" t="str">
        <f>HYPERLINK("https://dpmzos25m8ivg.cloudfront.net/Documentos/631/49000444829/6314900044482911092023163523.pdf","https://dpmzos25m8ivg.cloudfront.net/Documentos/631/49000444829/6314900044482911092023163523.pdf")</f>
        <v>https://dpmzos25m8ivg.cloudfront.net/Documentos/631/49000444829/6314900044482911092023163523.pdf</v>
      </c>
      <c r="F7042" s="5" t="str">
        <f>HYPERLINK("https://dpmzos25m8ivg.cloudfront.net/Documentos/631/49000444829/6314900044482911092023164236.pdf","https://dpmzos25m8ivg.cloudfront.net/Documentos/631/49000444829/6314900044482911092023164236.pdf")</f>
        <v>https://dpmzos25m8ivg.cloudfront.net/Documentos/631/49000444829/6314900044482911092023164236.pdf</v>
      </c>
      <c r="G7042" s="5" t="str">
        <f>HYPERLINK("https://dpmzos25m8ivg.cloudfront.net/Documentos/631/49000444829/6314900044482911092023163811.pdf","https://dpmzos25m8ivg.cloudfront.net/Documentos/631/49000444829/6314900044482911092023163811.pdf")</f>
        <v>https://dpmzos25m8ivg.cloudfront.net/Documentos/631/49000444829/6314900044482911092023163811.pdf</v>
      </c>
      <c r="H7042" s="5" t="s">
        <v>15612</v>
      </c>
    </row>
    <row r="7043" spans="1:8" x14ac:dyDescent="0.25">
      <c r="A7043" s="2" t="s">
        <v>7071</v>
      </c>
      <c r="B7043" s="3" t="s">
        <v>8</v>
      </c>
      <c r="C7043" s="3"/>
      <c r="D7043" s="3"/>
      <c r="E7043" s="5" t="str">
        <f>HYPERLINK("https://dpmzos25m8ivg.cloudfront.net/Documentos/631/49005521864/6314900552186411092023142048.pdf","https://dpmzos25m8ivg.cloudfront.net/Documentos/631/49005521864/6314900552186411092023142048.pdf")</f>
        <v>https://dpmzos25m8ivg.cloudfront.net/Documentos/631/49005521864/6314900552186411092023142048.pdf</v>
      </c>
      <c r="F7043" s="5" t="str">
        <f>HYPERLINK("https://dpmzos25m8ivg.cloudfront.net/Documentos/631/49005521864/6314900552186411092023142120.pdf","https://dpmzos25m8ivg.cloudfront.net/Documentos/631/49005521864/6314900552186411092023142120.pdf")</f>
        <v>https://dpmzos25m8ivg.cloudfront.net/Documentos/631/49005521864/6314900552186411092023142120.pdf</v>
      </c>
      <c r="G7043" s="5" t="str">
        <f>HYPERLINK("https://dpmzos25m8ivg.cloudfront.net/Documentos/631/49005521864/6314900552186411092023142132.pdf","https://dpmzos25m8ivg.cloudfront.net/Documentos/631/49005521864/6314900552186411092023142132.pdf")</f>
        <v>https://dpmzos25m8ivg.cloudfront.net/Documentos/631/49005521864/6314900552186411092023142132.pdf</v>
      </c>
      <c r="H7043" s="5" t="s">
        <v>15613</v>
      </c>
    </row>
    <row r="7044" spans="1:8" x14ac:dyDescent="0.25">
      <c r="A7044" s="2" t="s">
        <v>7072</v>
      </c>
      <c r="B7044" s="3"/>
      <c r="C7044" s="3"/>
      <c r="D7044" s="3"/>
      <c r="E7044" s="5" t="str">
        <f>HYPERLINK("https://dpmzos25m8ivg.cloudfront.net/Documentos/631/49045528819/6314904552881906092023162933.pdf","https://dpmzos25m8ivg.cloudfront.net/Documentos/631/49045528819/6314904552881906092023162933.pdf")</f>
        <v>https://dpmzos25m8ivg.cloudfront.net/Documentos/631/49045528819/6314904552881906092023162933.pdf</v>
      </c>
      <c r="F7044" s="5" t="str">
        <f>HYPERLINK("https://dpmzos25m8ivg.cloudfront.net/Documentos/631/49045528819/6314904552881906092023162945.pdf","https://dpmzos25m8ivg.cloudfront.net/Documentos/631/49045528819/6314904552881906092023162945.pdf")</f>
        <v>https://dpmzos25m8ivg.cloudfront.net/Documentos/631/49045528819/6314904552881906092023162945.pdf</v>
      </c>
      <c r="G7044" s="5" t="str">
        <f>HYPERLINK("https://dpmzos25m8ivg.cloudfront.net/Documentos/631/49045528819/6314904552881906092023163004.pdf","https://dpmzos25m8ivg.cloudfront.net/Documentos/631/49045528819/6314904552881906092023163004.pdf")</f>
        <v>https://dpmzos25m8ivg.cloudfront.net/Documentos/631/49045528819/6314904552881906092023163004.pdf</v>
      </c>
      <c r="H7044" s="5" t="s">
        <v>15614</v>
      </c>
    </row>
    <row r="7045" spans="1:8" x14ac:dyDescent="0.25">
      <c r="A7045" s="2" t="s">
        <v>7073</v>
      </c>
      <c r="B7045" s="3"/>
      <c r="C7045" s="3"/>
      <c r="D7045" s="3"/>
      <c r="E7045" s="5" t="str">
        <f>HYPERLINK("https://dpmzos25m8ivg.cloudfront.net/Documentos/631/49069132885/6314906913288513092023132840.pdf","https://dpmzos25m8ivg.cloudfront.net/Documentos/631/49069132885/6314906913288513092023132840.pdf")</f>
        <v>https://dpmzos25m8ivg.cloudfront.net/Documentos/631/49069132885/6314906913288513092023132840.pdf</v>
      </c>
      <c r="F7045" s="5" t="str">
        <f>HYPERLINK("https://dpmzos25m8ivg.cloudfront.net/Documentos/631/49069132885/6314906913288513092023132933.pdf","https://dpmzos25m8ivg.cloudfront.net/Documentos/631/49069132885/6314906913288513092023132933.pdf")</f>
        <v>https://dpmzos25m8ivg.cloudfront.net/Documentos/631/49069132885/6314906913288513092023132933.pdf</v>
      </c>
      <c r="G7045" s="5" t="str">
        <f>HYPERLINK("https://dpmzos25m8ivg.cloudfront.net/Documentos/631/49069132885/6314906913288513092023132947.pdf","https://dpmzos25m8ivg.cloudfront.net/Documentos/631/49069132885/6314906913288513092023132947.pdf")</f>
        <v>https://dpmzos25m8ivg.cloudfront.net/Documentos/631/49069132885/6314906913288513092023132947.pdf</v>
      </c>
      <c r="H7045" s="5" t="s">
        <v>15615</v>
      </c>
    </row>
    <row r="7046" spans="1:8" x14ac:dyDescent="0.25">
      <c r="A7046" s="2" t="s">
        <v>7074</v>
      </c>
      <c r="B7046" s="3"/>
      <c r="C7046" s="3"/>
      <c r="D7046" s="3"/>
      <c r="E7046" s="5" t="str">
        <f>HYPERLINK("https://dpmzos25m8ivg.cloudfront.net/Documentos/631/49080008915/6314908000891508092023165609.pdf","https://dpmzos25m8ivg.cloudfront.net/Documentos/631/49080008915/6314908000891508092023165609.pdf")</f>
        <v>https://dpmzos25m8ivg.cloudfront.net/Documentos/631/49080008915/6314908000891508092023165609.pdf</v>
      </c>
      <c r="F7046" s="5" t="str">
        <f>HYPERLINK("https://dpmzos25m8ivg.cloudfront.net/Documentos/631/49080008915/6314908000891508092023165626.pdf","https://dpmzos25m8ivg.cloudfront.net/Documentos/631/49080008915/6314908000891508092023165626.pdf")</f>
        <v>https://dpmzos25m8ivg.cloudfront.net/Documentos/631/49080008915/6314908000891508092023165626.pdf</v>
      </c>
      <c r="G7046" s="5" t="str">
        <f>HYPERLINK("https://dpmzos25m8ivg.cloudfront.net/Documentos/631/49080008915/6314908000891508092023165640.pdf","https://dpmzos25m8ivg.cloudfront.net/Documentos/631/49080008915/6314908000891508092023165640.pdf")</f>
        <v>https://dpmzos25m8ivg.cloudfront.net/Documentos/631/49080008915/6314908000891508092023165640.pdf</v>
      </c>
      <c r="H7046" s="5" t="s">
        <v>15616</v>
      </c>
    </row>
    <row r="7047" spans="1:8" x14ac:dyDescent="0.25">
      <c r="A7047" s="2" t="s">
        <v>7075</v>
      </c>
      <c r="B7047" s="3" t="s">
        <v>90</v>
      </c>
      <c r="C7047" s="3"/>
      <c r="D7047" s="3"/>
      <c r="E7047" s="5" t="str">
        <f>HYPERLINK("https://dpmzos25m8ivg.cloudfront.net/Documentos/631/49114573415/6314911457341509092023112414.pdf","https://dpmzos25m8ivg.cloudfront.net/Documentos/631/49114573415/6314911457341509092023112414.pdf")</f>
        <v>https://dpmzos25m8ivg.cloudfront.net/Documentos/631/49114573415/6314911457341509092023112414.pdf</v>
      </c>
      <c r="F7047" s="5" t="str">
        <f>HYPERLINK("https://dpmzos25m8ivg.cloudfront.net/Documentos/631/49114573415/6314911457341509092023112429.pdf","https://dpmzos25m8ivg.cloudfront.net/Documentos/631/49114573415/6314911457341509092023112429.pdf")</f>
        <v>https://dpmzos25m8ivg.cloudfront.net/Documentos/631/49114573415/6314911457341509092023112429.pdf</v>
      </c>
      <c r="G7047" s="5" t="str">
        <f>HYPERLINK("https://dpmzos25m8ivg.cloudfront.net/Documentos/631/49114573415/6314911457341509092023112439.pdf","https://dpmzos25m8ivg.cloudfront.net/Documentos/631/49114573415/6314911457341509092023112439.pdf")</f>
        <v>https://dpmzos25m8ivg.cloudfront.net/Documentos/631/49114573415/6314911457341509092023112439.pdf</v>
      </c>
      <c r="H7047" s="5" t="s">
        <v>15617</v>
      </c>
    </row>
    <row r="7048" spans="1:8" x14ac:dyDescent="0.25">
      <c r="A7048" s="2" t="s">
        <v>7076</v>
      </c>
      <c r="B7048" s="3"/>
      <c r="C7048" s="3"/>
      <c r="D7048" s="3"/>
      <c r="E7048" s="5" t="str">
        <f>HYPERLINK("https://dpmzos25m8ivg.cloudfront.net/Documentos/631/49123110813/6314912311081311092023100046.pdf","https://dpmzos25m8ivg.cloudfront.net/Documentos/631/49123110813/6314912311081311092023100046.pdf")</f>
        <v>https://dpmzos25m8ivg.cloudfront.net/Documentos/631/49123110813/6314912311081311092023100046.pdf</v>
      </c>
      <c r="F7048" s="5" t="str">
        <f>HYPERLINK("https://dpmzos25m8ivg.cloudfront.net/Documentos/631/49123110813/6314912311081311092023100055.pdf","https://dpmzos25m8ivg.cloudfront.net/Documentos/631/49123110813/6314912311081311092023100055.pdf")</f>
        <v>https://dpmzos25m8ivg.cloudfront.net/Documentos/631/49123110813/6314912311081311092023100055.pdf</v>
      </c>
      <c r="G7048" s="5" t="str">
        <f>HYPERLINK("https://dpmzos25m8ivg.cloudfront.net/Documentos/631/49123110813/6314912311081311092023100105.pdf","https://dpmzos25m8ivg.cloudfront.net/Documentos/631/49123110813/6314912311081311092023100105.pdf")</f>
        <v>https://dpmzos25m8ivg.cloudfront.net/Documentos/631/49123110813/6314912311081311092023100105.pdf</v>
      </c>
      <c r="H7048" s="5" t="s">
        <v>15618</v>
      </c>
    </row>
    <row r="7049" spans="1:8" x14ac:dyDescent="0.25">
      <c r="A7049" s="2" t="s">
        <v>7077</v>
      </c>
      <c r="B7049" s="3"/>
      <c r="C7049" s="3"/>
      <c r="D7049" s="3"/>
      <c r="E7049" s="5" t="str">
        <f>HYPERLINK("https://dpmzos25m8ivg.cloudfront.net/Documentos/631/49185536806/6314918553680608092023153729.pdf","https://dpmzos25m8ivg.cloudfront.net/Documentos/631/49185536806/6314918553680608092023153729.pdf")</f>
        <v>https://dpmzos25m8ivg.cloudfront.net/Documentos/631/49185536806/6314918553680608092023153729.pdf</v>
      </c>
      <c r="F7049" s="5" t="str">
        <f>HYPERLINK("https://dpmzos25m8ivg.cloudfront.net/Documentos/631/49185536806/6314918553680608092023153749.pdf","https://dpmzos25m8ivg.cloudfront.net/Documentos/631/49185536806/6314918553680608092023153749.pdf")</f>
        <v>https://dpmzos25m8ivg.cloudfront.net/Documentos/631/49185536806/6314918553680608092023153749.pdf</v>
      </c>
      <c r="G7049" s="5" t="str">
        <f>HYPERLINK("https://dpmzos25m8ivg.cloudfront.net/Documentos/631/49185536806/6314918553680608092023153808.pdf","https://dpmzos25m8ivg.cloudfront.net/Documentos/631/49185536806/6314918553680608092023153808.pdf")</f>
        <v>https://dpmzos25m8ivg.cloudfront.net/Documentos/631/49185536806/6314918553680608092023153808.pdf</v>
      </c>
      <c r="H7049" s="5" t="s">
        <v>15619</v>
      </c>
    </row>
    <row r="7050" spans="1:8" x14ac:dyDescent="0.25">
      <c r="A7050" s="2" t="s">
        <v>7078</v>
      </c>
      <c r="B7050" s="3"/>
      <c r="C7050" s="3"/>
      <c r="D7050" s="3"/>
      <c r="E7050" s="5" t="str">
        <f>HYPERLINK("https://dpmzos25m8ivg.cloudfront.net/Documentos/631/49248795846/6314924879584605092023165638.pdf","https://dpmzos25m8ivg.cloudfront.net/Documentos/631/49248795846/6314924879584605092023165638.pdf")</f>
        <v>https://dpmzos25m8ivg.cloudfront.net/Documentos/631/49248795846/6314924879584605092023165638.pdf</v>
      </c>
      <c r="F7050" s="5" t="str">
        <f>HYPERLINK("https://dpmzos25m8ivg.cloudfront.net/Documentos/631/49248795846/6314924879584605092023165531.pdf","https://dpmzos25m8ivg.cloudfront.net/Documentos/631/49248795846/6314924879584605092023165531.pdf")</f>
        <v>https://dpmzos25m8ivg.cloudfront.net/Documentos/631/49248795846/6314924879584605092023165531.pdf</v>
      </c>
      <c r="G7050" s="5" t="str">
        <f>HYPERLINK("https://dpmzos25m8ivg.cloudfront.net/Documentos/631/49248795846/6314924879584605092023165427.pdf","https://dpmzos25m8ivg.cloudfront.net/Documentos/631/49248795846/6314924879584605092023165427.pdf")</f>
        <v>https://dpmzos25m8ivg.cloudfront.net/Documentos/631/49248795846/6314924879584605092023165427.pdf</v>
      </c>
      <c r="H7050" s="5" t="s">
        <v>15620</v>
      </c>
    </row>
    <row r="7051" spans="1:8" x14ac:dyDescent="0.25">
      <c r="A7051" s="2" t="s">
        <v>7079</v>
      </c>
      <c r="B7051" s="3" t="s">
        <v>8</v>
      </c>
      <c r="C7051" s="3"/>
      <c r="D7051" s="3"/>
      <c r="E7051" s="5" t="str">
        <f>HYPERLINK("https://dpmzos25m8ivg.cloudfront.net/Documentos/631/49326027821/6314932602782109092023162156.jpeg","https://dpmzos25m8ivg.cloudfront.net/Documentos/631/49326027821/6314932602782109092023162156.jpeg")</f>
        <v>https://dpmzos25m8ivg.cloudfront.net/Documentos/631/49326027821/6314932602782109092023162156.jpeg</v>
      </c>
      <c r="F7051" s="5" t="str">
        <f>HYPERLINK("https://dpmzos25m8ivg.cloudfront.net/Documentos/631/49326027821/6314932602782109092023163309.jpeg","https://dpmzos25m8ivg.cloudfront.net/Documentos/631/49326027821/6314932602782109092023163309.jpeg")</f>
        <v>https://dpmzos25m8ivg.cloudfront.net/Documentos/631/49326027821/6314932602782109092023163309.jpeg</v>
      </c>
      <c r="G7051" s="5" t="str">
        <f>HYPERLINK("https://dpmzos25m8ivg.cloudfront.net/Documentos/631/49326027821/6314932602782109092023163413.jpeg","https://dpmzos25m8ivg.cloudfront.net/Documentos/631/49326027821/6314932602782109092023163413.jpeg")</f>
        <v>https://dpmzos25m8ivg.cloudfront.net/Documentos/631/49326027821/6314932602782109092023163413.jpeg</v>
      </c>
      <c r="H7051" s="5" t="s">
        <v>15621</v>
      </c>
    </row>
    <row r="7052" spans="1:8" x14ac:dyDescent="0.25">
      <c r="A7052" s="2" t="s">
        <v>7080</v>
      </c>
      <c r="B7052" s="3"/>
      <c r="C7052" s="3"/>
      <c r="D7052" s="3"/>
      <c r="E7052" s="5" t="str">
        <f>HYPERLINK("https://dpmzos25m8ivg.cloudfront.net/Documentos/631/49332373876/6314933237387605092023150746.pdf","https://dpmzos25m8ivg.cloudfront.net/Documentos/631/49332373876/6314933237387605092023150746.pdf")</f>
        <v>https://dpmzos25m8ivg.cloudfront.net/Documentos/631/49332373876/6314933237387605092023150746.pdf</v>
      </c>
      <c r="F7052" s="5" t="str">
        <f>HYPERLINK("https://dpmzos25m8ivg.cloudfront.net/Documentos/631/49332373876/6314933237387605092023150915.pdf","https://dpmzos25m8ivg.cloudfront.net/Documentos/631/49332373876/6314933237387605092023150915.pdf")</f>
        <v>https://dpmzos25m8ivg.cloudfront.net/Documentos/631/49332373876/6314933237387605092023150915.pdf</v>
      </c>
      <c r="G7052" s="5" t="str">
        <f>HYPERLINK("https://dpmzos25m8ivg.cloudfront.net/Documentos/631/49332373876/6314933237387605092023150926.pdf","https://dpmzos25m8ivg.cloudfront.net/Documentos/631/49332373876/6314933237387605092023150926.pdf")</f>
        <v>https://dpmzos25m8ivg.cloudfront.net/Documentos/631/49332373876/6314933237387605092023150926.pdf</v>
      </c>
      <c r="H7052" s="5" t="s">
        <v>15622</v>
      </c>
    </row>
    <row r="7053" spans="1:8" x14ac:dyDescent="0.25">
      <c r="A7053" s="2" t="s">
        <v>7081</v>
      </c>
      <c r="B7053" s="3" t="s">
        <v>8</v>
      </c>
      <c r="C7053" s="3"/>
      <c r="D7053" s="3"/>
      <c r="E7053" s="5" t="str">
        <f>HYPERLINK("https://dpmzos25m8ivg.cloudfront.net/Documentos/631/49375767809/6314937576780905092023132036.pdf","https://dpmzos25m8ivg.cloudfront.net/Documentos/631/49375767809/6314937576780905092023132036.pdf")</f>
        <v>https://dpmzos25m8ivg.cloudfront.net/Documentos/631/49375767809/6314937576780905092023132036.pdf</v>
      </c>
      <c r="F7053" s="5" t="str">
        <f>HYPERLINK("https://dpmzos25m8ivg.cloudfront.net/Documentos/631/49375767809/6314937576780905092023112257.pdf","https://dpmzos25m8ivg.cloudfront.net/Documentos/631/49375767809/6314937576780905092023112257.pdf")</f>
        <v>https://dpmzos25m8ivg.cloudfront.net/Documentos/631/49375767809/6314937576780905092023112257.pdf</v>
      </c>
      <c r="G7053" s="5" t="str">
        <f>HYPERLINK("https://dpmzos25m8ivg.cloudfront.net/Documentos/631/49375767809/6314937576780905092023112236.pdf","https://dpmzos25m8ivg.cloudfront.net/Documentos/631/49375767809/6314937576780905092023112236.pdf")</f>
        <v>https://dpmzos25m8ivg.cloudfront.net/Documentos/631/49375767809/6314937576780905092023112236.pdf</v>
      </c>
      <c r="H7053" s="5" t="s">
        <v>15623</v>
      </c>
    </row>
    <row r="7054" spans="1:8" x14ac:dyDescent="0.25">
      <c r="A7054" s="2" t="s">
        <v>7082</v>
      </c>
      <c r="B7054" s="3"/>
      <c r="C7054" s="3"/>
      <c r="D7054" s="3"/>
      <c r="E7054" s="5" t="str">
        <f>HYPERLINK("https://dpmzos25m8ivg.cloudfront.net/Documentos/631/49381065829/6314938106582911092023135801.pdf","https://dpmzos25m8ivg.cloudfront.net/Documentos/631/49381065829/6314938106582911092023135801.pdf")</f>
        <v>https://dpmzos25m8ivg.cloudfront.net/Documentos/631/49381065829/6314938106582911092023135801.pdf</v>
      </c>
      <c r="F7054" s="5" t="str">
        <f>HYPERLINK("https://dpmzos25m8ivg.cloudfront.net/Documentos/631/49381065829/6314938106582911092023140552.pdf","https://dpmzos25m8ivg.cloudfront.net/Documentos/631/49381065829/6314938106582911092023140552.pdf")</f>
        <v>https://dpmzos25m8ivg.cloudfront.net/Documentos/631/49381065829/6314938106582911092023140552.pdf</v>
      </c>
      <c r="G7054" s="5" t="str">
        <f>HYPERLINK("https://dpmzos25m8ivg.cloudfront.net/Documentos/631/49381065829/6314938106582911092023141048.jpeg","https://dpmzos25m8ivg.cloudfront.net/Documentos/631/49381065829/6314938106582911092023141048.jpeg")</f>
        <v>https://dpmzos25m8ivg.cloudfront.net/Documentos/631/49381065829/6314938106582911092023141048.jpeg</v>
      </c>
      <c r="H7054" s="5" t="s">
        <v>15624</v>
      </c>
    </row>
    <row r="7055" spans="1:8" x14ac:dyDescent="0.25">
      <c r="A7055" s="2" t="s">
        <v>7083</v>
      </c>
      <c r="B7055" s="3"/>
      <c r="C7055" s="3"/>
      <c r="D7055" s="3"/>
      <c r="E7055" s="5" t="str">
        <f>HYPERLINK("https://dpmzos25m8ivg.cloudfront.net/Documentos/631/49566401884/6314956640188411092023113136.pdf","https://dpmzos25m8ivg.cloudfront.net/Documentos/631/49566401884/6314956640188411092023113136.pdf")</f>
        <v>https://dpmzos25m8ivg.cloudfront.net/Documentos/631/49566401884/6314956640188411092023113136.pdf</v>
      </c>
      <c r="F7055" s="5" t="str">
        <f>HYPERLINK("https://dpmzos25m8ivg.cloudfront.net/Documentos/631/49566401884/6314956640188411092023113148.pdf","https://dpmzos25m8ivg.cloudfront.net/Documentos/631/49566401884/6314956640188411092023113148.pdf")</f>
        <v>https://dpmzos25m8ivg.cloudfront.net/Documentos/631/49566401884/6314956640188411092023113148.pdf</v>
      </c>
      <c r="G7055" s="5" t="str">
        <f>HYPERLINK("https://dpmzos25m8ivg.cloudfront.net/Documentos/631/49566401884/6314956640188411092023113212.pdf","https://dpmzos25m8ivg.cloudfront.net/Documentos/631/49566401884/6314956640188411092023113212.pdf")</f>
        <v>https://dpmzos25m8ivg.cloudfront.net/Documentos/631/49566401884/6314956640188411092023113212.pdf</v>
      </c>
      <c r="H7055" s="5" t="s">
        <v>15625</v>
      </c>
    </row>
    <row r="7056" spans="1:8" x14ac:dyDescent="0.25">
      <c r="A7056" s="2" t="s">
        <v>7084</v>
      </c>
      <c r="B7056" s="3"/>
      <c r="C7056" s="3"/>
      <c r="D7056" s="3"/>
      <c r="E7056" s="5" t="str">
        <f>HYPERLINK("https://dpmzos25m8ivg.cloudfront.net/Documentos/631/49602404825/6314960240482511092023120732.pdf","https://dpmzos25m8ivg.cloudfront.net/Documentos/631/49602404825/6314960240482511092023120732.pdf")</f>
        <v>https://dpmzos25m8ivg.cloudfront.net/Documentos/631/49602404825/6314960240482511092023120732.pdf</v>
      </c>
      <c r="F7056" s="5" t="str">
        <f>HYPERLINK("https://dpmzos25m8ivg.cloudfront.net/Documentos/631/49602404825/6314960240482511092023120746.pdf","https://dpmzos25m8ivg.cloudfront.net/Documentos/631/49602404825/6314960240482511092023120746.pdf")</f>
        <v>https://dpmzos25m8ivg.cloudfront.net/Documentos/631/49602404825/6314960240482511092023120746.pdf</v>
      </c>
      <c r="G7056" s="5" t="str">
        <f>HYPERLINK("https://dpmzos25m8ivg.cloudfront.net/Documentos/631/49602404825/6314960240482511092023120758.pdf","https://dpmzos25m8ivg.cloudfront.net/Documentos/631/49602404825/6314960240482511092023120758.pdf")</f>
        <v>https://dpmzos25m8ivg.cloudfront.net/Documentos/631/49602404825/6314960240482511092023120758.pdf</v>
      </c>
      <c r="H7056" s="5" t="s">
        <v>15626</v>
      </c>
    </row>
    <row r="7057" spans="1:8" x14ac:dyDescent="0.25">
      <c r="A7057" s="2" t="s">
        <v>7085</v>
      </c>
      <c r="B7057" s="3"/>
      <c r="C7057" s="3"/>
      <c r="D7057" s="3"/>
      <c r="E7057" s="5" t="str">
        <f>HYPERLINK("https://dpmzos25m8ivg.cloudfront.net/Documentos/631/49666611880/6314966661188010092023205720.pdf","https://dpmzos25m8ivg.cloudfront.net/Documentos/631/49666611880/6314966661188010092023205720.pdf")</f>
        <v>https://dpmzos25m8ivg.cloudfront.net/Documentos/631/49666611880/6314966661188010092023205720.pdf</v>
      </c>
      <c r="F7057" s="5" t="str">
        <f>HYPERLINK("https://dpmzos25m8ivg.cloudfront.net/Documentos/631/49666611880/6314966661188010092023205733.pdf","https://dpmzos25m8ivg.cloudfront.net/Documentos/631/49666611880/6314966661188010092023205733.pdf")</f>
        <v>https://dpmzos25m8ivg.cloudfront.net/Documentos/631/49666611880/6314966661188010092023205733.pdf</v>
      </c>
      <c r="G7057" s="5" t="str">
        <f>HYPERLINK("https://dpmzos25m8ivg.cloudfront.net/Documentos/631/49666611880/6314966661188010092023205745.pdf","https://dpmzos25m8ivg.cloudfront.net/Documentos/631/49666611880/6314966661188010092023205745.pdf")</f>
        <v>https://dpmzos25m8ivg.cloudfront.net/Documentos/631/49666611880/6314966661188010092023205745.pdf</v>
      </c>
      <c r="H7057" s="5" t="s">
        <v>15627</v>
      </c>
    </row>
    <row r="7058" spans="1:8" x14ac:dyDescent="0.25">
      <c r="A7058" s="2" t="s">
        <v>7086</v>
      </c>
      <c r="B7058" s="3"/>
      <c r="C7058" s="3"/>
      <c r="D7058" s="3"/>
      <c r="E7058" s="5" t="str">
        <f>HYPERLINK("https://dpmzos25m8ivg.cloudfront.net/Documentos/631/49697754861/6314969775486110092023222351.pdf","https://dpmzos25m8ivg.cloudfront.net/Documentos/631/49697754861/6314969775486110092023222351.pdf")</f>
        <v>https://dpmzos25m8ivg.cloudfront.net/Documentos/631/49697754861/6314969775486110092023222351.pdf</v>
      </c>
      <c r="F7058" s="5" t="str">
        <f>HYPERLINK("https://dpmzos25m8ivg.cloudfront.net/Documentos/631/49697754861/6314969775486110092023222400.pdf","https://dpmzos25m8ivg.cloudfront.net/Documentos/631/49697754861/6314969775486110092023222400.pdf")</f>
        <v>https://dpmzos25m8ivg.cloudfront.net/Documentos/631/49697754861/6314969775486110092023222400.pdf</v>
      </c>
      <c r="G7058" s="5" t="str">
        <f>HYPERLINK("https://dpmzos25m8ivg.cloudfront.net/Documentos/631/49697754861/6314969775486110092023222413.pdf","https://dpmzos25m8ivg.cloudfront.net/Documentos/631/49697754861/6314969775486110092023222413.pdf")</f>
        <v>https://dpmzos25m8ivg.cloudfront.net/Documentos/631/49697754861/6314969775486110092023222413.pdf</v>
      </c>
      <c r="H7058" s="5" t="s">
        <v>15628</v>
      </c>
    </row>
    <row r="7059" spans="1:8" x14ac:dyDescent="0.25">
      <c r="A7059" s="2" t="s">
        <v>7087</v>
      </c>
      <c r="B7059" s="3"/>
      <c r="C7059" s="3"/>
      <c r="D7059" s="3"/>
      <c r="E7059" s="5" t="str">
        <f>HYPERLINK("https://dpmzos25m8ivg.cloudfront.net/Documentos/631/49715880860/6314971588086011092023123715.pdf","https://dpmzos25m8ivg.cloudfront.net/Documentos/631/49715880860/6314971588086011092023123715.pdf")</f>
        <v>https://dpmzos25m8ivg.cloudfront.net/Documentos/631/49715880860/6314971588086011092023123715.pdf</v>
      </c>
      <c r="F7059" s="5" t="str">
        <f>HYPERLINK("https://dpmzos25m8ivg.cloudfront.net/Documentos/631/49715880860/6314971588086011092023123724.pdf","https://dpmzos25m8ivg.cloudfront.net/Documentos/631/49715880860/6314971588086011092023123724.pdf")</f>
        <v>https://dpmzos25m8ivg.cloudfront.net/Documentos/631/49715880860/6314971588086011092023123724.pdf</v>
      </c>
      <c r="G7059" s="5" t="str">
        <f>HYPERLINK("https://dpmzos25m8ivg.cloudfront.net/Documentos/631/49715880860/6314971588086011092023123734.pdf","https://dpmzos25m8ivg.cloudfront.net/Documentos/631/49715880860/6314971588086011092023123734.pdf")</f>
        <v>https://dpmzos25m8ivg.cloudfront.net/Documentos/631/49715880860/6314971588086011092023123734.pdf</v>
      </c>
      <c r="H7059" s="5" t="s">
        <v>15629</v>
      </c>
    </row>
    <row r="7060" spans="1:8" x14ac:dyDescent="0.25">
      <c r="A7060" s="2" t="s">
        <v>7088</v>
      </c>
      <c r="B7060" s="3"/>
      <c r="C7060" s="3"/>
      <c r="D7060" s="3"/>
      <c r="E7060" s="5" t="str">
        <f>HYPERLINK("https://dpmzos25m8ivg.cloudfront.net/Documentos/631/49738771153/6314973877115314092023133330.pdf","https://dpmzos25m8ivg.cloudfront.net/Documentos/631/49738771153/6314973877115314092023133330.pdf")</f>
        <v>https://dpmzos25m8ivg.cloudfront.net/Documentos/631/49738771153/6314973877115314092023133330.pdf</v>
      </c>
      <c r="F7060" s="5" t="str">
        <f>HYPERLINK("https://dpmzos25m8ivg.cloudfront.net/Documentos/631/49738771153/6314973877115314092023134118.pdf","https://dpmzos25m8ivg.cloudfront.net/Documentos/631/49738771153/6314973877115314092023134118.pdf")</f>
        <v>https://dpmzos25m8ivg.cloudfront.net/Documentos/631/49738771153/6314973877115314092023134118.pdf</v>
      </c>
      <c r="G7060" s="5" t="str">
        <f>HYPERLINK("https://dpmzos25m8ivg.cloudfront.net/Documentos/631/49738771153/6314973877115314092023134737.pdf","https://dpmzos25m8ivg.cloudfront.net/Documentos/631/49738771153/6314973877115314092023134737.pdf")</f>
        <v>https://dpmzos25m8ivg.cloudfront.net/Documentos/631/49738771153/6314973877115314092023134737.pdf</v>
      </c>
      <c r="H7060" s="5" t="s">
        <v>15630</v>
      </c>
    </row>
    <row r="7061" spans="1:8" x14ac:dyDescent="0.25">
      <c r="A7061" s="2" t="s">
        <v>7089</v>
      </c>
      <c r="B7061" s="3"/>
      <c r="C7061" s="3"/>
      <c r="D7061" s="3"/>
      <c r="E7061" s="5" t="str">
        <f>HYPERLINK("https://dpmzos25m8ivg.cloudfront.net/Documentos/631/49789055838/6314978905583808092023005351.pdf","https://dpmzos25m8ivg.cloudfront.net/Documentos/631/49789055838/6314978905583808092023005351.pdf")</f>
        <v>https://dpmzos25m8ivg.cloudfront.net/Documentos/631/49789055838/6314978905583808092023005351.pdf</v>
      </c>
      <c r="F7061" s="5" t="str">
        <f>HYPERLINK("https://dpmzos25m8ivg.cloudfront.net/Documentos/631/49789055838/6314978905583808092023005424.pdf","https://dpmzos25m8ivg.cloudfront.net/Documentos/631/49789055838/6314978905583808092023005424.pdf")</f>
        <v>https://dpmzos25m8ivg.cloudfront.net/Documentos/631/49789055838/6314978905583808092023005424.pdf</v>
      </c>
      <c r="G7061" s="5" t="str">
        <f>HYPERLINK("https://dpmzos25m8ivg.cloudfront.net/Documentos/631/49789055838/6314978905583808092023005434.pdf","https://dpmzos25m8ivg.cloudfront.net/Documentos/631/49789055838/6314978905583808092023005434.pdf")</f>
        <v>https://dpmzos25m8ivg.cloudfront.net/Documentos/631/49789055838/6314978905583808092023005434.pdf</v>
      </c>
      <c r="H7061" s="5" t="s">
        <v>15631</v>
      </c>
    </row>
    <row r="7062" spans="1:8" x14ac:dyDescent="0.25">
      <c r="A7062" s="2" t="s">
        <v>7090</v>
      </c>
      <c r="B7062" s="3" t="s">
        <v>42</v>
      </c>
      <c r="C7062" s="3"/>
      <c r="D7062" s="3"/>
      <c r="E7062" s="5" t="str">
        <f>HYPERLINK("https://dpmzos25m8ivg.cloudfront.net/Documentos/631/49838504734/6314983850473407092023154726.pdf","https://dpmzos25m8ivg.cloudfront.net/Documentos/631/49838504734/6314983850473407092023154726.pdf")</f>
        <v>https://dpmzos25m8ivg.cloudfront.net/Documentos/631/49838504734/6314983850473407092023154726.pdf</v>
      </c>
      <c r="F7062" s="5" t="str">
        <f>HYPERLINK("https://dpmzos25m8ivg.cloudfront.net/Documentos/631/49838504734/6314983850473407092023155318.pdf","https://dpmzos25m8ivg.cloudfront.net/Documentos/631/49838504734/6314983850473407092023155318.pdf")</f>
        <v>https://dpmzos25m8ivg.cloudfront.net/Documentos/631/49838504734/6314983850473407092023155318.pdf</v>
      </c>
      <c r="G7062" s="5" t="str">
        <f>HYPERLINK("https://dpmzos25m8ivg.cloudfront.net/Documentos/631/49838504734/6314983850473407092023155334.pdf","https://dpmzos25m8ivg.cloudfront.net/Documentos/631/49838504734/6314983850473407092023155334.pdf")</f>
        <v>https://dpmzos25m8ivg.cloudfront.net/Documentos/631/49838504734/6314983850473407092023155334.pdf</v>
      </c>
      <c r="H7062" s="5" t="s">
        <v>15632</v>
      </c>
    </row>
    <row r="7063" spans="1:8" x14ac:dyDescent="0.25">
      <c r="A7063" s="2" t="s">
        <v>7091</v>
      </c>
      <c r="B7063" s="3"/>
      <c r="C7063" s="3"/>
      <c r="D7063" s="3"/>
      <c r="E7063" s="5" t="str">
        <f>HYPERLINK("https://dpmzos25m8ivg.cloudfront.net/Documentos/631/49971435888/6314997143588813092023232119.pdf","https://dpmzos25m8ivg.cloudfront.net/Documentos/631/49971435888/6314997143588813092023232119.pdf")</f>
        <v>https://dpmzos25m8ivg.cloudfront.net/Documentos/631/49971435888/6314997143588813092023232119.pdf</v>
      </c>
      <c r="F7063" s="5" t="str">
        <f>HYPERLINK("https://dpmzos25m8ivg.cloudfront.net/Documentos/631/49971435888/6314997143588813092023232124.pdf","https://dpmzos25m8ivg.cloudfront.net/Documentos/631/49971435888/6314997143588813092023232124.pdf")</f>
        <v>https://dpmzos25m8ivg.cloudfront.net/Documentos/631/49971435888/6314997143588813092023232124.pdf</v>
      </c>
      <c r="G7063" s="5" t="str">
        <f>HYPERLINK("https://dpmzos25m8ivg.cloudfront.net/Documentos/631/49971435888/6314997143588813092023232130.pdf","https://dpmzos25m8ivg.cloudfront.net/Documentos/631/49971435888/6314997143588813092023232130.pdf")</f>
        <v>https://dpmzos25m8ivg.cloudfront.net/Documentos/631/49971435888/6314997143588813092023232130.pdf</v>
      </c>
      <c r="H7063" s="5" t="s">
        <v>15633</v>
      </c>
    </row>
    <row r="7064" spans="1:8" x14ac:dyDescent="0.25">
      <c r="A7064" s="2" t="s">
        <v>7092</v>
      </c>
      <c r="B7064" s="3"/>
      <c r="C7064" s="3"/>
      <c r="D7064" s="3"/>
      <c r="E7064" s="5" t="str">
        <f>HYPERLINK("https://dpmzos25m8ivg.cloudfront.net/Documentos/631/49976862806/6314997686280610092023231839.pdf","https://dpmzos25m8ivg.cloudfront.net/Documentos/631/49976862806/6314997686280610092023231839.pdf")</f>
        <v>https://dpmzos25m8ivg.cloudfront.net/Documentos/631/49976862806/6314997686280610092023231839.pdf</v>
      </c>
      <c r="F7064" s="5" t="str">
        <f>HYPERLINK("https://dpmzos25m8ivg.cloudfront.net/Documentos/631/49976862806/6314997686280610092023231851.pdf","https://dpmzos25m8ivg.cloudfront.net/Documentos/631/49976862806/6314997686280610092023231851.pdf")</f>
        <v>https://dpmzos25m8ivg.cloudfront.net/Documentos/631/49976862806/6314997686280610092023231851.pdf</v>
      </c>
      <c r="G7064" s="5" t="str">
        <f>HYPERLINK("https://dpmzos25m8ivg.cloudfront.net/Documentos/631/49976862806/6314997686280610092023231905.pdf","https://dpmzos25m8ivg.cloudfront.net/Documentos/631/49976862806/6314997686280610092023231905.pdf")</f>
        <v>https://dpmzos25m8ivg.cloudfront.net/Documentos/631/49976862806/6314997686280610092023231905.pdf</v>
      </c>
      <c r="H7064" s="5" t="s">
        <v>15634</v>
      </c>
    </row>
    <row r="7065" spans="1:8" x14ac:dyDescent="0.25">
      <c r="A7065" s="2" t="s">
        <v>7093</v>
      </c>
      <c r="B7065" s="3"/>
      <c r="C7065" s="3"/>
      <c r="D7065" s="3"/>
      <c r="E7065" s="5" t="str">
        <f>HYPERLINK("https://dpmzos25m8ivg.cloudfront.net/Documentos/631/49980679824/6314998067982408092023170958.pdf","https://dpmzos25m8ivg.cloudfront.net/Documentos/631/49980679824/6314998067982408092023170958.pdf")</f>
        <v>https://dpmzos25m8ivg.cloudfront.net/Documentos/631/49980679824/6314998067982408092023170958.pdf</v>
      </c>
      <c r="F7065" s="5" t="str">
        <f>HYPERLINK("https://dpmzos25m8ivg.cloudfront.net/Documentos/631/49980679824/6314998067982408092023171023.pdf","https://dpmzos25m8ivg.cloudfront.net/Documentos/631/49980679824/6314998067982408092023171023.pdf")</f>
        <v>https://dpmzos25m8ivg.cloudfront.net/Documentos/631/49980679824/6314998067982408092023171023.pdf</v>
      </c>
      <c r="G7065" s="5" t="str">
        <f>HYPERLINK("https://dpmzos25m8ivg.cloudfront.net/Documentos/631/49980679824/6314998067982408092023171042.pdf","https://dpmzos25m8ivg.cloudfront.net/Documentos/631/49980679824/6314998067982408092023171042.pdf")</f>
        <v>https://dpmzos25m8ivg.cloudfront.net/Documentos/631/49980679824/6314998067982408092023171042.pdf</v>
      </c>
      <c r="H7065" s="5" t="s">
        <v>15635</v>
      </c>
    </row>
    <row r="7066" spans="1:8" x14ac:dyDescent="0.25">
      <c r="A7066" s="2" t="s">
        <v>7094</v>
      </c>
      <c r="B7066" s="3"/>
      <c r="C7066" s="3"/>
      <c r="D7066" s="3"/>
      <c r="E7066" s="5" t="str">
        <f>HYPERLINK("https://dpmzos25m8ivg.cloudfront.net/Documentos/631/50192515420/6315019251542011092023135433.jpg","https://dpmzos25m8ivg.cloudfront.net/Documentos/631/50192515420/6315019251542011092023135433.jpg")</f>
        <v>https://dpmzos25m8ivg.cloudfront.net/Documentos/631/50192515420/6315019251542011092023135433.jpg</v>
      </c>
      <c r="F7066" s="5" t="str">
        <f>HYPERLINK("https://dpmzos25m8ivg.cloudfront.net/Documentos/631/50192515420/6315019251542011092023135535.jpg","https://dpmzos25m8ivg.cloudfront.net/Documentos/631/50192515420/6315019251542011092023135535.jpg")</f>
        <v>https://dpmzos25m8ivg.cloudfront.net/Documentos/631/50192515420/6315019251542011092023135535.jpg</v>
      </c>
      <c r="G7066" s="5" t="str">
        <f>HYPERLINK("https://dpmzos25m8ivg.cloudfront.net/Documentos/631/50192515420/6315019251542011092023143407.jpg","https://dpmzos25m8ivg.cloudfront.net/Documentos/631/50192515420/6315019251542011092023143407.jpg")</f>
        <v>https://dpmzos25m8ivg.cloudfront.net/Documentos/631/50192515420/6315019251542011092023143407.jpg</v>
      </c>
      <c r="H7066" s="5" t="s">
        <v>15636</v>
      </c>
    </row>
    <row r="7067" spans="1:8" x14ac:dyDescent="0.25">
      <c r="A7067" s="2" t="s">
        <v>7095</v>
      </c>
      <c r="B7067" s="3"/>
      <c r="C7067" s="3"/>
      <c r="D7067" s="3"/>
      <c r="E7067" s="5" t="str">
        <f>HYPERLINK("https://dpmzos25m8ivg.cloudfront.net/Documentos/631/50275151549/6315027515154905092023142305.jpg","https://dpmzos25m8ivg.cloudfront.net/Documentos/631/50275151549/6315027515154905092023142305.jpg")</f>
        <v>https://dpmzos25m8ivg.cloudfront.net/Documentos/631/50275151549/6315027515154905092023142305.jpg</v>
      </c>
      <c r="F7067" s="5" t="str">
        <f>HYPERLINK("https://dpmzos25m8ivg.cloudfront.net/Documentos/631/50275151549/6315027515154905092023142337.jpg","https://dpmzos25m8ivg.cloudfront.net/Documentos/631/50275151549/6315027515154905092023142337.jpg")</f>
        <v>https://dpmzos25m8ivg.cloudfront.net/Documentos/631/50275151549/6315027515154905092023142337.jpg</v>
      </c>
      <c r="G7067" s="5" t="str">
        <f>HYPERLINK("https://dpmzos25m8ivg.cloudfront.net/Documentos/631/50275151549/6315027515154905092023142407.jpg","https://dpmzos25m8ivg.cloudfront.net/Documentos/631/50275151549/6315027515154905092023142407.jpg")</f>
        <v>https://dpmzos25m8ivg.cloudfront.net/Documentos/631/50275151549/6315027515154905092023142407.jpg</v>
      </c>
      <c r="H7067" s="5" t="s">
        <v>15637</v>
      </c>
    </row>
    <row r="7068" spans="1:8" x14ac:dyDescent="0.25">
      <c r="A7068" s="2" t="s">
        <v>7096</v>
      </c>
      <c r="B7068" s="3"/>
      <c r="C7068" s="3"/>
      <c r="D7068" s="3"/>
      <c r="E7068" s="5" t="str">
        <f>HYPERLINK("https://dpmzos25m8ivg.cloudfront.net/Documentos/631/50307437825/6315030743782511092023151621.pdf","https://dpmzos25m8ivg.cloudfront.net/Documentos/631/50307437825/6315030743782511092023151621.pdf")</f>
        <v>https://dpmzos25m8ivg.cloudfront.net/Documentos/631/50307437825/6315030743782511092023151621.pdf</v>
      </c>
      <c r="F7068" s="5" t="str">
        <f>HYPERLINK("https://dpmzos25m8ivg.cloudfront.net/Documentos/631/50307437825/6315030743782511092023151627.pdf","https://dpmzos25m8ivg.cloudfront.net/Documentos/631/50307437825/6315030743782511092023151627.pdf")</f>
        <v>https://dpmzos25m8ivg.cloudfront.net/Documentos/631/50307437825/6315030743782511092023151627.pdf</v>
      </c>
      <c r="G7068" s="5" t="str">
        <f>HYPERLINK("https://dpmzos25m8ivg.cloudfront.net/Documentos/631/50307437825/6315030743782511092023151636.pdf","https://dpmzos25m8ivg.cloudfront.net/Documentos/631/50307437825/6315030743782511092023151636.pdf")</f>
        <v>https://dpmzos25m8ivg.cloudfront.net/Documentos/631/50307437825/6315030743782511092023151636.pdf</v>
      </c>
      <c r="H7068" s="5" t="s">
        <v>15638</v>
      </c>
    </row>
    <row r="7069" spans="1:8" x14ac:dyDescent="0.25">
      <c r="A7069" s="2" t="s">
        <v>7097</v>
      </c>
      <c r="B7069" s="3"/>
      <c r="C7069" s="3"/>
      <c r="D7069" s="3"/>
      <c r="E7069" s="5" t="str">
        <f>HYPERLINK("https://dpmzos25m8ivg.cloudfront.net/Documentos/631/50308979842/6315030897984210092023153900.jpg","https://dpmzos25m8ivg.cloudfront.net/Documentos/631/50308979842/6315030897984210092023153900.jpg")</f>
        <v>https://dpmzos25m8ivg.cloudfront.net/Documentos/631/50308979842/6315030897984210092023153900.jpg</v>
      </c>
      <c r="F7069" s="5" t="str">
        <f>HYPERLINK("https://dpmzos25m8ivg.cloudfront.net/Documentos/631/50308979842/6315030897984210092023153941.jpg","https://dpmzos25m8ivg.cloudfront.net/Documentos/631/50308979842/6315030897984210092023153941.jpg")</f>
        <v>https://dpmzos25m8ivg.cloudfront.net/Documentos/631/50308979842/6315030897984210092023153941.jpg</v>
      </c>
      <c r="G7069" s="5" t="str">
        <f>HYPERLINK("https://dpmzos25m8ivg.cloudfront.net/Documentos/631/50308979842/6315030897984210092023154009.jpg","https://dpmzos25m8ivg.cloudfront.net/Documentos/631/50308979842/6315030897984210092023154009.jpg")</f>
        <v>https://dpmzos25m8ivg.cloudfront.net/Documentos/631/50308979842/6315030897984210092023154009.jpg</v>
      </c>
      <c r="H7069" s="5" t="s">
        <v>15639</v>
      </c>
    </row>
    <row r="7070" spans="1:8" x14ac:dyDescent="0.25">
      <c r="A7070" s="2" t="s">
        <v>7098</v>
      </c>
      <c r="B7070" s="3"/>
      <c r="C7070" s="3"/>
      <c r="D7070" s="3"/>
      <c r="E7070" s="5" t="str">
        <f>HYPERLINK("https://dpmzos25m8ivg.cloudfront.net/Documentos/631/50326540865/6315032654086510092023131538.pdf","https://dpmzos25m8ivg.cloudfront.net/Documentos/631/50326540865/6315032654086510092023131538.pdf")</f>
        <v>https://dpmzos25m8ivg.cloudfront.net/Documentos/631/50326540865/6315032654086510092023131538.pdf</v>
      </c>
      <c r="F7070" s="5" t="str">
        <f>HYPERLINK("https://dpmzos25m8ivg.cloudfront.net/Documentos/631/50326540865/6315032654086510092023131645.pdf","https://dpmzos25m8ivg.cloudfront.net/Documentos/631/50326540865/6315032654086510092023131645.pdf")</f>
        <v>https://dpmzos25m8ivg.cloudfront.net/Documentos/631/50326540865/6315032654086510092023131645.pdf</v>
      </c>
      <c r="G7070" s="5" t="str">
        <f>HYPERLINK("https://dpmzos25m8ivg.cloudfront.net/Documentos/631/50326540865/6315032654086510092023131853.pdf","https://dpmzos25m8ivg.cloudfront.net/Documentos/631/50326540865/6315032654086510092023131853.pdf")</f>
        <v>https://dpmzos25m8ivg.cloudfront.net/Documentos/631/50326540865/6315032654086510092023131853.pdf</v>
      </c>
      <c r="H7070" s="5" t="s">
        <v>15640</v>
      </c>
    </row>
    <row r="7071" spans="1:8" x14ac:dyDescent="0.25">
      <c r="A7071" s="2" t="s">
        <v>7099</v>
      </c>
      <c r="B7071" s="3"/>
      <c r="C7071" s="3"/>
      <c r="D7071" s="3"/>
      <c r="E7071" s="5" t="str">
        <f>HYPERLINK("https://dpmzos25m8ivg.cloudfront.net/Documentos/631/50355219824/6315035521982406092023154737.pdf","https://dpmzos25m8ivg.cloudfront.net/Documentos/631/50355219824/6315035521982406092023154737.pdf")</f>
        <v>https://dpmzos25m8ivg.cloudfront.net/Documentos/631/50355219824/6315035521982406092023154737.pdf</v>
      </c>
      <c r="F7071" s="5" t="str">
        <f>HYPERLINK("https://dpmzos25m8ivg.cloudfront.net/Documentos/631/50355219824/6315035521982406092023155347.pdf","https://dpmzos25m8ivg.cloudfront.net/Documentos/631/50355219824/6315035521982406092023155347.pdf")</f>
        <v>https://dpmzos25m8ivg.cloudfront.net/Documentos/631/50355219824/6315035521982406092023155347.pdf</v>
      </c>
      <c r="G7071" s="5" t="str">
        <f>HYPERLINK("https://dpmzos25m8ivg.cloudfront.net/Documentos/631/50355219824/6315035521982406092023160544.pdf","https://dpmzos25m8ivg.cloudfront.net/Documentos/631/50355219824/6315035521982406092023160544.pdf")</f>
        <v>https://dpmzos25m8ivg.cloudfront.net/Documentos/631/50355219824/6315035521982406092023160544.pdf</v>
      </c>
      <c r="H7071" s="5" t="s">
        <v>15641</v>
      </c>
    </row>
    <row r="7072" spans="1:8" x14ac:dyDescent="0.25">
      <c r="A7072" s="2" t="s">
        <v>7100</v>
      </c>
      <c r="B7072" s="3"/>
      <c r="C7072" s="3"/>
      <c r="D7072" s="3"/>
      <c r="E7072" s="5" t="str">
        <f>HYPERLINK("https://dpmzos25m8ivg.cloudfront.net/Documentos/631/50407880704/6315040788070405092023200220.jpg","https://dpmzos25m8ivg.cloudfront.net/Documentos/631/50407880704/6315040788070405092023200220.jpg")</f>
        <v>https://dpmzos25m8ivg.cloudfront.net/Documentos/631/50407880704/6315040788070405092023200220.jpg</v>
      </c>
      <c r="F7072" s="5" t="str">
        <f>HYPERLINK("https://dpmzos25m8ivg.cloudfront.net/Documentos/631/50407880704/6315040788070405092023200318.jpg","https://dpmzos25m8ivg.cloudfront.net/Documentos/631/50407880704/6315040788070405092023200318.jpg")</f>
        <v>https://dpmzos25m8ivg.cloudfront.net/Documentos/631/50407880704/6315040788070405092023200318.jpg</v>
      </c>
      <c r="G7072" s="5" t="str">
        <f>HYPERLINK("https://dpmzos25m8ivg.cloudfront.net/Documentos/631/50407880704/6315040788070405092023200354.jpg","https://dpmzos25m8ivg.cloudfront.net/Documentos/631/50407880704/6315040788070405092023200354.jpg")</f>
        <v>https://dpmzos25m8ivg.cloudfront.net/Documentos/631/50407880704/6315040788070405092023200354.jpg</v>
      </c>
      <c r="H7072" s="5" t="s">
        <v>15642</v>
      </c>
    </row>
    <row r="7073" spans="1:8" x14ac:dyDescent="0.25">
      <c r="A7073" s="2" t="s">
        <v>7101</v>
      </c>
      <c r="B7073" s="3"/>
      <c r="C7073" s="3"/>
      <c r="D7073" s="3"/>
      <c r="E7073" s="5" t="str">
        <f>HYPERLINK("https://dpmzos25m8ivg.cloudfront.net/Documentos/631/50408186453/6315040818645311092023151623.pdf","https://dpmzos25m8ivg.cloudfront.net/Documentos/631/50408186453/6315040818645311092023151623.pdf")</f>
        <v>https://dpmzos25m8ivg.cloudfront.net/Documentos/631/50408186453/6315040818645311092023151623.pdf</v>
      </c>
      <c r="F7073" s="5" t="str">
        <f>HYPERLINK("https://dpmzos25m8ivg.cloudfront.net/Documentos/631/50408186453/6315040818645311092023151641.pdf","https://dpmzos25m8ivg.cloudfront.net/Documentos/631/50408186453/6315040818645311092023151641.pdf")</f>
        <v>https://dpmzos25m8ivg.cloudfront.net/Documentos/631/50408186453/6315040818645311092023151641.pdf</v>
      </c>
      <c r="G7073" s="5" t="str">
        <f>HYPERLINK("https://dpmzos25m8ivg.cloudfront.net/Documentos/631/50408186453/6315040818645311092023151651.pdf","https://dpmzos25m8ivg.cloudfront.net/Documentos/631/50408186453/6315040818645311092023151651.pdf")</f>
        <v>https://dpmzos25m8ivg.cloudfront.net/Documentos/631/50408186453/6315040818645311092023151651.pdf</v>
      </c>
      <c r="H7073" s="5" t="s">
        <v>15643</v>
      </c>
    </row>
    <row r="7074" spans="1:8" x14ac:dyDescent="0.25">
      <c r="A7074" s="2" t="s">
        <v>7102</v>
      </c>
      <c r="B7074" s="3"/>
      <c r="C7074" s="3"/>
      <c r="D7074" s="3"/>
      <c r="E7074" s="5" t="str">
        <f>HYPERLINK("https://dpmzos25m8ivg.cloudfront.net/Documentos/631/50425863859/6315042586385905092023204825.jpg","https://dpmzos25m8ivg.cloudfront.net/Documentos/631/50425863859/6315042586385905092023204825.jpg")</f>
        <v>https://dpmzos25m8ivg.cloudfront.net/Documentos/631/50425863859/6315042586385905092023204825.jpg</v>
      </c>
      <c r="F7074" s="5" t="str">
        <f>HYPERLINK("https://dpmzos25m8ivg.cloudfront.net/Documentos/631/50425863859/6315042586385905092023204906.jpg","https://dpmzos25m8ivg.cloudfront.net/Documentos/631/50425863859/6315042586385905092023204906.jpg")</f>
        <v>https://dpmzos25m8ivg.cloudfront.net/Documentos/631/50425863859/6315042586385905092023204906.jpg</v>
      </c>
      <c r="G7074" s="5" t="str">
        <f>HYPERLINK("https://dpmzos25m8ivg.cloudfront.net/Documentos/631/50425863859/6315042586385905092023204920.jpg","https://dpmzos25m8ivg.cloudfront.net/Documentos/631/50425863859/6315042586385905092023204920.jpg")</f>
        <v>https://dpmzos25m8ivg.cloudfront.net/Documentos/631/50425863859/6315042586385905092023204920.jpg</v>
      </c>
      <c r="H7074" s="5" t="s">
        <v>15644</v>
      </c>
    </row>
    <row r="7075" spans="1:8" x14ac:dyDescent="0.25">
      <c r="A7075" s="2" t="s">
        <v>7103</v>
      </c>
      <c r="B7075" s="3"/>
      <c r="C7075" s="3"/>
      <c r="D7075" s="3"/>
      <c r="E7075" s="5" t="str">
        <f>HYPERLINK("https://dpmzos25m8ivg.cloudfront.net/Documentos/631/50471990884/6315047199088411092023111206.pdf","https://dpmzos25m8ivg.cloudfront.net/Documentos/631/50471990884/6315047199088411092023111206.pdf")</f>
        <v>https://dpmzos25m8ivg.cloudfront.net/Documentos/631/50471990884/6315047199088411092023111206.pdf</v>
      </c>
      <c r="F7075" s="5" t="str">
        <f>HYPERLINK("https://dpmzos25m8ivg.cloudfront.net/Documentos/631/50471990884/6315047199088411092023111221.pdf","https://dpmzos25m8ivg.cloudfront.net/Documentos/631/50471990884/6315047199088411092023111221.pdf")</f>
        <v>https://dpmzos25m8ivg.cloudfront.net/Documentos/631/50471990884/6315047199088411092023111221.pdf</v>
      </c>
      <c r="G7075" s="5" t="str">
        <f>HYPERLINK("https://dpmzos25m8ivg.cloudfront.net/Documentos/631/50471990884/6315047199088411092023111235.pdf","https://dpmzos25m8ivg.cloudfront.net/Documentos/631/50471990884/6315047199088411092023111235.pdf")</f>
        <v>https://dpmzos25m8ivg.cloudfront.net/Documentos/631/50471990884/6315047199088411092023111235.pdf</v>
      </c>
      <c r="H7075" s="5" t="s">
        <v>15645</v>
      </c>
    </row>
    <row r="7076" spans="1:8" x14ac:dyDescent="0.25">
      <c r="A7076" s="2" t="s">
        <v>7104</v>
      </c>
      <c r="B7076" s="3" t="s">
        <v>90</v>
      </c>
      <c r="C7076" s="3"/>
      <c r="D7076" s="3"/>
      <c r="E7076" s="5" t="str">
        <f>HYPERLINK("https://dpmzos25m8ivg.cloudfront.net/Documentos/631/50503905836/6315050390583614092023134213.pdf","https://dpmzos25m8ivg.cloudfront.net/Documentos/631/50503905836/6315050390583614092023134213.pdf")</f>
        <v>https://dpmzos25m8ivg.cloudfront.net/Documentos/631/50503905836/6315050390583614092023134213.pdf</v>
      </c>
      <c r="F7076" s="5" t="str">
        <f>HYPERLINK("https://dpmzos25m8ivg.cloudfront.net/Documentos/631/50503905836/6315050390583614092023134240.pdf","https://dpmzos25m8ivg.cloudfront.net/Documentos/631/50503905836/6315050390583614092023134240.pdf")</f>
        <v>https://dpmzos25m8ivg.cloudfront.net/Documentos/631/50503905836/6315050390583614092023134240.pdf</v>
      </c>
      <c r="G7076" s="5" t="str">
        <f>HYPERLINK("https://dpmzos25m8ivg.cloudfront.net/Documentos/631/50503905836/6315050390583614092023134250.pdf","https://dpmzos25m8ivg.cloudfront.net/Documentos/631/50503905836/6315050390583614092023134250.pdf")</f>
        <v>https://dpmzos25m8ivg.cloudfront.net/Documentos/631/50503905836/6315050390583614092023134250.pdf</v>
      </c>
      <c r="H7076" s="5" t="s">
        <v>15646</v>
      </c>
    </row>
    <row r="7077" spans="1:8" x14ac:dyDescent="0.25">
      <c r="A7077" s="2" t="s">
        <v>7105</v>
      </c>
      <c r="B7077" s="3"/>
      <c r="C7077" s="3"/>
      <c r="D7077" s="3"/>
      <c r="E7077" s="5" t="str">
        <f>HYPERLINK("https://dpmzos25m8ivg.cloudfront.net/Documentos/631/50523180144/6315052318014408092023014849.jpg","https://dpmzos25m8ivg.cloudfront.net/Documentos/631/50523180144/6315052318014408092023014849.jpg")</f>
        <v>https://dpmzos25m8ivg.cloudfront.net/Documentos/631/50523180144/6315052318014408092023014849.jpg</v>
      </c>
      <c r="F7077" s="5" t="str">
        <f>HYPERLINK("https://dpmzos25m8ivg.cloudfront.net/Documentos/631/50523180144/6315052318014408092023014809.jpg","https://dpmzos25m8ivg.cloudfront.net/Documentos/631/50523180144/6315052318014408092023014809.jpg")</f>
        <v>https://dpmzos25m8ivg.cloudfront.net/Documentos/631/50523180144/6315052318014408092023014809.jpg</v>
      </c>
      <c r="G7077" s="5" t="str">
        <f>HYPERLINK("https://dpmzos25m8ivg.cloudfront.net/Documentos/631/50523180144/6315052318014408092023014518.jpg","https://dpmzos25m8ivg.cloudfront.net/Documentos/631/50523180144/6315052318014408092023014518.jpg")</f>
        <v>https://dpmzos25m8ivg.cloudfront.net/Documentos/631/50523180144/6315052318014408092023014518.jpg</v>
      </c>
      <c r="H7077" s="5" t="s">
        <v>15647</v>
      </c>
    </row>
    <row r="7078" spans="1:8" x14ac:dyDescent="0.25">
      <c r="A7078" s="2" t="s">
        <v>7106</v>
      </c>
      <c r="B7078" s="3"/>
      <c r="C7078" s="3"/>
      <c r="D7078" s="3"/>
      <c r="E7078" s="5" t="str">
        <f>HYPERLINK("https://dpmzos25m8ivg.cloudfront.net/Documentos/631/50542230534/6315054223053408092023115527.jpg","https://dpmzos25m8ivg.cloudfront.net/Documentos/631/50542230534/6315054223053408092023115527.jpg")</f>
        <v>https://dpmzos25m8ivg.cloudfront.net/Documentos/631/50542230534/6315054223053408092023115527.jpg</v>
      </c>
      <c r="F7078" s="5" t="str">
        <f>HYPERLINK("https://dpmzos25m8ivg.cloudfront.net/Documentos/631/50542230534/6315054223053408092023115617.jpg","https://dpmzos25m8ivg.cloudfront.net/Documentos/631/50542230534/6315054223053408092023115617.jpg")</f>
        <v>https://dpmzos25m8ivg.cloudfront.net/Documentos/631/50542230534/6315054223053408092023115617.jpg</v>
      </c>
      <c r="G7078" s="5" t="str">
        <f>HYPERLINK("https://dpmzos25m8ivg.cloudfront.net/Documentos/631/50542230534/6315054223053408092023115713.jpg","https://dpmzos25m8ivg.cloudfront.net/Documentos/631/50542230534/6315054223053408092023115713.jpg")</f>
        <v>https://dpmzos25m8ivg.cloudfront.net/Documentos/631/50542230534/6315054223053408092023115713.jpg</v>
      </c>
      <c r="H7078" s="5" t="s">
        <v>15648</v>
      </c>
    </row>
    <row r="7079" spans="1:8" x14ac:dyDescent="0.25">
      <c r="A7079" s="2" t="s">
        <v>7107</v>
      </c>
      <c r="B7079" s="3"/>
      <c r="C7079" s="3"/>
      <c r="D7079" s="3"/>
      <c r="E7079" s="5" t="str">
        <f>HYPERLINK("https://dpmzos25m8ivg.cloudfront.net/Documentos/631/50558170544/6315055817054405092023163846.pdf","https://dpmzos25m8ivg.cloudfront.net/Documentos/631/50558170544/6315055817054405092023163846.pdf")</f>
        <v>https://dpmzos25m8ivg.cloudfront.net/Documentos/631/50558170544/6315055817054405092023163846.pdf</v>
      </c>
      <c r="F7079" s="5" t="str">
        <f>HYPERLINK("https://dpmzos25m8ivg.cloudfront.net/Documentos/631/50558170544/6315055817054405092023163907.pdf","https://dpmzos25m8ivg.cloudfront.net/Documentos/631/50558170544/6315055817054405092023163907.pdf")</f>
        <v>https://dpmzos25m8ivg.cloudfront.net/Documentos/631/50558170544/6315055817054405092023163907.pdf</v>
      </c>
      <c r="G7079" s="5" t="str">
        <f>HYPERLINK("https://dpmzos25m8ivg.cloudfront.net/Documentos/631/50558170544/6315055817054405092023163935.pdf","https://dpmzos25m8ivg.cloudfront.net/Documentos/631/50558170544/6315055817054405092023163935.pdf")</f>
        <v>https://dpmzos25m8ivg.cloudfront.net/Documentos/631/50558170544/6315055817054405092023163935.pdf</v>
      </c>
      <c r="H7079" s="5" t="s">
        <v>15649</v>
      </c>
    </row>
    <row r="7080" spans="1:8" x14ac:dyDescent="0.25">
      <c r="A7080" s="2" t="s">
        <v>7108</v>
      </c>
      <c r="B7080" s="3"/>
      <c r="C7080" s="3"/>
      <c r="D7080" s="3"/>
      <c r="E7080" s="5" t="str">
        <f>HYPERLINK("https://dpmzos25m8ivg.cloudfront.net/Documentos/631/50656848553/6315065684855305092023122023.pdf","https://dpmzos25m8ivg.cloudfront.net/Documentos/631/50656848553/6315065684855305092023122023.pdf")</f>
        <v>https://dpmzos25m8ivg.cloudfront.net/Documentos/631/50656848553/6315065684855305092023122023.pdf</v>
      </c>
      <c r="F7080" s="5" t="str">
        <f>HYPERLINK("https://dpmzos25m8ivg.cloudfront.net/Documentos/631/50656848553/6315065684855305092023121317.pdf","https://dpmzos25m8ivg.cloudfront.net/Documentos/631/50656848553/6315065684855305092023121317.pdf")</f>
        <v>https://dpmzos25m8ivg.cloudfront.net/Documentos/631/50656848553/6315065684855305092023121317.pdf</v>
      </c>
      <c r="G7080" s="5" t="str">
        <f>HYPERLINK("https://dpmzos25m8ivg.cloudfront.net/Documentos/631/50656848553/6315065684855305092023121903.pdf","https://dpmzos25m8ivg.cloudfront.net/Documentos/631/50656848553/6315065684855305092023121903.pdf")</f>
        <v>https://dpmzos25m8ivg.cloudfront.net/Documentos/631/50656848553/6315065684855305092023121903.pdf</v>
      </c>
      <c r="H7080" s="5" t="s">
        <v>15650</v>
      </c>
    </row>
    <row r="7081" spans="1:8" x14ac:dyDescent="0.25">
      <c r="A7081" s="2" t="s">
        <v>7109</v>
      </c>
      <c r="B7081" s="3"/>
      <c r="C7081" s="3"/>
      <c r="D7081" s="3"/>
      <c r="E7081" s="5" t="str">
        <f>HYPERLINK("https://dpmzos25m8ivg.cloudfront.net/Documentos/631/50695313878/6315069531387811092023164740.jpg","https://dpmzos25m8ivg.cloudfront.net/Documentos/631/50695313878/6315069531387811092023164740.jpg")</f>
        <v>https://dpmzos25m8ivg.cloudfront.net/Documentos/631/50695313878/6315069531387811092023164740.jpg</v>
      </c>
      <c r="F7081" s="5" t="str">
        <f>HYPERLINK("https://dpmzos25m8ivg.cloudfront.net/Documentos/631/50695313878/6315069531387811092023164719.jpg","https://dpmzos25m8ivg.cloudfront.net/Documentos/631/50695313878/6315069531387811092023164719.jpg")</f>
        <v>https://dpmzos25m8ivg.cloudfront.net/Documentos/631/50695313878/6315069531387811092023164719.jpg</v>
      </c>
      <c r="G7081" s="5" t="str">
        <f>HYPERLINK("https://dpmzos25m8ivg.cloudfront.net/Documentos/631/50695313878/6315069531387811092023164700.jpg","https://dpmzos25m8ivg.cloudfront.net/Documentos/631/50695313878/6315069531387811092023164700.jpg")</f>
        <v>https://dpmzos25m8ivg.cloudfront.net/Documentos/631/50695313878/6315069531387811092023164700.jpg</v>
      </c>
      <c r="H7081" s="5" t="s">
        <v>15651</v>
      </c>
    </row>
    <row r="7082" spans="1:8" x14ac:dyDescent="0.25">
      <c r="A7082" s="2" t="s">
        <v>7110</v>
      </c>
      <c r="B7082" s="3"/>
      <c r="C7082" s="3"/>
      <c r="D7082" s="3"/>
      <c r="E7082" s="5" t="str">
        <f>HYPERLINK("https://dpmzos25m8ivg.cloudfront.net/Documentos/631/50821989553/6315082198955311092023172707.jpg","https://dpmzos25m8ivg.cloudfront.net/Documentos/631/50821989553/6315082198955311092023172707.jpg")</f>
        <v>https://dpmzos25m8ivg.cloudfront.net/Documentos/631/50821989553/6315082198955311092023172707.jpg</v>
      </c>
      <c r="F7082" s="5" t="str">
        <f>HYPERLINK("https://dpmzos25m8ivg.cloudfront.net/Documentos/631/50821989553/6315082198955311092023172715.jpg","https://dpmzos25m8ivg.cloudfront.net/Documentos/631/50821989553/6315082198955311092023172715.jpg")</f>
        <v>https://dpmzos25m8ivg.cloudfront.net/Documentos/631/50821989553/6315082198955311092023172715.jpg</v>
      </c>
      <c r="G7082" s="5" t="str">
        <f>HYPERLINK("https://dpmzos25m8ivg.cloudfront.net/Documentos/631/50821989553/6315082198955311092023172723.jpg","https://dpmzos25m8ivg.cloudfront.net/Documentos/631/50821989553/6315082198955311092023172723.jpg")</f>
        <v>https://dpmzos25m8ivg.cloudfront.net/Documentos/631/50821989553/6315082198955311092023172723.jpg</v>
      </c>
      <c r="H7082" s="5" t="s">
        <v>15652</v>
      </c>
    </row>
    <row r="7083" spans="1:8" x14ac:dyDescent="0.25">
      <c r="A7083" s="2" t="s">
        <v>7111</v>
      </c>
      <c r="B7083" s="3"/>
      <c r="C7083" s="3"/>
      <c r="D7083" s="3"/>
      <c r="E7083" s="5" t="str">
        <f>HYPERLINK("https://dpmzos25m8ivg.cloudfront.net/Documentos/631/50838652387/6315083865238710092023091445.pdf","https://dpmzos25m8ivg.cloudfront.net/Documentos/631/50838652387/6315083865238710092023091445.pdf")</f>
        <v>https://dpmzos25m8ivg.cloudfront.net/Documentos/631/50838652387/6315083865238710092023091445.pdf</v>
      </c>
      <c r="F7083" s="5" t="str">
        <f>HYPERLINK("https://dpmzos25m8ivg.cloudfront.net/Documentos/631/50838652387/6315083865238710092023091504.pdf","https://dpmzos25m8ivg.cloudfront.net/Documentos/631/50838652387/6315083865238710092023091504.pdf")</f>
        <v>https://dpmzos25m8ivg.cloudfront.net/Documentos/631/50838652387/6315083865238710092023091504.pdf</v>
      </c>
      <c r="G7083" s="5" t="str">
        <f>HYPERLINK("https://dpmzos25m8ivg.cloudfront.net/Documentos/631/50838652387/6315083865238710092023091522.pdf","https://dpmzos25m8ivg.cloudfront.net/Documentos/631/50838652387/6315083865238710092023091522.pdf")</f>
        <v>https://dpmzos25m8ivg.cloudfront.net/Documentos/631/50838652387/6315083865238710092023091522.pdf</v>
      </c>
      <c r="H7083" s="5" t="s">
        <v>15653</v>
      </c>
    </row>
    <row r="7084" spans="1:8" x14ac:dyDescent="0.25">
      <c r="A7084" s="2" t="s">
        <v>7112</v>
      </c>
      <c r="B7084" s="3"/>
      <c r="C7084" s="3"/>
      <c r="D7084" s="3"/>
      <c r="E7084" s="5" t="str">
        <f>HYPERLINK("https://dpmzos25m8ivg.cloudfront.net/Documentos/631/50889120803/6315088912080311092023132647.jpeg","https://dpmzos25m8ivg.cloudfront.net/Documentos/631/50889120803/6315088912080311092023132647.jpeg")</f>
        <v>https://dpmzos25m8ivg.cloudfront.net/Documentos/631/50889120803/6315088912080311092023132647.jpeg</v>
      </c>
      <c r="F7084" s="5" t="str">
        <f>HYPERLINK("https://dpmzos25m8ivg.cloudfront.net/Documentos/631/50889120803/6315088912080311092023132659.jpeg","https://dpmzos25m8ivg.cloudfront.net/Documentos/631/50889120803/6315088912080311092023132659.jpeg")</f>
        <v>https://dpmzos25m8ivg.cloudfront.net/Documentos/631/50889120803/6315088912080311092023132659.jpeg</v>
      </c>
      <c r="G7084" s="5" t="str">
        <f>HYPERLINK("https://dpmzos25m8ivg.cloudfront.net/Documentos/631/50889120803/6315088912080311092023132716.jpeg","https://dpmzos25m8ivg.cloudfront.net/Documentos/631/50889120803/6315088912080311092023132716.jpeg")</f>
        <v>https://dpmzos25m8ivg.cloudfront.net/Documentos/631/50889120803/6315088912080311092023132716.jpeg</v>
      </c>
      <c r="H7084" s="5" t="s">
        <v>15654</v>
      </c>
    </row>
    <row r="7085" spans="1:8" x14ac:dyDescent="0.25">
      <c r="A7085" s="2" t="s">
        <v>7113</v>
      </c>
      <c r="B7085" s="3"/>
      <c r="C7085" s="3"/>
      <c r="D7085" s="3"/>
      <c r="E7085" s="5" t="str">
        <f>HYPERLINK("https://dpmzos25m8ivg.cloudfront.net/Documentos/631/50914910230/6315091491023011092023135829.pdf","https://dpmzos25m8ivg.cloudfront.net/Documentos/631/50914910230/6315091491023011092023135829.pdf")</f>
        <v>https://dpmzos25m8ivg.cloudfront.net/Documentos/631/50914910230/6315091491023011092023135829.pdf</v>
      </c>
      <c r="F7085" s="5" t="str">
        <f>HYPERLINK("https://dpmzos25m8ivg.cloudfront.net/Documentos/631/50914910230/6315091491023011092023135847.pdf","https://dpmzos25m8ivg.cloudfront.net/Documentos/631/50914910230/6315091491023011092023135847.pdf")</f>
        <v>https://dpmzos25m8ivg.cloudfront.net/Documentos/631/50914910230/6315091491023011092023135847.pdf</v>
      </c>
      <c r="G7085" s="5" t="str">
        <f>HYPERLINK("https://dpmzos25m8ivg.cloudfront.net/Documentos/631/50914910230/6315091491023011092023135903.pdf","https://dpmzos25m8ivg.cloudfront.net/Documentos/631/50914910230/6315091491023011092023135903.pdf")</f>
        <v>https://dpmzos25m8ivg.cloudfront.net/Documentos/631/50914910230/6315091491023011092023135903.pdf</v>
      </c>
      <c r="H7085" s="5" t="s">
        <v>15655</v>
      </c>
    </row>
    <row r="7086" spans="1:8" x14ac:dyDescent="0.25">
      <c r="A7086" s="2" t="s">
        <v>7114</v>
      </c>
      <c r="B7086" s="3"/>
      <c r="C7086" s="3"/>
      <c r="D7086" s="3"/>
      <c r="E7086" s="5" t="str">
        <f>HYPERLINK("https://dpmzos25m8ivg.cloudfront.net/Documentos/631/50985101806/6315098510180614092023080638.jpeg","https://dpmzos25m8ivg.cloudfront.net/Documentos/631/50985101806/6315098510180614092023080638.jpeg")</f>
        <v>https://dpmzos25m8ivg.cloudfront.net/Documentos/631/50985101806/6315098510180614092023080638.jpeg</v>
      </c>
      <c r="F7086" s="5" t="str">
        <f>HYPERLINK("https://dpmzos25m8ivg.cloudfront.net/Documentos/631/50985101806/6315098510180614092023080647.jpeg","https://dpmzos25m8ivg.cloudfront.net/Documentos/631/50985101806/6315098510180614092023080647.jpeg")</f>
        <v>https://dpmzos25m8ivg.cloudfront.net/Documentos/631/50985101806/6315098510180614092023080647.jpeg</v>
      </c>
      <c r="G7086" s="5" t="str">
        <f>HYPERLINK("https://dpmzos25m8ivg.cloudfront.net/Documentos/631/50985101806/6315098510180614092023080654.jpeg","https://dpmzos25m8ivg.cloudfront.net/Documentos/631/50985101806/6315098510180614092023080654.jpeg")</f>
        <v>https://dpmzos25m8ivg.cloudfront.net/Documentos/631/50985101806/6315098510180614092023080654.jpeg</v>
      </c>
      <c r="H7086" s="5" t="s">
        <v>15656</v>
      </c>
    </row>
    <row r="7087" spans="1:8" x14ac:dyDescent="0.25">
      <c r="A7087" s="2" t="s">
        <v>7115</v>
      </c>
      <c r="B7087" s="3" t="s">
        <v>42</v>
      </c>
      <c r="C7087" s="3"/>
      <c r="D7087" s="3"/>
      <c r="E7087" s="5" t="str">
        <f>HYPERLINK("https://dpmzos25m8ivg.cloudfront.net/Documentos/631/51074010230/6315107401023014092023073131.pdf","https://dpmzos25m8ivg.cloudfront.net/Documentos/631/51074010230/6315107401023014092023073131.pdf")</f>
        <v>https://dpmzos25m8ivg.cloudfront.net/Documentos/631/51074010230/6315107401023014092023073131.pdf</v>
      </c>
      <c r="F7087" s="5" t="str">
        <f>HYPERLINK("https://dpmzos25m8ivg.cloudfront.net/Documentos/631/51074010230/6315107401023014092023073148.pdf","https://dpmzos25m8ivg.cloudfront.net/Documentos/631/51074010230/6315107401023014092023073148.pdf")</f>
        <v>https://dpmzos25m8ivg.cloudfront.net/Documentos/631/51074010230/6315107401023014092023073148.pdf</v>
      </c>
      <c r="G7087" s="5" t="str">
        <f>HYPERLINK("https://dpmzos25m8ivg.cloudfront.net/Documentos/631/51074010230/6315107401023014092023073212.pdf","https://dpmzos25m8ivg.cloudfront.net/Documentos/631/51074010230/6315107401023014092023073212.pdf")</f>
        <v>https://dpmzos25m8ivg.cloudfront.net/Documentos/631/51074010230/6315107401023014092023073212.pdf</v>
      </c>
      <c r="H7087" s="5" t="s">
        <v>15657</v>
      </c>
    </row>
    <row r="7088" spans="1:8" x14ac:dyDescent="0.25">
      <c r="A7088" s="2" t="s">
        <v>7116</v>
      </c>
      <c r="B7088" s="3"/>
      <c r="C7088" s="3"/>
      <c r="D7088" s="3"/>
      <c r="E7088" s="5" t="str">
        <f>HYPERLINK("https://dpmzos25m8ivg.cloudfront.net/Documentos/631/51117958809/6315111795880909092023220730.jpeg","https://dpmzos25m8ivg.cloudfront.net/Documentos/631/51117958809/6315111795880909092023220730.jpeg")</f>
        <v>https://dpmzos25m8ivg.cloudfront.net/Documentos/631/51117958809/6315111795880909092023220730.jpeg</v>
      </c>
      <c r="F7088" s="5" t="str">
        <f>HYPERLINK("https://dpmzos25m8ivg.cloudfront.net/Documentos/631/51117958809/6315111795880909092023220751.jpeg","https://dpmzos25m8ivg.cloudfront.net/Documentos/631/51117958809/6315111795880909092023220751.jpeg")</f>
        <v>https://dpmzos25m8ivg.cloudfront.net/Documentos/631/51117958809/6315111795880909092023220751.jpeg</v>
      </c>
      <c r="G7088" s="5" t="str">
        <f>HYPERLINK("https://dpmzos25m8ivg.cloudfront.net/Documentos/631/51117958809/6315111795880909092023220803.jpeg","https://dpmzos25m8ivg.cloudfront.net/Documentos/631/51117958809/6315111795880909092023220803.jpeg")</f>
        <v>https://dpmzos25m8ivg.cloudfront.net/Documentos/631/51117958809/6315111795880909092023220803.jpeg</v>
      </c>
      <c r="H7088" s="5" t="s">
        <v>15658</v>
      </c>
    </row>
    <row r="7089" spans="1:8" x14ac:dyDescent="0.25">
      <c r="A7089" s="2" t="s">
        <v>7117</v>
      </c>
      <c r="B7089" s="3" t="s">
        <v>8</v>
      </c>
      <c r="C7089" s="3"/>
      <c r="D7089" s="3"/>
      <c r="E7089" s="5" t="str">
        <f>HYPERLINK("https://dpmzos25m8ivg.cloudfront.net/Documentos/631/51132060087/6315113206008707092023160313.jpg","https://dpmzos25m8ivg.cloudfront.net/Documentos/631/51132060087/6315113206008707092023160313.jpg")</f>
        <v>https://dpmzos25m8ivg.cloudfront.net/Documentos/631/51132060087/6315113206008707092023160313.jpg</v>
      </c>
      <c r="F7089" s="5" t="str">
        <f>HYPERLINK("https://dpmzos25m8ivg.cloudfront.net/Documentos/631/51132060087/6315113206008707092023160325.jpg","https://dpmzos25m8ivg.cloudfront.net/Documentos/631/51132060087/6315113206008707092023160325.jpg")</f>
        <v>https://dpmzos25m8ivg.cloudfront.net/Documentos/631/51132060087/6315113206008707092023160325.jpg</v>
      </c>
      <c r="G7089" s="5" t="str">
        <f>HYPERLINK("https://dpmzos25m8ivg.cloudfront.net/Documentos/631/51132060087/6315113206008707092023160340.jpg","https://dpmzos25m8ivg.cloudfront.net/Documentos/631/51132060087/6315113206008707092023160340.jpg")</f>
        <v>https://dpmzos25m8ivg.cloudfront.net/Documentos/631/51132060087/6315113206008707092023160340.jpg</v>
      </c>
      <c r="H7089" s="5" t="s">
        <v>15659</v>
      </c>
    </row>
    <row r="7090" spans="1:8" x14ac:dyDescent="0.25">
      <c r="A7090" s="2" t="s">
        <v>7118</v>
      </c>
      <c r="B7090" s="3" t="s">
        <v>90</v>
      </c>
      <c r="C7090" s="3"/>
      <c r="D7090" s="3"/>
      <c r="E7090" s="5" t="str">
        <f>HYPERLINK("https://dpmzos25m8ivg.cloudfront.net/Documentos/631/51151124850/6315115112485008092023152252.pdf","https://dpmzos25m8ivg.cloudfront.net/Documentos/631/51151124850/6315115112485008092023152252.pdf")</f>
        <v>https://dpmzos25m8ivg.cloudfront.net/Documentos/631/51151124850/6315115112485008092023152252.pdf</v>
      </c>
      <c r="F7090" s="5" t="str">
        <f>HYPERLINK("https://dpmzos25m8ivg.cloudfront.net/Documentos/631/51151124850/6315115112485008092023152305.pdf","https://dpmzos25m8ivg.cloudfront.net/Documentos/631/51151124850/6315115112485008092023152305.pdf")</f>
        <v>https://dpmzos25m8ivg.cloudfront.net/Documentos/631/51151124850/6315115112485008092023152305.pdf</v>
      </c>
      <c r="G7090" s="5" t="str">
        <f>HYPERLINK("https://dpmzos25m8ivg.cloudfront.net/Documentos/631/51151124850/6315115112485008092023152316.pdf","https://dpmzos25m8ivg.cloudfront.net/Documentos/631/51151124850/6315115112485008092023152316.pdf")</f>
        <v>https://dpmzos25m8ivg.cloudfront.net/Documentos/631/51151124850/6315115112485008092023152316.pdf</v>
      </c>
      <c r="H7090" s="5" t="s">
        <v>15660</v>
      </c>
    </row>
    <row r="7091" spans="1:8" x14ac:dyDescent="0.25">
      <c r="A7091" s="2" t="s">
        <v>7119</v>
      </c>
      <c r="B7091" s="3"/>
      <c r="C7091" s="3"/>
      <c r="D7091" s="3"/>
      <c r="E7091" s="5" t="str">
        <f>HYPERLINK("https://dpmzos25m8ivg.cloudfront.net/Documentos/631/51159062870/6315115906287006092023144444.pdf","https://dpmzos25m8ivg.cloudfront.net/Documentos/631/51159062870/6315115906287006092023144444.pdf")</f>
        <v>https://dpmzos25m8ivg.cloudfront.net/Documentos/631/51159062870/6315115906287006092023144444.pdf</v>
      </c>
      <c r="F7091" s="5" t="str">
        <f>HYPERLINK("https://dpmzos25m8ivg.cloudfront.net/Documentos/631/51159062870/6315115906287006092023144503.pdf","https://dpmzos25m8ivg.cloudfront.net/Documentos/631/51159062870/6315115906287006092023144503.pdf")</f>
        <v>https://dpmzos25m8ivg.cloudfront.net/Documentos/631/51159062870/6315115906287006092023144503.pdf</v>
      </c>
      <c r="G7091" s="5" t="str">
        <f>HYPERLINK("https://dpmzos25m8ivg.cloudfront.net/Documentos/631/51159062870/6315115906287006092023144514.pdf","https://dpmzos25m8ivg.cloudfront.net/Documentos/631/51159062870/6315115906287006092023144514.pdf")</f>
        <v>https://dpmzos25m8ivg.cloudfront.net/Documentos/631/51159062870/6315115906287006092023144514.pdf</v>
      </c>
      <c r="H7091" s="5" t="s">
        <v>15661</v>
      </c>
    </row>
    <row r="7092" spans="1:8" x14ac:dyDescent="0.25">
      <c r="A7092" s="2" t="s">
        <v>7120</v>
      </c>
      <c r="B7092" s="3" t="s">
        <v>8</v>
      </c>
      <c r="C7092" s="3"/>
      <c r="D7092" s="3"/>
      <c r="E7092" s="5" t="str">
        <f>HYPERLINK("https://dpmzos25m8ivg.cloudfront.net/Documentos/631/51172911827/6315117291182708092023113017.pdf","https://dpmzos25m8ivg.cloudfront.net/Documentos/631/51172911827/6315117291182708092023113017.pdf")</f>
        <v>https://dpmzos25m8ivg.cloudfront.net/Documentos/631/51172911827/6315117291182708092023113017.pdf</v>
      </c>
      <c r="F7092" s="5" t="str">
        <f>HYPERLINK("https://dpmzos25m8ivg.cloudfront.net/Documentos/631/51172911827/6315117291182708092023112525.pdf","https://dpmzos25m8ivg.cloudfront.net/Documentos/631/51172911827/6315117291182708092023112525.pdf")</f>
        <v>https://dpmzos25m8ivg.cloudfront.net/Documentos/631/51172911827/6315117291182708092023112525.pdf</v>
      </c>
      <c r="G7092" s="5" t="str">
        <f>HYPERLINK("https://dpmzos25m8ivg.cloudfront.net/Documentos/631/51172911827/6315117291182708092023113241.pdf","https://dpmzos25m8ivg.cloudfront.net/Documentos/631/51172911827/6315117291182708092023113241.pdf")</f>
        <v>https://dpmzos25m8ivg.cloudfront.net/Documentos/631/51172911827/6315117291182708092023113241.pdf</v>
      </c>
      <c r="H7092" s="5" t="s">
        <v>15662</v>
      </c>
    </row>
    <row r="7093" spans="1:8" x14ac:dyDescent="0.25">
      <c r="A7093" s="2" t="s">
        <v>7121</v>
      </c>
      <c r="B7093" s="3" t="s">
        <v>90</v>
      </c>
      <c r="C7093" s="3"/>
      <c r="D7093" s="3"/>
      <c r="E7093" s="5" t="str">
        <f>HYPERLINK("https://dpmzos25m8ivg.cloudfront.net/Documentos/631/51190613204/6315119061320405092023090800.jpg","https://dpmzos25m8ivg.cloudfront.net/Documentos/631/51190613204/6315119061320405092023090800.jpg")</f>
        <v>https://dpmzos25m8ivg.cloudfront.net/Documentos/631/51190613204/6315119061320405092023090800.jpg</v>
      </c>
      <c r="F7093" s="5" t="str">
        <f>HYPERLINK("https://dpmzos25m8ivg.cloudfront.net/Documentos/631/51190613204/6315119061320405092023090817.jpg","https://dpmzos25m8ivg.cloudfront.net/Documentos/631/51190613204/6315119061320405092023090817.jpg")</f>
        <v>https://dpmzos25m8ivg.cloudfront.net/Documentos/631/51190613204/6315119061320405092023090817.jpg</v>
      </c>
      <c r="G7093" s="5" t="str">
        <f>HYPERLINK("https://dpmzos25m8ivg.cloudfront.net/Documentos/631/51190613204/6315119061320405092023090949.jpg","https://dpmzos25m8ivg.cloudfront.net/Documentos/631/51190613204/6315119061320405092023090949.jpg")</f>
        <v>https://dpmzos25m8ivg.cloudfront.net/Documentos/631/51190613204/6315119061320405092023090949.jpg</v>
      </c>
      <c r="H7093" s="5" t="s">
        <v>15663</v>
      </c>
    </row>
    <row r="7094" spans="1:8" x14ac:dyDescent="0.25">
      <c r="A7094" s="2" t="s">
        <v>7122</v>
      </c>
      <c r="B7094" s="3" t="s">
        <v>90</v>
      </c>
      <c r="C7094" s="3"/>
      <c r="D7094" s="3"/>
      <c r="E7094" s="5" t="str">
        <f>HYPERLINK("https://dpmzos25m8ivg.cloudfront.net/Documentos/631/51230372504/6315123037250405092023090935.pdf","https://dpmzos25m8ivg.cloudfront.net/Documentos/631/51230372504/6315123037250405092023090935.pdf")</f>
        <v>https://dpmzos25m8ivg.cloudfront.net/Documentos/631/51230372504/6315123037250405092023090935.pdf</v>
      </c>
      <c r="F7094" s="5" t="str">
        <f>HYPERLINK("https://dpmzos25m8ivg.cloudfront.net/Documentos/631/51230372504/6315123037250405092023090943.pdf","https://dpmzos25m8ivg.cloudfront.net/Documentos/631/51230372504/6315123037250405092023090943.pdf")</f>
        <v>https://dpmzos25m8ivg.cloudfront.net/Documentos/631/51230372504/6315123037250405092023090943.pdf</v>
      </c>
      <c r="G7094" s="5" t="str">
        <f>HYPERLINK("https://dpmzos25m8ivg.cloudfront.net/Documentos/631/51230372504/6315123037250405092023090952.pdf","https://dpmzos25m8ivg.cloudfront.net/Documentos/631/51230372504/6315123037250405092023090952.pdf")</f>
        <v>https://dpmzos25m8ivg.cloudfront.net/Documentos/631/51230372504/6315123037250405092023090952.pdf</v>
      </c>
      <c r="H7094" s="5" t="s">
        <v>15664</v>
      </c>
    </row>
    <row r="7095" spans="1:8" x14ac:dyDescent="0.25">
      <c r="A7095" s="2" t="s">
        <v>7123</v>
      </c>
      <c r="B7095" s="3"/>
      <c r="C7095" s="3"/>
      <c r="D7095" s="3"/>
      <c r="E7095" s="5" t="str">
        <f>HYPERLINK("https://dpmzos25m8ivg.cloudfront.net/Documentos/631/51275423825/6315127542382511092023100449.pdf","https://dpmzos25m8ivg.cloudfront.net/Documentos/631/51275423825/6315127542382511092023100449.pdf")</f>
        <v>https://dpmzos25m8ivg.cloudfront.net/Documentos/631/51275423825/6315127542382511092023100449.pdf</v>
      </c>
      <c r="F7095" s="5" t="str">
        <f>HYPERLINK("https://dpmzos25m8ivg.cloudfront.net/Documentos/631/51275423825/6315127542382511092023100456.pdf","https://dpmzos25m8ivg.cloudfront.net/Documentos/631/51275423825/6315127542382511092023100456.pdf")</f>
        <v>https://dpmzos25m8ivg.cloudfront.net/Documentos/631/51275423825/6315127542382511092023100456.pdf</v>
      </c>
      <c r="G7095" s="5" t="str">
        <f>HYPERLINK("https://dpmzos25m8ivg.cloudfront.net/Documentos/631/51275423825/6315127542382511092023100503.pdf","https://dpmzos25m8ivg.cloudfront.net/Documentos/631/51275423825/6315127542382511092023100503.pdf")</f>
        <v>https://dpmzos25m8ivg.cloudfront.net/Documentos/631/51275423825/6315127542382511092023100503.pdf</v>
      </c>
      <c r="H7095" s="5" t="s">
        <v>15665</v>
      </c>
    </row>
    <row r="7096" spans="1:8" x14ac:dyDescent="0.25">
      <c r="A7096" s="2" t="s">
        <v>7124</v>
      </c>
      <c r="B7096" s="3"/>
      <c r="C7096" s="3"/>
      <c r="D7096" s="3"/>
      <c r="E7096" s="5" t="str">
        <f>HYPERLINK("https://dpmzos25m8ivg.cloudfront.net/Documentos/631/51290944253/6315129094425311092023120412.pdf","https://dpmzos25m8ivg.cloudfront.net/Documentos/631/51290944253/6315129094425311092023120412.pdf")</f>
        <v>https://dpmzos25m8ivg.cloudfront.net/Documentos/631/51290944253/6315129094425311092023120412.pdf</v>
      </c>
      <c r="F7096" s="5" t="str">
        <f>HYPERLINK("https://dpmzos25m8ivg.cloudfront.net/Documentos/631/51290944253/6315129094425311092023120446.pdf","https://dpmzos25m8ivg.cloudfront.net/Documentos/631/51290944253/6315129094425311092023120446.pdf")</f>
        <v>https://dpmzos25m8ivg.cloudfront.net/Documentos/631/51290944253/6315129094425311092023120446.pdf</v>
      </c>
      <c r="G7096" s="5" t="str">
        <f>HYPERLINK("https://dpmzos25m8ivg.cloudfront.net/Documentos/631/51290944253/6315129094425311092023120518.pdf","https://dpmzos25m8ivg.cloudfront.net/Documentos/631/51290944253/6315129094425311092023120518.pdf")</f>
        <v>https://dpmzos25m8ivg.cloudfront.net/Documentos/631/51290944253/6315129094425311092023120518.pdf</v>
      </c>
      <c r="H7096" s="5" t="s">
        <v>15666</v>
      </c>
    </row>
    <row r="7097" spans="1:8" x14ac:dyDescent="0.25">
      <c r="A7097" s="2" t="s">
        <v>7125</v>
      </c>
      <c r="B7097" s="3" t="s">
        <v>8</v>
      </c>
      <c r="C7097" s="3"/>
      <c r="D7097" s="3"/>
      <c r="E7097" s="5" t="str">
        <f>HYPERLINK("https://dpmzos25m8ivg.cloudfront.net/Documentos/631/51292402865/6315129240286507092023203351.pdf","https://dpmzos25m8ivg.cloudfront.net/Documentos/631/51292402865/6315129240286507092023203351.pdf")</f>
        <v>https://dpmzos25m8ivg.cloudfront.net/Documentos/631/51292402865/6315129240286507092023203351.pdf</v>
      </c>
      <c r="F7097" s="5" t="str">
        <f>HYPERLINK("https://dpmzos25m8ivg.cloudfront.net/Documentos/631/51292402865/6315129240286507092023203442.pdf","https://dpmzos25m8ivg.cloudfront.net/Documentos/631/51292402865/6315129240286507092023203442.pdf")</f>
        <v>https://dpmzos25m8ivg.cloudfront.net/Documentos/631/51292402865/6315129240286507092023203442.pdf</v>
      </c>
      <c r="G7097" s="5" t="str">
        <f>HYPERLINK("https://dpmzos25m8ivg.cloudfront.net/Documentos/631/51292402865/6315129240286507092023203555.pdf","https://dpmzos25m8ivg.cloudfront.net/Documentos/631/51292402865/6315129240286507092023203555.pdf")</f>
        <v>https://dpmzos25m8ivg.cloudfront.net/Documentos/631/51292402865/6315129240286507092023203555.pdf</v>
      </c>
      <c r="H7097" s="5" t="s">
        <v>15667</v>
      </c>
    </row>
    <row r="7098" spans="1:8" x14ac:dyDescent="0.25">
      <c r="A7098" s="2" t="s">
        <v>7126</v>
      </c>
      <c r="B7098" s="3"/>
      <c r="C7098" s="3"/>
      <c r="D7098" s="3"/>
      <c r="E7098" s="5" t="str">
        <f>HYPERLINK("https://dpmzos25m8ivg.cloudfront.net/Documentos/631/51303850206/6315130385020609092023162441.jpeg","https://dpmzos25m8ivg.cloudfront.net/Documentos/631/51303850206/6315130385020609092023162441.jpeg")</f>
        <v>https://dpmzos25m8ivg.cloudfront.net/Documentos/631/51303850206/6315130385020609092023162441.jpeg</v>
      </c>
      <c r="F7098" s="5" t="str">
        <f>HYPERLINK("https://dpmzos25m8ivg.cloudfront.net/Documentos/631/51303850206/6315130385020609092023162513.jpeg","https://dpmzos25m8ivg.cloudfront.net/Documentos/631/51303850206/6315130385020609092023162513.jpeg")</f>
        <v>https://dpmzos25m8ivg.cloudfront.net/Documentos/631/51303850206/6315130385020609092023162513.jpeg</v>
      </c>
      <c r="G7098" s="5" t="str">
        <f>HYPERLINK("https://dpmzos25m8ivg.cloudfront.net/Documentos/631/51303850206/6315130385020609092023162536.jpeg","https://dpmzos25m8ivg.cloudfront.net/Documentos/631/51303850206/6315130385020609092023162536.jpeg")</f>
        <v>https://dpmzos25m8ivg.cloudfront.net/Documentos/631/51303850206/6315130385020609092023162536.jpeg</v>
      </c>
      <c r="H7098" s="5" t="s">
        <v>15668</v>
      </c>
    </row>
    <row r="7099" spans="1:8" x14ac:dyDescent="0.25">
      <c r="A7099" s="2" t="s">
        <v>7127</v>
      </c>
      <c r="B7099" s="3"/>
      <c r="C7099" s="3"/>
      <c r="D7099" s="3"/>
      <c r="E7099" s="5" t="str">
        <f>HYPERLINK("https://dpmzos25m8ivg.cloudfront.net/Documentos/631/51326922149/6315132692214905092023134620.pdf","https://dpmzos25m8ivg.cloudfront.net/Documentos/631/51326922149/6315132692214905092023134620.pdf")</f>
        <v>https://dpmzos25m8ivg.cloudfront.net/Documentos/631/51326922149/6315132692214905092023134620.pdf</v>
      </c>
      <c r="F7099" s="5" t="str">
        <f>HYPERLINK("https://dpmzos25m8ivg.cloudfront.net/Documentos/631/51326922149/6315132692214905092023134702.pdf","https://dpmzos25m8ivg.cloudfront.net/Documentos/631/51326922149/6315132692214905092023134702.pdf")</f>
        <v>https://dpmzos25m8ivg.cloudfront.net/Documentos/631/51326922149/6315132692214905092023134702.pdf</v>
      </c>
      <c r="G7099" s="5" t="str">
        <f>HYPERLINK("https://dpmzos25m8ivg.cloudfront.net/Documentos/631/51326922149/6315132692214905092023134739.pdf","https://dpmzos25m8ivg.cloudfront.net/Documentos/631/51326922149/6315132692214905092023134739.pdf")</f>
        <v>https://dpmzos25m8ivg.cloudfront.net/Documentos/631/51326922149/6315132692214905092023134739.pdf</v>
      </c>
      <c r="H7099" s="5" t="s">
        <v>15669</v>
      </c>
    </row>
    <row r="7100" spans="1:8" x14ac:dyDescent="0.25">
      <c r="A7100" s="2" t="s">
        <v>7128</v>
      </c>
      <c r="B7100" s="3"/>
      <c r="C7100" s="3"/>
      <c r="D7100" s="3"/>
      <c r="E7100" s="5" t="str">
        <f>HYPERLINK("https://dpmzos25m8ivg.cloudfront.net/Documentos/631/51374714534/6315137471453411092023151313.pdf","https://dpmzos25m8ivg.cloudfront.net/Documentos/631/51374714534/6315137471453411092023151313.pdf")</f>
        <v>https://dpmzos25m8ivg.cloudfront.net/Documentos/631/51374714534/6315137471453411092023151313.pdf</v>
      </c>
      <c r="F7100" s="5" t="str">
        <f>HYPERLINK("https://dpmzos25m8ivg.cloudfront.net/Documentos/631/51374714534/6315137471453411092023151336.pdf","https://dpmzos25m8ivg.cloudfront.net/Documentos/631/51374714534/6315137471453411092023151336.pdf")</f>
        <v>https://dpmzos25m8ivg.cloudfront.net/Documentos/631/51374714534/6315137471453411092023151336.pdf</v>
      </c>
      <c r="G7100" s="5" t="str">
        <f>HYPERLINK("https://dpmzos25m8ivg.cloudfront.net/Documentos/631/51374714534/6315137471453411092023151619.pdf","https://dpmzos25m8ivg.cloudfront.net/Documentos/631/51374714534/6315137471453411092023151619.pdf")</f>
        <v>https://dpmzos25m8ivg.cloudfront.net/Documentos/631/51374714534/6315137471453411092023151619.pdf</v>
      </c>
      <c r="H7100" s="5" t="s">
        <v>15670</v>
      </c>
    </row>
    <row r="7101" spans="1:8" x14ac:dyDescent="0.25">
      <c r="A7101" s="2" t="s">
        <v>7129</v>
      </c>
      <c r="B7101" s="3"/>
      <c r="C7101" s="3"/>
      <c r="D7101" s="3"/>
      <c r="E7101" s="5" t="str">
        <f>HYPERLINK("https://dpmzos25m8ivg.cloudfront.net/Documentos/631/51381460682/6315138146068206092023215725.jpeg","https://dpmzos25m8ivg.cloudfront.net/Documentos/631/51381460682/6315138146068206092023215725.jpeg")</f>
        <v>https://dpmzos25m8ivg.cloudfront.net/Documentos/631/51381460682/6315138146068206092023215725.jpeg</v>
      </c>
      <c r="F7101" s="5" t="str">
        <f>HYPERLINK("https://dpmzos25m8ivg.cloudfront.net/Documentos/631/51381460682/6315138146068206092023215738.jpeg","https://dpmzos25m8ivg.cloudfront.net/Documentos/631/51381460682/6315138146068206092023215738.jpeg")</f>
        <v>https://dpmzos25m8ivg.cloudfront.net/Documentos/631/51381460682/6315138146068206092023215738.jpeg</v>
      </c>
      <c r="G7101" s="5" t="str">
        <f>HYPERLINK("https://dpmzos25m8ivg.cloudfront.net/Documentos/631/51381460682/6315138146068206092023215752.jpeg","https://dpmzos25m8ivg.cloudfront.net/Documentos/631/51381460682/6315138146068206092023215752.jpeg")</f>
        <v>https://dpmzos25m8ivg.cloudfront.net/Documentos/631/51381460682/6315138146068206092023215752.jpeg</v>
      </c>
      <c r="H7101" s="5" t="s">
        <v>15671</v>
      </c>
    </row>
    <row r="7102" spans="1:8" x14ac:dyDescent="0.25">
      <c r="A7102" s="2" t="s">
        <v>7130</v>
      </c>
      <c r="B7102" s="3"/>
      <c r="C7102" s="3"/>
      <c r="D7102" s="3"/>
      <c r="E7102" s="5" t="str">
        <f>HYPERLINK("https://dpmzos25m8ivg.cloudfront.net/Documentos/631/51417928204/6315141792820405092023164833.pdf","https://dpmzos25m8ivg.cloudfront.net/Documentos/631/51417928204/6315141792820405092023164833.pdf")</f>
        <v>https://dpmzos25m8ivg.cloudfront.net/Documentos/631/51417928204/6315141792820405092023164833.pdf</v>
      </c>
      <c r="F7102" s="5" t="str">
        <f>HYPERLINK("https://dpmzos25m8ivg.cloudfront.net/Documentos/631/51417928204/6315141792820405092023171226.pdf","https://dpmzos25m8ivg.cloudfront.net/Documentos/631/51417928204/6315141792820405092023171226.pdf")</f>
        <v>https://dpmzos25m8ivg.cloudfront.net/Documentos/631/51417928204/6315141792820405092023171226.pdf</v>
      </c>
      <c r="G7102" s="5" t="str">
        <f>HYPERLINK("https://dpmzos25m8ivg.cloudfront.net/Documentos/631/51417928204/6315141792820405092023171833.pdf","https://dpmzos25m8ivg.cloudfront.net/Documentos/631/51417928204/6315141792820405092023171833.pdf")</f>
        <v>https://dpmzos25m8ivg.cloudfront.net/Documentos/631/51417928204/6315141792820405092023171833.pdf</v>
      </c>
      <c r="H7102" s="5" t="s">
        <v>15672</v>
      </c>
    </row>
    <row r="7103" spans="1:8" x14ac:dyDescent="0.25">
      <c r="A7103" s="2" t="s">
        <v>7131</v>
      </c>
      <c r="B7103" s="3"/>
      <c r="C7103" s="3"/>
      <c r="D7103" s="3"/>
      <c r="E7103" s="5" t="str">
        <f>HYPERLINK("https://dpmzos25m8ivg.cloudfront.net/Documentos/631/51476997837/6315147699783711092023131619.pdf","https://dpmzos25m8ivg.cloudfront.net/Documentos/631/51476997837/6315147699783711092023131619.pdf")</f>
        <v>https://dpmzos25m8ivg.cloudfront.net/Documentos/631/51476997837/6315147699783711092023131619.pdf</v>
      </c>
      <c r="F7103" s="5" t="str">
        <f>HYPERLINK("https://dpmzos25m8ivg.cloudfront.net/Documentos/631/51476997837/6315147699783711092023131625.pdf","https://dpmzos25m8ivg.cloudfront.net/Documentos/631/51476997837/6315147699783711092023131625.pdf")</f>
        <v>https://dpmzos25m8ivg.cloudfront.net/Documentos/631/51476997837/6315147699783711092023131625.pdf</v>
      </c>
      <c r="G7103" s="5" t="str">
        <f>HYPERLINK("https://dpmzos25m8ivg.cloudfront.net/Documentos/631/51476997837/6315147699783711092023131632.pdf","https://dpmzos25m8ivg.cloudfront.net/Documentos/631/51476997837/6315147699783711092023131632.pdf")</f>
        <v>https://dpmzos25m8ivg.cloudfront.net/Documentos/631/51476997837/6315147699783711092023131632.pdf</v>
      </c>
      <c r="H7103" s="5" t="s">
        <v>15673</v>
      </c>
    </row>
    <row r="7104" spans="1:8" x14ac:dyDescent="0.25">
      <c r="A7104" s="2" t="s">
        <v>7132</v>
      </c>
      <c r="B7104" s="3"/>
      <c r="C7104" s="3"/>
      <c r="D7104" s="3"/>
      <c r="E7104" s="5" t="str">
        <f>HYPERLINK("https://dpmzos25m8ivg.cloudfront.net/Documentos/631/51601330898/6315160133089811092023113748.pdf","https://dpmzos25m8ivg.cloudfront.net/Documentos/631/51601330898/6315160133089811092023113748.pdf")</f>
        <v>https://dpmzos25m8ivg.cloudfront.net/Documentos/631/51601330898/6315160133089811092023113748.pdf</v>
      </c>
      <c r="F7104" s="5" t="str">
        <f>HYPERLINK("https://dpmzos25m8ivg.cloudfront.net/Documentos/631/51601330898/6315160133089811092023113804.pdf","https://dpmzos25m8ivg.cloudfront.net/Documentos/631/51601330898/6315160133089811092023113804.pdf")</f>
        <v>https://dpmzos25m8ivg.cloudfront.net/Documentos/631/51601330898/6315160133089811092023113804.pdf</v>
      </c>
      <c r="G7104" s="5" t="str">
        <f>HYPERLINK("https://dpmzos25m8ivg.cloudfront.net/Documentos/631/51601330898/6315160133089811092023113815.pdf","https://dpmzos25m8ivg.cloudfront.net/Documentos/631/51601330898/6315160133089811092023113815.pdf")</f>
        <v>https://dpmzos25m8ivg.cloudfront.net/Documentos/631/51601330898/6315160133089811092023113815.pdf</v>
      </c>
      <c r="H7104" s="5" t="s">
        <v>15674</v>
      </c>
    </row>
    <row r="7105" spans="1:8" x14ac:dyDescent="0.25">
      <c r="A7105" s="2" t="s">
        <v>7133</v>
      </c>
      <c r="B7105" s="3"/>
      <c r="C7105" s="3"/>
      <c r="D7105" s="3"/>
      <c r="E7105" s="5" t="str">
        <f>HYPERLINK("https://dpmzos25m8ivg.cloudfront.net/Documentos/631/51613662300/6315161366230005092023224701.jpg","https://dpmzos25m8ivg.cloudfront.net/Documentos/631/51613662300/6315161366230005092023224701.jpg")</f>
        <v>https://dpmzos25m8ivg.cloudfront.net/Documentos/631/51613662300/6315161366230005092023224701.jpg</v>
      </c>
      <c r="F7105" s="5" t="str">
        <f>HYPERLINK("https://dpmzos25m8ivg.cloudfront.net/Documentos/631/51613662300/6315161366230005092023225553.pdf","https://dpmzos25m8ivg.cloudfront.net/Documentos/631/51613662300/6315161366230005092023225553.pdf")</f>
        <v>https://dpmzos25m8ivg.cloudfront.net/Documentos/631/51613662300/6315161366230005092023225553.pdf</v>
      </c>
      <c r="G7105" s="5" t="str">
        <f>HYPERLINK("https://dpmzos25m8ivg.cloudfront.net/Documentos/631/51613662300/6315161366230005092023225614.pdf","https://dpmzos25m8ivg.cloudfront.net/Documentos/631/51613662300/6315161366230005092023225614.pdf")</f>
        <v>https://dpmzos25m8ivg.cloudfront.net/Documentos/631/51613662300/6315161366230005092023225614.pdf</v>
      </c>
      <c r="H7105" s="5" t="s">
        <v>15675</v>
      </c>
    </row>
    <row r="7106" spans="1:8" x14ac:dyDescent="0.25">
      <c r="A7106" s="2" t="s">
        <v>7134</v>
      </c>
      <c r="B7106" s="3"/>
      <c r="C7106" s="3"/>
      <c r="D7106" s="3"/>
      <c r="E7106" s="5" t="str">
        <f>HYPERLINK("https://dpmzos25m8ivg.cloudfront.net/Documentos/631/51726955320/6315172695532011092023135812.jpg","https://dpmzos25m8ivg.cloudfront.net/Documentos/631/51726955320/6315172695532011092023135812.jpg")</f>
        <v>https://dpmzos25m8ivg.cloudfront.net/Documentos/631/51726955320/6315172695532011092023135812.jpg</v>
      </c>
      <c r="F7106" s="5" t="str">
        <f>HYPERLINK("https://dpmzos25m8ivg.cloudfront.net/Documentos/631/51726955320/6315172695532011092023135839.jpg","https://dpmzos25m8ivg.cloudfront.net/Documentos/631/51726955320/6315172695532011092023135839.jpg")</f>
        <v>https://dpmzos25m8ivg.cloudfront.net/Documentos/631/51726955320/6315172695532011092023135839.jpg</v>
      </c>
      <c r="G7106" s="5" t="str">
        <f>HYPERLINK("https://dpmzos25m8ivg.cloudfront.net/Documentos/631/51726955320/6315172695532011092023135852.jpg","https://dpmzos25m8ivg.cloudfront.net/Documentos/631/51726955320/6315172695532011092023135852.jpg")</f>
        <v>https://dpmzos25m8ivg.cloudfront.net/Documentos/631/51726955320/6315172695532011092023135852.jpg</v>
      </c>
      <c r="H7106" s="5" t="s">
        <v>15676</v>
      </c>
    </row>
    <row r="7107" spans="1:8" x14ac:dyDescent="0.25">
      <c r="A7107" s="2" t="s">
        <v>7135</v>
      </c>
      <c r="B7107" s="3"/>
      <c r="C7107" s="3"/>
      <c r="D7107" s="3"/>
      <c r="E7107" s="5" t="str">
        <f>HYPERLINK("https://dpmzos25m8ivg.cloudfront.net/Documentos/631/51805806840/6315180580684013092023202940.pdf","https://dpmzos25m8ivg.cloudfront.net/Documentos/631/51805806840/6315180580684013092023202940.pdf")</f>
        <v>https://dpmzos25m8ivg.cloudfront.net/Documentos/631/51805806840/6315180580684013092023202940.pdf</v>
      </c>
      <c r="F7107" s="5" t="str">
        <f>HYPERLINK("https://dpmzos25m8ivg.cloudfront.net/Documentos/631/51805806840/6315180580684013092023202946.pdf","https://dpmzos25m8ivg.cloudfront.net/Documentos/631/51805806840/6315180580684013092023202946.pdf")</f>
        <v>https://dpmzos25m8ivg.cloudfront.net/Documentos/631/51805806840/6315180580684013092023202946.pdf</v>
      </c>
      <c r="G7107" s="5" t="str">
        <f>HYPERLINK("https://dpmzos25m8ivg.cloudfront.net/Documentos/631/51805806840/6315180580684013092023202954.pdf","https://dpmzos25m8ivg.cloudfront.net/Documentos/631/51805806840/6315180580684013092023202954.pdf")</f>
        <v>https://dpmzos25m8ivg.cloudfront.net/Documentos/631/51805806840/6315180580684013092023202954.pdf</v>
      </c>
      <c r="H7107" s="5" t="s">
        <v>15677</v>
      </c>
    </row>
    <row r="7108" spans="1:8" x14ac:dyDescent="0.25">
      <c r="A7108" s="2" t="s">
        <v>7136</v>
      </c>
      <c r="B7108" s="3" t="s">
        <v>8</v>
      </c>
      <c r="C7108" s="3"/>
      <c r="D7108" s="3"/>
      <c r="E7108" s="5" t="str">
        <f>HYPERLINK("https://dpmzos25m8ivg.cloudfront.net/Documentos/631/51837900604/6315183790060408092023200929.pdf","https://dpmzos25m8ivg.cloudfront.net/Documentos/631/51837900604/6315183790060408092023200929.pdf")</f>
        <v>https://dpmzos25m8ivg.cloudfront.net/Documentos/631/51837900604/6315183790060408092023200929.pdf</v>
      </c>
      <c r="F7108" s="5" t="str">
        <f>HYPERLINK("https://dpmzos25m8ivg.cloudfront.net/Documentos/631/51837900604/6315183790060408092023200958.pdf","https://dpmzos25m8ivg.cloudfront.net/Documentos/631/51837900604/6315183790060408092023200958.pdf")</f>
        <v>https://dpmzos25m8ivg.cloudfront.net/Documentos/631/51837900604/6315183790060408092023200958.pdf</v>
      </c>
      <c r="G7108" s="5" t="str">
        <f>HYPERLINK("https://dpmzos25m8ivg.cloudfront.net/Documentos/631/51837900604/6315183790060408092023201052.pdf","https://dpmzos25m8ivg.cloudfront.net/Documentos/631/51837900604/6315183790060408092023201052.pdf")</f>
        <v>https://dpmzos25m8ivg.cloudfront.net/Documentos/631/51837900604/6315183790060408092023201052.pdf</v>
      </c>
      <c r="H7108" s="5" t="s">
        <v>15678</v>
      </c>
    </row>
    <row r="7109" spans="1:8" x14ac:dyDescent="0.25">
      <c r="A7109" s="2" t="s">
        <v>7137</v>
      </c>
      <c r="B7109" s="3"/>
      <c r="C7109" s="3"/>
      <c r="D7109" s="3"/>
      <c r="E7109" s="5" t="str">
        <f>HYPERLINK("https://dpmzos25m8ivg.cloudfront.net/Documentos/631/51852381272/6315185238127206092023163845.pdf","https://dpmzos25m8ivg.cloudfront.net/Documentos/631/51852381272/6315185238127206092023163845.pdf")</f>
        <v>https://dpmzos25m8ivg.cloudfront.net/Documentos/631/51852381272/6315185238127206092023163845.pdf</v>
      </c>
      <c r="F7109" s="5" t="str">
        <f>HYPERLINK("https://dpmzos25m8ivg.cloudfront.net/Documentos/631/51852381272/6315185238127206092023163928.pdf","https://dpmzos25m8ivg.cloudfront.net/Documentos/631/51852381272/6315185238127206092023163928.pdf")</f>
        <v>https://dpmzos25m8ivg.cloudfront.net/Documentos/631/51852381272/6315185238127206092023163928.pdf</v>
      </c>
      <c r="G7109" s="5" t="str">
        <f>HYPERLINK("https://dpmzos25m8ivg.cloudfront.net/Documentos/631/51852381272/6315185238127206092023164004.pdf","https://dpmzos25m8ivg.cloudfront.net/Documentos/631/51852381272/6315185238127206092023164004.pdf")</f>
        <v>https://dpmzos25m8ivg.cloudfront.net/Documentos/631/51852381272/6315185238127206092023164004.pdf</v>
      </c>
      <c r="H7109" s="5" t="s">
        <v>15679</v>
      </c>
    </row>
    <row r="7110" spans="1:8" x14ac:dyDescent="0.25">
      <c r="A7110" s="2" t="s">
        <v>7138</v>
      </c>
      <c r="B7110" s="3"/>
      <c r="C7110" s="3"/>
      <c r="D7110" s="3"/>
      <c r="E7110" s="5" t="str">
        <f>HYPERLINK("https://dpmzos25m8ivg.cloudfront.net/Documentos/631/51890054291/6315189005429110092023184701.pdf","https://dpmzos25m8ivg.cloudfront.net/Documentos/631/51890054291/6315189005429110092023184701.pdf")</f>
        <v>https://dpmzos25m8ivg.cloudfront.net/Documentos/631/51890054291/6315189005429110092023184701.pdf</v>
      </c>
      <c r="F7110" s="5" t="str">
        <f>HYPERLINK("https://dpmzos25m8ivg.cloudfront.net/Documentos/631/51890054291/6315189005429110092023184715.pdf","https://dpmzos25m8ivg.cloudfront.net/Documentos/631/51890054291/6315189005429110092023184715.pdf")</f>
        <v>https://dpmzos25m8ivg.cloudfront.net/Documentos/631/51890054291/6315189005429110092023184715.pdf</v>
      </c>
      <c r="G7110" s="5" t="str">
        <f>HYPERLINK("https://dpmzos25m8ivg.cloudfront.net/Documentos/631/51890054291/6315189005429110092023184727.pdf","https://dpmzos25m8ivg.cloudfront.net/Documentos/631/51890054291/6315189005429110092023184727.pdf")</f>
        <v>https://dpmzos25m8ivg.cloudfront.net/Documentos/631/51890054291/6315189005429110092023184727.pdf</v>
      </c>
      <c r="H7110" s="5" t="s">
        <v>15680</v>
      </c>
    </row>
    <row r="7111" spans="1:8" x14ac:dyDescent="0.25">
      <c r="A7111" s="2" t="s">
        <v>7139</v>
      </c>
      <c r="B7111" s="3"/>
      <c r="C7111" s="3"/>
      <c r="D7111" s="3"/>
      <c r="E7111" s="5" t="str">
        <f>HYPERLINK("https://dpmzos25m8ivg.cloudfront.net/Documentos/631/51963868234/6315196386823406092023202011.pdf","https://dpmzos25m8ivg.cloudfront.net/Documentos/631/51963868234/6315196386823406092023202011.pdf")</f>
        <v>https://dpmzos25m8ivg.cloudfront.net/Documentos/631/51963868234/6315196386823406092023202011.pdf</v>
      </c>
      <c r="F7111" s="5" t="str">
        <f>HYPERLINK("https://dpmzos25m8ivg.cloudfront.net/Documentos/631/51963868234/6315196386823406092023202205.pdf","https://dpmzos25m8ivg.cloudfront.net/Documentos/631/51963868234/6315196386823406092023202205.pdf")</f>
        <v>https://dpmzos25m8ivg.cloudfront.net/Documentos/631/51963868234/6315196386823406092023202205.pdf</v>
      </c>
      <c r="G7111" s="5" t="str">
        <f>HYPERLINK("https://dpmzos25m8ivg.cloudfront.net/Documentos/631/51963868234/6315196386823406092023202244.pdf","https://dpmzos25m8ivg.cloudfront.net/Documentos/631/51963868234/6315196386823406092023202244.pdf")</f>
        <v>https://dpmzos25m8ivg.cloudfront.net/Documentos/631/51963868234/6315196386823406092023202244.pdf</v>
      </c>
      <c r="H7111" s="5" t="s">
        <v>15681</v>
      </c>
    </row>
    <row r="7112" spans="1:8" x14ac:dyDescent="0.25">
      <c r="A7112" s="2" t="s">
        <v>7140</v>
      </c>
      <c r="B7112" s="3"/>
      <c r="C7112" s="3"/>
      <c r="D7112" s="3"/>
      <c r="E7112" s="5" t="str">
        <f>HYPERLINK("https://dpmzos25m8ivg.cloudfront.net/Documentos/631/52165388287/6315216538828705092023181017.pdf","https://dpmzos25m8ivg.cloudfront.net/Documentos/631/52165388287/6315216538828705092023181017.pdf")</f>
        <v>https://dpmzos25m8ivg.cloudfront.net/Documentos/631/52165388287/6315216538828705092023181017.pdf</v>
      </c>
      <c r="F7112" s="5" t="str">
        <f>HYPERLINK("https://dpmzos25m8ivg.cloudfront.net/Documentos/631/52165388287/6315216538828705092023181028.pdf","https://dpmzos25m8ivg.cloudfront.net/Documentos/631/52165388287/6315216538828705092023181028.pdf")</f>
        <v>https://dpmzos25m8ivg.cloudfront.net/Documentos/631/52165388287/6315216538828705092023181028.pdf</v>
      </c>
      <c r="G7112" s="5" t="str">
        <f>HYPERLINK("https://dpmzos25m8ivg.cloudfront.net/Documentos/631/52165388287/6315216538828705092023181036.pdf","https://dpmzos25m8ivg.cloudfront.net/Documentos/631/52165388287/6315216538828705092023181036.pdf")</f>
        <v>https://dpmzos25m8ivg.cloudfront.net/Documentos/631/52165388287/6315216538828705092023181036.pdf</v>
      </c>
      <c r="H7112" s="5" t="s">
        <v>15682</v>
      </c>
    </row>
    <row r="7113" spans="1:8" x14ac:dyDescent="0.25">
      <c r="A7113" s="2" t="s">
        <v>7141</v>
      </c>
      <c r="B7113" s="3"/>
      <c r="C7113" s="3"/>
      <c r="D7113" s="3"/>
      <c r="E7113" s="5" t="str">
        <f>HYPERLINK("https://dpmzos25m8ivg.cloudfront.net/Documentos/631/52259048234/6315225904823411092023134556.pdf","https://dpmzos25m8ivg.cloudfront.net/Documentos/631/52259048234/6315225904823411092023134556.pdf")</f>
        <v>https://dpmzos25m8ivg.cloudfront.net/Documentos/631/52259048234/6315225904823411092023134556.pdf</v>
      </c>
      <c r="F7113" s="5" t="str">
        <f>HYPERLINK("https://dpmzos25m8ivg.cloudfront.net/Documentos/631/52259048234/6315225904823411092023134522.pdf","https://dpmzos25m8ivg.cloudfront.net/Documentos/631/52259048234/6315225904823411092023134522.pdf")</f>
        <v>https://dpmzos25m8ivg.cloudfront.net/Documentos/631/52259048234/6315225904823411092023134522.pdf</v>
      </c>
      <c r="G7113" s="5" t="str">
        <f>HYPERLINK("https://dpmzos25m8ivg.cloudfront.net/Documentos/631/52259048234/6315225904823411092023134502.pdf","https://dpmzos25m8ivg.cloudfront.net/Documentos/631/52259048234/6315225904823411092023134502.pdf")</f>
        <v>https://dpmzos25m8ivg.cloudfront.net/Documentos/631/52259048234/6315225904823411092023134502.pdf</v>
      </c>
      <c r="H7113" s="5" t="s">
        <v>15683</v>
      </c>
    </row>
    <row r="7114" spans="1:8" x14ac:dyDescent="0.25">
      <c r="A7114" s="2" t="s">
        <v>7142</v>
      </c>
      <c r="B7114" s="3"/>
      <c r="C7114" s="3"/>
      <c r="D7114" s="3"/>
      <c r="E7114" s="5" t="str">
        <f>HYPERLINK("https://dpmzos25m8ivg.cloudfront.net/Documentos/631/52264386215/6315226438621504092023201501.jpeg","https://dpmzos25m8ivg.cloudfront.net/Documentos/631/52264386215/6315226438621504092023201501.jpeg")</f>
        <v>https://dpmzos25m8ivg.cloudfront.net/Documentos/631/52264386215/6315226438621504092023201501.jpeg</v>
      </c>
      <c r="F7114" s="5" t="str">
        <f>HYPERLINK("https://dpmzos25m8ivg.cloudfront.net/Documentos/631/52264386215/6315226438621504092023201541.jpeg","https://dpmzos25m8ivg.cloudfront.net/Documentos/631/52264386215/6315226438621504092023201541.jpeg")</f>
        <v>https://dpmzos25m8ivg.cloudfront.net/Documentos/631/52264386215/6315226438621504092023201541.jpeg</v>
      </c>
      <c r="G7114" s="5" t="str">
        <f>HYPERLINK("https://dpmzos25m8ivg.cloudfront.net/Documentos/631/52264386215/6315226438621504092023201551.jpeg","https://dpmzos25m8ivg.cloudfront.net/Documentos/631/52264386215/6315226438621504092023201551.jpeg")</f>
        <v>https://dpmzos25m8ivg.cloudfront.net/Documentos/631/52264386215/6315226438621504092023201551.jpeg</v>
      </c>
      <c r="H7114" s="5" t="s">
        <v>15684</v>
      </c>
    </row>
    <row r="7115" spans="1:8" x14ac:dyDescent="0.25">
      <c r="A7115" s="2" t="s">
        <v>7143</v>
      </c>
      <c r="B7115" s="3"/>
      <c r="C7115" s="3"/>
      <c r="D7115" s="3"/>
      <c r="E7115" s="5" t="str">
        <f>HYPERLINK("https://dpmzos25m8ivg.cloudfront.net/Documentos/631/52303055172/6315230305517211092023145018.pdf","https://dpmzos25m8ivg.cloudfront.net/Documentos/631/52303055172/6315230305517211092023145018.pdf")</f>
        <v>https://dpmzos25m8ivg.cloudfront.net/Documentos/631/52303055172/6315230305517211092023145018.pdf</v>
      </c>
      <c r="F7115" s="5" t="str">
        <f>HYPERLINK("https://dpmzos25m8ivg.cloudfront.net/Documentos/631/52303055172/6315230305517211092023145037.pdf","https://dpmzos25m8ivg.cloudfront.net/Documentos/631/52303055172/6315230305517211092023145037.pdf")</f>
        <v>https://dpmzos25m8ivg.cloudfront.net/Documentos/631/52303055172/6315230305517211092023145037.pdf</v>
      </c>
      <c r="G7115" s="5" t="str">
        <f>HYPERLINK("https://dpmzos25m8ivg.cloudfront.net/Documentos/631/52303055172/6315230305517211092023145055.pdf","https://dpmzos25m8ivg.cloudfront.net/Documentos/631/52303055172/6315230305517211092023145055.pdf")</f>
        <v>https://dpmzos25m8ivg.cloudfront.net/Documentos/631/52303055172/6315230305517211092023145055.pdf</v>
      </c>
      <c r="H7115" s="5" t="s">
        <v>15685</v>
      </c>
    </row>
    <row r="7116" spans="1:8" x14ac:dyDescent="0.25">
      <c r="A7116" s="2" t="s">
        <v>7144</v>
      </c>
      <c r="B7116" s="3"/>
      <c r="C7116" s="3"/>
      <c r="D7116" s="3"/>
      <c r="E7116" s="5" t="str">
        <f>HYPERLINK("https://dpmzos25m8ivg.cloudfront.net/Documentos/631/52334937649/6315233493764911092023151714.pdf","https://dpmzos25m8ivg.cloudfront.net/Documentos/631/52334937649/6315233493764911092023151714.pdf")</f>
        <v>https://dpmzos25m8ivg.cloudfront.net/Documentos/631/52334937649/6315233493764911092023151714.pdf</v>
      </c>
      <c r="F7116" s="5" t="str">
        <f>HYPERLINK("https://dpmzos25m8ivg.cloudfront.net/Documentos/631/52334937649/6315233493764911092023152039.pdf","https://dpmzos25m8ivg.cloudfront.net/Documentos/631/52334937649/6315233493764911092023152039.pdf")</f>
        <v>https://dpmzos25m8ivg.cloudfront.net/Documentos/631/52334937649/6315233493764911092023152039.pdf</v>
      </c>
      <c r="G7116" s="5" t="str">
        <f>HYPERLINK("https://dpmzos25m8ivg.cloudfront.net/Documentos/631/52334937649/6315233493764911092023163528.pdf","https://dpmzos25m8ivg.cloudfront.net/Documentos/631/52334937649/6315233493764911092023163528.pdf")</f>
        <v>https://dpmzos25m8ivg.cloudfront.net/Documentos/631/52334937649/6315233493764911092023163528.pdf</v>
      </c>
      <c r="H7116" s="5" t="s">
        <v>15686</v>
      </c>
    </row>
    <row r="7117" spans="1:8" x14ac:dyDescent="0.25">
      <c r="A7117" s="2" t="s">
        <v>7145</v>
      </c>
      <c r="B7117" s="3"/>
      <c r="C7117" s="3"/>
      <c r="D7117" s="3"/>
      <c r="E7117" s="5" t="str">
        <f>HYPERLINK("https://dpmzos25m8ivg.cloudfront.net/Documentos/631/52359760459/6315235976045910092023124423.pdf","https://dpmzos25m8ivg.cloudfront.net/Documentos/631/52359760459/6315235976045910092023124423.pdf")</f>
        <v>https://dpmzos25m8ivg.cloudfront.net/Documentos/631/52359760459/6315235976045910092023124423.pdf</v>
      </c>
      <c r="F7117" s="5" t="str">
        <f>HYPERLINK("https://dpmzos25m8ivg.cloudfront.net/Documentos/631/52359760459/6315235976045910092023124454.pdf","https://dpmzos25m8ivg.cloudfront.net/Documentos/631/52359760459/6315235976045910092023124454.pdf")</f>
        <v>https://dpmzos25m8ivg.cloudfront.net/Documentos/631/52359760459/6315235976045910092023124454.pdf</v>
      </c>
      <c r="G7117" s="5" t="str">
        <f>HYPERLINK("https://dpmzos25m8ivg.cloudfront.net/Documentos/631/52359760459/6315235976045910092023124510.pdf","https://dpmzos25m8ivg.cloudfront.net/Documentos/631/52359760459/6315235976045910092023124510.pdf")</f>
        <v>https://dpmzos25m8ivg.cloudfront.net/Documentos/631/52359760459/6315235976045910092023124510.pdf</v>
      </c>
      <c r="H7117" s="5" t="s">
        <v>15687</v>
      </c>
    </row>
    <row r="7118" spans="1:8" x14ac:dyDescent="0.25">
      <c r="A7118" s="2" t="s">
        <v>7146</v>
      </c>
      <c r="B7118" s="3"/>
      <c r="C7118" s="3"/>
      <c r="D7118" s="3"/>
      <c r="E7118" s="5" t="str">
        <f>HYPERLINK("https://dpmzos25m8ivg.cloudfront.net/Documentos/631/52380289204/6315238028920411092023140932.pdf","https://dpmzos25m8ivg.cloudfront.net/Documentos/631/52380289204/6315238028920411092023140932.pdf")</f>
        <v>https://dpmzos25m8ivg.cloudfront.net/Documentos/631/52380289204/6315238028920411092023140932.pdf</v>
      </c>
      <c r="F7118" s="5" t="str">
        <f>HYPERLINK("https://dpmzos25m8ivg.cloudfront.net/Documentos/631/52380289204/6315238028920411092023140954.pdf","https://dpmzos25m8ivg.cloudfront.net/Documentos/631/52380289204/6315238028920411092023140954.pdf")</f>
        <v>https://dpmzos25m8ivg.cloudfront.net/Documentos/631/52380289204/6315238028920411092023140954.pdf</v>
      </c>
      <c r="G7118" s="5" t="str">
        <f>HYPERLINK("https://dpmzos25m8ivg.cloudfront.net/Documentos/631/52380289204/6315238028920411092023141014.pdf","https://dpmzos25m8ivg.cloudfront.net/Documentos/631/52380289204/6315238028920411092023141014.pdf")</f>
        <v>https://dpmzos25m8ivg.cloudfront.net/Documentos/631/52380289204/6315238028920411092023141014.pdf</v>
      </c>
      <c r="H7118" s="5" t="s">
        <v>15688</v>
      </c>
    </row>
    <row r="7119" spans="1:8" x14ac:dyDescent="0.25">
      <c r="A7119" s="2" t="s">
        <v>7147</v>
      </c>
      <c r="B7119" s="3"/>
      <c r="C7119" s="3"/>
      <c r="D7119" s="3"/>
      <c r="E7119" s="5" t="str">
        <f>HYPERLINK("https://dpmzos25m8ivg.cloudfront.net/Documentos/631/52426955287/6315242695528711092023114251.jpeg","https://dpmzos25m8ivg.cloudfront.net/Documentos/631/52426955287/6315242695528711092023114251.jpeg")</f>
        <v>https://dpmzos25m8ivg.cloudfront.net/Documentos/631/52426955287/6315242695528711092023114251.jpeg</v>
      </c>
      <c r="F7119" s="5" t="str">
        <f>HYPERLINK("https://dpmzos25m8ivg.cloudfront.net/Documentos/631/52426955287/6315242695528711092023114323.jpeg","https://dpmzos25m8ivg.cloudfront.net/Documentos/631/52426955287/6315242695528711092023114323.jpeg")</f>
        <v>https://dpmzos25m8ivg.cloudfront.net/Documentos/631/52426955287/6315242695528711092023114323.jpeg</v>
      </c>
      <c r="G7119" s="5" t="str">
        <f>HYPERLINK("https://dpmzos25m8ivg.cloudfront.net/Documentos/631/52426955287/6315242695528711092023114341.jpeg","https://dpmzos25m8ivg.cloudfront.net/Documentos/631/52426955287/6315242695528711092023114341.jpeg")</f>
        <v>https://dpmzos25m8ivg.cloudfront.net/Documentos/631/52426955287/6315242695528711092023114341.jpeg</v>
      </c>
      <c r="H7119" s="5" t="s">
        <v>15689</v>
      </c>
    </row>
    <row r="7120" spans="1:8" x14ac:dyDescent="0.25">
      <c r="A7120" s="2" t="s">
        <v>7148</v>
      </c>
      <c r="B7120" s="3" t="s">
        <v>8</v>
      </c>
      <c r="C7120" s="3"/>
      <c r="D7120" s="3"/>
      <c r="E7120" s="5" t="str">
        <f>HYPERLINK("https://dpmzos25m8ivg.cloudfront.net/Documentos/631/52446646204/6315244664620414092023113339.pdf","https://dpmzos25m8ivg.cloudfront.net/Documentos/631/52446646204/6315244664620414092023113339.pdf")</f>
        <v>https://dpmzos25m8ivg.cloudfront.net/Documentos/631/52446646204/6315244664620414092023113339.pdf</v>
      </c>
      <c r="F7120" s="5" t="str">
        <f>HYPERLINK("https://dpmzos25m8ivg.cloudfront.net/Documentos/631/52446646204/6315244664620414092023113357.pdf","https://dpmzos25m8ivg.cloudfront.net/Documentos/631/52446646204/6315244664620414092023113357.pdf")</f>
        <v>https://dpmzos25m8ivg.cloudfront.net/Documentos/631/52446646204/6315244664620414092023113357.pdf</v>
      </c>
      <c r="G7120" s="5" t="str">
        <f>HYPERLINK("https://dpmzos25m8ivg.cloudfront.net/Documentos/631/52446646204/6315244664620414092023113411.pdf","https://dpmzos25m8ivg.cloudfront.net/Documentos/631/52446646204/6315244664620414092023113411.pdf")</f>
        <v>https://dpmzos25m8ivg.cloudfront.net/Documentos/631/52446646204/6315244664620414092023113411.pdf</v>
      </c>
      <c r="H7120" s="5" t="s">
        <v>9010</v>
      </c>
    </row>
    <row r="7121" spans="1:8" x14ac:dyDescent="0.25">
      <c r="A7121" s="2" t="s">
        <v>7149</v>
      </c>
      <c r="B7121" s="3"/>
      <c r="C7121" s="3"/>
      <c r="D7121" s="3"/>
      <c r="E7121" s="5" t="str">
        <f>HYPERLINK("https://dpmzos25m8ivg.cloudfront.net/Documentos/631/52671615434/6315267161543407092023220756.pdf","https://dpmzos25m8ivg.cloudfront.net/Documentos/631/52671615434/6315267161543407092023220756.pdf")</f>
        <v>https://dpmzos25m8ivg.cloudfront.net/Documentos/631/52671615434/6315267161543407092023220756.pdf</v>
      </c>
      <c r="F7121" s="5" t="str">
        <f>HYPERLINK("https://dpmzos25m8ivg.cloudfront.net/Documentos/631/52671615434/6315267161543407092023220804.pdf","https://dpmzos25m8ivg.cloudfront.net/Documentos/631/52671615434/6315267161543407092023220804.pdf")</f>
        <v>https://dpmzos25m8ivg.cloudfront.net/Documentos/631/52671615434/6315267161543407092023220804.pdf</v>
      </c>
      <c r="G7121" s="5" t="str">
        <f>HYPERLINK("https://dpmzos25m8ivg.cloudfront.net/Documentos/631/52671615434/6315267161543407092023220810.pdf","https://dpmzos25m8ivg.cloudfront.net/Documentos/631/52671615434/6315267161543407092023220810.pdf")</f>
        <v>https://dpmzos25m8ivg.cloudfront.net/Documentos/631/52671615434/6315267161543407092023220810.pdf</v>
      </c>
      <c r="H7121" s="5" t="s">
        <v>15690</v>
      </c>
    </row>
    <row r="7122" spans="1:8" x14ac:dyDescent="0.25">
      <c r="A7122" s="2" t="s">
        <v>7150</v>
      </c>
      <c r="B7122" s="3"/>
      <c r="C7122" s="3"/>
      <c r="D7122" s="3"/>
      <c r="E7122" s="5" t="str">
        <f>HYPERLINK("https://dpmzos25m8ivg.cloudfront.net/Documentos/631/52687902268/6315268790226811092023125611.jpeg","https://dpmzos25m8ivg.cloudfront.net/Documentos/631/52687902268/6315268790226811092023125611.jpeg")</f>
        <v>https://dpmzos25m8ivg.cloudfront.net/Documentos/631/52687902268/6315268790226811092023125611.jpeg</v>
      </c>
      <c r="F7122" s="5" t="str">
        <f>HYPERLINK("https://dpmzos25m8ivg.cloudfront.net/Documentos/631/52687902268/6315268790226811092023125622.jpeg","https://dpmzos25m8ivg.cloudfront.net/Documentos/631/52687902268/6315268790226811092023125622.jpeg")</f>
        <v>https://dpmzos25m8ivg.cloudfront.net/Documentos/631/52687902268/6315268790226811092023125622.jpeg</v>
      </c>
      <c r="G7122" s="5" t="str">
        <f>HYPERLINK("https://dpmzos25m8ivg.cloudfront.net/Documentos/631/52687902268/6315268790226811092023125634.jpeg","https://dpmzos25m8ivg.cloudfront.net/Documentos/631/52687902268/6315268790226811092023125634.jpeg")</f>
        <v>https://dpmzos25m8ivg.cloudfront.net/Documentos/631/52687902268/6315268790226811092023125634.jpeg</v>
      </c>
      <c r="H7122" s="5" t="s">
        <v>15691</v>
      </c>
    </row>
    <row r="7123" spans="1:8" x14ac:dyDescent="0.25">
      <c r="A7123" s="2" t="s">
        <v>7151</v>
      </c>
      <c r="B7123" s="3" t="s">
        <v>42</v>
      </c>
      <c r="C7123" s="3"/>
      <c r="D7123" s="3"/>
      <c r="E7123" s="5" t="str">
        <f>HYPERLINK("https://dpmzos25m8ivg.cloudfront.net/Documentos/631/52699914894/6315269991489406092023134107.pdf","https://dpmzos25m8ivg.cloudfront.net/Documentos/631/52699914894/6315269991489406092023134107.pdf")</f>
        <v>https://dpmzos25m8ivg.cloudfront.net/Documentos/631/52699914894/6315269991489406092023134107.pdf</v>
      </c>
      <c r="F7123" s="5" t="str">
        <f>HYPERLINK("https://dpmzos25m8ivg.cloudfront.net/Documentos/631/52699914894/6315269991489406092023134121.pdf","https://dpmzos25m8ivg.cloudfront.net/Documentos/631/52699914894/6315269991489406092023134121.pdf")</f>
        <v>https://dpmzos25m8ivg.cloudfront.net/Documentos/631/52699914894/6315269991489406092023134121.pdf</v>
      </c>
      <c r="G7123" s="5" t="str">
        <f>HYPERLINK("https://dpmzos25m8ivg.cloudfront.net/Documentos/631/52699914894/6315269991489406092023134133.pdf","https://dpmzos25m8ivg.cloudfront.net/Documentos/631/52699914894/6315269991489406092023134133.pdf")</f>
        <v>https://dpmzos25m8ivg.cloudfront.net/Documentos/631/52699914894/6315269991489406092023134133.pdf</v>
      </c>
      <c r="H7123" s="5" t="s">
        <v>15692</v>
      </c>
    </row>
    <row r="7124" spans="1:8" x14ac:dyDescent="0.25">
      <c r="A7124" s="2" t="s">
        <v>7152</v>
      </c>
      <c r="B7124" s="3"/>
      <c r="C7124" s="3"/>
      <c r="D7124" s="3"/>
      <c r="E7124" s="5" t="str">
        <f>HYPERLINK("https://dpmzos25m8ivg.cloudfront.net/Documentos/631/52730255591/6315273025559107092023120926.pdf","https://dpmzos25m8ivg.cloudfront.net/Documentos/631/52730255591/6315273025559107092023120926.pdf")</f>
        <v>https://dpmzos25m8ivg.cloudfront.net/Documentos/631/52730255591/6315273025559107092023120926.pdf</v>
      </c>
      <c r="F7124" s="5" t="str">
        <f>HYPERLINK("https://dpmzos25m8ivg.cloudfront.net/Documentos/631/52730255591/6315273025559107092023121023.pdf","https://dpmzos25m8ivg.cloudfront.net/Documentos/631/52730255591/6315273025559107092023121023.pdf")</f>
        <v>https://dpmzos25m8ivg.cloudfront.net/Documentos/631/52730255591/6315273025559107092023121023.pdf</v>
      </c>
      <c r="G7124" s="5" t="str">
        <f>HYPERLINK("https://dpmzos25m8ivg.cloudfront.net/Documentos/631/52730255591/6315273025559107092023121103.pdf","https://dpmzos25m8ivg.cloudfront.net/Documentos/631/52730255591/6315273025559107092023121103.pdf")</f>
        <v>https://dpmzos25m8ivg.cloudfront.net/Documentos/631/52730255591/6315273025559107092023121103.pdf</v>
      </c>
      <c r="H7124" s="5" t="s">
        <v>15693</v>
      </c>
    </row>
    <row r="7125" spans="1:8" x14ac:dyDescent="0.25">
      <c r="A7125" s="2" t="s">
        <v>7153</v>
      </c>
      <c r="B7125" s="3"/>
      <c r="C7125" s="3"/>
      <c r="D7125" s="3"/>
      <c r="E7125" s="5" t="str">
        <f>HYPERLINK("https://dpmzos25m8ivg.cloudfront.net/Documentos/631/52786900204/6315278690020407092023181723.pdf","https://dpmzos25m8ivg.cloudfront.net/Documentos/631/52786900204/6315278690020407092023181723.pdf")</f>
        <v>https://dpmzos25m8ivg.cloudfront.net/Documentos/631/52786900204/6315278690020407092023181723.pdf</v>
      </c>
      <c r="F7125" s="5" t="str">
        <f>HYPERLINK("https://dpmzos25m8ivg.cloudfront.net/Documentos/631/52786900204/6315278690020407092023181816.pdf","https://dpmzos25m8ivg.cloudfront.net/Documentos/631/52786900204/6315278690020407092023181816.pdf")</f>
        <v>https://dpmzos25m8ivg.cloudfront.net/Documentos/631/52786900204/6315278690020407092023181816.pdf</v>
      </c>
      <c r="G7125" s="5" t="str">
        <f>HYPERLINK("https://dpmzos25m8ivg.cloudfront.net/Documentos/631/52786900204/6315278690020407092023181829.pdf","https://dpmzos25m8ivg.cloudfront.net/Documentos/631/52786900204/6315278690020407092023181829.pdf")</f>
        <v>https://dpmzos25m8ivg.cloudfront.net/Documentos/631/52786900204/6315278690020407092023181829.pdf</v>
      </c>
      <c r="H7125" s="5" t="s">
        <v>15694</v>
      </c>
    </row>
    <row r="7126" spans="1:8" x14ac:dyDescent="0.25">
      <c r="A7126" s="2" t="s">
        <v>7154</v>
      </c>
      <c r="B7126" s="3"/>
      <c r="C7126" s="3"/>
      <c r="D7126" s="3"/>
      <c r="E7126" s="5" t="str">
        <f>HYPERLINK("https://dpmzos25m8ivg.cloudfront.net/Documentos/631/52942910100/6315294291010011092023095517.jpg","https://dpmzos25m8ivg.cloudfront.net/Documentos/631/52942910100/6315294291010011092023095517.jpg")</f>
        <v>https://dpmzos25m8ivg.cloudfront.net/Documentos/631/52942910100/6315294291010011092023095517.jpg</v>
      </c>
      <c r="F7126" s="5" t="str">
        <f>HYPERLINK("https://dpmzos25m8ivg.cloudfront.net/Documentos/631/52942910100/6315294291010011092023095554.jpg","https://dpmzos25m8ivg.cloudfront.net/Documentos/631/52942910100/6315294291010011092023095554.jpg")</f>
        <v>https://dpmzos25m8ivg.cloudfront.net/Documentos/631/52942910100/6315294291010011092023095554.jpg</v>
      </c>
      <c r="G7126" s="5" t="str">
        <f>HYPERLINK("https://dpmzos25m8ivg.cloudfront.net/Documentos/631/52942910100/6315294291010011092023095616.jpg","https://dpmzos25m8ivg.cloudfront.net/Documentos/631/52942910100/6315294291010011092023095616.jpg")</f>
        <v>https://dpmzos25m8ivg.cloudfront.net/Documentos/631/52942910100/6315294291010011092023095616.jpg</v>
      </c>
      <c r="H7126" s="5" t="s">
        <v>15695</v>
      </c>
    </row>
    <row r="7127" spans="1:8" x14ac:dyDescent="0.25">
      <c r="A7127" s="2" t="s">
        <v>7155</v>
      </c>
      <c r="B7127" s="3"/>
      <c r="C7127" s="3"/>
      <c r="D7127" s="3"/>
      <c r="E7127" s="5" t="str">
        <f>HYPERLINK("https://dpmzos25m8ivg.cloudfront.net/Documentos/631/52945766515/6315294576651505092023122617.pdf","https://dpmzos25m8ivg.cloudfront.net/Documentos/631/52945766515/6315294576651505092023122617.pdf")</f>
        <v>https://dpmzos25m8ivg.cloudfront.net/Documentos/631/52945766515/6315294576651505092023122617.pdf</v>
      </c>
      <c r="F7127" s="5" t="str">
        <f>HYPERLINK("https://dpmzos25m8ivg.cloudfront.net/Documentos/631/52945766515/6315294576651505092023122629.pdf","https://dpmzos25m8ivg.cloudfront.net/Documentos/631/52945766515/6315294576651505092023122629.pdf")</f>
        <v>https://dpmzos25m8ivg.cloudfront.net/Documentos/631/52945766515/6315294576651505092023122629.pdf</v>
      </c>
      <c r="G7127" s="5" t="str">
        <f>HYPERLINK("https://dpmzos25m8ivg.cloudfront.net/Documentos/631/52945766515/6315294576651505092023122643.pdf","https://dpmzos25m8ivg.cloudfront.net/Documentos/631/52945766515/6315294576651505092023122643.pdf")</f>
        <v>https://dpmzos25m8ivg.cloudfront.net/Documentos/631/52945766515/6315294576651505092023122643.pdf</v>
      </c>
      <c r="H7127" s="5" t="s">
        <v>15696</v>
      </c>
    </row>
    <row r="7128" spans="1:8" x14ac:dyDescent="0.25">
      <c r="A7128" s="2" t="s">
        <v>7156</v>
      </c>
      <c r="B7128" s="3" t="s">
        <v>8</v>
      </c>
      <c r="C7128" s="3"/>
      <c r="D7128" s="3"/>
      <c r="E7128" s="5" t="str">
        <f>HYPERLINK("https://dpmzos25m8ivg.cloudfront.net/Documentos/631/53024532072/6315302453207208092023155157.pdf","https://dpmzos25m8ivg.cloudfront.net/Documentos/631/53024532072/6315302453207208092023155157.pdf")</f>
        <v>https://dpmzos25m8ivg.cloudfront.net/Documentos/631/53024532072/6315302453207208092023155157.pdf</v>
      </c>
      <c r="F7128" s="5" t="str">
        <f>HYPERLINK("https://dpmzos25m8ivg.cloudfront.net/Documentos/631/53024532072/6315302453207208092023155220.pdf","https://dpmzos25m8ivg.cloudfront.net/Documentos/631/53024532072/6315302453207208092023155220.pdf")</f>
        <v>https://dpmzos25m8ivg.cloudfront.net/Documentos/631/53024532072/6315302453207208092023155220.pdf</v>
      </c>
      <c r="G7128" s="5" t="str">
        <f>HYPERLINK("https://dpmzos25m8ivg.cloudfront.net/Documentos/631/53024532072/6315302453207208092023155246.pdf","https://dpmzos25m8ivg.cloudfront.net/Documentos/631/53024532072/6315302453207208092023155246.pdf")</f>
        <v>https://dpmzos25m8ivg.cloudfront.net/Documentos/631/53024532072/6315302453207208092023155246.pdf</v>
      </c>
      <c r="H7128" s="5" t="s">
        <v>15697</v>
      </c>
    </row>
    <row r="7129" spans="1:8" x14ac:dyDescent="0.25">
      <c r="A7129" s="2" t="s">
        <v>7157</v>
      </c>
      <c r="B7129" s="3" t="s">
        <v>90</v>
      </c>
      <c r="C7129" s="3"/>
      <c r="D7129" s="3"/>
      <c r="E7129" s="5" t="str">
        <f>HYPERLINK("https://dpmzos25m8ivg.cloudfront.net/Documentos/631/53091728587/6315309172858711092023164849.pdf","https://dpmzos25m8ivg.cloudfront.net/Documentos/631/53091728587/6315309172858711092023164849.pdf")</f>
        <v>https://dpmzos25m8ivg.cloudfront.net/Documentos/631/53091728587/6315309172858711092023164849.pdf</v>
      </c>
      <c r="F7129" s="5" t="str">
        <f>HYPERLINK("https://dpmzos25m8ivg.cloudfront.net/Documentos/631/53091728587/6315309172858711092023164924.pdf","https://dpmzos25m8ivg.cloudfront.net/Documentos/631/53091728587/6315309172858711092023164924.pdf")</f>
        <v>https://dpmzos25m8ivg.cloudfront.net/Documentos/631/53091728587/6315309172858711092023164924.pdf</v>
      </c>
      <c r="G7129" s="5" t="str">
        <f>HYPERLINK("https://dpmzos25m8ivg.cloudfront.net/Documentos/631/53091728587/6315309172858711092023164943.pdf","https://dpmzos25m8ivg.cloudfront.net/Documentos/631/53091728587/6315309172858711092023164943.pdf")</f>
        <v>https://dpmzos25m8ivg.cloudfront.net/Documentos/631/53091728587/6315309172858711092023164943.pdf</v>
      </c>
      <c r="H7129" s="5" t="s">
        <v>15698</v>
      </c>
    </row>
    <row r="7130" spans="1:8" x14ac:dyDescent="0.25">
      <c r="A7130" s="2" t="s">
        <v>7158</v>
      </c>
      <c r="B7130" s="3"/>
      <c r="C7130" s="3"/>
      <c r="D7130" s="3"/>
      <c r="E7130" s="5" t="str">
        <f>HYPERLINK("https://dpmzos25m8ivg.cloudfront.net/Documentos/631/53291964500/6315329196450009092023205250.pdf","https://dpmzos25m8ivg.cloudfront.net/Documentos/631/53291964500/6315329196450009092023205250.pdf")</f>
        <v>https://dpmzos25m8ivg.cloudfront.net/Documentos/631/53291964500/6315329196450009092023205250.pdf</v>
      </c>
      <c r="F7130" s="5" t="str">
        <f>HYPERLINK("https://dpmzos25m8ivg.cloudfront.net/Documentos/631/53291964500/6315329196450009092023205338.pdf","https://dpmzos25m8ivg.cloudfront.net/Documentos/631/53291964500/6315329196450009092023205338.pdf")</f>
        <v>https://dpmzos25m8ivg.cloudfront.net/Documentos/631/53291964500/6315329196450009092023205338.pdf</v>
      </c>
      <c r="G7130" s="5" t="str">
        <f>HYPERLINK("https://dpmzos25m8ivg.cloudfront.net/Documentos/631/53291964500/6315329196450009092023205416.pdf","https://dpmzos25m8ivg.cloudfront.net/Documentos/631/53291964500/6315329196450009092023205416.pdf")</f>
        <v>https://dpmzos25m8ivg.cloudfront.net/Documentos/631/53291964500/6315329196450009092023205416.pdf</v>
      </c>
      <c r="H7130" s="5" t="s">
        <v>15699</v>
      </c>
    </row>
    <row r="7131" spans="1:8" x14ac:dyDescent="0.25">
      <c r="A7131" s="2" t="s">
        <v>7159</v>
      </c>
      <c r="B7131" s="3" t="s">
        <v>8</v>
      </c>
      <c r="C7131" s="3"/>
      <c r="D7131" s="3"/>
      <c r="E7131" s="5" t="str">
        <f>HYPERLINK("https://dpmzos25m8ivg.cloudfront.net/Documentos/631/53518071220/6315351807122011092023161203.pdf","https://dpmzos25m8ivg.cloudfront.net/Documentos/631/53518071220/6315351807122011092023161203.pdf")</f>
        <v>https://dpmzos25m8ivg.cloudfront.net/Documentos/631/53518071220/6315351807122011092023161203.pdf</v>
      </c>
      <c r="F7131" s="5" t="str">
        <f>HYPERLINK("https://dpmzos25m8ivg.cloudfront.net/Documentos/631/53518071220/6315351807122011092023161221.pdf","https://dpmzos25m8ivg.cloudfront.net/Documentos/631/53518071220/6315351807122011092023161221.pdf")</f>
        <v>https://dpmzos25m8ivg.cloudfront.net/Documentos/631/53518071220/6315351807122011092023161221.pdf</v>
      </c>
      <c r="G7131" s="5" t="str">
        <f>HYPERLINK("https://dpmzos25m8ivg.cloudfront.net/Documentos/631/53518071220/6315351807122011092023161244.pdf","https://dpmzos25m8ivg.cloudfront.net/Documentos/631/53518071220/6315351807122011092023161244.pdf")</f>
        <v>https://dpmzos25m8ivg.cloudfront.net/Documentos/631/53518071220/6315351807122011092023161244.pdf</v>
      </c>
      <c r="H7131" s="5" t="s">
        <v>15700</v>
      </c>
    </row>
    <row r="7132" spans="1:8" x14ac:dyDescent="0.25">
      <c r="A7132" s="2" t="s">
        <v>7160</v>
      </c>
      <c r="B7132" s="3"/>
      <c r="C7132" s="3"/>
      <c r="D7132" s="3"/>
      <c r="E7132" s="5" t="str">
        <f>HYPERLINK("https://dpmzos25m8ivg.cloudfront.net/Documentos/631/53529057568/6315352905756811092023113550.pdf","https://dpmzos25m8ivg.cloudfront.net/Documentos/631/53529057568/6315352905756811092023113550.pdf")</f>
        <v>https://dpmzos25m8ivg.cloudfront.net/Documentos/631/53529057568/6315352905756811092023113550.pdf</v>
      </c>
      <c r="F7132" s="5" t="str">
        <f>HYPERLINK("https://dpmzos25m8ivg.cloudfront.net/Documentos/631/53529057568/6315352905756811092023113625.pdf","https://dpmzos25m8ivg.cloudfront.net/Documentos/631/53529057568/6315352905756811092023113625.pdf")</f>
        <v>https://dpmzos25m8ivg.cloudfront.net/Documentos/631/53529057568/6315352905756811092023113625.pdf</v>
      </c>
      <c r="G7132" s="5" t="str">
        <f>HYPERLINK("https://dpmzos25m8ivg.cloudfront.net/Documentos/631/53529057568/6315352905756811092023113637.pdf","https://dpmzos25m8ivg.cloudfront.net/Documentos/631/53529057568/6315352905756811092023113637.pdf")</f>
        <v>https://dpmzos25m8ivg.cloudfront.net/Documentos/631/53529057568/6315352905756811092023113637.pdf</v>
      </c>
      <c r="H7132" s="5" t="s">
        <v>15701</v>
      </c>
    </row>
    <row r="7133" spans="1:8" x14ac:dyDescent="0.25">
      <c r="A7133" s="2" t="s">
        <v>7161</v>
      </c>
      <c r="B7133" s="3"/>
      <c r="C7133" s="3"/>
      <c r="D7133" s="3"/>
      <c r="E7133" s="5" t="str">
        <f>HYPERLINK("https://dpmzos25m8ivg.cloudfront.net/Documentos/631/53538781591/6315353878159111092023123359.jpeg","https://dpmzos25m8ivg.cloudfront.net/Documentos/631/53538781591/6315353878159111092023123359.jpeg")</f>
        <v>https://dpmzos25m8ivg.cloudfront.net/Documentos/631/53538781591/6315353878159111092023123359.jpeg</v>
      </c>
      <c r="F7133" s="5" t="str">
        <f>HYPERLINK("https://dpmzos25m8ivg.cloudfront.net/Documentos/631/53538781591/6315353878159111092023123457.jpeg","https://dpmzos25m8ivg.cloudfront.net/Documentos/631/53538781591/6315353878159111092023123457.jpeg")</f>
        <v>https://dpmzos25m8ivg.cloudfront.net/Documentos/631/53538781591/6315353878159111092023123457.jpeg</v>
      </c>
      <c r="G7133" s="5" t="str">
        <f>HYPERLINK("https://dpmzos25m8ivg.cloudfront.net/Documentos/631/53538781591/6315353878159111092023123628.jpeg","https://dpmzos25m8ivg.cloudfront.net/Documentos/631/53538781591/6315353878159111092023123628.jpeg")</f>
        <v>https://dpmzos25m8ivg.cloudfront.net/Documentos/631/53538781591/6315353878159111092023123628.jpeg</v>
      </c>
      <c r="H7133" s="5" t="s">
        <v>15702</v>
      </c>
    </row>
    <row r="7134" spans="1:8" x14ac:dyDescent="0.25">
      <c r="A7134" s="2" t="s">
        <v>7162</v>
      </c>
      <c r="B7134" s="3"/>
      <c r="C7134" s="3"/>
      <c r="D7134" s="3"/>
      <c r="E7134" s="5" t="str">
        <f>HYPERLINK("https://dpmzos25m8ivg.cloudfront.net/Documentos/631/53620470510/6315362047051007092023151633.pdf","https://dpmzos25m8ivg.cloudfront.net/Documentos/631/53620470510/6315362047051007092023151633.pdf")</f>
        <v>https://dpmzos25m8ivg.cloudfront.net/Documentos/631/53620470510/6315362047051007092023151633.pdf</v>
      </c>
      <c r="F7134" s="5" t="str">
        <f>HYPERLINK("https://dpmzos25m8ivg.cloudfront.net/Documentos/631/53620470510/6315362047051007092023151707.pdf","https://dpmzos25m8ivg.cloudfront.net/Documentos/631/53620470510/6315362047051007092023151707.pdf")</f>
        <v>https://dpmzos25m8ivg.cloudfront.net/Documentos/631/53620470510/6315362047051007092023151707.pdf</v>
      </c>
      <c r="G7134" s="5" t="str">
        <f>HYPERLINK("https://dpmzos25m8ivg.cloudfront.net/Documentos/631/53620470510/6315362047051007092023151755.pdf","https://dpmzos25m8ivg.cloudfront.net/Documentos/631/53620470510/6315362047051007092023151755.pdf")</f>
        <v>https://dpmzos25m8ivg.cloudfront.net/Documentos/631/53620470510/6315362047051007092023151755.pdf</v>
      </c>
      <c r="H7134" s="5" t="s">
        <v>15703</v>
      </c>
    </row>
    <row r="7135" spans="1:8" x14ac:dyDescent="0.25">
      <c r="A7135" s="2" t="s">
        <v>7163</v>
      </c>
      <c r="B7135" s="3"/>
      <c r="C7135" s="3"/>
      <c r="D7135" s="3"/>
      <c r="E7135" s="5" t="str">
        <f>HYPERLINK("https://dpmzos25m8ivg.cloudfront.net/Documentos/631/53751922253/6315375192225311092023004043.pdf","https://dpmzos25m8ivg.cloudfront.net/Documentos/631/53751922253/6315375192225311092023004043.pdf")</f>
        <v>https://dpmzos25m8ivg.cloudfront.net/Documentos/631/53751922253/6315375192225311092023004043.pdf</v>
      </c>
      <c r="F7135" s="5" t="str">
        <f>HYPERLINK("https://dpmzos25m8ivg.cloudfront.net/Documentos/631/53751922253/6315375192225311092023004048.pdf","https://dpmzos25m8ivg.cloudfront.net/Documentos/631/53751922253/6315375192225311092023004048.pdf")</f>
        <v>https://dpmzos25m8ivg.cloudfront.net/Documentos/631/53751922253/6315375192225311092023004048.pdf</v>
      </c>
      <c r="G7135" s="5" t="str">
        <f>HYPERLINK("https://dpmzos25m8ivg.cloudfront.net/Documentos/631/53751922253/6315375192225311092023004054.pdf","https://dpmzos25m8ivg.cloudfront.net/Documentos/631/53751922253/6315375192225311092023004054.pdf")</f>
        <v>https://dpmzos25m8ivg.cloudfront.net/Documentos/631/53751922253/6315375192225311092023004054.pdf</v>
      </c>
      <c r="H7135" s="5" t="s">
        <v>15704</v>
      </c>
    </row>
    <row r="7136" spans="1:8" x14ac:dyDescent="0.25">
      <c r="A7136" s="2" t="s">
        <v>7164</v>
      </c>
      <c r="B7136" s="3"/>
      <c r="C7136" s="3"/>
      <c r="D7136" s="3"/>
      <c r="E7136" s="5" t="str">
        <f>HYPERLINK("https://dpmzos25m8ivg.cloudfront.net/Documentos/631/53766016172/6315376601617208092023095139.pdf","https://dpmzos25m8ivg.cloudfront.net/Documentos/631/53766016172/6315376601617208092023095139.pdf")</f>
        <v>https://dpmzos25m8ivg.cloudfront.net/Documentos/631/53766016172/6315376601617208092023095139.pdf</v>
      </c>
      <c r="F7136" s="5" t="str">
        <f>HYPERLINK("https://dpmzos25m8ivg.cloudfront.net/Documentos/631/53766016172/6315376601617208092023095220.pdf","https://dpmzos25m8ivg.cloudfront.net/Documentos/631/53766016172/6315376601617208092023095220.pdf")</f>
        <v>https://dpmzos25m8ivg.cloudfront.net/Documentos/631/53766016172/6315376601617208092023095220.pdf</v>
      </c>
      <c r="G7136" s="5" t="str">
        <f>HYPERLINK("https://dpmzos25m8ivg.cloudfront.net/Documentos/631/53766016172/6315376601617208092023095305.pdf","https://dpmzos25m8ivg.cloudfront.net/Documentos/631/53766016172/6315376601617208092023095305.pdf")</f>
        <v>https://dpmzos25m8ivg.cloudfront.net/Documentos/631/53766016172/6315376601617208092023095305.pdf</v>
      </c>
      <c r="H7136" s="5" t="s">
        <v>15705</v>
      </c>
    </row>
    <row r="7137" spans="1:8" x14ac:dyDescent="0.25">
      <c r="A7137" s="2" t="s">
        <v>7165</v>
      </c>
      <c r="B7137" s="3"/>
      <c r="C7137" s="3"/>
      <c r="D7137" s="3"/>
      <c r="E7137" s="5" t="str">
        <f>HYPERLINK("https://dpmzos25m8ivg.cloudfront.net/Documentos/631/53810970506/6315381097050611092023071729.pdf","https://dpmzos25m8ivg.cloudfront.net/Documentos/631/53810970506/6315381097050611092023071729.pdf")</f>
        <v>https://dpmzos25m8ivg.cloudfront.net/Documentos/631/53810970506/6315381097050611092023071729.pdf</v>
      </c>
      <c r="F7137" s="5" t="str">
        <f>HYPERLINK("https://dpmzos25m8ivg.cloudfront.net/Documentos/631/53810970506/6315381097050611092023071739.pdf","https://dpmzos25m8ivg.cloudfront.net/Documentos/631/53810970506/6315381097050611092023071739.pdf")</f>
        <v>https://dpmzos25m8ivg.cloudfront.net/Documentos/631/53810970506/6315381097050611092023071739.pdf</v>
      </c>
      <c r="G7137" s="5" t="str">
        <f>HYPERLINK("https://dpmzos25m8ivg.cloudfront.net/Documentos/631/53810970506/6315381097050611092023071820.pdf","https://dpmzos25m8ivg.cloudfront.net/Documentos/631/53810970506/6315381097050611092023071820.pdf")</f>
        <v>https://dpmzos25m8ivg.cloudfront.net/Documentos/631/53810970506/6315381097050611092023071820.pdf</v>
      </c>
      <c r="H7137" s="5" t="s">
        <v>15706</v>
      </c>
    </row>
    <row r="7138" spans="1:8" x14ac:dyDescent="0.25">
      <c r="A7138" s="2" t="s">
        <v>7166</v>
      </c>
      <c r="B7138" s="3"/>
      <c r="C7138" s="3"/>
      <c r="D7138" s="3"/>
      <c r="E7138" s="5" t="str">
        <f>HYPERLINK("https://dpmzos25m8ivg.cloudfront.net/Documentos/631/53831241015/6315383124101506092023221944.pdf","https://dpmzos25m8ivg.cloudfront.net/Documentos/631/53831241015/6315383124101506092023221944.pdf")</f>
        <v>https://dpmzos25m8ivg.cloudfront.net/Documentos/631/53831241015/6315383124101506092023221944.pdf</v>
      </c>
      <c r="F7138" s="5" t="str">
        <f>HYPERLINK("https://dpmzos25m8ivg.cloudfront.net/Documentos/631/53831241015/6315383124101506092023222022.pdf","https://dpmzos25m8ivg.cloudfront.net/Documentos/631/53831241015/6315383124101506092023222022.pdf")</f>
        <v>https://dpmzos25m8ivg.cloudfront.net/Documentos/631/53831241015/6315383124101506092023222022.pdf</v>
      </c>
      <c r="G7138" s="5" t="str">
        <f>HYPERLINK("https://dpmzos25m8ivg.cloudfront.net/Documentos/631/53831241015/6315383124101506092023222127.pdf","https://dpmzos25m8ivg.cloudfront.net/Documentos/631/53831241015/6315383124101506092023222127.pdf")</f>
        <v>https://dpmzos25m8ivg.cloudfront.net/Documentos/631/53831241015/6315383124101506092023222127.pdf</v>
      </c>
      <c r="H7138" s="5" t="s">
        <v>15707</v>
      </c>
    </row>
    <row r="7139" spans="1:8" x14ac:dyDescent="0.25">
      <c r="A7139" s="2" t="s">
        <v>7167</v>
      </c>
      <c r="B7139" s="3"/>
      <c r="C7139" s="3"/>
      <c r="D7139" s="3"/>
      <c r="E7139" s="5" t="str">
        <f>HYPERLINK("https://dpmzos25m8ivg.cloudfront.net/Documentos/631/53883560600/6315388356060009092023171454.pdf","https://dpmzos25m8ivg.cloudfront.net/Documentos/631/53883560600/6315388356060009092023171454.pdf")</f>
        <v>https://dpmzos25m8ivg.cloudfront.net/Documentos/631/53883560600/6315388356060009092023171454.pdf</v>
      </c>
      <c r="F7139" s="5" t="str">
        <f>HYPERLINK("https://dpmzos25m8ivg.cloudfront.net/Documentos/631/53883560600/6315388356060009092023171509.pdf","https://dpmzos25m8ivg.cloudfront.net/Documentos/631/53883560600/6315388356060009092023171509.pdf")</f>
        <v>https://dpmzos25m8ivg.cloudfront.net/Documentos/631/53883560600/6315388356060009092023171509.pdf</v>
      </c>
      <c r="G7139" s="5" t="str">
        <f>HYPERLINK("https://dpmzos25m8ivg.cloudfront.net/Documentos/631/53883560600/6315388356060009092023171524.pdf","https://dpmzos25m8ivg.cloudfront.net/Documentos/631/53883560600/6315388356060009092023171524.pdf")</f>
        <v>https://dpmzos25m8ivg.cloudfront.net/Documentos/631/53883560600/6315388356060009092023171524.pdf</v>
      </c>
      <c r="H7139" s="5" t="s">
        <v>15708</v>
      </c>
    </row>
    <row r="7140" spans="1:8" x14ac:dyDescent="0.25">
      <c r="A7140" s="2" t="s">
        <v>7168</v>
      </c>
      <c r="B7140" s="3"/>
      <c r="C7140" s="3"/>
      <c r="D7140" s="3"/>
      <c r="E7140" s="5" t="str">
        <f>HYPERLINK("https://dpmzos25m8ivg.cloudfront.net/Documentos/631/53899270282/6315389927028206092023010842.jpg","https://dpmzos25m8ivg.cloudfront.net/Documentos/631/53899270282/6315389927028206092023010842.jpg")</f>
        <v>https://dpmzos25m8ivg.cloudfront.net/Documentos/631/53899270282/6315389927028206092023010842.jpg</v>
      </c>
      <c r="F7140" s="5" t="str">
        <f>HYPERLINK("https://dpmzos25m8ivg.cloudfront.net/Documentos/631/53899270282/6315389927028206092023010913.jpg","https://dpmzos25m8ivg.cloudfront.net/Documentos/631/53899270282/6315389927028206092023010913.jpg")</f>
        <v>https://dpmzos25m8ivg.cloudfront.net/Documentos/631/53899270282/6315389927028206092023010913.jpg</v>
      </c>
      <c r="G7140" s="5" t="str">
        <f>HYPERLINK("https://dpmzos25m8ivg.cloudfront.net/Documentos/631/53899270282/6315389927028206092023010948.jpg","https://dpmzos25m8ivg.cloudfront.net/Documentos/631/53899270282/6315389927028206092023010948.jpg")</f>
        <v>https://dpmzos25m8ivg.cloudfront.net/Documentos/631/53899270282/6315389927028206092023010948.jpg</v>
      </c>
      <c r="H7140" s="5" t="s">
        <v>15709</v>
      </c>
    </row>
    <row r="7141" spans="1:8" x14ac:dyDescent="0.25">
      <c r="A7141" s="2" t="s">
        <v>7169</v>
      </c>
      <c r="B7141" s="3"/>
      <c r="C7141" s="3"/>
      <c r="D7141" s="3"/>
      <c r="E7141" s="5" t="str">
        <f>HYPERLINK("https://dpmzos25m8ivg.cloudfront.net/Documentos/631/53949285504/6315394928550411092023142110.pdf","https://dpmzos25m8ivg.cloudfront.net/Documentos/631/53949285504/6315394928550411092023142110.pdf")</f>
        <v>https://dpmzos25m8ivg.cloudfront.net/Documentos/631/53949285504/6315394928550411092023142110.pdf</v>
      </c>
      <c r="F7141" s="5" t="str">
        <f>HYPERLINK("https://dpmzos25m8ivg.cloudfront.net/Documentos/631/53949285504/6315394928550411092023142137.pdf","https://dpmzos25m8ivg.cloudfront.net/Documentos/631/53949285504/6315394928550411092023142137.pdf")</f>
        <v>https://dpmzos25m8ivg.cloudfront.net/Documentos/631/53949285504/6315394928550411092023142137.pdf</v>
      </c>
      <c r="G7141" s="5" t="str">
        <f>HYPERLINK("https://dpmzos25m8ivg.cloudfront.net/Documentos/631/53949285504/6315394928550411092023142327.pdf","https://dpmzos25m8ivg.cloudfront.net/Documentos/631/53949285504/6315394928550411092023142327.pdf")</f>
        <v>https://dpmzos25m8ivg.cloudfront.net/Documentos/631/53949285504/6315394928550411092023142327.pdf</v>
      </c>
      <c r="H7141" s="5" t="s">
        <v>15710</v>
      </c>
    </row>
    <row r="7142" spans="1:8" x14ac:dyDescent="0.25">
      <c r="A7142" s="2" t="s">
        <v>7170</v>
      </c>
      <c r="B7142" s="3"/>
      <c r="C7142" s="3"/>
      <c r="D7142" s="3"/>
      <c r="E7142" s="5" t="str">
        <f>HYPERLINK("https://dpmzos25m8ivg.cloudfront.net/Documentos/631/54009073268/6315400907326808092023122621.jpeg","https://dpmzos25m8ivg.cloudfront.net/Documentos/631/54009073268/6315400907326808092023122621.jpeg")</f>
        <v>https://dpmzos25m8ivg.cloudfront.net/Documentos/631/54009073268/6315400907326808092023122621.jpeg</v>
      </c>
      <c r="F7142" s="5" t="str">
        <f>HYPERLINK("https://dpmzos25m8ivg.cloudfront.net/Documentos/631/54009073268/6315400907326808092023122631.jpeg","https://dpmzos25m8ivg.cloudfront.net/Documentos/631/54009073268/6315400907326808092023122631.jpeg")</f>
        <v>https://dpmzos25m8ivg.cloudfront.net/Documentos/631/54009073268/6315400907326808092023122631.jpeg</v>
      </c>
      <c r="G7142" s="5" t="str">
        <f>HYPERLINK("https://dpmzos25m8ivg.cloudfront.net/Documentos/631/54009073268/6315400907326808092023122645.jpeg","https://dpmzos25m8ivg.cloudfront.net/Documentos/631/54009073268/6315400907326808092023122645.jpeg")</f>
        <v>https://dpmzos25m8ivg.cloudfront.net/Documentos/631/54009073268/6315400907326808092023122645.jpeg</v>
      </c>
      <c r="H7142" s="5" t="s">
        <v>15711</v>
      </c>
    </row>
    <row r="7143" spans="1:8" x14ac:dyDescent="0.25">
      <c r="A7143" s="2" t="s">
        <v>7171</v>
      </c>
      <c r="B7143" s="3"/>
      <c r="C7143" s="3"/>
      <c r="D7143" s="3"/>
      <c r="E7143" s="5" t="str">
        <f>HYPERLINK("https://dpmzos25m8ivg.cloudfront.net/Documentos/631/54082900268/6315408290026811092023085200.pdf","https://dpmzos25m8ivg.cloudfront.net/Documentos/631/54082900268/6315408290026811092023085200.pdf")</f>
        <v>https://dpmzos25m8ivg.cloudfront.net/Documentos/631/54082900268/6315408290026811092023085200.pdf</v>
      </c>
      <c r="F7143" s="5" t="str">
        <f>HYPERLINK("https://dpmzos25m8ivg.cloudfront.net/Documentos/631/54082900268/6315408290026811092023085208.pdf","https://dpmzos25m8ivg.cloudfront.net/Documentos/631/54082900268/6315408290026811092023085208.pdf")</f>
        <v>https://dpmzos25m8ivg.cloudfront.net/Documentos/631/54082900268/6315408290026811092023085208.pdf</v>
      </c>
      <c r="G7143" s="5" t="str">
        <f>HYPERLINK("https://dpmzos25m8ivg.cloudfront.net/Documentos/631/54082900268/6315408290026811092023085214.pdf","https://dpmzos25m8ivg.cloudfront.net/Documentos/631/54082900268/6315408290026811092023085214.pdf")</f>
        <v>https://dpmzos25m8ivg.cloudfront.net/Documentos/631/54082900268/6315408290026811092023085214.pdf</v>
      </c>
      <c r="H7143" s="5" t="s">
        <v>15712</v>
      </c>
    </row>
    <row r="7144" spans="1:8" x14ac:dyDescent="0.25">
      <c r="A7144" s="2" t="s">
        <v>7172</v>
      </c>
      <c r="B7144" s="3"/>
      <c r="C7144" s="3"/>
      <c r="D7144" s="3"/>
      <c r="E7144" s="5" t="str">
        <f>HYPERLINK("https://dpmzos25m8ivg.cloudfront.net/Documentos/631/54610311534/6315461031153408092023153246.pdf","https://dpmzos25m8ivg.cloudfront.net/Documentos/631/54610311534/6315461031153408092023153246.pdf")</f>
        <v>https://dpmzos25m8ivg.cloudfront.net/Documentos/631/54610311534/6315461031153408092023153246.pdf</v>
      </c>
      <c r="F7144" s="5" t="str">
        <f>HYPERLINK("https://dpmzos25m8ivg.cloudfront.net/Documentos/631/54610311534/6315461031153408092023153312.pdf","https://dpmzos25m8ivg.cloudfront.net/Documentos/631/54610311534/6315461031153408092023153312.pdf")</f>
        <v>https://dpmzos25m8ivg.cloudfront.net/Documentos/631/54610311534/6315461031153408092023153312.pdf</v>
      </c>
      <c r="G7144" s="5" t="str">
        <f>HYPERLINK("https://dpmzos25m8ivg.cloudfront.net/Documentos/631/54610311534/6315461031153408092023153330.pdf","https://dpmzos25m8ivg.cloudfront.net/Documentos/631/54610311534/6315461031153408092023153330.pdf")</f>
        <v>https://dpmzos25m8ivg.cloudfront.net/Documentos/631/54610311534/6315461031153408092023153330.pdf</v>
      </c>
      <c r="H7144" s="5" t="s">
        <v>15713</v>
      </c>
    </row>
    <row r="7145" spans="1:8" x14ac:dyDescent="0.25">
      <c r="A7145" s="2" t="s">
        <v>7173</v>
      </c>
      <c r="B7145" s="3" t="s">
        <v>42</v>
      </c>
      <c r="C7145" s="3"/>
      <c r="D7145" s="3"/>
      <c r="E7145" s="5" t="str">
        <f>HYPERLINK("https://dpmzos25m8ivg.cloudfront.net/Documentos/631/54844126334/6315484412633414092023161611.pdf","https://dpmzos25m8ivg.cloudfront.net/Documentos/631/54844126334/6315484412633414092023161611.pdf")</f>
        <v>https://dpmzos25m8ivg.cloudfront.net/Documentos/631/54844126334/6315484412633414092023161611.pdf</v>
      </c>
      <c r="F7145" s="5" t="str">
        <f>HYPERLINK("https://dpmzos25m8ivg.cloudfront.net/Documentos/631/54844126334/6315484412633414092023161643.pdf","https://dpmzos25m8ivg.cloudfront.net/Documentos/631/54844126334/6315484412633414092023161643.pdf")</f>
        <v>https://dpmzos25m8ivg.cloudfront.net/Documentos/631/54844126334/6315484412633414092023161643.pdf</v>
      </c>
      <c r="G7145" s="5" t="str">
        <f>HYPERLINK("https://dpmzos25m8ivg.cloudfront.net/Documentos/631/54844126334/6315484412633414092023161715.pdf","https://dpmzos25m8ivg.cloudfront.net/Documentos/631/54844126334/6315484412633414092023161715.pdf")</f>
        <v>https://dpmzos25m8ivg.cloudfront.net/Documentos/631/54844126334/6315484412633414092023161715.pdf</v>
      </c>
      <c r="H7145" s="5" t="s">
        <v>15714</v>
      </c>
    </row>
    <row r="7146" spans="1:8" x14ac:dyDescent="0.25">
      <c r="A7146" s="2" t="s">
        <v>7174</v>
      </c>
      <c r="B7146" s="3" t="s">
        <v>42</v>
      </c>
      <c r="C7146" s="3"/>
      <c r="D7146" s="3"/>
      <c r="E7146" s="5" t="str">
        <f>HYPERLINK("https://dpmzos25m8ivg.cloudfront.net/Documentos/631/54847265572/6315484726557211092023165625.pdf","https://dpmzos25m8ivg.cloudfront.net/Documentos/631/54847265572/6315484726557211092023165625.pdf")</f>
        <v>https://dpmzos25m8ivg.cloudfront.net/Documentos/631/54847265572/6315484726557211092023165625.pdf</v>
      </c>
      <c r="F7146" s="5" t="str">
        <f>HYPERLINK("https://dpmzos25m8ivg.cloudfront.net/Documentos/631/54847265572/6315484726557211092023165638.pdf","https://dpmzos25m8ivg.cloudfront.net/Documentos/631/54847265572/6315484726557211092023165638.pdf")</f>
        <v>https://dpmzos25m8ivg.cloudfront.net/Documentos/631/54847265572/6315484726557211092023165638.pdf</v>
      </c>
      <c r="G7146" s="5" t="str">
        <f>HYPERLINK("https://dpmzos25m8ivg.cloudfront.net/Documentos/631/54847265572/6315484726557211092023165653.pdf","https://dpmzos25m8ivg.cloudfront.net/Documentos/631/54847265572/6315484726557211092023165653.pdf")</f>
        <v>https://dpmzos25m8ivg.cloudfront.net/Documentos/631/54847265572/6315484726557211092023165653.pdf</v>
      </c>
      <c r="H7146" s="5" t="s">
        <v>15715</v>
      </c>
    </row>
    <row r="7147" spans="1:8" x14ac:dyDescent="0.25">
      <c r="A7147" s="2" t="s">
        <v>7175</v>
      </c>
      <c r="B7147" s="3" t="s">
        <v>23</v>
      </c>
      <c r="C7147" s="3"/>
      <c r="D7147" s="3"/>
      <c r="E7147" s="5" t="str">
        <f>HYPERLINK("https://dpmzos25m8ivg.cloudfront.net/Documentos/631/54870917149/6315487091714910092023221530.pdf","https://dpmzos25m8ivg.cloudfront.net/Documentos/631/54870917149/6315487091714910092023221530.pdf")</f>
        <v>https://dpmzos25m8ivg.cloudfront.net/Documentos/631/54870917149/6315487091714910092023221530.pdf</v>
      </c>
      <c r="F7147" s="5" t="str">
        <f>HYPERLINK("https://dpmzos25m8ivg.cloudfront.net/Documentos/631/54870917149/6315487091714910092023221624.pdf","https://dpmzos25m8ivg.cloudfront.net/Documentos/631/54870917149/6315487091714910092023221624.pdf")</f>
        <v>https://dpmzos25m8ivg.cloudfront.net/Documentos/631/54870917149/6315487091714910092023221624.pdf</v>
      </c>
      <c r="G7147" s="5" t="str">
        <f>HYPERLINK("https://dpmzos25m8ivg.cloudfront.net/Documentos/631/54870917149/6315487091714910092023221653.pdf","https://dpmzos25m8ivg.cloudfront.net/Documentos/631/54870917149/6315487091714910092023221653.pdf")</f>
        <v>https://dpmzos25m8ivg.cloudfront.net/Documentos/631/54870917149/6315487091714910092023221653.pdf</v>
      </c>
      <c r="H7147" s="5" t="s">
        <v>15716</v>
      </c>
    </row>
    <row r="7148" spans="1:8" x14ac:dyDescent="0.25">
      <c r="A7148" s="2" t="s">
        <v>7176</v>
      </c>
      <c r="B7148" s="3"/>
      <c r="C7148" s="3"/>
      <c r="D7148" s="3"/>
      <c r="E7148" s="5" t="str">
        <f>HYPERLINK("https://dpmzos25m8ivg.cloudfront.net/Documentos/631/54878314591/6315487831459107092023183152.jpg","https://dpmzos25m8ivg.cloudfront.net/Documentos/631/54878314591/6315487831459107092023183152.jpg")</f>
        <v>https://dpmzos25m8ivg.cloudfront.net/Documentos/631/54878314591/6315487831459107092023183152.jpg</v>
      </c>
      <c r="F7148" s="5" t="str">
        <f>HYPERLINK("https://dpmzos25m8ivg.cloudfront.net/Documentos/631/54878314591/6315487831459107092023183215.jpg","https://dpmzos25m8ivg.cloudfront.net/Documentos/631/54878314591/6315487831459107092023183215.jpg")</f>
        <v>https://dpmzos25m8ivg.cloudfront.net/Documentos/631/54878314591/6315487831459107092023183215.jpg</v>
      </c>
      <c r="G7148" s="5" t="str">
        <f>HYPERLINK("https://dpmzos25m8ivg.cloudfront.net/Documentos/631/54878314591/6315487831459107092023183231.jpg","https://dpmzos25m8ivg.cloudfront.net/Documentos/631/54878314591/6315487831459107092023183231.jpg")</f>
        <v>https://dpmzos25m8ivg.cloudfront.net/Documentos/631/54878314591/6315487831459107092023183231.jpg</v>
      </c>
      <c r="H7148" s="5" t="s">
        <v>15717</v>
      </c>
    </row>
    <row r="7149" spans="1:8" x14ac:dyDescent="0.25">
      <c r="A7149" s="2" t="s">
        <v>7177</v>
      </c>
      <c r="B7149" s="3"/>
      <c r="C7149" s="3"/>
      <c r="D7149" s="3"/>
      <c r="E7149" s="5" t="str">
        <f>HYPERLINK("https://dpmzos25m8ivg.cloudfront.net/Documentos/631/55027385234/6315502738523411092023162219.pdf","https://dpmzos25m8ivg.cloudfront.net/Documentos/631/55027385234/6315502738523411092023162219.pdf")</f>
        <v>https://dpmzos25m8ivg.cloudfront.net/Documentos/631/55027385234/6315502738523411092023162219.pdf</v>
      </c>
      <c r="F7149" s="5" t="str">
        <f>HYPERLINK("https://dpmzos25m8ivg.cloudfront.net/Documentos/631/55027385234/6315502738523411092023162229.pdf","https://dpmzos25m8ivg.cloudfront.net/Documentos/631/55027385234/6315502738523411092023162229.pdf")</f>
        <v>https://dpmzos25m8ivg.cloudfront.net/Documentos/631/55027385234/6315502738523411092023162229.pdf</v>
      </c>
      <c r="G7149" s="5" t="str">
        <f>HYPERLINK("https://dpmzos25m8ivg.cloudfront.net/Documentos/631/55027385234/6315502738523411092023162237.pdf","https://dpmzos25m8ivg.cloudfront.net/Documentos/631/55027385234/6315502738523411092023162237.pdf")</f>
        <v>https://dpmzos25m8ivg.cloudfront.net/Documentos/631/55027385234/6315502738523411092023162237.pdf</v>
      </c>
      <c r="H7149" s="5" t="s">
        <v>15718</v>
      </c>
    </row>
    <row r="7150" spans="1:8" x14ac:dyDescent="0.25">
      <c r="A7150" s="2" t="s">
        <v>7178</v>
      </c>
      <c r="B7150" s="3"/>
      <c r="C7150" s="3"/>
      <c r="D7150" s="3"/>
      <c r="E7150" s="5" t="str">
        <f>HYPERLINK("https://dpmzos25m8ivg.cloudfront.net/Documentos/631/55160476172/6315516047617208092023222348.pdf","https://dpmzos25m8ivg.cloudfront.net/Documentos/631/55160476172/6315516047617208092023222348.pdf")</f>
        <v>https://dpmzos25m8ivg.cloudfront.net/Documentos/631/55160476172/6315516047617208092023222348.pdf</v>
      </c>
      <c r="F7150" s="5" t="str">
        <f>HYPERLINK("https://dpmzos25m8ivg.cloudfront.net/Documentos/631/55160476172/6315516047617208092023222403.pdf","https://dpmzos25m8ivg.cloudfront.net/Documentos/631/55160476172/6315516047617208092023222403.pdf")</f>
        <v>https://dpmzos25m8ivg.cloudfront.net/Documentos/631/55160476172/6315516047617208092023222403.pdf</v>
      </c>
      <c r="G7150" s="5" t="str">
        <f>HYPERLINK("https://dpmzos25m8ivg.cloudfront.net/Documentos/631/55160476172/6315516047617208092023222412.pdf","https://dpmzos25m8ivg.cloudfront.net/Documentos/631/55160476172/6315516047617208092023222412.pdf")</f>
        <v>https://dpmzos25m8ivg.cloudfront.net/Documentos/631/55160476172/6315516047617208092023222412.pdf</v>
      </c>
      <c r="H7150" s="5" t="s">
        <v>15719</v>
      </c>
    </row>
    <row r="7151" spans="1:8" x14ac:dyDescent="0.25">
      <c r="A7151" s="2" t="s">
        <v>7179</v>
      </c>
      <c r="B7151" s="3" t="s">
        <v>23</v>
      </c>
      <c r="C7151" s="3"/>
      <c r="D7151" s="3"/>
      <c r="E7151" s="5" t="str">
        <f>HYPERLINK("https://dpmzos25m8ivg.cloudfront.net/Documentos/631/55177212149/6315517721214910092023175732.pdf","https://dpmzos25m8ivg.cloudfront.net/Documentos/631/55177212149/6315517721214910092023175732.pdf")</f>
        <v>https://dpmzos25m8ivg.cloudfront.net/Documentos/631/55177212149/6315517721214910092023175732.pdf</v>
      </c>
      <c r="F7151" s="5" t="str">
        <f>HYPERLINK("https://dpmzos25m8ivg.cloudfront.net/Documentos/631/55177212149/6315517721214910092023175800.pdf","https://dpmzos25m8ivg.cloudfront.net/Documentos/631/55177212149/6315517721214910092023175800.pdf")</f>
        <v>https://dpmzos25m8ivg.cloudfront.net/Documentos/631/55177212149/6315517721214910092023175800.pdf</v>
      </c>
      <c r="G7151" s="5" t="str">
        <f>HYPERLINK("https://dpmzos25m8ivg.cloudfront.net/Documentos/631/55177212149/6315517721214910092023175912.pdf","https://dpmzos25m8ivg.cloudfront.net/Documentos/631/55177212149/6315517721214910092023175912.pdf")</f>
        <v>https://dpmzos25m8ivg.cloudfront.net/Documentos/631/55177212149/6315517721214910092023175912.pdf</v>
      </c>
      <c r="H7151" s="5" t="s">
        <v>15720</v>
      </c>
    </row>
    <row r="7152" spans="1:8" x14ac:dyDescent="0.25">
      <c r="A7152" s="2" t="s">
        <v>7180</v>
      </c>
      <c r="B7152" s="3"/>
      <c r="C7152" s="3"/>
      <c r="D7152" s="3"/>
      <c r="E7152" s="5" t="str">
        <f>HYPERLINK("https://dpmzos25m8ivg.cloudfront.net/Documentos/631/55184979468/6315518497946811092023131248.pdf","https://dpmzos25m8ivg.cloudfront.net/Documentos/631/55184979468/6315518497946811092023131248.pdf")</f>
        <v>https://dpmzos25m8ivg.cloudfront.net/Documentos/631/55184979468/6315518497946811092023131248.pdf</v>
      </c>
      <c r="F7152" s="5" t="str">
        <f>HYPERLINK("https://dpmzos25m8ivg.cloudfront.net/Documentos/631/55184979468/6315518497946811092023150252.pdf","https://dpmzos25m8ivg.cloudfront.net/Documentos/631/55184979468/6315518497946811092023150252.pdf")</f>
        <v>https://dpmzos25m8ivg.cloudfront.net/Documentos/631/55184979468/6315518497946811092023150252.pdf</v>
      </c>
      <c r="G7152" s="5" t="str">
        <f>HYPERLINK("https://dpmzos25m8ivg.cloudfront.net/Documentos/631/55184979468/6315518497946811092023142727.pdf","https://dpmzos25m8ivg.cloudfront.net/Documentos/631/55184979468/6315518497946811092023142727.pdf")</f>
        <v>https://dpmzos25m8ivg.cloudfront.net/Documentos/631/55184979468/6315518497946811092023142727.pdf</v>
      </c>
      <c r="H7152" s="5" t="s">
        <v>15721</v>
      </c>
    </row>
    <row r="7153" spans="1:8" x14ac:dyDescent="0.25">
      <c r="A7153" s="2" t="s">
        <v>7181</v>
      </c>
      <c r="B7153" s="3" t="s">
        <v>90</v>
      </c>
      <c r="C7153" s="3"/>
      <c r="D7153" s="3"/>
      <c r="E7153" s="5" t="str">
        <f>HYPERLINK("https://dpmzos25m8ivg.cloudfront.net/Documentos/631/55192963249/6315519296324911092023122031.pdf","https://dpmzos25m8ivg.cloudfront.net/Documentos/631/55192963249/6315519296324911092023122031.pdf")</f>
        <v>https://dpmzos25m8ivg.cloudfront.net/Documentos/631/55192963249/6315519296324911092023122031.pdf</v>
      </c>
      <c r="F7153" s="5" t="str">
        <f>HYPERLINK("https://dpmzos25m8ivg.cloudfront.net/Documentos/631/55192963249/6315519296324911092023122042.pdf","https://dpmzos25m8ivg.cloudfront.net/Documentos/631/55192963249/6315519296324911092023122042.pdf")</f>
        <v>https://dpmzos25m8ivg.cloudfront.net/Documentos/631/55192963249/6315519296324911092023122042.pdf</v>
      </c>
      <c r="G7153" s="5" t="str">
        <f>HYPERLINK("https://dpmzos25m8ivg.cloudfront.net/Documentos/631/55192963249/6315519296324911092023122051.pdf","https://dpmzos25m8ivg.cloudfront.net/Documentos/631/55192963249/6315519296324911092023122051.pdf")</f>
        <v>https://dpmzos25m8ivg.cloudfront.net/Documentos/631/55192963249/6315519296324911092023122051.pdf</v>
      </c>
      <c r="H7153" s="5" t="s">
        <v>15722</v>
      </c>
    </row>
    <row r="7154" spans="1:8" x14ac:dyDescent="0.25">
      <c r="A7154" s="2" t="s">
        <v>7182</v>
      </c>
      <c r="B7154" s="3"/>
      <c r="C7154" s="3"/>
      <c r="D7154" s="3"/>
      <c r="E7154" s="5" t="str">
        <f>HYPERLINK("https://dpmzos25m8ivg.cloudfront.net/Documentos/631/55342418372/6315534241837207092023213118.pdf","https://dpmzos25m8ivg.cloudfront.net/Documentos/631/55342418372/6315534241837207092023213118.pdf")</f>
        <v>https://dpmzos25m8ivg.cloudfront.net/Documentos/631/55342418372/6315534241837207092023213118.pdf</v>
      </c>
      <c r="F7154" s="5" t="str">
        <f>HYPERLINK("https://dpmzos25m8ivg.cloudfront.net/Documentos/631/55342418372/6315534241837207092023213128.pdf","https://dpmzos25m8ivg.cloudfront.net/Documentos/631/55342418372/6315534241837207092023213128.pdf")</f>
        <v>https://dpmzos25m8ivg.cloudfront.net/Documentos/631/55342418372/6315534241837207092023213128.pdf</v>
      </c>
      <c r="G7154" s="5" t="str">
        <f>HYPERLINK("https://dpmzos25m8ivg.cloudfront.net/Documentos/631/55342418372/6315534241837207092023213137.pdf","https://dpmzos25m8ivg.cloudfront.net/Documentos/631/55342418372/6315534241837207092023213137.pdf")</f>
        <v>https://dpmzos25m8ivg.cloudfront.net/Documentos/631/55342418372/6315534241837207092023213137.pdf</v>
      </c>
      <c r="H7154" s="5" t="s">
        <v>15723</v>
      </c>
    </row>
    <row r="7155" spans="1:8" x14ac:dyDescent="0.25">
      <c r="A7155" s="2" t="s">
        <v>7183</v>
      </c>
      <c r="B7155" s="3"/>
      <c r="C7155" s="3"/>
      <c r="D7155" s="3"/>
      <c r="E7155" s="5" t="str">
        <f>HYPERLINK("https://dpmzos25m8ivg.cloudfront.net/Documentos/631/55494013200/6315549401320007092023202752.pdf","https://dpmzos25m8ivg.cloudfront.net/Documentos/631/55494013200/6315549401320007092023202752.pdf")</f>
        <v>https://dpmzos25m8ivg.cloudfront.net/Documentos/631/55494013200/6315549401320007092023202752.pdf</v>
      </c>
      <c r="F7155" s="5" t="str">
        <f>HYPERLINK("https://dpmzos25m8ivg.cloudfront.net/Documentos/631/55494013200/6315549401320007092023202806.pdf","https://dpmzos25m8ivg.cloudfront.net/Documentos/631/55494013200/6315549401320007092023202806.pdf")</f>
        <v>https://dpmzos25m8ivg.cloudfront.net/Documentos/631/55494013200/6315549401320007092023202806.pdf</v>
      </c>
      <c r="G7155" s="5" t="str">
        <f>HYPERLINK("https://dpmzos25m8ivg.cloudfront.net/Documentos/631/55494013200/6315549401320007092023202822.pdf","https://dpmzos25m8ivg.cloudfront.net/Documentos/631/55494013200/6315549401320007092023202822.pdf")</f>
        <v>https://dpmzos25m8ivg.cloudfront.net/Documentos/631/55494013200/6315549401320007092023202822.pdf</v>
      </c>
      <c r="H7155" s="5" t="s">
        <v>15724</v>
      </c>
    </row>
    <row r="7156" spans="1:8" x14ac:dyDescent="0.25">
      <c r="A7156" s="2" t="s">
        <v>7184</v>
      </c>
      <c r="B7156" s="3" t="s">
        <v>23</v>
      </c>
      <c r="C7156" s="3"/>
      <c r="D7156" s="3"/>
      <c r="E7156" s="5" t="str">
        <f>HYPERLINK("https://dpmzos25m8ivg.cloudfront.net/Documentos/631/55512321668/6315551232166806092023123654.jpg","https://dpmzos25m8ivg.cloudfront.net/Documentos/631/55512321668/6315551232166806092023123654.jpg")</f>
        <v>https://dpmzos25m8ivg.cloudfront.net/Documentos/631/55512321668/6315551232166806092023123654.jpg</v>
      </c>
      <c r="F7156" s="5" t="str">
        <f>HYPERLINK("https://dpmzos25m8ivg.cloudfront.net/Documentos/631/55512321668/6315551232166806092023123714.jpg","https://dpmzos25m8ivg.cloudfront.net/Documentos/631/55512321668/6315551232166806092023123714.jpg")</f>
        <v>https://dpmzos25m8ivg.cloudfront.net/Documentos/631/55512321668/6315551232166806092023123714.jpg</v>
      </c>
      <c r="G7156" s="5" t="str">
        <f>HYPERLINK("https://dpmzos25m8ivg.cloudfront.net/Documentos/631/55512321668/6315551232166806092023123730.jpg","https://dpmzos25m8ivg.cloudfront.net/Documentos/631/55512321668/6315551232166806092023123730.jpg")</f>
        <v>https://dpmzos25m8ivg.cloudfront.net/Documentos/631/55512321668/6315551232166806092023123730.jpg</v>
      </c>
      <c r="H7156" s="5" t="s">
        <v>15725</v>
      </c>
    </row>
    <row r="7157" spans="1:8" x14ac:dyDescent="0.25">
      <c r="A7157" s="2" t="s">
        <v>7185</v>
      </c>
      <c r="B7157" s="3" t="s">
        <v>90</v>
      </c>
      <c r="C7157" s="3"/>
      <c r="D7157" s="3"/>
      <c r="E7157" s="5" t="str">
        <f>HYPERLINK("https://dpmzos25m8ivg.cloudfront.net/Documentos/631/55566367453/6315556636745310092023123044.jpg","https://dpmzos25m8ivg.cloudfront.net/Documentos/631/55566367453/6315556636745310092023123044.jpg")</f>
        <v>https://dpmzos25m8ivg.cloudfront.net/Documentos/631/55566367453/6315556636745310092023123044.jpg</v>
      </c>
      <c r="F7157" s="5" t="str">
        <f>HYPERLINK("https://dpmzos25m8ivg.cloudfront.net/Documentos/631/55566367453/6315556636745310092023183656.jpg","https://dpmzos25m8ivg.cloudfront.net/Documentos/631/55566367453/6315556636745310092023183656.jpg")</f>
        <v>https://dpmzos25m8ivg.cloudfront.net/Documentos/631/55566367453/6315556636745310092023183656.jpg</v>
      </c>
      <c r="G7157" s="5" t="str">
        <f>HYPERLINK("https://dpmzos25m8ivg.cloudfront.net/Documentos/631/55566367453/6315556636745310092023184134.jpg","https://dpmzos25m8ivg.cloudfront.net/Documentos/631/55566367453/6315556636745310092023184134.jpg")</f>
        <v>https://dpmzos25m8ivg.cloudfront.net/Documentos/631/55566367453/6315556636745310092023184134.jpg</v>
      </c>
      <c r="H7157" s="5" t="s">
        <v>15726</v>
      </c>
    </row>
    <row r="7158" spans="1:8" x14ac:dyDescent="0.25">
      <c r="A7158" s="2" t="s">
        <v>7186</v>
      </c>
      <c r="B7158" s="3" t="s">
        <v>90</v>
      </c>
      <c r="C7158" s="3"/>
      <c r="D7158" s="3"/>
      <c r="E7158" s="5" t="str">
        <f>HYPERLINK("https://dpmzos25m8ivg.cloudfront.net/Documentos/631/55705952872/6315570595287208092023185505.jpeg","https://dpmzos25m8ivg.cloudfront.net/Documentos/631/55705952872/6315570595287208092023185505.jpeg")</f>
        <v>https://dpmzos25m8ivg.cloudfront.net/Documentos/631/55705952872/6315570595287208092023185505.jpeg</v>
      </c>
      <c r="F7158" s="5" t="str">
        <f>HYPERLINK("https://dpmzos25m8ivg.cloudfront.net/Documentos/631/55705952872/6315570595287208092023185528.jpeg","https://dpmzos25m8ivg.cloudfront.net/Documentos/631/55705952872/6315570595287208092023185528.jpeg")</f>
        <v>https://dpmzos25m8ivg.cloudfront.net/Documentos/631/55705952872/6315570595287208092023185528.jpeg</v>
      </c>
      <c r="G7158" s="5" t="str">
        <f>HYPERLINK("https://dpmzos25m8ivg.cloudfront.net/Documentos/631/55705952872/6315570595287208092023185557.jpeg","https://dpmzos25m8ivg.cloudfront.net/Documentos/631/55705952872/6315570595287208092023185557.jpeg")</f>
        <v>https://dpmzos25m8ivg.cloudfront.net/Documentos/631/55705952872/6315570595287208092023185557.jpeg</v>
      </c>
      <c r="H7158" s="5" t="s">
        <v>15727</v>
      </c>
    </row>
    <row r="7159" spans="1:8" x14ac:dyDescent="0.25">
      <c r="A7159" s="2" t="s">
        <v>7187</v>
      </c>
      <c r="B7159" s="3"/>
      <c r="C7159" s="3"/>
      <c r="D7159" s="3"/>
      <c r="E7159" s="5" t="str">
        <f>HYPERLINK("https://dpmzos25m8ivg.cloudfront.net/Documentos/631/55785280230/6315578528023008092023205617.jpg","https://dpmzos25m8ivg.cloudfront.net/Documentos/631/55785280230/6315578528023008092023205617.jpg")</f>
        <v>https://dpmzos25m8ivg.cloudfront.net/Documentos/631/55785280230/6315578528023008092023205617.jpg</v>
      </c>
      <c r="F7159" s="5" t="str">
        <f>HYPERLINK("https://dpmzos25m8ivg.cloudfront.net/Documentos/631/55785280230/6315578528023008092023205646.jpg","https://dpmzos25m8ivg.cloudfront.net/Documentos/631/55785280230/6315578528023008092023205646.jpg")</f>
        <v>https://dpmzos25m8ivg.cloudfront.net/Documentos/631/55785280230/6315578528023008092023205646.jpg</v>
      </c>
      <c r="G7159" s="5" t="str">
        <f>HYPERLINK("https://dpmzos25m8ivg.cloudfront.net/Documentos/631/55785280230/6315578528023008092023205716.jpg","https://dpmzos25m8ivg.cloudfront.net/Documentos/631/55785280230/6315578528023008092023205716.jpg")</f>
        <v>https://dpmzos25m8ivg.cloudfront.net/Documentos/631/55785280230/6315578528023008092023205716.jpg</v>
      </c>
      <c r="H7159" s="5" t="s">
        <v>15728</v>
      </c>
    </row>
    <row r="7160" spans="1:8" x14ac:dyDescent="0.25">
      <c r="A7160" s="2" t="s">
        <v>7188</v>
      </c>
      <c r="B7160" s="3"/>
      <c r="C7160" s="3"/>
      <c r="D7160" s="3"/>
      <c r="E7160" s="5" t="str">
        <f>HYPERLINK("https://dpmzos25m8ivg.cloudfront.net/Documentos/631/55953310200/6315595331020008092023185943.pdf","https://dpmzos25m8ivg.cloudfront.net/Documentos/631/55953310200/6315595331020008092023185943.pdf")</f>
        <v>https://dpmzos25m8ivg.cloudfront.net/Documentos/631/55953310200/6315595331020008092023185943.pdf</v>
      </c>
      <c r="F7160" s="5" t="str">
        <f>HYPERLINK("https://dpmzos25m8ivg.cloudfront.net/Documentos/631/55953310200/6315595331020008092023195325.pdf","https://dpmzos25m8ivg.cloudfront.net/Documentos/631/55953310200/6315595331020008092023195325.pdf")</f>
        <v>https://dpmzos25m8ivg.cloudfront.net/Documentos/631/55953310200/6315595331020008092023195325.pdf</v>
      </c>
      <c r="G7160" s="5" t="str">
        <f>HYPERLINK("https://dpmzos25m8ivg.cloudfront.net/Documentos/631/55953310200/6315595331020008092023200119.pdf","https://dpmzos25m8ivg.cloudfront.net/Documentos/631/55953310200/6315595331020008092023200119.pdf")</f>
        <v>https://dpmzos25m8ivg.cloudfront.net/Documentos/631/55953310200/6315595331020008092023200119.pdf</v>
      </c>
      <c r="H7160" s="5" t="s">
        <v>15729</v>
      </c>
    </row>
    <row r="7161" spans="1:8" x14ac:dyDescent="0.25">
      <c r="A7161" s="2" t="s">
        <v>7189</v>
      </c>
      <c r="B7161" s="3" t="s">
        <v>23</v>
      </c>
      <c r="C7161" s="3"/>
      <c r="D7161" s="3"/>
      <c r="E7161" s="5" t="str">
        <f>HYPERLINK("https://dpmzos25m8ivg.cloudfront.net/Documentos/631/55991920591/6315599192059105092023232232.jpg","https://dpmzos25m8ivg.cloudfront.net/Documentos/631/55991920591/6315599192059105092023232232.jpg")</f>
        <v>https://dpmzos25m8ivg.cloudfront.net/Documentos/631/55991920591/6315599192059105092023232232.jpg</v>
      </c>
      <c r="F7161" s="5" t="str">
        <f>HYPERLINK("https://dpmzos25m8ivg.cloudfront.net/Documentos/631/55991920591/6315599192059105092023232312.jpg","https://dpmzos25m8ivg.cloudfront.net/Documentos/631/55991920591/6315599192059105092023232312.jpg")</f>
        <v>https://dpmzos25m8ivg.cloudfront.net/Documentos/631/55991920591/6315599192059105092023232312.jpg</v>
      </c>
      <c r="G7161" s="5" t="str">
        <f>HYPERLINK("https://dpmzos25m8ivg.cloudfront.net/Documentos/631/55991920591/6315599192059105092023232350.jpg","https://dpmzos25m8ivg.cloudfront.net/Documentos/631/55991920591/6315599192059105092023232350.jpg")</f>
        <v>https://dpmzos25m8ivg.cloudfront.net/Documentos/631/55991920591/6315599192059105092023232350.jpg</v>
      </c>
      <c r="H7161" s="5" t="s">
        <v>15730</v>
      </c>
    </row>
    <row r="7162" spans="1:8" x14ac:dyDescent="0.25">
      <c r="A7162" s="2" t="s">
        <v>7190</v>
      </c>
      <c r="B7162" s="3"/>
      <c r="C7162" s="3"/>
      <c r="D7162" s="3"/>
      <c r="E7162" s="5" t="str">
        <f>HYPERLINK("https://dpmzos25m8ivg.cloudfront.net/Documentos/631/56068786153/6315606878615305092023204526.pdf","https://dpmzos25m8ivg.cloudfront.net/Documentos/631/56068786153/6315606878615305092023204526.pdf")</f>
        <v>https://dpmzos25m8ivg.cloudfront.net/Documentos/631/56068786153/6315606878615305092023204526.pdf</v>
      </c>
      <c r="F7162" s="5" t="str">
        <f>HYPERLINK("https://dpmzos25m8ivg.cloudfront.net/Documentos/631/56068786153/6315606878615305092023204543.pdf","https://dpmzos25m8ivg.cloudfront.net/Documentos/631/56068786153/6315606878615305092023204543.pdf")</f>
        <v>https://dpmzos25m8ivg.cloudfront.net/Documentos/631/56068786153/6315606878615305092023204543.pdf</v>
      </c>
      <c r="G7162" s="5" t="str">
        <f>HYPERLINK("https://dpmzos25m8ivg.cloudfront.net/Documentos/631/56068786153/6315606878615305092023204555.pdf","https://dpmzos25m8ivg.cloudfront.net/Documentos/631/56068786153/6315606878615305092023204555.pdf")</f>
        <v>https://dpmzos25m8ivg.cloudfront.net/Documentos/631/56068786153/6315606878615305092023204555.pdf</v>
      </c>
      <c r="H7162" s="5" t="s">
        <v>15731</v>
      </c>
    </row>
    <row r="7163" spans="1:8" x14ac:dyDescent="0.25">
      <c r="A7163" s="2" t="s">
        <v>7191</v>
      </c>
      <c r="B7163" s="3"/>
      <c r="C7163" s="3"/>
      <c r="D7163" s="3"/>
      <c r="E7163" s="5" t="str">
        <f>HYPERLINK("https://dpmzos25m8ivg.cloudfront.net/Documentos/631/56073275234/6315607327523405092023114827.jpg","https://dpmzos25m8ivg.cloudfront.net/Documentos/631/56073275234/6315607327523405092023114827.jpg")</f>
        <v>https://dpmzos25m8ivg.cloudfront.net/Documentos/631/56073275234/6315607327523405092023114827.jpg</v>
      </c>
      <c r="F7163" s="5" t="str">
        <f>HYPERLINK("https://dpmzos25m8ivg.cloudfront.net/Documentos/631/56073275234/6315607327523405092023115504.jpg","https://dpmzos25m8ivg.cloudfront.net/Documentos/631/56073275234/6315607327523405092023115504.jpg")</f>
        <v>https://dpmzos25m8ivg.cloudfront.net/Documentos/631/56073275234/6315607327523405092023115504.jpg</v>
      </c>
      <c r="G7163" s="5" t="str">
        <f>HYPERLINK("https://dpmzos25m8ivg.cloudfront.net/Documentos/631/56073275234/6315607327523405092023115619.jpg","https://dpmzos25m8ivg.cloudfront.net/Documentos/631/56073275234/6315607327523405092023115619.jpg")</f>
        <v>https://dpmzos25m8ivg.cloudfront.net/Documentos/631/56073275234/6315607327523405092023115619.jpg</v>
      </c>
      <c r="H7163" s="5" t="s">
        <v>15732</v>
      </c>
    </row>
    <row r="7164" spans="1:8" x14ac:dyDescent="0.25">
      <c r="A7164" s="2" t="s">
        <v>7192</v>
      </c>
      <c r="B7164" s="3"/>
      <c r="C7164" s="3"/>
      <c r="D7164" s="3"/>
      <c r="E7164" s="5" t="str">
        <f>HYPERLINK("https://dpmzos25m8ivg.cloudfront.net/Documentos/631/56138474520/6315613847452005092023205458.jpg","https://dpmzos25m8ivg.cloudfront.net/Documentos/631/56138474520/6315613847452005092023205458.jpg")</f>
        <v>https://dpmzos25m8ivg.cloudfront.net/Documentos/631/56138474520/6315613847452005092023205458.jpg</v>
      </c>
      <c r="F7164" s="5" t="str">
        <f>HYPERLINK("https://dpmzos25m8ivg.cloudfront.net/Documentos/631/56138474520/6315613847452005092023205517.jpg","https://dpmzos25m8ivg.cloudfront.net/Documentos/631/56138474520/6315613847452005092023205517.jpg")</f>
        <v>https://dpmzos25m8ivg.cloudfront.net/Documentos/631/56138474520/6315613847452005092023205517.jpg</v>
      </c>
      <c r="G7164" s="5" t="str">
        <f>HYPERLINK("https://dpmzos25m8ivg.cloudfront.net/Documentos/631/56138474520/6315613847452005092023205530.jpg","https://dpmzos25m8ivg.cloudfront.net/Documentos/631/56138474520/6315613847452005092023205530.jpg")</f>
        <v>https://dpmzos25m8ivg.cloudfront.net/Documentos/631/56138474520/6315613847452005092023205530.jpg</v>
      </c>
      <c r="H7164" s="5" t="s">
        <v>15733</v>
      </c>
    </row>
    <row r="7165" spans="1:8" x14ac:dyDescent="0.25">
      <c r="A7165" s="2" t="s">
        <v>7193</v>
      </c>
      <c r="B7165" s="3" t="s">
        <v>90</v>
      </c>
      <c r="C7165" s="3"/>
      <c r="D7165" s="3"/>
      <c r="E7165" s="5" t="str">
        <f>HYPERLINK("https://dpmzos25m8ivg.cloudfront.net/Documentos/631/56195796115/6315619579611505092023110259.jpg","https://dpmzos25m8ivg.cloudfront.net/Documentos/631/56195796115/6315619579611505092023110259.jpg")</f>
        <v>https://dpmzos25m8ivg.cloudfront.net/Documentos/631/56195796115/6315619579611505092023110259.jpg</v>
      </c>
      <c r="F7165" s="5" t="str">
        <f>HYPERLINK("https://dpmzos25m8ivg.cloudfront.net/Documentos/631/56195796115/6315619579611505092023110324.jpg","https://dpmzos25m8ivg.cloudfront.net/Documentos/631/56195796115/6315619579611505092023110324.jpg")</f>
        <v>https://dpmzos25m8ivg.cloudfront.net/Documentos/631/56195796115/6315619579611505092023110324.jpg</v>
      </c>
      <c r="G7165" s="5" t="str">
        <f>HYPERLINK("https://dpmzos25m8ivg.cloudfront.net/Documentos/631/56195796115/6315619579611505092023110351.jpg","https://dpmzos25m8ivg.cloudfront.net/Documentos/631/56195796115/6315619579611505092023110351.jpg")</f>
        <v>https://dpmzos25m8ivg.cloudfront.net/Documentos/631/56195796115/6315619579611505092023110351.jpg</v>
      </c>
      <c r="H7165" s="5" t="s">
        <v>15734</v>
      </c>
    </row>
    <row r="7166" spans="1:8" x14ac:dyDescent="0.25">
      <c r="A7166" s="2" t="s">
        <v>7194</v>
      </c>
      <c r="B7166" s="3"/>
      <c r="C7166" s="3"/>
      <c r="D7166" s="3"/>
      <c r="E7166" s="5" t="str">
        <f>HYPERLINK("https://dpmzos25m8ivg.cloudfront.net/Documentos/631/56350724020/6315635072402011092023083215.pdf","https://dpmzos25m8ivg.cloudfront.net/Documentos/631/56350724020/6315635072402011092023083215.pdf")</f>
        <v>https://dpmzos25m8ivg.cloudfront.net/Documentos/631/56350724020/6315635072402011092023083215.pdf</v>
      </c>
      <c r="F7166" s="5" t="str">
        <f>HYPERLINK("https://dpmzos25m8ivg.cloudfront.net/Documentos/631/56350724020/6315635072402011092023083236.pdf","https://dpmzos25m8ivg.cloudfront.net/Documentos/631/56350724020/6315635072402011092023083236.pdf")</f>
        <v>https://dpmzos25m8ivg.cloudfront.net/Documentos/631/56350724020/6315635072402011092023083236.pdf</v>
      </c>
      <c r="G7166" s="5" t="str">
        <f>HYPERLINK("https://dpmzos25m8ivg.cloudfront.net/Documentos/631/56350724020/6315635072402011092023083250.pdf","https://dpmzos25m8ivg.cloudfront.net/Documentos/631/56350724020/6315635072402011092023083250.pdf")</f>
        <v>https://dpmzos25m8ivg.cloudfront.net/Documentos/631/56350724020/6315635072402011092023083250.pdf</v>
      </c>
      <c r="H7166" s="5" t="s">
        <v>15735</v>
      </c>
    </row>
    <row r="7167" spans="1:8" x14ac:dyDescent="0.25">
      <c r="A7167" s="14" t="s">
        <v>7195</v>
      </c>
      <c r="B7167" s="15"/>
      <c r="C7167" s="3"/>
      <c r="D7167" s="3"/>
      <c r="E7167" s="9" t="str">
        <f>HYPERLINK("https://dpmzos25m8ivg.cloudfront.net/Documentos/631/56374100115/6315637410011506092023115406.jpeg","https://dpmzos25m8ivg.cloudfront.net/Documentos/631/56374100115/6315637410011506092023115406.jpeg")</f>
        <v>https://dpmzos25m8ivg.cloudfront.net/Documentos/631/56374100115/6315637410011506092023115406.jpeg</v>
      </c>
      <c r="F7167" s="9" t="str">
        <f>HYPERLINK("https://dpmzos25m8ivg.cloudfront.net/Documentos/631/56374100115/6315637410011506092023115420.jpeg","https://dpmzos25m8ivg.cloudfront.net/Documentos/631/56374100115/6315637410011506092023115420.jpeg")</f>
        <v>https://dpmzos25m8ivg.cloudfront.net/Documentos/631/56374100115/6315637410011506092023115420.jpeg</v>
      </c>
      <c r="G7167" s="9" t="str">
        <f>HYPERLINK("https://dpmzos25m8ivg.cloudfront.net/Documentos/631/56374100115/6315637410011506092023115431.jpeg","https://dpmzos25m8ivg.cloudfront.net/Documentos/631/56374100115/6315637410011506092023115431.jpeg")</f>
        <v>https://dpmzos25m8ivg.cloudfront.net/Documentos/631/56374100115/6315637410011506092023115431.jpeg</v>
      </c>
      <c r="H7167" s="9" t="s">
        <v>15736</v>
      </c>
    </row>
    <row r="7168" spans="1:8" x14ac:dyDescent="0.25">
      <c r="A7168" s="2" t="s">
        <v>7196</v>
      </c>
      <c r="B7168" s="3"/>
      <c r="C7168" s="3"/>
      <c r="D7168" s="3"/>
      <c r="E7168" s="5" t="str">
        <f>HYPERLINK("https://dpmzos25m8ivg.cloudfront.net/Documentos/631/56439253549/6315643925354911092023163147.jpg","https://dpmzos25m8ivg.cloudfront.net/Documentos/631/56439253549/6315643925354911092023163147.jpg")</f>
        <v>https://dpmzos25m8ivg.cloudfront.net/Documentos/631/56439253549/6315643925354911092023163147.jpg</v>
      </c>
      <c r="F7168" s="5" t="str">
        <f>HYPERLINK("https://dpmzos25m8ivg.cloudfront.net/Documentos/631/56439253549/6315643925354911092023163203.jpg","https://dpmzos25m8ivg.cloudfront.net/Documentos/631/56439253549/6315643925354911092023163203.jpg")</f>
        <v>https://dpmzos25m8ivg.cloudfront.net/Documentos/631/56439253549/6315643925354911092023163203.jpg</v>
      </c>
      <c r="G7168" s="5" t="str">
        <f>HYPERLINK("https://dpmzos25m8ivg.cloudfront.net/Documentos/631/56439253549/6315643925354911092023163222.jpg","https://dpmzos25m8ivg.cloudfront.net/Documentos/631/56439253549/6315643925354911092023163222.jpg")</f>
        <v>https://dpmzos25m8ivg.cloudfront.net/Documentos/631/56439253549/6315643925354911092023163222.jpg</v>
      </c>
      <c r="H7168" s="5" t="s">
        <v>15737</v>
      </c>
    </row>
    <row r="7169" spans="1:8" x14ac:dyDescent="0.25">
      <c r="A7169" s="2" t="s">
        <v>7197</v>
      </c>
      <c r="B7169" s="3"/>
      <c r="C7169" s="3"/>
      <c r="D7169" s="3"/>
      <c r="E7169" s="5" t="str">
        <f>HYPERLINK("https://dpmzos25m8ivg.cloudfront.net/Documentos/631/56471785372/6315647178537213092023190226.jpg","https://dpmzos25m8ivg.cloudfront.net/Documentos/631/56471785372/6315647178537213092023190226.jpg")</f>
        <v>https://dpmzos25m8ivg.cloudfront.net/Documentos/631/56471785372/6315647178537213092023190226.jpg</v>
      </c>
      <c r="F7169" s="5" t="str">
        <f>HYPERLINK("https://dpmzos25m8ivg.cloudfront.net/Documentos/631/56471785372/6315647178537213092023190303.jpg","https://dpmzos25m8ivg.cloudfront.net/Documentos/631/56471785372/6315647178537213092023190303.jpg")</f>
        <v>https://dpmzos25m8ivg.cloudfront.net/Documentos/631/56471785372/6315647178537213092023190303.jpg</v>
      </c>
      <c r="G7169" s="5" t="str">
        <f>HYPERLINK("https://dpmzos25m8ivg.cloudfront.net/Documentos/631/56471785372/6315647178537213092023190434.jpg","https://dpmzos25m8ivg.cloudfront.net/Documentos/631/56471785372/6315647178537213092023190434.jpg")</f>
        <v>https://dpmzos25m8ivg.cloudfront.net/Documentos/631/56471785372/6315647178537213092023190434.jpg</v>
      </c>
      <c r="H7169" s="5" t="s">
        <v>15738</v>
      </c>
    </row>
    <row r="7170" spans="1:8" x14ac:dyDescent="0.25">
      <c r="A7170" s="2" t="s">
        <v>7198</v>
      </c>
      <c r="B7170" s="3" t="s">
        <v>42</v>
      </c>
      <c r="C7170" s="3"/>
      <c r="D7170" s="3"/>
      <c r="E7170" s="5" t="str">
        <f>HYPERLINK("https://dpmzos25m8ivg.cloudfront.net/Documentos/631/56578571787/6315657857178706092023192348.pdf","https://dpmzos25m8ivg.cloudfront.net/Documentos/631/56578571787/6315657857178706092023192348.pdf")</f>
        <v>https://dpmzos25m8ivg.cloudfront.net/Documentos/631/56578571787/6315657857178706092023192348.pdf</v>
      </c>
      <c r="F7170" s="5" t="str">
        <f>HYPERLINK("https://dpmzos25m8ivg.cloudfront.net/Documentos/631/56578571787/6315657857178706092023192406.pdf","https://dpmzos25m8ivg.cloudfront.net/Documentos/631/56578571787/6315657857178706092023192406.pdf")</f>
        <v>https://dpmzos25m8ivg.cloudfront.net/Documentos/631/56578571787/6315657857178706092023192406.pdf</v>
      </c>
      <c r="G7170" s="5" t="str">
        <f>HYPERLINK("https://dpmzos25m8ivg.cloudfront.net/Documentos/631/56578571787/6315657857178706092023192417.pdf","https://dpmzos25m8ivg.cloudfront.net/Documentos/631/56578571787/6315657857178706092023192417.pdf")</f>
        <v>https://dpmzos25m8ivg.cloudfront.net/Documentos/631/56578571787/6315657857178706092023192417.pdf</v>
      </c>
      <c r="H7170" s="5" t="s">
        <v>15739</v>
      </c>
    </row>
    <row r="7171" spans="1:8" x14ac:dyDescent="0.25">
      <c r="A7171" s="2" t="s">
        <v>7199</v>
      </c>
      <c r="B7171" s="3"/>
      <c r="C7171" s="3"/>
      <c r="D7171" s="3"/>
      <c r="E7171" s="5" t="str">
        <f>HYPERLINK("https://dpmzos25m8ivg.cloudfront.net/Documentos/631/56650108200/6315665010820011092023125218.jpg","https://dpmzos25m8ivg.cloudfront.net/Documentos/631/56650108200/6315665010820011092023125218.jpg")</f>
        <v>https://dpmzos25m8ivg.cloudfront.net/Documentos/631/56650108200/6315665010820011092023125218.jpg</v>
      </c>
      <c r="F7171" s="5" t="str">
        <f>HYPERLINK("https://dpmzos25m8ivg.cloudfront.net/Documentos/631/56650108200/6315665010820011092023130551.jpg","https://dpmzos25m8ivg.cloudfront.net/Documentos/631/56650108200/6315665010820011092023130551.jpg")</f>
        <v>https://dpmzos25m8ivg.cloudfront.net/Documentos/631/56650108200/6315665010820011092023130551.jpg</v>
      </c>
      <c r="G7171" s="5" t="str">
        <f>HYPERLINK("https://dpmzos25m8ivg.cloudfront.net/Documentos/631/56650108200/6315665010820011092023130611.jpg","https://dpmzos25m8ivg.cloudfront.net/Documentos/631/56650108200/6315665010820011092023130611.jpg")</f>
        <v>https://dpmzos25m8ivg.cloudfront.net/Documentos/631/56650108200/6315665010820011092023130611.jpg</v>
      </c>
      <c r="H7171" s="5" t="s">
        <v>15740</v>
      </c>
    </row>
    <row r="7172" spans="1:8" x14ac:dyDescent="0.25">
      <c r="A7172" s="2" t="s">
        <v>7200</v>
      </c>
      <c r="B7172" s="3" t="s">
        <v>90</v>
      </c>
      <c r="C7172" s="3"/>
      <c r="D7172" s="3"/>
      <c r="E7172" s="5" t="str">
        <f>HYPERLINK("https://dpmzos25m8ivg.cloudfront.net/Documentos/631/56755422568/6315675542256808092023154800.pdf","https://dpmzos25m8ivg.cloudfront.net/Documentos/631/56755422568/6315675542256808092023154800.pdf")</f>
        <v>https://dpmzos25m8ivg.cloudfront.net/Documentos/631/56755422568/6315675542256808092023154800.pdf</v>
      </c>
      <c r="F7172" s="5" t="str">
        <f>HYPERLINK("https://dpmzos25m8ivg.cloudfront.net/Documentos/631/56755422568/6315675542256808092023154809.pdf","https://dpmzos25m8ivg.cloudfront.net/Documentos/631/56755422568/6315675542256808092023154809.pdf")</f>
        <v>https://dpmzos25m8ivg.cloudfront.net/Documentos/631/56755422568/6315675542256808092023154809.pdf</v>
      </c>
      <c r="G7172" s="5" t="str">
        <f>HYPERLINK("https://dpmzos25m8ivg.cloudfront.net/Documentos/631/56755422568/6315675542256808092023154815.pdf","https://dpmzos25m8ivg.cloudfront.net/Documentos/631/56755422568/6315675542256808092023154815.pdf")</f>
        <v>https://dpmzos25m8ivg.cloudfront.net/Documentos/631/56755422568/6315675542256808092023154815.pdf</v>
      </c>
      <c r="H7172" s="5" t="s">
        <v>15741</v>
      </c>
    </row>
    <row r="7173" spans="1:8" x14ac:dyDescent="0.25">
      <c r="A7173" s="2" t="s">
        <v>7201</v>
      </c>
      <c r="B7173" s="3" t="s">
        <v>90</v>
      </c>
      <c r="C7173" s="3"/>
      <c r="D7173" s="3"/>
      <c r="E7173" s="5" t="str">
        <f>HYPERLINK("https://dpmzos25m8ivg.cloudfront.net/Documentos/631/56845456453/6315684545645311092023071825.pdf","https://dpmzos25m8ivg.cloudfront.net/Documentos/631/56845456453/6315684545645311092023071825.pdf")</f>
        <v>https://dpmzos25m8ivg.cloudfront.net/Documentos/631/56845456453/6315684545645311092023071825.pdf</v>
      </c>
      <c r="F7173" s="5" t="str">
        <f>HYPERLINK("https://dpmzos25m8ivg.cloudfront.net/Documentos/631/56845456453/6315684545645311092023071902.pdf","https://dpmzos25m8ivg.cloudfront.net/Documentos/631/56845456453/6315684545645311092023071902.pdf")</f>
        <v>https://dpmzos25m8ivg.cloudfront.net/Documentos/631/56845456453/6315684545645311092023071902.pdf</v>
      </c>
      <c r="G7173" s="5" t="str">
        <f>HYPERLINK("https://dpmzos25m8ivg.cloudfront.net/Documentos/631/56845456453/6315684545645311092023071921.pdf","https://dpmzos25m8ivg.cloudfront.net/Documentos/631/56845456453/6315684545645311092023071921.pdf")</f>
        <v>https://dpmzos25m8ivg.cloudfront.net/Documentos/631/56845456453/6315684545645311092023071921.pdf</v>
      </c>
      <c r="H7173" s="5" t="s">
        <v>15742</v>
      </c>
    </row>
    <row r="7174" spans="1:8" x14ac:dyDescent="0.25">
      <c r="A7174" s="14" t="s">
        <v>7202</v>
      </c>
      <c r="B7174" s="15" t="s">
        <v>90</v>
      </c>
      <c r="C7174" s="3"/>
      <c r="D7174" s="3"/>
      <c r="E7174" s="9" t="str">
        <f>HYPERLINK("https://dpmzos25m8ivg.cloudfront.net/Documentos/631/56914040249/6315691404024911092023170004.jpeg","https://dpmzos25m8ivg.cloudfront.net/Documentos/631/56914040249/6315691404024911092023170004.jpeg")</f>
        <v>https://dpmzos25m8ivg.cloudfront.net/Documentos/631/56914040249/6315691404024911092023170004.jpeg</v>
      </c>
      <c r="F7174" s="9" t="str">
        <f>HYPERLINK("https://dpmzos25m8ivg.cloudfront.net/Documentos/631/56914040249/6315691404024911092023170035.jpeg","https://dpmzos25m8ivg.cloudfront.net/Documentos/631/56914040249/6315691404024911092023170035.jpeg")</f>
        <v>https://dpmzos25m8ivg.cloudfront.net/Documentos/631/56914040249/6315691404024911092023170035.jpeg</v>
      </c>
      <c r="G7174" s="9" t="str">
        <f>HYPERLINK("https://dpmzos25m8ivg.cloudfront.net/Documentos/631/56914040249/6315691404024911092023170102.jpeg","https://dpmzos25m8ivg.cloudfront.net/Documentos/631/56914040249/6315691404024911092023170102.jpeg")</f>
        <v>https://dpmzos25m8ivg.cloudfront.net/Documentos/631/56914040249/6315691404024911092023170102.jpeg</v>
      </c>
      <c r="H7174" s="9" t="s">
        <v>15743</v>
      </c>
    </row>
    <row r="7175" spans="1:8" x14ac:dyDescent="0.25">
      <c r="A7175" s="2" t="s">
        <v>7203</v>
      </c>
      <c r="B7175" s="3"/>
      <c r="C7175" s="3"/>
      <c r="D7175" s="3"/>
      <c r="E7175" s="5" t="str">
        <f>HYPERLINK("https://dpmzos25m8ivg.cloudfront.net/Documentos/631/57040680300/6315704068030007092023232307.pdf","https://dpmzos25m8ivg.cloudfront.net/Documentos/631/57040680300/6315704068030007092023232307.pdf")</f>
        <v>https://dpmzos25m8ivg.cloudfront.net/Documentos/631/57040680300/6315704068030007092023232307.pdf</v>
      </c>
      <c r="F7175" s="5" t="str">
        <f>HYPERLINK("https://dpmzos25m8ivg.cloudfront.net/Documentos/631/57040680300/6315704068030007092023232316.pdf","https://dpmzos25m8ivg.cloudfront.net/Documentos/631/57040680300/6315704068030007092023232316.pdf")</f>
        <v>https://dpmzos25m8ivg.cloudfront.net/Documentos/631/57040680300/6315704068030007092023232316.pdf</v>
      </c>
      <c r="G7175" s="5" t="str">
        <f>HYPERLINK("https://dpmzos25m8ivg.cloudfront.net/Documentos/631/57040680300/6315704068030007092023232327.pdf","https://dpmzos25m8ivg.cloudfront.net/Documentos/631/57040680300/6315704068030007092023232327.pdf")</f>
        <v>https://dpmzos25m8ivg.cloudfront.net/Documentos/631/57040680300/6315704068030007092023232327.pdf</v>
      </c>
      <c r="H7175" s="5" t="s">
        <v>15744</v>
      </c>
    </row>
    <row r="7176" spans="1:8" x14ac:dyDescent="0.25">
      <c r="A7176" s="2" t="s">
        <v>7204</v>
      </c>
      <c r="B7176" s="3" t="s">
        <v>90</v>
      </c>
      <c r="C7176" s="3"/>
      <c r="D7176" s="3"/>
      <c r="E7176" s="5" t="str">
        <f>HYPERLINK("https://dpmzos25m8ivg.cloudfront.net/Documentos/631/57084408215/6315708440821508092023150142.pdf","https://dpmzos25m8ivg.cloudfront.net/Documentos/631/57084408215/6315708440821508092023150142.pdf")</f>
        <v>https://dpmzos25m8ivg.cloudfront.net/Documentos/631/57084408215/6315708440821508092023150142.pdf</v>
      </c>
      <c r="F7176" s="5" t="str">
        <f>HYPERLINK("https://dpmzos25m8ivg.cloudfront.net/Documentos/631/57084408215/6315708440821508092023150156.pdf","https://dpmzos25m8ivg.cloudfront.net/Documentos/631/57084408215/6315708440821508092023150156.pdf")</f>
        <v>https://dpmzos25m8ivg.cloudfront.net/Documentos/631/57084408215/6315708440821508092023150156.pdf</v>
      </c>
      <c r="G7176" s="5" t="str">
        <f>HYPERLINK("https://dpmzos25m8ivg.cloudfront.net/Documentos/631/57084408215/6315708440821508092023150207.pdf","https://dpmzos25m8ivg.cloudfront.net/Documentos/631/57084408215/6315708440821508092023150207.pdf")</f>
        <v>https://dpmzos25m8ivg.cloudfront.net/Documentos/631/57084408215/6315708440821508092023150207.pdf</v>
      </c>
      <c r="H7176" s="5" t="s">
        <v>15745</v>
      </c>
    </row>
    <row r="7177" spans="1:8" x14ac:dyDescent="0.25">
      <c r="A7177" s="2" t="s">
        <v>7205</v>
      </c>
      <c r="B7177" s="3" t="s">
        <v>90</v>
      </c>
      <c r="C7177" s="3"/>
      <c r="D7177" s="3"/>
      <c r="E7177" s="4" t="str">
        <f>HYPERLINK("https://dpmzos25m8ivg.cloudfront.net/Documentos/631/57122504034/6315712250403409092023180442.jpg","https://dpmzos25m8ivg.cloudfront.net/Documentos/631/57122504034/6315712250403409092023180442.jpg")</f>
        <v>https://dpmzos25m8ivg.cloudfront.net/Documentos/631/57122504034/6315712250403409092023180442.jpg</v>
      </c>
      <c r="F7177" s="4" t="str">
        <f>HYPERLINK("https://dpmzos25m8ivg.cloudfront.net/Documentos/631/57122504034/6315712250403409092023180453.jpg","https://dpmzos25m8ivg.cloudfront.net/Documentos/631/57122504034/6315712250403409092023180453.jpg")</f>
        <v>https://dpmzos25m8ivg.cloudfront.net/Documentos/631/57122504034/6315712250403409092023180453.jpg</v>
      </c>
      <c r="G7177" s="4" t="str">
        <f>HYPERLINK("https://dpmzos25m8ivg.cloudfront.net/Documentos/631/57122504034/6315712250403409092023180502.jpg","https://dpmzos25m8ivg.cloudfront.net/Documentos/631/57122504034/6315712250403409092023180502.jpg")</f>
        <v>https://dpmzos25m8ivg.cloudfront.net/Documentos/631/57122504034/6315712250403409092023180502.jpg</v>
      </c>
      <c r="H7177" s="4" t="s">
        <v>15746</v>
      </c>
    </row>
    <row r="7178" spans="1:8" x14ac:dyDescent="0.25">
      <c r="A7178" s="2" t="s">
        <v>7206</v>
      </c>
      <c r="B7178" s="3"/>
      <c r="C7178" s="3"/>
      <c r="D7178" s="3"/>
      <c r="E7178" s="5" t="str">
        <f>HYPERLINK("https://dpmzos25m8ivg.cloudfront.net/Documentos/631/57446083549/6315744608354907092023113449.jpg","https://dpmzos25m8ivg.cloudfront.net/Documentos/631/57446083549/6315744608354907092023113449.jpg")</f>
        <v>https://dpmzos25m8ivg.cloudfront.net/Documentos/631/57446083549/6315744608354907092023113449.jpg</v>
      </c>
      <c r="F7178" s="5" t="str">
        <f>HYPERLINK("https://dpmzos25m8ivg.cloudfront.net/Documentos/631/57446083549/6315744608354907092023113612.jpg","https://dpmzos25m8ivg.cloudfront.net/Documentos/631/57446083549/6315744608354907092023113612.jpg")</f>
        <v>https://dpmzos25m8ivg.cloudfront.net/Documentos/631/57446083549/6315744608354907092023113612.jpg</v>
      </c>
      <c r="G7178" s="5" t="str">
        <f>HYPERLINK("https://dpmzos25m8ivg.cloudfront.net/Documentos/631/57446083549/6315744608354907092023113652.jpg","https://dpmzos25m8ivg.cloudfront.net/Documentos/631/57446083549/6315744608354907092023113652.jpg")</f>
        <v>https://dpmzos25m8ivg.cloudfront.net/Documentos/631/57446083549/6315744608354907092023113652.jpg</v>
      </c>
      <c r="H7178" s="5" t="s">
        <v>15747</v>
      </c>
    </row>
    <row r="7179" spans="1:8" x14ac:dyDescent="0.25">
      <c r="A7179" s="2" t="s">
        <v>7207</v>
      </c>
      <c r="B7179" s="3"/>
      <c r="C7179" s="3"/>
      <c r="D7179" s="3"/>
      <c r="E7179" s="5" t="str">
        <f>HYPERLINK("https://dpmzos25m8ivg.cloudfront.net/Documentos/631/57538638253/6315753863825310092023183357.pdf","https://dpmzos25m8ivg.cloudfront.net/Documentos/631/57538638253/6315753863825310092023183357.pdf")</f>
        <v>https://dpmzos25m8ivg.cloudfront.net/Documentos/631/57538638253/6315753863825310092023183357.pdf</v>
      </c>
      <c r="F7179" s="5" t="str">
        <f>HYPERLINK("https://dpmzos25m8ivg.cloudfront.net/Documentos/631/57538638253/6315753863825310092023183452.pdf","https://dpmzos25m8ivg.cloudfront.net/Documentos/631/57538638253/6315753863825310092023183452.pdf")</f>
        <v>https://dpmzos25m8ivg.cloudfront.net/Documentos/631/57538638253/6315753863825310092023183452.pdf</v>
      </c>
      <c r="G7179" s="5" t="str">
        <f>HYPERLINK("https://dpmzos25m8ivg.cloudfront.net/Documentos/631/57538638253/6315753863825310092023183645.pdf","https://dpmzos25m8ivg.cloudfront.net/Documentos/631/57538638253/6315753863825310092023183645.pdf")</f>
        <v>https://dpmzos25m8ivg.cloudfront.net/Documentos/631/57538638253/6315753863825310092023183645.pdf</v>
      </c>
      <c r="H7179" s="5" t="s">
        <v>15748</v>
      </c>
    </row>
    <row r="7180" spans="1:8" x14ac:dyDescent="0.25">
      <c r="A7180" s="2" t="s">
        <v>7208</v>
      </c>
      <c r="B7180" s="3"/>
      <c r="C7180" s="3"/>
      <c r="D7180" s="3"/>
      <c r="E7180" s="5" t="str">
        <f>HYPERLINK("https://dpmzos25m8ivg.cloudfront.net/Documentos/631/57615209153/6315761520915313092023165836.jpg","https://dpmzos25m8ivg.cloudfront.net/Documentos/631/57615209153/6315761520915313092023165836.jpg")</f>
        <v>https://dpmzos25m8ivg.cloudfront.net/Documentos/631/57615209153/6315761520915313092023165836.jpg</v>
      </c>
      <c r="F7180" s="5" t="str">
        <f>HYPERLINK("https://dpmzos25m8ivg.cloudfront.net/Documentos/631/57615209153/6315761520915313092023165856.jpg","https://dpmzos25m8ivg.cloudfront.net/Documentos/631/57615209153/6315761520915313092023165856.jpg")</f>
        <v>https://dpmzos25m8ivg.cloudfront.net/Documentos/631/57615209153/6315761520915313092023165856.jpg</v>
      </c>
      <c r="G7180" s="5" t="str">
        <f>HYPERLINK("https://dpmzos25m8ivg.cloudfront.net/Documentos/631/57615209153/6315761520915313092023165912.jpg","https://dpmzos25m8ivg.cloudfront.net/Documentos/631/57615209153/6315761520915313092023165912.jpg")</f>
        <v>https://dpmzos25m8ivg.cloudfront.net/Documentos/631/57615209153/6315761520915313092023165912.jpg</v>
      </c>
      <c r="H7180" s="5" t="s">
        <v>15749</v>
      </c>
    </row>
    <row r="7181" spans="1:8" x14ac:dyDescent="0.25">
      <c r="A7181" s="2" t="s">
        <v>7209</v>
      </c>
      <c r="B7181" s="3"/>
      <c r="C7181" s="3"/>
      <c r="D7181" s="3"/>
      <c r="E7181" s="5" t="str">
        <f>HYPERLINK("https://dpmzos25m8ivg.cloudfront.net/Documentos/631/57618399204/6315761839920409092023135215.pdf","https://dpmzos25m8ivg.cloudfront.net/Documentos/631/57618399204/6315761839920409092023135215.pdf")</f>
        <v>https://dpmzos25m8ivg.cloudfront.net/Documentos/631/57618399204/6315761839920409092023135215.pdf</v>
      </c>
      <c r="F7181" s="5" t="str">
        <f>HYPERLINK("https://dpmzos25m8ivg.cloudfront.net/Documentos/631/57618399204/6315761839920409092023135241.pdf","https://dpmzos25m8ivg.cloudfront.net/Documentos/631/57618399204/6315761839920409092023135241.pdf")</f>
        <v>https://dpmzos25m8ivg.cloudfront.net/Documentos/631/57618399204/6315761839920409092023135241.pdf</v>
      </c>
      <c r="G7181" s="5" t="str">
        <f>HYPERLINK("https://dpmzos25m8ivg.cloudfront.net/Documentos/631/57618399204/6315761839920409092023135259.pdf","https://dpmzos25m8ivg.cloudfront.net/Documentos/631/57618399204/6315761839920409092023135259.pdf")</f>
        <v>https://dpmzos25m8ivg.cloudfront.net/Documentos/631/57618399204/6315761839920409092023135259.pdf</v>
      </c>
      <c r="H7181" s="5" t="s">
        <v>15750</v>
      </c>
    </row>
    <row r="7182" spans="1:8" x14ac:dyDescent="0.25">
      <c r="A7182" s="2" t="s">
        <v>7210</v>
      </c>
      <c r="B7182" s="3" t="s">
        <v>90</v>
      </c>
      <c r="C7182" s="3"/>
      <c r="D7182" s="3"/>
      <c r="E7182" s="5" t="str">
        <f>HYPERLINK("https://dpmzos25m8ivg.cloudfront.net/Documentos/631/57622850225/6315762285022509092023174831.pdf","https://dpmzos25m8ivg.cloudfront.net/Documentos/631/57622850225/6315762285022509092023174831.pdf")</f>
        <v>https://dpmzos25m8ivg.cloudfront.net/Documentos/631/57622850225/6315762285022509092023174831.pdf</v>
      </c>
      <c r="F7182" s="5" t="str">
        <f>HYPERLINK("https://dpmzos25m8ivg.cloudfront.net/Documentos/631/57622850225/6315762285022509092023174858.pdf","https://dpmzos25m8ivg.cloudfront.net/Documentos/631/57622850225/6315762285022509092023174858.pdf")</f>
        <v>https://dpmzos25m8ivg.cloudfront.net/Documentos/631/57622850225/6315762285022509092023174858.pdf</v>
      </c>
      <c r="G7182" s="5" t="str">
        <f>HYPERLINK("https://dpmzos25m8ivg.cloudfront.net/Documentos/631/57622850225/6315762285022509092023174912.pdf","https://dpmzos25m8ivg.cloudfront.net/Documentos/631/57622850225/6315762285022509092023174912.pdf")</f>
        <v>https://dpmzos25m8ivg.cloudfront.net/Documentos/631/57622850225/6315762285022509092023174912.pdf</v>
      </c>
      <c r="H7182" s="5" t="s">
        <v>15751</v>
      </c>
    </row>
    <row r="7183" spans="1:8" x14ac:dyDescent="0.25">
      <c r="A7183" s="2" t="s">
        <v>7211</v>
      </c>
      <c r="B7183" s="3"/>
      <c r="C7183" s="3"/>
      <c r="D7183" s="3"/>
      <c r="E7183" s="5" t="str">
        <f>HYPERLINK("https://dpmzos25m8ivg.cloudfront.net/Documentos/631/57680370206/6315768037020605092023223841.pdf","https://dpmzos25m8ivg.cloudfront.net/Documentos/631/57680370206/6315768037020605092023223841.pdf")</f>
        <v>https://dpmzos25m8ivg.cloudfront.net/Documentos/631/57680370206/6315768037020605092023223841.pdf</v>
      </c>
      <c r="F7183" s="5" t="str">
        <f>HYPERLINK("https://dpmzos25m8ivg.cloudfront.net/Documentos/631/57680370206/6315768037020605092023223855.pdf","https://dpmzos25m8ivg.cloudfront.net/Documentos/631/57680370206/6315768037020605092023223855.pdf")</f>
        <v>https://dpmzos25m8ivg.cloudfront.net/Documentos/631/57680370206/6315768037020605092023223855.pdf</v>
      </c>
      <c r="G7183" s="5" t="str">
        <f>HYPERLINK("https://dpmzos25m8ivg.cloudfront.net/Documentos/631/57680370206/6315768037020605092023223914.pdf","https://dpmzos25m8ivg.cloudfront.net/Documentos/631/57680370206/6315768037020605092023223914.pdf")</f>
        <v>https://dpmzos25m8ivg.cloudfront.net/Documentos/631/57680370206/6315768037020605092023223914.pdf</v>
      </c>
      <c r="H7183" s="5" t="s">
        <v>15752</v>
      </c>
    </row>
    <row r="7184" spans="1:8" x14ac:dyDescent="0.25">
      <c r="A7184" s="2" t="s">
        <v>7212</v>
      </c>
      <c r="B7184" s="3"/>
      <c r="C7184" s="3"/>
      <c r="D7184" s="3"/>
      <c r="E7184" s="5" t="str">
        <f>HYPERLINK("https://dpmzos25m8ivg.cloudfront.net/Documentos/631/57686963500/6315768696350005092023113156.pdf","https://dpmzos25m8ivg.cloudfront.net/Documentos/631/57686963500/6315768696350005092023113156.pdf")</f>
        <v>https://dpmzos25m8ivg.cloudfront.net/Documentos/631/57686963500/6315768696350005092023113156.pdf</v>
      </c>
      <c r="F7184" s="5" t="str">
        <f>HYPERLINK("https://dpmzos25m8ivg.cloudfront.net/Documentos/631/57686963500/6315768696350005092023113219.pdf","https://dpmzos25m8ivg.cloudfront.net/Documentos/631/57686963500/6315768696350005092023113219.pdf")</f>
        <v>https://dpmzos25m8ivg.cloudfront.net/Documentos/631/57686963500/6315768696350005092023113219.pdf</v>
      </c>
      <c r="G7184" s="5" t="str">
        <f>HYPERLINK("https://dpmzos25m8ivg.cloudfront.net/Documentos/631/57686963500/6315768696350005092023113244.pdf","https://dpmzos25m8ivg.cloudfront.net/Documentos/631/57686963500/6315768696350005092023113244.pdf")</f>
        <v>https://dpmzos25m8ivg.cloudfront.net/Documentos/631/57686963500/6315768696350005092023113244.pdf</v>
      </c>
      <c r="H7184" s="5" t="s">
        <v>15753</v>
      </c>
    </row>
    <row r="7185" spans="1:8" x14ac:dyDescent="0.25">
      <c r="A7185" s="2" t="s">
        <v>7213</v>
      </c>
      <c r="B7185" s="3"/>
      <c r="C7185" s="3"/>
      <c r="D7185" s="3"/>
      <c r="E7185" s="5" t="str">
        <f>HYPERLINK("https://dpmzos25m8ivg.cloudfront.net/Documentos/631/57722404472/6315772240447205092023150225.jpeg","https://dpmzos25m8ivg.cloudfront.net/Documentos/631/57722404472/6315772240447205092023150225.jpeg")</f>
        <v>https://dpmzos25m8ivg.cloudfront.net/Documentos/631/57722404472/6315772240447205092023150225.jpeg</v>
      </c>
      <c r="F7185" s="5" t="str">
        <f>HYPERLINK("https://dpmzos25m8ivg.cloudfront.net/Documentos/631/57722404472/6315772240447205092023150248.jpeg","https://dpmzos25m8ivg.cloudfront.net/Documentos/631/57722404472/6315772240447205092023150248.jpeg")</f>
        <v>https://dpmzos25m8ivg.cloudfront.net/Documentos/631/57722404472/6315772240447205092023150248.jpeg</v>
      </c>
      <c r="G7185" s="5" t="str">
        <f>HYPERLINK("https://dpmzos25m8ivg.cloudfront.net/Documentos/631/57722404472/6315772240447205092023150301.jpeg","https://dpmzos25m8ivg.cloudfront.net/Documentos/631/57722404472/6315772240447205092023150301.jpeg")</f>
        <v>https://dpmzos25m8ivg.cloudfront.net/Documentos/631/57722404472/6315772240447205092023150301.jpeg</v>
      </c>
      <c r="H7185" s="5" t="s">
        <v>15754</v>
      </c>
    </row>
    <row r="7186" spans="1:8" x14ac:dyDescent="0.25">
      <c r="A7186" s="2" t="s">
        <v>7214</v>
      </c>
      <c r="B7186" s="3"/>
      <c r="C7186" s="3"/>
      <c r="D7186" s="3"/>
      <c r="E7186" s="5" t="str">
        <f>HYPERLINK("https://dpmzos25m8ivg.cloudfront.net/Documentos/631/57729425572/6315772942557211092023145655.pdf","https://dpmzos25m8ivg.cloudfront.net/Documentos/631/57729425572/6315772942557211092023145655.pdf")</f>
        <v>https://dpmzos25m8ivg.cloudfront.net/Documentos/631/57729425572/6315772942557211092023145655.pdf</v>
      </c>
      <c r="F7186" s="5" t="str">
        <f>HYPERLINK("https://dpmzos25m8ivg.cloudfront.net/Documentos/631/57729425572/6315772942557211092023145716.pdf","https://dpmzos25m8ivg.cloudfront.net/Documentos/631/57729425572/6315772942557211092023145716.pdf")</f>
        <v>https://dpmzos25m8ivg.cloudfront.net/Documentos/631/57729425572/6315772942557211092023145716.pdf</v>
      </c>
      <c r="G7186" s="5" t="str">
        <f>HYPERLINK("https://dpmzos25m8ivg.cloudfront.net/Documentos/631/57729425572/6315772942557211092023145734.pdf","https://dpmzos25m8ivg.cloudfront.net/Documentos/631/57729425572/6315772942557211092023145734.pdf")</f>
        <v>https://dpmzos25m8ivg.cloudfront.net/Documentos/631/57729425572/6315772942557211092023145734.pdf</v>
      </c>
      <c r="H7186" s="5" t="s">
        <v>15755</v>
      </c>
    </row>
    <row r="7187" spans="1:8" x14ac:dyDescent="0.25">
      <c r="A7187" s="2" t="s">
        <v>7215</v>
      </c>
      <c r="B7187" s="3"/>
      <c r="C7187" s="3"/>
      <c r="D7187" s="3"/>
      <c r="E7187" s="5" t="str">
        <f>HYPERLINK("https://dpmzos25m8ivg.cloudfront.net/Documentos/631/57732779134/6315773277913409092023120416.pdf","https://dpmzos25m8ivg.cloudfront.net/Documentos/631/57732779134/6315773277913409092023120416.pdf")</f>
        <v>https://dpmzos25m8ivg.cloudfront.net/Documentos/631/57732779134/6315773277913409092023120416.pdf</v>
      </c>
      <c r="F7187" s="5" t="str">
        <f>HYPERLINK("https://dpmzos25m8ivg.cloudfront.net/Documentos/631/57732779134/6315773277913409092023120437.pdf","https://dpmzos25m8ivg.cloudfront.net/Documentos/631/57732779134/6315773277913409092023120437.pdf")</f>
        <v>https://dpmzos25m8ivg.cloudfront.net/Documentos/631/57732779134/6315773277913409092023120437.pdf</v>
      </c>
      <c r="G7187" s="5" t="str">
        <f>HYPERLINK("https://dpmzos25m8ivg.cloudfront.net/Documentos/631/57732779134/6315773277913409092023120455.pdf","https://dpmzos25m8ivg.cloudfront.net/Documentos/631/57732779134/6315773277913409092023120455.pdf")</f>
        <v>https://dpmzos25m8ivg.cloudfront.net/Documentos/631/57732779134/6315773277913409092023120455.pdf</v>
      </c>
      <c r="H7187" s="5" t="s">
        <v>15756</v>
      </c>
    </row>
    <row r="7188" spans="1:8" x14ac:dyDescent="0.25">
      <c r="A7188" s="2" t="s">
        <v>7216</v>
      </c>
      <c r="B7188" s="3"/>
      <c r="C7188" s="3"/>
      <c r="D7188" s="3"/>
      <c r="E7188" s="5" t="str">
        <f>HYPERLINK("https://dpmzos25m8ivg.cloudfront.net/Documentos/631/57858608215/6315785860821509092023115550.pdf","https://dpmzos25m8ivg.cloudfront.net/Documentos/631/57858608215/6315785860821509092023115550.pdf")</f>
        <v>https://dpmzos25m8ivg.cloudfront.net/Documentos/631/57858608215/6315785860821509092023115550.pdf</v>
      </c>
      <c r="F7188" s="5" t="str">
        <f>HYPERLINK("https://dpmzos25m8ivg.cloudfront.net/Documentos/631/57858608215/6315785860821509092023120227.pdf","https://dpmzos25m8ivg.cloudfront.net/Documentos/631/57858608215/6315785860821509092023120227.pdf")</f>
        <v>https://dpmzos25m8ivg.cloudfront.net/Documentos/631/57858608215/6315785860821509092023120227.pdf</v>
      </c>
      <c r="G7188" s="5" t="str">
        <f>HYPERLINK("https://dpmzos25m8ivg.cloudfront.net/Documentos/631/57858608215/6315785860821509092023120407.pdf","https://dpmzos25m8ivg.cloudfront.net/Documentos/631/57858608215/6315785860821509092023120407.pdf")</f>
        <v>https://dpmzos25m8ivg.cloudfront.net/Documentos/631/57858608215/6315785860821509092023120407.pdf</v>
      </c>
      <c r="H7188" s="5" t="s">
        <v>15757</v>
      </c>
    </row>
    <row r="7189" spans="1:8" x14ac:dyDescent="0.25">
      <c r="A7189" s="2" t="s">
        <v>7217</v>
      </c>
      <c r="B7189" s="3" t="s">
        <v>7218</v>
      </c>
      <c r="C7189" s="3"/>
      <c r="D7189" s="3"/>
      <c r="E7189" s="5" t="str">
        <f>HYPERLINK("https://dpmzos25m8ivg.cloudfront.net/Documentos/631/57952124234/6315795212423410092023174714.pdf","https://dpmzos25m8ivg.cloudfront.net/Documentos/631/57952124234/6315795212423410092023174714.pdf")</f>
        <v>https://dpmzos25m8ivg.cloudfront.net/Documentos/631/57952124234/6315795212423410092023174714.pdf</v>
      </c>
      <c r="F7189" s="5" t="str">
        <f>HYPERLINK("https://dpmzos25m8ivg.cloudfront.net/Documentos/631/57952124234/6315795212423410092023174730.pdf","https://dpmzos25m8ivg.cloudfront.net/Documentos/631/57952124234/6315795212423410092023174730.pdf")</f>
        <v>https://dpmzos25m8ivg.cloudfront.net/Documentos/631/57952124234/6315795212423410092023174730.pdf</v>
      </c>
      <c r="G7189" s="5" t="str">
        <f>HYPERLINK("https://dpmzos25m8ivg.cloudfront.net/Documentos/631/57952124234/6315795212423411092023100505.pdf","https://dpmzos25m8ivg.cloudfront.net/Documentos/631/57952124234/6315795212423411092023100505.pdf")</f>
        <v>https://dpmzos25m8ivg.cloudfront.net/Documentos/631/57952124234/6315795212423411092023100505.pdf</v>
      </c>
      <c r="H7189" s="5" t="s">
        <v>15758</v>
      </c>
    </row>
    <row r="7190" spans="1:8" x14ac:dyDescent="0.25">
      <c r="A7190" s="2" t="s">
        <v>7219</v>
      </c>
      <c r="B7190" s="3"/>
      <c r="C7190" s="3"/>
      <c r="D7190" s="3"/>
      <c r="E7190" s="5" t="str">
        <f>HYPERLINK("https://dpmzos25m8ivg.cloudfront.net/Documentos/631/57999570591/6315799957059111092023153847.jpg","https://dpmzos25m8ivg.cloudfront.net/Documentos/631/57999570591/6315799957059111092023153847.jpg")</f>
        <v>https://dpmzos25m8ivg.cloudfront.net/Documentos/631/57999570591/6315799957059111092023153847.jpg</v>
      </c>
      <c r="F7190" s="5" t="str">
        <f>HYPERLINK("https://dpmzos25m8ivg.cloudfront.net/Documentos/631/57999570591/6315799957059111092023153913.jpg","https://dpmzos25m8ivg.cloudfront.net/Documentos/631/57999570591/6315799957059111092023153913.jpg")</f>
        <v>https://dpmzos25m8ivg.cloudfront.net/Documentos/631/57999570591/6315799957059111092023153913.jpg</v>
      </c>
      <c r="G7190" s="5" t="str">
        <f>HYPERLINK("https://dpmzos25m8ivg.cloudfront.net/Documentos/631/57999570591/6315799957059111092023153928.jpg","https://dpmzos25m8ivg.cloudfront.net/Documentos/631/57999570591/6315799957059111092023153928.jpg")</f>
        <v>https://dpmzos25m8ivg.cloudfront.net/Documentos/631/57999570591/6315799957059111092023153928.jpg</v>
      </c>
      <c r="H7190" s="5" t="s">
        <v>15759</v>
      </c>
    </row>
    <row r="7191" spans="1:8" x14ac:dyDescent="0.25">
      <c r="A7191" s="2" t="s">
        <v>7220</v>
      </c>
      <c r="B7191" s="3"/>
      <c r="C7191" s="3"/>
      <c r="D7191" s="3"/>
      <c r="E7191" s="5" t="str">
        <f>HYPERLINK("https://dpmzos25m8ivg.cloudfront.net/Documentos/631/58031243204/6315803124320411092023123359.pdf","https://dpmzos25m8ivg.cloudfront.net/Documentos/631/58031243204/6315803124320411092023123359.pdf")</f>
        <v>https://dpmzos25m8ivg.cloudfront.net/Documentos/631/58031243204/6315803124320411092023123359.pdf</v>
      </c>
      <c r="F7191" s="5" t="str">
        <f>HYPERLINK("https://dpmzos25m8ivg.cloudfront.net/Documentos/631/58031243204/6315803124320411092023123429.pdf","https://dpmzos25m8ivg.cloudfront.net/Documentos/631/58031243204/6315803124320411092023123429.pdf")</f>
        <v>https://dpmzos25m8ivg.cloudfront.net/Documentos/631/58031243204/6315803124320411092023123429.pdf</v>
      </c>
      <c r="G7191" s="5" t="str">
        <f>HYPERLINK("https://dpmzos25m8ivg.cloudfront.net/Documentos/631/58031243204/6315803124320411092023123449.pdf","https://dpmzos25m8ivg.cloudfront.net/Documentos/631/58031243204/6315803124320411092023123449.pdf")</f>
        <v>https://dpmzos25m8ivg.cloudfront.net/Documentos/631/58031243204/6315803124320411092023123449.pdf</v>
      </c>
      <c r="H7191" s="5" t="s">
        <v>15760</v>
      </c>
    </row>
    <row r="7192" spans="1:8" x14ac:dyDescent="0.25">
      <c r="A7192" s="2" t="s">
        <v>7221</v>
      </c>
      <c r="B7192" s="3" t="s">
        <v>23</v>
      </c>
      <c r="C7192" s="3"/>
      <c r="D7192" s="3"/>
      <c r="E7192" s="5" t="str">
        <f>HYPERLINK("https://dpmzos25m8ivg.cloudfront.net/Documentos/631/58336028404/6315833602840411092023170204.pdf","https://dpmzos25m8ivg.cloudfront.net/Documentos/631/58336028404/6315833602840411092023170204.pdf")</f>
        <v>https://dpmzos25m8ivg.cloudfront.net/Documentos/631/58336028404/6315833602840411092023170204.pdf</v>
      </c>
      <c r="F7192" s="5" t="str">
        <f>HYPERLINK("https://dpmzos25m8ivg.cloudfront.net/Documentos/631/58336028404/6315833602840411092023170218.pdf","https://dpmzos25m8ivg.cloudfront.net/Documentos/631/58336028404/6315833602840411092023170218.pdf")</f>
        <v>https://dpmzos25m8ivg.cloudfront.net/Documentos/631/58336028404/6315833602840411092023170218.pdf</v>
      </c>
      <c r="G7192" s="5" t="str">
        <f>HYPERLINK("https://dpmzos25m8ivg.cloudfront.net/Documentos/631/58336028404/6315833602840411092023170229.pdf","https://dpmzos25m8ivg.cloudfront.net/Documentos/631/58336028404/6315833602840411092023170229.pdf")</f>
        <v>https://dpmzos25m8ivg.cloudfront.net/Documentos/631/58336028404/6315833602840411092023170229.pdf</v>
      </c>
      <c r="H7192" s="5" t="s">
        <v>15761</v>
      </c>
    </row>
    <row r="7193" spans="1:8" x14ac:dyDescent="0.25">
      <c r="A7193" s="2" t="s">
        <v>7222</v>
      </c>
      <c r="B7193" s="3"/>
      <c r="C7193" s="3"/>
      <c r="D7193" s="3"/>
      <c r="E7193" s="5" t="str">
        <f>HYPERLINK("https://dpmzos25m8ivg.cloudfront.net/Documentos/631/58409190206/6315840919020610092023151856.pdf","https://dpmzos25m8ivg.cloudfront.net/Documentos/631/58409190206/6315840919020610092023151856.pdf")</f>
        <v>https://dpmzos25m8ivg.cloudfront.net/Documentos/631/58409190206/6315840919020610092023151856.pdf</v>
      </c>
      <c r="F7193" s="5" t="str">
        <f>HYPERLINK("https://dpmzos25m8ivg.cloudfront.net/Documentos/631/58409190206/6315840919020610092023151910.pdf","https://dpmzos25m8ivg.cloudfront.net/Documentos/631/58409190206/6315840919020610092023151910.pdf")</f>
        <v>https://dpmzos25m8ivg.cloudfront.net/Documentos/631/58409190206/6315840919020610092023151910.pdf</v>
      </c>
      <c r="G7193" s="5" t="str">
        <f>HYPERLINK("https://dpmzos25m8ivg.cloudfront.net/Documentos/631/58409190206/6315840919020610092023151917.pdf","https://dpmzos25m8ivg.cloudfront.net/Documentos/631/58409190206/6315840919020610092023151917.pdf")</f>
        <v>https://dpmzos25m8ivg.cloudfront.net/Documentos/631/58409190206/6315840919020610092023151917.pdf</v>
      </c>
      <c r="H7193" s="5" t="s">
        <v>15762</v>
      </c>
    </row>
    <row r="7194" spans="1:8" x14ac:dyDescent="0.25">
      <c r="A7194" s="2" t="s">
        <v>7223</v>
      </c>
      <c r="B7194" s="3"/>
      <c r="C7194" s="3"/>
      <c r="D7194" s="3"/>
      <c r="E7194" s="5" t="str">
        <f>HYPERLINK("https://dpmzos25m8ivg.cloudfront.net/Documentos/631/58543520444/6315854352044408092023110953.pdf","https://dpmzos25m8ivg.cloudfront.net/Documentos/631/58543520444/6315854352044408092023110953.pdf")</f>
        <v>https://dpmzos25m8ivg.cloudfront.net/Documentos/631/58543520444/6315854352044408092023110953.pdf</v>
      </c>
      <c r="F7194" s="5" t="str">
        <f>HYPERLINK("https://dpmzos25m8ivg.cloudfront.net/Documentos/631/58543520444/6315854352044408092023111042.pdf","https://dpmzos25m8ivg.cloudfront.net/Documentos/631/58543520444/6315854352044408092023111042.pdf")</f>
        <v>https://dpmzos25m8ivg.cloudfront.net/Documentos/631/58543520444/6315854352044408092023111042.pdf</v>
      </c>
      <c r="G7194" s="5" t="str">
        <f>HYPERLINK("https://dpmzos25m8ivg.cloudfront.net/Documentos/631/58543520444/6315854352044408092023111120.pdf","https://dpmzos25m8ivg.cloudfront.net/Documentos/631/58543520444/6315854352044408092023111120.pdf")</f>
        <v>https://dpmzos25m8ivg.cloudfront.net/Documentos/631/58543520444/6315854352044408092023111120.pdf</v>
      </c>
      <c r="H7194" s="5" t="s">
        <v>15763</v>
      </c>
    </row>
    <row r="7195" spans="1:8" x14ac:dyDescent="0.25">
      <c r="A7195" s="2" t="s">
        <v>7224</v>
      </c>
      <c r="B7195" s="3"/>
      <c r="C7195" s="3"/>
      <c r="D7195" s="3"/>
      <c r="E7195" s="5" t="str">
        <f>HYPERLINK("https://dpmzos25m8ivg.cloudfront.net/Documentos/631/58608648504/6315860864850408092023192903.pdf","https://dpmzos25m8ivg.cloudfront.net/Documentos/631/58608648504/6315860864850408092023192903.pdf")</f>
        <v>https://dpmzos25m8ivg.cloudfront.net/Documentos/631/58608648504/6315860864850408092023192903.pdf</v>
      </c>
      <c r="F7195" s="5" t="str">
        <f>HYPERLINK("https://dpmzos25m8ivg.cloudfront.net/Documentos/631/58608648504/6315860864850408092023192916.pdf","https://dpmzos25m8ivg.cloudfront.net/Documentos/631/58608648504/6315860864850408092023192916.pdf")</f>
        <v>https://dpmzos25m8ivg.cloudfront.net/Documentos/631/58608648504/6315860864850408092023192916.pdf</v>
      </c>
      <c r="G7195" s="5" t="str">
        <f>HYPERLINK("https://dpmzos25m8ivg.cloudfront.net/Documentos/631/58608648504/6315860864850408092023192928.pdf","https://dpmzos25m8ivg.cloudfront.net/Documentos/631/58608648504/6315860864850408092023192928.pdf")</f>
        <v>https://dpmzos25m8ivg.cloudfront.net/Documentos/631/58608648504/6315860864850408092023192928.pdf</v>
      </c>
      <c r="H7195" s="5" t="s">
        <v>15764</v>
      </c>
    </row>
    <row r="7196" spans="1:8" x14ac:dyDescent="0.25">
      <c r="A7196" s="2" t="s">
        <v>7225</v>
      </c>
      <c r="B7196" s="3" t="s">
        <v>23</v>
      </c>
      <c r="C7196" s="3"/>
      <c r="D7196" s="3"/>
      <c r="E7196" s="5" t="str">
        <f>HYPERLINK("https://dpmzos25m8ivg.cloudfront.net/Documentos/631/58709576215/6315870957621511092023161243.jpeg","https://dpmzos25m8ivg.cloudfront.net/Documentos/631/58709576215/6315870957621511092023161243.jpeg")</f>
        <v>https://dpmzos25m8ivg.cloudfront.net/Documentos/631/58709576215/6315870957621511092023161243.jpeg</v>
      </c>
      <c r="F7196" s="5" t="str">
        <f>HYPERLINK("https://dpmzos25m8ivg.cloudfront.net/Documentos/631/58709576215/6315870957621511092023161252.jpeg","https://dpmzos25m8ivg.cloudfront.net/Documentos/631/58709576215/6315870957621511092023161252.jpeg")</f>
        <v>https://dpmzos25m8ivg.cloudfront.net/Documentos/631/58709576215/6315870957621511092023161252.jpeg</v>
      </c>
      <c r="G7196" s="5" t="str">
        <f>HYPERLINK("https://dpmzos25m8ivg.cloudfront.net/Documentos/631/58709576215/6315870957621511092023161301.jpeg","https://dpmzos25m8ivg.cloudfront.net/Documentos/631/58709576215/6315870957621511092023161301.jpeg")</f>
        <v>https://dpmzos25m8ivg.cloudfront.net/Documentos/631/58709576215/6315870957621511092023161301.jpeg</v>
      </c>
      <c r="H7196" s="5" t="s">
        <v>15765</v>
      </c>
    </row>
    <row r="7197" spans="1:8" x14ac:dyDescent="0.25">
      <c r="A7197" s="2" t="s">
        <v>7226</v>
      </c>
      <c r="B7197" s="3"/>
      <c r="C7197" s="3"/>
      <c r="D7197" s="3"/>
      <c r="E7197" s="5" t="str">
        <f>HYPERLINK("https://dpmzos25m8ivg.cloudfront.net/Documentos/631/58768122187/6315876812218711092023123601.pdf","https://dpmzos25m8ivg.cloudfront.net/Documentos/631/58768122187/6315876812218711092023123601.pdf")</f>
        <v>https://dpmzos25m8ivg.cloudfront.net/Documentos/631/58768122187/6315876812218711092023123601.pdf</v>
      </c>
      <c r="F7197" s="5" t="str">
        <f>HYPERLINK("https://dpmzos25m8ivg.cloudfront.net/Documentos/631/58768122187/6315876812218711092023123623.pdf","https://dpmzos25m8ivg.cloudfront.net/Documentos/631/58768122187/6315876812218711092023123623.pdf")</f>
        <v>https://dpmzos25m8ivg.cloudfront.net/Documentos/631/58768122187/6315876812218711092023123623.pdf</v>
      </c>
      <c r="G7197" s="5" t="str">
        <f>HYPERLINK("https://dpmzos25m8ivg.cloudfront.net/Documentos/631/58768122187/6315876812218711092023123643.pdf","https://dpmzos25m8ivg.cloudfront.net/Documentos/631/58768122187/6315876812218711092023123643.pdf")</f>
        <v>https://dpmzos25m8ivg.cloudfront.net/Documentos/631/58768122187/6315876812218711092023123643.pdf</v>
      </c>
      <c r="H7197" s="5" t="s">
        <v>15766</v>
      </c>
    </row>
    <row r="7198" spans="1:8" x14ac:dyDescent="0.25">
      <c r="A7198" s="2" t="s">
        <v>7227</v>
      </c>
      <c r="B7198" s="3"/>
      <c r="C7198" s="3"/>
      <c r="D7198" s="3"/>
      <c r="E7198" s="5" t="str">
        <f>HYPERLINK("https://dpmzos25m8ivg.cloudfront.net/Documentos/631/58807110563/6315880711056307092023115507.jpeg","https://dpmzos25m8ivg.cloudfront.net/Documentos/631/58807110563/6315880711056307092023115507.jpeg")</f>
        <v>https://dpmzos25m8ivg.cloudfront.net/Documentos/631/58807110563/6315880711056307092023115507.jpeg</v>
      </c>
      <c r="F7198" s="5" t="str">
        <f>HYPERLINK("https://dpmzos25m8ivg.cloudfront.net/Documentos/631/58807110563/6315880711056307092023115530.jpeg","https://dpmzos25m8ivg.cloudfront.net/Documentos/631/58807110563/6315880711056307092023115530.jpeg")</f>
        <v>https://dpmzos25m8ivg.cloudfront.net/Documentos/631/58807110563/6315880711056307092023115530.jpeg</v>
      </c>
      <c r="G7198" s="5" t="str">
        <f>HYPERLINK("https://dpmzos25m8ivg.cloudfront.net/Documentos/631/58807110563/6315880711056307092023115555.jpeg","https://dpmzos25m8ivg.cloudfront.net/Documentos/631/58807110563/6315880711056307092023115555.jpeg")</f>
        <v>https://dpmzos25m8ivg.cloudfront.net/Documentos/631/58807110563/6315880711056307092023115555.jpeg</v>
      </c>
      <c r="H7198" s="5" t="s">
        <v>15767</v>
      </c>
    </row>
    <row r="7199" spans="1:8" x14ac:dyDescent="0.25">
      <c r="A7199" s="2" t="s">
        <v>7228</v>
      </c>
      <c r="B7199" s="3"/>
      <c r="C7199" s="3"/>
      <c r="D7199" s="3"/>
      <c r="E7199" s="5" t="str">
        <f>HYPERLINK("https://dpmzos25m8ivg.cloudfront.net/Documentos/631/58847383587/6315884738358707092023104154.pdf","https://dpmzos25m8ivg.cloudfront.net/Documentos/631/58847383587/6315884738358707092023104154.pdf")</f>
        <v>https://dpmzos25m8ivg.cloudfront.net/Documentos/631/58847383587/6315884738358707092023104154.pdf</v>
      </c>
      <c r="F7199" s="5" t="str">
        <f>HYPERLINK("https://dpmzos25m8ivg.cloudfront.net/Documentos/631/58847383587/6315884738358707092023104206.pdf","https://dpmzos25m8ivg.cloudfront.net/Documentos/631/58847383587/6315884738358707092023104206.pdf")</f>
        <v>https://dpmzos25m8ivg.cloudfront.net/Documentos/631/58847383587/6315884738358707092023104206.pdf</v>
      </c>
      <c r="G7199" s="5" t="str">
        <f>HYPERLINK("https://dpmzos25m8ivg.cloudfront.net/Documentos/631/58847383587/6315884738358707092023104218.pdf","https://dpmzos25m8ivg.cloudfront.net/Documentos/631/58847383587/6315884738358707092023104218.pdf")</f>
        <v>https://dpmzos25m8ivg.cloudfront.net/Documentos/631/58847383587/6315884738358707092023104218.pdf</v>
      </c>
      <c r="H7199" s="5" t="s">
        <v>15768</v>
      </c>
    </row>
    <row r="7200" spans="1:8" x14ac:dyDescent="0.25">
      <c r="A7200" s="2" t="s">
        <v>7229</v>
      </c>
      <c r="B7200" s="3" t="s">
        <v>90</v>
      </c>
      <c r="C7200" s="3"/>
      <c r="D7200" s="3"/>
      <c r="E7200" s="5" t="str">
        <f>HYPERLINK("https://dpmzos25m8ivg.cloudfront.net/Documentos/631/58890432500/6315889043250006092023220200.pdf","https://dpmzos25m8ivg.cloudfront.net/Documentos/631/58890432500/6315889043250006092023220200.pdf")</f>
        <v>https://dpmzos25m8ivg.cloudfront.net/Documentos/631/58890432500/6315889043250006092023220200.pdf</v>
      </c>
      <c r="F7200" s="5" t="str">
        <f>HYPERLINK("https://dpmzos25m8ivg.cloudfront.net/Documentos/631/58890432500/6315889043250006092023220312.pdf","https://dpmzos25m8ivg.cloudfront.net/Documentos/631/58890432500/6315889043250006092023220312.pdf")</f>
        <v>https://dpmzos25m8ivg.cloudfront.net/Documentos/631/58890432500/6315889043250006092023220312.pdf</v>
      </c>
      <c r="G7200" s="5" t="str">
        <f>HYPERLINK("https://dpmzos25m8ivg.cloudfront.net/Documentos/631/58890432500/6315889043250006092023220333.pdf","https://dpmzos25m8ivg.cloudfront.net/Documentos/631/58890432500/6315889043250006092023220333.pdf")</f>
        <v>https://dpmzos25m8ivg.cloudfront.net/Documentos/631/58890432500/6315889043250006092023220333.pdf</v>
      </c>
      <c r="H7200" s="5" t="s">
        <v>15769</v>
      </c>
    </row>
    <row r="7201" spans="1:8" x14ac:dyDescent="0.25">
      <c r="A7201" s="2" t="s">
        <v>7230</v>
      </c>
      <c r="B7201" s="3"/>
      <c r="C7201" s="3"/>
      <c r="D7201" s="3"/>
      <c r="E7201" s="5" t="str">
        <f>HYPERLINK("https://dpmzos25m8ivg.cloudfront.net/Documentos/631/58927239768/6315892723976808092023182653.jpg","https://dpmzos25m8ivg.cloudfront.net/Documentos/631/58927239768/6315892723976808092023182653.jpg")</f>
        <v>https://dpmzos25m8ivg.cloudfront.net/Documentos/631/58927239768/6315892723976808092023182653.jpg</v>
      </c>
      <c r="F7201" s="5" t="str">
        <f>HYPERLINK("https://dpmzos25m8ivg.cloudfront.net/Documentos/631/58927239768/6315892723976811092023143532.jpg","https://dpmzos25m8ivg.cloudfront.net/Documentos/631/58927239768/6315892723976811092023143532.jpg")</f>
        <v>https://dpmzos25m8ivg.cloudfront.net/Documentos/631/58927239768/6315892723976811092023143532.jpg</v>
      </c>
      <c r="G7201" s="5" t="str">
        <f>HYPERLINK("https://dpmzos25m8ivg.cloudfront.net/Documentos/631/58927239768/6315892723976811092023144609.jpg","https://dpmzos25m8ivg.cloudfront.net/Documentos/631/58927239768/6315892723976811092023144609.jpg")</f>
        <v>https://dpmzos25m8ivg.cloudfront.net/Documentos/631/58927239768/6315892723976811092023144609.jpg</v>
      </c>
      <c r="H7201" s="5" t="s">
        <v>15770</v>
      </c>
    </row>
    <row r="7202" spans="1:8" x14ac:dyDescent="0.25">
      <c r="A7202" s="2" t="s">
        <v>7231</v>
      </c>
      <c r="B7202" s="3"/>
      <c r="C7202" s="3"/>
      <c r="D7202" s="3"/>
      <c r="E7202" s="5" t="str">
        <f>HYPERLINK("https://dpmzos25m8ivg.cloudfront.net/Documentos/631/58970975268/6315897097526808092023211042.jpg","https://dpmzos25m8ivg.cloudfront.net/Documentos/631/58970975268/6315897097526808092023211042.jpg")</f>
        <v>https://dpmzos25m8ivg.cloudfront.net/Documentos/631/58970975268/6315897097526808092023211042.jpg</v>
      </c>
      <c r="F7202" s="5" t="str">
        <f>HYPERLINK("https://dpmzos25m8ivg.cloudfront.net/Documentos/631/58970975268/6315897097526808092023211058.jpg","https://dpmzos25m8ivg.cloudfront.net/Documentos/631/58970975268/6315897097526808092023211058.jpg")</f>
        <v>https://dpmzos25m8ivg.cloudfront.net/Documentos/631/58970975268/6315897097526808092023211058.jpg</v>
      </c>
      <c r="G7202" s="5" t="str">
        <f>HYPERLINK("https://dpmzos25m8ivg.cloudfront.net/Documentos/631/58970975268/6315897097526808092023211116.jpg","https://dpmzos25m8ivg.cloudfront.net/Documentos/631/58970975268/6315897097526808092023211116.jpg")</f>
        <v>https://dpmzos25m8ivg.cloudfront.net/Documentos/631/58970975268/6315897097526808092023211116.jpg</v>
      </c>
      <c r="H7202" s="5" t="s">
        <v>15771</v>
      </c>
    </row>
    <row r="7203" spans="1:8" x14ac:dyDescent="0.25">
      <c r="A7203" s="2" t="s">
        <v>7232</v>
      </c>
      <c r="B7203" s="3" t="s">
        <v>90</v>
      </c>
      <c r="C7203" s="3"/>
      <c r="D7203" s="3"/>
      <c r="E7203" s="5" t="str">
        <f>HYPERLINK("https://dpmzos25m8ivg.cloudfront.net/Documentos/631/58995080000/6315899508000014092023140547.pdf","https://dpmzos25m8ivg.cloudfront.net/Documentos/631/58995080000/6315899508000014092023140547.pdf")</f>
        <v>https://dpmzos25m8ivg.cloudfront.net/Documentos/631/58995080000/6315899508000014092023140547.pdf</v>
      </c>
      <c r="F7203" s="5" t="str">
        <f>HYPERLINK("https://dpmzos25m8ivg.cloudfront.net/Documentos/631/58995080000/6315899508000014092023140600.pdf","https://dpmzos25m8ivg.cloudfront.net/Documentos/631/58995080000/6315899508000014092023140600.pdf")</f>
        <v>https://dpmzos25m8ivg.cloudfront.net/Documentos/631/58995080000/6315899508000014092023140600.pdf</v>
      </c>
      <c r="G7203" s="5" t="str">
        <f>HYPERLINK("https://dpmzos25m8ivg.cloudfront.net/Documentos/631/58995080000/6315899508000014092023140610.pdf","https://dpmzos25m8ivg.cloudfront.net/Documentos/631/58995080000/6315899508000014092023140610.pdf")</f>
        <v>https://dpmzos25m8ivg.cloudfront.net/Documentos/631/58995080000/6315899508000014092023140610.pdf</v>
      </c>
      <c r="H7203" s="5" t="s">
        <v>15772</v>
      </c>
    </row>
    <row r="7204" spans="1:8" x14ac:dyDescent="0.25">
      <c r="A7204" s="2" t="s">
        <v>7233</v>
      </c>
      <c r="B7204" s="3"/>
      <c r="C7204" s="3"/>
      <c r="D7204" s="3"/>
      <c r="E7204" s="5" t="str">
        <f>HYPERLINK("https://dpmzos25m8ivg.cloudfront.net/Documentos/631/59070587904/6315907058790405092023155855.jpg","https://dpmzos25m8ivg.cloudfront.net/Documentos/631/59070587904/6315907058790405092023155855.jpg")</f>
        <v>https://dpmzos25m8ivg.cloudfront.net/Documentos/631/59070587904/6315907058790405092023155855.jpg</v>
      </c>
      <c r="F7204" s="5" t="str">
        <f>HYPERLINK("https://dpmzos25m8ivg.cloudfront.net/Documentos/631/59070587904/6315907058790405092023155947.jpg","https://dpmzos25m8ivg.cloudfront.net/Documentos/631/59070587904/6315907058790405092023155947.jpg")</f>
        <v>https://dpmzos25m8ivg.cloudfront.net/Documentos/631/59070587904/6315907058790405092023155947.jpg</v>
      </c>
      <c r="G7204" s="5" t="str">
        <f>HYPERLINK("https://dpmzos25m8ivg.cloudfront.net/Documentos/631/59070587904/6315907058790405092023160010.jpg","https://dpmzos25m8ivg.cloudfront.net/Documentos/631/59070587904/6315907058790405092023160010.jpg")</f>
        <v>https://dpmzos25m8ivg.cloudfront.net/Documentos/631/59070587904/6315907058790405092023160010.jpg</v>
      </c>
      <c r="H7204" s="5" t="s">
        <v>15773</v>
      </c>
    </row>
    <row r="7205" spans="1:8" x14ac:dyDescent="0.25">
      <c r="A7205" s="2" t="s">
        <v>7234</v>
      </c>
      <c r="B7205" s="3"/>
      <c r="C7205" s="3"/>
      <c r="D7205" s="3"/>
      <c r="E7205" s="5" t="str">
        <f>HYPERLINK("https://dpmzos25m8ivg.cloudfront.net/Documentos/631/59070609134/6315907060913411092023113227.pdf","https://dpmzos25m8ivg.cloudfront.net/Documentos/631/59070609134/6315907060913411092023113227.pdf")</f>
        <v>https://dpmzos25m8ivg.cloudfront.net/Documentos/631/59070609134/6315907060913411092023113227.pdf</v>
      </c>
      <c r="F7205" s="5" t="str">
        <f>HYPERLINK("https://dpmzos25m8ivg.cloudfront.net/Documentos/631/59070609134/6315907060913411092023113237.pdf","https://dpmzos25m8ivg.cloudfront.net/Documentos/631/59070609134/6315907060913411092023113237.pdf")</f>
        <v>https://dpmzos25m8ivg.cloudfront.net/Documentos/631/59070609134/6315907060913411092023113237.pdf</v>
      </c>
      <c r="G7205" s="5" t="str">
        <f>HYPERLINK("https://dpmzos25m8ivg.cloudfront.net/Documentos/631/59070609134/6315907060913411092023113251.pdf","https://dpmzos25m8ivg.cloudfront.net/Documentos/631/59070609134/6315907060913411092023113251.pdf")</f>
        <v>https://dpmzos25m8ivg.cloudfront.net/Documentos/631/59070609134/6315907060913411092023113251.pdf</v>
      </c>
      <c r="H7205" s="5" t="s">
        <v>15774</v>
      </c>
    </row>
    <row r="7206" spans="1:8" x14ac:dyDescent="0.25">
      <c r="A7206" s="2" t="s">
        <v>7235</v>
      </c>
      <c r="B7206" s="3"/>
      <c r="C7206" s="3"/>
      <c r="D7206" s="3"/>
      <c r="E7206" s="5" t="str">
        <f>HYPERLINK("https://dpmzos25m8ivg.cloudfront.net/Documentos/631/59070781115/6315907078111510092023200314.jpg","https://dpmzos25m8ivg.cloudfront.net/Documentos/631/59070781115/6315907078111510092023200314.jpg")</f>
        <v>https://dpmzos25m8ivg.cloudfront.net/Documentos/631/59070781115/6315907078111510092023200314.jpg</v>
      </c>
      <c r="F7206" s="5" t="str">
        <f>HYPERLINK("https://dpmzos25m8ivg.cloudfront.net/Documentos/631/59070781115/6315907078111510092023200329.jpg","https://dpmzos25m8ivg.cloudfront.net/Documentos/631/59070781115/6315907078111510092023200329.jpg")</f>
        <v>https://dpmzos25m8ivg.cloudfront.net/Documentos/631/59070781115/6315907078111510092023200329.jpg</v>
      </c>
      <c r="G7206" s="5" t="str">
        <f>HYPERLINK("https://dpmzos25m8ivg.cloudfront.net/Documentos/631/59070781115/6315907078111510092023200343.jpg","https://dpmzos25m8ivg.cloudfront.net/Documentos/631/59070781115/6315907078111510092023200343.jpg")</f>
        <v>https://dpmzos25m8ivg.cloudfront.net/Documentos/631/59070781115/6315907078111510092023200343.jpg</v>
      </c>
      <c r="H7206" s="5" t="s">
        <v>15775</v>
      </c>
    </row>
    <row r="7207" spans="1:8" x14ac:dyDescent="0.25">
      <c r="A7207" s="2" t="s">
        <v>7236</v>
      </c>
      <c r="B7207" s="3" t="s">
        <v>8</v>
      </c>
      <c r="C7207" s="3"/>
      <c r="D7207" s="3"/>
      <c r="E7207" s="5" t="str">
        <f>HYPERLINK("https://dpmzos25m8ivg.cloudfront.net/Documentos/631/59123583134/6315912358313411092023152842.jpeg","https://dpmzos25m8ivg.cloudfront.net/Documentos/631/59123583134/6315912358313411092023152842.jpeg")</f>
        <v>https://dpmzos25m8ivg.cloudfront.net/Documentos/631/59123583134/6315912358313411092023152842.jpeg</v>
      </c>
      <c r="F7207" s="5" t="str">
        <f>HYPERLINK("https://dpmzos25m8ivg.cloudfront.net/Documentos/631/59123583134/6315912358313411092023152901.jpeg","https://dpmzos25m8ivg.cloudfront.net/Documentos/631/59123583134/6315912358313411092023152901.jpeg")</f>
        <v>https://dpmzos25m8ivg.cloudfront.net/Documentos/631/59123583134/6315912358313411092023152901.jpeg</v>
      </c>
      <c r="G7207" s="5" t="str">
        <f>HYPERLINK("https://dpmzos25m8ivg.cloudfront.net/Documentos/631/59123583134/6315912358313411092023152927.jpeg","https://dpmzos25m8ivg.cloudfront.net/Documentos/631/59123583134/6315912358313411092023152927.jpeg")</f>
        <v>https://dpmzos25m8ivg.cloudfront.net/Documentos/631/59123583134/6315912358313411092023152927.jpeg</v>
      </c>
      <c r="H7207" s="5" t="s">
        <v>15776</v>
      </c>
    </row>
    <row r="7208" spans="1:8" x14ac:dyDescent="0.25">
      <c r="A7208" s="2" t="s">
        <v>7237</v>
      </c>
      <c r="B7208" s="3"/>
      <c r="C7208" s="3"/>
      <c r="D7208" s="3"/>
      <c r="E7208" s="5" t="str">
        <f>HYPERLINK("https://dpmzos25m8ivg.cloudfront.net/Documentos/631/59141824172/6315914182417204092023194421.pdf","https://dpmzos25m8ivg.cloudfront.net/Documentos/631/59141824172/6315914182417204092023194421.pdf")</f>
        <v>https://dpmzos25m8ivg.cloudfront.net/Documentos/631/59141824172/6315914182417204092023194421.pdf</v>
      </c>
      <c r="F7208" s="5" t="str">
        <f>HYPERLINK("https://dpmzos25m8ivg.cloudfront.net/Documentos/631/59141824172/6315914182417204092023194513.pdf","https://dpmzos25m8ivg.cloudfront.net/Documentos/631/59141824172/6315914182417204092023194513.pdf")</f>
        <v>https://dpmzos25m8ivg.cloudfront.net/Documentos/631/59141824172/6315914182417204092023194513.pdf</v>
      </c>
      <c r="G7208" s="5" t="str">
        <f>HYPERLINK("https://dpmzos25m8ivg.cloudfront.net/Documentos/631/59141824172/6315914182417204092023194614.pdf","https://dpmzos25m8ivg.cloudfront.net/Documentos/631/59141824172/6315914182417204092023194614.pdf")</f>
        <v>https://dpmzos25m8ivg.cloudfront.net/Documentos/631/59141824172/6315914182417204092023194614.pdf</v>
      </c>
      <c r="H7208" s="5" t="s">
        <v>15777</v>
      </c>
    </row>
    <row r="7209" spans="1:8" x14ac:dyDescent="0.25">
      <c r="A7209" s="2" t="s">
        <v>7238</v>
      </c>
      <c r="B7209" s="3"/>
      <c r="C7209" s="3"/>
      <c r="D7209" s="3"/>
      <c r="E7209" s="5" t="str">
        <f>HYPERLINK("https://dpmzos25m8ivg.cloudfront.net/Documentos/631/59172894253/6315917289425305092023214641.pdf","https://dpmzos25m8ivg.cloudfront.net/Documentos/631/59172894253/6315917289425305092023214641.pdf")</f>
        <v>https://dpmzos25m8ivg.cloudfront.net/Documentos/631/59172894253/6315917289425305092023214641.pdf</v>
      </c>
      <c r="F7209" s="5" t="str">
        <f>HYPERLINK("https://dpmzos25m8ivg.cloudfront.net/Documentos/631/59172894253/6315917289425305092023214713.pdf","https://dpmzos25m8ivg.cloudfront.net/Documentos/631/59172894253/6315917289425305092023214713.pdf")</f>
        <v>https://dpmzos25m8ivg.cloudfront.net/Documentos/631/59172894253/6315917289425305092023214713.pdf</v>
      </c>
      <c r="G7209" s="5" t="str">
        <f>HYPERLINK("https://dpmzos25m8ivg.cloudfront.net/Documentos/631/59172894253/6315917289425305092023214732.pdf","https://dpmzos25m8ivg.cloudfront.net/Documentos/631/59172894253/6315917289425305092023214732.pdf")</f>
        <v>https://dpmzos25m8ivg.cloudfront.net/Documentos/631/59172894253/6315917289425305092023214732.pdf</v>
      </c>
      <c r="H7209" s="5" t="s">
        <v>15778</v>
      </c>
    </row>
    <row r="7210" spans="1:8" x14ac:dyDescent="0.25">
      <c r="A7210" s="2" t="s">
        <v>7239</v>
      </c>
      <c r="B7210" s="3"/>
      <c r="C7210" s="3"/>
      <c r="D7210" s="3"/>
      <c r="E7210" s="5" t="str">
        <f>HYPERLINK("https://dpmzos25m8ivg.cloudfront.net/Documentos/631/59274808100/6315927480810011092023150917.pdf","https://dpmzos25m8ivg.cloudfront.net/Documentos/631/59274808100/6315927480810011092023150917.pdf")</f>
        <v>https://dpmzos25m8ivg.cloudfront.net/Documentos/631/59274808100/6315927480810011092023150917.pdf</v>
      </c>
      <c r="F7210" s="5" t="str">
        <f>HYPERLINK("https://dpmzos25m8ivg.cloudfront.net/Documentos/631/59274808100/6315927480810011092023151137.pdf","https://dpmzos25m8ivg.cloudfront.net/Documentos/631/59274808100/6315927480810011092023151137.pdf")</f>
        <v>https://dpmzos25m8ivg.cloudfront.net/Documentos/631/59274808100/6315927480810011092023151137.pdf</v>
      </c>
      <c r="G7210" s="5" t="str">
        <f>HYPERLINK("https://dpmzos25m8ivg.cloudfront.net/Documentos/631/59274808100/6315927480810011092023151304.pdf","https://dpmzos25m8ivg.cloudfront.net/Documentos/631/59274808100/6315927480810011092023151304.pdf")</f>
        <v>https://dpmzos25m8ivg.cloudfront.net/Documentos/631/59274808100/6315927480810011092023151304.pdf</v>
      </c>
      <c r="H7210" s="5" t="s">
        <v>15779</v>
      </c>
    </row>
    <row r="7211" spans="1:8" x14ac:dyDescent="0.25">
      <c r="A7211" s="2" t="s">
        <v>7240</v>
      </c>
      <c r="B7211" s="3" t="s">
        <v>90</v>
      </c>
      <c r="C7211" s="3"/>
      <c r="D7211" s="3"/>
      <c r="E7211" s="5" t="str">
        <f>HYPERLINK("https://dpmzos25m8ivg.cloudfront.net/Documentos/631/59378352553/6315937835255311092023174002.pdf","https://dpmzos25m8ivg.cloudfront.net/Documentos/631/59378352553/6315937835255311092023174002.pdf")</f>
        <v>https://dpmzos25m8ivg.cloudfront.net/Documentos/631/59378352553/6315937835255311092023174002.pdf</v>
      </c>
      <c r="F7211" s="5" t="str">
        <f>HYPERLINK("https://dpmzos25m8ivg.cloudfront.net/Documentos/631/59378352553/6315937835255311092023174020.pdf","https://dpmzos25m8ivg.cloudfront.net/Documentos/631/59378352553/6315937835255311092023174020.pdf")</f>
        <v>https://dpmzos25m8ivg.cloudfront.net/Documentos/631/59378352553/6315937835255311092023174020.pdf</v>
      </c>
      <c r="G7211" s="5" t="str">
        <f>HYPERLINK("https://dpmzos25m8ivg.cloudfront.net/Documentos/631/59378352553/6315937835255311092023174031.pdf","https://dpmzos25m8ivg.cloudfront.net/Documentos/631/59378352553/6315937835255311092023174031.pdf")</f>
        <v>https://dpmzos25m8ivg.cloudfront.net/Documentos/631/59378352553/6315937835255311092023174031.pdf</v>
      </c>
      <c r="H7211" s="5" t="s">
        <v>15780</v>
      </c>
    </row>
    <row r="7212" spans="1:8" x14ac:dyDescent="0.25">
      <c r="A7212" s="2" t="s">
        <v>7241</v>
      </c>
      <c r="B7212" s="3"/>
      <c r="C7212" s="3"/>
      <c r="D7212" s="3"/>
      <c r="E7212" s="5" t="str">
        <f>HYPERLINK("https://dpmzos25m8ivg.cloudfront.net/Documentos/631/59421797000/6315942179700005092023091128.pdf","https://dpmzos25m8ivg.cloudfront.net/Documentos/631/59421797000/6315942179700005092023091128.pdf")</f>
        <v>https://dpmzos25m8ivg.cloudfront.net/Documentos/631/59421797000/6315942179700005092023091128.pdf</v>
      </c>
      <c r="F7212" s="5" t="str">
        <f>HYPERLINK("https://dpmzos25m8ivg.cloudfront.net/Documentos/631/59421797000/6315942179700005092023091139.pdf","https://dpmzos25m8ivg.cloudfront.net/Documentos/631/59421797000/6315942179700005092023091139.pdf")</f>
        <v>https://dpmzos25m8ivg.cloudfront.net/Documentos/631/59421797000/6315942179700005092023091139.pdf</v>
      </c>
      <c r="G7212" s="5" t="str">
        <f>HYPERLINK("https://dpmzos25m8ivg.cloudfront.net/Documentos/631/59421797000/6315942179700005092023091149.pdf","https://dpmzos25m8ivg.cloudfront.net/Documentos/631/59421797000/6315942179700005092023091149.pdf")</f>
        <v>https://dpmzos25m8ivg.cloudfront.net/Documentos/631/59421797000/6315942179700005092023091149.pdf</v>
      </c>
      <c r="H7212" s="5" t="s">
        <v>15781</v>
      </c>
    </row>
    <row r="7213" spans="1:8" x14ac:dyDescent="0.25">
      <c r="A7213" s="2" t="s">
        <v>7242</v>
      </c>
      <c r="B7213" s="3"/>
      <c r="C7213" s="3"/>
      <c r="D7213" s="3"/>
      <c r="E7213" s="5" t="str">
        <f>HYPERLINK("https://dpmzos25m8ivg.cloudfront.net/Documentos/631/59427957204/6315942795720411092023141903.pdf","https://dpmzos25m8ivg.cloudfront.net/Documentos/631/59427957204/6315942795720411092023141903.pdf")</f>
        <v>https://dpmzos25m8ivg.cloudfront.net/Documentos/631/59427957204/6315942795720411092023141903.pdf</v>
      </c>
      <c r="F7213" s="5" t="str">
        <f>HYPERLINK("https://dpmzos25m8ivg.cloudfront.net/Documentos/631/59427957204/6315942795720411092023141920.pdf","https://dpmzos25m8ivg.cloudfront.net/Documentos/631/59427957204/6315942795720411092023141920.pdf")</f>
        <v>https://dpmzos25m8ivg.cloudfront.net/Documentos/631/59427957204/6315942795720411092023141920.pdf</v>
      </c>
      <c r="G7213" s="5" t="str">
        <f>HYPERLINK("https://dpmzos25m8ivg.cloudfront.net/Documentos/631/59427957204/6315942795720411092023141932.pdf","https://dpmzos25m8ivg.cloudfront.net/Documentos/631/59427957204/6315942795720411092023141932.pdf")</f>
        <v>https://dpmzos25m8ivg.cloudfront.net/Documentos/631/59427957204/6315942795720411092023141932.pdf</v>
      </c>
      <c r="H7213" s="5" t="s">
        <v>15782</v>
      </c>
    </row>
    <row r="7214" spans="1:8" x14ac:dyDescent="0.25">
      <c r="A7214" s="2" t="s">
        <v>7243</v>
      </c>
      <c r="B7214" s="3" t="s">
        <v>42</v>
      </c>
      <c r="C7214" s="3"/>
      <c r="D7214" s="3"/>
      <c r="E7214" s="5" t="str">
        <f>HYPERLINK("https://dpmzos25m8ivg.cloudfront.net/Documentos/631/59704314949/6315970431494911092023153218.jpeg","https://dpmzos25m8ivg.cloudfront.net/Documentos/631/59704314949/6315970431494911092023153218.jpeg")</f>
        <v>https://dpmzos25m8ivg.cloudfront.net/Documentos/631/59704314949/6315970431494911092023153218.jpeg</v>
      </c>
      <c r="F7214" s="5" t="str">
        <f>HYPERLINK("https://dpmzos25m8ivg.cloudfront.net/Documentos/631/59704314949/6315970431494911092023153233.jpeg","https://dpmzos25m8ivg.cloudfront.net/Documentos/631/59704314949/6315970431494911092023153233.jpeg")</f>
        <v>https://dpmzos25m8ivg.cloudfront.net/Documentos/631/59704314949/6315970431494911092023153233.jpeg</v>
      </c>
      <c r="G7214" s="5" t="str">
        <f>HYPERLINK("https://dpmzos25m8ivg.cloudfront.net/Documentos/631/59704314949/6315970431494911092023153250.jpeg","https://dpmzos25m8ivg.cloudfront.net/Documentos/631/59704314949/6315970431494911092023153250.jpeg")</f>
        <v>https://dpmzos25m8ivg.cloudfront.net/Documentos/631/59704314949/6315970431494911092023153250.jpeg</v>
      </c>
      <c r="H7214" s="5" t="s">
        <v>15783</v>
      </c>
    </row>
    <row r="7215" spans="1:8" x14ac:dyDescent="0.25">
      <c r="A7215" s="2" t="s">
        <v>7244</v>
      </c>
      <c r="B7215" s="3"/>
      <c r="C7215" s="3"/>
      <c r="D7215" s="3"/>
      <c r="E7215" s="5" t="str">
        <f>HYPERLINK("https://dpmzos25m8ivg.cloudfront.net/Documentos/631/59750014200/6315975001420007092023153116.jpeg","https://dpmzos25m8ivg.cloudfront.net/Documentos/631/59750014200/6315975001420007092023153116.jpeg")</f>
        <v>https://dpmzos25m8ivg.cloudfront.net/Documentos/631/59750014200/6315975001420007092023153116.jpeg</v>
      </c>
      <c r="F7215" s="5" t="str">
        <f>HYPERLINK("https://dpmzos25m8ivg.cloudfront.net/Documentos/631/59750014200/6315975001420007092023153211.jpeg","https://dpmzos25m8ivg.cloudfront.net/Documentos/631/59750014200/6315975001420007092023153211.jpeg")</f>
        <v>https://dpmzos25m8ivg.cloudfront.net/Documentos/631/59750014200/6315975001420007092023153211.jpeg</v>
      </c>
      <c r="G7215" s="5" t="str">
        <f>HYPERLINK("https://dpmzos25m8ivg.cloudfront.net/Documentos/631/59750014200/6315975001420007092023153237.jpeg","https://dpmzos25m8ivg.cloudfront.net/Documentos/631/59750014200/6315975001420007092023153237.jpeg")</f>
        <v>https://dpmzos25m8ivg.cloudfront.net/Documentos/631/59750014200/6315975001420007092023153237.jpeg</v>
      </c>
      <c r="H7215" s="5" t="s">
        <v>15784</v>
      </c>
    </row>
    <row r="7216" spans="1:8" x14ac:dyDescent="0.25">
      <c r="A7216" s="2" t="s">
        <v>7245</v>
      </c>
      <c r="B7216" s="3" t="s">
        <v>8</v>
      </c>
      <c r="C7216" s="3"/>
      <c r="D7216" s="3"/>
      <c r="E7216" s="5" t="str">
        <f>HYPERLINK("https://dpmzos25m8ivg.cloudfront.net/Documentos/631/59884304149/6315988430414908092023205349.pdf","https://dpmzos25m8ivg.cloudfront.net/Documentos/631/59884304149/6315988430414908092023205349.pdf")</f>
        <v>https://dpmzos25m8ivg.cloudfront.net/Documentos/631/59884304149/6315988430414908092023205349.pdf</v>
      </c>
      <c r="F7216" s="5" t="str">
        <f>HYPERLINK("https://dpmzos25m8ivg.cloudfront.net/Documentos/631/59884304149/6315988430414908092023205407.pdf","https://dpmzos25m8ivg.cloudfront.net/Documentos/631/59884304149/6315988430414908092023205407.pdf")</f>
        <v>https://dpmzos25m8ivg.cloudfront.net/Documentos/631/59884304149/6315988430414908092023205407.pdf</v>
      </c>
      <c r="G7216" s="5" t="str">
        <f>HYPERLINK("https://dpmzos25m8ivg.cloudfront.net/Documentos/631/59884304149/6315988430414908092023205430.pdf","https://dpmzos25m8ivg.cloudfront.net/Documentos/631/59884304149/6315988430414908092023205430.pdf")</f>
        <v>https://dpmzos25m8ivg.cloudfront.net/Documentos/631/59884304149/6315988430414908092023205430.pdf</v>
      </c>
      <c r="H7216" s="5" t="s">
        <v>15785</v>
      </c>
    </row>
    <row r="7217" spans="1:8" x14ac:dyDescent="0.25">
      <c r="A7217" s="2" t="s">
        <v>7246</v>
      </c>
      <c r="B7217" s="3" t="s">
        <v>90</v>
      </c>
      <c r="C7217" s="3"/>
      <c r="D7217" s="3"/>
      <c r="E7217" s="5" t="str">
        <f>HYPERLINK("https://dpmzos25m8ivg.cloudfront.net/Documentos/631/59903392591/6315990339259111092023151150.pdf","https://dpmzos25m8ivg.cloudfront.net/Documentos/631/59903392591/6315990339259111092023151150.pdf")</f>
        <v>https://dpmzos25m8ivg.cloudfront.net/Documentos/631/59903392591/6315990339259111092023151150.pdf</v>
      </c>
      <c r="F7217" s="5" t="str">
        <f>HYPERLINK("https://dpmzos25m8ivg.cloudfront.net/Documentos/631/59903392591/6315990339259111092023151205.pdf","https://dpmzos25m8ivg.cloudfront.net/Documentos/631/59903392591/6315990339259111092023151205.pdf")</f>
        <v>https://dpmzos25m8ivg.cloudfront.net/Documentos/631/59903392591/6315990339259111092023151205.pdf</v>
      </c>
      <c r="G7217" s="5" t="str">
        <f>HYPERLINK("https://dpmzos25m8ivg.cloudfront.net/Documentos/631/59903392591/6315990339259111092023151249.pdf","https://dpmzos25m8ivg.cloudfront.net/Documentos/631/59903392591/6315990339259111092023151249.pdf")</f>
        <v>https://dpmzos25m8ivg.cloudfront.net/Documentos/631/59903392591/6315990339259111092023151249.pdf</v>
      </c>
      <c r="H7217" s="5" t="s">
        <v>15786</v>
      </c>
    </row>
    <row r="7218" spans="1:8" x14ac:dyDescent="0.25">
      <c r="A7218" s="2" t="s">
        <v>7247</v>
      </c>
      <c r="B7218" s="3"/>
      <c r="C7218" s="3"/>
      <c r="D7218" s="3"/>
      <c r="E7218" s="5" t="str">
        <f>HYPERLINK("https://dpmzos25m8ivg.cloudfront.net/Documentos/631/59906545453/6315990654545314092023153210.pdf","https://dpmzos25m8ivg.cloudfront.net/Documentos/631/59906545453/6315990654545314092023153210.pdf")</f>
        <v>https://dpmzos25m8ivg.cloudfront.net/Documentos/631/59906545453/6315990654545314092023153210.pdf</v>
      </c>
      <c r="F7218" s="5" t="str">
        <f>HYPERLINK("https://dpmzos25m8ivg.cloudfront.net/Documentos/631/59906545453/6315990654545314092023153219.pdf","https://dpmzos25m8ivg.cloudfront.net/Documentos/631/59906545453/6315990654545314092023153219.pdf")</f>
        <v>https://dpmzos25m8ivg.cloudfront.net/Documentos/631/59906545453/6315990654545314092023153219.pdf</v>
      </c>
      <c r="G7218" s="5" t="str">
        <f>HYPERLINK("https://dpmzos25m8ivg.cloudfront.net/Documentos/631/59906545453/6315990654545314092023153226.pdf","https://dpmzos25m8ivg.cloudfront.net/Documentos/631/59906545453/6315990654545314092023153226.pdf")</f>
        <v>https://dpmzos25m8ivg.cloudfront.net/Documentos/631/59906545453/6315990654545314092023153226.pdf</v>
      </c>
      <c r="H7218" s="5" t="s">
        <v>15787</v>
      </c>
    </row>
    <row r="7219" spans="1:8" x14ac:dyDescent="0.25">
      <c r="A7219" s="2" t="s">
        <v>7248</v>
      </c>
      <c r="B7219" s="3"/>
      <c r="C7219" s="3"/>
      <c r="D7219" s="3"/>
      <c r="E7219" s="5" t="str">
        <f>HYPERLINK("https://dpmzos25m8ivg.cloudfront.net/Documentos/631/59945079549/6315994507954909092023121802.jpg","https://dpmzos25m8ivg.cloudfront.net/Documentos/631/59945079549/6315994507954909092023121802.jpg")</f>
        <v>https://dpmzos25m8ivg.cloudfront.net/Documentos/631/59945079549/6315994507954909092023121802.jpg</v>
      </c>
      <c r="F7219" s="5" t="str">
        <f>HYPERLINK("https://dpmzos25m8ivg.cloudfront.net/Documentos/631/59945079549/6315994507954909092023121824.jpg","https://dpmzos25m8ivg.cloudfront.net/Documentos/631/59945079549/6315994507954909092023121824.jpg")</f>
        <v>https://dpmzos25m8ivg.cloudfront.net/Documentos/631/59945079549/6315994507954909092023121824.jpg</v>
      </c>
      <c r="G7219" s="5" t="str">
        <f>HYPERLINK("https://dpmzos25m8ivg.cloudfront.net/Documentos/631/59945079549/6315994507954909092023121846.jpg","https://dpmzos25m8ivg.cloudfront.net/Documentos/631/59945079549/6315994507954909092023121846.jpg")</f>
        <v>https://dpmzos25m8ivg.cloudfront.net/Documentos/631/59945079549/6315994507954909092023121846.jpg</v>
      </c>
      <c r="H7219" s="5" t="s">
        <v>15788</v>
      </c>
    </row>
    <row r="7220" spans="1:8" x14ac:dyDescent="0.25">
      <c r="A7220" s="2" t="s">
        <v>7249</v>
      </c>
      <c r="B7220" s="3"/>
      <c r="C7220" s="3"/>
      <c r="D7220" s="3"/>
      <c r="E7220" s="5" t="str">
        <f>HYPERLINK("https://dpmzos25m8ivg.cloudfront.net/Documentos/631/60001250388/6316000125038811092023125913.pdf","https://dpmzos25m8ivg.cloudfront.net/Documentos/631/60001250388/6316000125038811092023125913.pdf")</f>
        <v>https://dpmzos25m8ivg.cloudfront.net/Documentos/631/60001250388/6316000125038811092023125913.pdf</v>
      </c>
      <c r="F7220" s="5" t="str">
        <f>HYPERLINK("https://dpmzos25m8ivg.cloudfront.net/Documentos/631/60001250388/6316000125038811092023125949.pdf","https://dpmzos25m8ivg.cloudfront.net/Documentos/631/60001250388/6316000125038811092023125949.pdf")</f>
        <v>https://dpmzos25m8ivg.cloudfront.net/Documentos/631/60001250388/6316000125038811092023125949.pdf</v>
      </c>
      <c r="G7220" s="5" t="str">
        <f>HYPERLINK("https://dpmzos25m8ivg.cloudfront.net/Documentos/631/60001250388/6316000125038811092023130007.pdf","https://dpmzos25m8ivg.cloudfront.net/Documentos/631/60001250388/6316000125038811092023130007.pdf")</f>
        <v>https://dpmzos25m8ivg.cloudfront.net/Documentos/631/60001250388/6316000125038811092023130007.pdf</v>
      </c>
      <c r="H7220" s="5" t="s">
        <v>15789</v>
      </c>
    </row>
    <row r="7221" spans="1:8" x14ac:dyDescent="0.25">
      <c r="A7221" s="2" t="s">
        <v>7250</v>
      </c>
      <c r="B7221" s="3"/>
      <c r="C7221" s="3"/>
      <c r="D7221" s="3"/>
      <c r="E7221" s="5" t="str">
        <f>HYPERLINK("https://dpmzos25m8ivg.cloudfront.net/Documentos/631/60012405310/6316001240531011092023072955.pdf","https://dpmzos25m8ivg.cloudfront.net/Documentos/631/60012405310/6316001240531011092023072955.pdf")</f>
        <v>https://dpmzos25m8ivg.cloudfront.net/Documentos/631/60012405310/6316001240531011092023072955.pdf</v>
      </c>
      <c r="F7221" s="5" t="str">
        <f>HYPERLINK("https://dpmzos25m8ivg.cloudfront.net/Documentos/631/60012405310/6316001240531011092023073007.pdf","https://dpmzos25m8ivg.cloudfront.net/Documentos/631/60012405310/6316001240531011092023073007.pdf")</f>
        <v>https://dpmzos25m8ivg.cloudfront.net/Documentos/631/60012405310/6316001240531011092023073007.pdf</v>
      </c>
      <c r="G7221" s="5" t="str">
        <f>HYPERLINK("https://dpmzos25m8ivg.cloudfront.net/Documentos/631/60012405310/6316001240531011092023073019.pdf","https://dpmzos25m8ivg.cloudfront.net/Documentos/631/60012405310/6316001240531011092023073019.pdf")</f>
        <v>https://dpmzos25m8ivg.cloudfront.net/Documentos/631/60012405310/6316001240531011092023073019.pdf</v>
      </c>
      <c r="H7221" s="5" t="s">
        <v>15790</v>
      </c>
    </row>
    <row r="7222" spans="1:8" x14ac:dyDescent="0.25">
      <c r="A7222" s="2" t="s">
        <v>7251</v>
      </c>
      <c r="B7222" s="3"/>
      <c r="C7222" s="3"/>
      <c r="D7222" s="3"/>
      <c r="E7222" s="5" t="str">
        <f>HYPERLINK("https://dpmzos25m8ivg.cloudfront.net/Documentos/631/60016027272/6316001602727205092023173225.pdf","https://dpmzos25m8ivg.cloudfront.net/Documentos/631/60016027272/6316001602727205092023173225.pdf")</f>
        <v>https://dpmzos25m8ivg.cloudfront.net/Documentos/631/60016027272/6316001602727205092023173225.pdf</v>
      </c>
      <c r="F7222" s="5" t="str">
        <f>HYPERLINK("https://dpmzos25m8ivg.cloudfront.net/Documentos/631/60016027272/6316001602727205092023173301.pdf","https://dpmzos25m8ivg.cloudfront.net/Documentos/631/60016027272/6316001602727205092023173301.pdf")</f>
        <v>https://dpmzos25m8ivg.cloudfront.net/Documentos/631/60016027272/6316001602727205092023173301.pdf</v>
      </c>
      <c r="G7222" s="5" t="str">
        <f>HYPERLINK("https://dpmzos25m8ivg.cloudfront.net/Documentos/631/60016027272/6316001602727205092023173320.pdf","https://dpmzos25m8ivg.cloudfront.net/Documentos/631/60016027272/6316001602727205092023173320.pdf")</f>
        <v>https://dpmzos25m8ivg.cloudfront.net/Documentos/631/60016027272/6316001602727205092023173320.pdf</v>
      </c>
      <c r="H7222" s="5" t="s">
        <v>15791</v>
      </c>
    </row>
    <row r="7223" spans="1:8" x14ac:dyDescent="0.25">
      <c r="A7223" s="2" t="s">
        <v>7252</v>
      </c>
      <c r="B7223" s="3"/>
      <c r="C7223" s="3"/>
      <c r="D7223" s="3"/>
      <c r="E7223" s="5" t="str">
        <f>HYPERLINK("https://dpmzos25m8ivg.cloudfront.net/Documentos/631/60022670009/6316002267000908092023000344.pdf","https://dpmzos25m8ivg.cloudfront.net/Documentos/631/60022670009/6316002267000908092023000344.pdf")</f>
        <v>https://dpmzos25m8ivg.cloudfront.net/Documentos/631/60022670009/6316002267000908092023000344.pdf</v>
      </c>
      <c r="F7223" s="5" t="str">
        <f>HYPERLINK("https://dpmzos25m8ivg.cloudfront.net/Documentos/631/60022670009/6316002267000908092023000350.pdf","https://dpmzos25m8ivg.cloudfront.net/Documentos/631/60022670009/6316002267000908092023000350.pdf")</f>
        <v>https://dpmzos25m8ivg.cloudfront.net/Documentos/631/60022670009/6316002267000908092023000350.pdf</v>
      </c>
      <c r="G7223" s="5" t="str">
        <f>HYPERLINK("https://dpmzos25m8ivg.cloudfront.net/Documentos/631/60022670009/6316002267000908092023000355.pdf","https://dpmzos25m8ivg.cloudfront.net/Documentos/631/60022670009/6316002267000908092023000355.pdf")</f>
        <v>https://dpmzos25m8ivg.cloudfront.net/Documentos/631/60022670009/6316002267000908092023000355.pdf</v>
      </c>
      <c r="H7223" s="5" t="s">
        <v>15792</v>
      </c>
    </row>
    <row r="7224" spans="1:8" x14ac:dyDescent="0.25">
      <c r="A7224" s="14" t="s">
        <v>7253</v>
      </c>
      <c r="B7224" s="15"/>
      <c r="C7224" s="3"/>
      <c r="D7224" s="3"/>
      <c r="E7224" s="5" t="str">
        <f>HYPERLINK("https://dpmzos25m8ivg.cloudfront.net/Documentos/631/60036043362/6316003604336208092023185227.pdf","https://dpmzos25m8ivg.cloudfront.net/Documentos/631/60036043362/6316003604336208092023185227.pdf")</f>
        <v>https://dpmzos25m8ivg.cloudfront.net/Documentos/631/60036043362/6316003604336208092023185227.pdf</v>
      </c>
      <c r="F7224" s="5" t="str">
        <f>HYPERLINK("https://dpmzos25m8ivg.cloudfront.net/Documentos/631/60036043362/6316003604336208092023185245.pdf","https://dpmzos25m8ivg.cloudfront.net/Documentos/631/60036043362/6316003604336208092023185245.pdf")</f>
        <v>https://dpmzos25m8ivg.cloudfront.net/Documentos/631/60036043362/6316003604336208092023185245.pdf</v>
      </c>
      <c r="G7224" s="5" t="str">
        <f>HYPERLINK("https://dpmzos25m8ivg.cloudfront.net/Documentos/631/60036043362/6316003604336208092023185259.pdf","https://dpmzos25m8ivg.cloudfront.net/Documentos/631/60036043362/6316003604336208092023185259.pdf")</f>
        <v>https://dpmzos25m8ivg.cloudfront.net/Documentos/631/60036043362/6316003604336208092023185259.pdf</v>
      </c>
      <c r="H7224" s="9" t="s">
        <v>15793</v>
      </c>
    </row>
    <row r="7225" spans="1:8" x14ac:dyDescent="0.25">
      <c r="A7225" s="2" t="s">
        <v>7254</v>
      </c>
      <c r="B7225" s="3" t="s">
        <v>90</v>
      </c>
      <c r="C7225" s="3"/>
      <c r="D7225" s="3"/>
      <c r="E7225" s="5" t="str">
        <f>HYPERLINK("https://dpmzos25m8ivg.cloudfront.net/Documentos/631/60070463700/6316007046370010092023120240.pdf","https://dpmzos25m8ivg.cloudfront.net/Documentos/631/60070463700/6316007046370010092023120240.pdf")</f>
        <v>https://dpmzos25m8ivg.cloudfront.net/Documentos/631/60070463700/6316007046370010092023120240.pdf</v>
      </c>
      <c r="F7225" s="5" t="str">
        <f>HYPERLINK("https://dpmzos25m8ivg.cloudfront.net/Documentos/631/60070463700/6316007046370010092023120317.pdf","https://dpmzos25m8ivg.cloudfront.net/Documentos/631/60070463700/6316007046370010092023120317.pdf")</f>
        <v>https://dpmzos25m8ivg.cloudfront.net/Documentos/631/60070463700/6316007046370010092023120317.pdf</v>
      </c>
      <c r="G7225" s="5" t="str">
        <f>HYPERLINK("https://dpmzos25m8ivg.cloudfront.net/Documentos/631/60070463700/6316007046370010092023120347.pdf","https://dpmzos25m8ivg.cloudfront.net/Documentos/631/60070463700/6316007046370010092023120347.pdf")</f>
        <v>https://dpmzos25m8ivg.cloudfront.net/Documentos/631/60070463700/6316007046370010092023120347.pdf</v>
      </c>
      <c r="H7225" s="5" t="s">
        <v>15794</v>
      </c>
    </row>
    <row r="7226" spans="1:8" x14ac:dyDescent="0.25">
      <c r="A7226" s="2" t="s">
        <v>7255</v>
      </c>
      <c r="B7226" s="3" t="s">
        <v>23</v>
      </c>
      <c r="C7226" s="3"/>
      <c r="D7226" s="3"/>
      <c r="E7226" s="5" t="str">
        <f>HYPERLINK("https://dpmzos25m8ivg.cloudfront.net/Documentos/631/60098006339/6316009800633911092023085148.pdf","https://dpmzos25m8ivg.cloudfront.net/Documentos/631/60098006339/6316009800633911092023085148.pdf")</f>
        <v>https://dpmzos25m8ivg.cloudfront.net/Documentos/631/60098006339/6316009800633911092023085148.pdf</v>
      </c>
      <c r="F7226" s="5" t="str">
        <f>HYPERLINK("https://dpmzos25m8ivg.cloudfront.net/Documentos/631/60098006339/6316009800633911092023085204.pdf","https://dpmzos25m8ivg.cloudfront.net/Documentos/631/60098006339/6316009800633911092023085204.pdf")</f>
        <v>https://dpmzos25m8ivg.cloudfront.net/Documentos/631/60098006339/6316009800633911092023085204.pdf</v>
      </c>
      <c r="G7226" s="5" t="str">
        <f>HYPERLINK("https://dpmzos25m8ivg.cloudfront.net/Documentos/631/60098006339/6316009800633911092023085219.pdf","https://dpmzos25m8ivg.cloudfront.net/Documentos/631/60098006339/6316009800633911092023085219.pdf")</f>
        <v>https://dpmzos25m8ivg.cloudfront.net/Documentos/631/60098006339/6316009800633911092023085219.pdf</v>
      </c>
      <c r="H7226" s="5" t="s">
        <v>15795</v>
      </c>
    </row>
    <row r="7227" spans="1:8" x14ac:dyDescent="0.25">
      <c r="A7227" s="2" t="s">
        <v>7256</v>
      </c>
      <c r="B7227" s="3"/>
      <c r="C7227" s="3"/>
      <c r="D7227" s="3"/>
      <c r="E7227" s="5" t="str">
        <f>HYPERLINK("https://dpmzos25m8ivg.cloudfront.net/Documentos/631/60263070360/6316026307036005092023200237.jpg","https://dpmzos25m8ivg.cloudfront.net/Documentos/631/60263070360/6316026307036005092023200237.jpg")</f>
        <v>https://dpmzos25m8ivg.cloudfront.net/Documentos/631/60263070360/6316026307036005092023200237.jpg</v>
      </c>
      <c r="F7227" s="5" t="str">
        <f>HYPERLINK("https://dpmzos25m8ivg.cloudfront.net/Documentos/631/60263070360/6316026307036005092023200324.jpg","https://dpmzos25m8ivg.cloudfront.net/Documentos/631/60263070360/6316026307036005092023200324.jpg")</f>
        <v>https://dpmzos25m8ivg.cloudfront.net/Documentos/631/60263070360/6316026307036005092023200324.jpg</v>
      </c>
      <c r="G7227" s="5" t="str">
        <f>HYPERLINK("https://dpmzos25m8ivg.cloudfront.net/Documentos/631/60263070360/6316026307036005092023200354.jpg","https://dpmzos25m8ivg.cloudfront.net/Documentos/631/60263070360/6316026307036005092023200354.jpg")</f>
        <v>https://dpmzos25m8ivg.cloudfront.net/Documentos/631/60263070360/6316026307036005092023200354.jpg</v>
      </c>
      <c r="H7227" s="5" t="s">
        <v>15796</v>
      </c>
    </row>
    <row r="7228" spans="1:8" x14ac:dyDescent="0.25">
      <c r="A7228" s="2" t="s">
        <v>7257</v>
      </c>
      <c r="B7228" s="3"/>
      <c r="C7228" s="3"/>
      <c r="D7228" s="3"/>
      <c r="E7228" s="5" t="str">
        <f>HYPERLINK("https://dpmzos25m8ivg.cloudfront.net/Documentos/631/60306101394/6316030610139411092023015929.jpg","https://dpmzos25m8ivg.cloudfront.net/Documentos/631/60306101394/6316030610139411092023015929.jpg")</f>
        <v>https://dpmzos25m8ivg.cloudfront.net/Documentos/631/60306101394/6316030610139411092023015929.jpg</v>
      </c>
      <c r="F7228" s="5" t="str">
        <f>HYPERLINK("https://dpmzos25m8ivg.cloudfront.net/Documentos/631/60306101394/6316030610139411092023020017.jpg","https://dpmzos25m8ivg.cloudfront.net/Documentos/631/60306101394/6316030610139411092023020017.jpg")</f>
        <v>https://dpmzos25m8ivg.cloudfront.net/Documentos/631/60306101394/6316030610139411092023020017.jpg</v>
      </c>
      <c r="G7228" s="5" t="str">
        <f>HYPERLINK("https://dpmzos25m8ivg.cloudfront.net/Documentos/631/60306101394/6316030610139411092023020048.jpg","https://dpmzos25m8ivg.cloudfront.net/Documentos/631/60306101394/6316030610139411092023020048.jpg")</f>
        <v>https://dpmzos25m8ivg.cloudfront.net/Documentos/631/60306101394/6316030610139411092023020048.jpg</v>
      </c>
      <c r="H7228" s="5" t="s">
        <v>15797</v>
      </c>
    </row>
    <row r="7229" spans="1:8" x14ac:dyDescent="0.25">
      <c r="A7229" s="2" t="s">
        <v>7258</v>
      </c>
      <c r="B7229" s="3"/>
      <c r="C7229" s="3"/>
      <c r="D7229" s="3"/>
      <c r="E7229" s="5" t="str">
        <f>HYPERLINK("https://dpmzos25m8ivg.cloudfront.net/Documentos/631/60343175339/6316034317533912092023175627.pdf","https://dpmzos25m8ivg.cloudfront.net/Documentos/631/60343175339/6316034317533912092023175627.pdf")</f>
        <v>https://dpmzos25m8ivg.cloudfront.net/Documentos/631/60343175339/6316034317533912092023175627.pdf</v>
      </c>
      <c r="F7229" s="5" t="str">
        <f>HYPERLINK("https://dpmzos25m8ivg.cloudfront.net/Documentos/631/60343175339/6316034317533912092023175640.pdf","https://dpmzos25m8ivg.cloudfront.net/Documentos/631/60343175339/6316034317533912092023175640.pdf")</f>
        <v>https://dpmzos25m8ivg.cloudfront.net/Documentos/631/60343175339/6316034317533912092023175640.pdf</v>
      </c>
      <c r="G7229" s="5" t="str">
        <f>HYPERLINK("https://dpmzos25m8ivg.cloudfront.net/Documentos/631/60343175339/6316034317533912092023175652.pdf","https://dpmzos25m8ivg.cloudfront.net/Documentos/631/60343175339/6316034317533912092023175652.pdf")</f>
        <v>https://dpmzos25m8ivg.cloudfront.net/Documentos/631/60343175339/6316034317533912092023175652.pdf</v>
      </c>
      <c r="H7229" s="5" t="s">
        <v>15798</v>
      </c>
    </row>
    <row r="7230" spans="1:8" x14ac:dyDescent="0.25">
      <c r="A7230" s="2" t="s">
        <v>7259</v>
      </c>
      <c r="B7230" s="3"/>
      <c r="C7230" s="3"/>
      <c r="D7230" s="3"/>
      <c r="E7230" s="5" t="str">
        <f>HYPERLINK("https://dpmzos25m8ivg.cloudfront.net/Documentos/631/60345128400/6316034512840008092023191732.pdf","https://dpmzos25m8ivg.cloudfront.net/Documentos/631/60345128400/6316034512840008092023191732.pdf")</f>
        <v>https://dpmzos25m8ivg.cloudfront.net/Documentos/631/60345128400/6316034512840008092023191732.pdf</v>
      </c>
      <c r="F7230" s="5" t="str">
        <f>HYPERLINK("https://dpmzos25m8ivg.cloudfront.net/Documentos/631/60345128400/6316034512840008092023191741.pdf","https://dpmzos25m8ivg.cloudfront.net/Documentos/631/60345128400/6316034512840008092023191741.pdf")</f>
        <v>https://dpmzos25m8ivg.cloudfront.net/Documentos/631/60345128400/6316034512840008092023191741.pdf</v>
      </c>
      <c r="G7230" s="5" t="str">
        <f>HYPERLINK("https://dpmzos25m8ivg.cloudfront.net/Documentos/631/60345128400/6316034512840008092023191755.pdf","https://dpmzos25m8ivg.cloudfront.net/Documentos/631/60345128400/6316034512840008092023191755.pdf")</f>
        <v>https://dpmzos25m8ivg.cloudfront.net/Documentos/631/60345128400/6316034512840008092023191755.pdf</v>
      </c>
      <c r="H7230" s="5" t="s">
        <v>15799</v>
      </c>
    </row>
    <row r="7231" spans="1:8" x14ac:dyDescent="0.25">
      <c r="A7231" s="2" t="s">
        <v>7260</v>
      </c>
      <c r="B7231" s="3"/>
      <c r="C7231" s="3"/>
      <c r="D7231" s="3"/>
      <c r="E7231" s="5" t="str">
        <f>HYPERLINK("https://dpmzos25m8ivg.cloudfront.net/Documentos/631/60362486360/6316036248636006092023093725.pdf","https://dpmzos25m8ivg.cloudfront.net/Documentos/631/60362486360/6316036248636006092023093725.pdf")</f>
        <v>https://dpmzos25m8ivg.cloudfront.net/Documentos/631/60362486360/6316036248636006092023093725.pdf</v>
      </c>
      <c r="F7231" s="5" t="str">
        <f>HYPERLINK("https://dpmzos25m8ivg.cloudfront.net/Documentos/631/60362486360/6316036248636006092023093716.pdf","https://dpmzos25m8ivg.cloudfront.net/Documentos/631/60362486360/6316036248636006092023093716.pdf")</f>
        <v>https://dpmzos25m8ivg.cloudfront.net/Documentos/631/60362486360/6316036248636006092023093716.pdf</v>
      </c>
      <c r="G7231" s="5" t="str">
        <f>HYPERLINK("https://dpmzos25m8ivg.cloudfront.net/Documentos/631/60362486360/6316036248636006092023093704.pdf","https://dpmzos25m8ivg.cloudfront.net/Documentos/631/60362486360/6316036248636006092023093704.pdf")</f>
        <v>https://dpmzos25m8ivg.cloudfront.net/Documentos/631/60362486360/6316036248636006092023093704.pdf</v>
      </c>
      <c r="H7231" s="5" t="s">
        <v>15800</v>
      </c>
    </row>
    <row r="7232" spans="1:8" x14ac:dyDescent="0.25">
      <c r="A7232" s="2" t="s">
        <v>7261</v>
      </c>
      <c r="B7232" s="3"/>
      <c r="C7232" s="3"/>
      <c r="D7232" s="3"/>
      <c r="E7232" s="5" t="str">
        <f>HYPERLINK("https://dpmzos25m8ivg.cloudfront.net/Documentos/631/60363647333/6316036364733311092023145727.pdf","https://dpmzos25m8ivg.cloudfront.net/Documentos/631/60363647333/6316036364733311092023145727.pdf")</f>
        <v>https://dpmzos25m8ivg.cloudfront.net/Documentos/631/60363647333/6316036364733311092023145727.pdf</v>
      </c>
      <c r="F7232" s="5" t="str">
        <f>HYPERLINK("https://dpmzos25m8ivg.cloudfront.net/Documentos/631/60363647333/6316036364733311092023145759.pdf","https://dpmzos25m8ivg.cloudfront.net/Documentos/631/60363647333/6316036364733311092023145759.pdf")</f>
        <v>https://dpmzos25m8ivg.cloudfront.net/Documentos/631/60363647333/6316036364733311092023145759.pdf</v>
      </c>
      <c r="G7232" s="5" t="str">
        <f>HYPERLINK("https://dpmzos25m8ivg.cloudfront.net/Documentos/631/60363647333/6316036364733311092023145823.pdf","https://dpmzos25m8ivg.cloudfront.net/Documentos/631/60363647333/6316036364733311092023145823.pdf")</f>
        <v>https://dpmzos25m8ivg.cloudfront.net/Documentos/631/60363647333/6316036364733311092023145823.pdf</v>
      </c>
      <c r="H7232" s="5" t="s">
        <v>15801</v>
      </c>
    </row>
    <row r="7233" spans="1:8" x14ac:dyDescent="0.25">
      <c r="A7233" s="2" t="s">
        <v>7262</v>
      </c>
      <c r="B7233" s="3"/>
      <c r="C7233" s="3"/>
      <c r="D7233" s="3"/>
      <c r="E7233" s="5" t="str">
        <f>HYPERLINK("https://dpmzos25m8ivg.cloudfront.net/Documentos/631/60367936348/6316036793634805092023085728.pdf","https://dpmzos25m8ivg.cloudfront.net/Documentos/631/60367936348/6316036793634805092023085728.pdf")</f>
        <v>https://dpmzos25m8ivg.cloudfront.net/Documentos/631/60367936348/6316036793634805092023085728.pdf</v>
      </c>
      <c r="F7233" s="5" t="str">
        <f>HYPERLINK("https://dpmzos25m8ivg.cloudfront.net/Documentos/631/60367936348/6316036793634805092023085739.pdf","https://dpmzos25m8ivg.cloudfront.net/Documentos/631/60367936348/6316036793634805092023085739.pdf")</f>
        <v>https://dpmzos25m8ivg.cloudfront.net/Documentos/631/60367936348/6316036793634805092023085739.pdf</v>
      </c>
      <c r="G7233" s="5" t="str">
        <f>HYPERLINK("https://dpmzos25m8ivg.cloudfront.net/Documentos/631/60367936348/6316036793634805092023085754.pdf","https://dpmzos25m8ivg.cloudfront.net/Documentos/631/60367936348/6316036793634805092023085754.pdf")</f>
        <v>https://dpmzos25m8ivg.cloudfront.net/Documentos/631/60367936348/6316036793634805092023085754.pdf</v>
      </c>
      <c r="H7233" s="5" t="s">
        <v>15802</v>
      </c>
    </row>
    <row r="7234" spans="1:8" x14ac:dyDescent="0.25">
      <c r="A7234" s="2" t="s">
        <v>7263</v>
      </c>
      <c r="B7234" s="3"/>
      <c r="C7234" s="3"/>
      <c r="D7234" s="3"/>
      <c r="E7234" s="5" t="str">
        <f>HYPERLINK("https://dpmzos25m8ivg.cloudfront.net/Documentos/631/60377065307/6316037706530711092023144421.pdf","https://dpmzos25m8ivg.cloudfront.net/Documentos/631/60377065307/6316037706530711092023144421.pdf")</f>
        <v>https://dpmzos25m8ivg.cloudfront.net/Documentos/631/60377065307/6316037706530711092023144421.pdf</v>
      </c>
      <c r="F7234" s="5" t="str">
        <f>HYPERLINK("https://dpmzos25m8ivg.cloudfront.net/Documentos/631/60377065307/6316037706530711092023144526.pdf","https://dpmzos25m8ivg.cloudfront.net/Documentos/631/60377065307/6316037706530711092023144526.pdf")</f>
        <v>https://dpmzos25m8ivg.cloudfront.net/Documentos/631/60377065307/6316037706530711092023144526.pdf</v>
      </c>
      <c r="G7234" s="5" t="str">
        <f>HYPERLINK("https://dpmzos25m8ivg.cloudfront.net/Documentos/631/60377065307/6316037706530711092023144801.pdf","https://dpmzos25m8ivg.cloudfront.net/Documentos/631/60377065307/6316037706530711092023144801.pdf")</f>
        <v>https://dpmzos25m8ivg.cloudfront.net/Documentos/631/60377065307/6316037706530711092023144801.pdf</v>
      </c>
      <c r="H7234" s="5" t="s">
        <v>15803</v>
      </c>
    </row>
    <row r="7235" spans="1:8" x14ac:dyDescent="0.25">
      <c r="A7235" s="2" t="s">
        <v>7264</v>
      </c>
      <c r="B7235" s="3"/>
      <c r="C7235" s="3"/>
      <c r="D7235" s="3"/>
      <c r="E7235" s="5" t="str">
        <f>HYPERLINK("https://dpmzos25m8ivg.cloudfront.net/Documentos/631/60383624363/6316038362436311092023134756.pdf","https://dpmzos25m8ivg.cloudfront.net/Documentos/631/60383624363/6316038362436311092023134756.pdf")</f>
        <v>https://dpmzos25m8ivg.cloudfront.net/Documentos/631/60383624363/6316038362436311092023134756.pdf</v>
      </c>
      <c r="F7235" s="5" t="str">
        <f>HYPERLINK("https://dpmzos25m8ivg.cloudfront.net/Documentos/631/60383624363/6316038362436311092023143447.pdf","https://dpmzos25m8ivg.cloudfront.net/Documentos/631/60383624363/6316038362436311092023143447.pdf")</f>
        <v>https://dpmzos25m8ivg.cloudfront.net/Documentos/631/60383624363/6316038362436311092023143447.pdf</v>
      </c>
      <c r="G7235" s="5" t="str">
        <f>HYPERLINK("https://dpmzos25m8ivg.cloudfront.net/Documentos/631/60383624363/6316038362436311092023143732.pdf","https://dpmzos25m8ivg.cloudfront.net/Documentos/631/60383624363/6316038362436311092023143732.pdf")</f>
        <v>https://dpmzos25m8ivg.cloudfront.net/Documentos/631/60383624363/6316038362436311092023143732.pdf</v>
      </c>
      <c r="H7235" s="5" t="s">
        <v>15804</v>
      </c>
    </row>
    <row r="7236" spans="1:8" x14ac:dyDescent="0.25">
      <c r="A7236" s="2" t="s">
        <v>7265</v>
      </c>
      <c r="B7236" s="3"/>
      <c r="C7236" s="3"/>
      <c r="D7236" s="3"/>
      <c r="E7236" s="5" t="str">
        <f>HYPERLINK("https://dpmzos25m8ivg.cloudfront.net/Documentos/631/60389943355/6316038994335511092023114936.jpeg","https://dpmzos25m8ivg.cloudfront.net/Documentos/631/60389943355/6316038994335511092023114936.jpeg")</f>
        <v>https://dpmzos25m8ivg.cloudfront.net/Documentos/631/60389943355/6316038994335511092023114936.jpeg</v>
      </c>
      <c r="F7236" s="5" t="str">
        <f>HYPERLINK("https://dpmzos25m8ivg.cloudfront.net/Documentos/631/60389943355/6316038994335511092023114948.jpeg","https://dpmzos25m8ivg.cloudfront.net/Documentos/631/60389943355/6316038994335511092023114948.jpeg")</f>
        <v>https://dpmzos25m8ivg.cloudfront.net/Documentos/631/60389943355/6316038994335511092023114948.jpeg</v>
      </c>
      <c r="G7236" s="5" t="str">
        <f>HYPERLINK("https://dpmzos25m8ivg.cloudfront.net/Documentos/631/60389943355/6316038994335511092023115001.jpeg","https://dpmzos25m8ivg.cloudfront.net/Documentos/631/60389943355/6316038994335511092023115001.jpeg")</f>
        <v>https://dpmzos25m8ivg.cloudfront.net/Documentos/631/60389943355/6316038994335511092023115001.jpeg</v>
      </c>
      <c r="H7236" s="5" t="s">
        <v>15805</v>
      </c>
    </row>
    <row r="7237" spans="1:8" x14ac:dyDescent="0.25">
      <c r="A7237" s="2" t="s">
        <v>7266</v>
      </c>
      <c r="B7237" s="3"/>
      <c r="C7237" s="3"/>
      <c r="D7237" s="3"/>
      <c r="E7237" s="5" t="str">
        <f>HYPERLINK("https://dpmzos25m8ivg.cloudfront.net/Documentos/631/60402586328/6316040258632813092023132742.pdf","https://dpmzos25m8ivg.cloudfront.net/Documentos/631/60402586328/6316040258632813092023132742.pdf")</f>
        <v>https://dpmzos25m8ivg.cloudfront.net/Documentos/631/60402586328/6316040258632813092023132742.pdf</v>
      </c>
      <c r="F7237" s="5" t="str">
        <f>HYPERLINK("https://dpmzos25m8ivg.cloudfront.net/Documentos/631/60402586328/6316040258632813092023132800.pdf","https://dpmzos25m8ivg.cloudfront.net/Documentos/631/60402586328/6316040258632813092023132800.pdf")</f>
        <v>https://dpmzos25m8ivg.cloudfront.net/Documentos/631/60402586328/6316040258632813092023132800.pdf</v>
      </c>
      <c r="G7237" s="5" t="str">
        <f>HYPERLINK("https://dpmzos25m8ivg.cloudfront.net/Documentos/631/60402586328/6316040258632813092023132818.pdf","https://dpmzos25m8ivg.cloudfront.net/Documentos/631/60402586328/6316040258632813092023132818.pdf")</f>
        <v>https://dpmzos25m8ivg.cloudfront.net/Documentos/631/60402586328/6316040258632813092023132818.pdf</v>
      </c>
      <c r="H7237" s="5" t="s">
        <v>15806</v>
      </c>
    </row>
    <row r="7238" spans="1:8" x14ac:dyDescent="0.25">
      <c r="A7238" s="2" t="s">
        <v>7267</v>
      </c>
      <c r="B7238" s="3"/>
      <c r="C7238" s="3"/>
      <c r="D7238" s="3"/>
      <c r="E7238" s="5" t="str">
        <f>HYPERLINK("https://dpmzos25m8ivg.cloudfront.net/Documentos/631/60403525314/6316040352531411092023143741.pdf","https://dpmzos25m8ivg.cloudfront.net/Documentos/631/60403525314/6316040352531411092023143741.pdf")</f>
        <v>https://dpmzos25m8ivg.cloudfront.net/Documentos/631/60403525314/6316040352531411092023143741.pdf</v>
      </c>
      <c r="F7238" s="5" t="str">
        <f>HYPERLINK("https://dpmzos25m8ivg.cloudfront.net/Documentos/631/60403525314/6316040352531411092023144321.pdf","https://dpmzos25m8ivg.cloudfront.net/Documentos/631/60403525314/6316040352531411092023144321.pdf")</f>
        <v>https://dpmzos25m8ivg.cloudfront.net/Documentos/631/60403525314/6316040352531411092023144321.pdf</v>
      </c>
      <c r="G7238" s="5" t="str">
        <f>HYPERLINK("https://dpmzos25m8ivg.cloudfront.net/Documentos/631/60403525314/6316040352531411092023144333.pdf","https://dpmzos25m8ivg.cloudfront.net/Documentos/631/60403525314/6316040352531411092023144333.pdf")</f>
        <v>https://dpmzos25m8ivg.cloudfront.net/Documentos/631/60403525314/6316040352531411092023144333.pdf</v>
      </c>
      <c r="H7238" s="5" t="s">
        <v>15807</v>
      </c>
    </row>
    <row r="7239" spans="1:8" x14ac:dyDescent="0.25">
      <c r="A7239" s="2" t="s">
        <v>7268</v>
      </c>
      <c r="B7239" s="3" t="s">
        <v>90</v>
      </c>
      <c r="C7239" s="3"/>
      <c r="D7239" s="3"/>
      <c r="E7239" s="5" t="str">
        <f>HYPERLINK("https://dpmzos25m8ivg.cloudfront.net/Documentos/631/60417762380/6316041776238005092023164455.jpeg","https://dpmzos25m8ivg.cloudfront.net/Documentos/631/60417762380/6316041776238005092023164455.jpeg")</f>
        <v>https://dpmzos25m8ivg.cloudfront.net/Documentos/631/60417762380/6316041776238005092023164455.jpeg</v>
      </c>
      <c r="F7239" s="5" t="str">
        <f>HYPERLINK("https://dpmzos25m8ivg.cloudfront.net/Documentos/631/60417762380/6316041776238005092023164508.jpeg","https://dpmzos25m8ivg.cloudfront.net/Documentos/631/60417762380/6316041776238005092023164508.jpeg")</f>
        <v>https://dpmzos25m8ivg.cloudfront.net/Documentos/631/60417762380/6316041776238005092023164508.jpeg</v>
      </c>
      <c r="G7239" s="5" t="str">
        <f>HYPERLINK("https://dpmzos25m8ivg.cloudfront.net/Documentos/631/60417762380/6316041776238005092023164523.jpeg","https://dpmzos25m8ivg.cloudfront.net/Documentos/631/60417762380/6316041776238005092023164523.jpeg")</f>
        <v>https://dpmzos25m8ivg.cloudfront.net/Documentos/631/60417762380/6316041776238005092023164523.jpeg</v>
      </c>
      <c r="H7239" s="5" t="s">
        <v>15808</v>
      </c>
    </row>
    <row r="7240" spans="1:8" x14ac:dyDescent="0.25">
      <c r="A7240" s="2" t="s">
        <v>7269</v>
      </c>
      <c r="B7240" s="3"/>
      <c r="C7240" s="3"/>
      <c r="D7240" s="3"/>
      <c r="E7240" s="5" t="str">
        <f>HYPERLINK("https://dpmzos25m8ivg.cloudfront.net/Documentos/631/60431397317/6316043139731710092023115204.pdf","https://dpmzos25m8ivg.cloudfront.net/Documentos/631/60431397317/6316043139731710092023115204.pdf")</f>
        <v>https://dpmzos25m8ivg.cloudfront.net/Documentos/631/60431397317/6316043139731710092023115204.pdf</v>
      </c>
      <c r="F7240" s="5" t="str">
        <f>HYPERLINK("https://dpmzos25m8ivg.cloudfront.net/Documentos/631/60431397317/6316043139731710092023115215.pdf","https://dpmzos25m8ivg.cloudfront.net/Documentos/631/60431397317/6316043139731710092023115215.pdf")</f>
        <v>https://dpmzos25m8ivg.cloudfront.net/Documentos/631/60431397317/6316043139731710092023115215.pdf</v>
      </c>
      <c r="G7240" s="5" t="str">
        <f>HYPERLINK("https://dpmzos25m8ivg.cloudfront.net/Documentos/631/60431397317/6316043139731710092023115227.pdf","https://dpmzos25m8ivg.cloudfront.net/Documentos/631/60431397317/6316043139731710092023115227.pdf")</f>
        <v>https://dpmzos25m8ivg.cloudfront.net/Documentos/631/60431397317/6316043139731710092023115227.pdf</v>
      </c>
      <c r="H7240" s="5" t="s">
        <v>15809</v>
      </c>
    </row>
    <row r="7241" spans="1:8" x14ac:dyDescent="0.25">
      <c r="A7241" s="2" t="s">
        <v>7270</v>
      </c>
      <c r="B7241" s="3"/>
      <c r="C7241" s="3"/>
      <c r="D7241" s="3"/>
      <c r="E7241" s="5" t="str">
        <f>HYPERLINK("https://dpmzos25m8ivg.cloudfront.net/Documentos/631/60438156307/6316043815630711092023140017.pdf","https://dpmzos25m8ivg.cloudfront.net/Documentos/631/60438156307/6316043815630711092023140017.pdf")</f>
        <v>https://dpmzos25m8ivg.cloudfront.net/Documentos/631/60438156307/6316043815630711092023140017.pdf</v>
      </c>
      <c r="F7241" s="5" t="str">
        <f>HYPERLINK("https://dpmzos25m8ivg.cloudfront.net/Documentos/631/60438156307/6316043815630711092023140030.pdf","https://dpmzos25m8ivg.cloudfront.net/Documentos/631/60438156307/6316043815630711092023140030.pdf")</f>
        <v>https://dpmzos25m8ivg.cloudfront.net/Documentos/631/60438156307/6316043815630711092023140030.pdf</v>
      </c>
      <c r="G7241" s="5" t="str">
        <f>HYPERLINK("https://dpmzos25m8ivg.cloudfront.net/Documentos/631/60438156307/6316043815630711092023140041.pdf","https://dpmzos25m8ivg.cloudfront.net/Documentos/631/60438156307/6316043815630711092023140041.pdf")</f>
        <v>https://dpmzos25m8ivg.cloudfront.net/Documentos/631/60438156307/6316043815630711092023140041.pdf</v>
      </c>
      <c r="H7241" s="5" t="s">
        <v>15810</v>
      </c>
    </row>
    <row r="7242" spans="1:8" x14ac:dyDescent="0.25">
      <c r="A7242" s="2" t="s">
        <v>7271</v>
      </c>
      <c r="B7242" s="3"/>
      <c r="C7242" s="3"/>
      <c r="D7242" s="3"/>
      <c r="E7242" s="5" t="str">
        <f>HYPERLINK("https://dpmzos25m8ivg.cloudfront.net/Documentos/631/60446381381/6316044638138110092023113125.jpg","https://dpmzos25m8ivg.cloudfront.net/Documentos/631/60446381381/6316044638138110092023113125.jpg")</f>
        <v>https://dpmzos25m8ivg.cloudfront.net/Documentos/631/60446381381/6316044638138110092023113125.jpg</v>
      </c>
      <c r="F7242" s="5" t="str">
        <f>HYPERLINK("https://dpmzos25m8ivg.cloudfront.net/Documentos/631/60446381381/6316044638138110092023113327.jpg","https://dpmzos25m8ivg.cloudfront.net/Documentos/631/60446381381/6316044638138110092023113327.jpg")</f>
        <v>https://dpmzos25m8ivg.cloudfront.net/Documentos/631/60446381381/6316044638138110092023113327.jpg</v>
      </c>
      <c r="G7242" s="5" t="str">
        <f>HYPERLINK("https://dpmzos25m8ivg.cloudfront.net/Documentos/631/60446381381/6316044638138110092023113412.jpg","https://dpmzos25m8ivg.cloudfront.net/Documentos/631/60446381381/6316044638138110092023113412.jpg")</f>
        <v>https://dpmzos25m8ivg.cloudfront.net/Documentos/631/60446381381/6316044638138110092023113412.jpg</v>
      </c>
      <c r="H7242" s="5" t="s">
        <v>15811</v>
      </c>
    </row>
    <row r="7243" spans="1:8" x14ac:dyDescent="0.25">
      <c r="A7243" s="2" t="s">
        <v>7272</v>
      </c>
      <c r="B7243" s="3" t="s">
        <v>23</v>
      </c>
      <c r="C7243" s="3"/>
      <c r="D7243" s="3"/>
      <c r="E7243" s="5" t="str">
        <f>HYPERLINK("https://dpmzos25m8ivg.cloudfront.net/Documentos/631/60452935504/6316045293550405092023102543.jpeg","https://dpmzos25m8ivg.cloudfront.net/Documentos/631/60452935504/6316045293550405092023102543.jpeg")</f>
        <v>https://dpmzos25m8ivg.cloudfront.net/Documentos/631/60452935504/6316045293550405092023102543.jpeg</v>
      </c>
      <c r="F7243" s="5" t="str">
        <f>HYPERLINK("https://dpmzos25m8ivg.cloudfront.net/Documentos/631/60452935504/6316045293550405092023102527.jpeg","https://dpmzos25m8ivg.cloudfront.net/Documentos/631/60452935504/6316045293550405092023102527.jpeg")</f>
        <v>https://dpmzos25m8ivg.cloudfront.net/Documentos/631/60452935504/6316045293550405092023102527.jpeg</v>
      </c>
      <c r="G7243" s="5" t="str">
        <f>HYPERLINK("https://dpmzos25m8ivg.cloudfront.net/Documentos/631/60452935504/6316045293550405092023101918.jpeg","https://dpmzos25m8ivg.cloudfront.net/Documentos/631/60452935504/6316045293550405092023101918.jpeg")</f>
        <v>https://dpmzos25m8ivg.cloudfront.net/Documentos/631/60452935504/6316045293550405092023101918.jpeg</v>
      </c>
      <c r="H7243" s="5" t="s">
        <v>15812</v>
      </c>
    </row>
    <row r="7244" spans="1:8" x14ac:dyDescent="0.25">
      <c r="A7244" s="2" t="s">
        <v>7273</v>
      </c>
      <c r="B7244" s="3"/>
      <c r="C7244" s="3"/>
      <c r="D7244" s="3"/>
      <c r="E7244" s="5" t="str">
        <f>HYPERLINK("https://dpmzos25m8ivg.cloudfront.net/Documentos/631/60454915306/6316045491530606092023095207.pdf","https://dpmzos25m8ivg.cloudfront.net/Documentos/631/60454915306/6316045491530606092023095207.pdf")</f>
        <v>https://dpmzos25m8ivg.cloudfront.net/Documentos/631/60454915306/6316045491530606092023095207.pdf</v>
      </c>
      <c r="F7244" s="5" t="str">
        <f>HYPERLINK("https://dpmzos25m8ivg.cloudfront.net/Documentos/631/60454915306/6316045491530606092023095200.pdf","https://dpmzos25m8ivg.cloudfront.net/Documentos/631/60454915306/6316045491530606092023095200.pdf")</f>
        <v>https://dpmzos25m8ivg.cloudfront.net/Documentos/631/60454915306/6316045491530606092023095200.pdf</v>
      </c>
      <c r="G7244" s="5" t="str">
        <f>HYPERLINK("https://dpmzos25m8ivg.cloudfront.net/Documentos/631/60454915306/6316045491530606092023095152.pdf","https://dpmzos25m8ivg.cloudfront.net/Documentos/631/60454915306/6316045491530606092023095152.pdf")</f>
        <v>https://dpmzos25m8ivg.cloudfront.net/Documentos/631/60454915306/6316045491530606092023095152.pdf</v>
      </c>
      <c r="H7244" s="5" t="s">
        <v>15813</v>
      </c>
    </row>
    <row r="7245" spans="1:8" x14ac:dyDescent="0.25">
      <c r="A7245" s="2" t="s">
        <v>7274</v>
      </c>
      <c r="B7245" s="3"/>
      <c r="C7245" s="3"/>
      <c r="D7245" s="3"/>
      <c r="E7245" s="5" t="str">
        <f>HYPERLINK("https://dpmzos25m8ivg.cloudfront.net/Documentos/631/60455483370/6316045548337010092023144716.pdf","https://dpmzos25m8ivg.cloudfront.net/Documentos/631/60455483370/6316045548337010092023144716.pdf")</f>
        <v>https://dpmzos25m8ivg.cloudfront.net/Documentos/631/60455483370/6316045548337010092023144716.pdf</v>
      </c>
      <c r="F7245" s="5" t="str">
        <f>HYPERLINK("https://dpmzos25m8ivg.cloudfront.net/Documentos/631/60455483370/6316045548337010092023144728.pdf","https://dpmzos25m8ivg.cloudfront.net/Documentos/631/60455483370/6316045548337010092023144728.pdf")</f>
        <v>https://dpmzos25m8ivg.cloudfront.net/Documentos/631/60455483370/6316045548337010092023144728.pdf</v>
      </c>
      <c r="G7245" s="5" t="str">
        <f>HYPERLINK("https://dpmzos25m8ivg.cloudfront.net/Documentos/631/60455483370/6316045548337010092023144744.pdf","https://dpmzos25m8ivg.cloudfront.net/Documentos/631/60455483370/6316045548337010092023144744.pdf")</f>
        <v>https://dpmzos25m8ivg.cloudfront.net/Documentos/631/60455483370/6316045548337010092023144744.pdf</v>
      </c>
      <c r="H7245" s="5" t="s">
        <v>15814</v>
      </c>
    </row>
    <row r="7246" spans="1:8" x14ac:dyDescent="0.25">
      <c r="A7246" s="2" t="s">
        <v>7275</v>
      </c>
      <c r="B7246" s="3"/>
      <c r="C7246" s="3"/>
      <c r="D7246" s="3"/>
      <c r="E7246" s="5" t="str">
        <f>HYPERLINK("https://dpmzos25m8ivg.cloudfront.net/Documentos/631/60470396342/6316047039634209092023192305.jpeg","https://dpmzos25m8ivg.cloudfront.net/Documentos/631/60470396342/6316047039634209092023192305.jpeg")</f>
        <v>https://dpmzos25m8ivg.cloudfront.net/Documentos/631/60470396342/6316047039634209092023192305.jpeg</v>
      </c>
      <c r="F7246" s="5" t="str">
        <f>HYPERLINK("https://dpmzos25m8ivg.cloudfront.net/Documentos/631/60470396342/6316047039634209092023192317.jpeg","https://dpmzos25m8ivg.cloudfront.net/Documentos/631/60470396342/6316047039634209092023192317.jpeg")</f>
        <v>https://dpmzos25m8ivg.cloudfront.net/Documentos/631/60470396342/6316047039634209092023192317.jpeg</v>
      </c>
      <c r="G7246" s="5" t="str">
        <f>HYPERLINK("https://dpmzos25m8ivg.cloudfront.net/Documentos/631/60470396342/6316047039634209092023192330.jpeg","https://dpmzos25m8ivg.cloudfront.net/Documentos/631/60470396342/6316047039634209092023192330.jpeg")</f>
        <v>https://dpmzos25m8ivg.cloudfront.net/Documentos/631/60470396342/6316047039634209092023192330.jpeg</v>
      </c>
      <c r="H7246" s="5" t="s">
        <v>15815</v>
      </c>
    </row>
    <row r="7247" spans="1:8" x14ac:dyDescent="0.25">
      <c r="A7247" s="2" t="s">
        <v>7276</v>
      </c>
      <c r="B7247" s="3"/>
      <c r="C7247" s="3"/>
      <c r="D7247" s="3"/>
      <c r="E7247" s="5" t="str">
        <f>HYPERLINK("https://dpmzos25m8ivg.cloudfront.net/Documentos/631/60470795395/6316047079539514092023163021.pdf","https://dpmzos25m8ivg.cloudfront.net/Documentos/631/60470795395/6316047079539514092023163021.pdf")</f>
        <v>https://dpmzos25m8ivg.cloudfront.net/Documentos/631/60470795395/6316047079539514092023163021.pdf</v>
      </c>
      <c r="F7247" s="5" t="str">
        <f>HYPERLINK("https://dpmzos25m8ivg.cloudfront.net/Documentos/631/60470795395/6316047079539514092023163033.pdf","https://dpmzos25m8ivg.cloudfront.net/Documentos/631/60470795395/6316047079539514092023163033.pdf")</f>
        <v>https://dpmzos25m8ivg.cloudfront.net/Documentos/631/60470795395/6316047079539514092023163033.pdf</v>
      </c>
      <c r="G7247" s="5" t="str">
        <f>HYPERLINK("https://dpmzos25m8ivg.cloudfront.net/Documentos/631/60470795395/6316047079539514092023163043.pdf","https://dpmzos25m8ivg.cloudfront.net/Documentos/631/60470795395/6316047079539514092023163043.pdf")</f>
        <v>https://dpmzos25m8ivg.cloudfront.net/Documentos/631/60470795395/6316047079539514092023163043.pdf</v>
      </c>
      <c r="H7247" s="5" t="s">
        <v>15816</v>
      </c>
    </row>
    <row r="7248" spans="1:8" x14ac:dyDescent="0.25">
      <c r="A7248" s="2" t="s">
        <v>7277</v>
      </c>
      <c r="B7248" s="3"/>
      <c r="C7248" s="3"/>
      <c r="D7248" s="3"/>
      <c r="E7248" s="5" t="str">
        <f>HYPERLINK("https://dpmzos25m8ivg.cloudfront.net/Documentos/631/60488570395/6316048857039506092023145444.jpeg","https://dpmzos25m8ivg.cloudfront.net/Documentos/631/60488570395/6316048857039506092023145444.jpeg")</f>
        <v>https://dpmzos25m8ivg.cloudfront.net/Documentos/631/60488570395/6316048857039506092023145444.jpeg</v>
      </c>
      <c r="F7248" s="5" t="str">
        <f>HYPERLINK("https://dpmzos25m8ivg.cloudfront.net/Documentos/631/60488570395/6316048857039506092023145509.jpeg","https://dpmzos25m8ivg.cloudfront.net/Documentos/631/60488570395/6316048857039506092023145509.jpeg")</f>
        <v>https://dpmzos25m8ivg.cloudfront.net/Documentos/631/60488570395/6316048857039506092023145509.jpeg</v>
      </c>
      <c r="G7248" s="5" t="str">
        <f>HYPERLINK("https://dpmzos25m8ivg.cloudfront.net/Documentos/631/60488570395/6316048857039506092023145540.jpeg","https://dpmzos25m8ivg.cloudfront.net/Documentos/631/60488570395/6316048857039506092023145540.jpeg")</f>
        <v>https://dpmzos25m8ivg.cloudfront.net/Documentos/631/60488570395/6316048857039506092023145540.jpeg</v>
      </c>
      <c r="H7248" s="5" t="s">
        <v>15817</v>
      </c>
    </row>
    <row r="7249" spans="1:8" x14ac:dyDescent="0.25">
      <c r="A7249" s="2" t="s">
        <v>7278</v>
      </c>
      <c r="B7249" s="3"/>
      <c r="C7249" s="3"/>
      <c r="D7249" s="3"/>
      <c r="E7249" s="5" t="str">
        <f>HYPERLINK("https://dpmzos25m8ivg.cloudfront.net/Documentos/631/60511201303/6316051120130309092023195119.pdf","https://dpmzos25m8ivg.cloudfront.net/Documentos/631/60511201303/6316051120130309092023195119.pdf")</f>
        <v>https://dpmzos25m8ivg.cloudfront.net/Documentos/631/60511201303/6316051120130309092023195119.pdf</v>
      </c>
      <c r="F7249" s="5" t="str">
        <f>HYPERLINK("https://dpmzos25m8ivg.cloudfront.net/Documentos/631/60511201303/6316051120130309092023195132.pdf","https://dpmzos25m8ivg.cloudfront.net/Documentos/631/60511201303/6316051120130309092023195132.pdf")</f>
        <v>https://dpmzos25m8ivg.cloudfront.net/Documentos/631/60511201303/6316051120130309092023195132.pdf</v>
      </c>
      <c r="G7249" s="5" t="str">
        <f>HYPERLINK("https://dpmzos25m8ivg.cloudfront.net/Documentos/631/60511201303/6316051120130309092023195144.pdf","https://dpmzos25m8ivg.cloudfront.net/Documentos/631/60511201303/6316051120130309092023195144.pdf")</f>
        <v>https://dpmzos25m8ivg.cloudfront.net/Documentos/631/60511201303/6316051120130309092023195144.pdf</v>
      </c>
      <c r="H7249" s="5" t="s">
        <v>15818</v>
      </c>
    </row>
    <row r="7250" spans="1:8" x14ac:dyDescent="0.25">
      <c r="A7250" s="2" t="s">
        <v>7279</v>
      </c>
      <c r="B7250" s="3"/>
      <c r="C7250" s="3"/>
      <c r="D7250" s="3"/>
      <c r="E7250" s="5" t="str">
        <f>HYPERLINK("https://dpmzos25m8ivg.cloudfront.net/Documentos/631/60517600323/6316051760032306092023143447.pdf","https://dpmzos25m8ivg.cloudfront.net/Documentos/631/60517600323/6316051760032306092023143447.pdf")</f>
        <v>https://dpmzos25m8ivg.cloudfront.net/Documentos/631/60517600323/6316051760032306092023143447.pdf</v>
      </c>
      <c r="F7250" s="5" t="str">
        <f>HYPERLINK("https://dpmzos25m8ivg.cloudfront.net/Documentos/631/60517600323/6316051760032306092023143459.pdf","https://dpmzos25m8ivg.cloudfront.net/Documentos/631/60517600323/6316051760032306092023143459.pdf")</f>
        <v>https://dpmzos25m8ivg.cloudfront.net/Documentos/631/60517600323/6316051760032306092023143459.pdf</v>
      </c>
      <c r="G7250" s="5" t="str">
        <f>HYPERLINK("https://dpmzos25m8ivg.cloudfront.net/Documentos/631/60517600323/6316051760032306092023143514.pdf","https://dpmzos25m8ivg.cloudfront.net/Documentos/631/60517600323/6316051760032306092023143514.pdf")</f>
        <v>https://dpmzos25m8ivg.cloudfront.net/Documentos/631/60517600323/6316051760032306092023143514.pdf</v>
      </c>
      <c r="H7250" s="5" t="s">
        <v>15819</v>
      </c>
    </row>
    <row r="7251" spans="1:8" x14ac:dyDescent="0.25">
      <c r="A7251" s="2" t="s">
        <v>7280</v>
      </c>
      <c r="B7251" s="3"/>
      <c r="C7251" s="3"/>
      <c r="D7251" s="3"/>
      <c r="E7251" s="5" t="str">
        <f>HYPERLINK("https://dpmzos25m8ivg.cloudfront.net/Documentos/631/60521710308/6316052171030805092023201621.pdf","https://dpmzos25m8ivg.cloudfront.net/Documentos/631/60521710308/6316052171030805092023201621.pdf")</f>
        <v>https://dpmzos25m8ivg.cloudfront.net/Documentos/631/60521710308/6316052171030805092023201621.pdf</v>
      </c>
      <c r="F7251" s="5" t="str">
        <f>HYPERLINK("https://dpmzos25m8ivg.cloudfront.net/Documentos/631/60521710308/6316052171030805092023201840.pdf","https://dpmzos25m8ivg.cloudfront.net/Documentos/631/60521710308/6316052171030805092023201840.pdf")</f>
        <v>https://dpmzos25m8ivg.cloudfront.net/Documentos/631/60521710308/6316052171030805092023201840.pdf</v>
      </c>
      <c r="G7251" s="5" t="str">
        <f>HYPERLINK("https://dpmzos25m8ivg.cloudfront.net/Documentos/631/60521710308/6316052171030805092023201855.pdf","https://dpmzos25m8ivg.cloudfront.net/Documentos/631/60521710308/6316052171030805092023201855.pdf")</f>
        <v>https://dpmzos25m8ivg.cloudfront.net/Documentos/631/60521710308/6316052171030805092023201855.pdf</v>
      </c>
      <c r="H7251" s="5" t="s">
        <v>15820</v>
      </c>
    </row>
    <row r="7252" spans="1:8" x14ac:dyDescent="0.25">
      <c r="A7252" s="2" t="s">
        <v>7281</v>
      </c>
      <c r="B7252" s="3"/>
      <c r="C7252" s="3"/>
      <c r="D7252" s="3"/>
      <c r="E7252" s="5" t="str">
        <f>HYPERLINK("https://dpmzos25m8ivg.cloudfront.net/Documentos/631/60523423314/6316052342331410092023205558.pdf","https://dpmzos25m8ivg.cloudfront.net/Documentos/631/60523423314/6316052342331410092023205558.pdf")</f>
        <v>https://dpmzos25m8ivg.cloudfront.net/Documentos/631/60523423314/6316052342331410092023205558.pdf</v>
      </c>
      <c r="F7252" s="5" t="str">
        <f>HYPERLINK("https://dpmzos25m8ivg.cloudfront.net/Documentos/631/60523423314/6316052342331410092023205610.pdf","https://dpmzos25m8ivg.cloudfront.net/Documentos/631/60523423314/6316052342331410092023205610.pdf")</f>
        <v>https://dpmzos25m8ivg.cloudfront.net/Documentos/631/60523423314/6316052342331410092023205610.pdf</v>
      </c>
      <c r="G7252" s="5" t="str">
        <f>HYPERLINK("https://dpmzos25m8ivg.cloudfront.net/Documentos/631/60523423314/6316052342331410092023205618.pdf","https://dpmzos25m8ivg.cloudfront.net/Documentos/631/60523423314/6316052342331410092023205618.pdf")</f>
        <v>https://dpmzos25m8ivg.cloudfront.net/Documentos/631/60523423314/6316052342331410092023205618.pdf</v>
      </c>
      <c r="H7252" s="5" t="s">
        <v>15821</v>
      </c>
    </row>
    <row r="7253" spans="1:8" x14ac:dyDescent="0.25">
      <c r="A7253" s="2" t="s">
        <v>7282</v>
      </c>
      <c r="B7253" s="3"/>
      <c r="C7253" s="3"/>
      <c r="D7253" s="3"/>
      <c r="E7253" s="5" t="str">
        <f>HYPERLINK("https://dpmzos25m8ivg.cloudfront.net/Documentos/631/60548585300/6316054858530011092023134631.jpg","https://dpmzos25m8ivg.cloudfront.net/Documentos/631/60548585300/6316054858530011092023134631.jpg")</f>
        <v>https://dpmzos25m8ivg.cloudfront.net/Documentos/631/60548585300/6316054858530011092023134631.jpg</v>
      </c>
      <c r="F7253" s="5" t="str">
        <f>HYPERLINK("https://dpmzos25m8ivg.cloudfront.net/Documentos/631/60548585300/6316054858530011092023134650.jpg","https://dpmzos25m8ivg.cloudfront.net/Documentos/631/60548585300/6316054858530011092023134650.jpg")</f>
        <v>https://dpmzos25m8ivg.cloudfront.net/Documentos/631/60548585300/6316054858530011092023134650.jpg</v>
      </c>
      <c r="G7253" s="5" t="str">
        <f>HYPERLINK("https://dpmzos25m8ivg.cloudfront.net/Documentos/631/60548585300/6316054858530011092023134708.jpg","https://dpmzos25m8ivg.cloudfront.net/Documentos/631/60548585300/6316054858530011092023134708.jpg")</f>
        <v>https://dpmzos25m8ivg.cloudfront.net/Documentos/631/60548585300/6316054858530011092023134708.jpg</v>
      </c>
      <c r="H7253" s="5" t="s">
        <v>15822</v>
      </c>
    </row>
    <row r="7254" spans="1:8" x14ac:dyDescent="0.25">
      <c r="A7254" s="2" t="s">
        <v>7283</v>
      </c>
      <c r="B7254" s="3" t="s">
        <v>23</v>
      </c>
      <c r="C7254" s="3"/>
      <c r="D7254" s="3"/>
      <c r="E7254" s="5" t="str">
        <f>HYPERLINK("https://dpmzos25m8ivg.cloudfront.net/Documentos/631/60560160305/6316056016030508092023094108.pdf","https://dpmzos25m8ivg.cloudfront.net/Documentos/631/60560160305/6316056016030508092023094108.pdf")</f>
        <v>https://dpmzos25m8ivg.cloudfront.net/Documentos/631/60560160305/6316056016030508092023094108.pdf</v>
      </c>
      <c r="F7254" s="5" t="str">
        <f>HYPERLINK("https://dpmzos25m8ivg.cloudfront.net/Documentos/631/60560160305/6316056016030508092023094333.pdf","https://dpmzos25m8ivg.cloudfront.net/Documentos/631/60560160305/6316056016030508092023094333.pdf")</f>
        <v>https://dpmzos25m8ivg.cloudfront.net/Documentos/631/60560160305/6316056016030508092023094333.pdf</v>
      </c>
      <c r="G7254" s="5" t="str">
        <f>HYPERLINK("https://dpmzos25m8ivg.cloudfront.net/Documentos/631/60560160305/6316056016030508092023094402.pdf","https://dpmzos25m8ivg.cloudfront.net/Documentos/631/60560160305/6316056016030508092023094402.pdf")</f>
        <v>https://dpmzos25m8ivg.cloudfront.net/Documentos/631/60560160305/6316056016030508092023094402.pdf</v>
      </c>
      <c r="H7254" s="5" t="s">
        <v>15823</v>
      </c>
    </row>
    <row r="7255" spans="1:8" x14ac:dyDescent="0.25">
      <c r="A7255" s="2" t="s">
        <v>7284</v>
      </c>
      <c r="B7255" s="3" t="s">
        <v>23</v>
      </c>
      <c r="C7255" s="3"/>
      <c r="D7255" s="3"/>
      <c r="E7255" s="5" t="str">
        <f>HYPERLINK("https://dpmzos25m8ivg.cloudfront.net/Documentos/631/60565105302/6316056510530206092023161458.pdf","https://dpmzos25m8ivg.cloudfront.net/Documentos/631/60565105302/6316056510530206092023161458.pdf")</f>
        <v>https://dpmzos25m8ivg.cloudfront.net/Documentos/631/60565105302/6316056510530206092023161458.pdf</v>
      </c>
      <c r="F7255" s="5" t="str">
        <f>HYPERLINK("https://dpmzos25m8ivg.cloudfront.net/Documentos/631/60565105302/6316056510530206092023161510.pdf","https://dpmzos25m8ivg.cloudfront.net/Documentos/631/60565105302/6316056510530206092023161510.pdf")</f>
        <v>https://dpmzos25m8ivg.cloudfront.net/Documentos/631/60565105302/6316056510530206092023161510.pdf</v>
      </c>
      <c r="G7255" s="5" t="str">
        <f>HYPERLINK("https://dpmzos25m8ivg.cloudfront.net/Documentos/631/60565105302/6316056510530206092023161525.pdf","https://dpmzos25m8ivg.cloudfront.net/Documentos/631/60565105302/6316056510530206092023161525.pdf")</f>
        <v>https://dpmzos25m8ivg.cloudfront.net/Documentos/631/60565105302/6316056510530206092023161525.pdf</v>
      </c>
      <c r="H7255" s="5" t="s">
        <v>15824</v>
      </c>
    </row>
    <row r="7256" spans="1:8" x14ac:dyDescent="0.25">
      <c r="A7256" s="2" t="s">
        <v>7285</v>
      </c>
      <c r="B7256" s="3"/>
      <c r="C7256" s="3"/>
      <c r="D7256" s="3"/>
      <c r="E7256" s="5" t="str">
        <f>HYPERLINK("https://dpmzos25m8ivg.cloudfront.net/Documentos/631/60570898390/6316057089839009092023190906.pdf","https://dpmzos25m8ivg.cloudfront.net/Documentos/631/60570898390/6316057089839009092023190906.pdf")</f>
        <v>https://dpmzos25m8ivg.cloudfront.net/Documentos/631/60570898390/6316057089839009092023190906.pdf</v>
      </c>
      <c r="F7256" s="5" t="str">
        <f>HYPERLINK("https://dpmzos25m8ivg.cloudfront.net/Documentos/631/60570898390/6316057089839009092023190940.pdf","https://dpmzos25m8ivg.cloudfront.net/Documentos/631/60570898390/6316057089839009092023190940.pdf")</f>
        <v>https://dpmzos25m8ivg.cloudfront.net/Documentos/631/60570898390/6316057089839009092023190940.pdf</v>
      </c>
      <c r="G7256" s="5" t="str">
        <f>HYPERLINK("https://dpmzos25m8ivg.cloudfront.net/Documentos/631/60570898390/6316057089839009092023191001.pdf","https://dpmzos25m8ivg.cloudfront.net/Documentos/631/60570898390/6316057089839009092023191001.pdf")</f>
        <v>https://dpmzos25m8ivg.cloudfront.net/Documentos/631/60570898390/6316057089839009092023191001.pdf</v>
      </c>
      <c r="H7256" s="5" t="s">
        <v>15825</v>
      </c>
    </row>
    <row r="7257" spans="1:8" x14ac:dyDescent="0.25">
      <c r="A7257" s="2" t="s">
        <v>7286</v>
      </c>
      <c r="B7257" s="3" t="s">
        <v>308</v>
      </c>
      <c r="C7257" s="3"/>
      <c r="D7257" s="3"/>
      <c r="E7257" s="5" t="str">
        <f>HYPERLINK("https://dpmzos25m8ivg.cloudfront.net/Documentos/631/60579066320/6316057906632011092023123840.pdf","https://dpmzos25m8ivg.cloudfront.net/Documentos/631/60579066320/6316057906632011092023123840.pdf")</f>
        <v>https://dpmzos25m8ivg.cloudfront.net/Documentos/631/60579066320/6316057906632011092023123840.pdf</v>
      </c>
      <c r="F7257" s="5" t="str">
        <f>HYPERLINK("https://dpmzos25m8ivg.cloudfront.net/Documentos/631/60579066320/6316057906632011092023123910.pdf","https://dpmzos25m8ivg.cloudfront.net/Documentos/631/60579066320/6316057906632011092023123910.pdf")</f>
        <v>https://dpmzos25m8ivg.cloudfront.net/Documentos/631/60579066320/6316057906632011092023123910.pdf</v>
      </c>
      <c r="G7257" s="5" t="str">
        <f>HYPERLINK("https://dpmzos25m8ivg.cloudfront.net/Documentos/631/60579066320/6316057906632011092023123956.pdf","https://dpmzos25m8ivg.cloudfront.net/Documentos/631/60579066320/6316057906632011092023123956.pdf")</f>
        <v>https://dpmzos25m8ivg.cloudfront.net/Documentos/631/60579066320/6316057906632011092023123956.pdf</v>
      </c>
      <c r="H7257" s="5" t="s">
        <v>15826</v>
      </c>
    </row>
    <row r="7258" spans="1:8" x14ac:dyDescent="0.25">
      <c r="A7258" s="2" t="s">
        <v>7287</v>
      </c>
      <c r="B7258" s="3"/>
      <c r="C7258" s="3"/>
      <c r="D7258" s="3"/>
      <c r="E7258" s="5" t="str">
        <f>HYPERLINK("https://dpmzos25m8ivg.cloudfront.net/Documentos/631/60594716330/6316059471633011092023164741.pdf","https://dpmzos25m8ivg.cloudfront.net/Documentos/631/60594716330/6316059471633011092023164741.pdf")</f>
        <v>https://dpmzos25m8ivg.cloudfront.net/Documentos/631/60594716330/6316059471633011092023164741.pdf</v>
      </c>
      <c r="F7258" s="5" t="str">
        <f>HYPERLINK("https://dpmzos25m8ivg.cloudfront.net/Documentos/631/60594716330/6316059471633011092023164805.pdf","https://dpmzos25m8ivg.cloudfront.net/Documentos/631/60594716330/6316059471633011092023164805.pdf")</f>
        <v>https://dpmzos25m8ivg.cloudfront.net/Documentos/631/60594716330/6316059471633011092023164805.pdf</v>
      </c>
      <c r="G7258" s="5" t="str">
        <f>HYPERLINK("https://dpmzos25m8ivg.cloudfront.net/Documentos/631/60594716330/6316059471633011092023164830.pdf","https://dpmzos25m8ivg.cloudfront.net/Documentos/631/60594716330/6316059471633011092023164830.pdf")</f>
        <v>https://dpmzos25m8ivg.cloudfront.net/Documentos/631/60594716330/6316059471633011092023164830.pdf</v>
      </c>
      <c r="H7258" s="5" t="s">
        <v>15827</v>
      </c>
    </row>
    <row r="7259" spans="1:8" x14ac:dyDescent="0.25">
      <c r="A7259" s="2" t="s">
        <v>7288</v>
      </c>
      <c r="B7259" s="3"/>
      <c r="C7259" s="3"/>
      <c r="D7259" s="3"/>
      <c r="E7259" s="5" t="str">
        <f>HYPERLINK("https://dpmzos25m8ivg.cloudfront.net/Documentos/631/60609814370/6316060981437006092023201518.pdf","https://dpmzos25m8ivg.cloudfront.net/Documentos/631/60609814370/6316060981437006092023201518.pdf")</f>
        <v>https://dpmzos25m8ivg.cloudfront.net/Documentos/631/60609814370/6316060981437006092023201518.pdf</v>
      </c>
      <c r="F7259" s="5" t="str">
        <f>HYPERLINK("https://dpmzos25m8ivg.cloudfront.net/Documentos/631/60609814370/6316060981437006092023201547.pdf","https://dpmzos25m8ivg.cloudfront.net/Documentos/631/60609814370/6316060981437006092023201547.pdf")</f>
        <v>https://dpmzos25m8ivg.cloudfront.net/Documentos/631/60609814370/6316060981437006092023201547.pdf</v>
      </c>
      <c r="G7259" s="5" t="str">
        <f>HYPERLINK("https://dpmzos25m8ivg.cloudfront.net/Documentos/631/60609814370/6316060981437006092023201558.pdf","https://dpmzos25m8ivg.cloudfront.net/Documentos/631/60609814370/6316060981437006092023201558.pdf")</f>
        <v>https://dpmzos25m8ivg.cloudfront.net/Documentos/631/60609814370/6316060981437006092023201558.pdf</v>
      </c>
      <c r="H7259" s="5" t="s">
        <v>15828</v>
      </c>
    </row>
    <row r="7260" spans="1:8" x14ac:dyDescent="0.25">
      <c r="A7260" s="2" t="s">
        <v>7289</v>
      </c>
      <c r="B7260" s="3"/>
      <c r="C7260" s="3"/>
      <c r="D7260" s="3"/>
      <c r="E7260" s="5" t="str">
        <f>HYPERLINK("https://dpmzos25m8ivg.cloudfront.net/Documentos/631/60609954385/6316060995438505092023130717.pdf","https://dpmzos25m8ivg.cloudfront.net/Documentos/631/60609954385/6316060995438505092023130717.pdf")</f>
        <v>https://dpmzos25m8ivg.cloudfront.net/Documentos/631/60609954385/6316060995438505092023130717.pdf</v>
      </c>
      <c r="F7260" s="5" t="str">
        <f>HYPERLINK("https://dpmzos25m8ivg.cloudfront.net/Documentos/631/60609954385/6316060995438505092023130744.pdf","https://dpmzos25m8ivg.cloudfront.net/Documentos/631/60609954385/6316060995438505092023130744.pdf")</f>
        <v>https://dpmzos25m8ivg.cloudfront.net/Documentos/631/60609954385/6316060995438505092023130744.pdf</v>
      </c>
      <c r="G7260" s="5" t="str">
        <f>HYPERLINK("https://dpmzos25m8ivg.cloudfront.net/Documentos/631/60609954385/6316060995438505092023130814.pdf","https://dpmzos25m8ivg.cloudfront.net/Documentos/631/60609954385/6316060995438505092023130814.pdf")</f>
        <v>https://dpmzos25m8ivg.cloudfront.net/Documentos/631/60609954385/6316060995438505092023130814.pdf</v>
      </c>
      <c r="H7260" s="5" t="s">
        <v>15829</v>
      </c>
    </row>
    <row r="7261" spans="1:8" x14ac:dyDescent="0.25">
      <c r="A7261" s="2" t="s">
        <v>7290</v>
      </c>
      <c r="B7261" s="3"/>
      <c r="C7261" s="3"/>
      <c r="D7261" s="3"/>
      <c r="E7261" s="5" t="str">
        <f>HYPERLINK("https://dpmzos25m8ivg.cloudfront.net/Documentos/631/60620299380/6316062029938008092023100550.pdf","https://dpmzos25m8ivg.cloudfront.net/Documentos/631/60620299380/6316062029938008092023100550.pdf")</f>
        <v>https://dpmzos25m8ivg.cloudfront.net/Documentos/631/60620299380/6316062029938008092023100550.pdf</v>
      </c>
      <c r="F7261" s="5" t="str">
        <f>HYPERLINK("https://dpmzos25m8ivg.cloudfront.net/Documentos/631/60620299380/6316062029938008092023100557.pdf","https://dpmzos25m8ivg.cloudfront.net/Documentos/631/60620299380/6316062029938008092023100557.pdf")</f>
        <v>https://dpmzos25m8ivg.cloudfront.net/Documentos/631/60620299380/6316062029938008092023100557.pdf</v>
      </c>
      <c r="G7261" s="5" t="str">
        <f>HYPERLINK("https://dpmzos25m8ivg.cloudfront.net/Documentos/631/60620299380/6316062029938008092023100603.pdf","https://dpmzos25m8ivg.cloudfront.net/Documentos/631/60620299380/6316062029938008092023100603.pdf")</f>
        <v>https://dpmzos25m8ivg.cloudfront.net/Documentos/631/60620299380/6316062029938008092023100603.pdf</v>
      </c>
      <c r="H7261" s="5" t="s">
        <v>15830</v>
      </c>
    </row>
    <row r="7262" spans="1:8" x14ac:dyDescent="0.25">
      <c r="A7262" s="2" t="s">
        <v>7291</v>
      </c>
      <c r="B7262" s="3"/>
      <c r="C7262" s="3"/>
      <c r="D7262" s="3"/>
      <c r="E7262" s="5" t="str">
        <f>HYPERLINK("https://dpmzos25m8ivg.cloudfront.net/Documentos/631/60620538392/6316062053839206092023151016.pdf","https://dpmzos25m8ivg.cloudfront.net/Documentos/631/60620538392/6316062053839206092023151016.pdf")</f>
        <v>https://dpmzos25m8ivg.cloudfront.net/Documentos/631/60620538392/6316062053839206092023151016.pdf</v>
      </c>
      <c r="F7262" s="5" t="str">
        <f>HYPERLINK("https://dpmzos25m8ivg.cloudfront.net/Documentos/631/60620538392/6316062053839206092023151024.pdf","https://dpmzos25m8ivg.cloudfront.net/Documentos/631/60620538392/6316062053839206092023151024.pdf")</f>
        <v>https://dpmzos25m8ivg.cloudfront.net/Documentos/631/60620538392/6316062053839206092023151024.pdf</v>
      </c>
      <c r="G7262" s="5" t="str">
        <f>HYPERLINK("https://dpmzos25m8ivg.cloudfront.net/Documentos/631/60620538392/6316062053839206092023151033.pdf","https://dpmzos25m8ivg.cloudfront.net/Documentos/631/60620538392/6316062053839206092023151033.pdf")</f>
        <v>https://dpmzos25m8ivg.cloudfront.net/Documentos/631/60620538392/6316062053839206092023151033.pdf</v>
      </c>
      <c r="H7262" s="5" t="s">
        <v>15831</v>
      </c>
    </row>
    <row r="7263" spans="1:8" x14ac:dyDescent="0.25">
      <c r="A7263" s="2" t="s">
        <v>7292</v>
      </c>
      <c r="B7263" s="3"/>
      <c r="C7263" s="3"/>
      <c r="D7263" s="3"/>
      <c r="E7263" s="5" t="str">
        <f>HYPERLINK("https://dpmzos25m8ivg.cloudfront.net/Documentos/631/60621424323/6316062142432311092023102336.pdf","https://dpmzos25m8ivg.cloudfront.net/Documentos/631/60621424323/6316062142432311092023102336.pdf")</f>
        <v>https://dpmzos25m8ivg.cloudfront.net/Documentos/631/60621424323/6316062142432311092023102336.pdf</v>
      </c>
      <c r="F7263" s="5" t="str">
        <f>HYPERLINK("https://dpmzos25m8ivg.cloudfront.net/Documentos/631/60621424323/6316062142432311092023102350.pdf","https://dpmzos25m8ivg.cloudfront.net/Documentos/631/60621424323/6316062142432311092023102350.pdf")</f>
        <v>https://dpmzos25m8ivg.cloudfront.net/Documentos/631/60621424323/6316062142432311092023102350.pdf</v>
      </c>
      <c r="G7263" s="5" t="str">
        <f>HYPERLINK("https://dpmzos25m8ivg.cloudfront.net/Documentos/631/60621424323/6316062142432311092023102402.pdf","https://dpmzos25m8ivg.cloudfront.net/Documentos/631/60621424323/6316062142432311092023102402.pdf")</f>
        <v>https://dpmzos25m8ivg.cloudfront.net/Documentos/631/60621424323/6316062142432311092023102402.pdf</v>
      </c>
      <c r="H7263" s="5" t="s">
        <v>15832</v>
      </c>
    </row>
    <row r="7264" spans="1:8" x14ac:dyDescent="0.25">
      <c r="A7264" s="2" t="s">
        <v>7293</v>
      </c>
      <c r="B7264" s="3"/>
      <c r="C7264" s="3"/>
      <c r="D7264" s="3"/>
      <c r="E7264" s="5" t="str">
        <f>HYPERLINK("https://dpmzos25m8ivg.cloudfront.net/Documentos/631/60622401327/6316062240132708092023192320.pdf","https://dpmzos25m8ivg.cloudfront.net/Documentos/631/60622401327/6316062240132708092023192320.pdf")</f>
        <v>https://dpmzos25m8ivg.cloudfront.net/Documentos/631/60622401327/6316062240132708092023192320.pdf</v>
      </c>
      <c r="F7264" s="5" t="str">
        <f>HYPERLINK("https://dpmzos25m8ivg.cloudfront.net/Documentos/631/60622401327/6316062240132708092023192331.pdf","https://dpmzos25m8ivg.cloudfront.net/Documentos/631/60622401327/6316062240132708092023192331.pdf")</f>
        <v>https://dpmzos25m8ivg.cloudfront.net/Documentos/631/60622401327/6316062240132708092023192331.pdf</v>
      </c>
      <c r="G7264" s="5" t="str">
        <f>HYPERLINK("https://dpmzos25m8ivg.cloudfront.net/Documentos/631/60622401327/6316062240132708092023192342.pdf","https://dpmzos25m8ivg.cloudfront.net/Documentos/631/60622401327/6316062240132708092023192342.pdf")</f>
        <v>https://dpmzos25m8ivg.cloudfront.net/Documentos/631/60622401327/6316062240132708092023192342.pdf</v>
      </c>
      <c r="H7264" s="5" t="s">
        <v>15833</v>
      </c>
    </row>
    <row r="7265" spans="1:8" x14ac:dyDescent="0.25">
      <c r="A7265" s="2" t="s">
        <v>7294</v>
      </c>
      <c r="B7265" s="3"/>
      <c r="C7265" s="3"/>
      <c r="D7265" s="3"/>
      <c r="E7265" s="5" t="str">
        <f>HYPERLINK("https://dpmzos25m8ivg.cloudfront.net/Documentos/631/60624796310/6316062479631013092023212346.pdf","https://dpmzos25m8ivg.cloudfront.net/Documentos/631/60624796310/6316062479631013092023212346.pdf")</f>
        <v>https://dpmzos25m8ivg.cloudfront.net/Documentos/631/60624796310/6316062479631013092023212346.pdf</v>
      </c>
      <c r="F7265" s="5" t="str">
        <f>HYPERLINK("https://dpmzos25m8ivg.cloudfront.net/Documentos/631/60624796310/6316062479631013092023212357.pdf","https://dpmzos25m8ivg.cloudfront.net/Documentos/631/60624796310/6316062479631013092023212357.pdf")</f>
        <v>https://dpmzos25m8ivg.cloudfront.net/Documentos/631/60624796310/6316062479631013092023212357.pdf</v>
      </c>
      <c r="G7265" s="5" t="str">
        <f>HYPERLINK("https://dpmzos25m8ivg.cloudfront.net/Documentos/631/60624796310/6316062479631013092023212411.pdf","https://dpmzos25m8ivg.cloudfront.net/Documentos/631/60624796310/6316062479631013092023212411.pdf")</f>
        <v>https://dpmzos25m8ivg.cloudfront.net/Documentos/631/60624796310/6316062479631013092023212411.pdf</v>
      </c>
      <c r="H7265" s="5" t="s">
        <v>15834</v>
      </c>
    </row>
    <row r="7266" spans="1:8" x14ac:dyDescent="0.25">
      <c r="A7266" s="2" t="s">
        <v>7295</v>
      </c>
      <c r="B7266" s="3"/>
      <c r="C7266" s="3"/>
      <c r="D7266" s="3"/>
      <c r="E7266" s="5" t="str">
        <f>HYPERLINK("https://dpmzos25m8ivg.cloudfront.net/Documentos/631/60635898306/6316063589830611092023140434.pdf","https://dpmzos25m8ivg.cloudfront.net/Documentos/631/60635898306/6316063589830611092023140434.pdf")</f>
        <v>https://dpmzos25m8ivg.cloudfront.net/Documentos/631/60635898306/6316063589830611092023140434.pdf</v>
      </c>
      <c r="F7266" s="5" t="str">
        <f>HYPERLINK("https://dpmzos25m8ivg.cloudfront.net/Documentos/631/60635898306/6316063589830611092023140450.pdf","https://dpmzos25m8ivg.cloudfront.net/Documentos/631/60635898306/6316063589830611092023140450.pdf")</f>
        <v>https://dpmzos25m8ivg.cloudfront.net/Documentos/631/60635898306/6316063589830611092023140450.pdf</v>
      </c>
      <c r="G7266" s="5" t="str">
        <f>HYPERLINK("https://dpmzos25m8ivg.cloudfront.net/Documentos/631/60635898306/6316063589830611092023140500.pdf","https://dpmzos25m8ivg.cloudfront.net/Documentos/631/60635898306/6316063589830611092023140500.pdf")</f>
        <v>https://dpmzos25m8ivg.cloudfront.net/Documentos/631/60635898306/6316063589830611092023140500.pdf</v>
      </c>
      <c r="H7266" s="5" t="s">
        <v>15835</v>
      </c>
    </row>
    <row r="7267" spans="1:8" x14ac:dyDescent="0.25">
      <c r="A7267" s="2" t="s">
        <v>7296</v>
      </c>
      <c r="B7267" s="3"/>
      <c r="C7267" s="3"/>
      <c r="D7267" s="3"/>
      <c r="E7267" s="5" t="str">
        <f>HYPERLINK("https://dpmzos25m8ivg.cloudfront.net/Documentos/631/60643530312/6316064353031210092023132645.pdf","https://dpmzos25m8ivg.cloudfront.net/Documentos/631/60643530312/6316064353031210092023132645.pdf")</f>
        <v>https://dpmzos25m8ivg.cloudfront.net/Documentos/631/60643530312/6316064353031210092023132645.pdf</v>
      </c>
      <c r="F7267" s="5" t="str">
        <f>HYPERLINK("https://dpmzos25m8ivg.cloudfront.net/Documentos/631/60643530312/6316064353031210092023132948.pdf","https://dpmzos25m8ivg.cloudfront.net/Documentos/631/60643530312/6316064353031210092023132948.pdf")</f>
        <v>https://dpmzos25m8ivg.cloudfront.net/Documentos/631/60643530312/6316064353031210092023132948.pdf</v>
      </c>
      <c r="G7267" s="5" t="str">
        <f>HYPERLINK("https://dpmzos25m8ivg.cloudfront.net/Documentos/631/60643530312/6316064353031210092023133011.pdf","https://dpmzos25m8ivg.cloudfront.net/Documentos/631/60643530312/6316064353031210092023133011.pdf")</f>
        <v>https://dpmzos25m8ivg.cloudfront.net/Documentos/631/60643530312/6316064353031210092023133011.pdf</v>
      </c>
      <c r="H7267" s="5" t="s">
        <v>15836</v>
      </c>
    </row>
    <row r="7268" spans="1:8" x14ac:dyDescent="0.25">
      <c r="A7268" s="2" t="s">
        <v>7297</v>
      </c>
      <c r="B7268" s="3" t="s">
        <v>90</v>
      </c>
      <c r="C7268" s="3"/>
      <c r="D7268" s="3"/>
      <c r="E7268" s="5" t="str">
        <f>HYPERLINK("https://dpmzos25m8ivg.cloudfront.net/Documentos/631/60660974312/6316066097431209092023120107.pdf","https://dpmzos25m8ivg.cloudfront.net/Documentos/631/60660974312/6316066097431209092023120107.pdf")</f>
        <v>https://dpmzos25m8ivg.cloudfront.net/Documentos/631/60660974312/6316066097431209092023120107.pdf</v>
      </c>
      <c r="F7268" s="5" t="str">
        <f>HYPERLINK("https://dpmzos25m8ivg.cloudfront.net/Documentos/631/60660974312/6316066097431209092023120116.pdf","https://dpmzos25m8ivg.cloudfront.net/Documentos/631/60660974312/6316066097431209092023120116.pdf")</f>
        <v>https://dpmzos25m8ivg.cloudfront.net/Documentos/631/60660974312/6316066097431209092023120116.pdf</v>
      </c>
      <c r="G7268" s="5" t="str">
        <f>HYPERLINK("https://dpmzos25m8ivg.cloudfront.net/Documentos/631/60660974312/6316066097431209092023120126.pdf","https://dpmzos25m8ivg.cloudfront.net/Documentos/631/60660974312/6316066097431209092023120126.pdf")</f>
        <v>https://dpmzos25m8ivg.cloudfront.net/Documentos/631/60660974312/6316066097431209092023120126.pdf</v>
      </c>
      <c r="H7268" s="5" t="s">
        <v>15837</v>
      </c>
    </row>
    <row r="7269" spans="1:8" x14ac:dyDescent="0.25">
      <c r="A7269" s="2" t="s">
        <v>7298</v>
      </c>
      <c r="B7269" s="3" t="s">
        <v>23</v>
      </c>
      <c r="C7269" s="3"/>
      <c r="D7269" s="3"/>
      <c r="E7269" s="5" t="str">
        <f>HYPERLINK("https://dpmzos25m8ivg.cloudfront.net/Documentos/631/60693911360/6316069391136011092023121850.pdf","https://dpmzos25m8ivg.cloudfront.net/Documentos/631/60693911360/6316069391136011092023121850.pdf")</f>
        <v>https://dpmzos25m8ivg.cloudfront.net/Documentos/631/60693911360/6316069391136011092023121850.pdf</v>
      </c>
      <c r="F7269" s="5" t="str">
        <f>HYPERLINK("https://dpmzos25m8ivg.cloudfront.net/Documentos/631/60693911360/6316069391136011092023121857.pdf","https://dpmzos25m8ivg.cloudfront.net/Documentos/631/60693911360/6316069391136011092023121857.pdf")</f>
        <v>https://dpmzos25m8ivg.cloudfront.net/Documentos/631/60693911360/6316069391136011092023121857.pdf</v>
      </c>
      <c r="G7269" s="5" t="str">
        <f>HYPERLINK("https://dpmzos25m8ivg.cloudfront.net/Documentos/631/60693911360/6316069391136011092023121905.pdf","https://dpmzos25m8ivg.cloudfront.net/Documentos/631/60693911360/6316069391136011092023121905.pdf")</f>
        <v>https://dpmzos25m8ivg.cloudfront.net/Documentos/631/60693911360/6316069391136011092023121905.pdf</v>
      </c>
      <c r="H7269" s="5" t="s">
        <v>15838</v>
      </c>
    </row>
    <row r="7270" spans="1:8" x14ac:dyDescent="0.25">
      <c r="A7270" s="2" t="s">
        <v>7299</v>
      </c>
      <c r="B7270" s="3"/>
      <c r="C7270" s="3"/>
      <c r="D7270" s="3"/>
      <c r="E7270" s="5" t="str">
        <f>HYPERLINK("https://dpmzos25m8ivg.cloudfront.net/Documentos/631/60696604396/6316069660439606092023174928.pdf","https://dpmzos25m8ivg.cloudfront.net/Documentos/631/60696604396/6316069660439606092023174928.pdf")</f>
        <v>https://dpmzos25m8ivg.cloudfront.net/Documentos/631/60696604396/6316069660439606092023174928.pdf</v>
      </c>
      <c r="F7270" s="5" t="str">
        <f>HYPERLINK("https://dpmzos25m8ivg.cloudfront.net/Documentos/631/60696604396/6316069660439606092023174938.pdf","https://dpmzos25m8ivg.cloudfront.net/Documentos/631/60696604396/6316069660439606092023174938.pdf")</f>
        <v>https://dpmzos25m8ivg.cloudfront.net/Documentos/631/60696604396/6316069660439606092023174938.pdf</v>
      </c>
      <c r="G7270" s="5" t="str">
        <f>HYPERLINK("https://dpmzos25m8ivg.cloudfront.net/Documentos/631/60696604396/6316069660439606092023174953.pdf","https://dpmzos25m8ivg.cloudfront.net/Documentos/631/60696604396/6316069660439606092023174953.pdf")</f>
        <v>https://dpmzos25m8ivg.cloudfront.net/Documentos/631/60696604396/6316069660439606092023174953.pdf</v>
      </c>
      <c r="H7270" s="5" t="s">
        <v>15839</v>
      </c>
    </row>
    <row r="7271" spans="1:8" x14ac:dyDescent="0.25">
      <c r="A7271" s="2" t="s">
        <v>7300</v>
      </c>
      <c r="B7271" s="3" t="s">
        <v>308</v>
      </c>
      <c r="C7271" s="3"/>
      <c r="D7271" s="3"/>
      <c r="E7271" s="5" t="str">
        <f>HYPERLINK("https://dpmzos25m8ivg.cloudfront.net/Documentos/631/60700157115/6316070015711511092023000749.jpeg","https://dpmzos25m8ivg.cloudfront.net/Documentos/631/60700157115/6316070015711511092023000749.jpeg")</f>
        <v>https://dpmzos25m8ivg.cloudfront.net/Documentos/631/60700157115/6316070015711511092023000749.jpeg</v>
      </c>
      <c r="F7271" s="5" t="str">
        <f>HYPERLINK("https://dpmzos25m8ivg.cloudfront.net/Documentos/631/60700157115/6316070015711511092023000803.jpeg","https://dpmzos25m8ivg.cloudfront.net/Documentos/631/60700157115/6316070015711511092023000803.jpeg")</f>
        <v>https://dpmzos25m8ivg.cloudfront.net/Documentos/631/60700157115/6316070015711511092023000803.jpeg</v>
      </c>
      <c r="G7271" s="5" t="str">
        <f>HYPERLINK("https://dpmzos25m8ivg.cloudfront.net/Documentos/631/60700157115/6316070015711511092023000829.jpeg","https://dpmzos25m8ivg.cloudfront.net/Documentos/631/60700157115/6316070015711511092023000829.jpeg")</f>
        <v>https://dpmzos25m8ivg.cloudfront.net/Documentos/631/60700157115/6316070015711511092023000829.jpeg</v>
      </c>
      <c r="H7271" s="5" t="s">
        <v>15840</v>
      </c>
    </row>
    <row r="7272" spans="1:8" x14ac:dyDescent="0.25">
      <c r="A7272" s="2" t="s">
        <v>7301</v>
      </c>
      <c r="B7272" s="3"/>
      <c r="C7272" s="3"/>
      <c r="D7272" s="3"/>
      <c r="E7272" s="5" t="str">
        <f>HYPERLINK("https://dpmzos25m8ivg.cloudfront.net/Documentos/631/60700345388/6316070034538811092023150050.pdf","https://dpmzos25m8ivg.cloudfront.net/Documentos/631/60700345388/6316070034538811092023150050.pdf")</f>
        <v>https://dpmzos25m8ivg.cloudfront.net/Documentos/631/60700345388/6316070034538811092023150050.pdf</v>
      </c>
      <c r="F7272" s="5" t="str">
        <f>HYPERLINK("https://dpmzos25m8ivg.cloudfront.net/Documentos/631/60700345388/6316070034538811092023150103.pdf","https://dpmzos25m8ivg.cloudfront.net/Documentos/631/60700345388/6316070034538811092023150103.pdf")</f>
        <v>https://dpmzos25m8ivg.cloudfront.net/Documentos/631/60700345388/6316070034538811092023150103.pdf</v>
      </c>
      <c r="G7272" s="5" t="str">
        <f>HYPERLINK("https://dpmzos25m8ivg.cloudfront.net/Documentos/631/60700345388/6316070034538811092023150119.pdf","https://dpmzos25m8ivg.cloudfront.net/Documentos/631/60700345388/6316070034538811092023150119.pdf")</f>
        <v>https://dpmzos25m8ivg.cloudfront.net/Documentos/631/60700345388/6316070034538811092023150119.pdf</v>
      </c>
      <c r="H7272" s="5" t="s">
        <v>15841</v>
      </c>
    </row>
    <row r="7273" spans="1:8" x14ac:dyDescent="0.25">
      <c r="A7273" s="2" t="s">
        <v>7302</v>
      </c>
      <c r="B7273" s="3"/>
      <c r="C7273" s="3"/>
      <c r="D7273" s="3"/>
      <c r="E7273" s="5" t="str">
        <f>HYPERLINK("https://dpmzos25m8ivg.cloudfront.net/Documentos/631/60704930366/6316070493036611092023150905.pdf","https://dpmzos25m8ivg.cloudfront.net/Documentos/631/60704930366/6316070493036611092023150905.pdf")</f>
        <v>https://dpmzos25m8ivg.cloudfront.net/Documentos/631/60704930366/6316070493036611092023150905.pdf</v>
      </c>
      <c r="F7273" s="5" t="str">
        <f>HYPERLINK("https://dpmzos25m8ivg.cloudfront.net/Documentos/631/60704930366/6316070493036611092023150920.pdf","https://dpmzos25m8ivg.cloudfront.net/Documentos/631/60704930366/6316070493036611092023150920.pdf")</f>
        <v>https://dpmzos25m8ivg.cloudfront.net/Documentos/631/60704930366/6316070493036611092023150920.pdf</v>
      </c>
      <c r="G7273" s="5" t="str">
        <f>HYPERLINK("https://dpmzos25m8ivg.cloudfront.net/Documentos/631/60704930366/6316070493036611092023150934.pdf","https://dpmzos25m8ivg.cloudfront.net/Documentos/631/60704930366/6316070493036611092023150934.pdf")</f>
        <v>https://dpmzos25m8ivg.cloudfront.net/Documentos/631/60704930366/6316070493036611092023150934.pdf</v>
      </c>
      <c r="H7273" s="5" t="s">
        <v>15842</v>
      </c>
    </row>
    <row r="7274" spans="1:8" x14ac:dyDescent="0.25">
      <c r="A7274" s="2" t="s">
        <v>7303</v>
      </c>
      <c r="B7274" s="3"/>
      <c r="C7274" s="3"/>
      <c r="D7274" s="3"/>
      <c r="E7274" s="5" t="str">
        <f>HYPERLINK("https://dpmzos25m8ivg.cloudfront.net/Documentos/631/60712781390/6316071278139006092023082225.pdf","https://dpmzos25m8ivg.cloudfront.net/Documentos/631/60712781390/6316071278139006092023082225.pdf")</f>
        <v>https://dpmzos25m8ivg.cloudfront.net/Documentos/631/60712781390/6316071278139006092023082225.pdf</v>
      </c>
      <c r="F7274" s="5" t="str">
        <f>HYPERLINK("https://dpmzos25m8ivg.cloudfront.net/Documentos/631/60712781390/6316071278139006092023082250.pdf","https://dpmzos25m8ivg.cloudfront.net/Documentos/631/60712781390/6316071278139006092023082250.pdf")</f>
        <v>https://dpmzos25m8ivg.cloudfront.net/Documentos/631/60712781390/6316071278139006092023082250.pdf</v>
      </c>
      <c r="G7274" s="5" t="str">
        <f>HYPERLINK("https://dpmzos25m8ivg.cloudfront.net/Documentos/631/60712781390/6316071278139006092023082317.pdf","https://dpmzos25m8ivg.cloudfront.net/Documentos/631/60712781390/6316071278139006092023082317.pdf")</f>
        <v>https://dpmzos25m8ivg.cloudfront.net/Documentos/631/60712781390/6316071278139006092023082317.pdf</v>
      </c>
      <c r="H7274" s="5" t="s">
        <v>15843</v>
      </c>
    </row>
    <row r="7275" spans="1:8" x14ac:dyDescent="0.25">
      <c r="A7275" s="2" t="s">
        <v>7304</v>
      </c>
      <c r="B7275" s="3"/>
      <c r="C7275" s="3"/>
      <c r="D7275" s="3"/>
      <c r="E7275" s="5" t="str">
        <f>HYPERLINK("https://dpmzos25m8ivg.cloudfront.net/Documentos/631/60718778308/6316071877830808092023231257.pdf","https://dpmzos25m8ivg.cloudfront.net/Documentos/631/60718778308/6316071877830808092023231257.pdf")</f>
        <v>https://dpmzos25m8ivg.cloudfront.net/Documentos/631/60718778308/6316071877830808092023231257.pdf</v>
      </c>
      <c r="F7275" s="5" t="str">
        <f>HYPERLINK("https://dpmzos25m8ivg.cloudfront.net/Documentos/631/60718778308/6316071877830808092023231311.pdf","https://dpmzos25m8ivg.cloudfront.net/Documentos/631/60718778308/6316071877830808092023231311.pdf")</f>
        <v>https://dpmzos25m8ivg.cloudfront.net/Documentos/631/60718778308/6316071877830808092023231311.pdf</v>
      </c>
      <c r="G7275" s="5" t="str">
        <f>HYPERLINK("https://dpmzos25m8ivg.cloudfront.net/Documentos/631/60718778308/6316071877830808092023231320.pdf","https://dpmzos25m8ivg.cloudfront.net/Documentos/631/60718778308/6316071877830808092023231320.pdf")</f>
        <v>https://dpmzos25m8ivg.cloudfront.net/Documentos/631/60718778308/6316071877830808092023231320.pdf</v>
      </c>
      <c r="H7275" s="5" t="s">
        <v>15844</v>
      </c>
    </row>
    <row r="7276" spans="1:8" x14ac:dyDescent="0.25">
      <c r="A7276" s="2" t="s">
        <v>7305</v>
      </c>
      <c r="B7276" s="3"/>
      <c r="C7276" s="3"/>
      <c r="D7276" s="3"/>
      <c r="E7276" s="5" t="str">
        <f>HYPERLINK("https://dpmzos25m8ivg.cloudfront.net/Documentos/631/60725332301/6316072533230111092023141259.pdf","https://dpmzos25m8ivg.cloudfront.net/Documentos/631/60725332301/6316072533230111092023141259.pdf")</f>
        <v>https://dpmzos25m8ivg.cloudfront.net/Documentos/631/60725332301/6316072533230111092023141259.pdf</v>
      </c>
      <c r="F7276" s="5" t="str">
        <f>HYPERLINK("https://dpmzos25m8ivg.cloudfront.net/Documentos/631/60725332301/6316072533230111092023141309.pdf","https://dpmzos25m8ivg.cloudfront.net/Documentos/631/60725332301/6316072533230111092023141309.pdf")</f>
        <v>https://dpmzos25m8ivg.cloudfront.net/Documentos/631/60725332301/6316072533230111092023141309.pdf</v>
      </c>
      <c r="G7276" s="5" t="str">
        <f>HYPERLINK("https://dpmzos25m8ivg.cloudfront.net/Documentos/631/60725332301/6316072533230111092023141318.pdf","https://dpmzos25m8ivg.cloudfront.net/Documentos/631/60725332301/6316072533230111092023141318.pdf")</f>
        <v>https://dpmzos25m8ivg.cloudfront.net/Documentos/631/60725332301/6316072533230111092023141318.pdf</v>
      </c>
      <c r="H7276" s="5" t="s">
        <v>15845</v>
      </c>
    </row>
    <row r="7277" spans="1:8" x14ac:dyDescent="0.25">
      <c r="A7277" s="2" t="s">
        <v>7306</v>
      </c>
      <c r="B7277" s="3"/>
      <c r="C7277" s="3"/>
      <c r="D7277" s="3"/>
      <c r="E7277" s="5" t="str">
        <f>HYPERLINK("https://dpmzos25m8ivg.cloudfront.net/Documentos/631/60736777318/6316073677731811092023160213.pdf","https://dpmzos25m8ivg.cloudfront.net/Documentos/631/60736777318/6316073677731811092023160213.pdf")</f>
        <v>https://dpmzos25m8ivg.cloudfront.net/Documentos/631/60736777318/6316073677731811092023160213.pdf</v>
      </c>
      <c r="F7277" s="5" t="str">
        <f>HYPERLINK("https://dpmzos25m8ivg.cloudfront.net/Documentos/631/60736777318/6316073677731811092023160243.pdf","https://dpmzos25m8ivg.cloudfront.net/Documentos/631/60736777318/6316073677731811092023160243.pdf")</f>
        <v>https://dpmzos25m8ivg.cloudfront.net/Documentos/631/60736777318/6316073677731811092023160243.pdf</v>
      </c>
      <c r="G7277" s="5" t="str">
        <f>HYPERLINK("https://dpmzos25m8ivg.cloudfront.net/Documentos/631/60736777318/6316073677731811092023160259.pdf","https://dpmzos25m8ivg.cloudfront.net/Documentos/631/60736777318/6316073677731811092023160259.pdf")</f>
        <v>https://dpmzos25m8ivg.cloudfront.net/Documentos/631/60736777318/6316073677731811092023160259.pdf</v>
      </c>
      <c r="H7277" s="5" t="s">
        <v>15846</v>
      </c>
    </row>
    <row r="7278" spans="1:8" x14ac:dyDescent="0.25">
      <c r="A7278" s="2" t="s">
        <v>7307</v>
      </c>
      <c r="B7278" s="3"/>
      <c r="C7278" s="3"/>
      <c r="D7278" s="3"/>
      <c r="E7278" s="5" t="str">
        <f>HYPERLINK("https://dpmzos25m8ivg.cloudfront.net/Documentos/631/60737528303/6316073752830310092023170302.jpg","https://dpmzos25m8ivg.cloudfront.net/Documentos/631/60737528303/6316073752830310092023170302.jpg")</f>
        <v>https://dpmzos25m8ivg.cloudfront.net/Documentos/631/60737528303/6316073752830310092023170302.jpg</v>
      </c>
      <c r="F7278" s="5" t="str">
        <f>HYPERLINK("https://dpmzos25m8ivg.cloudfront.net/Documentos/631/60737528303/6316073752830310092023170334.jpg","https://dpmzos25m8ivg.cloudfront.net/Documentos/631/60737528303/6316073752830310092023170334.jpg")</f>
        <v>https://dpmzos25m8ivg.cloudfront.net/Documentos/631/60737528303/6316073752830310092023170334.jpg</v>
      </c>
      <c r="G7278" s="5" t="str">
        <f>HYPERLINK("https://dpmzos25m8ivg.cloudfront.net/Documentos/631/60737528303/6316073752830310092023170347.jpg","https://dpmzos25m8ivg.cloudfront.net/Documentos/631/60737528303/6316073752830310092023170347.jpg")</f>
        <v>https://dpmzos25m8ivg.cloudfront.net/Documentos/631/60737528303/6316073752830310092023170347.jpg</v>
      </c>
      <c r="H7278" s="5" t="s">
        <v>15847</v>
      </c>
    </row>
    <row r="7279" spans="1:8" x14ac:dyDescent="0.25">
      <c r="A7279" s="2" t="s">
        <v>7308</v>
      </c>
      <c r="B7279" s="3"/>
      <c r="C7279" s="3"/>
      <c r="D7279" s="3"/>
      <c r="E7279" s="5" t="str">
        <f>HYPERLINK("https://dpmzos25m8ivg.cloudfront.net/Documentos/631/60740649388/6316074064938805092023144931.pdf","https://dpmzos25m8ivg.cloudfront.net/Documentos/631/60740649388/6316074064938805092023144931.pdf")</f>
        <v>https://dpmzos25m8ivg.cloudfront.net/Documentos/631/60740649388/6316074064938805092023144931.pdf</v>
      </c>
      <c r="F7279" s="5" t="str">
        <f>HYPERLINK("https://dpmzos25m8ivg.cloudfront.net/Documentos/631/60740649388/6316074064938805092023144947.pdf","https://dpmzos25m8ivg.cloudfront.net/Documentos/631/60740649388/6316074064938805092023144947.pdf")</f>
        <v>https://dpmzos25m8ivg.cloudfront.net/Documentos/631/60740649388/6316074064938805092023144947.pdf</v>
      </c>
      <c r="G7279" s="5" t="str">
        <f>HYPERLINK("https://dpmzos25m8ivg.cloudfront.net/Documentos/631/60740649388/6316074064938805092023145010.pdf","https://dpmzos25m8ivg.cloudfront.net/Documentos/631/60740649388/6316074064938805092023145010.pdf")</f>
        <v>https://dpmzos25m8ivg.cloudfront.net/Documentos/631/60740649388/6316074064938805092023145010.pdf</v>
      </c>
      <c r="H7279" s="5" t="s">
        <v>15848</v>
      </c>
    </row>
    <row r="7280" spans="1:8" x14ac:dyDescent="0.25">
      <c r="A7280" s="2" t="s">
        <v>7309</v>
      </c>
      <c r="B7280" s="3"/>
      <c r="C7280" s="3"/>
      <c r="D7280" s="3"/>
      <c r="E7280" s="5" t="str">
        <f>HYPERLINK("https://dpmzos25m8ivg.cloudfront.net/Documentos/631/60749253053/6316074925305305092023142429.pdf","https://dpmzos25m8ivg.cloudfront.net/Documentos/631/60749253053/6316074925305305092023142429.pdf")</f>
        <v>https://dpmzos25m8ivg.cloudfront.net/Documentos/631/60749253053/6316074925305305092023142429.pdf</v>
      </c>
      <c r="F7280" s="5" t="str">
        <f>HYPERLINK("https://dpmzos25m8ivg.cloudfront.net/Documentos/631/60749253053/6316074925305305092023142443.pdf","https://dpmzos25m8ivg.cloudfront.net/Documentos/631/60749253053/6316074925305305092023142443.pdf")</f>
        <v>https://dpmzos25m8ivg.cloudfront.net/Documentos/631/60749253053/6316074925305305092023142443.pdf</v>
      </c>
      <c r="G7280" s="5" t="str">
        <f>HYPERLINK("https://dpmzos25m8ivg.cloudfront.net/Documentos/631/60749253053/6316074925305305092023142458.pdf","https://dpmzos25m8ivg.cloudfront.net/Documentos/631/60749253053/6316074925305305092023142458.pdf")</f>
        <v>https://dpmzos25m8ivg.cloudfront.net/Documentos/631/60749253053/6316074925305305092023142458.pdf</v>
      </c>
      <c r="H7280" s="5" t="s">
        <v>15849</v>
      </c>
    </row>
    <row r="7281" spans="1:8" x14ac:dyDescent="0.25">
      <c r="A7281" s="2" t="s">
        <v>7310</v>
      </c>
      <c r="B7281" s="3"/>
      <c r="C7281" s="3"/>
      <c r="D7281" s="3"/>
      <c r="E7281" s="5" t="str">
        <f>HYPERLINK("https://dpmzos25m8ivg.cloudfront.net/Documentos/631/60756827329/6316075682732907092023103736.pdf","https://dpmzos25m8ivg.cloudfront.net/Documentos/631/60756827329/6316075682732907092023103736.pdf")</f>
        <v>https://dpmzos25m8ivg.cloudfront.net/Documentos/631/60756827329/6316075682732907092023103736.pdf</v>
      </c>
      <c r="F7281" s="5" t="str">
        <f>HYPERLINK("https://dpmzos25m8ivg.cloudfront.net/Documentos/631/60756827329/6316075682732907092023103747.pdf","https://dpmzos25m8ivg.cloudfront.net/Documentos/631/60756827329/6316075682732907092023103747.pdf")</f>
        <v>https://dpmzos25m8ivg.cloudfront.net/Documentos/631/60756827329/6316075682732907092023103747.pdf</v>
      </c>
      <c r="G7281" s="5" t="str">
        <f>HYPERLINK("https://dpmzos25m8ivg.cloudfront.net/Documentos/631/60756827329/6316075682732907092023103757.pdf","https://dpmzos25m8ivg.cloudfront.net/Documentos/631/60756827329/6316075682732907092023103757.pdf")</f>
        <v>https://dpmzos25m8ivg.cloudfront.net/Documentos/631/60756827329/6316075682732907092023103757.pdf</v>
      </c>
      <c r="H7281" s="5" t="s">
        <v>15850</v>
      </c>
    </row>
    <row r="7282" spans="1:8" x14ac:dyDescent="0.25">
      <c r="A7282" s="2" t="s">
        <v>7311</v>
      </c>
      <c r="B7282" s="3" t="s">
        <v>308</v>
      </c>
      <c r="C7282" s="3"/>
      <c r="D7282" s="3"/>
      <c r="E7282" s="5" t="str">
        <f>HYPERLINK("https://dpmzos25m8ivg.cloudfront.net/Documentos/631/60776651340/6316077665134011092023163106.pdf","https://dpmzos25m8ivg.cloudfront.net/Documentos/631/60776651340/6316077665134011092023163106.pdf")</f>
        <v>https://dpmzos25m8ivg.cloudfront.net/Documentos/631/60776651340/6316077665134011092023163106.pdf</v>
      </c>
      <c r="F7282" s="5" t="str">
        <f>HYPERLINK("https://dpmzos25m8ivg.cloudfront.net/Documentos/631/60776651340/6316077665134011092023163116.pdf","https://dpmzos25m8ivg.cloudfront.net/Documentos/631/60776651340/6316077665134011092023163116.pdf")</f>
        <v>https://dpmzos25m8ivg.cloudfront.net/Documentos/631/60776651340/6316077665134011092023163116.pdf</v>
      </c>
      <c r="G7282" s="5" t="str">
        <f>HYPERLINK("https://dpmzos25m8ivg.cloudfront.net/Documentos/631/60776651340/6316077665134011092023163140.pdf","https://dpmzos25m8ivg.cloudfront.net/Documentos/631/60776651340/6316077665134011092023163140.pdf")</f>
        <v>https://dpmzos25m8ivg.cloudfront.net/Documentos/631/60776651340/6316077665134011092023163140.pdf</v>
      </c>
      <c r="H7282" s="5" t="s">
        <v>9010</v>
      </c>
    </row>
    <row r="7283" spans="1:8" x14ac:dyDescent="0.25">
      <c r="A7283" s="2" t="s">
        <v>7312</v>
      </c>
      <c r="B7283" s="3"/>
      <c r="C7283" s="3"/>
      <c r="D7283" s="3"/>
      <c r="E7283" s="5" t="str">
        <f>HYPERLINK("https://dpmzos25m8ivg.cloudfront.net/Documentos/631/60784796360/6316078479636005092023170525.pdf","https://dpmzos25m8ivg.cloudfront.net/Documentos/631/60784796360/6316078479636005092023170525.pdf")</f>
        <v>https://dpmzos25m8ivg.cloudfront.net/Documentos/631/60784796360/6316078479636005092023170525.pdf</v>
      </c>
      <c r="F7283" s="5" t="str">
        <f>HYPERLINK("https://dpmzos25m8ivg.cloudfront.net/Documentos/631/60784796360/6316078479636005092023170543.pdf","https://dpmzos25m8ivg.cloudfront.net/Documentos/631/60784796360/6316078479636005092023170543.pdf")</f>
        <v>https://dpmzos25m8ivg.cloudfront.net/Documentos/631/60784796360/6316078479636005092023170543.pdf</v>
      </c>
      <c r="G7283" s="5" t="str">
        <f>HYPERLINK("https://dpmzos25m8ivg.cloudfront.net/Documentos/631/60784796360/6316078479636005092023170604.pdf","https://dpmzos25m8ivg.cloudfront.net/Documentos/631/60784796360/6316078479636005092023170604.pdf")</f>
        <v>https://dpmzos25m8ivg.cloudfront.net/Documentos/631/60784796360/6316078479636005092023170604.pdf</v>
      </c>
      <c r="H7283" s="5" t="s">
        <v>15851</v>
      </c>
    </row>
    <row r="7284" spans="1:8" x14ac:dyDescent="0.25">
      <c r="A7284" s="2" t="s">
        <v>7313</v>
      </c>
      <c r="B7284" s="3"/>
      <c r="C7284" s="3"/>
      <c r="D7284" s="3"/>
      <c r="E7284" s="5" t="str">
        <f>HYPERLINK("https://dpmzos25m8ivg.cloudfront.net/Documentos/631/60784944300/6316078494430011092023152711.pdf","https://dpmzos25m8ivg.cloudfront.net/Documentos/631/60784944300/6316078494430011092023152711.pdf")</f>
        <v>https://dpmzos25m8ivg.cloudfront.net/Documentos/631/60784944300/6316078494430011092023152711.pdf</v>
      </c>
      <c r="F7284" s="5" t="str">
        <f>HYPERLINK("https://dpmzos25m8ivg.cloudfront.net/Documentos/631/60784944300/6316078494430011092023152720.pdf","https://dpmzos25m8ivg.cloudfront.net/Documentos/631/60784944300/6316078494430011092023152720.pdf")</f>
        <v>https://dpmzos25m8ivg.cloudfront.net/Documentos/631/60784944300/6316078494430011092023152720.pdf</v>
      </c>
      <c r="G7284" s="5" t="str">
        <f>HYPERLINK("https://dpmzos25m8ivg.cloudfront.net/Documentos/631/60784944300/6316078494430011092023152727.pdf","https://dpmzos25m8ivg.cloudfront.net/Documentos/631/60784944300/6316078494430011092023152727.pdf")</f>
        <v>https://dpmzos25m8ivg.cloudfront.net/Documentos/631/60784944300/6316078494430011092023152727.pdf</v>
      </c>
      <c r="H7284" s="5" t="s">
        <v>15852</v>
      </c>
    </row>
    <row r="7285" spans="1:8" x14ac:dyDescent="0.25">
      <c r="A7285" s="2" t="s">
        <v>7314</v>
      </c>
      <c r="B7285" s="3"/>
      <c r="C7285" s="3"/>
      <c r="D7285" s="3"/>
      <c r="E7285" s="5" t="str">
        <f>HYPERLINK("https://dpmzos25m8ivg.cloudfront.net/Documentos/631/60787093300/6316078709330005092023204913.pdf","https://dpmzos25m8ivg.cloudfront.net/Documentos/631/60787093300/6316078709330005092023204913.pdf")</f>
        <v>https://dpmzos25m8ivg.cloudfront.net/Documentos/631/60787093300/6316078709330005092023204913.pdf</v>
      </c>
      <c r="F7285" s="5" t="str">
        <f>HYPERLINK("https://dpmzos25m8ivg.cloudfront.net/Documentos/631/60787093300/6316078709330005092023204950.pdf","https://dpmzos25m8ivg.cloudfront.net/Documentos/631/60787093300/6316078709330005092023204950.pdf")</f>
        <v>https://dpmzos25m8ivg.cloudfront.net/Documentos/631/60787093300/6316078709330005092023204950.pdf</v>
      </c>
      <c r="G7285" s="5" t="str">
        <f>HYPERLINK("https://dpmzos25m8ivg.cloudfront.net/Documentos/631/60787093300/6316078709330005092023205005.pdf","https://dpmzos25m8ivg.cloudfront.net/Documentos/631/60787093300/6316078709330005092023205005.pdf")</f>
        <v>https://dpmzos25m8ivg.cloudfront.net/Documentos/631/60787093300/6316078709330005092023205005.pdf</v>
      </c>
      <c r="H7285" s="5" t="s">
        <v>15853</v>
      </c>
    </row>
    <row r="7286" spans="1:8" x14ac:dyDescent="0.25">
      <c r="A7286" s="2" t="s">
        <v>7315</v>
      </c>
      <c r="B7286" s="3"/>
      <c r="C7286" s="3"/>
      <c r="D7286" s="3"/>
      <c r="E7286" s="5" t="str">
        <f>HYPERLINK("https://dpmzos25m8ivg.cloudfront.net/Documentos/631/60787797375/6316078779737511092023163109.pdf","https://dpmzos25m8ivg.cloudfront.net/Documentos/631/60787797375/6316078779737511092023163109.pdf")</f>
        <v>https://dpmzos25m8ivg.cloudfront.net/Documentos/631/60787797375/6316078779737511092023163109.pdf</v>
      </c>
      <c r="F7286" s="5" t="str">
        <f>HYPERLINK("https://dpmzos25m8ivg.cloudfront.net/Documentos/631/60787797375/6316078779737511092023163132.pdf","https://dpmzos25m8ivg.cloudfront.net/Documentos/631/60787797375/6316078779737511092023163132.pdf")</f>
        <v>https://dpmzos25m8ivg.cloudfront.net/Documentos/631/60787797375/6316078779737511092023163132.pdf</v>
      </c>
      <c r="G7286" s="5" t="str">
        <f>HYPERLINK("https://dpmzos25m8ivg.cloudfront.net/Documentos/631/60787797375/6316078779737511092023163146.pdf","https://dpmzos25m8ivg.cloudfront.net/Documentos/631/60787797375/6316078779737511092023163146.pdf")</f>
        <v>https://dpmzos25m8ivg.cloudfront.net/Documentos/631/60787797375/6316078779737511092023163146.pdf</v>
      </c>
      <c r="H7286" s="5" t="s">
        <v>15854</v>
      </c>
    </row>
    <row r="7287" spans="1:8" x14ac:dyDescent="0.25">
      <c r="A7287" s="2" t="s">
        <v>7316</v>
      </c>
      <c r="B7287" s="3"/>
      <c r="C7287" s="3"/>
      <c r="D7287" s="3"/>
      <c r="E7287" s="5" t="str">
        <f>HYPERLINK("https://dpmzos25m8ivg.cloudfront.net/Documentos/631/60788365363/6316078836536305092023172204.jpeg","https://dpmzos25m8ivg.cloudfront.net/Documentos/631/60788365363/6316078836536305092023172204.jpeg")</f>
        <v>https://dpmzos25m8ivg.cloudfront.net/Documentos/631/60788365363/6316078836536305092023172204.jpeg</v>
      </c>
      <c r="F7287" s="5" t="str">
        <f>HYPERLINK("https://dpmzos25m8ivg.cloudfront.net/Documentos/631/60788365363/6316078836536305092023172217.jpeg","https://dpmzos25m8ivg.cloudfront.net/Documentos/631/60788365363/6316078836536305092023172217.jpeg")</f>
        <v>https://dpmzos25m8ivg.cloudfront.net/Documentos/631/60788365363/6316078836536305092023172217.jpeg</v>
      </c>
      <c r="G7287" s="5" t="str">
        <f>HYPERLINK("https://dpmzos25m8ivg.cloudfront.net/Documentos/631/60788365363/6316078836536305092023172227.jpeg","https://dpmzos25m8ivg.cloudfront.net/Documentos/631/60788365363/6316078836536305092023172227.jpeg")</f>
        <v>https://dpmzos25m8ivg.cloudfront.net/Documentos/631/60788365363/6316078836536305092023172227.jpeg</v>
      </c>
      <c r="H7287" s="5" t="s">
        <v>15855</v>
      </c>
    </row>
    <row r="7288" spans="1:8" x14ac:dyDescent="0.25">
      <c r="A7288" s="2" t="s">
        <v>7317</v>
      </c>
      <c r="B7288" s="3"/>
      <c r="C7288" s="3"/>
      <c r="D7288" s="3"/>
      <c r="E7288" s="5" t="str">
        <f>HYPERLINK("https://dpmzos25m8ivg.cloudfront.net/Documentos/631/60806396377/6316080639637710092023144229.jpg","https://dpmzos25m8ivg.cloudfront.net/Documentos/631/60806396377/6316080639637710092023144229.jpg")</f>
        <v>https://dpmzos25m8ivg.cloudfront.net/Documentos/631/60806396377/6316080639637710092023144229.jpg</v>
      </c>
      <c r="F7288" s="5" t="str">
        <f>HYPERLINK("https://dpmzos25m8ivg.cloudfront.net/Documentos/631/60806396377/6316080639637710092023144244.jpg","https://dpmzos25m8ivg.cloudfront.net/Documentos/631/60806396377/6316080639637710092023144244.jpg")</f>
        <v>https://dpmzos25m8ivg.cloudfront.net/Documentos/631/60806396377/6316080639637710092023144244.jpg</v>
      </c>
      <c r="G7288" s="5" t="str">
        <f>HYPERLINK("https://dpmzos25m8ivg.cloudfront.net/Documentos/631/60806396377/6316080639637710092023144259.jpg","https://dpmzos25m8ivg.cloudfront.net/Documentos/631/60806396377/6316080639637710092023144259.jpg")</f>
        <v>https://dpmzos25m8ivg.cloudfront.net/Documentos/631/60806396377/6316080639637710092023144259.jpg</v>
      </c>
      <c r="H7288" s="5" t="s">
        <v>15856</v>
      </c>
    </row>
    <row r="7289" spans="1:8" x14ac:dyDescent="0.25">
      <c r="A7289" s="2" t="s">
        <v>7318</v>
      </c>
      <c r="B7289" s="3"/>
      <c r="C7289" s="3"/>
      <c r="D7289" s="3"/>
      <c r="E7289" s="5" t="str">
        <f>HYPERLINK("https://dpmzos25m8ivg.cloudfront.net/Documentos/631/60814463363/6316081446336310092023091326.pdf","https://dpmzos25m8ivg.cloudfront.net/Documentos/631/60814463363/6316081446336310092023091326.pdf")</f>
        <v>https://dpmzos25m8ivg.cloudfront.net/Documentos/631/60814463363/6316081446336310092023091326.pdf</v>
      </c>
      <c r="F7289" s="5" t="str">
        <f>HYPERLINK("https://dpmzos25m8ivg.cloudfront.net/Documentos/631/60814463363/6316081446336310092023091339.pdf","https://dpmzos25m8ivg.cloudfront.net/Documentos/631/60814463363/6316081446336310092023091339.pdf")</f>
        <v>https://dpmzos25m8ivg.cloudfront.net/Documentos/631/60814463363/6316081446336310092023091339.pdf</v>
      </c>
      <c r="G7289" s="5" t="str">
        <f>HYPERLINK("https://dpmzos25m8ivg.cloudfront.net/Documentos/631/60814463363/6316081446336310092023091353.pdf","https://dpmzos25m8ivg.cloudfront.net/Documentos/631/60814463363/6316081446336310092023091353.pdf")</f>
        <v>https://dpmzos25m8ivg.cloudfront.net/Documentos/631/60814463363/6316081446336310092023091353.pdf</v>
      </c>
      <c r="H7289" s="5" t="s">
        <v>15857</v>
      </c>
    </row>
    <row r="7290" spans="1:8" x14ac:dyDescent="0.25">
      <c r="A7290" s="2" t="s">
        <v>7319</v>
      </c>
      <c r="B7290" s="3" t="s">
        <v>23</v>
      </c>
      <c r="C7290" s="3"/>
      <c r="D7290" s="3"/>
      <c r="E7290" s="5" t="str">
        <f>HYPERLINK("https://dpmzos25m8ivg.cloudfront.net/Documentos/631/60817699333/6316081769933311092023132945.jpg","https://dpmzos25m8ivg.cloudfront.net/Documentos/631/60817699333/6316081769933311092023132945.jpg")</f>
        <v>https://dpmzos25m8ivg.cloudfront.net/Documentos/631/60817699333/6316081769933311092023132945.jpg</v>
      </c>
      <c r="F7290" s="5" t="str">
        <f>HYPERLINK("https://dpmzos25m8ivg.cloudfront.net/Documentos/631/60817699333/6316081769933311092023133003.jpg","https://dpmzos25m8ivg.cloudfront.net/Documentos/631/60817699333/6316081769933311092023133003.jpg")</f>
        <v>https://dpmzos25m8ivg.cloudfront.net/Documentos/631/60817699333/6316081769933311092023133003.jpg</v>
      </c>
      <c r="G7290" s="5" t="str">
        <f>HYPERLINK("https://dpmzos25m8ivg.cloudfront.net/Documentos/631/60817699333/6316081769933311092023133014.jpg","https://dpmzos25m8ivg.cloudfront.net/Documentos/631/60817699333/6316081769933311092023133014.jpg")</f>
        <v>https://dpmzos25m8ivg.cloudfront.net/Documentos/631/60817699333/6316081769933311092023133014.jpg</v>
      </c>
      <c r="H7290" s="5" t="s">
        <v>15858</v>
      </c>
    </row>
    <row r="7291" spans="1:8" x14ac:dyDescent="0.25">
      <c r="A7291" s="2" t="s">
        <v>7320</v>
      </c>
      <c r="B7291" s="3"/>
      <c r="C7291" s="3"/>
      <c r="D7291" s="3"/>
      <c r="E7291" s="5" t="str">
        <f>HYPERLINK("https://dpmzos25m8ivg.cloudfront.net/Documentos/631/60826393322/6316082639332211092023141522.jpeg","https://dpmzos25m8ivg.cloudfront.net/Documentos/631/60826393322/6316082639332211092023141522.jpeg")</f>
        <v>https://dpmzos25m8ivg.cloudfront.net/Documentos/631/60826393322/6316082639332211092023141522.jpeg</v>
      </c>
      <c r="F7291" s="5" t="str">
        <f>HYPERLINK("https://dpmzos25m8ivg.cloudfront.net/Documentos/631/60826393322/6316082639332211092023141533.jpeg","https://dpmzos25m8ivg.cloudfront.net/Documentos/631/60826393322/6316082639332211092023141533.jpeg")</f>
        <v>https://dpmzos25m8ivg.cloudfront.net/Documentos/631/60826393322/6316082639332211092023141533.jpeg</v>
      </c>
      <c r="G7291" s="5" t="str">
        <f>HYPERLINK("https://dpmzos25m8ivg.cloudfront.net/Documentos/631/60826393322/6316082639332211092023141546.jpeg","https://dpmzos25m8ivg.cloudfront.net/Documentos/631/60826393322/6316082639332211092023141546.jpeg")</f>
        <v>https://dpmzos25m8ivg.cloudfront.net/Documentos/631/60826393322/6316082639332211092023141546.jpeg</v>
      </c>
      <c r="H7291" s="5" t="s">
        <v>15859</v>
      </c>
    </row>
    <row r="7292" spans="1:8" x14ac:dyDescent="0.25">
      <c r="A7292" s="2" t="s">
        <v>7321</v>
      </c>
      <c r="B7292" s="3" t="s">
        <v>308</v>
      </c>
      <c r="C7292" s="3"/>
      <c r="D7292" s="3"/>
      <c r="E7292" s="5" t="str">
        <f>HYPERLINK("https://dpmzos25m8ivg.cloudfront.net/Documentos/631/60827202377/6316082720237714092023142321.pdf","https://dpmzos25m8ivg.cloudfront.net/Documentos/631/60827202377/6316082720237714092023142321.pdf")</f>
        <v>https://dpmzos25m8ivg.cloudfront.net/Documentos/631/60827202377/6316082720237714092023142321.pdf</v>
      </c>
      <c r="F7292" s="5" t="str">
        <f>HYPERLINK("https://dpmzos25m8ivg.cloudfront.net/Documentos/631/60827202377/6316082720237714092023142347.pdf","https://dpmzos25m8ivg.cloudfront.net/Documentos/631/60827202377/6316082720237714092023142347.pdf")</f>
        <v>https://dpmzos25m8ivg.cloudfront.net/Documentos/631/60827202377/6316082720237714092023142347.pdf</v>
      </c>
      <c r="G7292" s="5" t="str">
        <f>HYPERLINK("https://dpmzos25m8ivg.cloudfront.net/Documentos/631/60827202377/6316082720237714092023142408.pdf","https://dpmzos25m8ivg.cloudfront.net/Documentos/631/60827202377/6316082720237714092023142408.pdf")</f>
        <v>https://dpmzos25m8ivg.cloudfront.net/Documentos/631/60827202377/6316082720237714092023142408.pdf</v>
      </c>
      <c r="H7292" s="5" t="s">
        <v>15860</v>
      </c>
    </row>
    <row r="7293" spans="1:8" x14ac:dyDescent="0.25">
      <c r="A7293" s="2" t="s">
        <v>7322</v>
      </c>
      <c r="B7293" s="3"/>
      <c r="C7293" s="3"/>
      <c r="D7293" s="3"/>
      <c r="E7293" s="5" t="str">
        <f>HYPERLINK("https://dpmzos25m8ivg.cloudfront.net/Documentos/631/60828951420/6316082895142006092023082041.pdf","https://dpmzos25m8ivg.cloudfront.net/Documentos/631/60828951420/6316082895142006092023082041.pdf")</f>
        <v>https://dpmzos25m8ivg.cloudfront.net/Documentos/631/60828951420/6316082895142006092023082041.pdf</v>
      </c>
      <c r="F7293" s="5" t="str">
        <f>HYPERLINK("https://dpmzos25m8ivg.cloudfront.net/Documentos/631/60828951420/6316082895142006092023082057.pdf","https://dpmzos25m8ivg.cloudfront.net/Documentos/631/60828951420/6316082895142006092023082057.pdf")</f>
        <v>https://dpmzos25m8ivg.cloudfront.net/Documentos/631/60828951420/6316082895142006092023082057.pdf</v>
      </c>
      <c r="G7293" s="5" t="str">
        <f>HYPERLINK("https://dpmzos25m8ivg.cloudfront.net/Documentos/631/60828951420/6316082895142006092023082113.pdf","https://dpmzos25m8ivg.cloudfront.net/Documentos/631/60828951420/6316082895142006092023082113.pdf")</f>
        <v>https://dpmzos25m8ivg.cloudfront.net/Documentos/631/60828951420/6316082895142006092023082113.pdf</v>
      </c>
      <c r="H7293" s="5" t="s">
        <v>15861</v>
      </c>
    </row>
    <row r="7294" spans="1:8" x14ac:dyDescent="0.25">
      <c r="A7294" s="2" t="s">
        <v>7323</v>
      </c>
      <c r="B7294" s="3"/>
      <c r="C7294" s="3"/>
      <c r="D7294" s="3"/>
      <c r="E7294" s="5" t="str">
        <f>HYPERLINK("https://dpmzos25m8ivg.cloudfront.net/Documentos/631/60831605375/6316083160537511092023140016.pdf","https://dpmzos25m8ivg.cloudfront.net/Documentos/631/60831605375/6316083160537511092023140016.pdf")</f>
        <v>https://dpmzos25m8ivg.cloudfront.net/Documentos/631/60831605375/6316083160537511092023140016.pdf</v>
      </c>
      <c r="F7294" s="5" t="str">
        <f>HYPERLINK("https://dpmzos25m8ivg.cloudfront.net/Documentos/631/60831605375/6316083160537511092023140030.pdf","https://dpmzos25m8ivg.cloudfront.net/Documentos/631/60831605375/6316083160537511092023140030.pdf")</f>
        <v>https://dpmzos25m8ivg.cloudfront.net/Documentos/631/60831605375/6316083160537511092023140030.pdf</v>
      </c>
      <c r="G7294" s="5" t="str">
        <f>HYPERLINK("https://dpmzos25m8ivg.cloudfront.net/Documentos/631/60831605375/6316083160537511092023140039.pdf","https://dpmzos25m8ivg.cloudfront.net/Documentos/631/60831605375/6316083160537511092023140039.pdf")</f>
        <v>https://dpmzos25m8ivg.cloudfront.net/Documentos/631/60831605375/6316083160537511092023140039.pdf</v>
      </c>
      <c r="H7294" s="5" t="s">
        <v>15862</v>
      </c>
    </row>
    <row r="7295" spans="1:8" x14ac:dyDescent="0.25">
      <c r="A7295" s="2" t="s">
        <v>7324</v>
      </c>
      <c r="B7295" s="3"/>
      <c r="C7295" s="3"/>
      <c r="D7295" s="3"/>
      <c r="E7295" s="5" t="str">
        <f>HYPERLINK("https://dpmzos25m8ivg.cloudfront.net/Documentos/631/60833002317/6316083300231705092023195038.pdf","https://dpmzos25m8ivg.cloudfront.net/Documentos/631/60833002317/6316083300231705092023195038.pdf")</f>
        <v>https://dpmzos25m8ivg.cloudfront.net/Documentos/631/60833002317/6316083300231705092023195038.pdf</v>
      </c>
      <c r="F7295" s="5" t="str">
        <f>HYPERLINK("https://dpmzos25m8ivg.cloudfront.net/Documentos/631/60833002317/6316083300231705092023195052.pdf","https://dpmzos25m8ivg.cloudfront.net/Documentos/631/60833002317/6316083300231705092023195052.pdf")</f>
        <v>https://dpmzos25m8ivg.cloudfront.net/Documentos/631/60833002317/6316083300231705092023195052.pdf</v>
      </c>
      <c r="G7295" s="5" t="str">
        <f>HYPERLINK("https://dpmzos25m8ivg.cloudfront.net/Documentos/631/60833002317/6316083300231705092023195112.pdf","https://dpmzos25m8ivg.cloudfront.net/Documentos/631/60833002317/6316083300231705092023195112.pdf")</f>
        <v>https://dpmzos25m8ivg.cloudfront.net/Documentos/631/60833002317/6316083300231705092023195112.pdf</v>
      </c>
      <c r="H7295" s="5" t="s">
        <v>15863</v>
      </c>
    </row>
    <row r="7296" spans="1:8" x14ac:dyDescent="0.25">
      <c r="A7296" s="2" t="s">
        <v>7325</v>
      </c>
      <c r="B7296" s="3"/>
      <c r="C7296" s="3"/>
      <c r="D7296" s="3"/>
      <c r="E7296" s="5" t="str">
        <f>HYPERLINK("https://dpmzos25m8ivg.cloudfront.net/Documentos/631/60848046323/6316084804632311092023144811.pdf","https://dpmzos25m8ivg.cloudfront.net/Documentos/631/60848046323/6316084804632311092023144811.pdf")</f>
        <v>https://dpmzos25m8ivg.cloudfront.net/Documentos/631/60848046323/6316084804632311092023144811.pdf</v>
      </c>
      <c r="F7296" s="5" t="str">
        <f>HYPERLINK("https://dpmzos25m8ivg.cloudfront.net/Documentos/631/60848046323/6316084804632311092023144825.pdf","https://dpmzos25m8ivg.cloudfront.net/Documentos/631/60848046323/6316084804632311092023144825.pdf")</f>
        <v>https://dpmzos25m8ivg.cloudfront.net/Documentos/631/60848046323/6316084804632311092023144825.pdf</v>
      </c>
      <c r="G7296" s="5" t="str">
        <f>HYPERLINK("https://dpmzos25m8ivg.cloudfront.net/Documentos/631/60848046323/6316084804632311092023144839.pdf","https://dpmzos25m8ivg.cloudfront.net/Documentos/631/60848046323/6316084804632311092023144839.pdf")</f>
        <v>https://dpmzos25m8ivg.cloudfront.net/Documentos/631/60848046323/6316084804632311092023144839.pdf</v>
      </c>
      <c r="H7296" s="5" t="s">
        <v>15864</v>
      </c>
    </row>
    <row r="7297" spans="1:8" x14ac:dyDescent="0.25">
      <c r="A7297" s="2" t="s">
        <v>7326</v>
      </c>
      <c r="B7297" s="3"/>
      <c r="C7297" s="3"/>
      <c r="D7297" s="3"/>
      <c r="E7297" s="5" t="str">
        <f>HYPERLINK("https://dpmzos25m8ivg.cloudfront.net/Documentos/631/60857581384/6316085758138406092023154817.pdf","https://dpmzos25m8ivg.cloudfront.net/Documentos/631/60857581384/6316085758138406092023154817.pdf")</f>
        <v>https://dpmzos25m8ivg.cloudfront.net/Documentos/631/60857581384/6316085758138406092023154817.pdf</v>
      </c>
      <c r="F7297" s="5" t="str">
        <f>HYPERLINK("https://dpmzos25m8ivg.cloudfront.net/Documentos/631/60857581384/6316085758138406092023154832.pdf","https://dpmzos25m8ivg.cloudfront.net/Documentos/631/60857581384/6316085758138406092023154832.pdf")</f>
        <v>https://dpmzos25m8ivg.cloudfront.net/Documentos/631/60857581384/6316085758138406092023154832.pdf</v>
      </c>
      <c r="G7297" s="5" t="str">
        <f>HYPERLINK("https://dpmzos25m8ivg.cloudfront.net/Documentos/631/60857581384/6316085758138406092023154844.pdf","https://dpmzos25m8ivg.cloudfront.net/Documentos/631/60857581384/6316085758138406092023154844.pdf")</f>
        <v>https://dpmzos25m8ivg.cloudfront.net/Documentos/631/60857581384/6316085758138406092023154844.pdf</v>
      </c>
      <c r="H7297" s="5" t="s">
        <v>15865</v>
      </c>
    </row>
    <row r="7298" spans="1:8" x14ac:dyDescent="0.25">
      <c r="A7298" s="2" t="s">
        <v>7327</v>
      </c>
      <c r="B7298" s="3"/>
      <c r="C7298" s="3"/>
      <c r="D7298" s="3"/>
      <c r="E7298" s="5" t="str">
        <f>HYPERLINK("https://dpmzos25m8ivg.cloudfront.net/Documentos/631/60859209385/6316085920938511092023103758.pdf","https://dpmzos25m8ivg.cloudfront.net/Documentos/631/60859209385/6316085920938511092023103758.pdf")</f>
        <v>https://dpmzos25m8ivg.cloudfront.net/Documentos/631/60859209385/6316085920938511092023103758.pdf</v>
      </c>
      <c r="F7298" s="5" t="str">
        <f>HYPERLINK("https://dpmzos25m8ivg.cloudfront.net/Documentos/631/60859209385/6316085920938511092023103813.pdf","https://dpmzos25m8ivg.cloudfront.net/Documentos/631/60859209385/6316085920938511092023103813.pdf")</f>
        <v>https://dpmzos25m8ivg.cloudfront.net/Documentos/631/60859209385/6316085920938511092023103813.pdf</v>
      </c>
      <c r="G7298" s="5" t="str">
        <f>HYPERLINK("https://dpmzos25m8ivg.cloudfront.net/Documentos/631/60859209385/6316085920938511092023103825.pdf","https://dpmzos25m8ivg.cloudfront.net/Documentos/631/60859209385/6316085920938511092023103825.pdf")</f>
        <v>https://dpmzos25m8ivg.cloudfront.net/Documentos/631/60859209385/6316085920938511092023103825.pdf</v>
      </c>
      <c r="H7298" s="5" t="s">
        <v>15866</v>
      </c>
    </row>
    <row r="7299" spans="1:8" x14ac:dyDescent="0.25">
      <c r="A7299" s="2" t="s">
        <v>7328</v>
      </c>
      <c r="B7299" s="3"/>
      <c r="C7299" s="3"/>
      <c r="D7299" s="3"/>
      <c r="E7299" s="5" t="str">
        <f>HYPERLINK("https://dpmzos25m8ivg.cloudfront.net/Documentos/631/60860153339/6316086015333911092023122114.pdf","https://dpmzos25m8ivg.cloudfront.net/Documentos/631/60860153339/6316086015333911092023122114.pdf")</f>
        <v>https://dpmzos25m8ivg.cloudfront.net/Documentos/631/60860153339/6316086015333911092023122114.pdf</v>
      </c>
      <c r="F7299" s="5" t="str">
        <f>HYPERLINK("https://dpmzos25m8ivg.cloudfront.net/Documentos/631/60860153339/6316086015333911092023122139.pdf","https://dpmzos25m8ivg.cloudfront.net/Documentos/631/60860153339/6316086015333911092023122139.pdf")</f>
        <v>https://dpmzos25m8ivg.cloudfront.net/Documentos/631/60860153339/6316086015333911092023122139.pdf</v>
      </c>
      <c r="G7299" s="5" t="str">
        <f>HYPERLINK("https://dpmzos25m8ivg.cloudfront.net/Documentos/631/60860153339/6316086015333911092023122204.pdf","https://dpmzos25m8ivg.cloudfront.net/Documentos/631/60860153339/6316086015333911092023122204.pdf")</f>
        <v>https://dpmzos25m8ivg.cloudfront.net/Documentos/631/60860153339/6316086015333911092023122204.pdf</v>
      </c>
      <c r="H7299" s="5" t="s">
        <v>15867</v>
      </c>
    </row>
    <row r="7300" spans="1:8" x14ac:dyDescent="0.25">
      <c r="A7300" s="2" t="s">
        <v>7329</v>
      </c>
      <c r="B7300" s="3"/>
      <c r="C7300" s="3"/>
      <c r="D7300" s="3"/>
      <c r="E7300" s="5" t="str">
        <f>HYPERLINK("https://dpmzos25m8ivg.cloudfront.net/Documentos/631/60869669311/6316086966931111092023001048.pdf","https://dpmzos25m8ivg.cloudfront.net/Documentos/631/60869669311/6316086966931111092023001048.pdf")</f>
        <v>https://dpmzos25m8ivg.cloudfront.net/Documentos/631/60869669311/6316086966931111092023001048.pdf</v>
      </c>
      <c r="F7300" s="5" t="str">
        <f>HYPERLINK("https://dpmzos25m8ivg.cloudfront.net/Documentos/631/60869669311/6316086966931111092023001111.pdf","https://dpmzos25m8ivg.cloudfront.net/Documentos/631/60869669311/6316086966931111092023001111.pdf")</f>
        <v>https://dpmzos25m8ivg.cloudfront.net/Documentos/631/60869669311/6316086966931111092023001111.pdf</v>
      </c>
      <c r="G7300" s="5" t="str">
        <f>HYPERLINK("https://dpmzos25m8ivg.cloudfront.net/Documentos/631/60869669311/6316086966931111092023001129.pdf","https://dpmzos25m8ivg.cloudfront.net/Documentos/631/60869669311/6316086966931111092023001129.pdf")</f>
        <v>https://dpmzos25m8ivg.cloudfront.net/Documentos/631/60869669311/6316086966931111092023001129.pdf</v>
      </c>
      <c r="H7300" s="5" t="s">
        <v>15868</v>
      </c>
    </row>
    <row r="7301" spans="1:8" x14ac:dyDescent="0.25">
      <c r="A7301" s="2" t="s">
        <v>7330</v>
      </c>
      <c r="B7301" s="3" t="s">
        <v>23</v>
      </c>
      <c r="C7301" s="3"/>
      <c r="D7301" s="3"/>
      <c r="E7301" s="5" t="str">
        <f>HYPERLINK("https://dpmzos25m8ivg.cloudfront.net/Documentos/631/60879564253/6316087956425313092023180945.pdf","https://dpmzos25m8ivg.cloudfront.net/Documentos/631/60879564253/6316087956425313092023180945.pdf")</f>
        <v>https://dpmzos25m8ivg.cloudfront.net/Documentos/631/60879564253/6316087956425313092023180945.pdf</v>
      </c>
      <c r="F7301" s="5" t="str">
        <f>HYPERLINK("https://dpmzos25m8ivg.cloudfront.net/Documentos/631/60879564253/6316087956425313092023180958.pdf","https://dpmzos25m8ivg.cloudfront.net/Documentos/631/60879564253/6316087956425313092023180958.pdf")</f>
        <v>https://dpmzos25m8ivg.cloudfront.net/Documentos/631/60879564253/6316087956425313092023180958.pdf</v>
      </c>
      <c r="G7301" s="5" t="str">
        <f>HYPERLINK("https://dpmzos25m8ivg.cloudfront.net/Documentos/631/60879564253/6316087956425313092023181148.pdf","https://dpmzos25m8ivg.cloudfront.net/Documentos/631/60879564253/6316087956425313092023181148.pdf")</f>
        <v>https://dpmzos25m8ivg.cloudfront.net/Documentos/631/60879564253/6316087956425313092023181148.pdf</v>
      </c>
      <c r="H7301" s="5" t="s">
        <v>15869</v>
      </c>
    </row>
    <row r="7302" spans="1:8" x14ac:dyDescent="0.25">
      <c r="A7302" s="2" t="s">
        <v>7331</v>
      </c>
      <c r="B7302" s="3"/>
      <c r="C7302" s="3"/>
      <c r="D7302" s="3"/>
      <c r="E7302" s="5" t="str">
        <f>HYPERLINK("https://dpmzos25m8ivg.cloudfront.net/Documentos/631/60901559342/6316090155934211092023162637.pdf","https://dpmzos25m8ivg.cloudfront.net/Documentos/631/60901559342/6316090155934211092023162637.pdf")</f>
        <v>https://dpmzos25m8ivg.cloudfront.net/Documentos/631/60901559342/6316090155934211092023162637.pdf</v>
      </c>
      <c r="F7302" s="5" t="str">
        <f>HYPERLINK("https://dpmzos25m8ivg.cloudfront.net/Documentos/631/60901559342/6316090155934211092023162654.pdf","https://dpmzos25m8ivg.cloudfront.net/Documentos/631/60901559342/6316090155934211092023162654.pdf")</f>
        <v>https://dpmzos25m8ivg.cloudfront.net/Documentos/631/60901559342/6316090155934211092023162654.pdf</v>
      </c>
      <c r="G7302" s="5" t="str">
        <f>HYPERLINK("https://dpmzos25m8ivg.cloudfront.net/Documentos/631/60901559342/6316090155934211092023162713.pdf","https://dpmzos25m8ivg.cloudfront.net/Documentos/631/60901559342/6316090155934211092023162713.pdf")</f>
        <v>https://dpmzos25m8ivg.cloudfront.net/Documentos/631/60901559342/6316090155934211092023162713.pdf</v>
      </c>
      <c r="H7302" s="5" t="s">
        <v>15870</v>
      </c>
    </row>
    <row r="7303" spans="1:8" x14ac:dyDescent="0.25">
      <c r="A7303" s="2" t="s">
        <v>7332</v>
      </c>
      <c r="B7303" s="3" t="s">
        <v>90</v>
      </c>
      <c r="C7303" s="3"/>
      <c r="D7303" s="3"/>
      <c r="E7303" s="5" t="str">
        <f>HYPERLINK("https://dpmzos25m8ivg.cloudfront.net/Documentos/631/60904509362/6316090450936211092023110827.pdf","https://dpmzos25m8ivg.cloudfront.net/Documentos/631/60904509362/6316090450936211092023110827.pdf")</f>
        <v>https://dpmzos25m8ivg.cloudfront.net/Documentos/631/60904509362/6316090450936211092023110827.pdf</v>
      </c>
      <c r="F7303" s="5" t="str">
        <f>HYPERLINK("https://dpmzos25m8ivg.cloudfront.net/Documentos/631/60904509362/6316090450936211092023110944.pdf","https://dpmzos25m8ivg.cloudfront.net/Documentos/631/60904509362/6316090450936211092023110944.pdf")</f>
        <v>https://dpmzos25m8ivg.cloudfront.net/Documentos/631/60904509362/6316090450936211092023110944.pdf</v>
      </c>
      <c r="G7303" s="5" t="str">
        <f>HYPERLINK("https://dpmzos25m8ivg.cloudfront.net/Documentos/631/60904509362/6316090450936211092023111256.pdf","https://dpmzos25m8ivg.cloudfront.net/Documentos/631/60904509362/6316090450936211092023111256.pdf")</f>
        <v>https://dpmzos25m8ivg.cloudfront.net/Documentos/631/60904509362/6316090450936211092023111256.pdf</v>
      </c>
      <c r="H7303" s="5" t="s">
        <v>15871</v>
      </c>
    </row>
    <row r="7304" spans="1:8" x14ac:dyDescent="0.25">
      <c r="A7304" s="2" t="s">
        <v>7333</v>
      </c>
      <c r="B7304" s="3"/>
      <c r="C7304" s="3"/>
      <c r="D7304" s="3"/>
      <c r="E7304" s="5" t="str">
        <f>HYPERLINK("https://dpmzos25m8ivg.cloudfront.net/Documentos/631/60905400305/6316090540030507092023193739.pdf","https://dpmzos25m8ivg.cloudfront.net/Documentos/631/60905400305/6316090540030507092023193739.pdf")</f>
        <v>https://dpmzos25m8ivg.cloudfront.net/Documentos/631/60905400305/6316090540030507092023193739.pdf</v>
      </c>
      <c r="F7304" s="5" t="str">
        <f>HYPERLINK("https://dpmzos25m8ivg.cloudfront.net/Documentos/631/60905400305/6316090540030507092023193753.pdf","https://dpmzos25m8ivg.cloudfront.net/Documentos/631/60905400305/6316090540030507092023193753.pdf")</f>
        <v>https://dpmzos25m8ivg.cloudfront.net/Documentos/631/60905400305/6316090540030507092023193753.pdf</v>
      </c>
      <c r="G7304" s="5" t="str">
        <f>HYPERLINK("https://dpmzos25m8ivg.cloudfront.net/Documentos/631/60905400305/6316090540030507092023193808.pdf","https://dpmzos25m8ivg.cloudfront.net/Documentos/631/60905400305/6316090540030507092023193808.pdf")</f>
        <v>https://dpmzos25m8ivg.cloudfront.net/Documentos/631/60905400305/6316090540030507092023193808.pdf</v>
      </c>
      <c r="H7304" s="5" t="s">
        <v>15872</v>
      </c>
    </row>
    <row r="7305" spans="1:8" x14ac:dyDescent="0.25">
      <c r="A7305" s="2" t="s">
        <v>7334</v>
      </c>
      <c r="B7305" s="3"/>
      <c r="C7305" s="3"/>
      <c r="D7305" s="3"/>
      <c r="E7305" s="5" t="str">
        <f>HYPERLINK("https://dpmzos25m8ivg.cloudfront.net/Documentos/631/60911885340/6316091188534008092023171151.pdf","https://dpmzos25m8ivg.cloudfront.net/Documentos/631/60911885340/6316091188534008092023171151.pdf")</f>
        <v>https://dpmzos25m8ivg.cloudfront.net/Documentos/631/60911885340/6316091188534008092023171151.pdf</v>
      </c>
      <c r="F7305" s="5" t="str">
        <f>HYPERLINK("https://dpmzos25m8ivg.cloudfront.net/Documentos/631/60911885340/6316091188534008092023171242.pdf","https://dpmzos25m8ivg.cloudfront.net/Documentos/631/60911885340/6316091188534008092023171242.pdf")</f>
        <v>https://dpmzos25m8ivg.cloudfront.net/Documentos/631/60911885340/6316091188534008092023171242.pdf</v>
      </c>
      <c r="G7305" s="5" t="str">
        <f>HYPERLINK("https://dpmzos25m8ivg.cloudfront.net/Documentos/631/60911885340/6316091188534008092023171254.pdf","https://dpmzos25m8ivg.cloudfront.net/Documentos/631/60911885340/6316091188534008092023171254.pdf")</f>
        <v>https://dpmzos25m8ivg.cloudfront.net/Documentos/631/60911885340/6316091188534008092023171254.pdf</v>
      </c>
      <c r="H7305" s="5" t="s">
        <v>15873</v>
      </c>
    </row>
    <row r="7306" spans="1:8" x14ac:dyDescent="0.25">
      <c r="A7306" s="2" t="s">
        <v>7335</v>
      </c>
      <c r="B7306" s="3"/>
      <c r="C7306" s="3"/>
      <c r="D7306" s="3"/>
      <c r="E7306" s="5" t="str">
        <f>HYPERLINK("https://dpmzos25m8ivg.cloudfront.net/Documentos/631/60912686359/6316091268635908092023130656.pdf","https://dpmzos25m8ivg.cloudfront.net/Documentos/631/60912686359/6316091268635908092023130656.pdf")</f>
        <v>https://dpmzos25m8ivg.cloudfront.net/Documentos/631/60912686359/6316091268635908092023130656.pdf</v>
      </c>
      <c r="F7306" s="5" t="str">
        <f>HYPERLINK("https://dpmzos25m8ivg.cloudfront.net/Documentos/631/60912686359/6316091268635908092023130807.pdf","https://dpmzos25m8ivg.cloudfront.net/Documentos/631/60912686359/6316091268635908092023130807.pdf")</f>
        <v>https://dpmzos25m8ivg.cloudfront.net/Documentos/631/60912686359/6316091268635908092023130807.pdf</v>
      </c>
      <c r="G7306" s="5" t="str">
        <f>HYPERLINK("https://dpmzos25m8ivg.cloudfront.net/Documentos/631/60912686359/6316091268635911092023110820.pdf","https://dpmzos25m8ivg.cloudfront.net/Documentos/631/60912686359/6316091268635911092023110820.pdf")</f>
        <v>https://dpmzos25m8ivg.cloudfront.net/Documentos/631/60912686359/6316091268635911092023110820.pdf</v>
      </c>
      <c r="H7306" s="5" t="s">
        <v>15874</v>
      </c>
    </row>
    <row r="7307" spans="1:8" x14ac:dyDescent="0.25">
      <c r="A7307" s="2" t="s">
        <v>7336</v>
      </c>
      <c r="B7307" s="3"/>
      <c r="C7307" s="3"/>
      <c r="D7307" s="3"/>
      <c r="E7307" s="5" t="str">
        <f>HYPERLINK("https://dpmzos25m8ivg.cloudfront.net/Documentos/631/60918082307/6316091808230711092023155243.pdf","https://dpmzos25m8ivg.cloudfront.net/Documentos/631/60918082307/6316091808230711092023155243.pdf")</f>
        <v>https://dpmzos25m8ivg.cloudfront.net/Documentos/631/60918082307/6316091808230711092023155243.pdf</v>
      </c>
      <c r="F7307" s="5" t="str">
        <f>HYPERLINK("https://dpmzos25m8ivg.cloudfront.net/Documentos/631/60918082307/6316091808230711092023155835.pdf","https://dpmzos25m8ivg.cloudfront.net/Documentos/631/60918082307/6316091808230711092023155835.pdf")</f>
        <v>https://dpmzos25m8ivg.cloudfront.net/Documentos/631/60918082307/6316091808230711092023155835.pdf</v>
      </c>
      <c r="G7307" s="5" t="str">
        <f>HYPERLINK("https://dpmzos25m8ivg.cloudfront.net/Documentos/631/60918082307/6316091808230711092023155842.pdf","https://dpmzos25m8ivg.cloudfront.net/Documentos/631/60918082307/6316091808230711092023155842.pdf")</f>
        <v>https://dpmzos25m8ivg.cloudfront.net/Documentos/631/60918082307/6316091808230711092023155842.pdf</v>
      </c>
      <c r="H7307" s="5" t="s">
        <v>15875</v>
      </c>
    </row>
    <row r="7308" spans="1:8" x14ac:dyDescent="0.25">
      <c r="A7308" s="2" t="s">
        <v>7337</v>
      </c>
      <c r="B7308" s="3" t="s">
        <v>42</v>
      </c>
      <c r="C7308" s="3"/>
      <c r="D7308" s="3"/>
      <c r="E7308" s="5" t="str">
        <f>HYPERLINK("https://dpmzos25m8ivg.cloudfront.net/Documentos/631/60918348358/6316091834835811092023154449.pdf","https://dpmzos25m8ivg.cloudfront.net/Documentos/631/60918348358/6316091834835811092023154449.pdf")</f>
        <v>https://dpmzos25m8ivg.cloudfront.net/Documentos/631/60918348358/6316091834835811092023154449.pdf</v>
      </c>
      <c r="F7308" s="5" t="str">
        <f>HYPERLINK("https://dpmzos25m8ivg.cloudfront.net/Documentos/631/60918348358/6316091834835811092023154500.pdf","https://dpmzos25m8ivg.cloudfront.net/Documentos/631/60918348358/6316091834835811092023154500.pdf")</f>
        <v>https://dpmzos25m8ivg.cloudfront.net/Documentos/631/60918348358/6316091834835811092023154500.pdf</v>
      </c>
      <c r="G7308" s="5" t="str">
        <f>HYPERLINK("https://dpmzos25m8ivg.cloudfront.net/Documentos/631/60918348358/6316091834835811092023154511.pdf","https://dpmzos25m8ivg.cloudfront.net/Documentos/631/60918348358/6316091834835811092023154511.pdf")</f>
        <v>https://dpmzos25m8ivg.cloudfront.net/Documentos/631/60918348358/6316091834835811092023154511.pdf</v>
      </c>
      <c r="H7308" s="5" t="s">
        <v>15876</v>
      </c>
    </row>
    <row r="7309" spans="1:8" x14ac:dyDescent="0.25">
      <c r="A7309" s="2" t="s">
        <v>7338</v>
      </c>
      <c r="B7309" s="3"/>
      <c r="C7309" s="3"/>
      <c r="D7309" s="3"/>
      <c r="E7309" s="5" t="str">
        <f>HYPERLINK("https://dpmzos25m8ivg.cloudfront.net/Documentos/631/60959473327/6316095947332711092023132623.pdf","https://dpmzos25m8ivg.cloudfront.net/Documentos/631/60959473327/6316095947332711092023132623.pdf")</f>
        <v>https://dpmzos25m8ivg.cloudfront.net/Documentos/631/60959473327/6316095947332711092023132623.pdf</v>
      </c>
      <c r="F7309" s="5" t="str">
        <f>HYPERLINK("https://dpmzos25m8ivg.cloudfront.net/Documentos/631/60959473327/6316095947332711092023132824.pdf","https://dpmzos25m8ivg.cloudfront.net/Documentos/631/60959473327/6316095947332711092023132824.pdf")</f>
        <v>https://dpmzos25m8ivg.cloudfront.net/Documentos/631/60959473327/6316095947332711092023132824.pdf</v>
      </c>
      <c r="G7309" s="5" t="str">
        <f>HYPERLINK("https://dpmzos25m8ivg.cloudfront.net/Documentos/631/60959473327/6316095947332711092023132851.pdf","https://dpmzos25m8ivg.cloudfront.net/Documentos/631/60959473327/6316095947332711092023132851.pdf")</f>
        <v>https://dpmzos25m8ivg.cloudfront.net/Documentos/631/60959473327/6316095947332711092023132851.pdf</v>
      </c>
      <c r="H7309" s="5" t="s">
        <v>15877</v>
      </c>
    </row>
    <row r="7310" spans="1:8" x14ac:dyDescent="0.25">
      <c r="A7310" s="2" t="s">
        <v>7339</v>
      </c>
      <c r="B7310" s="3"/>
      <c r="C7310" s="3"/>
      <c r="D7310" s="3"/>
      <c r="E7310" s="5" t="str">
        <f>HYPERLINK("https://dpmzos25m8ivg.cloudfront.net/Documentos/631/60961931370/6316096193137008092023200923.pdf","https://dpmzos25m8ivg.cloudfront.net/Documentos/631/60961931370/6316096193137008092023200923.pdf")</f>
        <v>https://dpmzos25m8ivg.cloudfront.net/Documentos/631/60961931370/6316096193137008092023200923.pdf</v>
      </c>
      <c r="F7310" s="5" t="str">
        <f>HYPERLINK("https://dpmzos25m8ivg.cloudfront.net/Documentos/631/60961931370/6316096193137008092023200941.pdf","https://dpmzos25m8ivg.cloudfront.net/Documentos/631/60961931370/6316096193137008092023200941.pdf")</f>
        <v>https://dpmzos25m8ivg.cloudfront.net/Documentos/631/60961931370/6316096193137008092023200941.pdf</v>
      </c>
      <c r="G7310" s="5" t="str">
        <f>HYPERLINK("https://dpmzos25m8ivg.cloudfront.net/Documentos/631/60961931370/6316096193137008092023200955.pdf","https://dpmzos25m8ivg.cloudfront.net/Documentos/631/60961931370/6316096193137008092023200955.pdf")</f>
        <v>https://dpmzos25m8ivg.cloudfront.net/Documentos/631/60961931370/6316096193137008092023200955.pdf</v>
      </c>
      <c r="H7310" s="5" t="s">
        <v>15878</v>
      </c>
    </row>
    <row r="7311" spans="1:8" x14ac:dyDescent="0.25">
      <c r="A7311" s="2" t="s">
        <v>7340</v>
      </c>
      <c r="B7311" s="3"/>
      <c r="C7311" s="3"/>
      <c r="D7311" s="3"/>
      <c r="E7311" s="5" t="str">
        <f>HYPERLINK("https://dpmzos25m8ivg.cloudfront.net/Documentos/631/60962289337/6316096228933711092023004307.jpeg","https://dpmzos25m8ivg.cloudfront.net/Documentos/631/60962289337/6316096228933711092023004307.jpeg")</f>
        <v>https://dpmzos25m8ivg.cloudfront.net/Documentos/631/60962289337/6316096228933711092023004307.jpeg</v>
      </c>
      <c r="F7311" s="5" t="str">
        <f>HYPERLINK("https://dpmzos25m8ivg.cloudfront.net/Documentos/631/60962289337/6316096228933711092023004318.jpeg","https://dpmzos25m8ivg.cloudfront.net/Documentos/631/60962289337/6316096228933711092023004318.jpeg")</f>
        <v>https://dpmzos25m8ivg.cloudfront.net/Documentos/631/60962289337/6316096228933711092023004318.jpeg</v>
      </c>
      <c r="G7311" s="5" t="str">
        <f>HYPERLINK("https://dpmzos25m8ivg.cloudfront.net/Documentos/631/60962289337/6316096228933711092023004327.jpeg","https://dpmzos25m8ivg.cloudfront.net/Documentos/631/60962289337/6316096228933711092023004327.jpeg")</f>
        <v>https://dpmzos25m8ivg.cloudfront.net/Documentos/631/60962289337/6316096228933711092023004327.jpeg</v>
      </c>
      <c r="H7311" s="5" t="s">
        <v>15879</v>
      </c>
    </row>
    <row r="7312" spans="1:8" x14ac:dyDescent="0.25">
      <c r="A7312" s="2" t="s">
        <v>7341</v>
      </c>
      <c r="B7312" s="3"/>
      <c r="C7312" s="3"/>
      <c r="D7312" s="3"/>
      <c r="E7312" s="5" t="str">
        <f>HYPERLINK("https://dpmzos25m8ivg.cloudfront.net/Documentos/631/60966098307/6316096609830712092023212329.pdf","https://dpmzos25m8ivg.cloudfront.net/Documentos/631/60966098307/6316096609830712092023212329.pdf")</f>
        <v>https://dpmzos25m8ivg.cloudfront.net/Documentos/631/60966098307/6316096609830712092023212329.pdf</v>
      </c>
      <c r="F7312" s="5" t="str">
        <f>HYPERLINK("https://dpmzos25m8ivg.cloudfront.net/Documentos/631/60966098307/6316096609830712092023212350.pdf","https://dpmzos25m8ivg.cloudfront.net/Documentos/631/60966098307/6316096609830712092023212350.pdf")</f>
        <v>https://dpmzos25m8ivg.cloudfront.net/Documentos/631/60966098307/6316096609830712092023212350.pdf</v>
      </c>
      <c r="G7312" s="5" t="str">
        <f>HYPERLINK("https://dpmzos25m8ivg.cloudfront.net/Documentos/631/60966098307/6316096609830712092023212358.pdf","https://dpmzos25m8ivg.cloudfront.net/Documentos/631/60966098307/6316096609830712092023212358.pdf")</f>
        <v>https://dpmzos25m8ivg.cloudfront.net/Documentos/631/60966098307/6316096609830712092023212358.pdf</v>
      </c>
      <c r="H7312" s="5" t="s">
        <v>15880</v>
      </c>
    </row>
    <row r="7313" spans="1:8" x14ac:dyDescent="0.25">
      <c r="A7313" s="2" t="s">
        <v>7342</v>
      </c>
      <c r="B7313" s="3"/>
      <c r="C7313" s="3"/>
      <c r="D7313" s="3"/>
      <c r="E7313" s="5" t="str">
        <f>HYPERLINK("https://dpmzos25m8ivg.cloudfront.net/Documentos/631/60980497345/6316098049734511092023104443.pdf","https://dpmzos25m8ivg.cloudfront.net/Documentos/631/60980497345/6316098049734511092023104443.pdf")</f>
        <v>https://dpmzos25m8ivg.cloudfront.net/Documentos/631/60980497345/6316098049734511092023104443.pdf</v>
      </c>
      <c r="F7313" s="5" t="str">
        <f>HYPERLINK("https://dpmzos25m8ivg.cloudfront.net/Documentos/631/60980497345/6316098049734511092023104946.pdf","https://dpmzos25m8ivg.cloudfront.net/Documentos/631/60980497345/6316098049734511092023104946.pdf")</f>
        <v>https://dpmzos25m8ivg.cloudfront.net/Documentos/631/60980497345/6316098049734511092023104946.pdf</v>
      </c>
      <c r="G7313" s="5" t="str">
        <f>HYPERLINK("https://dpmzos25m8ivg.cloudfront.net/Documentos/631/60980497345/6316098049734511092023105059.pdf","https://dpmzos25m8ivg.cloudfront.net/Documentos/631/60980497345/6316098049734511092023105059.pdf")</f>
        <v>https://dpmzos25m8ivg.cloudfront.net/Documentos/631/60980497345/6316098049734511092023105059.pdf</v>
      </c>
      <c r="H7313" s="5" t="s">
        <v>15881</v>
      </c>
    </row>
    <row r="7314" spans="1:8" x14ac:dyDescent="0.25">
      <c r="A7314" s="2" t="s">
        <v>7343</v>
      </c>
      <c r="B7314" s="3"/>
      <c r="C7314" s="3"/>
      <c r="D7314" s="3"/>
      <c r="E7314" s="5" t="str">
        <f>HYPERLINK("https://dpmzos25m8ivg.cloudfront.net/Documentos/631/60983700362/6316098370036214092023135831.jpg","https://dpmzos25m8ivg.cloudfront.net/Documentos/631/60983700362/6316098370036214092023135831.jpg")</f>
        <v>https://dpmzos25m8ivg.cloudfront.net/Documentos/631/60983700362/6316098370036214092023135831.jpg</v>
      </c>
      <c r="F7314" s="5" t="str">
        <f>HYPERLINK("https://dpmzos25m8ivg.cloudfront.net/Documentos/631/60983700362/6316098370036214092023135933.jpg","https://dpmzos25m8ivg.cloudfront.net/Documentos/631/60983700362/6316098370036214092023135933.jpg")</f>
        <v>https://dpmzos25m8ivg.cloudfront.net/Documentos/631/60983700362/6316098370036214092023135933.jpg</v>
      </c>
      <c r="G7314" s="5" t="str">
        <f>HYPERLINK("https://dpmzos25m8ivg.cloudfront.net/Documentos/631/60983700362/6316098370036214092023140408.jpg","https://dpmzos25m8ivg.cloudfront.net/Documentos/631/60983700362/6316098370036214092023140408.jpg")</f>
        <v>https://dpmzos25m8ivg.cloudfront.net/Documentos/631/60983700362/6316098370036214092023140408.jpg</v>
      </c>
      <c r="H7314" s="5" t="s">
        <v>15882</v>
      </c>
    </row>
    <row r="7315" spans="1:8" x14ac:dyDescent="0.25">
      <c r="A7315" s="2" t="s">
        <v>7344</v>
      </c>
      <c r="B7315" s="3"/>
      <c r="C7315" s="3"/>
      <c r="D7315" s="3"/>
      <c r="E7315" s="5" t="str">
        <f>HYPERLINK("https://dpmzos25m8ivg.cloudfront.net/Documentos/631/60996763333/6316099676333311092023160148.pdf","https://dpmzos25m8ivg.cloudfront.net/Documentos/631/60996763333/6316099676333311092023160148.pdf")</f>
        <v>https://dpmzos25m8ivg.cloudfront.net/Documentos/631/60996763333/6316099676333311092023160148.pdf</v>
      </c>
      <c r="F7315" s="5" t="str">
        <f>HYPERLINK("https://dpmzos25m8ivg.cloudfront.net/Documentos/631/60996763333/6316099676333311092023160203.pdf","https://dpmzos25m8ivg.cloudfront.net/Documentos/631/60996763333/6316099676333311092023160203.pdf")</f>
        <v>https://dpmzos25m8ivg.cloudfront.net/Documentos/631/60996763333/6316099676333311092023160203.pdf</v>
      </c>
      <c r="G7315" s="5" t="str">
        <f>HYPERLINK("https://dpmzos25m8ivg.cloudfront.net/Documentos/631/60996763333/6316099676333311092023160216.pdf","https://dpmzos25m8ivg.cloudfront.net/Documentos/631/60996763333/6316099676333311092023160216.pdf")</f>
        <v>https://dpmzos25m8ivg.cloudfront.net/Documentos/631/60996763333/6316099676333311092023160216.pdf</v>
      </c>
      <c r="H7315" s="5" t="s">
        <v>15883</v>
      </c>
    </row>
    <row r="7316" spans="1:8" x14ac:dyDescent="0.25">
      <c r="A7316" s="2" t="s">
        <v>7345</v>
      </c>
      <c r="B7316" s="3"/>
      <c r="C7316" s="3"/>
      <c r="D7316" s="3"/>
      <c r="E7316" s="5" t="str">
        <f>HYPERLINK("https://dpmzos25m8ivg.cloudfront.net/Documentos/631/61010233386/6316101023338614092023140934.pdf","https://dpmzos25m8ivg.cloudfront.net/Documentos/631/61010233386/6316101023338614092023140934.pdf")</f>
        <v>https://dpmzos25m8ivg.cloudfront.net/Documentos/631/61010233386/6316101023338614092023140934.pdf</v>
      </c>
      <c r="F7316" s="5" t="str">
        <f>HYPERLINK("https://dpmzos25m8ivg.cloudfront.net/Documentos/631/61010233386/6316101023338614092023140951.pdf","https://dpmzos25m8ivg.cloudfront.net/Documentos/631/61010233386/6316101023338614092023140951.pdf")</f>
        <v>https://dpmzos25m8ivg.cloudfront.net/Documentos/631/61010233386/6316101023338614092023140951.pdf</v>
      </c>
      <c r="G7316" s="5" t="str">
        <f>HYPERLINK("https://dpmzos25m8ivg.cloudfront.net/Documentos/631/61010233386/6316101023338614092023141008.pdf","https://dpmzos25m8ivg.cloudfront.net/Documentos/631/61010233386/6316101023338614092023141008.pdf")</f>
        <v>https://dpmzos25m8ivg.cloudfront.net/Documentos/631/61010233386/6316101023338614092023141008.pdf</v>
      </c>
      <c r="H7316" s="5" t="s">
        <v>15884</v>
      </c>
    </row>
    <row r="7317" spans="1:8" x14ac:dyDescent="0.25">
      <c r="A7317" s="2" t="s">
        <v>7346</v>
      </c>
      <c r="B7317" s="3"/>
      <c r="C7317" s="3"/>
      <c r="D7317" s="3"/>
      <c r="E7317" s="5" t="str">
        <f>HYPERLINK("https://dpmzos25m8ivg.cloudfront.net/Documentos/631/61010497367/6316101049736711092023160914.pdf","https://dpmzos25m8ivg.cloudfront.net/Documentos/631/61010497367/6316101049736711092023160914.pdf")</f>
        <v>https://dpmzos25m8ivg.cloudfront.net/Documentos/631/61010497367/6316101049736711092023160914.pdf</v>
      </c>
      <c r="F7317" s="5" t="str">
        <f>HYPERLINK("https://dpmzos25m8ivg.cloudfront.net/Documentos/631/61010497367/6316101049736711092023160924.pdf","https://dpmzos25m8ivg.cloudfront.net/Documentos/631/61010497367/6316101049736711092023160924.pdf")</f>
        <v>https://dpmzos25m8ivg.cloudfront.net/Documentos/631/61010497367/6316101049736711092023160924.pdf</v>
      </c>
      <c r="G7317" s="5" t="str">
        <f>HYPERLINK("https://dpmzos25m8ivg.cloudfront.net/Documentos/631/61010497367/6316101049736711092023160935.pdf","https://dpmzos25m8ivg.cloudfront.net/Documentos/631/61010497367/6316101049736711092023160935.pdf")</f>
        <v>https://dpmzos25m8ivg.cloudfront.net/Documentos/631/61010497367/6316101049736711092023160935.pdf</v>
      </c>
      <c r="H7317" s="5" t="s">
        <v>15885</v>
      </c>
    </row>
    <row r="7318" spans="1:8" x14ac:dyDescent="0.25">
      <c r="A7318" s="2" t="s">
        <v>7347</v>
      </c>
      <c r="B7318" s="3" t="s">
        <v>90</v>
      </c>
      <c r="C7318" s="3"/>
      <c r="D7318" s="3"/>
      <c r="E7318" s="5" t="str">
        <f>HYPERLINK("https://dpmzos25m8ivg.cloudfront.net/Documentos/631/61012510395/6316101251039505092023084926.pdf","https://dpmzos25m8ivg.cloudfront.net/Documentos/631/61012510395/6316101251039505092023084926.pdf")</f>
        <v>https://dpmzos25m8ivg.cloudfront.net/Documentos/631/61012510395/6316101251039505092023084926.pdf</v>
      </c>
      <c r="F7318" s="5" t="str">
        <f>HYPERLINK("https://dpmzos25m8ivg.cloudfront.net/Documentos/631/61012510395/6316101251039505092023084910.pdf","https://dpmzos25m8ivg.cloudfront.net/Documentos/631/61012510395/6316101251039505092023084910.pdf")</f>
        <v>https://dpmzos25m8ivg.cloudfront.net/Documentos/631/61012510395/6316101251039505092023084910.pdf</v>
      </c>
      <c r="G7318" s="5" t="str">
        <f>HYPERLINK("https://dpmzos25m8ivg.cloudfront.net/Documentos/631/61012510395/6316101251039505092023084854.pdf","https://dpmzos25m8ivg.cloudfront.net/Documentos/631/61012510395/6316101251039505092023084854.pdf")</f>
        <v>https://dpmzos25m8ivg.cloudfront.net/Documentos/631/61012510395/6316101251039505092023084854.pdf</v>
      </c>
      <c r="H7318" s="5" t="s">
        <v>15886</v>
      </c>
    </row>
    <row r="7319" spans="1:8" x14ac:dyDescent="0.25">
      <c r="A7319" s="2" t="s">
        <v>7348</v>
      </c>
      <c r="B7319" s="3" t="s">
        <v>308</v>
      </c>
      <c r="C7319" s="3"/>
      <c r="D7319" s="3"/>
      <c r="E7319" s="5" t="str">
        <f>HYPERLINK("https://dpmzos25m8ivg.cloudfront.net/Documentos/631/61033536377/6316103353637711092023165308.pdf","https://dpmzos25m8ivg.cloudfront.net/Documentos/631/61033536377/6316103353637711092023165308.pdf")</f>
        <v>https://dpmzos25m8ivg.cloudfront.net/Documentos/631/61033536377/6316103353637711092023165308.pdf</v>
      </c>
      <c r="F7319" s="5" t="str">
        <f>HYPERLINK("https://dpmzos25m8ivg.cloudfront.net/Documentos/631/61033536377/6316103353637711092023165330.pdf","https://dpmzos25m8ivg.cloudfront.net/Documentos/631/61033536377/6316103353637711092023165330.pdf")</f>
        <v>https://dpmzos25m8ivg.cloudfront.net/Documentos/631/61033536377/6316103353637711092023165330.pdf</v>
      </c>
      <c r="G7319" s="5" t="str">
        <f>HYPERLINK("https://dpmzos25m8ivg.cloudfront.net/Documentos/631/61033536377/6316103353637711092023165347.pdf","https://dpmzos25m8ivg.cloudfront.net/Documentos/631/61033536377/6316103353637711092023165347.pdf")</f>
        <v>https://dpmzos25m8ivg.cloudfront.net/Documentos/631/61033536377/6316103353637711092023165347.pdf</v>
      </c>
      <c r="H7319" s="5" t="s">
        <v>15887</v>
      </c>
    </row>
    <row r="7320" spans="1:8" x14ac:dyDescent="0.25">
      <c r="A7320" s="2" t="s">
        <v>7349</v>
      </c>
      <c r="B7320" s="3" t="s">
        <v>23</v>
      </c>
      <c r="C7320" s="3"/>
      <c r="D7320" s="3"/>
      <c r="E7320" s="5" t="str">
        <f>HYPERLINK("https://dpmzos25m8ivg.cloudfront.net/Documentos/631/61038370302/6316103837030211092023154434.jpg","https://dpmzos25m8ivg.cloudfront.net/Documentos/631/61038370302/6316103837030211092023154434.jpg")</f>
        <v>https://dpmzos25m8ivg.cloudfront.net/Documentos/631/61038370302/6316103837030211092023154434.jpg</v>
      </c>
      <c r="F7320" s="5" t="str">
        <f>HYPERLINK("https://dpmzos25m8ivg.cloudfront.net/Documentos/631/61038370302/6316103837030211092023154532.jpg","https://dpmzos25m8ivg.cloudfront.net/Documentos/631/61038370302/6316103837030211092023154532.jpg")</f>
        <v>https://dpmzos25m8ivg.cloudfront.net/Documentos/631/61038370302/6316103837030211092023154532.jpg</v>
      </c>
      <c r="G7320" s="5" t="str">
        <f>HYPERLINK("https://dpmzos25m8ivg.cloudfront.net/Documentos/631/61038370302/6316103837030211092023154635.jpg","https://dpmzos25m8ivg.cloudfront.net/Documentos/631/61038370302/6316103837030211092023154635.jpg")</f>
        <v>https://dpmzos25m8ivg.cloudfront.net/Documentos/631/61038370302/6316103837030211092023154635.jpg</v>
      </c>
      <c r="H7320" s="5" t="s">
        <v>15888</v>
      </c>
    </row>
    <row r="7321" spans="1:8" x14ac:dyDescent="0.25">
      <c r="A7321" s="2" t="s">
        <v>7350</v>
      </c>
      <c r="B7321" s="3"/>
      <c r="C7321" s="3"/>
      <c r="D7321" s="3"/>
      <c r="E7321" s="5" t="str">
        <f>HYPERLINK("https://dpmzos25m8ivg.cloudfront.net/Documentos/631/61065765215/6316106576521514092023091450.pdf","https://dpmzos25m8ivg.cloudfront.net/Documentos/631/61065765215/6316106576521514092023091450.pdf")</f>
        <v>https://dpmzos25m8ivg.cloudfront.net/Documentos/631/61065765215/6316106576521514092023091450.pdf</v>
      </c>
      <c r="F7321" s="5" t="str">
        <f>HYPERLINK("https://dpmzos25m8ivg.cloudfront.net/Documentos/631/61065765215/6316106576521514092023091555.pdf","https://dpmzos25m8ivg.cloudfront.net/Documentos/631/61065765215/6316106576521514092023091555.pdf")</f>
        <v>https://dpmzos25m8ivg.cloudfront.net/Documentos/631/61065765215/6316106576521514092023091555.pdf</v>
      </c>
      <c r="G7321" s="5" t="str">
        <f>HYPERLINK("https://dpmzos25m8ivg.cloudfront.net/Documentos/631/61065765215/6316106576521514092023091644.pdf","https://dpmzos25m8ivg.cloudfront.net/Documentos/631/61065765215/6316106576521514092023091644.pdf")</f>
        <v>https://dpmzos25m8ivg.cloudfront.net/Documentos/631/61065765215/6316106576521514092023091644.pdf</v>
      </c>
      <c r="H7321" s="5" t="s">
        <v>15889</v>
      </c>
    </row>
    <row r="7322" spans="1:8" x14ac:dyDescent="0.25">
      <c r="A7322" s="2" t="s">
        <v>7351</v>
      </c>
      <c r="B7322" s="3"/>
      <c r="C7322" s="3"/>
      <c r="D7322" s="3"/>
      <c r="E7322" s="5" t="str">
        <f>HYPERLINK("https://dpmzos25m8ivg.cloudfront.net/Documentos/631/61087305365/6316108730536511092023145712.pdf","https://dpmzos25m8ivg.cloudfront.net/Documentos/631/61087305365/6316108730536511092023145712.pdf")</f>
        <v>https://dpmzos25m8ivg.cloudfront.net/Documentos/631/61087305365/6316108730536511092023145712.pdf</v>
      </c>
      <c r="F7322" s="5" t="str">
        <f>HYPERLINK("https://dpmzos25m8ivg.cloudfront.net/Documentos/631/61087305365/6316108730536511092023145727.pdf","https://dpmzos25m8ivg.cloudfront.net/Documentos/631/61087305365/6316108730536511092023145727.pdf")</f>
        <v>https://dpmzos25m8ivg.cloudfront.net/Documentos/631/61087305365/6316108730536511092023145727.pdf</v>
      </c>
      <c r="G7322" s="5" t="str">
        <f>HYPERLINK("https://dpmzos25m8ivg.cloudfront.net/Documentos/631/61087305365/6316108730536511092023145740.pdf","https://dpmzos25m8ivg.cloudfront.net/Documentos/631/61087305365/6316108730536511092023145740.pdf")</f>
        <v>https://dpmzos25m8ivg.cloudfront.net/Documentos/631/61087305365/6316108730536511092023145740.pdf</v>
      </c>
      <c r="H7322" s="5" t="s">
        <v>15890</v>
      </c>
    </row>
    <row r="7323" spans="1:8" x14ac:dyDescent="0.25">
      <c r="A7323" s="2" t="s">
        <v>7352</v>
      </c>
      <c r="B7323" s="3"/>
      <c r="C7323" s="3"/>
      <c r="D7323" s="3"/>
      <c r="E7323" s="5" t="str">
        <f>HYPERLINK("https://dpmzos25m8ivg.cloudfront.net/Documentos/631/61089175396/6316108917539605092023141340.pdf","https://dpmzos25m8ivg.cloudfront.net/Documentos/631/61089175396/6316108917539605092023141340.pdf")</f>
        <v>https://dpmzos25m8ivg.cloudfront.net/Documentos/631/61089175396/6316108917539605092023141340.pdf</v>
      </c>
      <c r="F7323" s="5" t="str">
        <f>HYPERLINK("https://dpmzos25m8ivg.cloudfront.net/Documentos/631/61089175396/6316108917539605092023141411.pdf","https://dpmzos25m8ivg.cloudfront.net/Documentos/631/61089175396/6316108917539605092023141411.pdf")</f>
        <v>https://dpmzos25m8ivg.cloudfront.net/Documentos/631/61089175396/6316108917539605092023141411.pdf</v>
      </c>
      <c r="G7323" s="5" t="str">
        <f>HYPERLINK("https://dpmzos25m8ivg.cloudfront.net/Documentos/631/61089175396/6316108917539605092023141432.pdf","https://dpmzos25m8ivg.cloudfront.net/Documentos/631/61089175396/6316108917539605092023141432.pdf")</f>
        <v>https://dpmzos25m8ivg.cloudfront.net/Documentos/631/61089175396/6316108917539605092023141432.pdf</v>
      </c>
      <c r="H7323" s="5" t="s">
        <v>15891</v>
      </c>
    </row>
    <row r="7324" spans="1:8" x14ac:dyDescent="0.25">
      <c r="A7324" s="2" t="s">
        <v>7353</v>
      </c>
      <c r="B7324" s="3"/>
      <c r="C7324" s="3"/>
      <c r="D7324" s="3"/>
      <c r="E7324" s="5" t="str">
        <f>HYPERLINK("https://dpmzos25m8ivg.cloudfront.net/Documentos/631/61100327355/6316110032735507092023103757.jpg","https://dpmzos25m8ivg.cloudfront.net/Documentos/631/61100327355/6316110032735507092023103757.jpg")</f>
        <v>https://dpmzos25m8ivg.cloudfront.net/Documentos/631/61100327355/6316110032735507092023103757.jpg</v>
      </c>
      <c r="F7324" s="5" t="str">
        <f>HYPERLINK("https://dpmzos25m8ivg.cloudfront.net/Documentos/631/61100327355/6316110032735507092023103814.jpg","https://dpmzos25m8ivg.cloudfront.net/Documentos/631/61100327355/6316110032735507092023103814.jpg")</f>
        <v>https://dpmzos25m8ivg.cloudfront.net/Documentos/631/61100327355/6316110032735507092023103814.jpg</v>
      </c>
      <c r="G7324" s="5" t="str">
        <f>HYPERLINK("https://dpmzos25m8ivg.cloudfront.net/Documentos/631/61100327355/6316110032735507092023103829.jpg","https://dpmzos25m8ivg.cloudfront.net/Documentos/631/61100327355/6316110032735507092023103829.jpg")</f>
        <v>https://dpmzos25m8ivg.cloudfront.net/Documentos/631/61100327355/6316110032735507092023103829.jpg</v>
      </c>
      <c r="H7324" s="5" t="s">
        <v>15892</v>
      </c>
    </row>
    <row r="7325" spans="1:8" x14ac:dyDescent="0.25">
      <c r="A7325" s="2" t="s">
        <v>7354</v>
      </c>
      <c r="B7325" s="3"/>
      <c r="C7325" s="3"/>
      <c r="D7325" s="3"/>
      <c r="E7325" s="5" t="str">
        <f>HYPERLINK("https://dpmzos25m8ivg.cloudfront.net/Documentos/631/61102210153/6316110221015307092023134056.jpeg","https://dpmzos25m8ivg.cloudfront.net/Documentos/631/61102210153/6316110221015307092023134056.jpeg")</f>
        <v>https://dpmzos25m8ivg.cloudfront.net/Documentos/631/61102210153/6316110221015307092023134056.jpeg</v>
      </c>
      <c r="F7325" s="5" t="str">
        <f>HYPERLINK("https://dpmzos25m8ivg.cloudfront.net/Documentos/631/61102210153/6316110221015307092023134124.jpeg","https://dpmzos25m8ivg.cloudfront.net/Documentos/631/61102210153/6316110221015307092023134124.jpeg")</f>
        <v>https://dpmzos25m8ivg.cloudfront.net/Documentos/631/61102210153/6316110221015307092023134124.jpeg</v>
      </c>
      <c r="G7325" s="5" t="str">
        <f>HYPERLINK("https://dpmzos25m8ivg.cloudfront.net/Documentos/631/61102210153/6316110221015307092023134146.jpeg","https://dpmzos25m8ivg.cloudfront.net/Documentos/631/61102210153/6316110221015307092023134146.jpeg")</f>
        <v>https://dpmzos25m8ivg.cloudfront.net/Documentos/631/61102210153/6316110221015307092023134146.jpeg</v>
      </c>
      <c r="H7325" s="5" t="s">
        <v>15893</v>
      </c>
    </row>
    <row r="7326" spans="1:8" x14ac:dyDescent="0.25">
      <c r="A7326" s="2" t="s">
        <v>7355</v>
      </c>
      <c r="B7326" s="3"/>
      <c r="C7326" s="3"/>
      <c r="D7326" s="3"/>
      <c r="E7326" s="5" t="str">
        <f>HYPERLINK("https://dpmzos25m8ivg.cloudfront.net/Documentos/631/61133237304/6316113323730405092023140223.pdf","https://dpmzos25m8ivg.cloudfront.net/Documentos/631/61133237304/6316113323730405092023140223.pdf")</f>
        <v>https://dpmzos25m8ivg.cloudfront.net/Documentos/631/61133237304/6316113323730405092023140223.pdf</v>
      </c>
      <c r="F7326" s="5" t="str">
        <f>HYPERLINK("https://dpmzos25m8ivg.cloudfront.net/Documentos/631/61133237304/6316113323730405092023140233.pdf","https://dpmzos25m8ivg.cloudfront.net/Documentos/631/61133237304/6316113323730405092023140233.pdf")</f>
        <v>https://dpmzos25m8ivg.cloudfront.net/Documentos/631/61133237304/6316113323730405092023140233.pdf</v>
      </c>
      <c r="G7326" s="5" t="str">
        <f>HYPERLINK("https://dpmzos25m8ivg.cloudfront.net/Documentos/631/61133237304/6316113323730405092023140243.pdf","https://dpmzos25m8ivg.cloudfront.net/Documentos/631/61133237304/6316113323730405092023140243.pdf")</f>
        <v>https://dpmzos25m8ivg.cloudfront.net/Documentos/631/61133237304/6316113323730405092023140243.pdf</v>
      </c>
      <c r="H7326" s="5" t="s">
        <v>15894</v>
      </c>
    </row>
    <row r="7327" spans="1:8" x14ac:dyDescent="0.25">
      <c r="A7327" s="2" t="s">
        <v>7356</v>
      </c>
      <c r="B7327" s="3"/>
      <c r="C7327" s="3"/>
      <c r="D7327" s="3"/>
      <c r="E7327" s="5" t="str">
        <f>HYPERLINK("https://dpmzos25m8ivg.cloudfront.net/Documentos/631/61135359326/6316113535932611092023110437.pdf","https://dpmzos25m8ivg.cloudfront.net/Documentos/631/61135359326/6316113535932611092023110437.pdf")</f>
        <v>https://dpmzos25m8ivg.cloudfront.net/Documentos/631/61135359326/6316113535932611092023110437.pdf</v>
      </c>
      <c r="F7327" s="5" t="str">
        <f>HYPERLINK("https://dpmzos25m8ivg.cloudfront.net/Documentos/631/61135359326/6316113535932611092023110444.pdf","https://dpmzos25m8ivg.cloudfront.net/Documentos/631/61135359326/6316113535932611092023110444.pdf")</f>
        <v>https://dpmzos25m8ivg.cloudfront.net/Documentos/631/61135359326/6316113535932611092023110444.pdf</v>
      </c>
      <c r="G7327" s="5" t="str">
        <f>HYPERLINK("https://dpmzos25m8ivg.cloudfront.net/Documentos/631/61135359326/6316113535932611092023110452.pdf","https://dpmzos25m8ivg.cloudfront.net/Documentos/631/61135359326/6316113535932611092023110452.pdf")</f>
        <v>https://dpmzos25m8ivg.cloudfront.net/Documentos/631/61135359326/6316113535932611092023110452.pdf</v>
      </c>
      <c r="H7327" s="5" t="s">
        <v>15895</v>
      </c>
    </row>
    <row r="7328" spans="1:8" x14ac:dyDescent="0.25">
      <c r="A7328" s="2" t="s">
        <v>7357</v>
      </c>
      <c r="B7328" s="3"/>
      <c r="C7328" s="3"/>
      <c r="D7328" s="3"/>
      <c r="E7328" s="5" t="str">
        <f>HYPERLINK("https://dpmzos25m8ivg.cloudfront.net/Documentos/631/61136888365/6316113688836511092023115216.pdf","https://dpmzos25m8ivg.cloudfront.net/Documentos/631/61136888365/6316113688836511092023115216.pdf")</f>
        <v>https://dpmzos25m8ivg.cloudfront.net/Documentos/631/61136888365/6316113688836511092023115216.pdf</v>
      </c>
      <c r="F7328" s="5" t="str">
        <f>HYPERLINK("https://dpmzos25m8ivg.cloudfront.net/Documentos/631/61136888365/6316113688836511092023115231.pdf","https://dpmzos25m8ivg.cloudfront.net/Documentos/631/61136888365/6316113688836511092023115231.pdf")</f>
        <v>https://dpmzos25m8ivg.cloudfront.net/Documentos/631/61136888365/6316113688836511092023115231.pdf</v>
      </c>
      <c r="G7328" s="5" t="str">
        <f>HYPERLINK("https://dpmzos25m8ivg.cloudfront.net/Documentos/631/61136888365/6316113688836511092023115246.pdf","https://dpmzos25m8ivg.cloudfront.net/Documentos/631/61136888365/6316113688836511092023115246.pdf")</f>
        <v>https://dpmzos25m8ivg.cloudfront.net/Documentos/631/61136888365/6316113688836511092023115246.pdf</v>
      </c>
      <c r="H7328" s="5" t="s">
        <v>15896</v>
      </c>
    </row>
    <row r="7329" spans="1:8" x14ac:dyDescent="0.25">
      <c r="A7329" s="2" t="s">
        <v>7358</v>
      </c>
      <c r="B7329" s="3" t="s">
        <v>23</v>
      </c>
      <c r="C7329" s="3"/>
      <c r="D7329" s="3"/>
      <c r="E7329" s="5" t="str">
        <f>HYPERLINK("https://dpmzos25m8ivg.cloudfront.net/Documentos/631/61146521340/6316114652134011092023082233.pdf","https://dpmzos25m8ivg.cloudfront.net/Documentos/631/61146521340/6316114652134011092023082233.pdf")</f>
        <v>https://dpmzos25m8ivg.cloudfront.net/Documentos/631/61146521340/6316114652134011092023082233.pdf</v>
      </c>
      <c r="F7329" s="5" t="str">
        <f>HYPERLINK("https://dpmzos25m8ivg.cloudfront.net/Documentos/631/61146521340/6316114652134011092023082245.pdf","https://dpmzos25m8ivg.cloudfront.net/Documentos/631/61146521340/6316114652134011092023082245.pdf")</f>
        <v>https://dpmzos25m8ivg.cloudfront.net/Documentos/631/61146521340/6316114652134011092023082245.pdf</v>
      </c>
      <c r="G7329" s="5" t="str">
        <f>HYPERLINK("https://dpmzos25m8ivg.cloudfront.net/Documentos/631/61146521340/6316114652134011092023082258.pdf","https://dpmzos25m8ivg.cloudfront.net/Documentos/631/61146521340/6316114652134011092023082258.pdf")</f>
        <v>https://dpmzos25m8ivg.cloudfront.net/Documentos/631/61146521340/6316114652134011092023082258.pdf</v>
      </c>
      <c r="H7329" s="5" t="s">
        <v>15897</v>
      </c>
    </row>
    <row r="7330" spans="1:8" x14ac:dyDescent="0.25">
      <c r="A7330" s="2" t="s">
        <v>7359</v>
      </c>
      <c r="B7330" s="3"/>
      <c r="C7330" s="3"/>
      <c r="D7330" s="3"/>
      <c r="E7330" s="5" t="str">
        <f>HYPERLINK("https://dpmzos25m8ivg.cloudfront.net/Documentos/631/61148275380/6316114827538005092023092130.pdf","https://dpmzos25m8ivg.cloudfront.net/Documentos/631/61148275380/6316114827538005092023092130.pdf")</f>
        <v>https://dpmzos25m8ivg.cloudfront.net/Documentos/631/61148275380/6316114827538005092023092130.pdf</v>
      </c>
      <c r="F7330" s="5" t="str">
        <f>HYPERLINK("https://dpmzos25m8ivg.cloudfront.net/Documentos/631/61148275380/6316114827538005092023092509.pdf","https://dpmzos25m8ivg.cloudfront.net/Documentos/631/61148275380/6316114827538005092023092509.pdf")</f>
        <v>https://dpmzos25m8ivg.cloudfront.net/Documentos/631/61148275380/6316114827538005092023092509.pdf</v>
      </c>
      <c r="G7330" s="5" t="str">
        <f>HYPERLINK("https://dpmzos25m8ivg.cloudfront.net/Documentos/631/61148275380/6316114827538005092023092712.pdf","https://dpmzos25m8ivg.cloudfront.net/Documentos/631/61148275380/6316114827538005092023092712.pdf")</f>
        <v>https://dpmzos25m8ivg.cloudfront.net/Documentos/631/61148275380/6316114827538005092023092712.pdf</v>
      </c>
      <c r="H7330" s="5" t="s">
        <v>15898</v>
      </c>
    </row>
    <row r="7331" spans="1:8" x14ac:dyDescent="0.25">
      <c r="A7331" s="2" t="s">
        <v>7360</v>
      </c>
      <c r="B7331" s="3"/>
      <c r="C7331" s="3"/>
      <c r="D7331" s="3"/>
      <c r="E7331" s="5" t="str">
        <f>HYPERLINK("https://dpmzos25m8ivg.cloudfront.net/Documentos/631/61149646322/6316114964632207092023120238.pdf","https://dpmzos25m8ivg.cloudfront.net/Documentos/631/61149646322/6316114964632207092023120238.pdf")</f>
        <v>https://dpmzos25m8ivg.cloudfront.net/Documentos/631/61149646322/6316114964632207092023120238.pdf</v>
      </c>
      <c r="F7331" s="5" t="str">
        <f>HYPERLINK("https://dpmzos25m8ivg.cloudfront.net/Documentos/631/61149646322/6316114964632207092023120319.pdf","https://dpmzos25m8ivg.cloudfront.net/Documentos/631/61149646322/6316114964632207092023120319.pdf")</f>
        <v>https://dpmzos25m8ivg.cloudfront.net/Documentos/631/61149646322/6316114964632207092023120319.pdf</v>
      </c>
      <c r="G7331" s="5" t="str">
        <f>HYPERLINK("https://dpmzos25m8ivg.cloudfront.net/Documentos/631/61149646322/6316114964632207092023120341.pdf","https://dpmzos25m8ivg.cloudfront.net/Documentos/631/61149646322/6316114964632207092023120341.pdf")</f>
        <v>https://dpmzos25m8ivg.cloudfront.net/Documentos/631/61149646322/6316114964632207092023120341.pdf</v>
      </c>
      <c r="H7331" s="5" t="s">
        <v>15899</v>
      </c>
    </row>
    <row r="7332" spans="1:8" x14ac:dyDescent="0.25">
      <c r="A7332" s="2" t="s">
        <v>7361</v>
      </c>
      <c r="B7332" s="3" t="s">
        <v>90</v>
      </c>
      <c r="C7332" s="3"/>
      <c r="D7332" s="3"/>
      <c r="E7332" s="5" t="str">
        <f>HYPERLINK("https://dpmzos25m8ivg.cloudfront.net/Documentos/631/61173813365/6316117381336510092023232149.pdf","https://dpmzos25m8ivg.cloudfront.net/Documentos/631/61173813365/6316117381336510092023232149.pdf")</f>
        <v>https://dpmzos25m8ivg.cloudfront.net/Documentos/631/61173813365/6316117381336510092023232149.pdf</v>
      </c>
      <c r="F7332" s="5" t="str">
        <f>HYPERLINK("https://dpmzos25m8ivg.cloudfront.net/Documentos/631/61173813365/6316117381336510092023232207.pdf","https://dpmzos25m8ivg.cloudfront.net/Documentos/631/61173813365/6316117381336510092023232207.pdf")</f>
        <v>https://dpmzos25m8ivg.cloudfront.net/Documentos/631/61173813365/6316117381336510092023232207.pdf</v>
      </c>
      <c r="G7332" s="5" t="str">
        <f>HYPERLINK("https://dpmzos25m8ivg.cloudfront.net/Documentos/631/61173813365/6316117381336510092023232305.pdf","https://dpmzos25m8ivg.cloudfront.net/Documentos/631/61173813365/6316117381336510092023232305.pdf")</f>
        <v>https://dpmzos25m8ivg.cloudfront.net/Documentos/631/61173813365/6316117381336510092023232305.pdf</v>
      </c>
      <c r="H7332" s="5" t="s">
        <v>15900</v>
      </c>
    </row>
    <row r="7333" spans="1:8" x14ac:dyDescent="0.25">
      <c r="A7333" s="2" t="s">
        <v>7362</v>
      </c>
      <c r="B7333" s="3"/>
      <c r="C7333" s="3"/>
      <c r="D7333" s="3"/>
      <c r="E7333" s="5" t="str">
        <f>HYPERLINK("https://dpmzos25m8ivg.cloudfront.net/Documentos/631/61177010399/6316117701039906092023132700.pdf","https://dpmzos25m8ivg.cloudfront.net/Documentos/631/61177010399/6316117701039906092023132700.pdf")</f>
        <v>https://dpmzos25m8ivg.cloudfront.net/Documentos/631/61177010399/6316117701039906092023132700.pdf</v>
      </c>
      <c r="F7333" s="5" t="str">
        <f>HYPERLINK("https://dpmzos25m8ivg.cloudfront.net/Documentos/631/61177010399/6316117701039906092023132714.pdf","https://dpmzos25m8ivg.cloudfront.net/Documentos/631/61177010399/6316117701039906092023132714.pdf")</f>
        <v>https://dpmzos25m8ivg.cloudfront.net/Documentos/631/61177010399/6316117701039906092023132714.pdf</v>
      </c>
      <c r="G7333" s="5" t="str">
        <f>HYPERLINK("https://dpmzos25m8ivg.cloudfront.net/Documentos/631/61177010399/6316117701039906092023132723.pdf","https://dpmzos25m8ivg.cloudfront.net/Documentos/631/61177010399/6316117701039906092023132723.pdf")</f>
        <v>https://dpmzos25m8ivg.cloudfront.net/Documentos/631/61177010399/6316117701039906092023132723.pdf</v>
      </c>
      <c r="H7333" s="5" t="s">
        <v>15901</v>
      </c>
    </row>
    <row r="7334" spans="1:8" x14ac:dyDescent="0.25">
      <c r="A7334" s="2" t="s">
        <v>7363</v>
      </c>
      <c r="B7334" s="3"/>
      <c r="C7334" s="3"/>
      <c r="D7334" s="3"/>
      <c r="E7334" s="5" t="str">
        <f>HYPERLINK("https://dpmzos25m8ivg.cloudfront.net/Documentos/631/61201730309/6316120173030910092023152345.jpg","https://dpmzos25m8ivg.cloudfront.net/Documentos/631/61201730309/6316120173030910092023152345.jpg")</f>
        <v>https://dpmzos25m8ivg.cloudfront.net/Documentos/631/61201730309/6316120173030910092023152345.jpg</v>
      </c>
      <c r="F7334" s="5" t="str">
        <f>HYPERLINK("https://dpmzos25m8ivg.cloudfront.net/Documentos/631/61201730309/6316120173030910092023152444.jpg","https://dpmzos25m8ivg.cloudfront.net/Documentos/631/61201730309/6316120173030910092023152444.jpg")</f>
        <v>https://dpmzos25m8ivg.cloudfront.net/Documentos/631/61201730309/6316120173030910092023152444.jpg</v>
      </c>
      <c r="G7334" s="5" t="str">
        <f>HYPERLINK("https://dpmzos25m8ivg.cloudfront.net/Documentos/631/61201730309/6316120173030910092023152456.jpg","https://dpmzos25m8ivg.cloudfront.net/Documentos/631/61201730309/6316120173030910092023152456.jpg")</f>
        <v>https://dpmzos25m8ivg.cloudfront.net/Documentos/631/61201730309/6316120173030910092023152456.jpg</v>
      </c>
      <c r="H7334" s="5" t="s">
        <v>15902</v>
      </c>
    </row>
    <row r="7335" spans="1:8" x14ac:dyDescent="0.25">
      <c r="A7335" s="2" t="s">
        <v>7364</v>
      </c>
      <c r="B7335" s="3" t="s">
        <v>90</v>
      </c>
      <c r="C7335" s="3"/>
      <c r="D7335" s="3"/>
      <c r="E7335" s="5" t="str">
        <f>HYPERLINK("https://dpmzos25m8ivg.cloudfront.net/Documentos/631/61224915356/6316122491535611092023143740.jpg","https://dpmzos25m8ivg.cloudfront.net/Documentos/631/61224915356/6316122491535611092023143740.jpg")</f>
        <v>https://dpmzos25m8ivg.cloudfront.net/Documentos/631/61224915356/6316122491535611092023143740.jpg</v>
      </c>
      <c r="F7335" s="5" t="str">
        <f>HYPERLINK("https://dpmzos25m8ivg.cloudfront.net/Documentos/631/61224915356/6316122491535611092023144301.jpg","https://dpmzos25m8ivg.cloudfront.net/Documentos/631/61224915356/6316122491535611092023144301.jpg")</f>
        <v>https://dpmzos25m8ivg.cloudfront.net/Documentos/631/61224915356/6316122491535611092023144301.jpg</v>
      </c>
      <c r="G7335" s="5" t="str">
        <f>HYPERLINK("https://dpmzos25m8ivg.cloudfront.net/Documentos/631/61224915356/6316122491535611092023144320.jpg","https://dpmzos25m8ivg.cloudfront.net/Documentos/631/61224915356/6316122491535611092023144320.jpg")</f>
        <v>https://dpmzos25m8ivg.cloudfront.net/Documentos/631/61224915356/6316122491535611092023144320.jpg</v>
      </c>
      <c r="H7335" s="5" t="s">
        <v>15903</v>
      </c>
    </row>
    <row r="7336" spans="1:8" x14ac:dyDescent="0.25">
      <c r="A7336" s="2" t="s">
        <v>7365</v>
      </c>
      <c r="B7336" s="3" t="s">
        <v>23</v>
      </c>
      <c r="C7336" s="3"/>
      <c r="D7336" s="3"/>
      <c r="E7336" s="5" t="str">
        <f>HYPERLINK("https://dpmzos25m8ivg.cloudfront.net/Documentos/631/61227127367/6316122712736711092023143241.jpeg","https://dpmzos25m8ivg.cloudfront.net/Documentos/631/61227127367/6316122712736711092023143241.jpeg")</f>
        <v>https://dpmzos25m8ivg.cloudfront.net/Documentos/631/61227127367/6316122712736711092023143241.jpeg</v>
      </c>
      <c r="F7336" s="5" t="str">
        <f>HYPERLINK("https://dpmzos25m8ivg.cloudfront.net/Documentos/631/61227127367/6316122712736711092023143250.jpeg","https://dpmzos25m8ivg.cloudfront.net/Documentos/631/61227127367/6316122712736711092023143250.jpeg")</f>
        <v>https://dpmzos25m8ivg.cloudfront.net/Documentos/631/61227127367/6316122712736711092023143250.jpeg</v>
      </c>
      <c r="G7336" s="5" t="str">
        <f>HYPERLINK("https://dpmzos25m8ivg.cloudfront.net/Documentos/631/61227127367/6316122712736711092023143259.jpeg","https://dpmzos25m8ivg.cloudfront.net/Documentos/631/61227127367/6316122712736711092023143259.jpeg")</f>
        <v>https://dpmzos25m8ivg.cloudfront.net/Documentos/631/61227127367/6316122712736711092023143259.jpeg</v>
      </c>
      <c r="H7336" s="5" t="s">
        <v>15904</v>
      </c>
    </row>
    <row r="7337" spans="1:8" x14ac:dyDescent="0.25">
      <c r="A7337" s="2" t="s">
        <v>7366</v>
      </c>
      <c r="B7337" s="3"/>
      <c r="C7337" s="3"/>
      <c r="D7337" s="3"/>
      <c r="E7337" s="5" t="str">
        <f>HYPERLINK("https://dpmzos25m8ivg.cloudfront.net/Documentos/631/61238982301/6316123898230111092023160644.pdf","https://dpmzos25m8ivg.cloudfront.net/Documentos/631/61238982301/6316123898230111092023160644.pdf")</f>
        <v>https://dpmzos25m8ivg.cloudfront.net/Documentos/631/61238982301/6316123898230111092023160644.pdf</v>
      </c>
      <c r="F7337" s="5" t="str">
        <f>HYPERLINK("https://dpmzos25m8ivg.cloudfront.net/Documentos/631/61238982301/6316123898230111092023160701.pdf","https://dpmzos25m8ivg.cloudfront.net/Documentos/631/61238982301/6316123898230111092023160701.pdf")</f>
        <v>https://dpmzos25m8ivg.cloudfront.net/Documentos/631/61238982301/6316123898230111092023160701.pdf</v>
      </c>
      <c r="G7337" s="5" t="str">
        <f>HYPERLINK("https://dpmzos25m8ivg.cloudfront.net/Documentos/631/61238982301/6316123898230111092023160731.pdf","https://dpmzos25m8ivg.cloudfront.net/Documentos/631/61238982301/6316123898230111092023160731.pdf")</f>
        <v>https://dpmzos25m8ivg.cloudfront.net/Documentos/631/61238982301/6316123898230111092023160731.pdf</v>
      </c>
      <c r="H7337" s="5" t="s">
        <v>15905</v>
      </c>
    </row>
    <row r="7338" spans="1:8" x14ac:dyDescent="0.25">
      <c r="A7338" s="2" t="s">
        <v>7367</v>
      </c>
      <c r="B7338" s="3"/>
      <c r="C7338" s="3"/>
      <c r="D7338" s="3"/>
      <c r="E7338" s="5" t="str">
        <f>HYPERLINK("https://dpmzos25m8ivg.cloudfront.net/Documentos/631/61246059371/6316124605937110092023205815.pdf","https://dpmzos25m8ivg.cloudfront.net/Documentos/631/61246059371/6316124605937110092023205815.pdf")</f>
        <v>https://dpmzos25m8ivg.cloudfront.net/Documentos/631/61246059371/6316124605937110092023205815.pdf</v>
      </c>
      <c r="F7338" s="5" t="str">
        <f>HYPERLINK("https://dpmzos25m8ivg.cloudfront.net/Documentos/631/61246059371/6316124605937110092023205854.pdf","https://dpmzos25m8ivg.cloudfront.net/Documentos/631/61246059371/6316124605937110092023205854.pdf")</f>
        <v>https://dpmzos25m8ivg.cloudfront.net/Documentos/631/61246059371/6316124605937110092023205854.pdf</v>
      </c>
      <c r="G7338" s="5" t="str">
        <f>HYPERLINK("https://dpmzos25m8ivg.cloudfront.net/Documentos/631/61246059371/6316124605937110092023205919.pdf","https://dpmzos25m8ivg.cloudfront.net/Documentos/631/61246059371/6316124605937110092023205919.pdf")</f>
        <v>https://dpmzos25m8ivg.cloudfront.net/Documentos/631/61246059371/6316124605937110092023205919.pdf</v>
      </c>
      <c r="H7338" s="5" t="s">
        <v>15906</v>
      </c>
    </row>
    <row r="7339" spans="1:8" x14ac:dyDescent="0.25">
      <c r="A7339" s="2" t="s">
        <v>7368</v>
      </c>
      <c r="B7339" s="3"/>
      <c r="C7339" s="3"/>
      <c r="D7339" s="3"/>
      <c r="E7339" s="5" t="str">
        <f>HYPERLINK("https://dpmzos25m8ivg.cloudfront.net/Documentos/631/61248191390/6316124819139009092023111123.pdf","https://dpmzos25m8ivg.cloudfront.net/Documentos/631/61248191390/6316124819139009092023111123.pdf")</f>
        <v>https://dpmzos25m8ivg.cloudfront.net/Documentos/631/61248191390/6316124819139009092023111123.pdf</v>
      </c>
      <c r="F7339" s="5" t="str">
        <f>HYPERLINK("https://dpmzos25m8ivg.cloudfront.net/Documentos/631/61248191390/6316124819139009092023111159.pdf","https://dpmzos25m8ivg.cloudfront.net/Documentos/631/61248191390/6316124819139009092023111159.pdf")</f>
        <v>https://dpmzos25m8ivg.cloudfront.net/Documentos/631/61248191390/6316124819139009092023111159.pdf</v>
      </c>
      <c r="G7339" s="5" t="str">
        <f>HYPERLINK("https://dpmzos25m8ivg.cloudfront.net/Documentos/631/61248191390/6316124819139009092023111222.pdf","https://dpmzos25m8ivg.cloudfront.net/Documentos/631/61248191390/6316124819139009092023111222.pdf")</f>
        <v>https://dpmzos25m8ivg.cloudfront.net/Documentos/631/61248191390/6316124819139009092023111222.pdf</v>
      </c>
      <c r="H7339" s="5" t="s">
        <v>15907</v>
      </c>
    </row>
    <row r="7340" spans="1:8" x14ac:dyDescent="0.25">
      <c r="A7340" s="2" t="s">
        <v>7369</v>
      </c>
      <c r="B7340" s="3"/>
      <c r="C7340" s="3"/>
      <c r="D7340" s="3"/>
      <c r="E7340" s="5" t="str">
        <f>HYPERLINK("https://dpmzos25m8ivg.cloudfront.net/Documentos/631/61253102309/6316125310230907092023101701.pdf","https://dpmzos25m8ivg.cloudfront.net/Documentos/631/61253102309/6316125310230907092023101701.pdf")</f>
        <v>https://dpmzos25m8ivg.cloudfront.net/Documentos/631/61253102309/6316125310230907092023101701.pdf</v>
      </c>
      <c r="F7340" s="5" t="str">
        <f>HYPERLINK("https://dpmzos25m8ivg.cloudfront.net/Documentos/631/61253102309/6316125310230907092023101725.pdf","https://dpmzos25m8ivg.cloudfront.net/Documentos/631/61253102309/6316125310230907092023101725.pdf")</f>
        <v>https://dpmzos25m8ivg.cloudfront.net/Documentos/631/61253102309/6316125310230907092023101725.pdf</v>
      </c>
      <c r="G7340" s="5" t="str">
        <f>HYPERLINK("https://dpmzos25m8ivg.cloudfront.net/Documentos/631/61253102309/6316125310230907092023101743.pdf","https://dpmzos25m8ivg.cloudfront.net/Documentos/631/61253102309/6316125310230907092023101743.pdf")</f>
        <v>https://dpmzos25m8ivg.cloudfront.net/Documentos/631/61253102309/6316125310230907092023101743.pdf</v>
      </c>
      <c r="H7340" s="5" t="s">
        <v>15908</v>
      </c>
    </row>
    <row r="7341" spans="1:8" x14ac:dyDescent="0.25">
      <c r="A7341" s="2" t="s">
        <v>7370</v>
      </c>
      <c r="B7341" s="3"/>
      <c r="C7341" s="3"/>
      <c r="D7341" s="3"/>
      <c r="E7341" s="5" t="str">
        <f>HYPERLINK("https://dpmzos25m8ivg.cloudfront.net/Documentos/631/61255003308/6316125500330811092023154545.pdf","https://dpmzos25m8ivg.cloudfront.net/Documentos/631/61255003308/6316125500330811092023154545.pdf")</f>
        <v>https://dpmzos25m8ivg.cloudfront.net/Documentos/631/61255003308/6316125500330811092023154545.pdf</v>
      </c>
      <c r="F7341" s="5" t="str">
        <f>HYPERLINK("https://dpmzos25m8ivg.cloudfront.net/Documentos/631/61255003308/6316125500330811092023154604.pdf","https://dpmzos25m8ivg.cloudfront.net/Documentos/631/61255003308/6316125500330811092023154604.pdf")</f>
        <v>https://dpmzos25m8ivg.cloudfront.net/Documentos/631/61255003308/6316125500330811092023154604.pdf</v>
      </c>
      <c r="G7341" s="5" t="str">
        <f>HYPERLINK("https://dpmzos25m8ivg.cloudfront.net/Documentos/631/61255003308/6316125500330811092023153907.pdf","https://dpmzos25m8ivg.cloudfront.net/Documentos/631/61255003308/6316125500330811092023153907.pdf")</f>
        <v>https://dpmzos25m8ivg.cloudfront.net/Documentos/631/61255003308/6316125500330811092023153907.pdf</v>
      </c>
      <c r="H7341" s="5" t="s">
        <v>15909</v>
      </c>
    </row>
    <row r="7342" spans="1:8" x14ac:dyDescent="0.25">
      <c r="A7342" s="2" t="s">
        <v>7371</v>
      </c>
      <c r="B7342" s="3"/>
      <c r="C7342" s="3"/>
      <c r="D7342" s="3"/>
      <c r="E7342" s="5" t="str">
        <f>HYPERLINK("https://dpmzos25m8ivg.cloudfront.net/Documentos/631/61255293390/6316125529339005092023203520.pdf","https://dpmzos25m8ivg.cloudfront.net/Documentos/631/61255293390/6316125529339005092023203520.pdf")</f>
        <v>https://dpmzos25m8ivg.cloudfront.net/Documentos/631/61255293390/6316125529339005092023203520.pdf</v>
      </c>
      <c r="F7342" s="5" t="str">
        <f>HYPERLINK("https://dpmzos25m8ivg.cloudfront.net/Documentos/631/61255293390/6316125529339005092023203534.pdf","https://dpmzos25m8ivg.cloudfront.net/Documentos/631/61255293390/6316125529339005092023203534.pdf")</f>
        <v>https://dpmzos25m8ivg.cloudfront.net/Documentos/631/61255293390/6316125529339005092023203534.pdf</v>
      </c>
      <c r="G7342" s="5" t="str">
        <f>HYPERLINK("https://dpmzos25m8ivg.cloudfront.net/Documentos/631/61255293390/6316125529339005092023203550.pdf","https://dpmzos25m8ivg.cloudfront.net/Documentos/631/61255293390/6316125529339005092023203550.pdf")</f>
        <v>https://dpmzos25m8ivg.cloudfront.net/Documentos/631/61255293390/6316125529339005092023203550.pdf</v>
      </c>
      <c r="H7342" s="5" t="s">
        <v>15910</v>
      </c>
    </row>
    <row r="7343" spans="1:8" x14ac:dyDescent="0.25">
      <c r="A7343" s="2" t="s">
        <v>7372</v>
      </c>
      <c r="B7343" s="3"/>
      <c r="C7343" s="3"/>
      <c r="D7343" s="3"/>
      <c r="E7343" s="5" t="str">
        <f>HYPERLINK("https://dpmzos25m8ivg.cloudfront.net/Documentos/631/61275495311/6316127549531111092023091815.pdf","https://dpmzos25m8ivg.cloudfront.net/Documentos/631/61275495311/6316127549531111092023091815.pdf")</f>
        <v>https://dpmzos25m8ivg.cloudfront.net/Documentos/631/61275495311/6316127549531111092023091815.pdf</v>
      </c>
      <c r="F7343" s="5" t="str">
        <f>HYPERLINK("https://dpmzos25m8ivg.cloudfront.net/Documentos/631/61275495311/6316127549531111092023091828.pdf","https://dpmzos25m8ivg.cloudfront.net/Documentos/631/61275495311/6316127549531111092023091828.pdf")</f>
        <v>https://dpmzos25m8ivg.cloudfront.net/Documentos/631/61275495311/6316127549531111092023091828.pdf</v>
      </c>
      <c r="G7343" s="5" t="str">
        <f>HYPERLINK("https://dpmzos25m8ivg.cloudfront.net/Documentos/631/61275495311/6316127549531111092023091840.pdf","https://dpmzos25m8ivg.cloudfront.net/Documentos/631/61275495311/6316127549531111092023091840.pdf")</f>
        <v>https://dpmzos25m8ivg.cloudfront.net/Documentos/631/61275495311/6316127549531111092023091840.pdf</v>
      </c>
      <c r="H7343" s="5" t="s">
        <v>15911</v>
      </c>
    </row>
    <row r="7344" spans="1:8" x14ac:dyDescent="0.25">
      <c r="A7344" s="2" t="s">
        <v>7373</v>
      </c>
      <c r="B7344" s="3"/>
      <c r="C7344" s="3"/>
      <c r="D7344" s="3"/>
      <c r="E7344" s="5" t="str">
        <f>HYPERLINK("https://dpmzos25m8ivg.cloudfront.net/Documentos/631/61276047371/6316127604737111092023164202.pdf","https://dpmzos25m8ivg.cloudfront.net/Documentos/631/61276047371/6316127604737111092023164202.pdf")</f>
        <v>https://dpmzos25m8ivg.cloudfront.net/Documentos/631/61276047371/6316127604737111092023164202.pdf</v>
      </c>
      <c r="F7344" s="5" t="str">
        <f>HYPERLINK("https://dpmzos25m8ivg.cloudfront.net/Documentos/631/61276047371/6316127604737111092023164219.pdf","https://dpmzos25m8ivg.cloudfront.net/Documentos/631/61276047371/6316127604737111092023164219.pdf")</f>
        <v>https://dpmzos25m8ivg.cloudfront.net/Documentos/631/61276047371/6316127604737111092023164219.pdf</v>
      </c>
      <c r="G7344" s="5" t="str">
        <f>HYPERLINK("https://dpmzos25m8ivg.cloudfront.net/Documentos/631/61276047371/6316127604737111092023164230.pdf","https://dpmzos25m8ivg.cloudfront.net/Documentos/631/61276047371/6316127604737111092023164230.pdf")</f>
        <v>https://dpmzos25m8ivg.cloudfront.net/Documentos/631/61276047371/6316127604737111092023164230.pdf</v>
      </c>
      <c r="H7344" s="5" t="s">
        <v>15912</v>
      </c>
    </row>
    <row r="7345" spans="1:8" x14ac:dyDescent="0.25">
      <c r="A7345" s="2" t="s">
        <v>7374</v>
      </c>
      <c r="B7345" s="3"/>
      <c r="C7345" s="3"/>
      <c r="D7345" s="3"/>
      <c r="E7345" s="5" t="str">
        <f>HYPERLINK("https://dpmzos25m8ivg.cloudfront.net/Documentos/631/61278753311/6316127875331105092023113354.pdf","https://dpmzos25m8ivg.cloudfront.net/Documentos/631/61278753311/6316127875331105092023113354.pdf")</f>
        <v>https://dpmzos25m8ivg.cloudfront.net/Documentos/631/61278753311/6316127875331105092023113354.pdf</v>
      </c>
      <c r="F7345" s="5" t="str">
        <f>HYPERLINK("https://dpmzos25m8ivg.cloudfront.net/Documentos/631/61278753311/6316127875331105092023113403.pdf","https://dpmzos25m8ivg.cloudfront.net/Documentos/631/61278753311/6316127875331105092023113403.pdf")</f>
        <v>https://dpmzos25m8ivg.cloudfront.net/Documentos/631/61278753311/6316127875331105092023113403.pdf</v>
      </c>
      <c r="G7345" s="5" t="str">
        <f>HYPERLINK("https://dpmzos25m8ivg.cloudfront.net/Documentos/631/61278753311/6316127875331105092023113415.pdf","https://dpmzos25m8ivg.cloudfront.net/Documentos/631/61278753311/6316127875331105092023113415.pdf")</f>
        <v>https://dpmzos25m8ivg.cloudfront.net/Documentos/631/61278753311/6316127875331105092023113415.pdf</v>
      </c>
      <c r="H7345" s="5" t="s">
        <v>15913</v>
      </c>
    </row>
    <row r="7346" spans="1:8" x14ac:dyDescent="0.25">
      <c r="A7346" s="2" t="s">
        <v>7375</v>
      </c>
      <c r="B7346" s="3"/>
      <c r="C7346" s="3"/>
      <c r="D7346" s="3"/>
      <c r="E7346" s="5" t="str">
        <f>HYPERLINK("https://dpmzos25m8ivg.cloudfront.net/Documentos/631/61279619392/6316127961939205092023091442.pdf","https://dpmzos25m8ivg.cloudfront.net/Documentos/631/61279619392/6316127961939205092023091442.pdf")</f>
        <v>https://dpmzos25m8ivg.cloudfront.net/Documentos/631/61279619392/6316127961939205092023091442.pdf</v>
      </c>
      <c r="F7346" s="5" t="str">
        <f>HYPERLINK("https://dpmzos25m8ivg.cloudfront.net/Documentos/631/61279619392/6316127961939205092023091500.pdf","https://dpmzos25m8ivg.cloudfront.net/Documentos/631/61279619392/6316127961939205092023091500.pdf")</f>
        <v>https://dpmzos25m8ivg.cloudfront.net/Documentos/631/61279619392/6316127961939205092023091500.pdf</v>
      </c>
      <c r="G7346" s="5" t="str">
        <f>HYPERLINK("https://dpmzos25m8ivg.cloudfront.net/Documentos/631/61279619392/6316127961939205092023091510.pdf","https://dpmzos25m8ivg.cloudfront.net/Documentos/631/61279619392/6316127961939205092023091510.pdf")</f>
        <v>https://dpmzos25m8ivg.cloudfront.net/Documentos/631/61279619392/6316127961939205092023091510.pdf</v>
      </c>
      <c r="H7346" s="5" t="s">
        <v>15914</v>
      </c>
    </row>
    <row r="7347" spans="1:8" x14ac:dyDescent="0.25">
      <c r="A7347" s="2" t="s">
        <v>7376</v>
      </c>
      <c r="B7347" s="3"/>
      <c r="C7347" s="3"/>
      <c r="D7347" s="3"/>
      <c r="E7347" s="5" t="str">
        <f>HYPERLINK("https://dpmzos25m8ivg.cloudfront.net/Documentos/631/61291770380/6316129177038011092023163015.pdf","https://dpmzos25m8ivg.cloudfront.net/Documentos/631/61291770380/6316129177038011092023163015.pdf")</f>
        <v>https://dpmzos25m8ivg.cloudfront.net/Documentos/631/61291770380/6316129177038011092023163015.pdf</v>
      </c>
      <c r="F7347" s="5" t="str">
        <f>HYPERLINK("https://dpmzos25m8ivg.cloudfront.net/Documentos/631/61291770380/6316129177038011092023163032.pdf","https://dpmzos25m8ivg.cloudfront.net/Documentos/631/61291770380/6316129177038011092023163032.pdf")</f>
        <v>https://dpmzos25m8ivg.cloudfront.net/Documentos/631/61291770380/6316129177038011092023163032.pdf</v>
      </c>
      <c r="G7347" s="5" t="str">
        <f>HYPERLINK("https://dpmzos25m8ivg.cloudfront.net/Documentos/631/61291770380/6316129177038011092023163054.pdf","https://dpmzos25m8ivg.cloudfront.net/Documentos/631/61291770380/6316129177038011092023163054.pdf")</f>
        <v>https://dpmzos25m8ivg.cloudfront.net/Documentos/631/61291770380/6316129177038011092023163054.pdf</v>
      </c>
      <c r="H7347" s="5" t="s">
        <v>15915</v>
      </c>
    </row>
    <row r="7348" spans="1:8" x14ac:dyDescent="0.25">
      <c r="A7348" s="2" t="s">
        <v>7377</v>
      </c>
      <c r="B7348" s="3"/>
      <c r="C7348" s="3"/>
      <c r="D7348" s="3"/>
      <c r="E7348" s="5" t="str">
        <f>HYPERLINK("https://dpmzos25m8ivg.cloudfront.net/Documentos/631/61317998308/6316131799830811092023092904.pdf","https://dpmzos25m8ivg.cloudfront.net/Documentos/631/61317998308/6316131799830811092023092904.pdf")</f>
        <v>https://dpmzos25m8ivg.cloudfront.net/Documentos/631/61317998308/6316131799830811092023092904.pdf</v>
      </c>
      <c r="F7348" s="5" t="str">
        <f>HYPERLINK("https://dpmzos25m8ivg.cloudfront.net/Documentos/631/61317998308/6316131799830811092023092924.pdf","https://dpmzos25m8ivg.cloudfront.net/Documentos/631/61317998308/6316131799830811092023092924.pdf")</f>
        <v>https://dpmzos25m8ivg.cloudfront.net/Documentos/631/61317998308/6316131799830811092023092924.pdf</v>
      </c>
      <c r="G7348" s="5" t="str">
        <f>HYPERLINK("https://dpmzos25m8ivg.cloudfront.net/Documentos/631/61317998308/6316131799830811092023092943.pdf","https://dpmzos25m8ivg.cloudfront.net/Documentos/631/61317998308/6316131799830811092023092943.pdf")</f>
        <v>https://dpmzos25m8ivg.cloudfront.net/Documentos/631/61317998308/6316131799830811092023092943.pdf</v>
      </c>
      <c r="H7348" s="5" t="s">
        <v>15916</v>
      </c>
    </row>
    <row r="7349" spans="1:8" x14ac:dyDescent="0.25">
      <c r="A7349" s="2" t="s">
        <v>7378</v>
      </c>
      <c r="B7349" s="3"/>
      <c r="C7349" s="3"/>
      <c r="D7349" s="3"/>
      <c r="E7349" s="5" t="str">
        <f>HYPERLINK("https://dpmzos25m8ivg.cloudfront.net/Documentos/631/61318053340/6316131805334012092023180657.jpeg","https://dpmzos25m8ivg.cloudfront.net/Documentos/631/61318053340/6316131805334012092023180657.jpeg")</f>
        <v>https://dpmzos25m8ivg.cloudfront.net/Documentos/631/61318053340/6316131805334012092023180657.jpeg</v>
      </c>
      <c r="F7349" s="5" t="str">
        <f>HYPERLINK("https://dpmzos25m8ivg.cloudfront.net/Documentos/631/61318053340/6316131805334012092023180726.jpeg","https://dpmzos25m8ivg.cloudfront.net/Documentos/631/61318053340/6316131805334012092023180726.jpeg")</f>
        <v>https://dpmzos25m8ivg.cloudfront.net/Documentos/631/61318053340/6316131805334012092023180726.jpeg</v>
      </c>
      <c r="G7349" s="5" t="str">
        <f>HYPERLINK("https://dpmzos25m8ivg.cloudfront.net/Documentos/631/61318053340/6316131805334012092023180736.jpeg","https://dpmzos25m8ivg.cloudfront.net/Documentos/631/61318053340/6316131805334012092023180736.jpeg")</f>
        <v>https://dpmzos25m8ivg.cloudfront.net/Documentos/631/61318053340/6316131805334012092023180736.jpeg</v>
      </c>
      <c r="H7349" s="5" t="s">
        <v>15917</v>
      </c>
    </row>
    <row r="7350" spans="1:8" x14ac:dyDescent="0.25">
      <c r="A7350" s="2" t="s">
        <v>7379</v>
      </c>
      <c r="B7350" s="3"/>
      <c r="C7350" s="3"/>
      <c r="D7350" s="3"/>
      <c r="E7350" s="5" t="str">
        <f>HYPERLINK("https://dpmzos25m8ivg.cloudfront.net/Documentos/631/61332434304/6316133243430406092023160602.pdf","https://dpmzos25m8ivg.cloudfront.net/Documentos/631/61332434304/6316133243430406092023160602.pdf")</f>
        <v>https://dpmzos25m8ivg.cloudfront.net/Documentos/631/61332434304/6316133243430406092023160602.pdf</v>
      </c>
      <c r="F7350" s="5" t="str">
        <f>HYPERLINK("https://dpmzos25m8ivg.cloudfront.net/Documentos/631/61332434304/6316133243430406092023160615.pdf","https://dpmzos25m8ivg.cloudfront.net/Documentos/631/61332434304/6316133243430406092023160615.pdf")</f>
        <v>https://dpmzos25m8ivg.cloudfront.net/Documentos/631/61332434304/6316133243430406092023160615.pdf</v>
      </c>
      <c r="G7350" s="5" t="str">
        <f>HYPERLINK("https://dpmzos25m8ivg.cloudfront.net/Documentos/631/61332434304/6316133243430406092023160628.pdf","https://dpmzos25m8ivg.cloudfront.net/Documentos/631/61332434304/6316133243430406092023160628.pdf")</f>
        <v>https://dpmzos25m8ivg.cloudfront.net/Documentos/631/61332434304/6316133243430406092023160628.pdf</v>
      </c>
      <c r="H7350" s="5" t="s">
        <v>15918</v>
      </c>
    </row>
    <row r="7351" spans="1:8" x14ac:dyDescent="0.25">
      <c r="A7351" s="2" t="s">
        <v>7380</v>
      </c>
      <c r="B7351" s="3" t="s">
        <v>308</v>
      </c>
      <c r="C7351" s="3"/>
      <c r="D7351" s="3"/>
      <c r="E7351" s="5" t="str">
        <f>HYPERLINK("https://dpmzos25m8ivg.cloudfront.net/Documentos/631/61337580317/6316133758031711092023165118.jpeg","https://dpmzos25m8ivg.cloudfront.net/Documentos/631/61337580317/6316133758031711092023165118.jpeg")</f>
        <v>https://dpmzos25m8ivg.cloudfront.net/Documentos/631/61337580317/6316133758031711092023165118.jpeg</v>
      </c>
      <c r="F7351" s="5" t="str">
        <f>HYPERLINK("https://dpmzos25m8ivg.cloudfront.net/Documentos/631/61337580317/6316133758031711092023165127.jpeg","https://dpmzos25m8ivg.cloudfront.net/Documentos/631/61337580317/6316133758031711092023165127.jpeg")</f>
        <v>https://dpmzos25m8ivg.cloudfront.net/Documentos/631/61337580317/6316133758031711092023165127.jpeg</v>
      </c>
      <c r="G7351" s="5" t="str">
        <f>HYPERLINK("https://dpmzos25m8ivg.cloudfront.net/Documentos/631/61337580317/6316133758031711092023165137.jpeg","https://dpmzos25m8ivg.cloudfront.net/Documentos/631/61337580317/6316133758031711092023165137.jpeg")</f>
        <v>https://dpmzos25m8ivg.cloudfront.net/Documentos/631/61337580317/6316133758031711092023165137.jpeg</v>
      </c>
      <c r="H7351" s="5" t="s">
        <v>15919</v>
      </c>
    </row>
    <row r="7352" spans="1:8" x14ac:dyDescent="0.25">
      <c r="A7352" s="2" t="s">
        <v>7381</v>
      </c>
      <c r="B7352" s="3"/>
      <c r="C7352" s="3"/>
      <c r="D7352" s="3"/>
      <c r="E7352" s="5" t="str">
        <f>HYPERLINK("https://dpmzos25m8ivg.cloudfront.net/Documentos/631/61342074386/6316134207438610092023002219.pdf","https://dpmzos25m8ivg.cloudfront.net/Documentos/631/61342074386/6316134207438610092023002219.pdf")</f>
        <v>https://dpmzos25m8ivg.cloudfront.net/Documentos/631/61342074386/6316134207438610092023002219.pdf</v>
      </c>
      <c r="F7352" s="5" t="str">
        <f>HYPERLINK("https://dpmzos25m8ivg.cloudfront.net/Documentos/631/61342074386/6316134207438610092023002228.pdf","https://dpmzos25m8ivg.cloudfront.net/Documentos/631/61342074386/6316134207438610092023002228.pdf")</f>
        <v>https://dpmzos25m8ivg.cloudfront.net/Documentos/631/61342074386/6316134207438610092023002228.pdf</v>
      </c>
      <c r="G7352" s="5" t="str">
        <f>HYPERLINK("https://dpmzos25m8ivg.cloudfront.net/Documentos/631/61342074386/6316134207438610092023002306.pdf","https://dpmzos25m8ivg.cloudfront.net/Documentos/631/61342074386/6316134207438610092023002306.pdf")</f>
        <v>https://dpmzos25m8ivg.cloudfront.net/Documentos/631/61342074386/6316134207438610092023002306.pdf</v>
      </c>
      <c r="H7352" s="5" t="s">
        <v>15920</v>
      </c>
    </row>
    <row r="7353" spans="1:8" x14ac:dyDescent="0.25">
      <c r="A7353" s="2" t="s">
        <v>7382</v>
      </c>
      <c r="B7353" s="3"/>
      <c r="C7353" s="3"/>
      <c r="D7353" s="3"/>
      <c r="E7353" s="5" t="str">
        <f>HYPERLINK("https://dpmzos25m8ivg.cloudfront.net/Documentos/631/61366814398/6316136681439807092023092656.pdf","https://dpmzos25m8ivg.cloudfront.net/Documentos/631/61366814398/6316136681439807092023092656.pdf")</f>
        <v>https://dpmzos25m8ivg.cloudfront.net/Documentos/631/61366814398/6316136681439807092023092656.pdf</v>
      </c>
      <c r="F7353" s="5" t="str">
        <f>HYPERLINK("https://dpmzos25m8ivg.cloudfront.net/Documentos/631/61366814398/6316136681439807092023092731.pdf","https://dpmzos25m8ivg.cloudfront.net/Documentos/631/61366814398/6316136681439807092023092731.pdf")</f>
        <v>https://dpmzos25m8ivg.cloudfront.net/Documentos/631/61366814398/6316136681439807092023092731.pdf</v>
      </c>
      <c r="G7353" s="5" t="str">
        <f>HYPERLINK("https://dpmzos25m8ivg.cloudfront.net/Documentos/631/61366814398/6316136681439807092023092739.pdf","https://dpmzos25m8ivg.cloudfront.net/Documentos/631/61366814398/6316136681439807092023092739.pdf")</f>
        <v>https://dpmzos25m8ivg.cloudfront.net/Documentos/631/61366814398/6316136681439807092023092739.pdf</v>
      </c>
      <c r="H7353" s="5" t="s">
        <v>15921</v>
      </c>
    </row>
    <row r="7354" spans="1:8" x14ac:dyDescent="0.25">
      <c r="A7354" s="2" t="s">
        <v>7383</v>
      </c>
      <c r="B7354" s="3"/>
      <c r="C7354" s="3"/>
      <c r="D7354" s="3"/>
      <c r="E7354" s="5" t="str">
        <f>HYPERLINK("https://dpmzos25m8ivg.cloudfront.net/Documentos/631/61367729300/6316136772930006092023160545.pdf","https://dpmzos25m8ivg.cloudfront.net/Documentos/631/61367729300/6316136772930006092023160545.pdf")</f>
        <v>https://dpmzos25m8ivg.cloudfront.net/Documentos/631/61367729300/6316136772930006092023160545.pdf</v>
      </c>
      <c r="F7354" s="5" t="str">
        <f>HYPERLINK("https://dpmzos25m8ivg.cloudfront.net/Documentos/631/61367729300/6316136772930006092023160615.pdf","https://dpmzos25m8ivg.cloudfront.net/Documentos/631/61367729300/6316136772930006092023160615.pdf")</f>
        <v>https://dpmzos25m8ivg.cloudfront.net/Documentos/631/61367729300/6316136772930006092023160615.pdf</v>
      </c>
      <c r="G7354" s="5" t="str">
        <f>HYPERLINK("https://dpmzos25m8ivg.cloudfront.net/Documentos/631/61367729300/6316136772930006092023160630.pdf","https://dpmzos25m8ivg.cloudfront.net/Documentos/631/61367729300/6316136772930006092023160630.pdf")</f>
        <v>https://dpmzos25m8ivg.cloudfront.net/Documentos/631/61367729300/6316136772930006092023160630.pdf</v>
      </c>
      <c r="H7354" s="5" t="s">
        <v>15922</v>
      </c>
    </row>
    <row r="7355" spans="1:8" x14ac:dyDescent="0.25">
      <c r="A7355" s="2" t="s">
        <v>7384</v>
      </c>
      <c r="B7355" s="3"/>
      <c r="C7355" s="3"/>
      <c r="D7355" s="3"/>
      <c r="E7355" s="5" t="str">
        <f>HYPERLINK("https://dpmzos25m8ivg.cloudfront.net/Documentos/631/61376461307/6316137646130705092023084532.pdf","https://dpmzos25m8ivg.cloudfront.net/Documentos/631/61376461307/6316137646130705092023084532.pdf")</f>
        <v>https://dpmzos25m8ivg.cloudfront.net/Documentos/631/61376461307/6316137646130705092023084532.pdf</v>
      </c>
      <c r="F7355" s="5" t="str">
        <f>HYPERLINK("https://dpmzos25m8ivg.cloudfront.net/Documentos/631/61376461307/6316137646130705092023084540.pdf","https://dpmzos25m8ivg.cloudfront.net/Documentos/631/61376461307/6316137646130705092023084540.pdf")</f>
        <v>https://dpmzos25m8ivg.cloudfront.net/Documentos/631/61376461307/6316137646130705092023084540.pdf</v>
      </c>
      <c r="G7355" s="5" t="str">
        <f>HYPERLINK("https://dpmzos25m8ivg.cloudfront.net/Documentos/631/61376461307/6316137646130705092023084546.pdf","https://dpmzos25m8ivg.cloudfront.net/Documentos/631/61376461307/6316137646130705092023084546.pdf")</f>
        <v>https://dpmzos25m8ivg.cloudfront.net/Documentos/631/61376461307/6316137646130705092023084546.pdf</v>
      </c>
      <c r="H7355" s="5" t="s">
        <v>15923</v>
      </c>
    </row>
    <row r="7356" spans="1:8" x14ac:dyDescent="0.25">
      <c r="A7356" s="2" t="s">
        <v>7385</v>
      </c>
      <c r="B7356" s="3" t="s">
        <v>23</v>
      </c>
      <c r="C7356" s="3"/>
      <c r="D7356" s="3"/>
      <c r="E7356" s="5" t="str">
        <f>HYPERLINK("https://dpmzos25m8ivg.cloudfront.net/Documentos/631/61376692384/6316137669238411092023142816.pdf","https://dpmzos25m8ivg.cloudfront.net/Documentos/631/61376692384/6316137669238411092023142816.pdf")</f>
        <v>https://dpmzos25m8ivg.cloudfront.net/Documentos/631/61376692384/6316137669238411092023142816.pdf</v>
      </c>
      <c r="F7356" s="5" t="str">
        <f>HYPERLINK("https://dpmzos25m8ivg.cloudfront.net/Documentos/631/61376692384/6316137669238411092023142823.pdf","https://dpmzos25m8ivg.cloudfront.net/Documentos/631/61376692384/6316137669238411092023142823.pdf")</f>
        <v>https://dpmzos25m8ivg.cloudfront.net/Documentos/631/61376692384/6316137669238411092023142823.pdf</v>
      </c>
      <c r="G7356" s="5" t="str">
        <f>HYPERLINK("https://dpmzos25m8ivg.cloudfront.net/Documentos/631/61376692384/6316137669238411092023142833.pdf","https://dpmzos25m8ivg.cloudfront.net/Documentos/631/61376692384/6316137669238411092023142833.pdf")</f>
        <v>https://dpmzos25m8ivg.cloudfront.net/Documentos/631/61376692384/6316137669238411092023142833.pdf</v>
      </c>
      <c r="H7356" s="5" t="s">
        <v>15924</v>
      </c>
    </row>
    <row r="7357" spans="1:8" x14ac:dyDescent="0.25">
      <c r="A7357" s="2" t="s">
        <v>7386</v>
      </c>
      <c r="B7357" s="3"/>
      <c r="C7357" s="3"/>
      <c r="D7357" s="3"/>
      <c r="E7357" s="5" t="str">
        <f>HYPERLINK("https://dpmzos25m8ivg.cloudfront.net/Documentos/631/61379321336/6316137932133611092023165135.jpg","https://dpmzos25m8ivg.cloudfront.net/Documentos/631/61379321336/6316137932133611092023165135.jpg")</f>
        <v>https://dpmzos25m8ivg.cloudfront.net/Documentos/631/61379321336/6316137932133611092023165135.jpg</v>
      </c>
      <c r="F7357" s="5" t="str">
        <f>HYPERLINK("https://dpmzos25m8ivg.cloudfront.net/Documentos/631/61379321336/6316137932133611092023165148.jpg","https://dpmzos25m8ivg.cloudfront.net/Documentos/631/61379321336/6316137932133611092023165148.jpg")</f>
        <v>https://dpmzos25m8ivg.cloudfront.net/Documentos/631/61379321336/6316137932133611092023165148.jpg</v>
      </c>
      <c r="G7357" s="5" t="str">
        <f>HYPERLINK("https://dpmzos25m8ivg.cloudfront.net/Documentos/631/61379321336/6316137932133611092023165157.jpg","https://dpmzos25m8ivg.cloudfront.net/Documentos/631/61379321336/6316137932133611092023165157.jpg")</f>
        <v>https://dpmzos25m8ivg.cloudfront.net/Documentos/631/61379321336/6316137932133611092023165157.jpg</v>
      </c>
      <c r="H7357" s="5" t="s">
        <v>15925</v>
      </c>
    </row>
    <row r="7358" spans="1:8" x14ac:dyDescent="0.25">
      <c r="A7358" s="2" t="s">
        <v>7387</v>
      </c>
      <c r="B7358" s="3"/>
      <c r="C7358" s="3"/>
      <c r="D7358" s="3"/>
      <c r="E7358" s="5" t="str">
        <f>HYPERLINK("https://dpmzos25m8ivg.cloudfront.net/Documentos/631/61406138339/6316140613833911092023155158.pdf","https://dpmzos25m8ivg.cloudfront.net/Documentos/631/61406138339/6316140613833911092023155158.pdf")</f>
        <v>https://dpmzos25m8ivg.cloudfront.net/Documentos/631/61406138339/6316140613833911092023155158.pdf</v>
      </c>
      <c r="F7358" s="5" t="str">
        <f>HYPERLINK("https://dpmzos25m8ivg.cloudfront.net/Documentos/631/61406138339/6316140613833911092023155207.pdf","https://dpmzos25m8ivg.cloudfront.net/Documentos/631/61406138339/6316140613833911092023155207.pdf")</f>
        <v>https://dpmzos25m8ivg.cloudfront.net/Documentos/631/61406138339/6316140613833911092023155207.pdf</v>
      </c>
      <c r="G7358" s="5" t="str">
        <f>HYPERLINK("https://dpmzos25m8ivg.cloudfront.net/Documentos/631/61406138339/6316140613833911092023155218.pdf","https://dpmzos25m8ivg.cloudfront.net/Documentos/631/61406138339/6316140613833911092023155218.pdf")</f>
        <v>https://dpmzos25m8ivg.cloudfront.net/Documentos/631/61406138339/6316140613833911092023155218.pdf</v>
      </c>
      <c r="H7358" s="5" t="s">
        <v>15926</v>
      </c>
    </row>
    <row r="7359" spans="1:8" x14ac:dyDescent="0.25">
      <c r="A7359" s="2" t="s">
        <v>7388</v>
      </c>
      <c r="B7359" s="3" t="s">
        <v>23</v>
      </c>
      <c r="C7359" s="3"/>
      <c r="D7359" s="3"/>
      <c r="E7359" s="5" t="str">
        <f>HYPERLINK("https://dpmzos25m8ivg.cloudfront.net/Documentos/631/61413608310/6316141360831005092023202149.jpg","https://dpmzos25m8ivg.cloudfront.net/Documentos/631/61413608310/6316141360831005092023202149.jpg")</f>
        <v>https://dpmzos25m8ivg.cloudfront.net/Documentos/631/61413608310/6316141360831005092023202149.jpg</v>
      </c>
      <c r="F7359" s="5" t="str">
        <f>HYPERLINK("https://dpmzos25m8ivg.cloudfront.net/Documentos/631/61413608310/6316141360831005092023202155.jpg","https://dpmzos25m8ivg.cloudfront.net/Documentos/631/61413608310/6316141360831005092023202155.jpg")</f>
        <v>https://dpmzos25m8ivg.cloudfront.net/Documentos/631/61413608310/6316141360831005092023202155.jpg</v>
      </c>
      <c r="G7359" s="5" t="str">
        <f>HYPERLINK("https://dpmzos25m8ivg.cloudfront.net/Documentos/631/61413608310/6316141360831005092023202202.jpg","https://dpmzos25m8ivg.cloudfront.net/Documentos/631/61413608310/6316141360831005092023202202.jpg")</f>
        <v>https://dpmzos25m8ivg.cloudfront.net/Documentos/631/61413608310/6316141360831005092023202202.jpg</v>
      </c>
      <c r="H7359" s="5" t="s">
        <v>15927</v>
      </c>
    </row>
    <row r="7360" spans="1:8" x14ac:dyDescent="0.25">
      <c r="A7360" s="2" t="s">
        <v>7389</v>
      </c>
      <c r="B7360" s="3" t="s">
        <v>90</v>
      </c>
      <c r="C7360" s="3"/>
      <c r="D7360" s="3"/>
      <c r="E7360" s="5" t="str">
        <f>HYPERLINK("https://dpmzos25m8ivg.cloudfront.net/Documentos/631/61414344287/6316141434428711092023164415.pdf","https://dpmzos25m8ivg.cloudfront.net/Documentos/631/61414344287/6316141434428711092023164415.pdf")</f>
        <v>https://dpmzos25m8ivg.cloudfront.net/Documentos/631/61414344287/6316141434428711092023164415.pdf</v>
      </c>
      <c r="F7360" s="5" t="str">
        <f>HYPERLINK("https://dpmzos25m8ivg.cloudfront.net/Documentos/631/61414344287/6316141434428711092023164510.pdf","https://dpmzos25m8ivg.cloudfront.net/Documentos/631/61414344287/6316141434428711092023164510.pdf")</f>
        <v>https://dpmzos25m8ivg.cloudfront.net/Documentos/631/61414344287/6316141434428711092023164510.pdf</v>
      </c>
      <c r="G7360" s="5" t="str">
        <f>HYPERLINK("https://dpmzos25m8ivg.cloudfront.net/Documentos/631/61414344287/6316141434428711092023164525.pdf","https://dpmzos25m8ivg.cloudfront.net/Documentos/631/61414344287/6316141434428711092023164525.pdf")</f>
        <v>https://dpmzos25m8ivg.cloudfront.net/Documentos/631/61414344287/6316141434428711092023164525.pdf</v>
      </c>
      <c r="H7360" s="5" t="s">
        <v>15928</v>
      </c>
    </row>
    <row r="7361" spans="1:8" x14ac:dyDescent="0.25">
      <c r="A7361" s="2" t="s">
        <v>7390</v>
      </c>
      <c r="B7361" s="3"/>
      <c r="C7361" s="3"/>
      <c r="D7361" s="3"/>
      <c r="E7361" s="5" t="str">
        <f>HYPERLINK("https://dpmzos25m8ivg.cloudfront.net/Documentos/631/61437029345/6316143702934514092023131914.pdf","https://dpmzos25m8ivg.cloudfront.net/Documentos/631/61437029345/6316143702934514092023131914.pdf")</f>
        <v>https://dpmzos25m8ivg.cloudfront.net/Documentos/631/61437029345/6316143702934514092023131914.pdf</v>
      </c>
      <c r="F7361" s="5" t="str">
        <f>HYPERLINK("https://dpmzos25m8ivg.cloudfront.net/Documentos/631/61437029345/6316143702934514092023131925.pdf","https://dpmzos25m8ivg.cloudfront.net/Documentos/631/61437029345/6316143702934514092023131925.pdf")</f>
        <v>https://dpmzos25m8ivg.cloudfront.net/Documentos/631/61437029345/6316143702934514092023131925.pdf</v>
      </c>
      <c r="G7361" s="5" t="str">
        <f>HYPERLINK("https://dpmzos25m8ivg.cloudfront.net/Documentos/631/61437029345/6316143702934514092023131936.pdf","https://dpmzos25m8ivg.cloudfront.net/Documentos/631/61437029345/6316143702934514092023131936.pdf")</f>
        <v>https://dpmzos25m8ivg.cloudfront.net/Documentos/631/61437029345/6316143702934514092023131936.pdf</v>
      </c>
      <c r="H7361" s="5" t="s">
        <v>15929</v>
      </c>
    </row>
    <row r="7362" spans="1:8" x14ac:dyDescent="0.25">
      <c r="A7362" s="2" t="s">
        <v>7391</v>
      </c>
      <c r="B7362" s="3"/>
      <c r="C7362" s="3"/>
      <c r="D7362" s="3"/>
      <c r="E7362" s="5" t="str">
        <f>HYPERLINK("https://dpmzos25m8ivg.cloudfront.net/Documentos/631/61439352380/6316143935238011092023121004.pdf","https://dpmzos25m8ivg.cloudfront.net/Documentos/631/61439352380/6316143935238011092023121004.pdf")</f>
        <v>https://dpmzos25m8ivg.cloudfront.net/Documentos/631/61439352380/6316143935238011092023121004.pdf</v>
      </c>
      <c r="F7362" s="5" t="str">
        <f>HYPERLINK("https://dpmzos25m8ivg.cloudfront.net/Documentos/631/61439352380/6316143935238011092023121029.pdf","https://dpmzos25m8ivg.cloudfront.net/Documentos/631/61439352380/6316143935238011092023121029.pdf")</f>
        <v>https://dpmzos25m8ivg.cloudfront.net/Documentos/631/61439352380/6316143935238011092023121029.pdf</v>
      </c>
      <c r="G7362" s="5" t="str">
        <f>HYPERLINK("https://dpmzos25m8ivg.cloudfront.net/Documentos/631/61439352380/6316143935238011092023121051.pdf","https://dpmzos25m8ivg.cloudfront.net/Documentos/631/61439352380/6316143935238011092023121051.pdf")</f>
        <v>https://dpmzos25m8ivg.cloudfront.net/Documentos/631/61439352380/6316143935238011092023121051.pdf</v>
      </c>
      <c r="H7362" s="5" t="s">
        <v>15930</v>
      </c>
    </row>
    <row r="7363" spans="1:8" x14ac:dyDescent="0.25">
      <c r="A7363" s="2" t="s">
        <v>7392</v>
      </c>
      <c r="B7363" s="3"/>
      <c r="C7363" s="3"/>
      <c r="D7363" s="3"/>
      <c r="E7363" s="5" t="str">
        <f>HYPERLINK("https://dpmzos25m8ivg.cloudfront.net/Documentos/631/61440617384/6316144061738411092023122652.pdf","https://dpmzos25m8ivg.cloudfront.net/Documentos/631/61440617384/6316144061738411092023122652.pdf")</f>
        <v>https://dpmzos25m8ivg.cloudfront.net/Documentos/631/61440617384/6316144061738411092023122652.pdf</v>
      </c>
      <c r="F7363" s="5" t="str">
        <f>HYPERLINK("https://dpmzos25m8ivg.cloudfront.net/Documentos/631/61440617384/6316144061738411092023122717.pdf","https://dpmzos25m8ivg.cloudfront.net/Documentos/631/61440617384/6316144061738411092023122717.pdf")</f>
        <v>https://dpmzos25m8ivg.cloudfront.net/Documentos/631/61440617384/6316144061738411092023122717.pdf</v>
      </c>
      <c r="G7363" s="5" t="str">
        <f>HYPERLINK("https://dpmzos25m8ivg.cloudfront.net/Documentos/631/61440617384/6316144061738411092023122733.pdf","https://dpmzos25m8ivg.cloudfront.net/Documentos/631/61440617384/6316144061738411092023122733.pdf")</f>
        <v>https://dpmzos25m8ivg.cloudfront.net/Documentos/631/61440617384/6316144061738411092023122733.pdf</v>
      </c>
      <c r="H7363" s="5" t="s">
        <v>15931</v>
      </c>
    </row>
    <row r="7364" spans="1:8" x14ac:dyDescent="0.25">
      <c r="A7364" s="2" t="s">
        <v>7393</v>
      </c>
      <c r="B7364" s="3"/>
      <c r="C7364" s="3"/>
      <c r="D7364" s="3"/>
      <c r="E7364" s="5" t="str">
        <f>HYPERLINK("https://dpmzos25m8ivg.cloudfront.net/Documentos/631/61454439360/6316145443936006092023205222.pdf","https://dpmzos25m8ivg.cloudfront.net/Documentos/631/61454439360/6316145443936006092023205222.pdf")</f>
        <v>https://dpmzos25m8ivg.cloudfront.net/Documentos/631/61454439360/6316145443936006092023205222.pdf</v>
      </c>
      <c r="F7364" s="5" t="str">
        <f>HYPERLINK("https://dpmzos25m8ivg.cloudfront.net/Documentos/631/61454439360/6316145443936006092023205250.pdf","https://dpmzos25m8ivg.cloudfront.net/Documentos/631/61454439360/6316145443936006092023205250.pdf")</f>
        <v>https://dpmzos25m8ivg.cloudfront.net/Documentos/631/61454439360/6316145443936006092023205250.pdf</v>
      </c>
      <c r="G7364" s="5" t="str">
        <f>HYPERLINK("https://dpmzos25m8ivg.cloudfront.net/Documentos/631/61454439360/6316145443936006092023205305.pdf","https://dpmzos25m8ivg.cloudfront.net/Documentos/631/61454439360/6316145443936006092023205305.pdf")</f>
        <v>https://dpmzos25m8ivg.cloudfront.net/Documentos/631/61454439360/6316145443936006092023205305.pdf</v>
      </c>
      <c r="H7364" s="5" t="s">
        <v>15932</v>
      </c>
    </row>
    <row r="7365" spans="1:8" x14ac:dyDescent="0.25">
      <c r="A7365" s="2" t="s">
        <v>7394</v>
      </c>
      <c r="B7365" s="3"/>
      <c r="C7365" s="3"/>
      <c r="D7365" s="3"/>
      <c r="E7365" s="5" t="str">
        <f>HYPERLINK("https://dpmzos25m8ivg.cloudfront.net/Documentos/631/61474356397/6316147435639708092023170520.pdf","https://dpmzos25m8ivg.cloudfront.net/Documentos/631/61474356397/6316147435639708092023170520.pdf")</f>
        <v>https://dpmzos25m8ivg.cloudfront.net/Documentos/631/61474356397/6316147435639708092023170520.pdf</v>
      </c>
      <c r="F7365" s="5" t="str">
        <f>HYPERLINK("https://dpmzos25m8ivg.cloudfront.net/Documentos/631/61474356397/6316147435639708092023170656.pdf","https://dpmzos25m8ivg.cloudfront.net/Documentos/631/61474356397/6316147435639708092023170656.pdf")</f>
        <v>https://dpmzos25m8ivg.cloudfront.net/Documentos/631/61474356397/6316147435639708092023170656.pdf</v>
      </c>
      <c r="G7365" s="5" t="str">
        <f>HYPERLINK("https://dpmzos25m8ivg.cloudfront.net/Documentos/631/61474356397/6316147435639708092023170619.pdf","https://dpmzos25m8ivg.cloudfront.net/Documentos/631/61474356397/6316147435639708092023170619.pdf")</f>
        <v>https://dpmzos25m8ivg.cloudfront.net/Documentos/631/61474356397/6316147435639708092023170619.pdf</v>
      </c>
      <c r="H7365" s="5" t="s">
        <v>15933</v>
      </c>
    </row>
    <row r="7366" spans="1:8" x14ac:dyDescent="0.25">
      <c r="A7366" s="2" t="s">
        <v>7395</v>
      </c>
      <c r="B7366" s="3"/>
      <c r="C7366" s="3"/>
      <c r="D7366" s="3"/>
      <c r="E7366" s="5" t="str">
        <f>HYPERLINK("https://dpmzos25m8ivg.cloudfront.net/Documentos/631/61483848337/6316148384833708092023084643.jpeg","https://dpmzos25m8ivg.cloudfront.net/Documentos/631/61483848337/6316148384833708092023084643.jpeg")</f>
        <v>https://dpmzos25m8ivg.cloudfront.net/Documentos/631/61483848337/6316148384833708092023084643.jpeg</v>
      </c>
      <c r="F7366" s="5" t="str">
        <f>HYPERLINK("https://dpmzos25m8ivg.cloudfront.net/Documentos/631/61483848337/6316148384833708092023084653.jpeg","https://dpmzos25m8ivg.cloudfront.net/Documentos/631/61483848337/6316148384833708092023084653.jpeg")</f>
        <v>https://dpmzos25m8ivg.cloudfront.net/Documentos/631/61483848337/6316148384833708092023084653.jpeg</v>
      </c>
      <c r="G7366" s="5" t="str">
        <f>HYPERLINK("https://dpmzos25m8ivg.cloudfront.net/Documentos/631/61483848337/6316148384833708092023084704.jpeg","https://dpmzos25m8ivg.cloudfront.net/Documentos/631/61483848337/6316148384833708092023084704.jpeg")</f>
        <v>https://dpmzos25m8ivg.cloudfront.net/Documentos/631/61483848337/6316148384833708092023084704.jpeg</v>
      </c>
      <c r="H7366" s="5" t="s">
        <v>15934</v>
      </c>
    </row>
    <row r="7367" spans="1:8" x14ac:dyDescent="0.25">
      <c r="A7367" s="2" t="s">
        <v>7396</v>
      </c>
      <c r="B7367" s="3"/>
      <c r="C7367" s="3"/>
      <c r="D7367" s="3"/>
      <c r="E7367" s="5" t="str">
        <f>HYPERLINK("https://dpmzos25m8ivg.cloudfront.net/Documentos/631/61490365370/6316149036537011092023123620.pdf","https://dpmzos25m8ivg.cloudfront.net/Documentos/631/61490365370/6316149036537011092023123620.pdf")</f>
        <v>https://dpmzos25m8ivg.cloudfront.net/Documentos/631/61490365370/6316149036537011092023123620.pdf</v>
      </c>
      <c r="F7367" s="5" t="str">
        <f>HYPERLINK("https://dpmzos25m8ivg.cloudfront.net/Documentos/631/61490365370/6316149036537011092023123633.pdf","https://dpmzos25m8ivg.cloudfront.net/Documentos/631/61490365370/6316149036537011092023123633.pdf")</f>
        <v>https://dpmzos25m8ivg.cloudfront.net/Documentos/631/61490365370/6316149036537011092023123633.pdf</v>
      </c>
      <c r="G7367" s="5" t="str">
        <f>HYPERLINK("https://dpmzos25m8ivg.cloudfront.net/Documentos/631/61490365370/6316149036537011092023123651.pdf","https://dpmzos25m8ivg.cloudfront.net/Documentos/631/61490365370/6316149036537011092023123651.pdf")</f>
        <v>https://dpmzos25m8ivg.cloudfront.net/Documentos/631/61490365370/6316149036537011092023123651.pdf</v>
      </c>
      <c r="H7367" s="5" t="s">
        <v>15935</v>
      </c>
    </row>
    <row r="7368" spans="1:8" x14ac:dyDescent="0.25">
      <c r="A7368" s="2" t="s">
        <v>7397</v>
      </c>
      <c r="B7368" s="3"/>
      <c r="C7368" s="3"/>
      <c r="D7368" s="3"/>
      <c r="E7368" s="5" t="str">
        <f>HYPERLINK("https://dpmzos25m8ivg.cloudfront.net/Documentos/631/61514561301/6316151456130111092023140052.pdf","https://dpmzos25m8ivg.cloudfront.net/Documentos/631/61514561301/6316151456130111092023140052.pdf")</f>
        <v>https://dpmzos25m8ivg.cloudfront.net/Documentos/631/61514561301/6316151456130111092023140052.pdf</v>
      </c>
      <c r="F7368" s="5" t="str">
        <f>HYPERLINK("https://dpmzos25m8ivg.cloudfront.net/Documentos/631/61514561301/6316151456130111092023140059.pdf","https://dpmzos25m8ivg.cloudfront.net/Documentos/631/61514561301/6316151456130111092023140059.pdf")</f>
        <v>https://dpmzos25m8ivg.cloudfront.net/Documentos/631/61514561301/6316151456130111092023140059.pdf</v>
      </c>
      <c r="G7368" s="5" t="str">
        <f>HYPERLINK("https://dpmzos25m8ivg.cloudfront.net/Documentos/631/61514561301/6316151456130111092023140111.pdf","https://dpmzos25m8ivg.cloudfront.net/Documentos/631/61514561301/6316151456130111092023140111.pdf")</f>
        <v>https://dpmzos25m8ivg.cloudfront.net/Documentos/631/61514561301/6316151456130111092023140111.pdf</v>
      </c>
      <c r="H7368" s="5" t="s">
        <v>15936</v>
      </c>
    </row>
    <row r="7369" spans="1:8" x14ac:dyDescent="0.25">
      <c r="A7369" s="2" t="s">
        <v>7398</v>
      </c>
      <c r="B7369" s="3"/>
      <c r="C7369" s="3"/>
      <c r="D7369" s="3"/>
      <c r="E7369" s="5" t="str">
        <f>HYPERLINK("https://dpmzos25m8ivg.cloudfront.net/Documentos/631/61524247553/6316152424755310092023223636.pdf","https://dpmzos25m8ivg.cloudfront.net/Documentos/631/61524247553/6316152424755310092023223636.pdf")</f>
        <v>https://dpmzos25m8ivg.cloudfront.net/Documentos/631/61524247553/6316152424755310092023223636.pdf</v>
      </c>
      <c r="F7369" s="5" t="str">
        <f>HYPERLINK("https://dpmzos25m8ivg.cloudfront.net/Documentos/631/61524247553/6316152424755310092023223655.pdf","https://dpmzos25m8ivg.cloudfront.net/Documentos/631/61524247553/6316152424755310092023223655.pdf")</f>
        <v>https://dpmzos25m8ivg.cloudfront.net/Documentos/631/61524247553/6316152424755310092023223655.pdf</v>
      </c>
      <c r="G7369" s="5" t="str">
        <f>HYPERLINK("https://dpmzos25m8ivg.cloudfront.net/Documentos/631/61524247553/6316152424755310092023223712.pdf","https://dpmzos25m8ivg.cloudfront.net/Documentos/631/61524247553/6316152424755310092023223712.pdf")</f>
        <v>https://dpmzos25m8ivg.cloudfront.net/Documentos/631/61524247553/6316152424755310092023223712.pdf</v>
      </c>
      <c r="H7369" s="5" t="s">
        <v>15937</v>
      </c>
    </row>
    <row r="7370" spans="1:8" x14ac:dyDescent="0.25">
      <c r="A7370" s="2" t="s">
        <v>7399</v>
      </c>
      <c r="B7370" s="3" t="s">
        <v>90</v>
      </c>
      <c r="C7370" s="3"/>
      <c r="D7370" s="3"/>
      <c r="E7370" s="5" t="str">
        <f>HYPERLINK("https://dpmzos25m8ivg.cloudfront.net/Documentos/631/61566795370/6316156679537005092023103615.pdf","https://dpmzos25m8ivg.cloudfront.net/Documentos/631/61566795370/6316156679537005092023103615.pdf")</f>
        <v>https://dpmzos25m8ivg.cloudfront.net/Documentos/631/61566795370/6316156679537005092023103615.pdf</v>
      </c>
      <c r="F7370" s="5" t="str">
        <f>HYPERLINK("https://dpmzos25m8ivg.cloudfront.net/Documentos/631/61566795370/6316156679537005092023103633.pdf","https://dpmzos25m8ivg.cloudfront.net/Documentos/631/61566795370/6316156679537005092023103633.pdf")</f>
        <v>https://dpmzos25m8ivg.cloudfront.net/Documentos/631/61566795370/6316156679537005092023103633.pdf</v>
      </c>
      <c r="G7370" s="5" t="str">
        <f>HYPERLINK("https://dpmzos25m8ivg.cloudfront.net/Documentos/631/61566795370/6316156679537005092023103649.pdf","https://dpmzos25m8ivg.cloudfront.net/Documentos/631/61566795370/6316156679537005092023103649.pdf")</f>
        <v>https://dpmzos25m8ivg.cloudfront.net/Documentos/631/61566795370/6316156679537005092023103649.pdf</v>
      </c>
      <c r="H7370" s="5" t="s">
        <v>15938</v>
      </c>
    </row>
    <row r="7371" spans="1:8" x14ac:dyDescent="0.25">
      <c r="A7371" s="2" t="s">
        <v>7400</v>
      </c>
      <c r="B7371" s="3"/>
      <c r="C7371" s="3"/>
      <c r="D7371" s="3"/>
      <c r="E7371" s="5" t="str">
        <f>HYPERLINK("https://dpmzos25m8ivg.cloudfront.net/Documentos/631/61567516378/6316156751637811092023154004.pdf","https://dpmzos25m8ivg.cloudfront.net/Documentos/631/61567516378/6316156751637811092023154004.pdf")</f>
        <v>https://dpmzos25m8ivg.cloudfront.net/Documentos/631/61567516378/6316156751637811092023154004.pdf</v>
      </c>
      <c r="F7371" s="5" t="str">
        <f>HYPERLINK("https://dpmzos25m8ivg.cloudfront.net/Documentos/631/61567516378/6316156751637811092023154017.pdf","https://dpmzos25m8ivg.cloudfront.net/Documentos/631/61567516378/6316156751637811092023154017.pdf")</f>
        <v>https://dpmzos25m8ivg.cloudfront.net/Documentos/631/61567516378/6316156751637811092023154017.pdf</v>
      </c>
      <c r="G7371" s="5" t="str">
        <f>HYPERLINK("https://dpmzos25m8ivg.cloudfront.net/Documentos/631/61567516378/6316156751637811092023154029.pdf","https://dpmzos25m8ivg.cloudfront.net/Documentos/631/61567516378/6316156751637811092023154029.pdf")</f>
        <v>https://dpmzos25m8ivg.cloudfront.net/Documentos/631/61567516378/6316156751637811092023154029.pdf</v>
      </c>
      <c r="H7371" s="5" t="s">
        <v>15939</v>
      </c>
    </row>
    <row r="7372" spans="1:8" x14ac:dyDescent="0.25">
      <c r="A7372" s="2" t="s">
        <v>7401</v>
      </c>
      <c r="B7372" s="3" t="s">
        <v>23</v>
      </c>
      <c r="C7372" s="3"/>
      <c r="D7372" s="3"/>
      <c r="E7372" s="5" t="str">
        <f>HYPERLINK("https://dpmzos25m8ivg.cloudfront.net/Documentos/631/61568737327/6316156873732713092023213525.pdf","https://dpmzos25m8ivg.cloudfront.net/Documentos/631/61568737327/6316156873732713092023213525.pdf")</f>
        <v>https://dpmzos25m8ivg.cloudfront.net/Documentos/631/61568737327/6316156873732713092023213525.pdf</v>
      </c>
      <c r="F7372" s="5" t="str">
        <f>HYPERLINK("https://dpmzos25m8ivg.cloudfront.net/Documentos/631/61568737327/6316156873732713092023213546.pdf","https://dpmzos25m8ivg.cloudfront.net/Documentos/631/61568737327/6316156873732713092023213546.pdf")</f>
        <v>https://dpmzos25m8ivg.cloudfront.net/Documentos/631/61568737327/6316156873732713092023213546.pdf</v>
      </c>
      <c r="G7372" s="5" t="str">
        <f>HYPERLINK("https://dpmzos25m8ivg.cloudfront.net/Documentos/631/61568737327/6316156873732713092023213614.pdf","https://dpmzos25m8ivg.cloudfront.net/Documentos/631/61568737327/6316156873732713092023213614.pdf")</f>
        <v>https://dpmzos25m8ivg.cloudfront.net/Documentos/631/61568737327/6316156873732713092023213614.pdf</v>
      </c>
      <c r="H7372" s="5" t="s">
        <v>15940</v>
      </c>
    </row>
    <row r="7373" spans="1:8" x14ac:dyDescent="0.25">
      <c r="A7373" s="2" t="s">
        <v>7402</v>
      </c>
      <c r="B7373" s="3"/>
      <c r="C7373" s="3"/>
      <c r="D7373" s="3"/>
      <c r="E7373" s="5" t="str">
        <f>HYPERLINK("https://dpmzos25m8ivg.cloudfront.net/Documentos/631/61573517305/6316157351730510092023165740.pdf","https://dpmzos25m8ivg.cloudfront.net/Documentos/631/61573517305/6316157351730510092023165740.pdf")</f>
        <v>https://dpmzos25m8ivg.cloudfront.net/Documentos/631/61573517305/6316157351730510092023165740.pdf</v>
      </c>
      <c r="F7373" s="5" t="str">
        <f>HYPERLINK("https://dpmzos25m8ivg.cloudfront.net/Documentos/631/61573517305/6316157351730510092023165756.pdf","https://dpmzos25m8ivg.cloudfront.net/Documentos/631/61573517305/6316157351730510092023165756.pdf")</f>
        <v>https://dpmzos25m8ivg.cloudfront.net/Documentos/631/61573517305/6316157351730510092023165756.pdf</v>
      </c>
      <c r="G7373" s="5" t="str">
        <f>HYPERLINK("https://dpmzos25m8ivg.cloudfront.net/Documentos/631/61573517305/6316157351730510092023165816.pdf","https://dpmzos25m8ivg.cloudfront.net/Documentos/631/61573517305/6316157351730510092023165816.pdf")</f>
        <v>https://dpmzos25m8ivg.cloudfront.net/Documentos/631/61573517305/6316157351730510092023165816.pdf</v>
      </c>
      <c r="H7373" s="5" t="s">
        <v>15941</v>
      </c>
    </row>
    <row r="7374" spans="1:8" x14ac:dyDescent="0.25">
      <c r="A7374" s="2" t="s">
        <v>7403</v>
      </c>
      <c r="B7374" s="3" t="s">
        <v>90</v>
      </c>
      <c r="C7374" s="3"/>
      <c r="D7374" s="3"/>
      <c r="E7374" s="5" t="str">
        <f>HYPERLINK("https://dpmzos25m8ivg.cloudfront.net/Documentos/631/61574675338/6316157467533811092023135511.pdf","https://dpmzos25m8ivg.cloudfront.net/Documentos/631/61574675338/6316157467533811092023135511.pdf")</f>
        <v>https://dpmzos25m8ivg.cloudfront.net/Documentos/631/61574675338/6316157467533811092023135511.pdf</v>
      </c>
      <c r="F7374" s="5" t="str">
        <f>HYPERLINK("https://dpmzos25m8ivg.cloudfront.net/Documentos/631/61574675338/6316157467533811092023135528.pdf","https://dpmzos25m8ivg.cloudfront.net/Documentos/631/61574675338/6316157467533811092023135528.pdf")</f>
        <v>https://dpmzos25m8ivg.cloudfront.net/Documentos/631/61574675338/6316157467533811092023135528.pdf</v>
      </c>
      <c r="G7374" s="5" t="str">
        <f>HYPERLINK("https://dpmzos25m8ivg.cloudfront.net/Documentos/631/61574675338/6316157467533811092023135549.pdf","https://dpmzos25m8ivg.cloudfront.net/Documentos/631/61574675338/6316157467533811092023135549.pdf")</f>
        <v>https://dpmzos25m8ivg.cloudfront.net/Documentos/631/61574675338/6316157467533811092023135549.pdf</v>
      </c>
      <c r="H7374" s="5" t="s">
        <v>15942</v>
      </c>
    </row>
    <row r="7375" spans="1:8" x14ac:dyDescent="0.25">
      <c r="A7375" s="2" t="s">
        <v>7404</v>
      </c>
      <c r="B7375" s="3"/>
      <c r="C7375" s="3"/>
      <c r="D7375" s="3"/>
      <c r="E7375" s="5" t="str">
        <f>HYPERLINK("https://dpmzos25m8ivg.cloudfront.net/Documentos/631/61576444350/6316157644435009092023124037.pdf","https://dpmzos25m8ivg.cloudfront.net/Documentos/631/61576444350/6316157644435009092023124037.pdf")</f>
        <v>https://dpmzos25m8ivg.cloudfront.net/Documentos/631/61576444350/6316157644435009092023124037.pdf</v>
      </c>
      <c r="F7375" s="5" t="str">
        <f>HYPERLINK("https://dpmzos25m8ivg.cloudfront.net/Documentos/631/61576444350/6316157644435009092023124015.pdf","https://dpmzos25m8ivg.cloudfront.net/Documentos/631/61576444350/6316157644435009092023124015.pdf")</f>
        <v>https://dpmzos25m8ivg.cloudfront.net/Documentos/631/61576444350/6316157644435009092023124015.pdf</v>
      </c>
      <c r="G7375" s="5" t="str">
        <f>HYPERLINK("https://dpmzos25m8ivg.cloudfront.net/Documentos/631/61576444350/6316157644435009092023123955.pdf","https://dpmzos25m8ivg.cloudfront.net/Documentos/631/61576444350/6316157644435009092023123955.pdf")</f>
        <v>https://dpmzos25m8ivg.cloudfront.net/Documentos/631/61576444350/6316157644435009092023123955.pdf</v>
      </c>
      <c r="H7375" s="5" t="s">
        <v>15943</v>
      </c>
    </row>
    <row r="7376" spans="1:8" x14ac:dyDescent="0.25">
      <c r="A7376" s="2" t="s">
        <v>7405</v>
      </c>
      <c r="B7376" s="3"/>
      <c r="C7376" s="3"/>
      <c r="D7376" s="3"/>
      <c r="E7376" s="5" t="str">
        <f>HYPERLINK("https://dpmzos25m8ivg.cloudfront.net/Documentos/631/61609266323/6316160926632311092023113254.jpeg","https://dpmzos25m8ivg.cloudfront.net/Documentos/631/61609266323/6316160926632311092023113254.jpeg")</f>
        <v>https://dpmzos25m8ivg.cloudfront.net/Documentos/631/61609266323/6316160926632311092023113254.jpeg</v>
      </c>
      <c r="F7376" s="5" t="str">
        <f>HYPERLINK("https://dpmzos25m8ivg.cloudfront.net/Documentos/631/61609266323/6316160926632311092023113326.jpeg","https://dpmzos25m8ivg.cloudfront.net/Documentos/631/61609266323/6316160926632311092023113326.jpeg")</f>
        <v>https://dpmzos25m8ivg.cloudfront.net/Documentos/631/61609266323/6316160926632311092023113326.jpeg</v>
      </c>
      <c r="G7376" s="5" t="str">
        <f>HYPERLINK("https://dpmzos25m8ivg.cloudfront.net/Documentos/631/61609266323/6316160926632311092023113345.jpeg","https://dpmzos25m8ivg.cloudfront.net/Documentos/631/61609266323/6316160926632311092023113345.jpeg")</f>
        <v>https://dpmzos25m8ivg.cloudfront.net/Documentos/631/61609266323/6316160926632311092023113345.jpeg</v>
      </c>
      <c r="H7376" s="5" t="s">
        <v>15944</v>
      </c>
    </row>
    <row r="7377" spans="1:8" x14ac:dyDescent="0.25">
      <c r="A7377" s="2" t="s">
        <v>7406</v>
      </c>
      <c r="B7377" s="3"/>
      <c r="C7377" s="3"/>
      <c r="D7377" s="3"/>
      <c r="E7377" s="5" t="str">
        <f>HYPERLINK("https://dpmzos25m8ivg.cloudfront.net/Documentos/631/61610666372/6316161066637211092023161052.pdf","https://dpmzos25m8ivg.cloudfront.net/Documentos/631/61610666372/6316161066637211092023161052.pdf")</f>
        <v>https://dpmzos25m8ivg.cloudfront.net/Documentos/631/61610666372/6316161066637211092023161052.pdf</v>
      </c>
      <c r="F7377" s="5" t="str">
        <f>HYPERLINK("https://dpmzos25m8ivg.cloudfront.net/Documentos/631/61610666372/6316161066637211092023161103.pdf","https://dpmzos25m8ivg.cloudfront.net/Documentos/631/61610666372/6316161066637211092023161103.pdf")</f>
        <v>https://dpmzos25m8ivg.cloudfront.net/Documentos/631/61610666372/6316161066637211092023161103.pdf</v>
      </c>
      <c r="G7377" s="5" t="str">
        <f>HYPERLINK("https://dpmzos25m8ivg.cloudfront.net/Documentos/631/61610666372/6316161066637211092023161114.pdf","https://dpmzos25m8ivg.cloudfront.net/Documentos/631/61610666372/6316161066637211092023161114.pdf")</f>
        <v>https://dpmzos25m8ivg.cloudfront.net/Documentos/631/61610666372/6316161066637211092023161114.pdf</v>
      </c>
      <c r="H7377" s="5" t="s">
        <v>15945</v>
      </c>
    </row>
    <row r="7378" spans="1:8" x14ac:dyDescent="0.25">
      <c r="A7378" s="2" t="s">
        <v>7407</v>
      </c>
      <c r="B7378" s="3" t="s">
        <v>90</v>
      </c>
      <c r="C7378" s="3"/>
      <c r="D7378" s="3"/>
      <c r="E7378" s="5" t="str">
        <f>HYPERLINK("https://dpmzos25m8ivg.cloudfront.net/Documentos/631/61617447323/6316161744732311092023162334.pdf","https://dpmzos25m8ivg.cloudfront.net/Documentos/631/61617447323/6316161744732311092023162334.pdf")</f>
        <v>https://dpmzos25m8ivg.cloudfront.net/Documentos/631/61617447323/6316161744732311092023162334.pdf</v>
      </c>
      <c r="F7378" s="5" t="str">
        <f>HYPERLINK("https://dpmzos25m8ivg.cloudfront.net/Documentos/631/61617447323/6316161744732311092023155407.pdf","https://dpmzos25m8ivg.cloudfront.net/Documentos/631/61617447323/6316161744732311092023155407.pdf")</f>
        <v>https://dpmzos25m8ivg.cloudfront.net/Documentos/631/61617447323/6316161744732311092023155407.pdf</v>
      </c>
      <c r="G7378" s="5" t="str">
        <f>HYPERLINK("https://dpmzos25m8ivg.cloudfront.net/Documentos/631/61617447323/6316161744732311092023162300.pdf","https://dpmzos25m8ivg.cloudfront.net/Documentos/631/61617447323/6316161744732311092023162300.pdf")</f>
        <v>https://dpmzos25m8ivg.cloudfront.net/Documentos/631/61617447323/6316161744732311092023162300.pdf</v>
      </c>
      <c r="H7378" s="5" t="s">
        <v>15946</v>
      </c>
    </row>
    <row r="7379" spans="1:8" x14ac:dyDescent="0.25">
      <c r="A7379" s="2" t="s">
        <v>7408</v>
      </c>
      <c r="B7379" s="3"/>
      <c r="C7379" s="3"/>
      <c r="D7379" s="3"/>
      <c r="E7379" s="5" t="str">
        <f>HYPERLINK("https://dpmzos25m8ivg.cloudfront.net/Documentos/631/61644129515/6316164412951506092023131136.pdf","https://dpmzos25m8ivg.cloudfront.net/Documentos/631/61644129515/6316164412951506092023131136.pdf")</f>
        <v>https://dpmzos25m8ivg.cloudfront.net/Documentos/631/61644129515/6316164412951506092023131136.pdf</v>
      </c>
      <c r="F7379" s="5" t="str">
        <f>HYPERLINK("https://dpmzos25m8ivg.cloudfront.net/Documentos/631/61644129515/6316164412951506092023131201.pdf","https://dpmzos25m8ivg.cloudfront.net/Documentos/631/61644129515/6316164412951506092023131201.pdf")</f>
        <v>https://dpmzos25m8ivg.cloudfront.net/Documentos/631/61644129515/6316164412951506092023131201.pdf</v>
      </c>
      <c r="G7379" s="5" t="str">
        <f>HYPERLINK("https://dpmzos25m8ivg.cloudfront.net/Documentos/631/61644129515/6316164412951506092023131245.pdf","https://dpmzos25m8ivg.cloudfront.net/Documentos/631/61644129515/6316164412951506092023131245.pdf")</f>
        <v>https://dpmzos25m8ivg.cloudfront.net/Documentos/631/61644129515/6316164412951506092023131245.pdf</v>
      </c>
      <c r="H7379" s="5" t="s">
        <v>15947</v>
      </c>
    </row>
    <row r="7380" spans="1:8" x14ac:dyDescent="0.25">
      <c r="A7380" s="2" t="s">
        <v>7409</v>
      </c>
      <c r="B7380" s="3" t="s">
        <v>90</v>
      </c>
      <c r="C7380" s="3"/>
      <c r="D7380" s="3"/>
      <c r="E7380" s="5" t="str">
        <f>HYPERLINK("https://dpmzos25m8ivg.cloudfront.net/Documentos/631/61658960220/6316165896022011092023143951.pdf","https://dpmzos25m8ivg.cloudfront.net/Documentos/631/61658960220/6316165896022011092023143951.pdf")</f>
        <v>https://dpmzos25m8ivg.cloudfront.net/Documentos/631/61658960220/6316165896022011092023143951.pdf</v>
      </c>
      <c r="F7380" s="5" t="str">
        <f>HYPERLINK("https://dpmzos25m8ivg.cloudfront.net/Documentos/631/61658960220/6316165896022011092023144344.pdf","https://dpmzos25m8ivg.cloudfront.net/Documentos/631/61658960220/6316165896022011092023144344.pdf")</f>
        <v>https://dpmzos25m8ivg.cloudfront.net/Documentos/631/61658960220/6316165896022011092023144344.pdf</v>
      </c>
      <c r="G7380" s="5" t="str">
        <f>HYPERLINK("https://dpmzos25m8ivg.cloudfront.net/Documentos/631/61658960220/6316165896022011092023144357.pdf","https://dpmzos25m8ivg.cloudfront.net/Documentos/631/61658960220/6316165896022011092023144357.pdf")</f>
        <v>https://dpmzos25m8ivg.cloudfront.net/Documentos/631/61658960220/6316165896022011092023144357.pdf</v>
      </c>
      <c r="H7380" s="5" t="s">
        <v>15948</v>
      </c>
    </row>
    <row r="7381" spans="1:8" x14ac:dyDescent="0.25">
      <c r="A7381" s="2" t="s">
        <v>7410</v>
      </c>
      <c r="B7381" s="3"/>
      <c r="C7381" s="3"/>
      <c r="D7381" s="3"/>
      <c r="E7381" s="5" t="str">
        <f>HYPERLINK("https://dpmzos25m8ivg.cloudfront.net/Documentos/631/61666725358/6316166672535811092023150800.pdf","https://dpmzos25m8ivg.cloudfront.net/Documentos/631/61666725358/6316166672535811092023150800.pdf")</f>
        <v>https://dpmzos25m8ivg.cloudfront.net/Documentos/631/61666725358/6316166672535811092023150800.pdf</v>
      </c>
      <c r="F7381" s="5" t="str">
        <f>HYPERLINK("https://dpmzos25m8ivg.cloudfront.net/Documentos/631/61666725358/6316166672535811092023150816.pdf","https://dpmzos25m8ivg.cloudfront.net/Documentos/631/61666725358/6316166672535811092023150816.pdf")</f>
        <v>https://dpmzos25m8ivg.cloudfront.net/Documentos/631/61666725358/6316166672535811092023150816.pdf</v>
      </c>
      <c r="G7381" s="5" t="str">
        <f>HYPERLINK("https://dpmzos25m8ivg.cloudfront.net/Documentos/631/61666725358/6316166672535811092023150833.pdf","https://dpmzos25m8ivg.cloudfront.net/Documentos/631/61666725358/6316166672535811092023150833.pdf")</f>
        <v>https://dpmzos25m8ivg.cloudfront.net/Documentos/631/61666725358/6316166672535811092023150833.pdf</v>
      </c>
      <c r="H7381" s="5" t="s">
        <v>15949</v>
      </c>
    </row>
    <row r="7382" spans="1:8" x14ac:dyDescent="0.25">
      <c r="A7382" s="2" t="s">
        <v>7411</v>
      </c>
      <c r="B7382" s="3"/>
      <c r="C7382" s="3"/>
      <c r="D7382" s="3"/>
      <c r="E7382" s="5" t="str">
        <f>HYPERLINK("https://dpmzos25m8ivg.cloudfront.net/Documentos/631/61669737306/6316166973730612092023225629.pdf","https://dpmzos25m8ivg.cloudfront.net/Documentos/631/61669737306/6316166973730612092023225629.pdf")</f>
        <v>https://dpmzos25m8ivg.cloudfront.net/Documentos/631/61669737306/6316166973730612092023225629.pdf</v>
      </c>
      <c r="F7382" s="5" t="str">
        <f>HYPERLINK("https://dpmzos25m8ivg.cloudfront.net/Documentos/631/61669737306/6316166973730612092023225906.pdf","https://dpmzos25m8ivg.cloudfront.net/Documentos/631/61669737306/6316166973730612092023225906.pdf")</f>
        <v>https://dpmzos25m8ivg.cloudfront.net/Documentos/631/61669737306/6316166973730612092023225906.pdf</v>
      </c>
      <c r="G7382" s="5" t="str">
        <f>HYPERLINK("https://dpmzos25m8ivg.cloudfront.net/Documentos/631/61669737306/6316166973730612092023230044.pdf","https://dpmzos25m8ivg.cloudfront.net/Documentos/631/61669737306/6316166973730612092023230044.pdf")</f>
        <v>https://dpmzos25m8ivg.cloudfront.net/Documentos/631/61669737306/6316166973730612092023230044.pdf</v>
      </c>
      <c r="H7382" s="5" t="s">
        <v>15950</v>
      </c>
    </row>
    <row r="7383" spans="1:8" x14ac:dyDescent="0.25">
      <c r="A7383" s="2" t="s">
        <v>7412</v>
      </c>
      <c r="B7383" s="3"/>
      <c r="C7383" s="3"/>
      <c r="D7383" s="3"/>
      <c r="E7383" s="5" t="str">
        <f>HYPERLINK("https://dpmzos25m8ivg.cloudfront.net/Documentos/631/61717949371/6316171794937111092023153702.pdf","https://dpmzos25m8ivg.cloudfront.net/Documentos/631/61717949371/6316171794937111092023153702.pdf")</f>
        <v>https://dpmzos25m8ivg.cloudfront.net/Documentos/631/61717949371/6316171794937111092023153702.pdf</v>
      </c>
      <c r="F7383" s="5" t="str">
        <f>HYPERLINK("https://dpmzos25m8ivg.cloudfront.net/Documentos/631/61717949371/6316171794937111092023153717.pdf","https://dpmzos25m8ivg.cloudfront.net/Documentos/631/61717949371/6316171794937111092023153717.pdf")</f>
        <v>https://dpmzos25m8ivg.cloudfront.net/Documentos/631/61717949371/6316171794937111092023153717.pdf</v>
      </c>
      <c r="G7383" s="5" t="str">
        <f>HYPERLINK("https://dpmzos25m8ivg.cloudfront.net/Documentos/631/61717949371/6316171794937111092023153731.pdf","https://dpmzos25m8ivg.cloudfront.net/Documentos/631/61717949371/6316171794937111092023153731.pdf")</f>
        <v>https://dpmzos25m8ivg.cloudfront.net/Documentos/631/61717949371/6316171794937111092023153731.pdf</v>
      </c>
      <c r="H7383" s="5" t="s">
        <v>15951</v>
      </c>
    </row>
    <row r="7384" spans="1:8" x14ac:dyDescent="0.25">
      <c r="A7384" s="2" t="s">
        <v>7413</v>
      </c>
      <c r="B7384" s="3"/>
      <c r="C7384" s="3"/>
      <c r="D7384" s="3"/>
      <c r="E7384" s="5" t="str">
        <f>HYPERLINK("https://dpmzos25m8ivg.cloudfront.net/Documentos/631/61737798115/6316173779811514092023130543.pdf","https://dpmzos25m8ivg.cloudfront.net/Documentos/631/61737798115/6316173779811514092023130543.pdf")</f>
        <v>https://dpmzos25m8ivg.cloudfront.net/Documentos/631/61737798115/6316173779811514092023130543.pdf</v>
      </c>
      <c r="F7384" s="5" t="str">
        <f>HYPERLINK("https://dpmzos25m8ivg.cloudfront.net/Documentos/631/61737798115/6316173779811514092023130605.pdf","https://dpmzos25m8ivg.cloudfront.net/Documentos/631/61737798115/6316173779811514092023130605.pdf")</f>
        <v>https://dpmzos25m8ivg.cloudfront.net/Documentos/631/61737798115/6316173779811514092023130605.pdf</v>
      </c>
      <c r="G7384" s="5" t="str">
        <f>HYPERLINK("https://dpmzos25m8ivg.cloudfront.net/Documentos/631/61737798115/6316173779811514092023130627.pdf","https://dpmzos25m8ivg.cloudfront.net/Documentos/631/61737798115/6316173779811514092023130627.pdf")</f>
        <v>https://dpmzos25m8ivg.cloudfront.net/Documentos/631/61737798115/6316173779811514092023130627.pdf</v>
      </c>
      <c r="H7384" s="5" t="s">
        <v>15952</v>
      </c>
    </row>
    <row r="7385" spans="1:8" x14ac:dyDescent="0.25">
      <c r="A7385" s="2" t="s">
        <v>7414</v>
      </c>
      <c r="B7385" s="3"/>
      <c r="C7385" s="3"/>
      <c r="D7385" s="3"/>
      <c r="E7385" s="5" t="str">
        <f>HYPERLINK("https://dpmzos25m8ivg.cloudfront.net/Documentos/631/61748790544/6316174879054405092023161325.pdf","https://dpmzos25m8ivg.cloudfront.net/Documentos/631/61748790544/6316174879054405092023161325.pdf")</f>
        <v>https://dpmzos25m8ivg.cloudfront.net/Documentos/631/61748790544/6316174879054405092023161325.pdf</v>
      </c>
      <c r="F7385" s="5" t="str">
        <f>HYPERLINK("https://dpmzos25m8ivg.cloudfront.net/Documentos/631/61748790544/6316174879054405092023161419.pdf","https://dpmzos25m8ivg.cloudfront.net/Documentos/631/61748790544/6316174879054405092023161419.pdf")</f>
        <v>https://dpmzos25m8ivg.cloudfront.net/Documentos/631/61748790544/6316174879054405092023161419.pdf</v>
      </c>
      <c r="G7385" s="5" t="str">
        <f>HYPERLINK("https://dpmzos25m8ivg.cloudfront.net/Documentos/631/61748790544/6316174879054405092023161505.pdf","https://dpmzos25m8ivg.cloudfront.net/Documentos/631/61748790544/6316174879054405092023161505.pdf")</f>
        <v>https://dpmzos25m8ivg.cloudfront.net/Documentos/631/61748790544/6316174879054405092023161505.pdf</v>
      </c>
      <c r="H7385" s="5" t="s">
        <v>15953</v>
      </c>
    </row>
    <row r="7386" spans="1:8" x14ac:dyDescent="0.25">
      <c r="A7386" s="2" t="s">
        <v>7415</v>
      </c>
      <c r="B7386" s="3"/>
      <c r="C7386" s="3"/>
      <c r="D7386" s="3"/>
      <c r="E7386" s="5" t="str">
        <f>HYPERLINK("https://dpmzos25m8ivg.cloudfront.net/Documentos/631/61776654382/6316177665438211092023154253.pdf","https://dpmzos25m8ivg.cloudfront.net/Documentos/631/61776654382/6316177665438211092023154253.pdf")</f>
        <v>https://dpmzos25m8ivg.cloudfront.net/Documentos/631/61776654382/6316177665438211092023154253.pdf</v>
      </c>
      <c r="F7386" s="5" t="str">
        <f>HYPERLINK("https://dpmzos25m8ivg.cloudfront.net/Documentos/631/61776654382/6316177665438211092023154304.pdf","https://dpmzos25m8ivg.cloudfront.net/Documentos/631/61776654382/6316177665438211092023154304.pdf")</f>
        <v>https://dpmzos25m8ivg.cloudfront.net/Documentos/631/61776654382/6316177665438211092023154304.pdf</v>
      </c>
      <c r="G7386" s="5" t="str">
        <f>HYPERLINK("https://dpmzos25m8ivg.cloudfront.net/Documentos/631/61776654382/6316177665438211092023154319.pdf","https://dpmzos25m8ivg.cloudfront.net/Documentos/631/61776654382/6316177665438211092023154319.pdf")</f>
        <v>https://dpmzos25m8ivg.cloudfront.net/Documentos/631/61776654382/6316177665438211092023154319.pdf</v>
      </c>
      <c r="H7386" s="5" t="s">
        <v>15954</v>
      </c>
    </row>
    <row r="7387" spans="1:8" x14ac:dyDescent="0.25">
      <c r="A7387" s="2" t="s">
        <v>7416</v>
      </c>
      <c r="B7387" s="3"/>
      <c r="C7387" s="3"/>
      <c r="D7387" s="3"/>
      <c r="E7387" s="5" t="str">
        <f>HYPERLINK("https://dpmzos25m8ivg.cloudfront.net/Documentos/631/61781658382/6316178165838214092023152428.pdf","https://dpmzos25m8ivg.cloudfront.net/Documentos/631/61781658382/6316178165838214092023152428.pdf")</f>
        <v>https://dpmzos25m8ivg.cloudfront.net/Documentos/631/61781658382/6316178165838214092023152428.pdf</v>
      </c>
      <c r="F7387" s="5" t="str">
        <f>HYPERLINK("https://dpmzos25m8ivg.cloudfront.net/Documentos/631/61781658382/6316178165838214092023152438.pdf","https://dpmzos25m8ivg.cloudfront.net/Documentos/631/61781658382/6316178165838214092023152438.pdf")</f>
        <v>https://dpmzos25m8ivg.cloudfront.net/Documentos/631/61781658382/6316178165838214092023152438.pdf</v>
      </c>
      <c r="G7387" s="5" t="str">
        <f>HYPERLINK("https://dpmzos25m8ivg.cloudfront.net/Documentos/631/61781658382/6316178165838214092023152446.pdf","https://dpmzos25m8ivg.cloudfront.net/Documentos/631/61781658382/6316178165838214092023152446.pdf")</f>
        <v>https://dpmzos25m8ivg.cloudfront.net/Documentos/631/61781658382/6316178165838214092023152446.pdf</v>
      </c>
      <c r="H7387" s="5" t="s">
        <v>15955</v>
      </c>
    </row>
    <row r="7388" spans="1:8" x14ac:dyDescent="0.25">
      <c r="A7388" s="2" t="s">
        <v>7417</v>
      </c>
      <c r="B7388" s="3"/>
      <c r="C7388" s="3"/>
      <c r="D7388" s="3"/>
      <c r="E7388" s="5" t="str">
        <f>HYPERLINK("https://dpmzos25m8ivg.cloudfront.net/Documentos/631/61800848315/6316180084831514092023084420.pdf","https://dpmzos25m8ivg.cloudfront.net/Documentos/631/61800848315/6316180084831514092023084420.pdf")</f>
        <v>https://dpmzos25m8ivg.cloudfront.net/Documentos/631/61800848315/6316180084831514092023084420.pdf</v>
      </c>
      <c r="F7388" s="5" t="str">
        <f>HYPERLINK("https://dpmzos25m8ivg.cloudfront.net/Documentos/631/61800848315/6316180084831514092023084448.pdf","https://dpmzos25m8ivg.cloudfront.net/Documentos/631/61800848315/6316180084831514092023084448.pdf")</f>
        <v>https://dpmzos25m8ivg.cloudfront.net/Documentos/631/61800848315/6316180084831514092023084448.pdf</v>
      </c>
      <c r="G7388" s="5" t="str">
        <f>HYPERLINK("https://dpmzos25m8ivg.cloudfront.net/Documentos/631/61800848315/6316180084831514092023084517.pdf","https://dpmzos25m8ivg.cloudfront.net/Documentos/631/61800848315/6316180084831514092023084517.pdf")</f>
        <v>https://dpmzos25m8ivg.cloudfront.net/Documentos/631/61800848315/6316180084831514092023084517.pdf</v>
      </c>
      <c r="H7388" s="5" t="s">
        <v>15956</v>
      </c>
    </row>
    <row r="7389" spans="1:8" x14ac:dyDescent="0.25">
      <c r="A7389" s="2" t="s">
        <v>7418</v>
      </c>
      <c r="B7389" s="3"/>
      <c r="C7389" s="3"/>
      <c r="D7389" s="3"/>
      <c r="E7389" s="5" t="str">
        <f>HYPERLINK("https://dpmzos25m8ivg.cloudfront.net/Documentos/631/61802977384/6316180297738411092023022440.pdf","https://dpmzos25m8ivg.cloudfront.net/Documentos/631/61802977384/6316180297738411092023022440.pdf")</f>
        <v>https://dpmzos25m8ivg.cloudfront.net/Documentos/631/61802977384/6316180297738411092023022440.pdf</v>
      </c>
      <c r="F7389" s="5" t="str">
        <f>HYPERLINK("https://dpmzos25m8ivg.cloudfront.net/Documentos/631/61802977384/6316180297738411092023025435.pdf","https://dpmzos25m8ivg.cloudfront.net/Documentos/631/61802977384/6316180297738411092023025435.pdf")</f>
        <v>https://dpmzos25m8ivg.cloudfront.net/Documentos/631/61802977384/6316180297738411092023025435.pdf</v>
      </c>
      <c r="G7389" s="5" t="str">
        <f>HYPERLINK("https://dpmzos25m8ivg.cloudfront.net/Documentos/631/61802977384/6316180297738411092023025510.pdf","https://dpmzos25m8ivg.cloudfront.net/Documentos/631/61802977384/6316180297738411092023025510.pdf")</f>
        <v>https://dpmzos25m8ivg.cloudfront.net/Documentos/631/61802977384/6316180297738411092023025510.pdf</v>
      </c>
      <c r="H7389" s="5" t="s">
        <v>15957</v>
      </c>
    </row>
    <row r="7390" spans="1:8" x14ac:dyDescent="0.25">
      <c r="A7390" s="2" t="s">
        <v>7419</v>
      </c>
      <c r="B7390" s="3"/>
      <c r="C7390" s="3"/>
      <c r="D7390" s="3"/>
      <c r="E7390" s="5" t="str">
        <f>HYPERLINK("https://dpmzos25m8ivg.cloudfront.net/Documentos/631/61813697329/6316181369732911092023143751.pdf","https://dpmzos25m8ivg.cloudfront.net/Documentos/631/61813697329/6316181369732911092023143751.pdf")</f>
        <v>https://dpmzos25m8ivg.cloudfront.net/Documentos/631/61813697329/6316181369732911092023143751.pdf</v>
      </c>
      <c r="F7390" s="5" t="str">
        <f>HYPERLINK("https://dpmzos25m8ivg.cloudfront.net/Documentos/631/61813697329/6316181369732911092023143927.pdf","https://dpmzos25m8ivg.cloudfront.net/Documentos/631/61813697329/6316181369732911092023143927.pdf")</f>
        <v>https://dpmzos25m8ivg.cloudfront.net/Documentos/631/61813697329/6316181369732911092023143927.pdf</v>
      </c>
      <c r="G7390" s="5" t="str">
        <f>HYPERLINK("https://dpmzos25m8ivg.cloudfront.net/Documentos/631/61813697329/6316181369732911092023144411.pdf","https://dpmzos25m8ivg.cloudfront.net/Documentos/631/61813697329/6316181369732911092023144411.pdf")</f>
        <v>https://dpmzos25m8ivg.cloudfront.net/Documentos/631/61813697329/6316181369732911092023144411.pdf</v>
      </c>
      <c r="H7390" s="5" t="s">
        <v>15958</v>
      </c>
    </row>
    <row r="7391" spans="1:8" x14ac:dyDescent="0.25">
      <c r="A7391" s="2" t="s">
        <v>7420</v>
      </c>
      <c r="B7391" s="3" t="s">
        <v>23</v>
      </c>
      <c r="C7391" s="3"/>
      <c r="D7391" s="3"/>
      <c r="E7391" s="5" t="str">
        <f>HYPERLINK("https://dpmzos25m8ivg.cloudfront.net/Documentos/631/61860326390/6316186032639011092023150521.pdf","https://dpmzos25m8ivg.cloudfront.net/Documentos/631/61860326390/6316186032639011092023150521.pdf")</f>
        <v>https://dpmzos25m8ivg.cloudfront.net/Documentos/631/61860326390/6316186032639011092023150521.pdf</v>
      </c>
      <c r="F7391" s="5" t="str">
        <f>HYPERLINK("https://dpmzos25m8ivg.cloudfront.net/Documentos/631/61860326390/6316186032639011092023150529.pdf","https://dpmzos25m8ivg.cloudfront.net/Documentos/631/61860326390/6316186032639011092023150529.pdf")</f>
        <v>https://dpmzos25m8ivg.cloudfront.net/Documentos/631/61860326390/6316186032639011092023150529.pdf</v>
      </c>
      <c r="G7391" s="5" t="str">
        <f>HYPERLINK("https://dpmzos25m8ivg.cloudfront.net/Documentos/631/61860326390/6316186032639011092023150537.pdf","https://dpmzos25m8ivg.cloudfront.net/Documentos/631/61860326390/6316186032639011092023150537.pdf")</f>
        <v>https://dpmzos25m8ivg.cloudfront.net/Documentos/631/61860326390/6316186032639011092023150537.pdf</v>
      </c>
      <c r="H7391" s="5" t="s">
        <v>15959</v>
      </c>
    </row>
    <row r="7392" spans="1:8" x14ac:dyDescent="0.25">
      <c r="A7392" s="2" t="s">
        <v>7421</v>
      </c>
      <c r="B7392" s="3"/>
      <c r="C7392" s="3"/>
      <c r="D7392" s="3"/>
      <c r="E7392" s="5" t="str">
        <f>HYPERLINK("https://dpmzos25m8ivg.cloudfront.net/Documentos/631/61872817300/6316187281730010092023212827.pdf","https://dpmzos25m8ivg.cloudfront.net/Documentos/631/61872817300/6316187281730010092023212827.pdf")</f>
        <v>https://dpmzos25m8ivg.cloudfront.net/Documentos/631/61872817300/6316187281730010092023212827.pdf</v>
      </c>
      <c r="F7392" s="5" t="str">
        <f>HYPERLINK("https://dpmzos25m8ivg.cloudfront.net/Documentos/631/61872817300/6316187281730010092023213020.pdf","https://dpmzos25m8ivg.cloudfront.net/Documentos/631/61872817300/6316187281730010092023213020.pdf")</f>
        <v>https://dpmzos25m8ivg.cloudfront.net/Documentos/631/61872817300/6316187281730010092023213020.pdf</v>
      </c>
      <c r="G7392" s="5" t="str">
        <f>HYPERLINK("https://dpmzos25m8ivg.cloudfront.net/Documentos/631/61872817300/6316187281730010092023213032.pdf","https://dpmzos25m8ivg.cloudfront.net/Documentos/631/61872817300/6316187281730010092023213032.pdf")</f>
        <v>https://dpmzos25m8ivg.cloudfront.net/Documentos/631/61872817300/6316187281730010092023213032.pdf</v>
      </c>
      <c r="H7392" s="5" t="s">
        <v>15960</v>
      </c>
    </row>
    <row r="7393" spans="1:8" x14ac:dyDescent="0.25">
      <c r="A7393" s="2" t="s">
        <v>7422</v>
      </c>
      <c r="B7393" s="3"/>
      <c r="C7393" s="3"/>
      <c r="D7393" s="3"/>
      <c r="E7393" s="5" t="str">
        <f>HYPERLINK("https://dpmzos25m8ivg.cloudfront.net/Documentos/631/61891296337/6316189129633708092023212728.pdf","https://dpmzos25m8ivg.cloudfront.net/Documentos/631/61891296337/6316189129633708092023212728.pdf")</f>
        <v>https://dpmzos25m8ivg.cloudfront.net/Documentos/631/61891296337/6316189129633708092023212728.pdf</v>
      </c>
      <c r="F7393" s="5" t="str">
        <f>HYPERLINK("https://dpmzos25m8ivg.cloudfront.net/Documentos/631/61891296337/6316189129633708092023212736.pdf","https://dpmzos25m8ivg.cloudfront.net/Documentos/631/61891296337/6316189129633708092023212736.pdf")</f>
        <v>https://dpmzos25m8ivg.cloudfront.net/Documentos/631/61891296337/6316189129633708092023212736.pdf</v>
      </c>
      <c r="G7393" s="5" t="str">
        <f>HYPERLINK("https://dpmzos25m8ivg.cloudfront.net/Documentos/631/61891296337/6316189129633708092023212742.pdf","https://dpmzos25m8ivg.cloudfront.net/Documentos/631/61891296337/6316189129633708092023212742.pdf")</f>
        <v>https://dpmzos25m8ivg.cloudfront.net/Documentos/631/61891296337/6316189129633708092023212742.pdf</v>
      </c>
      <c r="H7393" s="5" t="s">
        <v>15961</v>
      </c>
    </row>
    <row r="7394" spans="1:8" x14ac:dyDescent="0.25">
      <c r="A7394" s="2" t="s">
        <v>7423</v>
      </c>
      <c r="B7394" s="3"/>
      <c r="C7394" s="3"/>
      <c r="D7394" s="3"/>
      <c r="E7394" s="5" t="str">
        <f>HYPERLINK("https://dpmzos25m8ivg.cloudfront.net/Documentos/631/61901963306/6316190196330606092023160248.pdf","https://dpmzos25m8ivg.cloudfront.net/Documentos/631/61901963306/6316190196330606092023160248.pdf")</f>
        <v>https://dpmzos25m8ivg.cloudfront.net/Documentos/631/61901963306/6316190196330606092023160248.pdf</v>
      </c>
      <c r="F7394" s="5" t="str">
        <f>HYPERLINK("https://dpmzos25m8ivg.cloudfront.net/Documentos/631/61901963306/6316190196330606092023160317.pdf","https://dpmzos25m8ivg.cloudfront.net/Documentos/631/61901963306/6316190196330606092023160317.pdf")</f>
        <v>https://dpmzos25m8ivg.cloudfront.net/Documentos/631/61901963306/6316190196330606092023160317.pdf</v>
      </c>
      <c r="G7394" s="5" t="str">
        <f>HYPERLINK("https://dpmzos25m8ivg.cloudfront.net/Documentos/631/61901963306/6316190196330606092023160330.pdf","https://dpmzos25m8ivg.cloudfront.net/Documentos/631/61901963306/6316190196330606092023160330.pdf")</f>
        <v>https://dpmzos25m8ivg.cloudfront.net/Documentos/631/61901963306/6316190196330606092023160330.pdf</v>
      </c>
      <c r="H7394" s="5" t="s">
        <v>15962</v>
      </c>
    </row>
    <row r="7395" spans="1:8" x14ac:dyDescent="0.25">
      <c r="A7395" s="2" t="s">
        <v>7424</v>
      </c>
      <c r="B7395" s="3"/>
      <c r="C7395" s="3"/>
      <c r="D7395" s="3"/>
      <c r="E7395" s="5" t="str">
        <f>HYPERLINK("https://dpmzos25m8ivg.cloudfront.net/Documentos/631/61944125345/6316194412534511092023141344.jpeg","https://dpmzos25m8ivg.cloudfront.net/Documentos/631/61944125345/6316194412534511092023141344.jpeg")</f>
        <v>https://dpmzos25m8ivg.cloudfront.net/Documentos/631/61944125345/6316194412534511092023141344.jpeg</v>
      </c>
      <c r="F7395" s="5" t="str">
        <f>HYPERLINK("https://dpmzos25m8ivg.cloudfront.net/Documentos/631/61944125345/6316194412534511092023141352.jpeg","https://dpmzos25m8ivg.cloudfront.net/Documentos/631/61944125345/6316194412534511092023141352.jpeg")</f>
        <v>https://dpmzos25m8ivg.cloudfront.net/Documentos/631/61944125345/6316194412534511092023141352.jpeg</v>
      </c>
      <c r="G7395" s="5" t="str">
        <f>HYPERLINK("https://dpmzos25m8ivg.cloudfront.net/Documentos/631/61944125345/6316194412534511092023141400.jpeg","https://dpmzos25m8ivg.cloudfront.net/Documentos/631/61944125345/6316194412534511092023141400.jpeg")</f>
        <v>https://dpmzos25m8ivg.cloudfront.net/Documentos/631/61944125345/6316194412534511092023141400.jpeg</v>
      </c>
      <c r="H7395" s="5" t="s">
        <v>15963</v>
      </c>
    </row>
    <row r="7396" spans="1:8" x14ac:dyDescent="0.25">
      <c r="A7396" s="2" t="s">
        <v>7425</v>
      </c>
      <c r="B7396" s="3"/>
      <c r="C7396" s="3"/>
      <c r="D7396" s="3"/>
      <c r="E7396" s="5" t="str">
        <f>HYPERLINK("https://dpmzos25m8ivg.cloudfront.net/Documentos/631/61964559316/6316196455931605092023110418.pdf","https://dpmzos25m8ivg.cloudfront.net/Documentos/631/61964559316/6316196455931605092023110418.pdf")</f>
        <v>https://dpmzos25m8ivg.cloudfront.net/Documentos/631/61964559316/6316196455931605092023110418.pdf</v>
      </c>
      <c r="F7396" s="5" t="str">
        <f>HYPERLINK("https://dpmzos25m8ivg.cloudfront.net/Documentos/631/61964559316/6316196455931605092023110442.pdf","https://dpmzos25m8ivg.cloudfront.net/Documentos/631/61964559316/6316196455931605092023110442.pdf")</f>
        <v>https://dpmzos25m8ivg.cloudfront.net/Documentos/631/61964559316/6316196455931605092023110442.pdf</v>
      </c>
      <c r="G7396" s="5" t="str">
        <f>HYPERLINK("https://dpmzos25m8ivg.cloudfront.net/Documentos/631/61964559316/6316196455931605092023110455.pdf","https://dpmzos25m8ivg.cloudfront.net/Documentos/631/61964559316/6316196455931605092023110455.pdf")</f>
        <v>https://dpmzos25m8ivg.cloudfront.net/Documentos/631/61964559316/6316196455931605092023110455.pdf</v>
      </c>
      <c r="H7396" s="5" t="s">
        <v>15964</v>
      </c>
    </row>
    <row r="7397" spans="1:8" x14ac:dyDescent="0.25">
      <c r="A7397" s="2" t="s">
        <v>7426</v>
      </c>
      <c r="B7397" s="3"/>
      <c r="C7397" s="3"/>
      <c r="D7397" s="3"/>
      <c r="E7397" s="5" t="str">
        <f>HYPERLINK("https://dpmzos25m8ivg.cloudfront.net/Documentos/631/61966794304/6316196679430405092023093641.pdf","https://dpmzos25m8ivg.cloudfront.net/Documentos/631/61966794304/6316196679430405092023093641.pdf")</f>
        <v>https://dpmzos25m8ivg.cloudfront.net/Documentos/631/61966794304/6316196679430405092023093641.pdf</v>
      </c>
      <c r="F7397" s="5" t="str">
        <f>HYPERLINK("https://dpmzos25m8ivg.cloudfront.net/Documentos/631/61966794304/6316196679430405092023093715.pdf","https://dpmzos25m8ivg.cloudfront.net/Documentos/631/61966794304/6316196679430405092023093715.pdf")</f>
        <v>https://dpmzos25m8ivg.cloudfront.net/Documentos/631/61966794304/6316196679430405092023093715.pdf</v>
      </c>
      <c r="G7397" s="5" t="str">
        <f>HYPERLINK("https://dpmzos25m8ivg.cloudfront.net/Documentos/631/61966794304/6316196679430405092023093652.pdf","https://dpmzos25m8ivg.cloudfront.net/Documentos/631/61966794304/6316196679430405092023093652.pdf")</f>
        <v>https://dpmzos25m8ivg.cloudfront.net/Documentos/631/61966794304/6316196679430405092023093652.pdf</v>
      </c>
      <c r="H7397" s="5" t="s">
        <v>15965</v>
      </c>
    </row>
    <row r="7398" spans="1:8" x14ac:dyDescent="0.25">
      <c r="A7398" s="2" t="s">
        <v>7427</v>
      </c>
      <c r="B7398" s="3"/>
      <c r="C7398" s="3"/>
      <c r="D7398" s="3"/>
      <c r="E7398" s="5" t="str">
        <f>HYPERLINK("https://dpmzos25m8ivg.cloudfront.net/Documentos/631/61966816308/6316196681630807092023154258.pdf","https://dpmzos25m8ivg.cloudfront.net/Documentos/631/61966816308/6316196681630807092023154258.pdf")</f>
        <v>https://dpmzos25m8ivg.cloudfront.net/Documentos/631/61966816308/6316196681630807092023154258.pdf</v>
      </c>
      <c r="F7398" s="5" t="str">
        <f>HYPERLINK("https://dpmzos25m8ivg.cloudfront.net/Documentos/631/61966816308/6316196681630807092023154307.pdf","https://dpmzos25m8ivg.cloudfront.net/Documentos/631/61966816308/6316196681630807092023154307.pdf")</f>
        <v>https://dpmzos25m8ivg.cloudfront.net/Documentos/631/61966816308/6316196681630807092023154307.pdf</v>
      </c>
      <c r="G7398" s="5" t="str">
        <f>HYPERLINK("https://dpmzos25m8ivg.cloudfront.net/Documentos/631/61966816308/6316196681630807092023154317.pdf","https://dpmzos25m8ivg.cloudfront.net/Documentos/631/61966816308/6316196681630807092023154317.pdf")</f>
        <v>https://dpmzos25m8ivg.cloudfront.net/Documentos/631/61966816308/6316196681630807092023154317.pdf</v>
      </c>
      <c r="H7398" s="5" t="s">
        <v>15966</v>
      </c>
    </row>
    <row r="7399" spans="1:8" x14ac:dyDescent="0.25">
      <c r="A7399" s="2" t="s">
        <v>7428</v>
      </c>
      <c r="B7399" s="3"/>
      <c r="C7399" s="3"/>
      <c r="D7399" s="3"/>
      <c r="E7399" s="5" t="str">
        <f>HYPERLINK("https://dpmzos25m8ivg.cloudfront.net/Documentos/631/61974544320/6316197454432013092023025905.pdf","https://dpmzos25m8ivg.cloudfront.net/Documentos/631/61974544320/6316197454432013092023025905.pdf")</f>
        <v>https://dpmzos25m8ivg.cloudfront.net/Documentos/631/61974544320/6316197454432013092023025905.pdf</v>
      </c>
      <c r="F7399" s="5" t="str">
        <f>HYPERLINK("https://dpmzos25m8ivg.cloudfront.net/Documentos/631/61974544320/6316197454432013092023030001.pdf","https://dpmzos25m8ivg.cloudfront.net/Documentos/631/61974544320/6316197454432013092023030001.pdf")</f>
        <v>https://dpmzos25m8ivg.cloudfront.net/Documentos/631/61974544320/6316197454432013092023030001.pdf</v>
      </c>
      <c r="G7399" s="5" t="str">
        <f>HYPERLINK("https://dpmzos25m8ivg.cloudfront.net/Documentos/631/61974544320/6316197454432013092023030029.pdf","https://dpmzos25m8ivg.cloudfront.net/Documentos/631/61974544320/6316197454432013092023030029.pdf")</f>
        <v>https://dpmzos25m8ivg.cloudfront.net/Documentos/631/61974544320/6316197454432013092023030029.pdf</v>
      </c>
      <c r="H7399" s="5" t="s">
        <v>15967</v>
      </c>
    </row>
    <row r="7400" spans="1:8" x14ac:dyDescent="0.25">
      <c r="A7400" s="2" t="s">
        <v>7429</v>
      </c>
      <c r="B7400" s="3"/>
      <c r="C7400" s="3"/>
      <c r="D7400" s="3"/>
      <c r="E7400" s="5" t="str">
        <f>HYPERLINK("https://dpmzos25m8ivg.cloudfront.net/Documentos/631/61977565360/6316197756536008092023203506.jpeg","https://dpmzos25m8ivg.cloudfront.net/Documentos/631/61977565360/6316197756536008092023203506.jpeg")</f>
        <v>https://dpmzos25m8ivg.cloudfront.net/Documentos/631/61977565360/6316197756536008092023203506.jpeg</v>
      </c>
      <c r="F7400" s="5" t="str">
        <f>HYPERLINK("https://dpmzos25m8ivg.cloudfront.net/Documentos/631/61977565360/6316197756536008092023203552.jpeg","https://dpmzos25m8ivg.cloudfront.net/Documentos/631/61977565360/6316197756536008092023203552.jpeg")</f>
        <v>https://dpmzos25m8ivg.cloudfront.net/Documentos/631/61977565360/6316197756536008092023203552.jpeg</v>
      </c>
      <c r="G7400" s="5" t="str">
        <f>HYPERLINK("https://dpmzos25m8ivg.cloudfront.net/Documentos/631/61977565360/6316197756536008092023203622.jpeg","https://dpmzos25m8ivg.cloudfront.net/Documentos/631/61977565360/6316197756536008092023203622.jpeg")</f>
        <v>https://dpmzos25m8ivg.cloudfront.net/Documentos/631/61977565360/6316197756536008092023203622.jpeg</v>
      </c>
      <c r="H7400" s="5" t="s">
        <v>15968</v>
      </c>
    </row>
    <row r="7401" spans="1:8" x14ac:dyDescent="0.25">
      <c r="A7401" s="2" t="s">
        <v>7430</v>
      </c>
      <c r="B7401" s="3"/>
      <c r="C7401" s="3"/>
      <c r="D7401" s="3"/>
      <c r="E7401" s="5" t="str">
        <f>HYPERLINK("https://dpmzos25m8ivg.cloudfront.net/Documentos/631/61991771347/6316199177134711092023163620.jpeg","https://dpmzos25m8ivg.cloudfront.net/Documentos/631/61991771347/6316199177134711092023163620.jpeg")</f>
        <v>https://dpmzos25m8ivg.cloudfront.net/Documentos/631/61991771347/6316199177134711092023163620.jpeg</v>
      </c>
      <c r="F7401" s="5" t="str">
        <f>HYPERLINK("https://dpmzos25m8ivg.cloudfront.net/Documentos/631/61991771347/6316199177134711092023163634.jpeg","https://dpmzos25m8ivg.cloudfront.net/Documentos/631/61991771347/6316199177134711092023163634.jpeg")</f>
        <v>https://dpmzos25m8ivg.cloudfront.net/Documentos/631/61991771347/6316199177134711092023163634.jpeg</v>
      </c>
      <c r="G7401" s="5" t="str">
        <f>HYPERLINK("https://dpmzos25m8ivg.cloudfront.net/Documentos/631/61991771347/6316199177134711092023163645.jpeg","https://dpmzos25m8ivg.cloudfront.net/Documentos/631/61991771347/6316199177134711092023163645.jpeg")</f>
        <v>https://dpmzos25m8ivg.cloudfront.net/Documentos/631/61991771347/6316199177134711092023163645.jpeg</v>
      </c>
      <c r="H7401" s="5" t="s">
        <v>15969</v>
      </c>
    </row>
    <row r="7402" spans="1:8" x14ac:dyDescent="0.25">
      <c r="A7402" s="2" t="s">
        <v>7431</v>
      </c>
      <c r="B7402" s="3"/>
      <c r="C7402" s="3"/>
      <c r="D7402" s="3"/>
      <c r="E7402" s="5" t="str">
        <f>HYPERLINK("https://dpmzos25m8ivg.cloudfront.net/Documentos/631/62001866348/6316200186634806092023103950.pdf","https://dpmzos25m8ivg.cloudfront.net/Documentos/631/62001866348/6316200186634806092023103950.pdf")</f>
        <v>https://dpmzos25m8ivg.cloudfront.net/Documentos/631/62001866348/6316200186634806092023103950.pdf</v>
      </c>
      <c r="F7402" s="5" t="str">
        <f>HYPERLINK("https://dpmzos25m8ivg.cloudfront.net/Documentos/631/62001866348/6316200186634806092023104006.pdf","https://dpmzos25m8ivg.cloudfront.net/Documentos/631/62001866348/6316200186634806092023104006.pdf")</f>
        <v>https://dpmzos25m8ivg.cloudfront.net/Documentos/631/62001866348/6316200186634806092023104006.pdf</v>
      </c>
      <c r="G7402" s="5" t="str">
        <f>HYPERLINK("https://dpmzos25m8ivg.cloudfront.net/Documentos/631/62001866348/6316200186634806092023104018.pdf","https://dpmzos25m8ivg.cloudfront.net/Documentos/631/62001866348/6316200186634806092023104018.pdf")</f>
        <v>https://dpmzos25m8ivg.cloudfront.net/Documentos/631/62001866348/6316200186634806092023104018.pdf</v>
      </c>
      <c r="H7402" s="5" t="s">
        <v>15970</v>
      </c>
    </row>
    <row r="7403" spans="1:8" x14ac:dyDescent="0.25">
      <c r="A7403" s="2" t="s">
        <v>7432</v>
      </c>
      <c r="B7403" s="3"/>
      <c r="C7403" s="3"/>
      <c r="D7403" s="3"/>
      <c r="E7403" s="5" t="str">
        <f>HYPERLINK("https://dpmzos25m8ivg.cloudfront.net/Documentos/631/62003764330/6316200376433010092023235014.pdf","https://dpmzos25m8ivg.cloudfront.net/Documentos/631/62003764330/6316200376433010092023235014.pdf")</f>
        <v>https://dpmzos25m8ivg.cloudfront.net/Documentos/631/62003764330/6316200376433010092023235014.pdf</v>
      </c>
      <c r="F7403" s="5" t="str">
        <f>HYPERLINK("https://dpmzos25m8ivg.cloudfront.net/Documentos/631/62003764330/6316200376433010092023235057.pdf","https://dpmzos25m8ivg.cloudfront.net/Documentos/631/62003764330/6316200376433010092023235057.pdf")</f>
        <v>https://dpmzos25m8ivg.cloudfront.net/Documentos/631/62003764330/6316200376433010092023235057.pdf</v>
      </c>
      <c r="G7403" s="5" t="str">
        <f>HYPERLINK("https://dpmzos25m8ivg.cloudfront.net/Documentos/631/62003764330/6316200376433010092023235143.pdf","https://dpmzos25m8ivg.cloudfront.net/Documentos/631/62003764330/6316200376433010092023235143.pdf")</f>
        <v>https://dpmzos25m8ivg.cloudfront.net/Documentos/631/62003764330/6316200376433010092023235143.pdf</v>
      </c>
      <c r="H7403" s="5" t="s">
        <v>15971</v>
      </c>
    </row>
    <row r="7404" spans="1:8" x14ac:dyDescent="0.25">
      <c r="A7404" s="2" t="s">
        <v>7433</v>
      </c>
      <c r="B7404" s="3"/>
      <c r="C7404" s="3"/>
      <c r="D7404" s="3"/>
      <c r="E7404" s="5" t="str">
        <f>HYPERLINK("https://dpmzos25m8ivg.cloudfront.net/Documentos/631/62004330384/6316200433038411092023144738.pdf","https://dpmzos25m8ivg.cloudfront.net/Documentos/631/62004330384/6316200433038411092023144738.pdf")</f>
        <v>https://dpmzos25m8ivg.cloudfront.net/Documentos/631/62004330384/6316200433038411092023144738.pdf</v>
      </c>
      <c r="F7404" s="5" t="str">
        <f>HYPERLINK("https://dpmzos25m8ivg.cloudfront.net/Documentos/631/62004330384/6316200433038411092023144758.pdf","https://dpmzos25m8ivg.cloudfront.net/Documentos/631/62004330384/6316200433038411092023144758.pdf")</f>
        <v>https://dpmzos25m8ivg.cloudfront.net/Documentos/631/62004330384/6316200433038411092023144758.pdf</v>
      </c>
      <c r="G7404" s="5" t="str">
        <f>HYPERLINK("https://dpmzos25m8ivg.cloudfront.net/Documentos/631/62004330384/6316200433038411092023144811.pdf","https://dpmzos25m8ivg.cloudfront.net/Documentos/631/62004330384/6316200433038411092023144811.pdf")</f>
        <v>https://dpmzos25m8ivg.cloudfront.net/Documentos/631/62004330384/6316200433038411092023144811.pdf</v>
      </c>
      <c r="H7404" s="5" t="s">
        <v>15972</v>
      </c>
    </row>
    <row r="7405" spans="1:8" x14ac:dyDescent="0.25">
      <c r="A7405" s="2" t="s">
        <v>7434</v>
      </c>
      <c r="B7405" s="3"/>
      <c r="C7405" s="3"/>
      <c r="D7405" s="3"/>
      <c r="E7405" s="5" t="str">
        <f>HYPERLINK("https://dpmzos25m8ivg.cloudfront.net/Documentos/631/62009910303/6316200991030311092023145233.pdf","https://dpmzos25m8ivg.cloudfront.net/Documentos/631/62009910303/6316200991030311092023145233.pdf")</f>
        <v>https://dpmzos25m8ivg.cloudfront.net/Documentos/631/62009910303/6316200991030311092023145233.pdf</v>
      </c>
      <c r="F7405" s="5" t="str">
        <f>HYPERLINK("https://dpmzos25m8ivg.cloudfront.net/Documentos/631/62009910303/6316200991030311092023145241.pdf","https://dpmzos25m8ivg.cloudfront.net/Documentos/631/62009910303/6316200991030311092023145241.pdf")</f>
        <v>https://dpmzos25m8ivg.cloudfront.net/Documentos/631/62009910303/6316200991030311092023145241.pdf</v>
      </c>
      <c r="G7405" s="5" t="str">
        <f>HYPERLINK("https://dpmzos25m8ivg.cloudfront.net/Documentos/631/62009910303/6316200991030311092023145250.pdf","https://dpmzos25m8ivg.cloudfront.net/Documentos/631/62009910303/6316200991030311092023145250.pdf")</f>
        <v>https://dpmzos25m8ivg.cloudfront.net/Documentos/631/62009910303/6316200991030311092023145250.pdf</v>
      </c>
      <c r="H7405" s="5" t="s">
        <v>15973</v>
      </c>
    </row>
    <row r="7406" spans="1:8" x14ac:dyDescent="0.25">
      <c r="A7406" s="2" t="s">
        <v>7435</v>
      </c>
      <c r="B7406" s="3"/>
      <c r="C7406" s="3"/>
      <c r="D7406" s="3"/>
      <c r="E7406" s="5" t="str">
        <f>HYPERLINK("https://dpmzos25m8ivg.cloudfront.net/Documentos/631/62056700115/6316205670011509092023114514.pdf","https://dpmzos25m8ivg.cloudfront.net/Documentos/631/62056700115/6316205670011509092023114514.pdf")</f>
        <v>https://dpmzos25m8ivg.cloudfront.net/Documentos/631/62056700115/6316205670011509092023114514.pdf</v>
      </c>
      <c r="F7406" s="5" t="str">
        <f>HYPERLINK("https://dpmzos25m8ivg.cloudfront.net/Documentos/631/62056700115/6316205670011509092023114547.pdf","https://dpmzos25m8ivg.cloudfront.net/Documentos/631/62056700115/6316205670011509092023114547.pdf")</f>
        <v>https://dpmzos25m8ivg.cloudfront.net/Documentos/631/62056700115/6316205670011509092023114547.pdf</v>
      </c>
      <c r="G7406" s="5" t="str">
        <f>HYPERLINK("https://dpmzos25m8ivg.cloudfront.net/Documentos/631/62056700115/6316205670011509092023114609.pdf","https://dpmzos25m8ivg.cloudfront.net/Documentos/631/62056700115/6316205670011509092023114609.pdf")</f>
        <v>https://dpmzos25m8ivg.cloudfront.net/Documentos/631/62056700115/6316205670011509092023114609.pdf</v>
      </c>
      <c r="H7406" s="5" t="s">
        <v>15974</v>
      </c>
    </row>
    <row r="7407" spans="1:8" x14ac:dyDescent="0.25">
      <c r="A7407" s="2" t="s">
        <v>7436</v>
      </c>
      <c r="B7407" s="3"/>
      <c r="C7407" s="3"/>
      <c r="D7407" s="3"/>
      <c r="E7407" s="5" t="str">
        <f>HYPERLINK("https://dpmzos25m8ivg.cloudfront.net/Documentos/631/62062974388/6316206297438811092023003743.pdf","https://dpmzos25m8ivg.cloudfront.net/Documentos/631/62062974388/6316206297438811092023003743.pdf")</f>
        <v>https://dpmzos25m8ivg.cloudfront.net/Documentos/631/62062974388/6316206297438811092023003743.pdf</v>
      </c>
      <c r="F7407" s="5" t="str">
        <f>HYPERLINK("https://dpmzos25m8ivg.cloudfront.net/Documentos/631/62062974388/6316206297438811092023003749.pdf","https://dpmzos25m8ivg.cloudfront.net/Documentos/631/62062974388/6316206297438811092023003749.pdf")</f>
        <v>https://dpmzos25m8ivg.cloudfront.net/Documentos/631/62062974388/6316206297438811092023003749.pdf</v>
      </c>
      <c r="G7407" s="5" t="str">
        <f>HYPERLINK("https://dpmzos25m8ivg.cloudfront.net/Documentos/631/62062974388/6316206297438811092023003756.pdf","https://dpmzos25m8ivg.cloudfront.net/Documentos/631/62062974388/6316206297438811092023003756.pdf")</f>
        <v>https://dpmzos25m8ivg.cloudfront.net/Documentos/631/62062974388/6316206297438811092023003756.pdf</v>
      </c>
      <c r="H7407" s="5" t="s">
        <v>15975</v>
      </c>
    </row>
    <row r="7408" spans="1:8" x14ac:dyDescent="0.25">
      <c r="A7408" s="2" t="s">
        <v>7437</v>
      </c>
      <c r="B7408" s="3" t="s">
        <v>90</v>
      </c>
      <c r="C7408" s="3"/>
      <c r="D7408" s="3"/>
      <c r="E7408" s="5" t="str">
        <f>HYPERLINK("https://dpmzos25m8ivg.cloudfront.net/Documentos/631/62077460318/6316207746031805092023170332.pdf","https://dpmzos25m8ivg.cloudfront.net/Documentos/631/62077460318/6316207746031805092023170332.pdf")</f>
        <v>https://dpmzos25m8ivg.cloudfront.net/Documentos/631/62077460318/6316207746031805092023170332.pdf</v>
      </c>
      <c r="F7408" s="5" t="str">
        <f>HYPERLINK("https://dpmzos25m8ivg.cloudfront.net/Documentos/631/62077460318/6316207746031805092023170352.pdf","https://dpmzos25m8ivg.cloudfront.net/Documentos/631/62077460318/6316207746031805092023170352.pdf")</f>
        <v>https://dpmzos25m8ivg.cloudfront.net/Documentos/631/62077460318/6316207746031805092023170352.pdf</v>
      </c>
      <c r="G7408" s="5" t="str">
        <f>HYPERLINK("https://dpmzos25m8ivg.cloudfront.net/Documentos/631/62077460318/6316207746031805092023170402.pdf","https://dpmzos25m8ivg.cloudfront.net/Documentos/631/62077460318/6316207746031805092023170402.pdf")</f>
        <v>https://dpmzos25m8ivg.cloudfront.net/Documentos/631/62077460318/6316207746031805092023170402.pdf</v>
      </c>
      <c r="H7408" s="5" t="s">
        <v>15976</v>
      </c>
    </row>
    <row r="7409" spans="1:8" x14ac:dyDescent="0.25">
      <c r="A7409" s="2" t="s">
        <v>7438</v>
      </c>
      <c r="B7409" s="3"/>
      <c r="C7409" s="3"/>
      <c r="D7409" s="3"/>
      <c r="E7409" s="5" t="str">
        <f>HYPERLINK("https://dpmzos25m8ivg.cloudfront.net/Documentos/631/62093832380/6316209383238011092023124205.pdf","https://dpmzos25m8ivg.cloudfront.net/Documentos/631/62093832380/6316209383238011092023124205.pdf")</f>
        <v>https://dpmzos25m8ivg.cloudfront.net/Documentos/631/62093832380/6316209383238011092023124205.pdf</v>
      </c>
      <c r="F7409" s="5" t="str">
        <f>HYPERLINK("https://dpmzos25m8ivg.cloudfront.net/Documentos/631/62093832380/6316209383238011092023124215.pdf","https://dpmzos25m8ivg.cloudfront.net/Documentos/631/62093832380/6316209383238011092023124215.pdf")</f>
        <v>https://dpmzos25m8ivg.cloudfront.net/Documentos/631/62093832380/6316209383238011092023124215.pdf</v>
      </c>
      <c r="G7409" s="5" t="str">
        <f>HYPERLINK("https://dpmzos25m8ivg.cloudfront.net/Documentos/631/62093832380/6316209383238011092023124231.pdf","https://dpmzos25m8ivg.cloudfront.net/Documentos/631/62093832380/6316209383238011092023124231.pdf")</f>
        <v>https://dpmzos25m8ivg.cloudfront.net/Documentos/631/62093832380/6316209383238011092023124231.pdf</v>
      </c>
      <c r="H7409" s="5" t="s">
        <v>15977</v>
      </c>
    </row>
    <row r="7410" spans="1:8" x14ac:dyDescent="0.25">
      <c r="A7410" s="2" t="s">
        <v>7439</v>
      </c>
      <c r="B7410" s="3"/>
      <c r="C7410" s="3"/>
      <c r="D7410" s="3"/>
      <c r="E7410" s="5" t="str">
        <f>HYPERLINK("https://dpmzos25m8ivg.cloudfront.net/Documentos/631/62101163373/6316210116337311092023164444.pdf","https://dpmzos25m8ivg.cloudfront.net/Documentos/631/62101163373/6316210116337311092023164444.pdf")</f>
        <v>https://dpmzos25m8ivg.cloudfront.net/Documentos/631/62101163373/6316210116337311092023164444.pdf</v>
      </c>
      <c r="F7410" s="5" t="str">
        <f>HYPERLINK("https://dpmzos25m8ivg.cloudfront.net/Documentos/631/62101163373/6316210116337311092023164451.pdf","https://dpmzos25m8ivg.cloudfront.net/Documentos/631/62101163373/6316210116337311092023164451.pdf")</f>
        <v>https://dpmzos25m8ivg.cloudfront.net/Documentos/631/62101163373/6316210116337311092023164451.pdf</v>
      </c>
      <c r="G7410" s="5" t="str">
        <f>HYPERLINK("https://dpmzos25m8ivg.cloudfront.net/Documentos/631/62101163373/6316210116337311092023164459.pdf","https://dpmzos25m8ivg.cloudfront.net/Documentos/631/62101163373/6316210116337311092023164459.pdf")</f>
        <v>https://dpmzos25m8ivg.cloudfront.net/Documentos/631/62101163373/6316210116337311092023164459.pdf</v>
      </c>
      <c r="H7410" s="5" t="s">
        <v>15978</v>
      </c>
    </row>
    <row r="7411" spans="1:8" x14ac:dyDescent="0.25">
      <c r="A7411" s="2" t="s">
        <v>7440</v>
      </c>
      <c r="B7411" s="3"/>
      <c r="C7411" s="3"/>
      <c r="D7411" s="3"/>
      <c r="E7411" s="5" t="str">
        <f>HYPERLINK("https://dpmzos25m8ivg.cloudfront.net/Documentos/631/62131834268/6316213183426813092023113815.pdf","https://dpmzos25m8ivg.cloudfront.net/Documentos/631/62131834268/6316213183426813092023113815.pdf")</f>
        <v>https://dpmzos25m8ivg.cloudfront.net/Documentos/631/62131834268/6316213183426813092023113815.pdf</v>
      </c>
      <c r="F7411" s="5" t="str">
        <f>HYPERLINK("https://dpmzos25m8ivg.cloudfront.net/Documentos/631/62131834268/6316213183426813092023113914.pdf","https://dpmzos25m8ivg.cloudfront.net/Documentos/631/62131834268/6316213183426813092023113914.pdf")</f>
        <v>https://dpmzos25m8ivg.cloudfront.net/Documentos/631/62131834268/6316213183426813092023113914.pdf</v>
      </c>
      <c r="G7411" s="5" t="str">
        <f>HYPERLINK("https://dpmzos25m8ivg.cloudfront.net/Documentos/631/62131834268/6316213183426813092023113948.pdf","https://dpmzos25m8ivg.cloudfront.net/Documentos/631/62131834268/6316213183426813092023113948.pdf")</f>
        <v>https://dpmzos25m8ivg.cloudfront.net/Documentos/631/62131834268/6316213183426813092023113948.pdf</v>
      </c>
      <c r="H7411" s="5" t="s">
        <v>15979</v>
      </c>
    </row>
    <row r="7412" spans="1:8" x14ac:dyDescent="0.25">
      <c r="A7412" s="2" t="s">
        <v>7441</v>
      </c>
      <c r="B7412" s="3"/>
      <c r="C7412" s="3"/>
      <c r="D7412" s="3"/>
      <c r="E7412" s="5" t="str">
        <f>HYPERLINK("https://dpmzos25m8ivg.cloudfront.net/Documentos/631/62181388369/6316218138836911092023151623.pdf","https://dpmzos25m8ivg.cloudfront.net/Documentos/631/62181388369/6316218138836911092023151623.pdf")</f>
        <v>https://dpmzos25m8ivg.cloudfront.net/Documentos/631/62181388369/6316218138836911092023151623.pdf</v>
      </c>
      <c r="F7412" s="5" t="str">
        <f>HYPERLINK("https://dpmzos25m8ivg.cloudfront.net/Documentos/631/62181388369/6316218138836911092023151653.pdf","https://dpmzos25m8ivg.cloudfront.net/Documentos/631/62181388369/6316218138836911092023151653.pdf")</f>
        <v>https://dpmzos25m8ivg.cloudfront.net/Documentos/631/62181388369/6316218138836911092023151653.pdf</v>
      </c>
      <c r="G7412" s="5" t="str">
        <f>HYPERLINK("https://dpmzos25m8ivg.cloudfront.net/Documentos/631/62181388369/6316218138836911092023151702.pdf","https://dpmzos25m8ivg.cloudfront.net/Documentos/631/62181388369/6316218138836911092023151702.pdf")</f>
        <v>https://dpmzos25m8ivg.cloudfront.net/Documentos/631/62181388369/6316218138836911092023151702.pdf</v>
      </c>
      <c r="H7412" s="5" t="s">
        <v>15980</v>
      </c>
    </row>
    <row r="7413" spans="1:8" x14ac:dyDescent="0.25">
      <c r="A7413" s="2" t="s">
        <v>7442</v>
      </c>
      <c r="B7413" s="3"/>
      <c r="C7413" s="3"/>
      <c r="D7413" s="3"/>
      <c r="E7413" s="5" t="str">
        <f>HYPERLINK("https://dpmzos25m8ivg.cloudfront.net/Documentos/631/62196008354/6316219600835407092023231534.pdf","https://dpmzos25m8ivg.cloudfront.net/Documentos/631/62196008354/6316219600835407092023231534.pdf")</f>
        <v>https://dpmzos25m8ivg.cloudfront.net/Documentos/631/62196008354/6316219600835407092023231534.pdf</v>
      </c>
      <c r="F7413" s="5" t="str">
        <f>HYPERLINK("https://dpmzos25m8ivg.cloudfront.net/Documentos/631/62196008354/6316219600835407092023231551.pdf","https://dpmzos25m8ivg.cloudfront.net/Documentos/631/62196008354/6316219600835407092023231551.pdf")</f>
        <v>https://dpmzos25m8ivg.cloudfront.net/Documentos/631/62196008354/6316219600835407092023231551.pdf</v>
      </c>
      <c r="G7413" s="5" t="str">
        <f>HYPERLINK("https://dpmzos25m8ivg.cloudfront.net/Documentos/631/62196008354/6316219600835407092023231602.pdf","https://dpmzos25m8ivg.cloudfront.net/Documentos/631/62196008354/6316219600835407092023231602.pdf")</f>
        <v>https://dpmzos25m8ivg.cloudfront.net/Documentos/631/62196008354/6316219600835407092023231602.pdf</v>
      </c>
      <c r="H7413" s="5" t="s">
        <v>15981</v>
      </c>
    </row>
    <row r="7414" spans="1:8" x14ac:dyDescent="0.25">
      <c r="A7414" s="2" t="s">
        <v>7443</v>
      </c>
      <c r="B7414" s="3"/>
      <c r="C7414" s="3"/>
      <c r="D7414" s="3"/>
      <c r="E7414" s="5" t="str">
        <f>HYPERLINK("https://dpmzos25m8ivg.cloudfront.net/Documentos/631/62197421336/6316219742133611092023151158.pdf","https://dpmzos25m8ivg.cloudfront.net/Documentos/631/62197421336/6316219742133611092023151158.pdf")</f>
        <v>https://dpmzos25m8ivg.cloudfront.net/Documentos/631/62197421336/6316219742133611092023151158.pdf</v>
      </c>
      <c r="F7414" s="5" t="str">
        <f>HYPERLINK("https://dpmzos25m8ivg.cloudfront.net/Documentos/631/62197421336/6316219742133611092023151243.pdf","https://dpmzos25m8ivg.cloudfront.net/Documentos/631/62197421336/6316219742133611092023151243.pdf")</f>
        <v>https://dpmzos25m8ivg.cloudfront.net/Documentos/631/62197421336/6316219742133611092023151243.pdf</v>
      </c>
      <c r="G7414" s="5" t="str">
        <f>HYPERLINK("https://dpmzos25m8ivg.cloudfront.net/Documentos/631/62197421336/6316219742133611092023151257.pdf","https://dpmzos25m8ivg.cloudfront.net/Documentos/631/62197421336/6316219742133611092023151257.pdf")</f>
        <v>https://dpmzos25m8ivg.cloudfront.net/Documentos/631/62197421336/6316219742133611092023151257.pdf</v>
      </c>
      <c r="H7414" s="5" t="s">
        <v>15982</v>
      </c>
    </row>
    <row r="7415" spans="1:8" x14ac:dyDescent="0.25">
      <c r="A7415" s="2" t="s">
        <v>7444</v>
      </c>
      <c r="B7415" s="3"/>
      <c r="C7415" s="3"/>
      <c r="D7415" s="3"/>
      <c r="E7415" s="5" t="str">
        <f>HYPERLINK("https://dpmzos25m8ivg.cloudfront.net/Documentos/631/62206043343/6316220604334310092023184006.pdf","https://dpmzos25m8ivg.cloudfront.net/Documentos/631/62206043343/6316220604334310092023184006.pdf")</f>
        <v>https://dpmzos25m8ivg.cloudfront.net/Documentos/631/62206043343/6316220604334310092023184006.pdf</v>
      </c>
      <c r="F7415" s="5" t="str">
        <f>HYPERLINK("https://dpmzos25m8ivg.cloudfront.net/Documentos/631/62206043343/6316220604334310092023184023.pdf","https://dpmzos25m8ivg.cloudfront.net/Documentos/631/62206043343/6316220604334310092023184023.pdf")</f>
        <v>https://dpmzos25m8ivg.cloudfront.net/Documentos/631/62206043343/6316220604334310092023184023.pdf</v>
      </c>
      <c r="G7415" s="5" t="str">
        <f>HYPERLINK("https://dpmzos25m8ivg.cloudfront.net/Documentos/631/62206043343/6316220604334310092023184049.pdf","https://dpmzos25m8ivg.cloudfront.net/Documentos/631/62206043343/6316220604334310092023184049.pdf")</f>
        <v>https://dpmzos25m8ivg.cloudfront.net/Documentos/631/62206043343/6316220604334310092023184049.pdf</v>
      </c>
      <c r="H7415" s="5" t="s">
        <v>15983</v>
      </c>
    </row>
    <row r="7416" spans="1:8" x14ac:dyDescent="0.25">
      <c r="A7416" s="2" t="s">
        <v>7445</v>
      </c>
      <c r="B7416" s="3"/>
      <c r="C7416" s="3"/>
      <c r="D7416" s="3"/>
      <c r="E7416" s="5" t="str">
        <f>HYPERLINK("https://dpmzos25m8ivg.cloudfront.net/Documentos/631/62220904350/6316222090435008092023183323.pdf","https://dpmzos25m8ivg.cloudfront.net/Documentos/631/62220904350/6316222090435008092023183323.pdf")</f>
        <v>https://dpmzos25m8ivg.cloudfront.net/Documentos/631/62220904350/6316222090435008092023183323.pdf</v>
      </c>
      <c r="F7416" s="5" t="str">
        <f>HYPERLINK("https://dpmzos25m8ivg.cloudfront.net/Documentos/631/62220904350/6316222090435008092023183341.pdf","https://dpmzos25m8ivg.cloudfront.net/Documentos/631/62220904350/6316222090435008092023183341.pdf")</f>
        <v>https://dpmzos25m8ivg.cloudfront.net/Documentos/631/62220904350/6316222090435008092023183341.pdf</v>
      </c>
      <c r="G7416" s="5" t="str">
        <f>HYPERLINK("https://dpmzos25m8ivg.cloudfront.net/Documentos/631/62220904350/6316222090435008092023183405.pdf","https://dpmzos25m8ivg.cloudfront.net/Documentos/631/62220904350/6316222090435008092023183405.pdf")</f>
        <v>https://dpmzos25m8ivg.cloudfront.net/Documentos/631/62220904350/6316222090435008092023183405.pdf</v>
      </c>
      <c r="H7416" s="5" t="s">
        <v>15984</v>
      </c>
    </row>
    <row r="7417" spans="1:8" x14ac:dyDescent="0.25">
      <c r="A7417" s="2" t="s">
        <v>7446</v>
      </c>
      <c r="B7417" s="3"/>
      <c r="C7417" s="3"/>
      <c r="D7417" s="3"/>
      <c r="E7417" s="5" t="str">
        <f>HYPERLINK("https://dpmzos25m8ivg.cloudfront.net/Documentos/631/62233385381/6316223338538111092023143854.pdf","https://dpmzos25m8ivg.cloudfront.net/Documentos/631/62233385381/6316223338538111092023143854.pdf")</f>
        <v>https://dpmzos25m8ivg.cloudfront.net/Documentos/631/62233385381/6316223338538111092023143854.pdf</v>
      </c>
      <c r="F7417" s="5" t="str">
        <f>HYPERLINK("https://dpmzos25m8ivg.cloudfront.net/Documentos/631/62233385381/6316223338538111092023143906.pdf","https://dpmzos25m8ivg.cloudfront.net/Documentos/631/62233385381/6316223338538111092023143906.pdf")</f>
        <v>https://dpmzos25m8ivg.cloudfront.net/Documentos/631/62233385381/6316223338538111092023143906.pdf</v>
      </c>
      <c r="G7417" s="5" t="str">
        <f>HYPERLINK("https://dpmzos25m8ivg.cloudfront.net/Documentos/631/62233385381/6316223338538111092023143918.pdf","https://dpmzos25m8ivg.cloudfront.net/Documentos/631/62233385381/6316223338538111092023143918.pdf")</f>
        <v>https://dpmzos25m8ivg.cloudfront.net/Documentos/631/62233385381/6316223338538111092023143918.pdf</v>
      </c>
      <c r="H7417" s="5" t="s">
        <v>15985</v>
      </c>
    </row>
    <row r="7418" spans="1:8" x14ac:dyDescent="0.25">
      <c r="A7418" s="2" t="s">
        <v>7447</v>
      </c>
      <c r="B7418" s="3"/>
      <c r="C7418" s="3"/>
      <c r="D7418" s="3"/>
      <c r="E7418" s="5" t="str">
        <f>HYPERLINK("https://dpmzos25m8ivg.cloudfront.net/Documentos/631/62238990178/6316223899017810092023194621.pdf","https://dpmzos25m8ivg.cloudfront.net/Documentos/631/62238990178/6316223899017810092023194621.pdf")</f>
        <v>https://dpmzos25m8ivg.cloudfront.net/Documentos/631/62238990178/6316223899017810092023194621.pdf</v>
      </c>
      <c r="F7418" s="5" t="str">
        <f>HYPERLINK("https://dpmzos25m8ivg.cloudfront.net/Documentos/631/62238990178/6316223899017810092023194641.pdf","https://dpmzos25m8ivg.cloudfront.net/Documentos/631/62238990178/6316223899017810092023194641.pdf")</f>
        <v>https://dpmzos25m8ivg.cloudfront.net/Documentos/631/62238990178/6316223899017810092023194641.pdf</v>
      </c>
      <c r="G7418" s="5" t="str">
        <f>HYPERLINK("https://dpmzos25m8ivg.cloudfront.net/Documentos/631/62238990178/6316223899017810092023194701.pdf","https://dpmzos25m8ivg.cloudfront.net/Documentos/631/62238990178/6316223899017810092023194701.pdf")</f>
        <v>https://dpmzos25m8ivg.cloudfront.net/Documentos/631/62238990178/6316223899017810092023194701.pdf</v>
      </c>
      <c r="H7418" s="5" t="s">
        <v>15986</v>
      </c>
    </row>
    <row r="7419" spans="1:8" x14ac:dyDescent="0.25">
      <c r="A7419" s="2" t="s">
        <v>7448</v>
      </c>
      <c r="B7419" s="3"/>
      <c r="C7419" s="3"/>
      <c r="D7419" s="3"/>
      <c r="E7419" s="5" t="str">
        <f>HYPERLINK("https://dpmzos25m8ivg.cloudfront.net/Documentos/631/62258725313/6316225872531308092023101352.pdf","https://dpmzos25m8ivg.cloudfront.net/Documentos/631/62258725313/6316225872531308092023101352.pdf")</f>
        <v>https://dpmzos25m8ivg.cloudfront.net/Documentos/631/62258725313/6316225872531308092023101352.pdf</v>
      </c>
      <c r="F7419" s="5" t="str">
        <f>HYPERLINK("https://dpmzos25m8ivg.cloudfront.net/Documentos/631/62258725313/6316225872531308092023101432.pdf","https://dpmzos25m8ivg.cloudfront.net/Documentos/631/62258725313/6316225872531308092023101432.pdf")</f>
        <v>https://dpmzos25m8ivg.cloudfront.net/Documentos/631/62258725313/6316225872531308092023101432.pdf</v>
      </c>
      <c r="G7419" s="5" t="str">
        <f>HYPERLINK("https://dpmzos25m8ivg.cloudfront.net/Documentos/631/62258725313/6316225872531308092023101546.pdf","https://dpmzos25m8ivg.cloudfront.net/Documentos/631/62258725313/6316225872531308092023101546.pdf")</f>
        <v>https://dpmzos25m8ivg.cloudfront.net/Documentos/631/62258725313/6316225872531308092023101546.pdf</v>
      </c>
      <c r="H7419" s="5" t="s">
        <v>15987</v>
      </c>
    </row>
    <row r="7420" spans="1:8" x14ac:dyDescent="0.25">
      <c r="A7420" s="2" t="s">
        <v>7449</v>
      </c>
      <c r="B7420" s="3" t="s">
        <v>90</v>
      </c>
      <c r="C7420" s="3"/>
      <c r="D7420" s="3"/>
      <c r="E7420" s="5" t="str">
        <f>HYPERLINK("https://dpmzos25m8ivg.cloudfront.net/Documentos/631/62295959314/6316229595931410092023182021.pdf","https://dpmzos25m8ivg.cloudfront.net/Documentos/631/62295959314/6316229595931410092023182021.pdf")</f>
        <v>https://dpmzos25m8ivg.cloudfront.net/Documentos/631/62295959314/6316229595931410092023182021.pdf</v>
      </c>
      <c r="F7420" s="5" t="str">
        <f>HYPERLINK("https://dpmzos25m8ivg.cloudfront.net/Documentos/631/62295959314/6316229595931410092023182035.pdf","https://dpmzos25m8ivg.cloudfront.net/Documentos/631/62295959314/6316229595931410092023182035.pdf")</f>
        <v>https://dpmzos25m8ivg.cloudfront.net/Documentos/631/62295959314/6316229595931410092023182035.pdf</v>
      </c>
      <c r="G7420" s="5" t="str">
        <f>HYPERLINK("https://dpmzos25m8ivg.cloudfront.net/Documentos/631/62295959314/6316229595931410092023182112.pdf","https://dpmzos25m8ivg.cloudfront.net/Documentos/631/62295959314/6316229595931410092023182112.pdf")</f>
        <v>https://dpmzos25m8ivg.cloudfront.net/Documentos/631/62295959314/6316229595931410092023182112.pdf</v>
      </c>
      <c r="H7420" s="5" t="s">
        <v>15988</v>
      </c>
    </row>
    <row r="7421" spans="1:8" x14ac:dyDescent="0.25">
      <c r="A7421" s="2" t="s">
        <v>7450</v>
      </c>
      <c r="B7421" s="3" t="s">
        <v>23</v>
      </c>
      <c r="C7421" s="3"/>
      <c r="D7421" s="3"/>
      <c r="E7421" s="5" t="str">
        <f>HYPERLINK("https://dpmzos25m8ivg.cloudfront.net/Documentos/631/62298556318/6316229855631813092023143855.pdf","https://dpmzos25m8ivg.cloudfront.net/Documentos/631/62298556318/6316229855631813092023143855.pdf")</f>
        <v>https://dpmzos25m8ivg.cloudfront.net/Documentos/631/62298556318/6316229855631813092023143855.pdf</v>
      </c>
      <c r="F7421" s="5" t="str">
        <f>HYPERLINK("https://dpmzos25m8ivg.cloudfront.net/Documentos/631/62298556318/6316229855631813092023143911.pdf","https://dpmzos25m8ivg.cloudfront.net/Documentos/631/62298556318/6316229855631813092023143911.pdf")</f>
        <v>https://dpmzos25m8ivg.cloudfront.net/Documentos/631/62298556318/6316229855631813092023143911.pdf</v>
      </c>
      <c r="G7421" s="5" t="str">
        <f>HYPERLINK("https://dpmzos25m8ivg.cloudfront.net/Documentos/631/62298556318/6316229855631813092023143922.pdf","https://dpmzos25m8ivg.cloudfront.net/Documentos/631/62298556318/6316229855631813092023143922.pdf")</f>
        <v>https://dpmzos25m8ivg.cloudfront.net/Documentos/631/62298556318/6316229855631813092023143922.pdf</v>
      </c>
      <c r="H7421" s="5" t="s">
        <v>15989</v>
      </c>
    </row>
    <row r="7422" spans="1:8" x14ac:dyDescent="0.25">
      <c r="A7422" s="2" t="s">
        <v>7451</v>
      </c>
      <c r="B7422" s="3"/>
      <c r="C7422" s="3"/>
      <c r="D7422" s="3"/>
      <c r="E7422" s="5" t="str">
        <f>HYPERLINK("https://dpmzos25m8ivg.cloudfront.net/Documentos/631/62303017335/6316230301733510092023180025.pdf","https://dpmzos25m8ivg.cloudfront.net/Documentos/631/62303017335/6316230301733510092023180025.pdf")</f>
        <v>https://dpmzos25m8ivg.cloudfront.net/Documentos/631/62303017335/6316230301733510092023180025.pdf</v>
      </c>
      <c r="F7422" s="5" t="str">
        <f>HYPERLINK("https://dpmzos25m8ivg.cloudfront.net/Documentos/631/62303017335/6316230301733510092023180035.pdf","https://dpmzos25m8ivg.cloudfront.net/Documentos/631/62303017335/6316230301733510092023180035.pdf")</f>
        <v>https://dpmzos25m8ivg.cloudfront.net/Documentos/631/62303017335/6316230301733510092023180035.pdf</v>
      </c>
      <c r="G7422" s="5" t="str">
        <f>HYPERLINK("https://dpmzos25m8ivg.cloudfront.net/Documentos/631/62303017335/6316230301733510092023180045.pdf","https://dpmzos25m8ivg.cloudfront.net/Documentos/631/62303017335/6316230301733510092023180045.pdf")</f>
        <v>https://dpmzos25m8ivg.cloudfront.net/Documentos/631/62303017335/6316230301733510092023180045.pdf</v>
      </c>
      <c r="H7422" s="5" t="s">
        <v>15990</v>
      </c>
    </row>
    <row r="7423" spans="1:8" x14ac:dyDescent="0.25">
      <c r="A7423" s="2" t="s">
        <v>7452</v>
      </c>
      <c r="B7423" s="3"/>
      <c r="C7423" s="3"/>
      <c r="D7423" s="3"/>
      <c r="E7423" s="5" t="str">
        <f>HYPERLINK("https://dpmzos25m8ivg.cloudfront.net/Documentos/631/62305150326/6316230515032608092023193327.pdf","https://dpmzos25m8ivg.cloudfront.net/Documentos/631/62305150326/6316230515032608092023193327.pdf")</f>
        <v>https://dpmzos25m8ivg.cloudfront.net/Documentos/631/62305150326/6316230515032608092023193327.pdf</v>
      </c>
      <c r="F7423" s="5" t="str">
        <f>HYPERLINK("https://dpmzos25m8ivg.cloudfront.net/Documentos/631/62305150326/6316230515032608092023193345.pdf","https://dpmzos25m8ivg.cloudfront.net/Documentos/631/62305150326/6316230515032608092023193345.pdf")</f>
        <v>https://dpmzos25m8ivg.cloudfront.net/Documentos/631/62305150326/6316230515032608092023193345.pdf</v>
      </c>
      <c r="G7423" s="5" t="str">
        <f>HYPERLINK("https://dpmzos25m8ivg.cloudfront.net/Documentos/631/62305150326/6316230515032608092023193406.pdf","https://dpmzos25m8ivg.cloudfront.net/Documentos/631/62305150326/6316230515032608092023193406.pdf")</f>
        <v>https://dpmzos25m8ivg.cloudfront.net/Documentos/631/62305150326/6316230515032608092023193406.pdf</v>
      </c>
      <c r="H7423" s="5" t="s">
        <v>15991</v>
      </c>
    </row>
    <row r="7424" spans="1:8" x14ac:dyDescent="0.25">
      <c r="A7424" s="2" t="s">
        <v>7453</v>
      </c>
      <c r="B7424" s="3"/>
      <c r="C7424" s="3"/>
      <c r="D7424" s="3"/>
      <c r="E7424" s="5" t="str">
        <f>HYPERLINK("https://dpmzos25m8ivg.cloudfront.net/Documentos/631/62321983361/6316232198336111092023153704.pdf","https://dpmzos25m8ivg.cloudfront.net/Documentos/631/62321983361/6316232198336111092023153704.pdf")</f>
        <v>https://dpmzos25m8ivg.cloudfront.net/Documentos/631/62321983361/6316232198336111092023153704.pdf</v>
      </c>
      <c r="F7424" s="5" t="str">
        <f>HYPERLINK("https://dpmzos25m8ivg.cloudfront.net/Documentos/631/62321983361/6316232198336111092023153718.pdf","https://dpmzos25m8ivg.cloudfront.net/Documentos/631/62321983361/6316232198336111092023153718.pdf")</f>
        <v>https://dpmzos25m8ivg.cloudfront.net/Documentos/631/62321983361/6316232198336111092023153718.pdf</v>
      </c>
      <c r="G7424" s="5" t="str">
        <f>HYPERLINK("https://dpmzos25m8ivg.cloudfront.net/Documentos/631/62321983361/6316232198336111092023153736.pdf","https://dpmzos25m8ivg.cloudfront.net/Documentos/631/62321983361/6316232198336111092023153736.pdf")</f>
        <v>https://dpmzos25m8ivg.cloudfront.net/Documentos/631/62321983361/6316232198336111092023153736.pdf</v>
      </c>
      <c r="H7424" s="5" t="s">
        <v>15992</v>
      </c>
    </row>
    <row r="7425" spans="1:8" x14ac:dyDescent="0.25">
      <c r="A7425" s="2" t="s">
        <v>7454</v>
      </c>
      <c r="B7425" s="3" t="s">
        <v>197</v>
      </c>
      <c r="C7425" s="3"/>
      <c r="D7425" s="3"/>
      <c r="E7425" s="5" t="str">
        <f>HYPERLINK("https://dpmzos25m8ivg.cloudfront.net/Documentos/631/62330997302/6316233099730211092023153951.pdf","https://dpmzos25m8ivg.cloudfront.net/Documentos/631/62330997302/6316233099730211092023153951.pdf")</f>
        <v>https://dpmzos25m8ivg.cloudfront.net/Documentos/631/62330997302/6316233099730211092023153951.pdf</v>
      </c>
      <c r="F7425" s="5" t="str">
        <f>HYPERLINK("https://dpmzos25m8ivg.cloudfront.net/Documentos/631/62330997302/6316233099730211092023153959.pdf","https://dpmzos25m8ivg.cloudfront.net/Documentos/631/62330997302/6316233099730211092023153959.pdf")</f>
        <v>https://dpmzos25m8ivg.cloudfront.net/Documentos/631/62330997302/6316233099730211092023153959.pdf</v>
      </c>
      <c r="G7425" s="5" t="str">
        <f>HYPERLINK("https://dpmzos25m8ivg.cloudfront.net/Documentos/631/62330997302/6316233099730211092023154009.pdf","https://dpmzos25m8ivg.cloudfront.net/Documentos/631/62330997302/6316233099730211092023154009.pdf")</f>
        <v>https://dpmzos25m8ivg.cloudfront.net/Documentos/631/62330997302/6316233099730211092023154009.pdf</v>
      </c>
      <c r="H7425" s="5" t="s">
        <v>15993</v>
      </c>
    </row>
    <row r="7426" spans="1:8" x14ac:dyDescent="0.25">
      <c r="A7426" s="2" t="s">
        <v>7455</v>
      </c>
      <c r="B7426" s="3"/>
      <c r="C7426" s="3"/>
      <c r="D7426" s="3"/>
      <c r="E7426" s="5" t="str">
        <f>HYPERLINK("https://dpmzos25m8ivg.cloudfront.net/Documentos/631/62346644587/6316234664458713092023161552.pdf","https://dpmzos25m8ivg.cloudfront.net/Documentos/631/62346644587/6316234664458713092023161552.pdf")</f>
        <v>https://dpmzos25m8ivg.cloudfront.net/Documentos/631/62346644587/6316234664458713092023161552.pdf</v>
      </c>
      <c r="F7426" s="5" t="str">
        <f>HYPERLINK("https://dpmzos25m8ivg.cloudfront.net/Documentos/631/62346644587/6316234664458713092023161604.pdf","https://dpmzos25m8ivg.cloudfront.net/Documentos/631/62346644587/6316234664458713092023161604.pdf")</f>
        <v>https://dpmzos25m8ivg.cloudfront.net/Documentos/631/62346644587/6316234664458713092023161604.pdf</v>
      </c>
      <c r="G7426" s="5" t="str">
        <f>HYPERLINK("https://dpmzos25m8ivg.cloudfront.net/Documentos/631/62346644587/6316234664458713092023161615.pdf","https://dpmzos25m8ivg.cloudfront.net/Documentos/631/62346644587/6316234664458713092023161615.pdf")</f>
        <v>https://dpmzos25m8ivg.cloudfront.net/Documentos/631/62346644587/6316234664458713092023161615.pdf</v>
      </c>
      <c r="H7426" s="5" t="s">
        <v>15994</v>
      </c>
    </row>
    <row r="7427" spans="1:8" x14ac:dyDescent="0.25">
      <c r="A7427" s="2" t="s">
        <v>7456</v>
      </c>
      <c r="B7427" s="3" t="s">
        <v>308</v>
      </c>
      <c r="C7427" s="3"/>
      <c r="D7427" s="3"/>
      <c r="E7427" s="5" t="str">
        <f>HYPERLINK("https://dpmzos25m8ivg.cloudfront.net/Documentos/631/62416895338/6316241689533811092023165617.pdf","https://dpmzos25m8ivg.cloudfront.net/Documentos/631/62416895338/6316241689533811092023165617.pdf")</f>
        <v>https://dpmzos25m8ivg.cloudfront.net/Documentos/631/62416895338/6316241689533811092023165617.pdf</v>
      </c>
      <c r="F7427" s="5" t="str">
        <f>HYPERLINK("https://dpmzos25m8ivg.cloudfront.net/Documentos/631/62416895338/6316241689533811092023165732.pdf","https://dpmzos25m8ivg.cloudfront.net/Documentos/631/62416895338/6316241689533811092023165732.pdf")</f>
        <v>https://dpmzos25m8ivg.cloudfront.net/Documentos/631/62416895338/6316241689533811092023165732.pdf</v>
      </c>
      <c r="G7427" s="5" t="str">
        <f>HYPERLINK("https://dpmzos25m8ivg.cloudfront.net/Documentos/631/62416895338/6316241689533811092023165745.pdf","https://dpmzos25m8ivg.cloudfront.net/Documentos/631/62416895338/6316241689533811092023165745.pdf")</f>
        <v>https://dpmzos25m8ivg.cloudfront.net/Documentos/631/62416895338/6316241689533811092023165745.pdf</v>
      </c>
      <c r="H7427" s="5" t="s">
        <v>15995</v>
      </c>
    </row>
    <row r="7428" spans="1:8" x14ac:dyDescent="0.25">
      <c r="A7428" s="2" t="s">
        <v>7457</v>
      </c>
      <c r="B7428" s="3"/>
      <c r="C7428" s="3"/>
      <c r="D7428" s="3"/>
      <c r="E7428" s="5" t="str">
        <f>HYPERLINK("https://dpmzos25m8ivg.cloudfront.net/Documentos/631/62417029120/6316241702912009092023152345.pdf","https://dpmzos25m8ivg.cloudfront.net/Documentos/631/62417029120/6316241702912009092023152345.pdf")</f>
        <v>https://dpmzos25m8ivg.cloudfront.net/Documentos/631/62417029120/6316241702912009092023152345.pdf</v>
      </c>
      <c r="F7428" s="5" t="str">
        <f>HYPERLINK("https://dpmzos25m8ivg.cloudfront.net/Documentos/631/62417029120/6316241702912009092023152353.pdf","https://dpmzos25m8ivg.cloudfront.net/Documentos/631/62417029120/6316241702912009092023152353.pdf")</f>
        <v>https://dpmzos25m8ivg.cloudfront.net/Documentos/631/62417029120/6316241702912009092023152353.pdf</v>
      </c>
      <c r="G7428" s="5" t="str">
        <f>HYPERLINK("https://dpmzos25m8ivg.cloudfront.net/Documentos/631/62417029120/6316241702912009092023152408.pdf","https://dpmzos25m8ivg.cloudfront.net/Documentos/631/62417029120/6316241702912009092023152408.pdf")</f>
        <v>https://dpmzos25m8ivg.cloudfront.net/Documentos/631/62417029120/6316241702912009092023152408.pdf</v>
      </c>
      <c r="H7428" s="5" t="s">
        <v>15996</v>
      </c>
    </row>
    <row r="7429" spans="1:8" x14ac:dyDescent="0.25">
      <c r="A7429" s="2" t="s">
        <v>7458</v>
      </c>
      <c r="B7429" s="3"/>
      <c r="C7429" s="3"/>
      <c r="D7429" s="3"/>
      <c r="E7429" s="5" t="str">
        <f>HYPERLINK("https://dpmzos25m8ivg.cloudfront.net/Documentos/631/62417097397/6316241709739711092023163526.pdf","https://dpmzos25m8ivg.cloudfront.net/Documentos/631/62417097397/6316241709739711092023163526.pdf")</f>
        <v>https://dpmzos25m8ivg.cloudfront.net/Documentos/631/62417097397/6316241709739711092023163526.pdf</v>
      </c>
      <c r="F7429" s="5" t="str">
        <f>HYPERLINK("https://dpmzos25m8ivg.cloudfront.net/Documentos/631/62417097397/6316241709739711092023163537.pdf","https://dpmzos25m8ivg.cloudfront.net/Documentos/631/62417097397/6316241709739711092023163537.pdf")</f>
        <v>https://dpmzos25m8ivg.cloudfront.net/Documentos/631/62417097397/6316241709739711092023163537.pdf</v>
      </c>
      <c r="G7429" s="5" t="str">
        <f>HYPERLINK("https://dpmzos25m8ivg.cloudfront.net/Documentos/631/62417097397/6316241709739711092023163547.pdf","https://dpmzos25m8ivg.cloudfront.net/Documentos/631/62417097397/6316241709739711092023163547.pdf")</f>
        <v>https://dpmzos25m8ivg.cloudfront.net/Documentos/631/62417097397/6316241709739711092023163547.pdf</v>
      </c>
      <c r="H7429" s="5" t="s">
        <v>15997</v>
      </c>
    </row>
    <row r="7430" spans="1:8" x14ac:dyDescent="0.25">
      <c r="A7430" s="2" t="s">
        <v>7459</v>
      </c>
      <c r="B7430" s="3"/>
      <c r="C7430" s="3"/>
      <c r="D7430" s="3"/>
      <c r="E7430" s="5" t="str">
        <f>HYPERLINK("https://dpmzos25m8ivg.cloudfront.net/Documentos/631/62425946330/6316242594633005092023151359.pdf","https://dpmzos25m8ivg.cloudfront.net/Documentos/631/62425946330/6316242594633005092023151359.pdf")</f>
        <v>https://dpmzos25m8ivg.cloudfront.net/Documentos/631/62425946330/6316242594633005092023151359.pdf</v>
      </c>
      <c r="F7430" s="5" t="str">
        <f>HYPERLINK("https://dpmzos25m8ivg.cloudfront.net/Documentos/631/62425946330/6316242594633005092023151414.pdf","https://dpmzos25m8ivg.cloudfront.net/Documentos/631/62425946330/6316242594633005092023151414.pdf")</f>
        <v>https://dpmzos25m8ivg.cloudfront.net/Documentos/631/62425946330/6316242594633005092023151414.pdf</v>
      </c>
      <c r="G7430" s="5" t="str">
        <f>HYPERLINK("https://dpmzos25m8ivg.cloudfront.net/Documentos/631/62425946330/6316242594633005092023151430.pdf","https://dpmzos25m8ivg.cloudfront.net/Documentos/631/62425946330/6316242594633005092023151430.pdf")</f>
        <v>https://dpmzos25m8ivg.cloudfront.net/Documentos/631/62425946330/6316242594633005092023151430.pdf</v>
      </c>
      <c r="H7430" s="5" t="s">
        <v>15998</v>
      </c>
    </row>
    <row r="7431" spans="1:8" x14ac:dyDescent="0.25">
      <c r="A7431" s="2" t="s">
        <v>7460</v>
      </c>
      <c r="B7431" s="3"/>
      <c r="C7431" s="3"/>
      <c r="D7431" s="3"/>
      <c r="E7431" s="5" t="str">
        <f>HYPERLINK("https://dpmzos25m8ivg.cloudfront.net/Documentos/631/62428730010/6316242873001011092023164842.pdf","https://dpmzos25m8ivg.cloudfront.net/Documentos/631/62428730010/6316242873001011092023164842.pdf")</f>
        <v>https://dpmzos25m8ivg.cloudfront.net/Documentos/631/62428730010/6316242873001011092023164842.pdf</v>
      </c>
      <c r="F7431" s="5" t="str">
        <f>HYPERLINK("https://dpmzos25m8ivg.cloudfront.net/Documentos/631/62428730010/6316242873001011092023164850.pdf","https://dpmzos25m8ivg.cloudfront.net/Documentos/631/62428730010/6316242873001011092023164850.pdf")</f>
        <v>https://dpmzos25m8ivg.cloudfront.net/Documentos/631/62428730010/6316242873001011092023164850.pdf</v>
      </c>
      <c r="G7431" s="5" t="str">
        <f>HYPERLINK("https://dpmzos25m8ivg.cloudfront.net/Documentos/631/62428730010/6316242873001011092023164859.pdf","https://dpmzos25m8ivg.cloudfront.net/Documentos/631/62428730010/6316242873001011092023164859.pdf")</f>
        <v>https://dpmzos25m8ivg.cloudfront.net/Documentos/631/62428730010/6316242873001011092023164859.pdf</v>
      </c>
      <c r="H7431" s="5" t="s">
        <v>15999</v>
      </c>
    </row>
    <row r="7432" spans="1:8" x14ac:dyDescent="0.25">
      <c r="A7432" s="2" t="s">
        <v>7461</v>
      </c>
      <c r="B7432" s="3"/>
      <c r="C7432" s="3"/>
      <c r="D7432" s="3"/>
      <c r="E7432" s="5" t="str">
        <f>HYPERLINK("https://dpmzos25m8ivg.cloudfront.net/Documentos/631/62465848291/6316246584829108092023144853.pdf","https://dpmzos25m8ivg.cloudfront.net/Documentos/631/62465848291/6316246584829108092023144853.pdf")</f>
        <v>https://dpmzos25m8ivg.cloudfront.net/Documentos/631/62465848291/6316246584829108092023144853.pdf</v>
      </c>
      <c r="F7432" s="5" t="str">
        <f>HYPERLINK("https://dpmzos25m8ivg.cloudfront.net/Documentos/631/62465848291/6316246584829108092023145026.pdf","https://dpmzos25m8ivg.cloudfront.net/Documentos/631/62465848291/6316246584829108092023145026.pdf")</f>
        <v>https://dpmzos25m8ivg.cloudfront.net/Documentos/631/62465848291/6316246584829108092023145026.pdf</v>
      </c>
      <c r="G7432" s="5" t="str">
        <f>HYPERLINK("https://dpmzos25m8ivg.cloudfront.net/Documentos/631/62465848291/6316246584829108092023145049.pdf","https://dpmzos25m8ivg.cloudfront.net/Documentos/631/62465848291/6316246584829108092023145049.pdf")</f>
        <v>https://dpmzos25m8ivg.cloudfront.net/Documentos/631/62465848291/6316246584829108092023145049.pdf</v>
      </c>
      <c r="H7432" s="5" t="s">
        <v>16000</v>
      </c>
    </row>
    <row r="7433" spans="1:8" x14ac:dyDescent="0.25">
      <c r="A7433" s="2" t="s">
        <v>7462</v>
      </c>
      <c r="B7433" s="3" t="s">
        <v>23</v>
      </c>
      <c r="C7433" s="3"/>
      <c r="D7433" s="3"/>
      <c r="E7433" s="5" t="str">
        <f>HYPERLINK("https://dpmzos25m8ivg.cloudfront.net/Documentos/631/62490052268/6316249005226805092023093840.pdf","https://dpmzos25m8ivg.cloudfront.net/Documentos/631/62490052268/6316249005226805092023093840.pdf")</f>
        <v>https://dpmzos25m8ivg.cloudfront.net/Documentos/631/62490052268/6316249005226805092023093840.pdf</v>
      </c>
      <c r="F7433" s="5" t="str">
        <f>HYPERLINK("https://dpmzos25m8ivg.cloudfront.net/Documentos/631/62490052268/6316249005226805092023094130.pdf","https://dpmzos25m8ivg.cloudfront.net/Documentos/631/62490052268/6316249005226805092023094130.pdf")</f>
        <v>https://dpmzos25m8ivg.cloudfront.net/Documentos/631/62490052268/6316249005226805092023094130.pdf</v>
      </c>
      <c r="G7433" s="5" t="str">
        <f>HYPERLINK("https://dpmzos25m8ivg.cloudfront.net/Documentos/631/62490052268/6316249005226805092023094148.pdf","https://dpmzos25m8ivg.cloudfront.net/Documentos/631/62490052268/6316249005226805092023094148.pdf")</f>
        <v>https://dpmzos25m8ivg.cloudfront.net/Documentos/631/62490052268/6316249005226805092023094148.pdf</v>
      </c>
      <c r="H7433" s="5" t="s">
        <v>16001</v>
      </c>
    </row>
    <row r="7434" spans="1:8" x14ac:dyDescent="0.25">
      <c r="A7434" s="2" t="s">
        <v>7463</v>
      </c>
      <c r="B7434" s="3"/>
      <c r="C7434" s="3"/>
      <c r="D7434" s="3"/>
      <c r="E7434" s="5" t="str">
        <f>HYPERLINK("https://dpmzos25m8ivg.cloudfront.net/Documentos/631/62533674397/6316253367439711092023145539.pdf","https://dpmzos25m8ivg.cloudfront.net/Documentos/631/62533674397/6316253367439711092023145539.pdf")</f>
        <v>https://dpmzos25m8ivg.cloudfront.net/Documentos/631/62533674397/6316253367439711092023145539.pdf</v>
      </c>
      <c r="F7434" s="5" t="str">
        <f>HYPERLINK("https://dpmzos25m8ivg.cloudfront.net/Documentos/631/62533674397/6316253367439711092023145553.pdf","https://dpmzos25m8ivg.cloudfront.net/Documentos/631/62533674397/6316253367439711092023145553.pdf")</f>
        <v>https://dpmzos25m8ivg.cloudfront.net/Documentos/631/62533674397/6316253367439711092023145553.pdf</v>
      </c>
      <c r="G7434" s="5" t="str">
        <f>HYPERLINK("https://dpmzos25m8ivg.cloudfront.net/Documentos/631/62533674397/6316253367439711092023145612.pdf","https://dpmzos25m8ivg.cloudfront.net/Documentos/631/62533674397/6316253367439711092023145612.pdf")</f>
        <v>https://dpmzos25m8ivg.cloudfront.net/Documentos/631/62533674397/6316253367439711092023145612.pdf</v>
      </c>
      <c r="H7434" s="5" t="s">
        <v>16002</v>
      </c>
    </row>
    <row r="7435" spans="1:8" x14ac:dyDescent="0.25">
      <c r="A7435" s="2" t="s">
        <v>7464</v>
      </c>
      <c r="B7435" s="3"/>
      <c r="C7435" s="3"/>
      <c r="D7435" s="3"/>
      <c r="E7435" s="5" t="str">
        <f>HYPERLINK("https://dpmzos25m8ivg.cloudfront.net/Documentos/631/62609344325/6316260934432511092023165419.pdf","https://dpmzos25m8ivg.cloudfront.net/Documentos/631/62609344325/6316260934432511092023165419.pdf")</f>
        <v>https://dpmzos25m8ivg.cloudfront.net/Documentos/631/62609344325/6316260934432511092023165419.pdf</v>
      </c>
      <c r="F7435" s="5" t="str">
        <f>HYPERLINK("https://dpmzos25m8ivg.cloudfront.net/Documentos/631/62609344325/6316260934432511092023165432.pdf","https://dpmzos25m8ivg.cloudfront.net/Documentos/631/62609344325/6316260934432511092023165432.pdf")</f>
        <v>https://dpmzos25m8ivg.cloudfront.net/Documentos/631/62609344325/6316260934432511092023165432.pdf</v>
      </c>
      <c r="G7435" s="5" t="str">
        <f>HYPERLINK("https://dpmzos25m8ivg.cloudfront.net/Documentos/631/62609344325/6316260934432511092023165440.pdf","https://dpmzos25m8ivg.cloudfront.net/Documentos/631/62609344325/6316260934432511092023165440.pdf")</f>
        <v>https://dpmzos25m8ivg.cloudfront.net/Documentos/631/62609344325/6316260934432511092023165440.pdf</v>
      </c>
      <c r="H7435" s="5" t="s">
        <v>16003</v>
      </c>
    </row>
    <row r="7436" spans="1:8" x14ac:dyDescent="0.25">
      <c r="A7436" s="2" t="s">
        <v>7465</v>
      </c>
      <c r="B7436" s="3"/>
      <c r="C7436" s="3"/>
      <c r="D7436" s="3"/>
      <c r="E7436" s="5" t="str">
        <f>HYPERLINK("https://dpmzos25m8ivg.cloudfront.net/Documentos/631/62663593168/6316266359316811092023104202.pdf","https://dpmzos25m8ivg.cloudfront.net/Documentos/631/62663593168/6316266359316811092023104202.pdf")</f>
        <v>https://dpmzos25m8ivg.cloudfront.net/Documentos/631/62663593168/6316266359316811092023104202.pdf</v>
      </c>
      <c r="F7436" s="5" t="str">
        <f>HYPERLINK("https://dpmzos25m8ivg.cloudfront.net/Documentos/631/62663593168/6316266359316811092023104216.pdf","https://dpmzos25m8ivg.cloudfront.net/Documentos/631/62663593168/6316266359316811092023104216.pdf")</f>
        <v>https://dpmzos25m8ivg.cloudfront.net/Documentos/631/62663593168/6316266359316811092023104216.pdf</v>
      </c>
      <c r="G7436" s="5" t="str">
        <f>HYPERLINK("https://dpmzos25m8ivg.cloudfront.net/Documentos/631/62663593168/6316266359316811092023104242.pdf","https://dpmzos25m8ivg.cloudfront.net/Documentos/631/62663593168/6316266359316811092023104242.pdf")</f>
        <v>https://dpmzos25m8ivg.cloudfront.net/Documentos/631/62663593168/6316266359316811092023104242.pdf</v>
      </c>
      <c r="H7436" s="5" t="s">
        <v>16004</v>
      </c>
    </row>
    <row r="7437" spans="1:8" x14ac:dyDescent="0.25">
      <c r="A7437" s="2" t="s">
        <v>7466</v>
      </c>
      <c r="B7437" s="3"/>
      <c r="C7437" s="3"/>
      <c r="D7437" s="3"/>
      <c r="E7437" s="5" t="str">
        <f>HYPERLINK("https://dpmzos25m8ivg.cloudfront.net/Documentos/631/62681607388/6316268160738811092023162532.pdf","https://dpmzos25m8ivg.cloudfront.net/Documentos/631/62681607388/6316268160738811092023162532.pdf")</f>
        <v>https://dpmzos25m8ivg.cloudfront.net/Documentos/631/62681607388/6316268160738811092023162532.pdf</v>
      </c>
      <c r="F7437" s="5" t="str">
        <f>HYPERLINK("https://dpmzos25m8ivg.cloudfront.net/Documentos/631/62681607388/6316268160738811092023162524.pdf","https://dpmzos25m8ivg.cloudfront.net/Documentos/631/62681607388/6316268160738811092023162524.pdf")</f>
        <v>https://dpmzos25m8ivg.cloudfront.net/Documentos/631/62681607388/6316268160738811092023162524.pdf</v>
      </c>
      <c r="G7437" s="5" t="str">
        <f>HYPERLINK("https://dpmzos25m8ivg.cloudfront.net/Documentos/631/62681607388/6316268160738811092023162514.pdf","https://dpmzos25m8ivg.cloudfront.net/Documentos/631/62681607388/6316268160738811092023162514.pdf")</f>
        <v>https://dpmzos25m8ivg.cloudfront.net/Documentos/631/62681607388/6316268160738811092023162514.pdf</v>
      </c>
      <c r="H7437" s="5" t="s">
        <v>16005</v>
      </c>
    </row>
    <row r="7438" spans="1:8" x14ac:dyDescent="0.25">
      <c r="A7438" s="2" t="s">
        <v>7467</v>
      </c>
      <c r="B7438" s="3"/>
      <c r="C7438" s="3"/>
      <c r="D7438" s="3"/>
      <c r="E7438" s="5" t="str">
        <f>HYPERLINK("https://dpmzos25m8ivg.cloudfront.net/Documentos/631/62746288354/6316274628835408092023230754.pdf","https://dpmzos25m8ivg.cloudfront.net/Documentos/631/62746288354/6316274628835408092023230754.pdf")</f>
        <v>https://dpmzos25m8ivg.cloudfront.net/Documentos/631/62746288354/6316274628835408092023230754.pdf</v>
      </c>
      <c r="F7438" s="5" t="str">
        <f>HYPERLINK("https://dpmzos25m8ivg.cloudfront.net/Documentos/631/62746288354/6316274628835408092023230812.pdf","https://dpmzos25m8ivg.cloudfront.net/Documentos/631/62746288354/6316274628835408092023230812.pdf")</f>
        <v>https://dpmzos25m8ivg.cloudfront.net/Documentos/631/62746288354/6316274628835408092023230812.pdf</v>
      </c>
      <c r="G7438" s="5" t="str">
        <f>HYPERLINK("https://dpmzos25m8ivg.cloudfront.net/Documentos/631/62746288354/6316274628835408092023230840.pdf","https://dpmzos25m8ivg.cloudfront.net/Documentos/631/62746288354/6316274628835408092023230840.pdf")</f>
        <v>https://dpmzos25m8ivg.cloudfront.net/Documentos/631/62746288354/6316274628835408092023230840.pdf</v>
      </c>
      <c r="H7438" s="5" t="s">
        <v>16006</v>
      </c>
    </row>
    <row r="7439" spans="1:8" x14ac:dyDescent="0.25">
      <c r="A7439" s="2" t="s">
        <v>7468</v>
      </c>
      <c r="B7439" s="3"/>
      <c r="C7439" s="3"/>
      <c r="D7439" s="3"/>
      <c r="E7439" s="5" t="str">
        <f>HYPERLINK("https://dpmzos25m8ivg.cloudfront.net/Documentos/631/62753258104/6316275325810411092023134813.pdf","https://dpmzos25m8ivg.cloudfront.net/Documentos/631/62753258104/6316275325810411092023134813.pdf")</f>
        <v>https://dpmzos25m8ivg.cloudfront.net/Documentos/631/62753258104/6316275325810411092023134813.pdf</v>
      </c>
      <c r="F7439" s="5" t="str">
        <f>HYPERLINK("https://dpmzos25m8ivg.cloudfront.net/Documentos/631/62753258104/6316275325810411092023134825.pdf","https://dpmzos25m8ivg.cloudfront.net/Documentos/631/62753258104/6316275325810411092023134825.pdf")</f>
        <v>https://dpmzos25m8ivg.cloudfront.net/Documentos/631/62753258104/6316275325810411092023134825.pdf</v>
      </c>
      <c r="G7439" s="5" t="str">
        <f>HYPERLINK("https://dpmzos25m8ivg.cloudfront.net/Documentos/631/62753258104/6316275325810411092023134844.pdf","https://dpmzos25m8ivg.cloudfront.net/Documentos/631/62753258104/6316275325810411092023134844.pdf")</f>
        <v>https://dpmzos25m8ivg.cloudfront.net/Documentos/631/62753258104/6316275325810411092023134844.pdf</v>
      </c>
      <c r="H7439" s="5" t="s">
        <v>16007</v>
      </c>
    </row>
    <row r="7440" spans="1:8" x14ac:dyDescent="0.25">
      <c r="A7440" s="2" t="s">
        <v>7469</v>
      </c>
      <c r="B7440" s="3" t="s">
        <v>23</v>
      </c>
      <c r="C7440" s="3"/>
      <c r="D7440" s="3"/>
      <c r="E7440" s="5" t="str">
        <f>HYPERLINK("https://dpmzos25m8ivg.cloudfront.net/Documentos/631/62792563168/6316279256316811092023141746.pdf","https://dpmzos25m8ivg.cloudfront.net/Documentos/631/62792563168/6316279256316811092023141746.pdf")</f>
        <v>https://dpmzos25m8ivg.cloudfront.net/Documentos/631/62792563168/6316279256316811092023141746.pdf</v>
      </c>
      <c r="F7440" s="5" t="str">
        <f>HYPERLINK("https://dpmzos25m8ivg.cloudfront.net/Documentos/631/62792563168/6316279256316811092023141754.pdf","https://dpmzos25m8ivg.cloudfront.net/Documentos/631/62792563168/6316279256316811092023141754.pdf")</f>
        <v>https://dpmzos25m8ivg.cloudfront.net/Documentos/631/62792563168/6316279256316811092023141754.pdf</v>
      </c>
      <c r="G7440" s="5" t="str">
        <f>HYPERLINK("https://dpmzos25m8ivg.cloudfront.net/Documentos/631/62792563168/6316279256316811092023141805.pdf","https://dpmzos25m8ivg.cloudfront.net/Documentos/631/62792563168/6316279256316811092023141805.pdf")</f>
        <v>https://dpmzos25m8ivg.cloudfront.net/Documentos/631/62792563168/6316279256316811092023141805.pdf</v>
      </c>
      <c r="H7440" s="5" t="s">
        <v>16008</v>
      </c>
    </row>
    <row r="7441" spans="1:8" x14ac:dyDescent="0.25">
      <c r="A7441" s="2" t="s">
        <v>7470</v>
      </c>
      <c r="B7441" s="3"/>
      <c r="C7441" s="3"/>
      <c r="D7441" s="3"/>
      <c r="E7441" s="5" t="str">
        <f>HYPERLINK("https://dpmzos25m8ivg.cloudfront.net/Documentos/631/62948466172/6316294846617211092023100659.jpg","https://dpmzos25m8ivg.cloudfront.net/Documentos/631/62948466172/6316294846617211092023100659.jpg")</f>
        <v>https://dpmzos25m8ivg.cloudfront.net/Documentos/631/62948466172/6316294846617211092023100659.jpg</v>
      </c>
      <c r="F7441" s="5" t="str">
        <f>HYPERLINK("https://dpmzos25m8ivg.cloudfront.net/Documentos/631/62948466172/6316294846617211092023100717.jpg","https://dpmzos25m8ivg.cloudfront.net/Documentos/631/62948466172/6316294846617211092023100717.jpg")</f>
        <v>https://dpmzos25m8ivg.cloudfront.net/Documentos/631/62948466172/6316294846617211092023100717.jpg</v>
      </c>
      <c r="G7441" s="5" t="str">
        <f>HYPERLINK("https://dpmzos25m8ivg.cloudfront.net/Documentos/631/62948466172/6316294846617211092023100734.jpg","https://dpmzos25m8ivg.cloudfront.net/Documentos/631/62948466172/6316294846617211092023100734.jpg")</f>
        <v>https://dpmzos25m8ivg.cloudfront.net/Documentos/631/62948466172/6316294846617211092023100734.jpg</v>
      </c>
      <c r="H7441" s="5" t="s">
        <v>16009</v>
      </c>
    </row>
    <row r="7442" spans="1:8" x14ac:dyDescent="0.25">
      <c r="A7442" s="2" t="s">
        <v>7471</v>
      </c>
      <c r="B7442" s="3"/>
      <c r="C7442" s="3"/>
      <c r="D7442" s="3"/>
      <c r="E7442" s="5" t="str">
        <f>HYPERLINK("https://dpmzos25m8ivg.cloudfront.net/Documentos/631/62976354553/6316297635455305092023154743.pdf","https://dpmzos25m8ivg.cloudfront.net/Documentos/631/62976354553/6316297635455305092023154743.pdf")</f>
        <v>https://dpmzos25m8ivg.cloudfront.net/Documentos/631/62976354553/6316297635455305092023154743.pdf</v>
      </c>
      <c r="F7442" s="5" t="str">
        <f>HYPERLINK("https://dpmzos25m8ivg.cloudfront.net/Documentos/631/62976354553/6316297635455305092023154759.pdf","https://dpmzos25m8ivg.cloudfront.net/Documentos/631/62976354553/6316297635455305092023154759.pdf")</f>
        <v>https://dpmzos25m8ivg.cloudfront.net/Documentos/631/62976354553/6316297635455305092023154759.pdf</v>
      </c>
      <c r="G7442" s="5" t="str">
        <f>HYPERLINK("https://dpmzos25m8ivg.cloudfront.net/Documentos/631/62976354553/6316297635455305092023154816.pdf","https://dpmzos25m8ivg.cloudfront.net/Documentos/631/62976354553/6316297635455305092023154816.pdf")</f>
        <v>https://dpmzos25m8ivg.cloudfront.net/Documentos/631/62976354553/6316297635455305092023154816.pdf</v>
      </c>
      <c r="H7442" s="5" t="s">
        <v>16010</v>
      </c>
    </row>
    <row r="7443" spans="1:8" x14ac:dyDescent="0.25">
      <c r="A7443" s="2" t="s">
        <v>7472</v>
      </c>
      <c r="B7443" s="3"/>
      <c r="C7443" s="3"/>
      <c r="D7443" s="3"/>
      <c r="E7443" s="5" t="str">
        <f>HYPERLINK("https://dpmzos25m8ivg.cloudfront.net/Documentos/631/62982818515/6316298281851511092023133020.pdf","https://dpmzos25m8ivg.cloudfront.net/Documentos/631/62982818515/6316298281851511092023133020.pdf")</f>
        <v>https://dpmzos25m8ivg.cloudfront.net/Documentos/631/62982818515/6316298281851511092023133020.pdf</v>
      </c>
      <c r="F7443" s="5" t="str">
        <f>HYPERLINK("https://dpmzos25m8ivg.cloudfront.net/Documentos/631/62982818515/6316298281851511092023133217.pdf","https://dpmzos25m8ivg.cloudfront.net/Documentos/631/62982818515/6316298281851511092023133217.pdf")</f>
        <v>https://dpmzos25m8ivg.cloudfront.net/Documentos/631/62982818515/6316298281851511092023133217.pdf</v>
      </c>
      <c r="G7443" s="5" t="str">
        <f>HYPERLINK("https://dpmzos25m8ivg.cloudfront.net/Documentos/631/62982818515/6316298281851511092023133240.pdf","https://dpmzos25m8ivg.cloudfront.net/Documentos/631/62982818515/6316298281851511092023133240.pdf")</f>
        <v>https://dpmzos25m8ivg.cloudfront.net/Documentos/631/62982818515/6316298281851511092023133240.pdf</v>
      </c>
      <c r="H7443" s="5" t="s">
        <v>16011</v>
      </c>
    </row>
    <row r="7444" spans="1:8" x14ac:dyDescent="0.25">
      <c r="A7444" s="2" t="s">
        <v>7473</v>
      </c>
      <c r="B7444" s="3"/>
      <c r="C7444" s="3"/>
      <c r="D7444" s="3"/>
      <c r="E7444" s="5" t="str">
        <f>HYPERLINK("https://dpmzos25m8ivg.cloudfront.net/Documentos/631/62986961568/6316298696156805092023190519.jpg","https://dpmzos25m8ivg.cloudfront.net/Documentos/631/62986961568/6316298696156805092023190519.jpg")</f>
        <v>https://dpmzos25m8ivg.cloudfront.net/Documentos/631/62986961568/6316298696156805092023190519.jpg</v>
      </c>
      <c r="F7444" s="5" t="str">
        <f>HYPERLINK("https://dpmzos25m8ivg.cloudfront.net/Documentos/631/62986961568/6316298696156805092023190550.jpg","https://dpmzos25m8ivg.cloudfront.net/Documentos/631/62986961568/6316298696156805092023190550.jpg")</f>
        <v>https://dpmzos25m8ivg.cloudfront.net/Documentos/631/62986961568/6316298696156805092023190550.jpg</v>
      </c>
      <c r="G7444" s="5" t="str">
        <f>HYPERLINK("https://dpmzos25m8ivg.cloudfront.net/Documentos/631/62986961568/6316298696156805092023190655.jpg","https://dpmzos25m8ivg.cloudfront.net/Documentos/631/62986961568/6316298696156805092023190655.jpg")</f>
        <v>https://dpmzos25m8ivg.cloudfront.net/Documentos/631/62986961568/6316298696156805092023190655.jpg</v>
      </c>
      <c r="H7444" s="5" t="s">
        <v>16012</v>
      </c>
    </row>
    <row r="7445" spans="1:8" x14ac:dyDescent="0.25">
      <c r="A7445" s="2" t="s">
        <v>7474</v>
      </c>
      <c r="B7445" s="3" t="s">
        <v>90</v>
      </c>
      <c r="C7445" s="3"/>
      <c r="D7445" s="3"/>
      <c r="E7445" s="5" t="str">
        <f>HYPERLINK("https://dpmzos25m8ivg.cloudfront.net/Documentos/631/63023660204/6316302366020408092023121250.pdf","https://dpmzos25m8ivg.cloudfront.net/Documentos/631/63023660204/6316302366020408092023121250.pdf")</f>
        <v>https://dpmzos25m8ivg.cloudfront.net/Documentos/631/63023660204/6316302366020408092023121250.pdf</v>
      </c>
      <c r="F7445" s="5" t="str">
        <f>HYPERLINK("https://dpmzos25m8ivg.cloudfront.net/Documentos/631/63023660204/6316302366020408092023121337.pdf","https://dpmzos25m8ivg.cloudfront.net/Documentos/631/63023660204/6316302366020408092023121337.pdf")</f>
        <v>https://dpmzos25m8ivg.cloudfront.net/Documentos/631/63023660204/6316302366020408092023121337.pdf</v>
      </c>
      <c r="G7445" s="5" t="str">
        <f>HYPERLINK("https://dpmzos25m8ivg.cloudfront.net/Documentos/631/63023660204/6316302366020408092023121353.pdf","https://dpmzos25m8ivg.cloudfront.net/Documentos/631/63023660204/6316302366020408092023121353.pdf")</f>
        <v>https://dpmzos25m8ivg.cloudfront.net/Documentos/631/63023660204/6316302366020408092023121353.pdf</v>
      </c>
      <c r="H7445" s="5" t="s">
        <v>16013</v>
      </c>
    </row>
    <row r="7446" spans="1:8" x14ac:dyDescent="0.25">
      <c r="A7446" s="2" t="s">
        <v>7475</v>
      </c>
      <c r="B7446" s="3"/>
      <c r="C7446" s="3"/>
      <c r="D7446" s="3"/>
      <c r="E7446" s="5" t="str">
        <f>HYPERLINK("https://dpmzos25m8ivg.cloudfront.net/Documentos/631/63080796500/6316308079650014092023154628.pdf","https://dpmzos25m8ivg.cloudfront.net/Documentos/631/63080796500/6316308079650014092023154628.pdf")</f>
        <v>https://dpmzos25m8ivg.cloudfront.net/Documentos/631/63080796500/6316308079650014092023154628.pdf</v>
      </c>
      <c r="F7446" s="5" t="str">
        <f>HYPERLINK("https://dpmzos25m8ivg.cloudfront.net/Documentos/631/63080796500/6316308079650014092023154711.pdf","https://dpmzos25m8ivg.cloudfront.net/Documentos/631/63080796500/6316308079650014092023154711.pdf")</f>
        <v>https://dpmzos25m8ivg.cloudfront.net/Documentos/631/63080796500/6316308079650014092023154711.pdf</v>
      </c>
      <c r="G7446" s="5" t="str">
        <f>HYPERLINK("https://dpmzos25m8ivg.cloudfront.net/Documentos/631/63080796500/6316308079650014092023154732.pdf","https://dpmzos25m8ivg.cloudfront.net/Documentos/631/63080796500/6316308079650014092023154732.pdf")</f>
        <v>https://dpmzos25m8ivg.cloudfront.net/Documentos/631/63080796500/6316308079650014092023154732.pdf</v>
      </c>
      <c r="H7446" s="5" t="s">
        <v>16014</v>
      </c>
    </row>
    <row r="7447" spans="1:8" x14ac:dyDescent="0.25">
      <c r="A7447" s="2" t="s">
        <v>7476</v>
      </c>
      <c r="B7447" s="3"/>
      <c r="C7447" s="3"/>
      <c r="D7447" s="3"/>
      <c r="E7447" s="5" t="str">
        <f>HYPERLINK("https://dpmzos25m8ivg.cloudfront.net/Documentos/631/63104326053/6316310432605307092023204613.pdf","https://dpmzos25m8ivg.cloudfront.net/Documentos/631/63104326053/6316310432605307092023204613.pdf")</f>
        <v>https://dpmzos25m8ivg.cloudfront.net/Documentos/631/63104326053/6316310432605307092023204613.pdf</v>
      </c>
      <c r="F7447" s="5" t="str">
        <f>HYPERLINK("https://dpmzos25m8ivg.cloudfront.net/Documentos/631/63104326053/6316310432605307092023204656.pdf","https://dpmzos25m8ivg.cloudfront.net/Documentos/631/63104326053/6316310432605307092023204656.pdf")</f>
        <v>https://dpmzos25m8ivg.cloudfront.net/Documentos/631/63104326053/6316310432605307092023204656.pdf</v>
      </c>
      <c r="G7447" s="5" t="str">
        <f>HYPERLINK("https://dpmzos25m8ivg.cloudfront.net/Documentos/631/63104326053/6316310432605307092023204717.pdf","https://dpmzos25m8ivg.cloudfront.net/Documentos/631/63104326053/6316310432605307092023204717.pdf")</f>
        <v>https://dpmzos25m8ivg.cloudfront.net/Documentos/631/63104326053/6316310432605307092023204717.pdf</v>
      </c>
      <c r="H7447" s="5" t="s">
        <v>16015</v>
      </c>
    </row>
    <row r="7448" spans="1:8" x14ac:dyDescent="0.25">
      <c r="A7448" s="2" t="s">
        <v>7477</v>
      </c>
      <c r="B7448" s="3"/>
      <c r="C7448" s="3"/>
      <c r="D7448" s="3"/>
      <c r="E7448" s="5" t="str">
        <f>HYPERLINK("https://dpmzos25m8ivg.cloudfront.net/Documentos/631/63109956004/6316310995600411092023170210.jpg","https://dpmzos25m8ivg.cloudfront.net/Documentos/631/63109956004/6316310995600411092023170210.jpg")</f>
        <v>https://dpmzos25m8ivg.cloudfront.net/Documentos/631/63109956004/6316310995600411092023170210.jpg</v>
      </c>
      <c r="F7448" s="5" t="str">
        <f>HYPERLINK("https://dpmzos25m8ivg.cloudfront.net/Documentos/631/63109956004/6316310995600411092023170237.jpg","https://dpmzos25m8ivg.cloudfront.net/Documentos/631/63109956004/6316310995600411092023170237.jpg")</f>
        <v>https://dpmzos25m8ivg.cloudfront.net/Documentos/631/63109956004/6316310995600411092023170237.jpg</v>
      </c>
      <c r="G7448" s="5" t="str">
        <f>HYPERLINK("https://dpmzos25m8ivg.cloudfront.net/Documentos/631/63109956004/6316310995600411092023170304.jpg","https://dpmzos25m8ivg.cloudfront.net/Documentos/631/63109956004/6316310995600411092023170304.jpg")</f>
        <v>https://dpmzos25m8ivg.cloudfront.net/Documentos/631/63109956004/6316310995600411092023170304.jpg</v>
      </c>
      <c r="H7448" s="5" t="s">
        <v>16016</v>
      </c>
    </row>
    <row r="7449" spans="1:8" x14ac:dyDescent="0.25">
      <c r="A7449" s="2" t="s">
        <v>7478</v>
      </c>
      <c r="B7449" s="3"/>
      <c r="C7449" s="3"/>
      <c r="D7449" s="3"/>
      <c r="E7449" s="5" t="str">
        <f>HYPERLINK("https://dpmzos25m8ivg.cloudfront.net/Documentos/631/63113392349/6316311339234909092023144921.pdf","https://dpmzos25m8ivg.cloudfront.net/Documentos/631/63113392349/6316311339234909092023144921.pdf")</f>
        <v>https://dpmzos25m8ivg.cloudfront.net/Documentos/631/63113392349/6316311339234909092023144921.pdf</v>
      </c>
      <c r="F7449" s="5" t="str">
        <f>HYPERLINK("https://dpmzos25m8ivg.cloudfront.net/Documentos/631/63113392349/6316311339234909092023144934.pdf","https://dpmzos25m8ivg.cloudfront.net/Documentos/631/63113392349/6316311339234909092023144934.pdf")</f>
        <v>https://dpmzos25m8ivg.cloudfront.net/Documentos/631/63113392349/6316311339234909092023144934.pdf</v>
      </c>
      <c r="G7449" s="5" t="str">
        <f>HYPERLINK("https://dpmzos25m8ivg.cloudfront.net/Documentos/631/63113392349/6316311339234909092023144958.pdf","https://dpmzos25m8ivg.cloudfront.net/Documentos/631/63113392349/6316311339234909092023144958.pdf")</f>
        <v>https://dpmzos25m8ivg.cloudfront.net/Documentos/631/63113392349/6316311339234909092023144958.pdf</v>
      </c>
      <c r="H7449" s="5" t="s">
        <v>16017</v>
      </c>
    </row>
    <row r="7450" spans="1:8" x14ac:dyDescent="0.25">
      <c r="A7450" s="2" t="s">
        <v>7479</v>
      </c>
      <c r="B7450" s="3"/>
      <c r="C7450" s="3"/>
      <c r="D7450" s="3"/>
      <c r="E7450" s="5" t="str">
        <f>HYPERLINK("https://dpmzos25m8ivg.cloudfront.net/Documentos/631/63177242372/6316317724237205092023133044.pdf","https://dpmzos25m8ivg.cloudfront.net/Documentos/631/63177242372/6316317724237205092023133044.pdf")</f>
        <v>https://dpmzos25m8ivg.cloudfront.net/Documentos/631/63177242372/6316317724237205092023133044.pdf</v>
      </c>
      <c r="F7450" s="5" t="str">
        <f>HYPERLINK("https://dpmzos25m8ivg.cloudfront.net/Documentos/631/63177242372/6316317724237205092023133134.pdf","https://dpmzos25m8ivg.cloudfront.net/Documentos/631/63177242372/6316317724237205092023133134.pdf")</f>
        <v>https://dpmzos25m8ivg.cloudfront.net/Documentos/631/63177242372/6316317724237205092023133134.pdf</v>
      </c>
      <c r="G7450" s="5" t="str">
        <f>HYPERLINK("https://dpmzos25m8ivg.cloudfront.net/Documentos/631/63177242372/6316317724237205092023133157.pdf","https://dpmzos25m8ivg.cloudfront.net/Documentos/631/63177242372/6316317724237205092023133157.pdf")</f>
        <v>https://dpmzos25m8ivg.cloudfront.net/Documentos/631/63177242372/6316317724237205092023133157.pdf</v>
      </c>
      <c r="H7450" s="5" t="s">
        <v>16018</v>
      </c>
    </row>
    <row r="7451" spans="1:8" x14ac:dyDescent="0.25">
      <c r="A7451" s="2" t="s">
        <v>7480</v>
      </c>
      <c r="B7451" s="3"/>
      <c r="C7451" s="3"/>
      <c r="D7451" s="3"/>
      <c r="E7451" s="5" t="str">
        <f>HYPERLINK("https://dpmzos25m8ivg.cloudfront.net/Documentos/631/63189704520/6316318970452014092023082121.pdf","https://dpmzos25m8ivg.cloudfront.net/Documentos/631/63189704520/6316318970452014092023082121.pdf")</f>
        <v>https://dpmzos25m8ivg.cloudfront.net/Documentos/631/63189704520/6316318970452014092023082121.pdf</v>
      </c>
      <c r="F7451" s="5" t="str">
        <f>HYPERLINK("https://dpmzos25m8ivg.cloudfront.net/Documentos/631/63189704520/6316318970452014092023082142.pdf","https://dpmzos25m8ivg.cloudfront.net/Documentos/631/63189704520/6316318970452014092023082142.pdf")</f>
        <v>https://dpmzos25m8ivg.cloudfront.net/Documentos/631/63189704520/6316318970452014092023082142.pdf</v>
      </c>
      <c r="G7451" s="5" t="str">
        <f>HYPERLINK("https://dpmzos25m8ivg.cloudfront.net/Documentos/631/63189704520/6316318970452014092023082157.pdf","https://dpmzos25m8ivg.cloudfront.net/Documentos/631/63189704520/6316318970452014092023082157.pdf")</f>
        <v>https://dpmzos25m8ivg.cloudfront.net/Documentos/631/63189704520/6316318970452014092023082157.pdf</v>
      </c>
      <c r="H7451" s="5" t="s">
        <v>16019</v>
      </c>
    </row>
    <row r="7452" spans="1:8" x14ac:dyDescent="0.25">
      <c r="A7452" s="2" t="s">
        <v>7481</v>
      </c>
      <c r="B7452" s="3"/>
      <c r="C7452" s="3"/>
      <c r="D7452" s="3"/>
      <c r="E7452" s="5" t="str">
        <f>HYPERLINK("https://dpmzos25m8ivg.cloudfront.net/Documentos/631/63293447104/6316329344710409092023190915.pdf","https://dpmzos25m8ivg.cloudfront.net/Documentos/631/63293447104/6316329344710409092023190915.pdf")</f>
        <v>https://dpmzos25m8ivg.cloudfront.net/Documentos/631/63293447104/6316329344710409092023190915.pdf</v>
      </c>
      <c r="F7452" s="5" t="str">
        <f>HYPERLINK("https://dpmzos25m8ivg.cloudfront.net/Documentos/631/63293447104/6316329344710409092023191111.pdf","https://dpmzos25m8ivg.cloudfront.net/Documentos/631/63293447104/6316329344710409092023191111.pdf")</f>
        <v>https://dpmzos25m8ivg.cloudfront.net/Documentos/631/63293447104/6316329344710409092023191111.pdf</v>
      </c>
      <c r="G7452" s="5" t="str">
        <f>HYPERLINK("https://dpmzos25m8ivg.cloudfront.net/Documentos/631/63293447104/6316329344710409092023191130.pdf","https://dpmzos25m8ivg.cloudfront.net/Documentos/631/63293447104/6316329344710409092023191130.pdf")</f>
        <v>https://dpmzos25m8ivg.cloudfront.net/Documentos/631/63293447104/6316329344710409092023191130.pdf</v>
      </c>
      <c r="H7452" s="5" t="s">
        <v>16020</v>
      </c>
    </row>
    <row r="7453" spans="1:8" x14ac:dyDescent="0.25">
      <c r="A7453" s="2" t="s">
        <v>7482</v>
      </c>
      <c r="B7453" s="3"/>
      <c r="C7453" s="3"/>
      <c r="D7453" s="3"/>
      <c r="E7453" s="5" t="str">
        <f>HYPERLINK("https://dpmzos25m8ivg.cloudfront.net/Documentos/631/63377276572/6316337727657211092023171126.pdf","https://dpmzos25m8ivg.cloudfront.net/Documentos/631/63377276572/6316337727657211092023171126.pdf")</f>
        <v>https://dpmzos25m8ivg.cloudfront.net/Documentos/631/63377276572/6316337727657211092023171126.pdf</v>
      </c>
      <c r="F7453" s="5" t="str">
        <f>HYPERLINK("https://dpmzos25m8ivg.cloudfront.net/Documentos/631/63377276572/6316337727657211092023171139.pdf","https://dpmzos25m8ivg.cloudfront.net/Documentos/631/63377276572/6316337727657211092023171139.pdf")</f>
        <v>https://dpmzos25m8ivg.cloudfront.net/Documentos/631/63377276572/6316337727657211092023171139.pdf</v>
      </c>
      <c r="G7453" s="5" t="str">
        <f>HYPERLINK("https://dpmzos25m8ivg.cloudfront.net/Documentos/631/63377276572/6316337727657211092023171155.pdf","https://dpmzos25m8ivg.cloudfront.net/Documentos/631/63377276572/6316337727657211092023171155.pdf")</f>
        <v>https://dpmzos25m8ivg.cloudfront.net/Documentos/631/63377276572/6316337727657211092023171155.pdf</v>
      </c>
      <c r="H7453" s="5" t="s">
        <v>16021</v>
      </c>
    </row>
    <row r="7454" spans="1:8" x14ac:dyDescent="0.25">
      <c r="A7454" s="2" t="s">
        <v>7483</v>
      </c>
      <c r="B7454" s="3"/>
      <c r="C7454" s="3"/>
      <c r="D7454" s="3"/>
      <c r="E7454" s="5" t="str">
        <f>HYPERLINK("https://dpmzos25m8ivg.cloudfront.net/Documentos/631/63397854334/6316339785433410092023220056.pdf","https://dpmzos25m8ivg.cloudfront.net/Documentos/631/63397854334/6316339785433410092023220056.pdf")</f>
        <v>https://dpmzos25m8ivg.cloudfront.net/Documentos/631/63397854334/6316339785433410092023220056.pdf</v>
      </c>
      <c r="F7454" s="5" t="str">
        <f>HYPERLINK("https://dpmzos25m8ivg.cloudfront.net/Documentos/631/63397854334/6316339785433410092023220114.pdf","https://dpmzos25m8ivg.cloudfront.net/Documentos/631/63397854334/6316339785433410092023220114.pdf")</f>
        <v>https://dpmzos25m8ivg.cloudfront.net/Documentos/631/63397854334/6316339785433410092023220114.pdf</v>
      </c>
      <c r="G7454" s="5" t="str">
        <f>HYPERLINK("https://dpmzos25m8ivg.cloudfront.net/Documentos/631/63397854334/6316339785433410092023220128.pdf","https://dpmzos25m8ivg.cloudfront.net/Documentos/631/63397854334/6316339785433410092023220128.pdf")</f>
        <v>https://dpmzos25m8ivg.cloudfront.net/Documentos/631/63397854334/6316339785433410092023220128.pdf</v>
      </c>
      <c r="H7454" s="5" t="s">
        <v>16022</v>
      </c>
    </row>
    <row r="7455" spans="1:8" x14ac:dyDescent="0.25">
      <c r="A7455" s="2" t="s">
        <v>7484</v>
      </c>
      <c r="B7455" s="3"/>
      <c r="C7455" s="3"/>
      <c r="D7455" s="3"/>
      <c r="E7455" s="5" t="str">
        <f>HYPERLINK("https://dpmzos25m8ivg.cloudfront.net/Documentos/631/63411180315/6316341118031507092023170356.jpg","https://dpmzos25m8ivg.cloudfront.net/Documentos/631/63411180315/6316341118031507092023170356.jpg")</f>
        <v>https://dpmzos25m8ivg.cloudfront.net/Documentos/631/63411180315/6316341118031507092023170356.jpg</v>
      </c>
      <c r="F7455" s="5" t="str">
        <f>HYPERLINK("https://dpmzos25m8ivg.cloudfront.net/Documentos/631/63411180315/6316341118031507092023170427.jpg","https://dpmzos25m8ivg.cloudfront.net/Documentos/631/63411180315/6316341118031507092023170427.jpg")</f>
        <v>https://dpmzos25m8ivg.cloudfront.net/Documentos/631/63411180315/6316341118031507092023170427.jpg</v>
      </c>
      <c r="G7455" s="5" t="str">
        <f>HYPERLINK("https://dpmzos25m8ivg.cloudfront.net/Documentos/631/63411180315/6316341118031507092023170448.jpg","https://dpmzos25m8ivg.cloudfront.net/Documentos/631/63411180315/6316341118031507092023170448.jpg")</f>
        <v>https://dpmzos25m8ivg.cloudfront.net/Documentos/631/63411180315/6316341118031507092023170448.jpg</v>
      </c>
      <c r="H7455" s="5" t="s">
        <v>16023</v>
      </c>
    </row>
    <row r="7456" spans="1:8" x14ac:dyDescent="0.25">
      <c r="A7456" s="2" t="s">
        <v>7485</v>
      </c>
      <c r="B7456" s="3"/>
      <c r="C7456" s="3"/>
      <c r="D7456" s="3"/>
      <c r="E7456" s="5" t="str">
        <f>HYPERLINK("https://dpmzos25m8ivg.cloudfront.net/Documentos/631/63416760344/6316341676034411092023151837.jpg","https://dpmzos25m8ivg.cloudfront.net/Documentos/631/63416760344/6316341676034411092023151837.jpg")</f>
        <v>https://dpmzos25m8ivg.cloudfront.net/Documentos/631/63416760344/6316341676034411092023151837.jpg</v>
      </c>
      <c r="F7456" s="5" t="str">
        <f>HYPERLINK("https://dpmzos25m8ivg.cloudfront.net/Documentos/631/63416760344/6316341676034411092023151900.jpg","https://dpmzos25m8ivg.cloudfront.net/Documentos/631/63416760344/6316341676034411092023151900.jpg")</f>
        <v>https://dpmzos25m8ivg.cloudfront.net/Documentos/631/63416760344/6316341676034411092023151900.jpg</v>
      </c>
      <c r="G7456" s="5" t="str">
        <f>HYPERLINK("https://dpmzos25m8ivg.cloudfront.net/Documentos/631/63416760344/6316341676034411092023151932.jpg","https://dpmzos25m8ivg.cloudfront.net/Documentos/631/63416760344/6316341676034411092023151932.jpg")</f>
        <v>https://dpmzos25m8ivg.cloudfront.net/Documentos/631/63416760344/6316341676034411092023151932.jpg</v>
      </c>
      <c r="H7456" s="5" t="s">
        <v>16024</v>
      </c>
    </row>
    <row r="7457" spans="1:8" x14ac:dyDescent="0.25">
      <c r="A7457" s="2" t="s">
        <v>7486</v>
      </c>
      <c r="B7457" s="3"/>
      <c r="C7457" s="3"/>
      <c r="D7457" s="3"/>
      <c r="E7457" s="5" t="str">
        <f>HYPERLINK("https://dpmzos25m8ivg.cloudfront.net/Documentos/631/63506499319/6316350649931913092023230939.jpg","https://dpmzos25m8ivg.cloudfront.net/Documentos/631/63506499319/6316350649931913092023230939.jpg")</f>
        <v>https://dpmzos25m8ivg.cloudfront.net/Documentos/631/63506499319/6316350649931913092023230939.jpg</v>
      </c>
      <c r="F7457" s="5" t="str">
        <f>HYPERLINK("https://dpmzos25m8ivg.cloudfront.net/Documentos/631/63506499319/6316350649931913092023231008.jpg","https://dpmzos25m8ivg.cloudfront.net/Documentos/631/63506499319/6316350649931913092023231008.jpg")</f>
        <v>https://dpmzos25m8ivg.cloudfront.net/Documentos/631/63506499319/6316350649931913092023231008.jpg</v>
      </c>
      <c r="G7457" s="5" t="str">
        <f>HYPERLINK("https://dpmzos25m8ivg.cloudfront.net/Documentos/631/63506499319/6316350649931913092023231054.jpg","https://dpmzos25m8ivg.cloudfront.net/Documentos/631/63506499319/6316350649931913092023231054.jpg")</f>
        <v>https://dpmzos25m8ivg.cloudfront.net/Documentos/631/63506499319/6316350649931913092023231054.jpg</v>
      </c>
      <c r="H7457" s="5" t="s">
        <v>16025</v>
      </c>
    </row>
    <row r="7458" spans="1:8" x14ac:dyDescent="0.25">
      <c r="A7458" s="2" t="s">
        <v>7487</v>
      </c>
      <c r="B7458" s="3"/>
      <c r="C7458" s="3"/>
      <c r="D7458" s="3"/>
      <c r="E7458" s="5" t="str">
        <f>HYPERLINK("https://dpmzos25m8ivg.cloudfront.net/Documentos/631/63617757715/6316361775771510092023113354.pdf","https://dpmzos25m8ivg.cloudfront.net/Documentos/631/63617757715/6316361775771510092023113354.pdf")</f>
        <v>https://dpmzos25m8ivg.cloudfront.net/Documentos/631/63617757715/6316361775771510092023113354.pdf</v>
      </c>
      <c r="F7458" s="5" t="str">
        <f>HYPERLINK("https://dpmzos25m8ivg.cloudfront.net/Documentos/631/63617757715/6316361775771510092023113407.pdf","https://dpmzos25m8ivg.cloudfront.net/Documentos/631/63617757715/6316361775771510092023113407.pdf")</f>
        <v>https://dpmzos25m8ivg.cloudfront.net/Documentos/631/63617757715/6316361775771510092023113407.pdf</v>
      </c>
      <c r="G7458" s="5" t="str">
        <f>HYPERLINK("https://dpmzos25m8ivg.cloudfront.net/Documentos/631/63617757715/6316361775771510092023113420.pdf","https://dpmzos25m8ivg.cloudfront.net/Documentos/631/63617757715/6316361775771510092023113420.pdf")</f>
        <v>https://dpmzos25m8ivg.cloudfront.net/Documentos/631/63617757715/6316361775771510092023113420.pdf</v>
      </c>
      <c r="H7458" s="5" t="s">
        <v>16026</v>
      </c>
    </row>
    <row r="7459" spans="1:8" x14ac:dyDescent="0.25">
      <c r="A7459" s="2" t="s">
        <v>7488</v>
      </c>
      <c r="B7459" s="3"/>
      <c r="C7459" s="3"/>
      <c r="D7459" s="3"/>
      <c r="E7459" s="5" t="str">
        <f>HYPERLINK("https://dpmzos25m8ivg.cloudfront.net/Documentos/631/63676834291/6316367683429114092023142254.pdf","https://dpmzos25m8ivg.cloudfront.net/Documentos/631/63676834291/6316367683429114092023142254.pdf")</f>
        <v>https://dpmzos25m8ivg.cloudfront.net/Documentos/631/63676834291/6316367683429114092023142254.pdf</v>
      </c>
      <c r="F7459" s="5" t="str">
        <f>HYPERLINK("https://dpmzos25m8ivg.cloudfront.net/Documentos/631/63676834291/6316367683429114092023142314.pdf","https://dpmzos25m8ivg.cloudfront.net/Documentos/631/63676834291/6316367683429114092023142314.pdf")</f>
        <v>https://dpmzos25m8ivg.cloudfront.net/Documentos/631/63676834291/6316367683429114092023142314.pdf</v>
      </c>
      <c r="G7459" s="5" t="str">
        <f>HYPERLINK("https://dpmzos25m8ivg.cloudfront.net/Documentos/631/63676834291/6316367683429114092023142332.pdf","https://dpmzos25m8ivg.cloudfront.net/Documentos/631/63676834291/6316367683429114092023142332.pdf")</f>
        <v>https://dpmzos25m8ivg.cloudfront.net/Documentos/631/63676834291/6316367683429114092023142332.pdf</v>
      </c>
      <c r="H7459" s="5" t="s">
        <v>16027</v>
      </c>
    </row>
    <row r="7460" spans="1:8" x14ac:dyDescent="0.25">
      <c r="A7460" s="2" t="s">
        <v>7489</v>
      </c>
      <c r="B7460" s="3"/>
      <c r="C7460" s="3"/>
      <c r="D7460" s="3"/>
      <c r="E7460" s="5" t="str">
        <f>HYPERLINK("https://dpmzos25m8ivg.cloudfront.net/Documentos/631/63692198191/6316369219819111092023110942.pdf","https://dpmzos25m8ivg.cloudfront.net/Documentos/631/63692198191/6316369219819111092023110942.pdf")</f>
        <v>https://dpmzos25m8ivg.cloudfront.net/Documentos/631/63692198191/6316369219819111092023110942.pdf</v>
      </c>
      <c r="F7460" s="5" t="str">
        <f>HYPERLINK("https://dpmzos25m8ivg.cloudfront.net/Documentos/631/63692198191/6316369219819111092023111001.pdf","https://dpmzos25m8ivg.cloudfront.net/Documentos/631/63692198191/6316369219819111092023111001.pdf")</f>
        <v>https://dpmzos25m8ivg.cloudfront.net/Documentos/631/63692198191/6316369219819111092023111001.pdf</v>
      </c>
      <c r="G7460" s="5" t="str">
        <f>HYPERLINK("https://dpmzos25m8ivg.cloudfront.net/Documentos/631/63692198191/6316369219819111092023111022.pdf","https://dpmzos25m8ivg.cloudfront.net/Documentos/631/63692198191/6316369219819111092023111022.pdf")</f>
        <v>https://dpmzos25m8ivg.cloudfront.net/Documentos/631/63692198191/6316369219819111092023111022.pdf</v>
      </c>
      <c r="H7460" s="5" t="s">
        <v>16028</v>
      </c>
    </row>
    <row r="7461" spans="1:8" x14ac:dyDescent="0.25">
      <c r="A7461" s="2" t="s">
        <v>7490</v>
      </c>
      <c r="B7461" s="3"/>
      <c r="C7461" s="3"/>
      <c r="D7461" s="3"/>
      <c r="E7461" s="5" t="str">
        <f>HYPERLINK("https://dpmzos25m8ivg.cloudfront.net/Documentos/631/63712440278/6316371244027806092023143746.pdf","https://dpmzos25m8ivg.cloudfront.net/Documentos/631/63712440278/6316371244027806092023143746.pdf")</f>
        <v>https://dpmzos25m8ivg.cloudfront.net/Documentos/631/63712440278/6316371244027806092023143746.pdf</v>
      </c>
      <c r="F7461" s="5" t="str">
        <f>HYPERLINK("https://dpmzos25m8ivg.cloudfront.net/Documentos/631/63712440278/6316371244027806092023150031.pdf","https://dpmzos25m8ivg.cloudfront.net/Documentos/631/63712440278/6316371244027806092023150031.pdf")</f>
        <v>https://dpmzos25m8ivg.cloudfront.net/Documentos/631/63712440278/6316371244027806092023150031.pdf</v>
      </c>
      <c r="G7461" s="5" t="str">
        <f>HYPERLINK("https://dpmzos25m8ivg.cloudfront.net/Documentos/631/63712440278/6316371244027806092023151711.pdf","https://dpmzos25m8ivg.cloudfront.net/Documentos/631/63712440278/6316371244027806092023151711.pdf")</f>
        <v>https://dpmzos25m8ivg.cloudfront.net/Documentos/631/63712440278/6316371244027806092023151711.pdf</v>
      </c>
      <c r="H7461" s="5" t="s">
        <v>16029</v>
      </c>
    </row>
    <row r="7462" spans="1:8" x14ac:dyDescent="0.25">
      <c r="A7462" s="2" t="s">
        <v>7491</v>
      </c>
      <c r="B7462" s="3"/>
      <c r="C7462" s="3"/>
      <c r="D7462" s="3"/>
      <c r="E7462" s="5" t="str">
        <f>HYPERLINK("https://dpmzos25m8ivg.cloudfront.net/Documentos/631/63938189215/6316393818921510092023175852.pdf","https://dpmzos25m8ivg.cloudfront.net/Documentos/631/63938189215/6316393818921510092023175852.pdf")</f>
        <v>https://dpmzos25m8ivg.cloudfront.net/Documentos/631/63938189215/6316393818921510092023175852.pdf</v>
      </c>
      <c r="F7462" s="5" t="str">
        <f>HYPERLINK("https://dpmzos25m8ivg.cloudfront.net/Documentos/631/63938189215/6316393818921510092023175942.pdf","https://dpmzos25m8ivg.cloudfront.net/Documentos/631/63938189215/6316393818921510092023175942.pdf")</f>
        <v>https://dpmzos25m8ivg.cloudfront.net/Documentos/631/63938189215/6316393818921510092023175942.pdf</v>
      </c>
      <c r="G7462" s="5" t="str">
        <f>HYPERLINK("https://dpmzos25m8ivg.cloudfront.net/Documentos/631/63938189215/6316393818921510092023180023.pdf","https://dpmzos25m8ivg.cloudfront.net/Documentos/631/63938189215/6316393818921510092023180023.pdf")</f>
        <v>https://dpmzos25m8ivg.cloudfront.net/Documentos/631/63938189215/6316393818921510092023180023.pdf</v>
      </c>
      <c r="H7462" s="5" t="s">
        <v>16030</v>
      </c>
    </row>
    <row r="7463" spans="1:8" x14ac:dyDescent="0.25">
      <c r="A7463" s="2" t="s">
        <v>7492</v>
      </c>
      <c r="B7463" s="3"/>
      <c r="C7463" s="3"/>
      <c r="D7463" s="3"/>
      <c r="E7463" s="5" t="str">
        <f>HYPERLINK("https://dpmzos25m8ivg.cloudfront.net/Documentos/631/63944014200/6316394401420011092023142501.pdf","https://dpmzos25m8ivg.cloudfront.net/Documentos/631/63944014200/6316394401420011092023142501.pdf")</f>
        <v>https://dpmzos25m8ivg.cloudfront.net/Documentos/631/63944014200/6316394401420011092023142501.pdf</v>
      </c>
      <c r="F7463" s="5" t="str">
        <f>HYPERLINK("https://dpmzos25m8ivg.cloudfront.net/Documentos/631/63944014200/6316394401420011092023142533.pdf","https://dpmzos25m8ivg.cloudfront.net/Documentos/631/63944014200/6316394401420011092023142533.pdf")</f>
        <v>https://dpmzos25m8ivg.cloudfront.net/Documentos/631/63944014200/6316394401420011092023142533.pdf</v>
      </c>
      <c r="G7463" s="5" t="str">
        <f>HYPERLINK("https://dpmzos25m8ivg.cloudfront.net/Documentos/631/63944014200/6316394401420011092023142605.pdf","https://dpmzos25m8ivg.cloudfront.net/Documentos/631/63944014200/6316394401420011092023142605.pdf")</f>
        <v>https://dpmzos25m8ivg.cloudfront.net/Documentos/631/63944014200/6316394401420011092023142605.pdf</v>
      </c>
      <c r="H7463" s="5" t="s">
        <v>16031</v>
      </c>
    </row>
    <row r="7464" spans="1:8" x14ac:dyDescent="0.25">
      <c r="A7464" s="2" t="s">
        <v>7493</v>
      </c>
      <c r="B7464" s="3"/>
      <c r="C7464" s="3"/>
      <c r="D7464" s="3"/>
      <c r="E7464" s="5" t="str">
        <f>HYPERLINK("https://dpmzos25m8ivg.cloudfront.net/Documentos/631/63965267000/6316396526700010092023120243.jpg","https://dpmzos25m8ivg.cloudfront.net/Documentos/631/63965267000/6316396526700010092023120243.jpg")</f>
        <v>https://dpmzos25m8ivg.cloudfront.net/Documentos/631/63965267000/6316396526700010092023120243.jpg</v>
      </c>
      <c r="F7464" s="5" t="str">
        <f>HYPERLINK("https://dpmzos25m8ivg.cloudfront.net/Documentos/631/63965267000/6316396526700010092023120252.jpg","https://dpmzos25m8ivg.cloudfront.net/Documentos/631/63965267000/6316396526700010092023120252.jpg")</f>
        <v>https://dpmzos25m8ivg.cloudfront.net/Documentos/631/63965267000/6316396526700010092023120252.jpg</v>
      </c>
      <c r="G7464" s="5" t="str">
        <f>HYPERLINK("https://dpmzos25m8ivg.cloudfront.net/Documentos/631/63965267000/6316396526700010092023120300.jpg","https://dpmzos25m8ivg.cloudfront.net/Documentos/631/63965267000/6316396526700010092023120300.jpg")</f>
        <v>https://dpmzos25m8ivg.cloudfront.net/Documentos/631/63965267000/6316396526700010092023120300.jpg</v>
      </c>
      <c r="H7464" s="5" t="s">
        <v>16032</v>
      </c>
    </row>
    <row r="7465" spans="1:8" x14ac:dyDescent="0.25">
      <c r="A7465" s="2" t="s">
        <v>7494</v>
      </c>
      <c r="B7465" s="3" t="s">
        <v>308</v>
      </c>
      <c r="C7465" s="3"/>
      <c r="D7465" s="3"/>
      <c r="E7465" s="5" t="str">
        <f>HYPERLINK("https://dpmzos25m8ivg.cloudfront.net/Documentos/631/64115585587/6316411558558711092023144311.pdf","https://dpmzos25m8ivg.cloudfront.net/Documentos/631/64115585587/6316411558558711092023144311.pdf")</f>
        <v>https://dpmzos25m8ivg.cloudfront.net/Documentos/631/64115585587/6316411558558711092023144311.pdf</v>
      </c>
      <c r="F7465" s="5" t="str">
        <f>HYPERLINK("https://dpmzos25m8ivg.cloudfront.net/Documentos/631/64115585587/6316411558558711092023144322.pdf","https://dpmzos25m8ivg.cloudfront.net/Documentos/631/64115585587/6316411558558711092023144322.pdf")</f>
        <v>https://dpmzos25m8ivg.cloudfront.net/Documentos/631/64115585587/6316411558558711092023144322.pdf</v>
      </c>
      <c r="G7465" s="5" t="str">
        <f>HYPERLINK("https://dpmzos25m8ivg.cloudfront.net/Documentos/631/64115585587/6316411558558711092023144335.pdf","https://dpmzos25m8ivg.cloudfront.net/Documentos/631/64115585587/6316411558558711092023144335.pdf")</f>
        <v>https://dpmzos25m8ivg.cloudfront.net/Documentos/631/64115585587/6316411558558711092023144335.pdf</v>
      </c>
      <c r="H7465" s="5" t="s">
        <v>16033</v>
      </c>
    </row>
    <row r="7466" spans="1:8" x14ac:dyDescent="0.25">
      <c r="A7466" s="14" t="s">
        <v>7495</v>
      </c>
      <c r="B7466" s="15"/>
      <c r="C7466" s="3"/>
      <c r="D7466" s="3"/>
      <c r="E7466" s="8" t="str">
        <f>HYPERLINK("https://dpmzos25m8ivg.cloudfront.net/Documentos/631/64157091353/6316415709135312092023171936.pdf","https://dpmzos25m8ivg.cloudfront.net/Documentos/631/64157091353/6316415709135312092023171936.pdf")</f>
        <v>https://dpmzos25m8ivg.cloudfront.net/Documentos/631/64157091353/6316415709135312092023171936.pdf</v>
      </c>
      <c r="F7466" s="8" t="str">
        <f>HYPERLINK("https://dpmzos25m8ivg.cloudfront.net/Documentos/631/64157091353/6316415709135312092023171709.pdf","https://dpmzos25m8ivg.cloudfront.net/Documentos/631/64157091353/6316415709135312092023171709.pdf")</f>
        <v>https://dpmzos25m8ivg.cloudfront.net/Documentos/631/64157091353/6316415709135312092023171709.pdf</v>
      </c>
      <c r="G7466" s="8" t="str">
        <f>HYPERLINK("https://dpmzos25m8ivg.cloudfront.net/Documentos/631/64157091353/6316415709135312092023171953.pdf","https://dpmzos25m8ivg.cloudfront.net/Documentos/631/64157091353/6316415709135312092023171953.pdf")</f>
        <v>https://dpmzos25m8ivg.cloudfront.net/Documentos/631/64157091353/6316415709135312092023171953.pdf</v>
      </c>
      <c r="H7466" s="9" t="s">
        <v>16034</v>
      </c>
    </row>
    <row r="7467" spans="1:8" x14ac:dyDescent="0.25">
      <c r="A7467" s="2" t="s">
        <v>7496</v>
      </c>
      <c r="B7467" s="3" t="s">
        <v>308</v>
      </c>
      <c r="C7467" s="3"/>
      <c r="D7467" s="3"/>
      <c r="E7467" s="5" t="str">
        <f>HYPERLINK("https://dpmzos25m8ivg.cloudfront.net/Documentos/631/64264629187/6316426462918708092023154303.pdf","https://dpmzos25m8ivg.cloudfront.net/Documentos/631/64264629187/6316426462918708092023154303.pdf")</f>
        <v>https://dpmzos25m8ivg.cloudfront.net/Documentos/631/64264629187/6316426462918708092023154303.pdf</v>
      </c>
      <c r="F7467" s="5" t="str">
        <f>HYPERLINK("https://dpmzos25m8ivg.cloudfront.net/Documentos/631/64264629187/6316426462918708092023154325.pdf","https://dpmzos25m8ivg.cloudfront.net/Documentos/631/64264629187/6316426462918708092023154325.pdf")</f>
        <v>https://dpmzos25m8ivg.cloudfront.net/Documentos/631/64264629187/6316426462918708092023154325.pdf</v>
      </c>
      <c r="G7467" s="5" t="str">
        <f>HYPERLINK("https://dpmzos25m8ivg.cloudfront.net/Documentos/631/64264629187/6316426462918708092023154348.pdf","https://dpmzos25m8ivg.cloudfront.net/Documentos/631/64264629187/6316426462918708092023154348.pdf")</f>
        <v>https://dpmzos25m8ivg.cloudfront.net/Documentos/631/64264629187/6316426462918708092023154348.pdf</v>
      </c>
      <c r="H7467" s="5" t="s">
        <v>16035</v>
      </c>
    </row>
    <row r="7468" spans="1:8" x14ac:dyDescent="0.25">
      <c r="A7468" s="2" t="s">
        <v>7497</v>
      </c>
      <c r="B7468" s="3"/>
      <c r="C7468" s="3"/>
      <c r="D7468" s="3"/>
      <c r="E7468" s="5" t="str">
        <f>HYPERLINK("https://dpmzos25m8ivg.cloudfront.net/Documentos/631/64302679204/6316430267920409092023234043.pdf","https://dpmzos25m8ivg.cloudfront.net/Documentos/631/64302679204/6316430267920409092023234043.pdf")</f>
        <v>https://dpmzos25m8ivg.cloudfront.net/Documentos/631/64302679204/6316430267920409092023234043.pdf</v>
      </c>
      <c r="F7468" s="5" t="str">
        <f>HYPERLINK("https://dpmzos25m8ivg.cloudfront.net/Documentos/631/64302679204/6316430267920409092023234354.pdf","https://dpmzos25m8ivg.cloudfront.net/Documentos/631/64302679204/6316430267920409092023234354.pdf")</f>
        <v>https://dpmzos25m8ivg.cloudfront.net/Documentos/631/64302679204/6316430267920409092023234354.pdf</v>
      </c>
      <c r="G7468" s="5" t="str">
        <f>HYPERLINK("https://dpmzos25m8ivg.cloudfront.net/Documentos/631/64302679204/6316430267920409092023234455.pdf","https://dpmzos25m8ivg.cloudfront.net/Documentos/631/64302679204/6316430267920409092023234455.pdf")</f>
        <v>https://dpmzos25m8ivg.cloudfront.net/Documentos/631/64302679204/6316430267920409092023234455.pdf</v>
      </c>
      <c r="H7468" s="5" t="s">
        <v>16036</v>
      </c>
    </row>
    <row r="7469" spans="1:8" x14ac:dyDescent="0.25">
      <c r="A7469" s="2" t="s">
        <v>7498</v>
      </c>
      <c r="B7469" s="3"/>
      <c r="C7469" s="3"/>
      <c r="D7469" s="3"/>
      <c r="E7469" s="5" t="str">
        <f>HYPERLINK("https://dpmzos25m8ivg.cloudfront.net/Documentos/631/64387178272/6316438717827211092023001004.pdf","https://dpmzos25m8ivg.cloudfront.net/Documentos/631/64387178272/6316438717827211092023001004.pdf")</f>
        <v>https://dpmzos25m8ivg.cloudfront.net/Documentos/631/64387178272/6316438717827211092023001004.pdf</v>
      </c>
      <c r="F7469" s="5" t="str">
        <f>HYPERLINK("https://dpmzos25m8ivg.cloudfront.net/Documentos/631/64387178272/6316438717827211092023001040.pdf","https://dpmzos25m8ivg.cloudfront.net/Documentos/631/64387178272/6316438717827211092023001040.pdf")</f>
        <v>https://dpmzos25m8ivg.cloudfront.net/Documentos/631/64387178272/6316438717827211092023001040.pdf</v>
      </c>
      <c r="G7469" s="5" t="str">
        <f>HYPERLINK("https://dpmzos25m8ivg.cloudfront.net/Documentos/631/64387178272/6316438717827211092023001103.pdf","https://dpmzos25m8ivg.cloudfront.net/Documentos/631/64387178272/6316438717827211092023001103.pdf")</f>
        <v>https://dpmzos25m8ivg.cloudfront.net/Documentos/631/64387178272/6316438717827211092023001103.pdf</v>
      </c>
      <c r="H7469" s="5" t="s">
        <v>16037</v>
      </c>
    </row>
    <row r="7470" spans="1:8" x14ac:dyDescent="0.25">
      <c r="A7470" s="2" t="s">
        <v>7499</v>
      </c>
      <c r="B7470" s="3"/>
      <c r="C7470" s="3"/>
      <c r="D7470" s="3"/>
      <c r="E7470" s="5" t="str">
        <f>HYPERLINK("https://dpmzos25m8ivg.cloudfront.net/Documentos/631/64501256591/6316450125659111092023151448.pdf","https://dpmzos25m8ivg.cloudfront.net/Documentos/631/64501256591/6316450125659111092023151448.pdf")</f>
        <v>https://dpmzos25m8ivg.cloudfront.net/Documentos/631/64501256591/6316450125659111092023151448.pdf</v>
      </c>
      <c r="F7470" s="5" t="str">
        <f>HYPERLINK("https://dpmzos25m8ivg.cloudfront.net/Documentos/631/64501256591/6316450125659111092023151512.pdf","https://dpmzos25m8ivg.cloudfront.net/Documentos/631/64501256591/6316450125659111092023151512.pdf")</f>
        <v>https://dpmzos25m8ivg.cloudfront.net/Documentos/631/64501256591/6316450125659111092023151512.pdf</v>
      </c>
      <c r="G7470" s="5" t="str">
        <f>HYPERLINK("https://dpmzos25m8ivg.cloudfront.net/Documentos/631/64501256591/6316450125659111092023151535.pdf","https://dpmzos25m8ivg.cloudfront.net/Documentos/631/64501256591/6316450125659111092023151535.pdf")</f>
        <v>https://dpmzos25m8ivg.cloudfront.net/Documentos/631/64501256591/6316450125659111092023151535.pdf</v>
      </c>
      <c r="H7470" s="5" t="s">
        <v>16038</v>
      </c>
    </row>
    <row r="7471" spans="1:8" x14ac:dyDescent="0.25">
      <c r="A7471" s="2" t="s">
        <v>7500</v>
      </c>
      <c r="B7471" s="3"/>
      <c r="C7471" s="3"/>
      <c r="D7471" s="3"/>
      <c r="E7471" s="5" t="str">
        <f>HYPERLINK("https://dpmzos25m8ivg.cloudfront.net/Documentos/631/64501809868/6316450180986805092023002353.pdf","https://dpmzos25m8ivg.cloudfront.net/Documentos/631/64501809868/6316450180986805092023002353.pdf")</f>
        <v>https://dpmzos25m8ivg.cloudfront.net/Documentos/631/64501809868/6316450180986805092023002353.pdf</v>
      </c>
      <c r="F7471" s="5" t="str">
        <f>HYPERLINK("https://dpmzos25m8ivg.cloudfront.net/Documentos/631/64501809868/6316450180986808092023011619.pdf","https://dpmzos25m8ivg.cloudfront.net/Documentos/631/64501809868/6316450180986808092023011619.pdf")</f>
        <v>https://dpmzos25m8ivg.cloudfront.net/Documentos/631/64501809868/6316450180986808092023011619.pdf</v>
      </c>
      <c r="G7471" s="5" t="str">
        <f>HYPERLINK("https://dpmzos25m8ivg.cloudfront.net/Documentos/631/64501809868/6316450180986808092023011657.pdf","https://dpmzos25m8ivg.cloudfront.net/Documentos/631/64501809868/6316450180986808092023011657.pdf")</f>
        <v>https://dpmzos25m8ivg.cloudfront.net/Documentos/631/64501809868/6316450180986808092023011657.pdf</v>
      </c>
      <c r="H7471" s="5" t="s">
        <v>16039</v>
      </c>
    </row>
    <row r="7472" spans="1:8" x14ac:dyDescent="0.25">
      <c r="A7472" s="2" t="s">
        <v>6293</v>
      </c>
      <c r="B7472" s="3"/>
      <c r="C7472" s="3"/>
      <c r="D7472" s="3"/>
      <c r="E7472" s="5" t="str">
        <f>HYPERLINK("https://dpmzos25m8ivg.cloudfront.net/Documentos/631/64574814187/6316457481418708092023163552.pdf","https://dpmzos25m8ivg.cloudfront.net/Documentos/631/64574814187/6316457481418708092023163552.pdf")</f>
        <v>https://dpmzos25m8ivg.cloudfront.net/Documentos/631/64574814187/6316457481418708092023163552.pdf</v>
      </c>
      <c r="F7472" s="5" t="str">
        <f>HYPERLINK("https://dpmzos25m8ivg.cloudfront.net/Documentos/631/64574814187/6316457481418708092023163611.pdf","https://dpmzos25m8ivg.cloudfront.net/Documentos/631/64574814187/6316457481418708092023163611.pdf")</f>
        <v>https://dpmzos25m8ivg.cloudfront.net/Documentos/631/64574814187/6316457481418708092023163611.pdf</v>
      </c>
      <c r="G7472" s="5" t="str">
        <f>HYPERLINK("https://dpmzos25m8ivg.cloudfront.net/Documentos/631/64574814187/6316457481418708092023163637.pdf","https://dpmzos25m8ivg.cloudfront.net/Documentos/631/64574814187/6316457481418708092023163637.pdf")</f>
        <v>https://dpmzos25m8ivg.cloudfront.net/Documentos/631/64574814187/6316457481418708092023163637.pdf</v>
      </c>
      <c r="H7472" s="5" t="s">
        <v>16040</v>
      </c>
    </row>
    <row r="7473" spans="1:8" x14ac:dyDescent="0.25">
      <c r="A7473" s="2" t="s">
        <v>7501</v>
      </c>
      <c r="B7473" s="3"/>
      <c r="C7473" s="3"/>
      <c r="D7473" s="3"/>
      <c r="E7473" s="5" t="str">
        <f>HYPERLINK("https://dpmzos25m8ivg.cloudfront.net/Documentos/631/64578879372/6316457887937208092023122641.jpeg","https://dpmzos25m8ivg.cloudfront.net/Documentos/631/64578879372/6316457887937208092023122641.jpeg")</f>
        <v>https://dpmzos25m8ivg.cloudfront.net/Documentos/631/64578879372/6316457887937208092023122641.jpeg</v>
      </c>
      <c r="F7473" s="5" t="str">
        <f>HYPERLINK("https://dpmzos25m8ivg.cloudfront.net/Documentos/631/64578879372/6316457887937208092023122659.jpeg","https://dpmzos25m8ivg.cloudfront.net/Documentos/631/64578879372/6316457887937208092023122659.jpeg")</f>
        <v>https://dpmzos25m8ivg.cloudfront.net/Documentos/631/64578879372/6316457887937208092023122659.jpeg</v>
      </c>
      <c r="G7473" s="5" t="str">
        <f>HYPERLINK("https://dpmzos25m8ivg.cloudfront.net/Documentos/631/64578879372/6316457887937208092023122712.jpeg","https://dpmzos25m8ivg.cloudfront.net/Documentos/631/64578879372/6316457887937208092023122712.jpeg")</f>
        <v>https://dpmzos25m8ivg.cloudfront.net/Documentos/631/64578879372/6316457887937208092023122712.jpeg</v>
      </c>
      <c r="H7473" s="5" t="s">
        <v>16041</v>
      </c>
    </row>
    <row r="7474" spans="1:8" x14ac:dyDescent="0.25">
      <c r="A7474" s="2" t="s">
        <v>7502</v>
      </c>
      <c r="B7474" s="3"/>
      <c r="C7474" s="3"/>
      <c r="D7474" s="3"/>
      <c r="E7474" s="5" t="str">
        <f>HYPERLINK("https://dpmzos25m8ivg.cloudfront.net/Documentos/631/64592642368/6316459264236812092023231106.jpg","https://dpmzos25m8ivg.cloudfront.net/Documentos/631/64592642368/6316459264236812092023231106.jpg")</f>
        <v>https://dpmzos25m8ivg.cloudfront.net/Documentos/631/64592642368/6316459264236812092023231106.jpg</v>
      </c>
      <c r="F7474" s="5" t="str">
        <f>HYPERLINK("https://dpmzos25m8ivg.cloudfront.net/Documentos/631/64592642368/6316459264236812092023231216.jpg","https://dpmzos25m8ivg.cloudfront.net/Documentos/631/64592642368/6316459264236812092023231216.jpg")</f>
        <v>https://dpmzos25m8ivg.cloudfront.net/Documentos/631/64592642368/6316459264236812092023231216.jpg</v>
      </c>
      <c r="G7474" s="5" t="str">
        <f>HYPERLINK("https://dpmzos25m8ivg.cloudfront.net/Documentos/631/64592642368/6316459264236812092023231243.jpg","https://dpmzos25m8ivg.cloudfront.net/Documentos/631/64592642368/6316459264236812092023231243.jpg")</f>
        <v>https://dpmzos25m8ivg.cloudfront.net/Documentos/631/64592642368/6316459264236812092023231243.jpg</v>
      </c>
      <c r="H7474" s="5" t="s">
        <v>16042</v>
      </c>
    </row>
    <row r="7475" spans="1:8" x14ac:dyDescent="0.25">
      <c r="A7475" s="2" t="s">
        <v>7503</v>
      </c>
      <c r="B7475" s="3" t="s">
        <v>308</v>
      </c>
      <c r="C7475" s="3"/>
      <c r="D7475" s="3"/>
      <c r="E7475" s="5" t="str">
        <f>HYPERLINK("https://dpmzos25m8ivg.cloudfront.net/Documentos/631/64685411234/6316468541123408092023213704.jpg","https://dpmzos25m8ivg.cloudfront.net/Documentos/631/64685411234/6316468541123408092023213704.jpg")</f>
        <v>https://dpmzos25m8ivg.cloudfront.net/Documentos/631/64685411234/6316468541123408092023213704.jpg</v>
      </c>
      <c r="F7475" s="5" t="str">
        <f>HYPERLINK("https://dpmzos25m8ivg.cloudfront.net/Documentos/631/64685411234/6316468541123408092023213909.jpg","https://dpmzos25m8ivg.cloudfront.net/Documentos/631/64685411234/6316468541123408092023213909.jpg")</f>
        <v>https://dpmzos25m8ivg.cloudfront.net/Documentos/631/64685411234/6316468541123408092023213909.jpg</v>
      </c>
      <c r="G7475" s="5" t="str">
        <f>HYPERLINK("https://dpmzos25m8ivg.cloudfront.net/Documentos/631/64685411234/6316468541123408092023213958.jpg","https://dpmzos25m8ivg.cloudfront.net/Documentos/631/64685411234/6316468541123408092023213958.jpg")</f>
        <v>https://dpmzos25m8ivg.cloudfront.net/Documentos/631/64685411234/6316468541123408092023213958.jpg</v>
      </c>
      <c r="H7475" s="5" t="s">
        <v>16043</v>
      </c>
    </row>
    <row r="7476" spans="1:8" x14ac:dyDescent="0.25">
      <c r="A7476" s="2" t="s">
        <v>7504</v>
      </c>
      <c r="B7476" s="3"/>
      <c r="C7476" s="3"/>
      <c r="D7476" s="3"/>
      <c r="E7476" s="5" t="str">
        <f>HYPERLINK("https://dpmzos25m8ivg.cloudfront.net/Documentos/631/64690580430/6316469058043007092023155301.pdf","https://dpmzos25m8ivg.cloudfront.net/Documentos/631/64690580430/6316469058043007092023155301.pdf")</f>
        <v>https://dpmzos25m8ivg.cloudfront.net/Documentos/631/64690580430/6316469058043007092023155301.pdf</v>
      </c>
      <c r="F7476" s="5" t="str">
        <f>HYPERLINK("https://dpmzos25m8ivg.cloudfront.net/Documentos/631/64690580430/6316469058043007092023155325.pdf","https://dpmzos25m8ivg.cloudfront.net/Documentos/631/64690580430/6316469058043007092023155325.pdf")</f>
        <v>https://dpmzos25m8ivg.cloudfront.net/Documentos/631/64690580430/6316469058043007092023155325.pdf</v>
      </c>
      <c r="G7476" s="5" t="str">
        <f>HYPERLINK("https://dpmzos25m8ivg.cloudfront.net/Documentos/631/64690580430/6316469058043007092023155348.pdf","https://dpmzos25m8ivg.cloudfront.net/Documentos/631/64690580430/6316469058043007092023155348.pdf")</f>
        <v>https://dpmzos25m8ivg.cloudfront.net/Documentos/631/64690580430/6316469058043007092023155348.pdf</v>
      </c>
      <c r="H7476" s="5" t="s">
        <v>16044</v>
      </c>
    </row>
    <row r="7477" spans="1:8" x14ac:dyDescent="0.25">
      <c r="A7477" s="2" t="s">
        <v>7505</v>
      </c>
      <c r="B7477" s="3" t="s">
        <v>90</v>
      </c>
      <c r="C7477" s="3"/>
      <c r="D7477" s="3"/>
      <c r="E7477" s="5" t="str">
        <f>HYPERLINK("https://dpmzos25m8ivg.cloudfront.net/Documentos/631/64691403272/6316469140327206092023115606.jpg","https://dpmzos25m8ivg.cloudfront.net/Documentos/631/64691403272/6316469140327206092023115606.jpg")</f>
        <v>https://dpmzos25m8ivg.cloudfront.net/Documentos/631/64691403272/6316469140327206092023115606.jpg</v>
      </c>
      <c r="F7477" s="5" t="str">
        <f>HYPERLINK("https://dpmzos25m8ivg.cloudfront.net/Documentos/631/64691403272/6316469140327206092023115633.jpg","https://dpmzos25m8ivg.cloudfront.net/Documentos/631/64691403272/6316469140327206092023115633.jpg")</f>
        <v>https://dpmzos25m8ivg.cloudfront.net/Documentos/631/64691403272/6316469140327206092023115633.jpg</v>
      </c>
      <c r="G7477" s="5" t="str">
        <f>HYPERLINK("https://dpmzos25m8ivg.cloudfront.net/Documentos/631/64691403272/6316469140327206092023115725.jpg","https://dpmzos25m8ivg.cloudfront.net/Documentos/631/64691403272/6316469140327206092023115725.jpg")</f>
        <v>https://dpmzos25m8ivg.cloudfront.net/Documentos/631/64691403272/6316469140327206092023115725.jpg</v>
      </c>
      <c r="H7477" s="5" t="s">
        <v>16045</v>
      </c>
    </row>
    <row r="7478" spans="1:8" x14ac:dyDescent="0.25">
      <c r="A7478" s="2" t="s">
        <v>7506</v>
      </c>
      <c r="B7478" s="3"/>
      <c r="C7478" s="3"/>
      <c r="D7478" s="3"/>
      <c r="E7478" s="5" t="str">
        <f>HYPERLINK("https://dpmzos25m8ivg.cloudfront.net/Documentos/631/64759202234/6316475920223411092023161306.jpeg","https://dpmzos25m8ivg.cloudfront.net/Documentos/631/64759202234/6316475920223411092023161306.jpeg")</f>
        <v>https://dpmzos25m8ivg.cloudfront.net/Documentos/631/64759202234/6316475920223411092023161306.jpeg</v>
      </c>
      <c r="F7478" s="5" t="str">
        <f>HYPERLINK("https://dpmzos25m8ivg.cloudfront.net/Documentos/631/64759202234/6316475920223411092023161331.jpeg","https://dpmzos25m8ivg.cloudfront.net/Documentos/631/64759202234/6316475920223411092023161331.jpeg")</f>
        <v>https://dpmzos25m8ivg.cloudfront.net/Documentos/631/64759202234/6316475920223411092023161331.jpeg</v>
      </c>
      <c r="G7478" s="5" t="str">
        <f>HYPERLINK("https://dpmzos25m8ivg.cloudfront.net/Documentos/631/64759202234/6316475920223411092023161344.jpeg","https://dpmzos25m8ivg.cloudfront.net/Documentos/631/64759202234/6316475920223411092023161344.jpeg")</f>
        <v>https://dpmzos25m8ivg.cloudfront.net/Documentos/631/64759202234/6316475920223411092023161344.jpeg</v>
      </c>
      <c r="H7478" s="5" t="s">
        <v>16046</v>
      </c>
    </row>
    <row r="7479" spans="1:8" x14ac:dyDescent="0.25">
      <c r="A7479" s="2" t="s">
        <v>7507</v>
      </c>
      <c r="B7479" s="3"/>
      <c r="C7479" s="3"/>
      <c r="D7479" s="3"/>
      <c r="E7479" s="5" t="str">
        <f>HYPERLINK("https://dpmzos25m8ivg.cloudfront.net/Documentos/631/64774473200/6316477447320011092023134509.jpg","https://dpmzos25m8ivg.cloudfront.net/Documentos/631/64774473200/6316477447320011092023134509.jpg")</f>
        <v>https://dpmzos25m8ivg.cloudfront.net/Documentos/631/64774473200/6316477447320011092023134509.jpg</v>
      </c>
      <c r="F7479" s="5" t="str">
        <f>HYPERLINK("https://dpmzos25m8ivg.cloudfront.net/Documentos/631/64774473200/6316477447320011092023134522.jpg","https://dpmzos25m8ivg.cloudfront.net/Documentos/631/64774473200/6316477447320011092023134522.jpg")</f>
        <v>https://dpmzos25m8ivg.cloudfront.net/Documentos/631/64774473200/6316477447320011092023134522.jpg</v>
      </c>
      <c r="G7479" s="5" t="str">
        <f>HYPERLINK("https://dpmzos25m8ivg.cloudfront.net/Documentos/631/64774473200/6316477447320011092023134536.jpg","https://dpmzos25m8ivg.cloudfront.net/Documentos/631/64774473200/6316477447320011092023134536.jpg")</f>
        <v>https://dpmzos25m8ivg.cloudfront.net/Documentos/631/64774473200/6316477447320011092023134536.jpg</v>
      </c>
      <c r="H7479" s="5" t="s">
        <v>16047</v>
      </c>
    </row>
    <row r="7480" spans="1:8" x14ac:dyDescent="0.25">
      <c r="A7480" s="2" t="s">
        <v>7508</v>
      </c>
      <c r="B7480" s="3"/>
      <c r="C7480" s="3"/>
      <c r="D7480" s="3"/>
      <c r="E7480" s="5" t="str">
        <f>HYPERLINK("https://dpmzos25m8ivg.cloudfront.net/Documentos/631/64780627249/6316478062724911092023164635.pdf","https://dpmzos25m8ivg.cloudfront.net/Documentos/631/64780627249/6316478062724911092023164635.pdf")</f>
        <v>https://dpmzos25m8ivg.cloudfront.net/Documentos/631/64780627249/6316478062724911092023164635.pdf</v>
      </c>
      <c r="F7480" s="5" t="str">
        <f>HYPERLINK("https://dpmzos25m8ivg.cloudfront.net/Documentos/631/64780627249/6316478062724911092023164710.pdf","https://dpmzos25m8ivg.cloudfront.net/Documentos/631/64780627249/6316478062724911092023164710.pdf")</f>
        <v>https://dpmzos25m8ivg.cloudfront.net/Documentos/631/64780627249/6316478062724911092023164710.pdf</v>
      </c>
      <c r="G7480" s="5" t="str">
        <f>HYPERLINK("https://dpmzos25m8ivg.cloudfront.net/Documentos/631/64780627249/6316478062724911092023164758.pdf","https://dpmzos25m8ivg.cloudfront.net/Documentos/631/64780627249/6316478062724911092023164758.pdf")</f>
        <v>https://dpmzos25m8ivg.cloudfront.net/Documentos/631/64780627249/6316478062724911092023164758.pdf</v>
      </c>
      <c r="H7480" s="5" t="s">
        <v>16048</v>
      </c>
    </row>
    <row r="7481" spans="1:8" x14ac:dyDescent="0.25">
      <c r="A7481" s="2" t="s">
        <v>7509</v>
      </c>
      <c r="B7481" s="3"/>
      <c r="C7481" s="3"/>
      <c r="D7481" s="3"/>
      <c r="E7481" s="5" t="str">
        <f>HYPERLINK("https://dpmzos25m8ivg.cloudfront.net/Documentos/631/64877205500/6316487720550005092023203358.pdf","https://dpmzos25m8ivg.cloudfront.net/Documentos/631/64877205500/6316487720550005092023203358.pdf")</f>
        <v>https://dpmzos25m8ivg.cloudfront.net/Documentos/631/64877205500/6316487720550005092023203358.pdf</v>
      </c>
      <c r="F7481" s="5" t="str">
        <f>HYPERLINK("https://dpmzos25m8ivg.cloudfront.net/Documentos/631/64877205500/6316487720550005092023203422.pdf","https://dpmzos25m8ivg.cloudfront.net/Documentos/631/64877205500/6316487720550005092023203422.pdf")</f>
        <v>https://dpmzos25m8ivg.cloudfront.net/Documentos/631/64877205500/6316487720550005092023203422.pdf</v>
      </c>
      <c r="G7481" s="5" t="str">
        <f>HYPERLINK("https://dpmzos25m8ivg.cloudfront.net/Documentos/631/64877205500/6316487720550005092023203447.pdf","https://dpmzos25m8ivg.cloudfront.net/Documentos/631/64877205500/6316487720550005092023203447.pdf")</f>
        <v>https://dpmzos25m8ivg.cloudfront.net/Documentos/631/64877205500/6316487720550005092023203447.pdf</v>
      </c>
      <c r="H7481" s="5" t="s">
        <v>16049</v>
      </c>
    </row>
    <row r="7482" spans="1:8" x14ac:dyDescent="0.25">
      <c r="A7482" s="2" t="s">
        <v>7510</v>
      </c>
      <c r="B7482" s="3" t="s">
        <v>308</v>
      </c>
      <c r="C7482" s="3"/>
      <c r="D7482" s="3"/>
      <c r="E7482" s="5" t="str">
        <f>HYPERLINK("https://dpmzos25m8ivg.cloudfront.net/Documentos/631/64970698449/6316497069844911092023155642.pdf","https://dpmzos25m8ivg.cloudfront.net/Documentos/631/64970698449/6316497069844911092023155642.pdf")</f>
        <v>https://dpmzos25m8ivg.cloudfront.net/Documentos/631/64970698449/6316497069844911092023155642.pdf</v>
      </c>
      <c r="F7482" s="5" t="str">
        <f>HYPERLINK("https://dpmzos25m8ivg.cloudfront.net/Documentos/631/64970698449/6316497069844911092023155810.pdf","https://dpmzos25m8ivg.cloudfront.net/Documentos/631/64970698449/6316497069844911092023155810.pdf")</f>
        <v>https://dpmzos25m8ivg.cloudfront.net/Documentos/631/64970698449/6316497069844911092023155810.pdf</v>
      </c>
      <c r="G7482" s="5" t="str">
        <f>HYPERLINK("https://dpmzos25m8ivg.cloudfront.net/Documentos/631/64970698449/6316497069844911092023155916.pdf","https://dpmzos25m8ivg.cloudfront.net/Documentos/631/64970698449/6316497069844911092023155916.pdf")</f>
        <v>https://dpmzos25m8ivg.cloudfront.net/Documentos/631/64970698449/6316497069844911092023155916.pdf</v>
      </c>
      <c r="H7482" s="5" t="s">
        <v>16050</v>
      </c>
    </row>
    <row r="7483" spans="1:8" x14ac:dyDescent="0.25">
      <c r="A7483" s="2" t="s">
        <v>7511</v>
      </c>
      <c r="B7483" s="3" t="s">
        <v>90</v>
      </c>
      <c r="C7483" s="3"/>
      <c r="D7483" s="3"/>
      <c r="E7483" s="5" t="str">
        <f>HYPERLINK("https://dpmzos25m8ivg.cloudfront.net/Documentos/631/65075200397/6316507520039708092023111609.jpeg","https://dpmzos25m8ivg.cloudfront.net/Documentos/631/65075200397/6316507520039708092023111609.jpeg")</f>
        <v>https://dpmzos25m8ivg.cloudfront.net/Documentos/631/65075200397/6316507520039708092023111609.jpeg</v>
      </c>
      <c r="F7483" s="5" t="str">
        <f>HYPERLINK("https://dpmzos25m8ivg.cloudfront.net/Documentos/631/65075200397/6316507520039708092023111629.jpeg","https://dpmzos25m8ivg.cloudfront.net/Documentos/631/65075200397/6316507520039708092023111629.jpeg")</f>
        <v>https://dpmzos25m8ivg.cloudfront.net/Documentos/631/65075200397/6316507520039708092023111629.jpeg</v>
      </c>
      <c r="G7483" s="5" t="str">
        <f>HYPERLINK("https://dpmzos25m8ivg.cloudfront.net/Documentos/631/65075200397/6316507520039708092023111647.jpeg","https://dpmzos25m8ivg.cloudfront.net/Documentos/631/65075200397/6316507520039708092023111647.jpeg")</f>
        <v>https://dpmzos25m8ivg.cloudfront.net/Documentos/631/65075200397/6316507520039708092023111647.jpeg</v>
      </c>
      <c r="H7483" s="5" t="s">
        <v>16051</v>
      </c>
    </row>
    <row r="7484" spans="1:8" x14ac:dyDescent="0.25">
      <c r="A7484" s="2" t="s">
        <v>7512</v>
      </c>
      <c r="B7484" s="3"/>
      <c r="C7484" s="3"/>
      <c r="D7484" s="3"/>
      <c r="E7484" s="5" t="str">
        <f>HYPERLINK("https://dpmzos25m8ivg.cloudfront.net/Documentos/631/65087046304/6316508704630411092023160628.pdf","https://dpmzos25m8ivg.cloudfront.net/Documentos/631/65087046304/6316508704630411092023160628.pdf")</f>
        <v>https://dpmzos25m8ivg.cloudfront.net/Documentos/631/65087046304/6316508704630411092023160628.pdf</v>
      </c>
      <c r="F7484" s="5" t="str">
        <f>HYPERLINK("https://dpmzos25m8ivg.cloudfront.net/Documentos/631/65087046304/6316508704630411092023160648.pdf","https://dpmzos25m8ivg.cloudfront.net/Documentos/631/65087046304/6316508704630411092023160648.pdf")</f>
        <v>https://dpmzos25m8ivg.cloudfront.net/Documentos/631/65087046304/6316508704630411092023160648.pdf</v>
      </c>
      <c r="G7484" s="5" t="str">
        <f>HYPERLINK("https://dpmzos25m8ivg.cloudfront.net/Documentos/631/65087046304/6316508704630411092023160707.pdf","https://dpmzos25m8ivg.cloudfront.net/Documentos/631/65087046304/6316508704630411092023160707.pdf")</f>
        <v>https://dpmzos25m8ivg.cloudfront.net/Documentos/631/65087046304/6316508704630411092023160707.pdf</v>
      </c>
      <c r="H7484" s="5" t="s">
        <v>16052</v>
      </c>
    </row>
    <row r="7485" spans="1:8" x14ac:dyDescent="0.25">
      <c r="A7485" s="2" t="s">
        <v>7513</v>
      </c>
      <c r="B7485" s="3"/>
      <c r="C7485" s="3"/>
      <c r="D7485" s="3"/>
      <c r="E7485" s="5" t="str">
        <f>HYPERLINK("https://dpmzos25m8ivg.cloudfront.net/Documentos/631/65230892234/6316523089223410092023182020.pdf","https://dpmzos25m8ivg.cloudfront.net/Documentos/631/65230892234/6316523089223410092023182020.pdf")</f>
        <v>https://dpmzos25m8ivg.cloudfront.net/Documentos/631/65230892234/6316523089223410092023182020.pdf</v>
      </c>
      <c r="F7485" s="5" t="str">
        <f>HYPERLINK("https://dpmzos25m8ivg.cloudfront.net/Documentos/631/65230892234/6316523089223411092023123035.pdf","https://dpmzos25m8ivg.cloudfront.net/Documentos/631/65230892234/6316523089223411092023123035.pdf")</f>
        <v>https://dpmzos25m8ivg.cloudfront.net/Documentos/631/65230892234/6316523089223411092023123035.pdf</v>
      </c>
      <c r="G7485" s="5" t="str">
        <f>HYPERLINK("https://dpmzos25m8ivg.cloudfront.net/Documentos/631/65230892234/6316523089223411092023112933.pdf","https://dpmzos25m8ivg.cloudfront.net/Documentos/631/65230892234/6316523089223411092023112933.pdf")</f>
        <v>https://dpmzos25m8ivg.cloudfront.net/Documentos/631/65230892234/6316523089223411092023112933.pdf</v>
      </c>
      <c r="H7485" s="5" t="s">
        <v>16053</v>
      </c>
    </row>
    <row r="7486" spans="1:8" x14ac:dyDescent="0.25">
      <c r="A7486" s="2" t="s">
        <v>7514</v>
      </c>
      <c r="B7486" s="3"/>
      <c r="C7486" s="3"/>
      <c r="D7486" s="3"/>
      <c r="E7486" s="5" t="str">
        <f>HYPERLINK("https://dpmzos25m8ivg.cloudfront.net/Documentos/631/65303458253/6316530345825311092023153532.jpeg","https://dpmzos25m8ivg.cloudfront.net/Documentos/631/65303458253/6316530345825311092023153532.jpeg")</f>
        <v>https://dpmzos25m8ivg.cloudfront.net/Documentos/631/65303458253/6316530345825311092023153532.jpeg</v>
      </c>
      <c r="F7486" s="5" t="str">
        <f>HYPERLINK("https://dpmzos25m8ivg.cloudfront.net/Documentos/631/65303458253/6316530345825311092023153547.jpeg","https://dpmzos25m8ivg.cloudfront.net/Documentos/631/65303458253/6316530345825311092023153547.jpeg")</f>
        <v>https://dpmzos25m8ivg.cloudfront.net/Documentos/631/65303458253/6316530345825311092023153547.jpeg</v>
      </c>
      <c r="G7486" s="5" t="str">
        <f>HYPERLINK("https://dpmzos25m8ivg.cloudfront.net/Documentos/631/65303458253/6316530345825311092023153603.jpeg","https://dpmzos25m8ivg.cloudfront.net/Documentos/631/65303458253/6316530345825311092023153603.jpeg")</f>
        <v>https://dpmzos25m8ivg.cloudfront.net/Documentos/631/65303458253/6316530345825311092023153603.jpeg</v>
      </c>
      <c r="H7486" s="5" t="s">
        <v>16054</v>
      </c>
    </row>
    <row r="7487" spans="1:8" x14ac:dyDescent="0.25">
      <c r="A7487" s="2" t="s">
        <v>7515</v>
      </c>
      <c r="B7487" s="3"/>
      <c r="C7487" s="3"/>
      <c r="D7487" s="3"/>
      <c r="E7487" s="5" t="str">
        <f>HYPERLINK("https://dpmzos25m8ivg.cloudfront.net/Documentos/631/65409981553/6316540998155306092023182245.pdf","https://dpmzos25m8ivg.cloudfront.net/Documentos/631/65409981553/6316540998155306092023182245.pdf")</f>
        <v>https://dpmzos25m8ivg.cloudfront.net/Documentos/631/65409981553/6316540998155306092023182245.pdf</v>
      </c>
      <c r="F7487" s="5" t="str">
        <f>HYPERLINK("https://dpmzos25m8ivg.cloudfront.net/Documentos/631/65409981553/6316540998155306092023182308.pdf","https://dpmzos25m8ivg.cloudfront.net/Documentos/631/65409981553/6316540998155306092023182308.pdf")</f>
        <v>https://dpmzos25m8ivg.cloudfront.net/Documentos/631/65409981553/6316540998155306092023182308.pdf</v>
      </c>
      <c r="G7487" s="5" t="str">
        <f>HYPERLINK("https://dpmzos25m8ivg.cloudfront.net/Documentos/631/65409981553/6316540998155306092023182317.pdf","https://dpmzos25m8ivg.cloudfront.net/Documentos/631/65409981553/6316540998155306092023182317.pdf")</f>
        <v>https://dpmzos25m8ivg.cloudfront.net/Documentos/631/65409981553/6316540998155306092023182317.pdf</v>
      </c>
      <c r="H7487" s="5" t="s">
        <v>16055</v>
      </c>
    </row>
    <row r="7488" spans="1:8" x14ac:dyDescent="0.25">
      <c r="A7488" s="2" t="s">
        <v>7516</v>
      </c>
      <c r="B7488" s="3"/>
      <c r="C7488" s="3"/>
      <c r="D7488" s="3"/>
      <c r="E7488" s="5" t="str">
        <f>HYPERLINK("https://dpmzos25m8ivg.cloudfront.net/Documentos/631/65443748300/6316544374830005092023160548.pdf","https://dpmzos25m8ivg.cloudfront.net/Documentos/631/65443748300/6316544374830005092023160548.pdf")</f>
        <v>https://dpmzos25m8ivg.cloudfront.net/Documentos/631/65443748300/6316544374830005092023160548.pdf</v>
      </c>
      <c r="F7488" s="5" t="str">
        <f>HYPERLINK("https://dpmzos25m8ivg.cloudfront.net/Documentos/631/65443748300/6316544374830005092023160603.pdf","https://dpmzos25m8ivg.cloudfront.net/Documentos/631/65443748300/6316544374830005092023160603.pdf")</f>
        <v>https://dpmzos25m8ivg.cloudfront.net/Documentos/631/65443748300/6316544374830005092023160603.pdf</v>
      </c>
      <c r="G7488" s="5" t="str">
        <f>HYPERLINK("https://dpmzos25m8ivg.cloudfront.net/Documentos/631/65443748300/6316544374830005092023160614.pdf","https://dpmzos25m8ivg.cloudfront.net/Documentos/631/65443748300/6316544374830005092023160614.pdf")</f>
        <v>https://dpmzos25m8ivg.cloudfront.net/Documentos/631/65443748300/6316544374830005092023160614.pdf</v>
      </c>
      <c r="H7488" s="5" t="s">
        <v>16056</v>
      </c>
    </row>
    <row r="7489" spans="1:8" x14ac:dyDescent="0.25">
      <c r="A7489" s="2" t="s">
        <v>7517</v>
      </c>
      <c r="B7489" s="3"/>
      <c r="C7489" s="3"/>
      <c r="D7489" s="3"/>
      <c r="E7489" s="5" t="str">
        <f>HYPERLINK("https://dpmzos25m8ivg.cloudfront.net/Documentos/631/65463005320/6316546300532011092023161040.pdf","https://dpmzos25m8ivg.cloudfront.net/Documentos/631/65463005320/6316546300532011092023161040.pdf")</f>
        <v>https://dpmzos25m8ivg.cloudfront.net/Documentos/631/65463005320/6316546300532011092023161040.pdf</v>
      </c>
      <c r="F7489" s="5" t="str">
        <f>HYPERLINK("https://dpmzos25m8ivg.cloudfront.net/Documentos/631/65463005320/6316546300532011092023161109.pdf","https://dpmzos25m8ivg.cloudfront.net/Documentos/631/65463005320/6316546300532011092023161109.pdf")</f>
        <v>https://dpmzos25m8ivg.cloudfront.net/Documentos/631/65463005320/6316546300532011092023161109.pdf</v>
      </c>
      <c r="G7489" s="5" t="str">
        <f>HYPERLINK("https://dpmzos25m8ivg.cloudfront.net/Documentos/631/65463005320/6316546300532011092023163509.pdf","https://dpmzos25m8ivg.cloudfront.net/Documentos/631/65463005320/6316546300532011092023163509.pdf")</f>
        <v>https://dpmzos25m8ivg.cloudfront.net/Documentos/631/65463005320/6316546300532011092023163509.pdf</v>
      </c>
      <c r="H7489" s="5" t="s">
        <v>16057</v>
      </c>
    </row>
    <row r="7490" spans="1:8" x14ac:dyDescent="0.25">
      <c r="A7490" s="2" t="s">
        <v>7518</v>
      </c>
      <c r="B7490" s="3" t="s">
        <v>308</v>
      </c>
      <c r="C7490" s="3"/>
      <c r="D7490" s="3"/>
      <c r="E7490" s="5" t="str">
        <f>HYPERLINK("https://dpmzos25m8ivg.cloudfront.net/Documentos/631/65477995300/6316547799530009092023020531.pdf","https://dpmzos25m8ivg.cloudfront.net/Documentos/631/65477995300/6316547799530009092023020531.pdf")</f>
        <v>https://dpmzos25m8ivg.cloudfront.net/Documentos/631/65477995300/6316547799530009092023020531.pdf</v>
      </c>
      <c r="F7490" s="5" t="str">
        <f>HYPERLINK("https://dpmzos25m8ivg.cloudfront.net/Documentos/631/65477995300/6316547799530009092023020552.pdf","https://dpmzos25m8ivg.cloudfront.net/Documentos/631/65477995300/6316547799530009092023020552.pdf")</f>
        <v>https://dpmzos25m8ivg.cloudfront.net/Documentos/631/65477995300/6316547799530009092023020552.pdf</v>
      </c>
      <c r="G7490" s="5" t="str">
        <f>HYPERLINK("https://dpmzos25m8ivg.cloudfront.net/Documentos/631/65477995300/6316547799530009092023020619.pdf","https://dpmzos25m8ivg.cloudfront.net/Documentos/631/65477995300/6316547799530009092023020619.pdf")</f>
        <v>https://dpmzos25m8ivg.cloudfront.net/Documentos/631/65477995300/6316547799530009092023020619.pdf</v>
      </c>
      <c r="H7490" s="5" t="s">
        <v>16058</v>
      </c>
    </row>
    <row r="7491" spans="1:8" x14ac:dyDescent="0.25">
      <c r="A7491" s="2" t="s">
        <v>7519</v>
      </c>
      <c r="B7491" s="3" t="s">
        <v>308</v>
      </c>
      <c r="C7491" s="3"/>
      <c r="D7491" s="3"/>
      <c r="E7491" s="5" t="str">
        <f>HYPERLINK("https://dpmzos25m8ivg.cloudfront.net/Documentos/631/65481852187/6316548185218714092023120543.pdf","https://dpmzos25m8ivg.cloudfront.net/Documentos/631/65481852187/6316548185218714092023120543.pdf")</f>
        <v>https://dpmzos25m8ivg.cloudfront.net/Documentos/631/65481852187/6316548185218714092023120543.pdf</v>
      </c>
      <c r="F7491" s="5" t="str">
        <f>HYPERLINK("https://dpmzos25m8ivg.cloudfront.net/Documentos/631/65481852187/6316548185218714092023120601.pdf","https://dpmzos25m8ivg.cloudfront.net/Documentos/631/65481852187/6316548185218714092023120601.pdf")</f>
        <v>https://dpmzos25m8ivg.cloudfront.net/Documentos/631/65481852187/6316548185218714092023120601.pdf</v>
      </c>
      <c r="G7491" s="5" t="str">
        <f>HYPERLINK("https://dpmzos25m8ivg.cloudfront.net/Documentos/631/65481852187/6316548185218714092023120631.pdf","https://dpmzos25m8ivg.cloudfront.net/Documentos/631/65481852187/6316548185218714092023120631.pdf")</f>
        <v>https://dpmzos25m8ivg.cloudfront.net/Documentos/631/65481852187/6316548185218714092023120631.pdf</v>
      </c>
      <c r="H7491" s="5" t="s">
        <v>16059</v>
      </c>
    </row>
    <row r="7492" spans="1:8" x14ac:dyDescent="0.25">
      <c r="A7492" s="2" t="s">
        <v>7520</v>
      </c>
      <c r="B7492" s="3"/>
      <c r="C7492" s="3"/>
      <c r="D7492" s="3"/>
      <c r="E7492" s="5" t="str">
        <f>HYPERLINK("https://dpmzos25m8ivg.cloudfront.net/Documentos/631/65528310130/6316552831013006092023180636.jpg","https://dpmzos25m8ivg.cloudfront.net/Documentos/631/65528310130/6316552831013006092023180636.jpg")</f>
        <v>https://dpmzos25m8ivg.cloudfront.net/Documentos/631/65528310130/6316552831013006092023180636.jpg</v>
      </c>
      <c r="F7492" s="5" t="str">
        <f>HYPERLINK("https://dpmzos25m8ivg.cloudfront.net/Documentos/631/65528310130/6316552831013006092023180715.jpg","https://dpmzos25m8ivg.cloudfront.net/Documentos/631/65528310130/6316552831013006092023180715.jpg")</f>
        <v>https://dpmzos25m8ivg.cloudfront.net/Documentos/631/65528310130/6316552831013006092023180715.jpg</v>
      </c>
      <c r="G7492" s="5" t="str">
        <f>HYPERLINK("https://dpmzos25m8ivg.cloudfront.net/Documentos/631/65528310130/6316552831013006092023180757.jpg","https://dpmzos25m8ivg.cloudfront.net/Documentos/631/65528310130/6316552831013006092023180757.jpg")</f>
        <v>https://dpmzos25m8ivg.cloudfront.net/Documentos/631/65528310130/6316552831013006092023180757.jpg</v>
      </c>
      <c r="H7492" s="5" t="s">
        <v>16060</v>
      </c>
    </row>
    <row r="7493" spans="1:8" x14ac:dyDescent="0.25">
      <c r="A7493" s="2" t="s">
        <v>7521</v>
      </c>
      <c r="B7493" s="3"/>
      <c r="C7493" s="3"/>
      <c r="D7493" s="3"/>
      <c r="E7493" s="5" t="str">
        <f>HYPERLINK("https://dpmzos25m8ivg.cloudfront.net/Documentos/631/65534794020/6316553479402011092023123313.jpeg","https://dpmzos25m8ivg.cloudfront.net/Documentos/631/65534794020/6316553479402011092023123313.jpeg")</f>
        <v>https://dpmzos25m8ivg.cloudfront.net/Documentos/631/65534794020/6316553479402011092023123313.jpeg</v>
      </c>
      <c r="F7493" s="5" t="str">
        <f>HYPERLINK("https://dpmzos25m8ivg.cloudfront.net/Documentos/631/65534794020/6316553479402011092023123334.jpeg","https://dpmzos25m8ivg.cloudfront.net/Documentos/631/65534794020/6316553479402011092023123334.jpeg")</f>
        <v>https://dpmzos25m8ivg.cloudfront.net/Documentos/631/65534794020/6316553479402011092023123334.jpeg</v>
      </c>
      <c r="G7493" s="5" t="str">
        <f>HYPERLINK("https://dpmzos25m8ivg.cloudfront.net/Documentos/631/65534794020/6316553479402011092023123346.jpeg","https://dpmzos25m8ivg.cloudfront.net/Documentos/631/65534794020/6316553479402011092023123346.jpeg")</f>
        <v>https://dpmzos25m8ivg.cloudfront.net/Documentos/631/65534794020/6316553479402011092023123346.jpeg</v>
      </c>
      <c r="H7493" s="5" t="s">
        <v>16061</v>
      </c>
    </row>
    <row r="7494" spans="1:8" x14ac:dyDescent="0.25">
      <c r="A7494" s="2" t="s">
        <v>7522</v>
      </c>
      <c r="B7494" s="3"/>
      <c r="C7494" s="3"/>
      <c r="D7494" s="3"/>
      <c r="E7494" s="5" t="str">
        <f>HYPERLINK("https://dpmzos25m8ivg.cloudfront.net/Documentos/631/65599659453/6316559965945311092023162213.jpg","https://dpmzos25m8ivg.cloudfront.net/Documentos/631/65599659453/6316559965945311092023162213.jpg")</f>
        <v>https://dpmzos25m8ivg.cloudfront.net/Documentos/631/65599659453/6316559965945311092023162213.jpg</v>
      </c>
      <c r="F7494" s="5" t="str">
        <f>HYPERLINK("https://dpmzos25m8ivg.cloudfront.net/Documentos/631/65599659453/6316559965945311092023162254.jpg","https://dpmzos25m8ivg.cloudfront.net/Documentos/631/65599659453/6316559965945311092023162254.jpg")</f>
        <v>https://dpmzos25m8ivg.cloudfront.net/Documentos/631/65599659453/6316559965945311092023162254.jpg</v>
      </c>
      <c r="G7494" s="5" t="str">
        <f>HYPERLINK("https://dpmzos25m8ivg.cloudfront.net/Documentos/631/65599659453/6316559965945311092023162420.jpg","https://dpmzos25m8ivg.cloudfront.net/Documentos/631/65599659453/6316559965945311092023162420.jpg")</f>
        <v>https://dpmzos25m8ivg.cloudfront.net/Documentos/631/65599659453/6316559965945311092023162420.jpg</v>
      </c>
      <c r="H7494" s="5" t="s">
        <v>16062</v>
      </c>
    </row>
    <row r="7495" spans="1:8" x14ac:dyDescent="0.25">
      <c r="A7495" s="2" t="s">
        <v>7523</v>
      </c>
      <c r="B7495" s="3" t="s">
        <v>90</v>
      </c>
      <c r="C7495" s="3"/>
      <c r="D7495" s="3"/>
      <c r="E7495" s="5" t="str">
        <f>HYPERLINK("https://dpmzos25m8ivg.cloudfront.net/Documentos/631/65673441304/6316567344130405092023111557.pdf","https://dpmzos25m8ivg.cloudfront.net/Documentos/631/65673441304/6316567344130405092023111557.pdf")</f>
        <v>https://dpmzos25m8ivg.cloudfront.net/Documentos/631/65673441304/6316567344130405092023111557.pdf</v>
      </c>
      <c r="F7495" s="5" t="str">
        <f>HYPERLINK("https://dpmzos25m8ivg.cloudfront.net/Documentos/631/65673441304/6316567344130405092023111639.pdf","https://dpmzos25m8ivg.cloudfront.net/Documentos/631/65673441304/6316567344130405092023111639.pdf")</f>
        <v>https://dpmzos25m8ivg.cloudfront.net/Documentos/631/65673441304/6316567344130405092023111639.pdf</v>
      </c>
      <c r="G7495" s="5" t="str">
        <f>HYPERLINK("https://dpmzos25m8ivg.cloudfront.net/Documentos/631/65673441304/6316567344130405092023111658.pdf","https://dpmzos25m8ivg.cloudfront.net/Documentos/631/65673441304/6316567344130405092023111658.pdf")</f>
        <v>https://dpmzos25m8ivg.cloudfront.net/Documentos/631/65673441304/6316567344130405092023111658.pdf</v>
      </c>
      <c r="H7495" s="5" t="s">
        <v>16063</v>
      </c>
    </row>
    <row r="7496" spans="1:8" x14ac:dyDescent="0.25">
      <c r="A7496" s="2" t="s">
        <v>7524</v>
      </c>
      <c r="B7496" s="3" t="s">
        <v>308</v>
      </c>
      <c r="C7496" s="3"/>
      <c r="D7496" s="3"/>
      <c r="E7496" s="5" t="str">
        <f>HYPERLINK("https://dpmzos25m8ivg.cloudfront.net/Documentos/631/65745744634/6316574574463411092023130925.jpg","https://dpmzos25m8ivg.cloudfront.net/Documentos/631/65745744634/6316574574463411092023130925.jpg")</f>
        <v>https://dpmzos25m8ivg.cloudfront.net/Documentos/631/65745744634/6316574574463411092023130925.jpg</v>
      </c>
      <c r="F7496" s="5" t="str">
        <f>HYPERLINK("https://dpmzos25m8ivg.cloudfront.net/Documentos/631/65745744634/6316574574463411092023130941.jpg","https://dpmzos25m8ivg.cloudfront.net/Documentos/631/65745744634/6316574574463411092023130941.jpg")</f>
        <v>https://dpmzos25m8ivg.cloudfront.net/Documentos/631/65745744634/6316574574463411092023130941.jpg</v>
      </c>
      <c r="G7496" s="5" t="str">
        <f>HYPERLINK("https://dpmzos25m8ivg.cloudfront.net/Documentos/631/65745744634/6316574574463411092023131001.jpg","https://dpmzos25m8ivg.cloudfront.net/Documentos/631/65745744634/6316574574463411092023131001.jpg")</f>
        <v>https://dpmzos25m8ivg.cloudfront.net/Documentos/631/65745744634/6316574574463411092023131001.jpg</v>
      </c>
      <c r="H7496" s="5" t="s">
        <v>16064</v>
      </c>
    </row>
    <row r="7497" spans="1:8" x14ac:dyDescent="0.25">
      <c r="A7497" s="2" t="s">
        <v>7525</v>
      </c>
      <c r="B7497" s="3"/>
      <c r="C7497" s="3"/>
      <c r="D7497" s="3"/>
      <c r="E7497" s="5" t="str">
        <f>HYPERLINK("https://dpmzos25m8ivg.cloudfront.net/Documentos/631/65771796387/6316577179638709092023110106.pdf","https://dpmzos25m8ivg.cloudfront.net/Documentos/631/65771796387/6316577179638709092023110106.pdf")</f>
        <v>https://dpmzos25m8ivg.cloudfront.net/Documentos/631/65771796387/6316577179638709092023110106.pdf</v>
      </c>
      <c r="F7497" s="5" t="str">
        <f>HYPERLINK("https://dpmzos25m8ivg.cloudfront.net/Documentos/631/65771796387/6316577179638709092023110120.pdf","https://dpmzos25m8ivg.cloudfront.net/Documentos/631/65771796387/6316577179638709092023110120.pdf")</f>
        <v>https://dpmzos25m8ivg.cloudfront.net/Documentos/631/65771796387/6316577179638709092023110120.pdf</v>
      </c>
      <c r="G7497" s="5" t="str">
        <f>HYPERLINK("https://dpmzos25m8ivg.cloudfront.net/Documentos/631/65771796387/6316577179638709092023110141.pdf","https://dpmzos25m8ivg.cloudfront.net/Documentos/631/65771796387/6316577179638709092023110141.pdf")</f>
        <v>https://dpmzos25m8ivg.cloudfront.net/Documentos/631/65771796387/6316577179638709092023110141.pdf</v>
      </c>
      <c r="H7497" s="5" t="s">
        <v>16065</v>
      </c>
    </row>
    <row r="7498" spans="1:8" x14ac:dyDescent="0.25">
      <c r="A7498" s="2" t="s">
        <v>7526</v>
      </c>
      <c r="B7498" s="3" t="s">
        <v>308</v>
      </c>
      <c r="C7498" s="3"/>
      <c r="D7498" s="3"/>
      <c r="E7498" s="5" t="str">
        <f>HYPERLINK("https://dpmzos25m8ivg.cloudfront.net/Documentos/631/65904141149/6316590414114908092023171548.pdf","https://dpmzos25m8ivg.cloudfront.net/Documentos/631/65904141149/6316590414114908092023171548.pdf")</f>
        <v>https://dpmzos25m8ivg.cloudfront.net/Documentos/631/65904141149/6316590414114908092023171548.pdf</v>
      </c>
      <c r="F7498" s="5" t="str">
        <f>HYPERLINK("https://dpmzos25m8ivg.cloudfront.net/Documentos/631/65904141149/6316590414114908092023171558.pdf","https://dpmzos25m8ivg.cloudfront.net/Documentos/631/65904141149/6316590414114908092023171558.pdf")</f>
        <v>https://dpmzos25m8ivg.cloudfront.net/Documentos/631/65904141149/6316590414114908092023171558.pdf</v>
      </c>
      <c r="G7498" s="5" t="str">
        <f>HYPERLINK("https://dpmzos25m8ivg.cloudfront.net/Documentos/631/65904141149/6316590414114908092023180412.pdf","https://dpmzos25m8ivg.cloudfront.net/Documentos/631/65904141149/6316590414114908092023180412.pdf")</f>
        <v>https://dpmzos25m8ivg.cloudfront.net/Documentos/631/65904141149/6316590414114908092023180412.pdf</v>
      </c>
      <c r="H7498" s="5" t="s">
        <v>16066</v>
      </c>
    </row>
    <row r="7499" spans="1:8" x14ac:dyDescent="0.25">
      <c r="A7499" s="2" t="s">
        <v>7527</v>
      </c>
      <c r="B7499" s="3" t="s">
        <v>23</v>
      </c>
      <c r="C7499" s="3"/>
      <c r="D7499" s="3"/>
      <c r="E7499" s="5" t="str">
        <f>HYPERLINK("https://dpmzos25m8ivg.cloudfront.net/Documentos/631/66001005168/6316600100516811092023141525.pdf","https://dpmzos25m8ivg.cloudfront.net/Documentos/631/66001005168/6316600100516811092023141525.pdf")</f>
        <v>https://dpmzos25m8ivg.cloudfront.net/Documentos/631/66001005168/6316600100516811092023141525.pdf</v>
      </c>
      <c r="F7499" s="5" t="str">
        <f>HYPERLINK("https://dpmzos25m8ivg.cloudfront.net/Documentos/631/66001005168/6316600100516811092023142728.pdf","https://dpmzos25m8ivg.cloudfront.net/Documentos/631/66001005168/6316600100516811092023142728.pdf")</f>
        <v>https://dpmzos25m8ivg.cloudfront.net/Documentos/631/66001005168/6316600100516811092023142728.pdf</v>
      </c>
      <c r="G7499" s="5" t="str">
        <f>HYPERLINK("https://dpmzos25m8ivg.cloudfront.net/Documentos/631/66001005168/6316600100516811092023142750.pdf","https://dpmzos25m8ivg.cloudfront.net/Documentos/631/66001005168/6316600100516811092023142750.pdf")</f>
        <v>https://dpmzos25m8ivg.cloudfront.net/Documentos/631/66001005168/6316600100516811092023142750.pdf</v>
      </c>
      <c r="H7499" s="5" t="s">
        <v>16067</v>
      </c>
    </row>
    <row r="7500" spans="1:8" x14ac:dyDescent="0.25">
      <c r="A7500" s="2" t="s">
        <v>7528</v>
      </c>
      <c r="B7500" s="3"/>
      <c r="C7500" s="3"/>
      <c r="D7500" s="3"/>
      <c r="E7500" s="5" t="str">
        <f>HYPERLINK("https://dpmzos25m8ivg.cloudfront.net/Documentos/631/66071291291/6316607129129113092023145056.pdf","https://dpmzos25m8ivg.cloudfront.net/Documentos/631/66071291291/6316607129129113092023145056.pdf")</f>
        <v>https://dpmzos25m8ivg.cloudfront.net/Documentos/631/66071291291/6316607129129113092023145056.pdf</v>
      </c>
      <c r="F7500" s="5" t="str">
        <f>HYPERLINK("https://dpmzos25m8ivg.cloudfront.net/Documentos/631/66071291291/6316607129129113092023145112.pdf","https://dpmzos25m8ivg.cloudfront.net/Documentos/631/66071291291/6316607129129113092023145112.pdf")</f>
        <v>https://dpmzos25m8ivg.cloudfront.net/Documentos/631/66071291291/6316607129129113092023145112.pdf</v>
      </c>
      <c r="G7500" s="5" t="str">
        <f>HYPERLINK("https://dpmzos25m8ivg.cloudfront.net/Documentos/631/66071291291/6316607129129113092023145125.pdf","https://dpmzos25m8ivg.cloudfront.net/Documentos/631/66071291291/6316607129129113092023145125.pdf")</f>
        <v>https://dpmzos25m8ivg.cloudfront.net/Documentos/631/66071291291/6316607129129113092023145125.pdf</v>
      </c>
      <c r="H7500" s="5" t="s">
        <v>16068</v>
      </c>
    </row>
    <row r="7501" spans="1:8" x14ac:dyDescent="0.25">
      <c r="A7501" s="2" t="s">
        <v>7529</v>
      </c>
      <c r="B7501" s="3"/>
      <c r="C7501" s="3"/>
      <c r="D7501" s="3"/>
      <c r="E7501" s="5" t="str">
        <f>HYPERLINK("https://dpmzos25m8ivg.cloudfront.net/Documentos/631/66078075268/6316607807526814092023162515.pdf","https://dpmzos25m8ivg.cloudfront.net/Documentos/631/66078075268/6316607807526814092023162515.pdf")</f>
        <v>https://dpmzos25m8ivg.cloudfront.net/Documentos/631/66078075268/6316607807526814092023162515.pdf</v>
      </c>
      <c r="F7501" s="5" t="str">
        <f>HYPERLINK("https://dpmzos25m8ivg.cloudfront.net/Documentos/631/66078075268/6316607807526814092023162527.pdf","https://dpmzos25m8ivg.cloudfront.net/Documentos/631/66078075268/6316607807526814092023162527.pdf")</f>
        <v>https://dpmzos25m8ivg.cloudfront.net/Documentos/631/66078075268/6316607807526814092023162527.pdf</v>
      </c>
      <c r="G7501" s="5" t="str">
        <f>HYPERLINK("https://dpmzos25m8ivg.cloudfront.net/Documentos/631/66078075268/6316607807526814092023162540.pdf","https://dpmzos25m8ivg.cloudfront.net/Documentos/631/66078075268/6316607807526814092023162540.pdf")</f>
        <v>https://dpmzos25m8ivg.cloudfront.net/Documentos/631/66078075268/6316607807526814092023162540.pdf</v>
      </c>
      <c r="H7501" s="5" t="s">
        <v>16069</v>
      </c>
    </row>
    <row r="7502" spans="1:8" x14ac:dyDescent="0.25">
      <c r="A7502" s="2" t="s">
        <v>7530</v>
      </c>
      <c r="B7502" s="3"/>
      <c r="C7502" s="3"/>
      <c r="D7502" s="3"/>
      <c r="E7502" s="5" t="str">
        <f>HYPERLINK("https://dpmzos25m8ivg.cloudfront.net/Documentos/631/66130107404/6316613010740411092023150501.pdf","https://dpmzos25m8ivg.cloudfront.net/Documentos/631/66130107404/6316613010740411092023150501.pdf")</f>
        <v>https://dpmzos25m8ivg.cloudfront.net/Documentos/631/66130107404/6316613010740411092023150501.pdf</v>
      </c>
      <c r="F7502" s="5" t="str">
        <f>HYPERLINK("https://dpmzos25m8ivg.cloudfront.net/Documentos/631/66130107404/6316613010740411092023150518.pdf","https://dpmzos25m8ivg.cloudfront.net/Documentos/631/66130107404/6316613010740411092023150518.pdf")</f>
        <v>https://dpmzos25m8ivg.cloudfront.net/Documentos/631/66130107404/6316613010740411092023150518.pdf</v>
      </c>
      <c r="G7502" s="5" t="str">
        <f>HYPERLINK("https://dpmzos25m8ivg.cloudfront.net/Documentos/631/66130107404/6316613010740411092023150531.pdf","https://dpmzos25m8ivg.cloudfront.net/Documentos/631/66130107404/6316613010740411092023150531.pdf")</f>
        <v>https://dpmzos25m8ivg.cloudfront.net/Documentos/631/66130107404/6316613010740411092023150531.pdf</v>
      </c>
      <c r="H7502" s="5" t="s">
        <v>16070</v>
      </c>
    </row>
    <row r="7503" spans="1:8" x14ac:dyDescent="0.25">
      <c r="A7503" s="2" t="s">
        <v>7531</v>
      </c>
      <c r="B7503" s="3"/>
      <c r="C7503" s="3"/>
      <c r="D7503" s="3"/>
      <c r="E7503" s="5" t="str">
        <f>HYPERLINK("https://dpmzos25m8ivg.cloudfront.net/Documentos/631/66193664734/6316619366473410092023180921.pdf","https://dpmzos25m8ivg.cloudfront.net/Documentos/631/66193664734/6316619366473410092023180921.pdf")</f>
        <v>https://dpmzos25m8ivg.cloudfront.net/Documentos/631/66193664734/6316619366473410092023180921.pdf</v>
      </c>
      <c r="F7503" s="5" t="str">
        <f>HYPERLINK("https://dpmzos25m8ivg.cloudfront.net/Documentos/631/66193664734/6316619366473410092023180936.pdf","https://dpmzos25m8ivg.cloudfront.net/Documentos/631/66193664734/6316619366473410092023180936.pdf")</f>
        <v>https://dpmzos25m8ivg.cloudfront.net/Documentos/631/66193664734/6316619366473410092023180936.pdf</v>
      </c>
      <c r="G7503" s="5" t="str">
        <f>HYPERLINK("https://dpmzos25m8ivg.cloudfront.net/Documentos/631/66193664734/6316619366473410092023180947.pdf","https://dpmzos25m8ivg.cloudfront.net/Documentos/631/66193664734/6316619366473410092023180947.pdf")</f>
        <v>https://dpmzos25m8ivg.cloudfront.net/Documentos/631/66193664734/6316619366473410092023180947.pdf</v>
      </c>
      <c r="H7503" s="5" t="s">
        <v>16071</v>
      </c>
    </row>
    <row r="7504" spans="1:8" x14ac:dyDescent="0.25">
      <c r="A7504" s="2" t="s">
        <v>7532</v>
      </c>
      <c r="B7504" s="3"/>
      <c r="C7504" s="3"/>
      <c r="D7504" s="3"/>
      <c r="E7504" s="5" t="str">
        <f>HYPERLINK("https://dpmzos25m8ivg.cloudfront.net/Documentos/631/66296218249/6316629621824910092023214023.jpg","https://dpmzos25m8ivg.cloudfront.net/Documentos/631/66296218249/6316629621824910092023214023.jpg")</f>
        <v>https://dpmzos25m8ivg.cloudfront.net/Documentos/631/66296218249/6316629621824910092023214023.jpg</v>
      </c>
      <c r="F7504" s="5" t="str">
        <f>HYPERLINK("https://dpmzos25m8ivg.cloudfront.net/Documentos/631/66296218249/6316629621824910092023214054.jpg","https://dpmzos25m8ivg.cloudfront.net/Documentos/631/66296218249/6316629621824910092023214054.jpg")</f>
        <v>https://dpmzos25m8ivg.cloudfront.net/Documentos/631/66296218249/6316629621824910092023214054.jpg</v>
      </c>
      <c r="G7504" s="5" t="str">
        <f>HYPERLINK("https://dpmzos25m8ivg.cloudfront.net/Documentos/631/66296218249/6316629621824910092023214109.jpg","https://dpmzos25m8ivg.cloudfront.net/Documentos/631/66296218249/6316629621824910092023214109.jpg")</f>
        <v>https://dpmzos25m8ivg.cloudfront.net/Documentos/631/66296218249/6316629621824910092023214109.jpg</v>
      </c>
      <c r="H7504" s="5" t="s">
        <v>16072</v>
      </c>
    </row>
    <row r="7505" spans="1:8" x14ac:dyDescent="0.25">
      <c r="A7505" s="2" t="s">
        <v>7533</v>
      </c>
      <c r="B7505" s="3"/>
      <c r="C7505" s="3"/>
      <c r="D7505" s="3"/>
      <c r="E7505" s="5" t="str">
        <f>HYPERLINK("https://dpmzos25m8ivg.cloudfront.net/Documentos/631/66297079404/6316629707940411092023144818.pdf","https://dpmzos25m8ivg.cloudfront.net/Documentos/631/66297079404/6316629707940411092023144818.pdf")</f>
        <v>https://dpmzos25m8ivg.cloudfront.net/Documentos/631/66297079404/6316629707940411092023144818.pdf</v>
      </c>
      <c r="F7505" s="5" t="str">
        <f>HYPERLINK("https://dpmzos25m8ivg.cloudfront.net/Documentos/631/66297079404/6316629707940411092023144825.pdf","https://dpmzos25m8ivg.cloudfront.net/Documentos/631/66297079404/6316629707940411092023144825.pdf")</f>
        <v>https://dpmzos25m8ivg.cloudfront.net/Documentos/631/66297079404/6316629707940411092023144825.pdf</v>
      </c>
      <c r="G7505" s="5" t="str">
        <f>HYPERLINK("https://dpmzos25m8ivg.cloudfront.net/Documentos/631/66297079404/6316629707940411092023144833.pdf","https://dpmzos25m8ivg.cloudfront.net/Documentos/631/66297079404/6316629707940411092023144833.pdf")</f>
        <v>https://dpmzos25m8ivg.cloudfront.net/Documentos/631/66297079404/6316629707940411092023144833.pdf</v>
      </c>
      <c r="H7505" s="5" t="s">
        <v>16073</v>
      </c>
    </row>
    <row r="7506" spans="1:8" x14ac:dyDescent="0.25">
      <c r="A7506" s="2" t="s">
        <v>7534</v>
      </c>
      <c r="B7506" s="3"/>
      <c r="C7506" s="3"/>
      <c r="D7506" s="3"/>
      <c r="E7506" s="5" t="str">
        <f>HYPERLINK("https://dpmzos25m8ivg.cloudfront.net/Documentos/631/66299284315/6316629928431514092023160756.pdf","https://dpmzos25m8ivg.cloudfront.net/Documentos/631/66299284315/6316629928431514092023160756.pdf")</f>
        <v>https://dpmzos25m8ivg.cloudfront.net/Documentos/631/66299284315/6316629928431514092023160756.pdf</v>
      </c>
      <c r="F7506" s="5" t="str">
        <f>HYPERLINK("https://dpmzos25m8ivg.cloudfront.net/Documentos/631/66299284315/6316629928431514092023160812.pdf","https://dpmzos25m8ivg.cloudfront.net/Documentos/631/66299284315/6316629928431514092023160812.pdf")</f>
        <v>https://dpmzos25m8ivg.cloudfront.net/Documentos/631/66299284315/6316629928431514092023160812.pdf</v>
      </c>
      <c r="G7506" s="5" t="str">
        <f>HYPERLINK("https://dpmzos25m8ivg.cloudfront.net/Documentos/631/66299284315/6316629928431514092023160828.pdf","https://dpmzos25m8ivg.cloudfront.net/Documentos/631/66299284315/6316629928431514092023160828.pdf")</f>
        <v>https://dpmzos25m8ivg.cloudfront.net/Documentos/631/66299284315/6316629928431514092023160828.pdf</v>
      </c>
      <c r="H7506" s="5" t="s">
        <v>16074</v>
      </c>
    </row>
    <row r="7507" spans="1:8" x14ac:dyDescent="0.25">
      <c r="A7507" s="2" t="s">
        <v>7535</v>
      </c>
      <c r="B7507" s="3"/>
      <c r="C7507" s="3"/>
      <c r="D7507" s="3"/>
      <c r="E7507" s="5" t="str">
        <f>HYPERLINK("https://dpmzos25m8ivg.cloudfront.net/Documentos/631/66308208868/6316630820886805092023220353.pdf","https://dpmzos25m8ivg.cloudfront.net/Documentos/631/66308208868/6316630820886805092023220353.pdf")</f>
        <v>https://dpmzos25m8ivg.cloudfront.net/Documentos/631/66308208868/6316630820886805092023220353.pdf</v>
      </c>
      <c r="F7507" s="5" t="str">
        <f>HYPERLINK("https://dpmzos25m8ivg.cloudfront.net/Documentos/631/66308208868/6316630820886805092023220405.pdf","https://dpmzos25m8ivg.cloudfront.net/Documentos/631/66308208868/6316630820886805092023220405.pdf")</f>
        <v>https://dpmzos25m8ivg.cloudfront.net/Documentos/631/66308208868/6316630820886805092023220405.pdf</v>
      </c>
      <c r="G7507" s="5" t="str">
        <f>HYPERLINK("https://dpmzos25m8ivg.cloudfront.net/Documentos/631/66308208868/6316630820886805092023220416.pdf","https://dpmzos25m8ivg.cloudfront.net/Documentos/631/66308208868/6316630820886805092023220416.pdf")</f>
        <v>https://dpmzos25m8ivg.cloudfront.net/Documentos/631/66308208868/6316630820886805092023220416.pdf</v>
      </c>
      <c r="H7507" s="5" t="s">
        <v>16075</v>
      </c>
    </row>
    <row r="7508" spans="1:8" x14ac:dyDescent="0.25">
      <c r="A7508" s="2" t="s">
        <v>7536</v>
      </c>
      <c r="B7508" s="3"/>
      <c r="C7508" s="3"/>
      <c r="D7508" s="3"/>
      <c r="E7508" s="5" t="str">
        <f>HYPERLINK("https://dpmzos25m8ivg.cloudfront.net/Documentos/631/66392381520/6316639238152011092023163756.jpg","https://dpmzos25m8ivg.cloudfront.net/Documentos/631/66392381520/6316639238152011092023163756.jpg")</f>
        <v>https://dpmzos25m8ivg.cloudfront.net/Documentos/631/66392381520/6316639238152011092023163756.jpg</v>
      </c>
      <c r="F7508" s="5" t="str">
        <f>HYPERLINK("https://dpmzos25m8ivg.cloudfront.net/Documentos/631/66392381520/6316639238152011092023163806.jpg","https://dpmzos25m8ivg.cloudfront.net/Documentos/631/66392381520/6316639238152011092023163806.jpg")</f>
        <v>https://dpmzos25m8ivg.cloudfront.net/Documentos/631/66392381520/6316639238152011092023163806.jpg</v>
      </c>
      <c r="G7508" s="5" t="str">
        <f>HYPERLINK("https://dpmzos25m8ivg.cloudfront.net/Documentos/631/66392381520/6316639238152011092023163816.jpg","https://dpmzos25m8ivg.cloudfront.net/Documentos/631/66392381520/6316639238152011092023163816.jpg")</f>
        <v>https://dpmzos25m8ivg.cloudfront.net/Documentos/631/66392381520/6316639238152011092023163816.jpg</v>
      </c>
      <c r="H7508" s="5" t="s">
        <v>16076</v>
      </c>
    </row>
    <row r="7509" spans="1:8" x14ac:dyDescent="0.25">
      <c r="A7509" s="2" t="s">
        <v>7537</v>
      </c>
      <c r="B7509" s="3"/>
      <c r="C7509" s="3"/>
      <c r="D7509" s="3"/>
      <c r="E7509" s="5" t="str">
        <f>HYPERLINK("https://dpmzos25m8ivg.cloudfront.net/Documentos/631/66639352168/6316663935216811092023150116.pdf","https://dpmzos25m8ivg.cloudfront.net/Documentos/631/66639352168/6316663935216811092023150116.pdf")</f>
        <v>https://dpmzos25m8ivg.cloudfront.net/Documentos/631/66639352168/6316663935216811092023150116.pdf</v>
      </c>
      <c r="F7509" s="5" t="str">
        <f>HYPERLINK("https://dpmzos25m8ivg.cloudfront.net/Documentos/631/66639352168/6316663935216811092023150230.pdf","https://dpmzos25m8ivg.cloudfront.net/Documentos/631/66639352168/6316663935216811092023150230.pdf")</f>
        <v>https://dpmzos25m8ivg.cloudfront.net/Documentos/631/66639352168/6316663935216811092023150230.pdf</v>
      </c>
      <c r="G7509" s="5" t="str">
        <f>HYPERLINK("https://dpmzos25m8ivg.cloudfront.net/Documentos/631/66639352168/6316663935216811092023150312.pdf","https://dpmzos25m8ivg.cloudfront.net/Documentos/631/66639352168/6316663935216811092023150312.pdf")</f>
        <v>https://dpmzos25m8ivg.cloudfront.net/Documentos/631/66639352168/6316663935216811092023150312.pdf</v>
      </c>
      <c r="H7509" s="5" t="s">
        <v>16077</v>
      </c>
    </row>
    <row r="7510" spans="1:8" x14ac:dyDescent="0.25">
      <c r="A7510" s="2" t="s">
        <v>7538</v>
      </c>
      <c r="B7510" s="3"/>
      <c r="C7510" s="3"/>
      <c r="D7510" s="3"/>
      <c r="E7510" s="5" t="str">
        <f>HYPERLINK("https://dpmzos25m8ivg.cloudfront.net/Documentos/631/66685540320/6316668554032005092023201925.pdf","https://dpmzos25m8ivg.cloudfront.net/Documentos/631/66685540320/6316668554032005092023201925.pdf")</f>
        <v>https://dpmzos25m8ivg.cloudfront.net/Documentos/631/66685540320/6316668554032005092023201925.pdf</v>
      </c>
      <c r="F7510" s="5" t="str">
        <f>HYPERLINK("https://dpmzos25m8ivg.cloudfront.net/Documentos/631/66685540320/6316668554032005092023201944.pdf","https://dpmzos25m8ivg.cloudfront.net/Documentos/631/66685540320/6316668554032005092023201944.pdf")</f>
        <v>https://dpmzos25m8ivg.cloudfront.net/Documentos/631/66685540320/6316668554032005092023201944.pdf</v>
      </c>
      <c r="G7510" s="5" t="str">
        <f>HYPERLINK("https://dpmzos25m8ivg.cloudfront.net/Documentos/631/66685540320/6316668554032005092023202013.pdf","https://dpmzos25m8ivg.cloudfront.net/Documentos/631/66685540320/6316668554032005092023202013.pdf")</f>
        <v>https://dpmzos25m8ivg.cloudfront.net/Documentos/631/66685540320/6316668554032005092023202013.pdf</v>
      </c>
      <c r="H7510" s="5" t="s">
        <v>16078</v>
      </c>
    </row>
    <row r="7511" spans="1:8" x14ac:dyDescent="0.25">
      <c r="A7511" s="2" t="s">
        <v>7539</v>
      </c>
      <c r="B7511" s="3"/>
      <c r="C7511" s="3"/>
      <c r="D7511" s="3"/>
      <c r="E7511" s="5" t="str">
        <f>HYPERLINK("https://dpmzos25m8ivg.cloudfront.net/Documentos/631/66743192287/6316674319228705092023223746.pdf","https://dpmzos25m8ivg.cloudfront.net/Documentos/631/66743192287/6316674319228705092023223746.pdf")</f>
        <v>https://dpmzos25m8ivg.cloudfront.net/Documentos/631/66743192287/6316674319228705092023223746.pdf</v>
      </c>
      <c r="F7511" s="5" t="str">
        <f>HYPERLINK("https://dpmzos25m8ivg.cloudfront.net/Documentos/631/66743192287/6316674319228705092023223804.pdf","https://dpmzos25m8ivg.cloudfront.net/Documentos/631/66743192287/6316674319228705092023223804.pdf")</f>
        <v>https://dpmzos25m8ivg.cloudfront.net/Documentos/631/66743192287/6316674319228705092023223804.pdf</v>
      </c>
      <c r="G7511" s="5" t="str">
        <f>HYPERLINK("https://dpmzos25m8ivg.cloudfront.net/Documentos/631/66743192287/6316674319228705092023223836.pdf","https://dpmzos25m8ivg.cloudfront.net/Documentos/631/66743192287/6316674319228705092023223836.pdf")</f>
        <v>https://dpmzos25m8ivg.cloudfront.net/Documentos/631/66743192287/6316674319228705092023223836.pdf</v>
      </c>
      <c r="H7511" s="5" t="s">
        <v>16079</v>
      </c>
    </row>
    <row r="7512" spans="1:8" x14ac:dyDescent="0.25">
      <c r="A7512" s="2" t="s">
        <v>7540</v>
      </c>
      <c r="B7512" s="3"/>
      <c r="C7512" s="3"/>
      <c r="D7512" s="3"/>
      <c r="E7512" s="5" t="str">
        <f>HYPERLINK("https://dpmzos25m8ivg.cloudfront.net/Documentos/631/66763649304/6316676364930411092023163650.jpeg","https://dpmzos25m8ivg.cloudfront.net/Documentos/631/66763649304/6316676364930411092023163650.jpeg")</f>
        <v>https://dpmzos25m8ivg.cloudfront.net/Documentos/631/66763649304/6316676364930411092023163650.jpeg</v>
      </c>
      <c r="F7512" s="5" t="str">
        <f>HYPERLINK("https://dpmzos25m8ivg.cloudfront.net/Documentos/631/66763649304/6316676364930411092023163708.jpeg","https://dpmzos25m8ivg.cloudfront.net/Documentos/631/66763649304/6316676364930411092023163708.jpeg")</f>
        <v>https://dpmzos25m8ivg.cloudfront.net/Documentos/631/66763649304/6316676364930411092023163708.jpeg</v>
      </c>
      <c r="G7512" s="5" t="str">
        <f>HYPERLINK("https://dpmzos25m8ivg.cloudfront.net/Documentos/631/66763649304/6316676364930411092023163726.jpeg","https://dpmzos25m8ivg.cloudfront.net/Documentos/631/66763649304/6316676364930411092023163726.jpeg")</f>
        <v>https://dpmzos25m8ivg.cloudfront.net/Documentos/631/66763649304/6316676364930411092023163726.jpeg</v>
      </c>
      <c r="H7512" s="5" t="s">
        <v>16080</v>
      </c>
    </row>
    <row r="7513" spans="1:8" x14ac:dyDescent="0.25">
      <c r="A7513" s="2" t="s">
        <v>7541</v>
      </c>
      <c r="B7513" s="3"/>
      <c r="C7513" s="3"/>
      <c r="D7513" s="3"/>
      <c r="E7513" s="5" t="str">
        <f>HYPERLINK("https://dpmzos25m8ivg.cloudfront.net/Documentos/631/66910404572/6316691040457205092023181720.pdf","https://dpmzos25m8ivg.cloudfront.net/Documentos/631/66910404572/6316691040457205092023181720.pdf")</f>
        <v>https://dpmzos25m8ivg.cloudfront.net/Documentos/631/66910404572/6316691040457205092023181720.pdf</v>
      </c>
      <c r="F7513" s="5" t="str">
        <f>HYPERLINK("https://dpmzos25m8ivg.cloudfront.net/Documentos/631/66910404572/6316691040457205092023181746.pdf","https://dpmzos25m8ivg.cloudfront.net/Documentos/631/66910404572/6316691040457205092023181746.pdf")</f>
        <v>https://dpmzos25m8ivg.cloudfront.net/Documentos/631/66910404572/6316691040457205092023181746.pdf</v>
      </c>
      <c r="G7513" s="5" t="str">
        <f>HYPERLINK("https://dpmzos25m8ivg.cloudfront.net/Documentos/631/66910404572/6316691040457205092023181806.pdf","https://dpmzos25m8ivg.cloudfront.net/Documentos/631/66910404572/6316691040457205092023181806.pdf")</f>
        <v>https://dpmzos25m8ivg.cloudfront.net/Documentos/631/66910404572/6316691040457205092023181806.pdf</v>
      </c>
      <c r="H7513" s="5" t="s">
        <v>16081</v>
      </c>
    </row>
    <row r="7514" spans="1:8" x14ac:dyDescent="0.25">
      <c r="A7514" s="2" t="s">
        <v>7542</v>
      </c>
      <c r="B7514" s="3"/>
      <c r="C7514" s="3"/>
      <c r="D7514" s="3"/>
      <c r="E7514" s="5" t="str">
        <f>HYPERLINK("https://dpmzos25m8ivg.cloudfront.net/Documentos/631/66944813220/6316694481322005092023204650.pdf","https://dpmzos25m8ivg.cloudfront.net/Documentos/631/66944813220/6316694481322005092023204650.pdf")</f>
        <v>https://dpmzos25m8ivg.cloudfront.net/Documentos/631/66944813220/6316694481322005092023204650.pdf</v>
      </c>
      <c r="F7514" s="5" t="str">
        <f>HYPERLINK("https://dpmzos25m8ivg.cloudfront.net/Documentos/631/66944813220/6316694481322005092023204718.pdf","https://dpmzos25m8ivg.cloudfront.net/Documentos/631/66944813220/6316694481322005092023204718.pdf")</f>
        <v>https://dpmzos25m8ivg.cloudfront.net/Documentos/631/66944813220/6316694481322005092023204718.pdf</v>
      </c>
      <c r="G7514" s="5" t="str">
        <f>HYPERLINK("https://dpmzos25m8ivg.cloudfront.net/Documentos/631/66944813220/6316694481322005092023204745.pdf","https://dpmzos25m8ivg.cloudfront.net/Documentos/631/66944813220/6316694481322005092023204745.pdf")</f>
        <v>https://dpmzos25m8ivg.cloudfront.net/Documentos/631/66944813220/6316694481322005092023204745.pdf</v>
      </c>
      <c r="H7514" s="5" t="s">
        <v>16082</v>
      </c>
    </row>
    <row r="7515" spans="1:8" x14ac:dyDescent="0.25">
      <c r="A7515" s="2" t="s">
        <v>7543</v>
      </c>
      <c r="B7515" s="3"/>
      <c r="C7515" s="3"/>
      <c r="D7515" s="3"/>
      <c r="E7515" s="5" t="str">
        <f>HYPERLINK("https://dpmzos25m8ivg.cloudfront.net/Documentos/631/66994640604/6316699464060414092023113427.jpeg","https://dpmzos25m8ivg.cloudfront.net/Documentos/631/66994640604/6316699464060414092023113427.jpeg")</f>
        <v>https://dpmzos25m8ivg.cloudfront.net/Documentos/631/66994640604/6316699464060414092023113427.jpeg</v>
      </c>
      <c r="F7515" s="5" t="str">
        <f>HYPERLINK("https://dpmzos25m8ivg.cloudfront.net/Documentos/631/66994640604/6316699464060414092023113440.jpeg","https://dpmzos25m8ivg.cloudfront.net/Documentos/631/66994640604/6316699464060414092023113440.jpeg")</f>
        <v>https://dpmzos25m8ivg.cloudfront.net/Documentos/631/66994640604/6316699464060414092023113440.jpeg</v>
      </c>
      <c r="G7515" s="5" t="str">
        <f>HYPERLINK("https://dpmzos25m8ivg.cloudfront.net/Documentos/631/66994640604/6316699464060414092023113812.jpeg","https://dpmzos25m8ivg.cloudfront.net/Documentos/631/66994640604/6316699464060414092023113812.jpeg")</f>
        <v>https://dpmzos25m8ivg.cloudfront.net/Documentos/631/66994640604/6316699464060414092023113812.jpeg</v>
      </c>
      <c r="H7515" s="5" t="s">
        <v>16083</v>
      </c>
    </row>
    <row r="7516" spans="1:8" x14ac:dyDescent="0.25">
      <c r="A7516" s="2" t="s">
        <v>7544</v>
      </c>
      <c r="B7516" s="3"/>
      <c r="C7516" s="3"/>
      <c r="D7516" s="3"/>
      <c r="E7516" s="5" t="str">
        <f>HYPERLINK("https://dpmzos25m8ivg.cloudfront.net/Documentos/631/67019307434/6316701930743410092023193520.pdf","https://dpmzos25m8ivg.cloudfront.net/Documentos/631/67019307434/6316701930743410092023193520.pdf")</f>
        <v>https://dpmzos25m8ivg.cloudfront.net/Documentos/631/67019307434/6316701930743410092023193520.pdf</v>
      </c>
      <c r="F7516" s="5" t="str">
        <f>HYPERLINK("https://dpmzos25m8ivg.cloudfront.net/Documentos/631/67019307434/6316701930743410092023193540.pdf","https://dpmzos25m8ivg.cloudfront.net/Documentos/631/67019307434/6316701930743410092023193540.pdf")</f>
        <v>https://dpmzos25m8ivg.cloudfront.net/Documentos/631/67019307434/6316701930743410092023193540.pdf</v>
      </c>
      <c r="G7516" s="5" t="str">
        <f>HYPERLINK("https://dpmzos25m8ivg.cloudfront.net/Documentos/631/67019307434/6316701930743410092023193612.pdf","https://dpmzos25m8ivg.cloudfront.net/Documentos/631/67019307434/6316701930743410092023193612.pdf")</f>
        <v>https://dpmzos25m8ivg.cloudfront.net/Documentos/631/67019307434/6316701930743410092023193612.pdf</v>
      </c>
      <c r="H7516" s="5" t="s">
        <v>16084</v>
      </c>
    </row>
    <row r="7517" spans="1:8" x14ac:dyDescent="0.25">
      <c r="A7517" s="2" t="s">
        <v>7545</v>
      </c>
      <c r="B7517" s="3"/>
      <c r="C7517" s="3"/>
      <c r="D7517" s="3"/>
      <c r="E7517" s="5" t="str">
        <f>HYPERLINK("https://dpmzos25m8ivg.cloudfront.net/Documentos/631/67023606220/6316702360622005092023132927.pdf","https://dpmzos25m8ivg.cloudfront.net/Documentos/631/67023606220/6316702360622005092023132927.pdf")</f>
        <v>https://dpmzos25m8ivg.cloudfront.net/Documentos/631/67023606220/6316702360622005092023132927.pdf</v>
      </c>
      <c r="F7517" s="5" t="str">
        <f>HYPERLINK("https://dpmzos25m8ivg.cloudfront.net/Documentos/631/67023606220/6316702360622005092023132945.pdf","https://dpmzos25m8ivg.cloudfront.net/Documentos/631/67023606220/6316702360622005092023132945.pdf")</f>
        <v>https://dpmzos25m8ivg.cloudfront.net/Documentos/631/67023606220/6316702360622005092023132945.pdf</v>
      </c>
      <c r="G7517" s="5" t="str">
        <f>HYPERLINK("https://dpmzos25m8ivg.cloudfront.net/Documentos/631/67023606220/6316702360622005092023133007.pdf","https://dpmzos25m8ivg.cloudfront.net/Documentos/631/67023606220/6316702360622005092023133007.pdf")</f>
        <v>https://dpmzos25m8ivg.cloudfront.net/Documentos/631/67023606220/6316702360622005092023133007.pdf</v>
      </c>
      <c r="H7517" s="5" t="s">
        <v>16085</v>
      </c>
    </row>
    <row r="7518" spans="1:8" x14ac:dyDescent="0.25">
      <c r="A7518" s="2" t="s">
        <v>7546</v>
      </c>
      <c r="B7518" s="3"/>
      <c r="C7518" s="3"/>
      <c r="D7518" s="3"/>
      <c r="E7518" s="5" t="str">
        <f>HYPERLINK("https://dpmzos25m8ivg.cloudfront.net/Documentos/631/67118321591/6316711832159113092023231652.pdf","https://dpmzos25m8ivg.cloudfront.net/Documentos/631/67118321591/6316711832159113092023231652.pdf")</f>
        <v>https://dpmzos25m8ivg.cloudfront.net/Documentos/631/67118321591/6316711832159113092023231652.pdf</v>
      </c>
      <c r="F7518" s="5" t="str">
        <f>HYPERLINK("https://dpmzos25m8ivg.cloudfront.net/Documentos/631/67118321591/6316711832159113092023231715.pdf","https://dpmzos25m8ivg.cloudfront.net/Documentos/631/67118321591/6316711832159113092023231715.pdf")</f>
        <v>https://dpmzos25m8ivg.cloudfront.net/Documentos/631/67118321591/6316711832159113092023231715.pdf</v>
      </c>
      <c r="G7518" s="5" t="str">
        <f>HYPERLINK("https://dpmzos25m8ivg.cloudfront.net/Documentos/631/67118321591/6316711832159113092023231730.pdf","https://dpmzos25m8ivg.cloudfront.net/Documentos/631/67118321591/6316711832159113092023231730.pdf")</f>
        <v>https://dpmzos25m8ivg.cloudfront.net/Documentos/631/67118321591/6316711832159113092023231730.pdf</v>
      </c>
      <c r="H7518" s="5" t="s">
        <v>16086</v>
      </c>
    </row>
    <row r="7519" spans="1:8" x14ac:dyDescent="0.25">
      <c r="A7519" s="2" t="s">
        <v>7547</v>
      </c>
      <c r="B7519" s="3"/>
      <c r="C7519" s="3"/>
      <c r="D7519" s="3"/>
      <c r="E7519" s="5" t="str">
        <f>HYPERLINK("https://dpmzos25m8ivg.cloudfront.net/Documentos/631/67120270206/6316712027020605092023191832.pdf","https://dpmzos25m8ivg.cloudfront.net/Documentos/631/67120270206/6316712027020605092023191832.pdf")</f>
        <v>https://dpmzos25m8ivg.cloudfront.net/Documentos/631/67120270206/6316712027020605092023191832.pdf</v>
      </c>
      <c r="F7519" s="5" t="str">
        <f>HYPERLINK("https://dpmzos25m8ivg.cloudfront.net/Documentos/631/67120270206/6316712027020605092023191955.pdf","https://dpmzos25m8ivg.cloudfront.net/Documentos/631/67120270206/6316712027020605092023191955.pdf")</f>
        <v>https://dpmzos25m8ivg.cloudfront.net/Documentos/631/67120270206/6316712027020605092023191955.pdf</v>
      </c>
      <c r="G7519" s="5" t="str">
        <f>HYPERLINK("https://dpmzos25m8ivg.cloudfront.net/Documentos/631/67120270206/6316712027020605092023192046.pdf","https://dpmzos25m8ivg.cloudfront.net/Documentos/631/67120270206/6316712027020605092023192046.pdf")</f>
        <v>https://dpmzos25m8ivg.cloudfront.net/Documentos/631/67120270206/6316712027020605092023192046.pdf</v>
      </c>
      <c r="H7519" s="5" t="s">
        <v>16087</v>
      </c>
    </row>
    <row r="7520" spans="1:8" x14ac:dyDescent="0.25">
      <c r="A7520" s="14" t="s">
        <v>7548</v>
      </c>
      <c r="B7520" s="15" t="s">
        <v>90</v>
      </c>
      <c r="C7520" s="3"/>
      <c r="D7520" s="3"/>
      <c r="E7520" s="5" t="str">
        <f>HYPERLINK("https://dpmzos25m8ivg.cloudfront.net/Documentos/631/67160662504/6316716066250407092023115851.pdf","https://dpmzos25m8ivg.cloudfront.net/Documentos/631/67160662504/6316716066250407092023115851.pdf")</f>
        <v>https://dpmzos25m8ivg.cloudfront.net/Documentos/631/67160662504/6316716066250407092023115851.pdf</v>
      </c>
      <c r="F7520" s="5" t="str">
        <f>HYPERLINK("https://dpmzos25m8ivg.cloudfront.net/Documentos/631/67160662504/6316716066250407092023115911.pdf","https://dpmzos25m8ivg.cloudfront.net/Documentos/631/67160662504/6316716066250407092023115911.pdf")</f>
        <v>https://dpmzos25m8ivg.cloudfront.net/Documentos/631/67160662504/6316716066250407092023115911.pdf</v>
      </c>
      <c r="G7520" s="5" t="str">
        <f>HYPERLINK("https://dpmzos25m8ivg.cloudfront.net/Documentos/631/67160662504/6316716066250407092023115925.pdf","https://dpmzos25m8ivg.cloudfront.net/Documentos/631/67160662504/6316716066250407092023115925.pdf")</f>
        <v>https://dpmzos25m8ivg.cloudfront.net/Documentos/631/67160662504/6316716066250407092023115925.pdf</v>
      </c>
      <c r="H7520" s="9" t="s">
        <v>16088</v>
      </c>
    </row>
    <row r="7521" spans="1:8" x14ac:dyDescent="0.25">
      <c r="A7521" s="2" t="s">
        <v>7549</v>
      </c>
      <c r="B7521" s="3" t="s">
        <v>23</v>
      </c>
      <c r="C7521" s="3"/>
      <c r="D7521" s="3"/>
      <c r="E7521" s="5" t="str">
        <f>HYPERLINK("https://dpmzos25m8ivg.cloudfront.net/Documentos/631/67180620491/6316718062049105092023095639.jpeg","https://dpmzos25m8ivg.cloudfront.net/Documentos/631/67180620491/6316718062049105092023095639.jpeg")</f>
        <v>https://dpmzos25m8ivg.cloudfront.net/Documentos/631/67180620491/6316718062049105092023095639.jpeg</v>
      </c>
      <c r="F7521" s="5" t="str">
        <f>HYPERLINK("https://dpmzos25m8ivg.cloudfront.net/Documentos/631/67180620491/6316718062049105092023095655.jpeg","https://dpmzos25m8ivg.cloudfront.net/Documentos/631/67180620491/6316718062049105092023095655.jpeg")</f>
        <v>https://dpmzos25m8ivg.cloudfront.net/Documentos/631/67180620491/6316718062049105092023095655.jpeg</v>
      </c>
      <c r="G7521" s="5" t="str">
        <f>HYPERLINK("https://dpmzos25m8ivg.cloudfront.net/Documentos/631/67180620491/6316718062049105092023095743.jpg","https://dpmzos25m8ivg.cloudfront.net/Documentos/631/67180620491/6316718062049105092023095743.jpg")</f>
        <v>https://dpmzos25m8ivg.cloudfront.net/Documentos/631/67180620491/6316718062049105092023095743.jpg</v>
      </c>
      <c r="H7521" s="5" t="s">
        <v>16089</v>
      </c>
    </row>
    <row r="7522" spans="1:8" x14ac:dyDescent="0.25">
      <c r="A7522" s="2" t="s">
        <v>7550</v>
      </c>
      <c r="B7522" s="3" t="s">
        <v>90</v>
      </c>
      <c r="C7522" s="3"/>
      <c r="D7522" s="3"/>
      <c r="E7522" s="5" t="str">
        <f>HYPERLINK("https://dpmzos25m8ivg.cloudfront.net/Documentos/631/67194850320/6316719485032011092023092015.pdf","https://dpmzos25m8ivg.cloudfront.net/Documentos/631/67194850320/6316719485032011092023092015.pdf")</f>
        <v>https://dpmzos25m8ivg.cloudfront.net/Documentos/631/67194850320/6316719485032011092023092015.pdf</v>
      </c>
      <c r="F7522" s="5" t="str">
        <f>HYPERLINK("https://dpmzos25m8ivg.cloudfront.net/Documentos/631/67194850320/6316719485032011092023092038.pdf","https://dpmzos25m8ivg.cloudfront.net/Documentos/631/67194850320/6316719485032011092023092038.pdf")</f>
        <v>https://dpmzos25m8ivg.cloudfront.net/Documentos/631/67194850320/6316719485032011092023092038.pdf</v>
      </c>
      <c r="G7522" s="5" t="str">
        <f>HYPERLINK("https://dpmzos25m8ivg.cloudfront.net/Documentos/631/67194850320/6316719485032011092023092047.pdf","https://dpmzos25m8ivg.cloudfront.net/Documentos/631/67194850320/6316719485032011092023092047.pdf")</f>
        <v>https://dpmzos25m8ivg.cloudfront.net/Documentos/631/67194850320/6316719485032011092023092047.pdf</v>
      </c>
      <c r="H7522" s="5" t="s">
        <v>16090</v>
      </c>
    </row>
    <row r="7523" spans="1:8" x14ac:dyDescent="0.25">
      <c r="A7523" s="2" t="s">
        <v>7551</v>
      </c>
      <c r="B7523" s="3"/>
      <c r="C7523" s="3"/>
      <c r="D7523" s="3"/>
      <c r="E7523" s="5" t="str">
        <f>HYPERLINK("https://dpmzos25m8ivg.cloudfront.net/Documentos/631/67295525572/6316729552557211092023130249.pdf","https://dpmzos25m8ivg.cloudfront.net/Documentos/631/67295525572/6316729552557211092023130249.pdf")</f>
        <v>https://dpmzos25m8ivg.cloudfront.net/Documentos/631/67295525572/6316729552557211092023130249.pdf</v>
      </c>
      <c r="F7523" s="5" t="str">
        <f>HYPERLINK("https://dpmzos25m8ivg.cloudfront.net/Documentos/631/67295525572/6316729552557211092023130304.pdf","https://dpmzos25m8ivg.cloudfront.net/Documentos/631/67295525572/6316729552557211092023130304.pdf")</f>
        <v>https://dpmzos25m8ivg.cloudfront.net/Documentos/631/67295525572/6316729552557211092023130304.pdf</v>
      </c>
      <c r="G7523" s="5" t="str">
        <f>HYPERLINK("https://dpmzos25m8ivg.cloudfront.net/Documentos/631/67295525572/6316729552557211092023130319.pdf","https://dpmzos25m8ivg.cloudfront.net/Documentos/631/67295525572/6316729552557211092023130319.pdf")</f>
        <v>https://dpmzos25m8ivg.cloudfront.net/Documentos/631/67295525572/6316729552557211092023130319.pdf</v>
      </c>
      <c r="H7523" s="5" t="s">
        <v>16091</v>
      </c>
    </row>
    <row r="7524" spans="1:8" x14ac:dyDescent="0.25">
      <c r="A7524" s="2" t="s">
        <v>7552</v>
      </c>
      <c r="B7524" s="3" t="s">
        <v>23</v>
      </c>
      <c r="C7524" s="3"/>
      <c r="D7524" s="3"/>
      <c r="E7524" s="5" t="str">
        <f>HYPERLINK("https://dpmzos25m8ivg.cloudfront.net/Documentos/631/67315488553/6316731548855306092023125916.jpg","https://dpmzos25m8ivg.cloudfront.net/Documentos/631/67315488553/6316731548855306092023125916.jpg")</f>
        <v>https://dpmzos25m8ivg.cloudfront.net/Documentos/631/67315488553/6316731548855306092023125916.jpg</v>
      </c>
      <c r="F7524" s="5" t="str">
        <f>HYPERLINK("https://dpmzos25m8ivg.cloudfront.net/Documentos/631/67315488553/6316731548855306092023125539.jpg","https://dpmzos25m8ivg.cloudfront.net/Documentos/631/67315488553/6316731548855306092023125539.jpg")</f>
        <v>https://dpmzos25m8ivg.cloudfront.net/Documentos/631/67315488553/6316731548855306092023125539.jpg</v>
      </c>
      <c r="G7524" s="5" t="str">
        <f>HYPERLINK("https://dpmzos25m8ivg.cloudfront.net/Documentos/631/67315488553/6316731548855306092023125840.jpg","https://dpmzos25m8ivg.cloudfront.net/Documentos/631/67315488553/6316731548855306092023125840.jpg")</f>
        <v>https://dpmzos25m8ivg.cloudfront.net/Documentos/631/67315488553/6316731548855306092023125840.jpg</v>
      </c>
      <c r="H7524" s="5" t="s">
        <v>16092</v>
      </c>
    </row>
    <row r="7525" spans="1:8" x14ac:dyDescent="0.25">
      <c r="A7525" s="2" t="s">
        <v>7553</v>
      </c>
      <c r="B7525" s="3"/>
      <c r="C7525" s="3"/>
      <c r="D7525" s="3"/>
      <c r="E7525" s="5" t="str">
        <f>HYPERLINK("https://dpmzos25m8ivg.cloudfront.net/Documentos/631/67323669553/6316732366955311092023163620.jpg","https://dpmzos25m8ivg.cloudfront.net/Documentos/631/67323669553/6316732366955311092023163620.jpg")</f>
        <v>https://dpmzos25m8ivg.cloudfront.net/Documentos/631/67323669553/6316732366955311092023163620.jpg</v>
      </c>
      <c r="F7525" s="5" t="str">
        <f>HYPERLINK("https://dpmzos25m8ivg.cloudfront.net/Documentos/631/67323669553/6316732366955311092023163648.jpg","https://dpmzos25m8ivg.cloudfront.net/Documentos/631/67323669553/6316732366955311092023163648.jpg")</f>
        <v>https://dpmzos25m8ivg.cloudfront.net/Documentos/631/67323669553/6316732366955311092023163648.jpg</v>
      </c>
      <c r="G7525" s="5" t="str">
        <f>HYPERLINK("https://dpmzos25m8ivg.cloudfront.net/Documentos/631/67323669553/6316732366955311092023163706.jpg","https://dpmzos25m8ivg.cloudfront.net/Documentos/631/67323669553/6316732366955311092023163706.jpg")</f>
        <v>https://dpmzos25m8ivg.cloudfront.net/Documentos/631/67323669553/6316732366955311092023163706.jpg</v>
      </c>
      <c r="H7525" s="5" t="s">
        <v>16093</v>
      </c>
    </row>
    <row r="7526" spans="1:8" x14ac:dyDescent="0.25">
      <c r="A7526" s="2" t="s">
        <v>7554</v>
      </c>
      <c r="B7526" s="3"/>
      <c r="C7526" s="3"/>
      <c r="D7526" s="3"/>
      <c r="E7526" s="5" t="str">
        <f>HYPERLINK("https://dpmzos25m8ivg.cloudfront.net/Documentos/631/67417485049/6316741748504905092023125339.pdf","https://dpmzos25m8ivg.cloudfront.net/Documentos/631/67417485049/6316741748504905092023125339.pdf")</f>
        <v>https://dpmzos25m8ivg.cloudfront.net/Documentos/631/67417485049/6316741748504905092023125339.pdf</v>
      </c>
      <c r="F7526" s="5" t="str">
        <f>HYPERLINK("https://dpmzos25m8ivg.cloudfront.net/Documentos/631/67417485049/6316741748504905092023125421.pdf","https://dpmzos25m8ivg.cloudfront.net/Documentos/631/67417485049/6316741748504905092023125421.pdf")</f>
        <v>https://dpmzos25m8ivg.cloudfront.net/Documentos/631/67417485049/6316741748504905092023125421.pdf</v>
      </c>
      <c r="G7526" s="5" t="str">
        <f>HYPERLINK("https://dpmzos25m8ivg.cloudfront.net/Documentos/631/67417485049/6316741748504905092023125456.pdf","https://dpmzos25m8ivg.cloudfront.net/Documentos/631/67417485049/6316741748504905092023125456.pdf")</f>
        <v>https://dpmzos25m8ivg.cloudfront.net/Documentos/631/67417485049/6316741748504905092023125456.pdf</v>
      </c>
      <c r="H7526" s="5" t="s">
        <v>16094</v>
      </c>
    </row>
    <row r="7527" spans="1:8" x14ac:dyDescent="0.25">
      <c r="A7527" s="2" t="s">
        <v>7555</v>
      </c>
      <c r="B7527" s="3" t="s">
        <v>308</v>
      </c>
      <c r="C7527" s="3"/>
      <c r="D7527" s="3"/>
      <c r="E7527" s="5" t="str">
        <f>HYPERLINK("https://dpmzos25m8ivg.cloudfront.net/Documentos/631/67433626620/6316743362662005092023222051.pdf","https://dpmzos25m8ivg.cloudfront.net/Documentos/631/67433626620/6316743362662005092023222051.pdf")</f>
        <v>https://dpmzos25m8ivg.cloudfront.net/Documentos/631/67433626620/6316743362662005092023222051.pdf</v>
      </c>
      <c r="F7527" s="5" t="str">
        <f>HYPERLINK("https://dpmzos25m8ivg.cloudfront.net/Documentos/631/67433626620/6316743362662005092023222110.pdf","https://dpmzos25m8ivg.cloudfront.net/Documentos/631/67433626620/6316743362662005092023222110.pdf")</f>
        <v>https://dpmzos25m8ivg.cloudfront.net/Documentos/631/67433626620/6316743362662005092023222110.pdf</v>
      </c>
      <c r="G7527" s="5" t="str">
        <f>HYPERLINK("https://dpmzos25m8ivg.cloudfront.net/Documentos/631/67433626620/6316743362662005092023222147.pdf","https://dpmzos25m8ivg.cloudfront.net/Documentos/631/67433626620/6316743362662005092023222147.pdf")</f>
        <v>https://dpmzos25m8ivg.cloudfront.net/Documentos/631/67433626620/6316743362662005092023222147.pdf</v>
      </c>
      <c r="H7527" s="5" t="s">
        <v>16095</v>
      </c>
    </row>
    <row r="7528" spans="1:8" x14ac:dyDescent="0.25">
      <c r="A7528" s="2" t="s">
        <v>7556</v>
      </c>
      <c r="B7528" s="3"/>
      <c r="C7528" s="3"/>
      <c r="D7528" s="3"/>
      <c r="E7528" s="5" t="str">
        <f>HYPERLINK("https://dpmzos25m8ivg.cloudfront.net/Documentos/631/67445349715/6316744534971511092023103714.pdf","https://dpmzos25m8ivg.cloudfront.net/Documentos/631/67445349715/6316744534971511092023103714.pdf")</f>
        <v>https://dpmzos25m8ivg.cloudfront.net/Documentos/631/67445349715/6316744534971511092023103714.pdf</v>
      </c>
      <c r="F7528" s="5" t="str">
        <f>HYPERLINK("https://dpmzos25m8ivg.cloudfront.net/Documentos/631/67445349715/6316744534971511092023103731.pdf","https://dpmzos25m8ivg.cloudfront.net/Documentos/631/67445349715/6316744534971511092023103731.pdf")</f>
        <v>https://dpmzos25m8ivg.cloudfront.net/Documentos/631/67445349715/6316744534971511092023103731.pdf</v>
      </c>
      <c r="G7528" s="5" t="str">
        <f>HYPERLINK("https://dpmzos25m8ivg.cloudfront.net/Documentos/631/67445349715/6316744534971511092023103752.pdf","https://dpmzos25m8ivg.cloudfront.net/Documentos/631/67445349715/6316744534971511092023103752.pdf")</f>
        <v>https://dpmzos25m8ivg.cloudfront.net/Documentos/631/67445349715/6316744534971511092023103752.pdf</v>
      </c>
      <c r="H7528" s="5" t="s">
        <v>16096</v>
      </c>
    </row>
    <row r="7529" spans="1:8" x14ac:dyDescent="0.25">
      <c r="A7529" s="2" t="s">
        <v>7557</v>
      </c>
      <c r="B7529" s="3"/>
      <c r="C7529" s="3"/>
      <c r="D7529" s="3"/>
      <c r="E7529" s="5" t="str">
        <f>HYPERLINK("https://dpmzos25m8ivg.cloudfront.net/Documentos/631/67459706272/6316745970627211092023143139.pdf","https://dpmzos25m8ivg.cloudfront.net/Documentos/631/67459706272/6316745970627211092023143139.pdf")</f>
        <v>https://dpmzos25m8ivg.cloudfront.net/Documentos/631/67459706272/6316745970627211092023143139.pdf</v>
      </c>
      <c r="F7529" s="5" t="str">
        <f>HYPERLINK("https://dpmzos25m8ivg.cloudfront.net/Documentos/631/67459706272/6316745970627211092023143317.pdf","https://dpmzos25m8ivg.cloudfront.net/Documentos/631/67459706272/6316745970627211092023143317.pdf")</f>
        <v>https://dpmzos25m8ivg.cloudfront.net/Documentos/631/67459706272/6316745970627211092023143317.pdf</v>
      </c>
      <c r="G7529" s="5" t="str">
        <f>HYPERLINK("https://dpmzos25m8ivg.cloudfront.net/Documentos/631/67459706272/6316745970627211092023143509.pdf","https://dpmzos25m8ivg.cloudfront.net/Documentos/631/67459706272/6316745970627211092023143509.pdf")</f>
        <v>https://dpmzos25m8ivg.cloudfront.net/Documentos/631/67459706272/6316745970627211092023143509.pdf</v>
      </c>
      <c r="H7529" s="5" t="s">
        <v>16097</v>
      </c>
    </row>
    <row r="7530" spans="1:8" x14ac:dyDescent="0.25">
      <c r="A7530" s="2" t="s">
        <v>7558</v>
      </c>
      <c r="B7530" s="3"/>
      <c r="C7530" s="3"/>
      <c r="D7530" s="3"/>
      <c r="E7530" s="5" t="str">
        <f>HYPERLINK("https://dpmzos25m8ivg.cloudfront.net/Documentos/631/67465668204/6316746566820411092023011716.pdf","https://dpmzos25m8ivg.cloudfront.net/Documentos/631/67465668204/6316746566820411092023011716.pdf")</f>
        <v>https://dpmzos25m8ivg.cloudfront.net/Documentos/631/67465668204/6316746566820411092023011716.pdf</v>
      </c>
      <c r="F7530" s="5" t="str">
        <f>HYPERLINK("https://dpmzos25m8ivg.cloudfront.net/Documentos/631/67465668204/6316746566820411092023011735.pdf","https://dpmzos25m8ivg.cloudfront.net/Documentos/631/67465668204/6316746566820411092023011735.pdf")</f>
        <v>https://dpmzos25m8ivg.cloudfront.net/Documentos/631/67465668204/6316746566820411092023011735.pdf</v>
      </c>
      <c r="G7530" s="5" t="str">
        <f>HYPERLINK("https://dpmzos25m8ivg.cloudfront.net/Documentos/631/67465668204/6316746566820411092023011755.pdf","https://dpmzos25m8ivg.cloudfront.net/Documentos/631/67465668204/6316746566820411092023011755.pdf")</f>
        <v>https://dpmzos25m8ivg.cloudfront.net/Documentos/631/67465668204/6316746566820411092023011755.pdf</v>
      </c>
      <c r="H7530" s="5" t="s">
        <v>16098</v>
      </c>
    </row>
    <row r="7531" spans="1:8" x14ac:dyDescent="0.25">
      <c r="A7531" s="2" t="s">
        <v>7559</v>
      </c>
      <c r="B7531" s="3"/>
      <c r="C7531" s="3"/>
      <c r="D7531" s="3"/>
      <c r="E7531" s="5" t="str">
        <f>HYPERLINK("https://dpmzos25m8ivg.cloudfront.net/Documentos/631/67572162487/6316757216248713092023215934.jpeg","https://dpmzos25m8ivg.cloudfront.net/Documentos/631/67572162487/6316757216248713092023215934.jpeg")</f>
        <v>https://dpmzos25m8ivg.cloudfront.net/Documentos/631/67572162487/6316757216248713092023215934.jpeg</v>
      </c>
      <c r="F7531" s="5" t="str">
        <f>HYPERLINK("https://dpmzos25m8ivg.cloudfront.net/Documentos/631/67572162487/6316757216248713092023215955.pdf","https://dpmzos25m8ivg.cloudfront.net/Documentos/631/67572162487/6316757216248713092023215955.pdf")</f>
        <v>https://dpmzos25m8ivg.cloudfront.net/Documentos/631/67572162487/6316757216248713092023215955.pdf</v>
      </c>
      <c r="G7531" s="5" t="str">
        <f>HYPERLINK("https://dpmzos25m8ivg.cloudfront.net/Documentos/631/67572162487/6316757216248713092023220010.pdf","https://dpmzos25m8ivg.cloudfront.net/Documentos/631/67572162487/6316757216248713092023220010.pdf")</f>
        <v>https://dpmzos25m8ivg.cloudfront.net/Documentos/631/67572162487/6316757216248713092023220010.pdf</v>
      </c>
      <c r="H7531" s="5" t="s">
        <v>16099</v>
      </c>
    </row>
    <row r="7532" spans="1:8" x14ac:dyDescent="0.25">
      <c r="A7532" s="2" t="s">
        <v>7560</v>
      </c>
      <c r="B7532" s="3"/>
      <c r="C7532" s="3"/>
      <c r="D7532" s="3"/>
      <c r="E7532" s="5" t="str">
        <f>HYPERLINK("https://dpmzos25m8ivg.cloudfront.net/Documentos/631/67653006272/6316765300627211092023142430.pdf","https://dpmzos25m8ivg.cloudfront.net/Documentos/631/67653006272/6316765300627211092023142430.pdf")</f>
        <v>https://dpmzos25m8ivg.cloudfront.net/Documentos/631/67653006272/6316765300627211092023142430.pdf</v>
      </c>
      <c r="F7532" s="5" t="str">
        <f>HYPERLINK("https://dpmzos25m8ivg.cloudfront.net/Documentos/631/67653006272/6316765300627211092023142452.pdf","https://dpmzos25m8ivg.cloudfront.net/Documentos/631/67653006272/6316765300627211092023142452.pdf")</f>
        <v>https://dpmzos25m8ivg.cloudfront.net/Documentos/631/67653006272/6316765300627211092023142452.pdf</v>
      </c>
      <c r="G7532" s="5" t="str">
        <f>HYPERLINK("https://dpmzos25m8ivg.cloudfront.net/Documentos/631/67653006272/6316765300627211092023142517.pdf","https://dpmzos25m8ivg.cloudfront.net/Documentos/631/67653006272/6316765300627211092023142517.pdf")</f>
        <v>https://dpmzos25m8ivg.cloudfront.net/Documentos/631/67653006272/6316765300627211092023142517.pdf</v>
      </c>
      <c r="H7532" s="5" t="s">
        <v>16100</v>
      </c>
    </row>
    <row r="7533" spans="1:8" x14ac:dyDescent="0.25">
      <c r="A7533" s="2" t="s">
        <v>7561</v>
      </c>
      <c r="B7533" s="3"/>
      <c r="C7533" s="3"/>
      <c r="D7533" s="3"/>
      <c r="E7533" s="5" t="str">
        <f>HYPERLINK("https://dpmzos25m8ivg.cloudfront.net/Documentos/631/67711375204/6316771137520411092023152634.jpeg","https://dpmzos25m8ivg.cloudfront.net/Documentos/631/67711375204/6316771137520411092023152634.jpeg")</f>
        <v>https://dpmzos25m8ivg.cloudfront.net/Documentos/631/67711375204/6316771137520411092023152634.jpeg</v>
      </c>
      <c r="F7533" s="5" t="str">
        <f>HYPERLINK("https://dpmzos25m8ivg.cloudfront.net/Documentos/631/67711375204/6316771137520411092023152640.jpeg","https://dpmzos25m8ivg.cloudfront.net/Documentos/631/67711375204/6316771137520411092023152640.jpeg")</f>
        <v>https://dpmzos25m8ivg.cloudfront.net/Documentos/631/67711375204/6316771137520411092023152640.jpeg</v>
      </c>
      <c r="G7533" s="5" t="str">
        <f>HYPERLINK("https://dpmzos25m8ivg.cloudfront.net/Documentos/631/67711375204/6316771137520411092023152647.jpeg","https://dpmzos25m8ivg.cloudfront.net/Documentos/631/67711375204/6316771137520411092023152647.jpeg")</f>
        <v>https://dpmzos25m8ivg.cloudfront.net/Documentos/631/67711375204/6316771137520411092023152647.jpeg</v>
      </c>
      <c r="H7533" s="5" t="s">
        <v>16101</v>
      </c>
    </row>
    <row r="7534" spans="1:8" x14ac:dyDescent="0.25">
      <c r="A7534" s="2" t="s">
        <v>7562</v>
      </c>
      <c r="B7534" s="3"/>
      <c r="C7534" s="3"/>
      <c r="D7534" s="3"/>
      <c r="E7534" s="5" t="str">
        <f>HYPERLINK("https://dpmzos25m8ivg.cloudfront.net/Documentos/631/67724060606/6316772406060608092023131726.pdf","https://dpmzos25m8ivg.cloudfront.net/Documentos/631/67724060606/6316772406060608092023131726.pdf")</f>
        <v>https://dpmzos25m8ivg.cloudfront.net/Documentos/631/67724060606/6316772406060608092023131726.pdf</v>
      </c>
      <c r="F7534" s="5" t="str">
        <f>HYPERLINK("https://dpmzos25m8ivg.cloudfront.net/Documentos/631/67724060606/6316772406060608092023131754.pdf","https://dpmzos25m8ivg.cloudfront.net/Documentos/631/67724060606/6316772406060608092023131754.pdf")</f>
        <v>https://dpmzos25m8ivg.cloudfront.net/Documentos/631/67724060606/6316772406060608092023131754.pdf</v>
      </c>
      <c r="G7534" s="5" t="str">
        <f>HYPERLINK("https://dpmzos25m8ivg.cloudfront.net/Documentos/631/67724060606/6316772406060608092023131819.pdf","https://dpmzos25m8ivg.cloudfront.net/Documentos/631/67724060606/6316772406060608092023131819.pdf")</f>
        <v>https://dpmzos25m8ivg.cloudfront.net/Documentos/631/67724060606/6316772406060608092023131819.pdf</v>
      </c>
      <c r="H7534" s="5" t="s">
        <v>16102</v>
      </c>
    </row>
    <row r="7535" spans="1:8" x14ac:dyDescent="0.25">
      <c r="A7535" s="2" t="s">
        <v>7563</v>
      </c>
      <c r="B7535" s="3"/>
      <c r="C7535" s="3"/>
      <c r="D7535" s="3"/>
      <c r="E7535" s="5" t="str">
        <f>HYPERLINK("https://dpmzos25m8ivg.cloudfront.net/Documentos/631/67730086034/6316773008603406092023175158.jpg","https://dpmzos25m8ivg.cloudfront.net/Documentos/631/67730086034/6316773008603406092023175158.jpg")</f>
        <v>https://dpmzos25m8ivg.cloudfront.net/Documentos/631/67730086034/6316773008603406092023175158.jpg</v>
      </c>
      <c r="F7535" s="5" t="str">
        <f>HYPERLINK("https://dpmzos25m8ivg.cloudfront.net/Documentos/631/67730086034/6316773008603406092023175230.jpg","https://dpmzos25m8ivg.cloudfront.net/Documentos/631/67730086034/6316773008603406092023175230.jpg")</f>
        <v>https://dpmzos25m8ivg.cloudfront.net/Documentos/631/67730086034/6316773008603406092023175230.jpg</v>
      </c>
      <c r="G7535" s="5" t="str">
        <f>HYPERLINK("https://dpmzos25m8ivg.cloudfront.net/Documentos/631/67730086034/6316773008603406092023175245.jpg","https://dpmzos25m8ivg.cloudfront.net/Documentos/631/67730086034/6316773008603406092023175245.jpg")</f>
        <v>https://dpmzos25m8ivg.cloudfront.net/Documentos/631/67730086034/6316773008603406092023175245.jpg</v>
      </c>
      <c r="H7535" s="5" t="s">
        <v>16103</v>
      </c>
    </row>
    <row r="7536" spans="1:8" x14ac:dyDescent="0.25">
      <c r="A7536" s="2" t="s">
        <v>7564</v>
      </c>
      <c r="B7536" s="3" t="s">
        <v>308</v>
      </c>
      <c r="C7536" s="3"/>
      <c r="D7536" s="3"/>
      <c r="E7536" s="5" t="str">
        <f>HYPERLINK("https://dpmzos25m8ivg.cloudfront.net/Documentos/631/67754180510/6316775418051005092023144914.pdf","https://dpmzos25m8ivg.cloudfront.net/Documentos/631/67754180510/6316775418051005092023144914.pdf")</f>
        <v>https://dpmzos25m8ivg.cloudfront.net/Documentos/631/67754180510/6316775418051005092023144914.pdf</v>
      </c>
      <c r="F7536" s="5" t="str">
        <f>HYPERLINK("https://dpmzos25m8ivg.cloudfront.net/Documentos/631/67754180510/6316775418051005092023144930.pdf","https://dpmzos25m8ivg.cloudfront.net/Documentos/631/67754180510/6316775418051005092023144930.pdf")</f>
        <v>https://dpmzos25m8ivg.cloudfront.net/Documentos/631/67754180510/6316775418051005092023144930.pdf</v>
      </c>
      <c r="G7536" s="5" t="str">
        <f>HYPERLINK("https://dpmzos25m8ivg.cloudfront.net/Documentos/631/67754180510/6316775418051005092023144946.pdf","https://dpmzos25m8ivg.cloudfront.net/Documentos/631/67754180510/6316775418051005092023144946.pdf")</f>
        <v>https://dpmzos25m8ivg.cloudfront.net/Documentos/631/67754180510/6316775418051005092023144946.pdf</v>
      </c>
      <c r="H7536" s="5" t="s">
        <v>16104</v>
      </c>
    </row>
    <row r="7537" spans="1:8" x14ac:dyDescent="0.25">
      <c r="A7537" s="2" t="s">
        <v>7565</v>
      </c>
      <c r="B7537" s="3"/>
      <c r="C7537" s="3"/>
      <c r="D7537" s="3"/>
      <c r="E7537" s="5" t="str">
        <f>HYPERLINK("https://dpmzos25m8ivg.cloudfront.net/Documentos/631/67788289515/6316778828951506092023125346.pdf","https://dpmzos25m8ivg.cloudfront.net/Documentos/631/67788289515/6316778828951506092023125346.pdf")</f>
        <v>https://dpmzos25m8ivg.cloudfront.net/Documentos/631/67788289515/6316778828951506092023125346.pdf</v>
      </c>
      <c r="F7537" s="5" t="str">
        <f>HYPERLINK("https://dpmzos25m8ivg.cloudfront.net/Documentos/631/67788289515/6316778828951506092023125401.pdf","https://dpmzos25m8ivg.cloudfront.net/Documentos/631/67788289515/6316778828951506092023125401.pdf")</f>
        <v>https://dpmzos25m8ivg.cloudfront.net/Documentos/631/67788289515/6316778828951506092023125401.pdf</v>
      </c>
      <c r="G7537" s="5" t="str">
        <f>HYPERLINK("https://dpmzos25m8ivg.cloudfront.net/Documentos/631/67788289515/6316778828951506092023125537.pdf","https://dpmzos25m8ivg.cloudfront.net/Documentos/631/67788289515/6316778828951506092023125537.pdf")</f>
        <v>https://dpmzos25m8ivg.cloudfront.net/Documentos/631/67788289515/6316778828951506092023125537.pdf</v>
      </c>
      <c r="H7537" s="5" t="s">
        <v>16105</v>
      </c>
    </row>
    <row r="7538" spans="1:8" x14ac:dyDescent="0.25">
      <c r="A7538" s="2" t="s">
        <v>7566</v>
      </c>
      <c r="B7538" s="3" t="s">
        <v>308</v>
      </c>
      <c r="C7538" s="3"/>
      <c r="D7538" s="3"/>
      <c r="E7538" s="5" t="str">
        <f>HYPERLINK("https://dpmzos25m8ivg.cloudfront.net/Documentos/631/67953689200/6316795368920011092023130223.pdf","https://dpmzos25m8ivg.cloudfront.net/Documentos/631/67953689200/6316795368920011092023130223.pdf")</f>
        <v>https://dpmzos25m8ivg.cloudfront.net/Documentos/631/67953689200/6316795368920011092023130223.pdf</v>
      </c>
      <c r="F7538" s="5" t="str">
        <f>HYPERLINK("https://dpmzos25m8ivg.cloudfront.net/Documentos/631/67953689200/6316795368920011092023130240.pdf","https://dpmzos25m8ivg.cloudfront.net/Documentos/631/67953689200/6316795368920011092023130240.pdf")</f>
        <v>https://dpmzos25m8ivg.cloudfront.net/Documentos/631/67953689200/6316795368920011092023130240.pdf</v>
      </c>
      <c r="G7538" s="5" t="str">
        <f>HYPERLINK("https://dpmzos25m8ivg.cloudfront.net/Documentos/631/67953689200/6316795368920011092023130257.jpeg","https://dpmzos25m8ivg.cloudfront.net/Documentos/631/67953689200/6316795368920011092023130257.jpeg")</f>
        <v>https://dpmzos25m8ivg.cloudfront.net/Documentos/631/67953689200/6316795368920011092023130257.jpeg</v>
      </c>
      <c r="H7538" s="5" t="s">
        <v>16106</v>
      </c>
    </row>
    <row r="7539" spans="1:8" x14ac:dyDescent="0.25">
      <c r="A7539" s="2" t="s">
        <v>7567</v>
      </c>
      <c r="B7539" s="3"/>
      <c r="C7539" s="3"/>
      <c r="D7539" s="3"/>
      <c r="E7539" s="5" t="str">
        <f>HYPERLINK("https://dpmzos25m8ivg.cloudfront.net/Documentos/631/67984940053/6316798494005311092023114259.pdf","https://dpmzos25m8ivg.cloudfront.net/Documentos/631/67984940053/6316798494005311092023114259.pdf")</f>
        <v>https://dpmzos25m8ivg.cloudfront.net/Documentos/631/67984940053/6316798494005311092023114259.pdf</v>
      </c>
      <c r="F7539" s="5" t="str">
        <f>HYPERLINK("https://dpmzos25m8ivg.cloudfront.net/Documentos/631/67984940053/6316798494005311092023114245.pdf","https://dpmzos25m8ivg.cloudfront.net/Documentos/631/67984940053/6316798494005311092023114245.pdf")</f>
        <v>https://dpmzos25m8ivg.cloudfront.net/Documentos/631/67984940053/6316798494005311092023114245.pdf</v>
      </c>
      <c r="G7539" s="5" t="str">
        <f>HYPERLINK("https://dpmzos25m8ivg.cloudfront.net/Documentos/631/67984940053/6316798494005311092023114222.pdf","https://dpmzos25m8ivg.cloudfront.net/Documentos/631/67984940053/6316798494005311092023114222.pdf")</f>
        <v>https://dpmzos25m8ivg.cloudfront.net/Documentos/631/67984940053/6316798494005311092023114222.pdf</v>
      </c>
      <c r="H7539" s="5" t="s">
        <v>16107</v>
      </c>
    </row>
    <row r="7540" spans="1:8" x14ac:dyDescent="0.25">
      <c r="A7540" s="2" t="s">
        <v>7568</v>
      </c>
      <c r="B7540" s="3" t="s">
        <v>23</v>
      </c>
      <c r="C7540" s="3"/>
      <c r="D7540" s="3"/>
      <c r="E7540" s="5" t="str">
        <f>HYPERLINK("https://dpmzos25m8ivg.cloudfront.net/Documentos/631/68340508253/6316834050825310092023180212.pdf","https://dpmzos25m8ivg.cloudfront.net/Documentos/631/68340508253/6316834050825310092023180212.pdf")</f>
        <v>https://dpmzos25m8ivg.cloudfront.net/Documentos/631/68340508253/6316834050825310092023180212.pdf</v>
      </c>
      <c r="F7540" s="5" t="str">
        <f>HYPERLINK("https://dpmzos25m8ivg.cloudfront.net/Documentos/631/68340508253/6316834050825310092023180222.pdf","https://dpmzos25m8ivg.cloudfront.net/Documentos/631/68340508253/6316834050825310092023180222.pdf")</f>
        <v>https://dpmzos25m8ivg.cloudfront.net/Documentos/631/68340508253/6316834050825310092023180222.pdf</v>
      </c>
      <c r="G7540" s="5" t="str">
        <f>HYPERLINK("https://dpmzos25m8ivg.cloudfront.net/Documentos/631/68340508253/6316834050825310092023180233.pdf","https://dpmzos25m8ivg.cloudfront.net/Documentos/631/68340508253/6316834050825310092023180233.pdf")</f>
        <v>https://dpmzos25m8ivg.cloudfront.net/Documentos/631/68340508253/6316834050825310092023180233.pdf</v>
      </c>
      <c r="H7540" s="5" t="s">
        <v>16108</v>
      </c>
    </row>
    <row r="7541" spans="1:8" x14ac:dyDescent="0.25">
      <c r="A7541" s="2" t="s">
        <v>7569</v>
      </c>
      <c r="B7541" s="3"/>
      <c r="C7541" s="3"/>
      <c r="D7541" s="3"/>
      <c r="E7541" s="5" t="str">
        <f>HYPERLINK("https://dpmzos25m8ivg.cloudfront.net/Documentos/631/68546297487/6316854629748707092023120330.jpg","https://dpmzos25m8ivg.cloudfront.net/Documentos/631/68546297487/6316854629748707092023120330.jpg")</f>
        <v>https://dpmzos25m8ivg.cloudfront.net/Documentos/631/68546297487/6316854629748707092023120330.jpg</v>
      </c>
      <c r="F7541" s="5" t="str">
        <f>HYPERLINK("https://dpmzos25m8ivg.cloudfront.net/Documentos/631/68546297487/6316854629748707092023120442.jpg","https://dpmzos25m8ivg.cloudfront.net/Documentos/631/68546297487/6316854629748707092023120442.jpg")</f>
        <v>https://dpmzos25m8ivg.cloudfront.net/Documentos/631/68546297487/6316854629748707092023120442.jpg</v>
      </c>
      <c r="G7541" s="5" t="str">
        <f>HYPERLINK("https://dpmzos25m8ivg.cloudfront.net/Documentos/631/68546297487/6316854629748707092023120531.jpg","https://dpmzos25m8ivg.cloudfront.net/Documentos/631/68546297487/6316854629748707092023120531.jpg")</f>
        <v>https://dpmzos25m8ivg.cloudfront.net/Documentos/631/68546297487/6316854629748707092023120531.jpg</v>
      </c>
      <c r="H7541" s="5" t="s">
        <v>16109</v>
      </c>
    </row>
    <row r="7542" spans="1:8" x14ac:dyDescent="0.25">
      <c r="A7542" s="2" t="s">
        <v>7570</v>
      </c>
      <c r="B7542" s="3"/>
      <c r="C7542" s="3"/>
      <c r="D7542" s="3"/>
      <c r="E7542" s="5" t="str">
        <f>HYPERLINK("https://dpmzos25m8ivg.cloudfront.net/Documentos/631/68652640025/6316865264002505092023143858.pdf","https://dpmzos25m8ivg.cloudfront.net/Documentos/631/68652640025/6316865264002505092023143858.pdf")</f>
        <v>https://dpmzos25m8ivg.cloudfront.net/Documentos/631/68652640025/6316865264002505092023143858.pdf</v>
      </c>
      <c r="F7542" s="5" t="str">
        <f>HYPERLINK("https://dpmzos25m8ivg.cloudfront.net/Documentos/631/68652640025/6316865264002505092023143934.pdf","https://dpmzos25m8ivg.cloudfront.net/Documentos/631/68652640025/6316865264002505092023143934.pdf")</f>
        <v>https://dpmzos25m8ivg.cloudfront.net/Documentos/631/68652640025/6316865264002505092023143934.pdf</v>
      </c>
      <c r="G7542" s="5" t="str">
        <f>HYPERLINK("https://dpmzos25m8ivg.cloudfront.net/Documentos/631/68652640025/6316865264002505092023144614.pdf","https://dpmzos25m8ivg.cloudfront.net/Documentos/631/68652640025/6316865264002505092023144614.pdf")</f>
        <v>https://dpmzos25m8ivg.cloudfront.net/Documentos/631/68652640025/6316865264002505092023144614.pdf</v>
      </c>
      <c r="H7542" s="5" t="s">
        <v>16110</v>
      </c>
    </row>
    <row r="7543" spans="1:8" x14ac:dyDescent="0.25">
      <c r="A7543" s="2" t="s">
        <v>7571</v>
      </c>
      <c r="B7543" s="3"/>
      <c r="C7543" s="3"/>
      <c r="D7543" s="3"/>
      <c r="E7543" s="5" t="str">
        <f>HYPERLINK("https://dpmzos25m8ivg.cloudfront.net/Documentos/631/68658990400/6316865899040014092023095011.pdf","https://dpmzos25m8ivg.cloudfront.net/Documentos/631/68658990400/6316865899040014092023095011.pdf")</f>
        <v>https://dpmzos25m8ivg.cloudfront.net/Documentos/631/68658990400/6316865899040014092023095011.pdf</v>
      </c>
      <c r="F7543" s="5" t="str">
        <f>HYPERLINK("https://dpmzos25m8ivg.cloudfront.net/Documentos/631/68658990400/6316865899040014092023095043.pdf","https://dpmzos25m8ivg.cloudfront.net/Documentos/631/68658990400/6316865899040014092023095043.pdf")</f>
        <v>https://dpmzos25m8ivg.cloudfront.net/Documentos/631/68658990400/6316865899040014092023095043.pdf</v>
      </c>
      <c r="G7543" s="5" t="str">
        <f>HYPERLINK("https://dpmzos25m8ivg.cloudfront.net/Documentos/631/68658990400/6316865899040014092023095057.pdf","https://dpmzos25m8ivg.cloudfront.net/Documentos/631/68658990400/6316865899040014092023095057.pdf")</f>
        <v>https://dpmzos25m8ivg.cloudfront.net/Documentos/631/68658990400/6316865899040014092023095057.pdf</v>
      </c>
      <c r="H7543" s="5" t="s">
        <v>16111</v>
      </c>
    </row>
    <row r="7544" spans="1:8" x14ac:dyDescent="0.25">
      <c r="A7544" s="2" t="s">
        <v>7572</v>
      </c>
      <c r="B7544" s="3"/>
      <c r="C7544" s="3"/>
      <c r="D7544" s="3"/>
      <c r="E7544" s="5" t="str">
        <f>HYPERLINK("https://dpmzos25m8ivg.cloudfront.net/Documentos/631/68753144449/6316875314444911092023162245.pdf","https://dpmzos25m8ivg.cloudfront.net/Documentos/631/68753144449/6316875314444911092023162245.pdf")</f>
        <v>https://dpmzos25m8ivg.cloudfront.net/Documentos/631/68753144449/6316875314444911092023162245.pdf</v>
      </c>
      <c r="F7544" s="5" t="str">
        <f>HYPERLINK("https://dpmzos25m8ivg.cloudfront.net/Documentos/631/68753144449/6316875314444911092023162902.pdf","https://dpmzos25m8ivg.cloudfront.net/Documentos/631/68753144449/6316875314444911092023162902.pdf")</f>
        <v>https://dpmzos25m8ivg.cloudfront.net/Documentos/631/68753144449/6316875314444911092023162902.pdf</v>
      </c>
      <c r="G7544" s="5" t="str">
        <f>HYPERLINK("https://dpmzos25m8ivg.cloudfront.net/Documentos/631/68753144449/6316875314444911092023162926.pdf","https://dpmzos25m8ivg.cloudfront.net/Documentos/631/68753144449/6316875314444911092023162926.pdf")</f>
        <v>https://dpmzos25m8ivg.cloudfront.net/Documentos/631/68753144449/6316875314444911092023162926.pdf</v>
      </c>
      <c r="H7544" s="5" t="s">
        <v>16112</v>
      </c>
    </row>
    <row r="7545" spans="1:8" x14ac:dyDescent="0.25">
      <c r="A7545" s="2" t="s">
        <v>7573</v>
      </c>
      <c r="B7545" s="3"/>
      <c r="C7545" s="3"/>
      <c r="D7545" s="3"/>
      <c r="E7545" s="5" t="str">
        <f>HYPERLINK("https://dpmzos25m8ivg.cloudfront.net/Documentos/631/68869460053/6316886946005311092023164645.pdf","https://dpmzos25m8ivg.cloudfront.net/Documentos/631/68869460053/6316886946005311092023164645.pdf")</f>
        <v>https://dpmzos25m8ivg.cloudfront.net/Documentos/631/68869460053/6316886946005311092023164645.pdf</v>
      </c>
      <c r="F7545" s="5" t="str">
        <f>HYPERLINK("https://dpmzos25m8ivg.cloudfront.net/Documentos/631/68869460053/6316886946005311092023165042.pdf","https://dpmzos25m8ivg.cloudfront.net/Documentos/631/68869460053/6316886946005311092023165042.pdf")</f>
        <v>https://dpmzos25m8ivg.cloudfront.net/Documentos/631/68869460053/6316886946005311092023165042.pdf</v>
      </c>
      <c r="G7545" s="5" t="str">
        <f>HYPERLINK("https://dpmzos25m8ivg.cloudfront.net/Documentos/631/68869460053/6316886946005311092023165312.pdf","https://dpmzos25m8ivg.cloudfront.net/Documentos/631/68869460053/6316886946005311092023165312.pdf")</f>
        <v>https://dpmzos25m8ivg.cloudfront.net/Documentos/631/68869460053/6316886946005311092023165312.pdf</v>
      </c>
      <c r="H7545" s="5" t="s">
        <v>16113</v>
      </c>
    </row>
    <row r="7546" spans="1:8" x14ac:dyDescent="0.25">
      <c r="A7546" s="2" t="s">
        <v>7574</v>
      </c>
      <c r="B7546" s="3"/>
      <c r="C7546" s="3"/>
      <c r="D7546" s="3"/>
      <c r="E7546" s="5" t="str">
        <f>HYPERLINK("https://dpmzos25m8ivg.cloudfront.net/Documentos/631/68919395420/6316891939542006092023002545.pdf","https://dpmzos25m8ivg.cloudfront.net/Documentos/631/68919395420/6316891939542006092023002545.pdf")</f>
        <v>https://dpmzos25m8ivg.cloudfront.net/Documentos/631/68919395420/6316891939542006092023002545.pdf</v>
      </c>
      <c r="F7546" s="5" t="str">
        <f>HYPERLINK("https://dpmzos25m8ivg.cloudfront.net/Documentos/631/68919395420/6316891939542006092023002559.pdf","https://dpmzos25m8ivg.cloudfront.net/Documentos/631/68919395420/6316891939542006092023002559.pdf")</f>
        <v>https://dpmzos25m8ivg.cloudfront.net/Documentos/631/68919395420/6316891939542006092023002559.pdf</v>
      </c>
      <c r="G7546" s="5" t="str">
        <f>HYPERLINK("https://dpmzos25m8ivg.cloudfront.net/Documentos/631/68919395420/6316891939542006092023002614.pdf","https://dpmzos25m8ivg.cloudfront.net/Documentos/631/68919395420/6316891939542006092023002614.pdf")</f>
        <v>https://dpmzos25m8ivg.cloudfront.net/Documentos/631/68919395420/6316891939542006092023002614.pdf</v>
      </c>
      <c r="H7546" s="5" t="s">
        <v>16114</v>
      </c>
    </row>
    <row r="7547" spans="1:8" x14ac:dyDescent="0.25">
      <c r="A7547" s="2" t="s">
        <v>7575</v>
      </c>
      <c r="B7547" s="3"/>
      <c r="C7547" s="3"/>
      <c r="D7547" s="3"/>
      <c r="E7547" s="5" t="str">
        <f>HYPERLINK("https://dpmzos25m8ivg.cloudfront.net/Documentos/631/68930828272/6316893082827213092023214006.pdf","https://dpmzos25m8ivg.cloudfront.net/Documentos/631/68930828272/6316893082827213092023214006.pdf")</f>
        <v>https://dpmzos25m8ivg.cloudfront.net/Documentos/631/68930828272/6316893082827213092023214006.pdf</v>
      </c>
      <c r="F7547" s="5" t="str">
        <f>HYPERLINK("https://dpmzos25m8ivg.cloudfront.net/Documentos/631/68930828272/6316893082827213092023214053.pdf","https://dpmzos25m8ivg.cloudfront.net/Documentos/631/68930828272/6316893082827213092023214053.pdf")</f>
        <v>https://dpmzos25m8ivg.cloudfront.net/Documentos/631/68930828272/6316893082827213092023214053.pdf</v>
      </c>
      <c r="G7547" s="5" t="str">
        <f>HYPERLINK("https://dpmzos25m8ivg.cloudfront.net/Documentos/631/68930828272/6316893082827213092023214111.pdf","https://dpmzos25m8ivg.cloudfront.net/Documentos/631/68930828272/6316893082827213092023214111.pdf")</f>
        <v>https://dpmzos25m8ivg.cloudfront.net/Documentos/631/68930828272/6316893082827213092023214111.pdf</v>
      </c>
      <c r="H7547" s="5" t="s">
        <v>16115</v>
      </c>
    </row>
    <row r="7548" spans="1:8" x14ac:dyDescent="0.25">
      <c r="A7548" s="2" t="s">
        <v>7576</v>
      </c>
      <c r="B7548" s="3"/>
      <c r="C7548" s="3"/>
      <c r="D7548" s="3"/>
      <c r="E7548" s="5" t="str">
        <f>HYPERLINK("https://dpmzos25m8ivg.cloudfront.net/Documentos/631/68972288268/6316897228826810092023215018.pdf","https://dpmzos25m8ivg.cloudfront.net/Documentos/631/68972288268/6316897228826810092023215018.pdf")</f>
        <v>https://dpmzos25m8ivg.cloudfront.net/Documentos/631/68972288268/6316897228826810092023215018.pdf</v>
      </c>
      <c r="F7548" s="5" t="str">
        <f>HYPERLINK("https://dpmzos25m8ivg.cloudfront.net/Documentos/631/68972288268/6316897228826810092023215101.pdf","https://dpmzos25m8ivg.cloudfront.net/Documentos/631/68972288268/6316897228826810092023215101.pdf")</f>
        <v>https://dpmzos25m8ivg.cloudfront.net/Documentos/631/68972288268/6316897228826810092023215101.pdf</v>
      </c>
      <c r="G7548" s="5" t="str">
        <f>HYPERLINK("https://dpmzos25m8ivg.cloudfront.net/Documentos/631/68972288268/6316897228826810092023215142.pdf","https://dpmzos25m8ivg.cloudfront.net/Documentos/631/68972288268/6316897228826810092023215142.pdf")</f>
        <v>https://dpmzos25m8ivg.cloudfront.net/Documentos/631/68972288268/6316897228826810092023215142.pdf</v>
      </c>
      <c r="H7548" s="5" t="s">
        <v>16116</v>
      </c>
    </row>
    <row r="7549" spans="1:8" x14ac:dyDescent="0.25">
      <c r="A7549" s="2" t="s">
        <v>7577</v>
      </c>
      <c r="B7549" s="3"/>
      <c r="C7549" s="3"/>
      <c r="D7549" s="3"/>
      <c r="E7549" s="5" t="str">
        <f>HYPERLINK("https://dpmzos25m8ivg.cloudfront.net/Documentos/631/68986068087/6316898606808713092023130717.pdf","https://dpmzos25m8ivg.cloudfront.net/Documentos/631/68986068087/6316898606808713092023130717.pdf")</f>
        <v>https://dpmzos25m8ivg.cloudfront.net/Documentos/631/68986068087/6316898606808713092023130717.pdf</v>
      </c>
      <c r="F7549" s="5" t="str">
        <f>HYPERLINK("https://dpmzos25m8ivg.cloudfront.net/Documentos/631/68986068087/6316898606808713092023130752.pdf","https://dpmzos25m8ivg.cloudfront.net/Documentos/631/68986068087/6316898606808713092023130752.pdf")</f>
        <v>https://dpmzos25m8ivg.cloudfront.net/Documentos/631/68986068087/6316898606808713092023130752.pdf</v>
      </c>
      <c r="G7549" s="5" t="str">
        <f>HYPERLINK("https://dpmzos25m8ivg.cloudfront.net/Documentos/631/68986068087/6316898606808713092023130947.pdf","https://dpmzos25m8ivg.cloudfront.net/Documentos/631/68986068087/6316898606808713092023130947.pdf")</f>
        <v>https://dpmzos25m8ivg.cloudfront.net/Documentos/631/68986068087/6316898606808713092023130947.pdf</v>
      </c>
      <c r="H7549" s="5" t="s">
        <v>16117</v>
      </c>
    </row>
    <row r="7550" spans="1:8" x14ac:dyDescent="0.25">
      <c r="A7550" s="2" t="s">
        <v>7578</v>
      </c>
      <c r="B7550" s="3"/>
      <c r="C7550" s="3"/>
      <c r="D7550" s="3"/>
      <c r="E7550" s="5" t="str">
        <f>HYPERLINK("https://dpmzos25m8ivg.cloudfront.net/Documentos/631/69005753820/6316900575382014092023124743.jpeg","https://dpmzos25m8ivg.cloudfront.net/Documentos/631/69005753820/6316900575382014092023124743.jpeg")</f>
        <v>https://dpmzos25m8ivg.cloudfront.net/Documentos/631/69005753820/6316900575382014092023124743.jpeg</v>
      </c>
      <c r="F7550" s="5" t="str">
        <f>HYPERLINK("https://dpmzos25m8ivg.cloudfront.net/Documentos/631/69005753820/6316900575382014092023124801.jpeg","https://dpmzos25m8ivg.cloudfront.net/Documentos/631/69005753820/6316900575382014092023124801.jpeg")</f>
        <v>https://dpmzos25m8ivg.cloudfront.net/Documentos/631/69005753820/6316900575382014092023124801.jpeg</v>
      </c>
      <c r="G7550" s="5" t="str">
        <f>HYPERLINK("https://dpmzos25m8ivg.cloudfront.net/Documentos/631/69005753820/6316900575382014092023124819.jpeg","https://dpmzos25m8ivg.cloudfront.net/Documentos/631/69005753820/6316900575382014092023124819.jpeg")</f>
        <v>https://dpmzos25m8ivg.cloudfront.net/Documentos/631/69005753820/6316900575382014092023124819.jpeg</v>
      </c>
      <c r="H7550" s="5" t="s">
        <v>16118</v>
      </c>
    </row>
    <row r="7551" spans="1:8" x14ac:dyDescent="0.25">
      <c r="A7551" s="2" t="s">
        <v>7579</v>
      </c>
      <c r="B7551" s="3"/>
      <c r="C7551" s="3"/>
      <c r="D7551" s="3"/>
      <c r="E7551" s="5" t="str">
        <f>HYPERLINK("https://dpmzos25m8ivg.cloudfront.net/Documentos/631/69094233487/6316909423348710092023152243.jpeg","https://dpmzos25m8ivg.cloudfront.net/Documentos/631/69094233487/6316909423348710092023152243.jpeg")</f>
        <v>https://dpmzos25m8ivg.cloudfront.net/Documentos/631/69094233487/6316909423348710092023152243.jpeg</v>
      </c>
      <c r="F7551" s="5" t="str">
        <f>HYPERLINK("https://dpmzos25m8ivg.cloudfront.net/Documentos/631/69094233487/6316909423348710092023152257.jpeg","https://dpmzos25m8ivg.cloudfront.net/Documentos/631/69094233487/6316909423348710092023152257.jpeg")</f>
        <v>https://dpmzos25m8ivg.cloudfront.net/Documentos/631/69094233487/6316909423348710092023152257.jpeg</v>
      </c>
      <c r="G7551" s="5" t="str">
        <f>HYPERLINK("https://dpmzos25m8ivg.cloudfront.net/Documentos/631/69094233487/6316909423348710092023152314.jpeg","https://dpmzos25m8ivg.cloudfront.net/Documentos/631/69094233487/6316909423348710092023152314.jpeg")</f>
        <v>https://dpmzos25m8ivg.cloudfront.net/Documentos/631/69094233487/6316909423348710092023152314.jpeg</v>
      </c>
      <c r="H7551" s="5" t="s">
        <v>16119</v>
      </c>
    </row>
    <row r="7552" spans="1:8" x14ac:dyDescent="0.25">
      <c r="A7552" s="2" t="s">
        <v>7580</v>
      </c>
      <c r="B7552" s="3"/>
      <c r="C7552" s="3"/>
      <c r="D7552" s="3"/>
      <c r="E7552" s="5" t="str">
        <f>HYPERLINK("https://dpmzos25m8ivg.cloudfront.net/Documentos/631/69097054249/6316909705424911092023151502.pdf","https://dpmzos25m8ivg.cloudfront.net/Documentos/631/69097054249/6316909705424911092023151502.pdf")</f>
        <v>https://dpmzos25m8ivg.cloudfront.net/Documentos/631/69097054249/6316909705424911092023151502.pdf</v>
      </c>
      <c r="F7552" s="5" t="str">
        <f>HYPERLINK("https://dpmzos25m8ivg.cloudfront.net/Documentos/631/69097054249/6316909705424911092023151511.pdf","https://dpmzos25m8ivg.cloudfront.net/Documentos/631/69097054249/6316909705424911092023151511.pdf")</f>
        <v>https://dpmzos25m8ivg.cloudfront.net/Documentos/631/69097054249/6316909705424911092023151511.pdf</v>
      </c>
      <c r="G7552" s="5" t="str">
        <f>HYPERLINK("https://dpmzos25m8ivg.cloudfront.net/Documentos/631/69097054249/6316909705424911092023151526.pdf","https://dpmzos25m8ivg.cloudfront.net/Documentos/631/69097054249/6316909705424911092023151526.pdf")</f>
        <v>https://dpmzos25m8ivg.cloudfront.net/Documentos/631/69097054249/6316909705424911092023151526.pdf</v>
      </c>
      <c r="H7552" s="5" t="s">
        <v>16120</v>
      </c>
    </row>
    <row r="7553" spans="1:8" x14ac:dyDescent="0.25">
      <c r="A7553" s="2" t="s">
        <v>7581</v>
      </c>
      <c r="B7553" s="3"/>
      <c r="C7553" s="3"/>
      <c r="D7553" s="3"/>
      <c r="E7553" s="5" t="str">
        <f>HYPERLINK("https://dpmzos25m8ivg.cloudfront.net/Documentos/631/69125210297/6316912521029708092023202508.pdf","https://dpmzos25m8ivg.cloudfront.net/Documentos/631/69125210297/6316912521029708092023202508.pdf")</f>
        <v>https://dpmzos25m8ivg.cloudfront.net/Documentos/631/69125210297/6316912521029708092023202508.pdf</v>
      </c>
      <c r="F7553" s="5" t="str">
        <f>HYPERLINK("https://dpmzos25m8ivg.cloudfront.net/Documentos/631/69125210297/6316912521029708092023202526.pdf","https://dpmzos25m8ivg.cloudfront.net/Documentos/631/69125210297/6316912521029708092023202526.pdf")</f>
        <v>https://dpmzos25m8ivg.cloudfront.net/Documentos/631/69125210297/6316912521029708092023202526.pdf</v>
      </c>
      <c r="G7553" s="5" t="str">
        <f>HYPERLINK("https://dpmzos25m8ivg.cloudfront.net/Documentos/631/69125210297/6316912521029708092023202545.pdf","https://dpmzos25m8ivg.cloudfront.net/Documentos/631/69125210297/6316912521029708092023202545.pdf")</f>
        <v>https://dpmzos25m8ivg.cloudfront.net/Documentos/631/69125210297/6316912521029708092023202545.pdf</v>
      </c>
      <c r="H7553" s="5" t="s">
        <v>16121</v>
      </c>
    </row>
    <row r="7554" spans="1:8" x14ac:dyDescent="0.25">
      <c r="A7554" s="2" t="s">
        <v>7582</v>
      </c>
      <c r="B7554" s="3" t="s">
        <v>90</v>
      </c>
      <c r="C7554" s="3"/>
      <c r="D7554" s="3"/>
      <c r="E7554" s="5" t="str">
        <f>HYPERLINK("https://dpmzos25m8ivg.cloudfront.net/Documentos/631/69146640304/6316914664030411092023162259.pdf","https://dpmzos25m8ivg.cloudfront.net/Documentos/631/69146640304/6316914664030411092023162259.pdf")</f>
        <v>https://dpmzos25m8ivg.cloudfront.net/Documentos/631/69146640304/6316914664030411092023162259.pdf</v>
      </c>
      <c r="F7554" s="5" t="str">
        <f>HYPERLINK("https://dpmzos25m8ivg.cloudfront.net/Documentos/631/69146640304/6316914664030411092023162312.pdf","https://dpmzos25m8ivg.cloudfront.net/Documentos/631/69146640304/6316914664030411092023162312.pdf")</f>
        <v>https://dpmzos25m8ivg.cloudfront.net/Documentos/631/69146640304/6316914664030411092023162312.pdf</v>
      </c>
      <c r="G7554" s="5" t="str">
        <f>HYPERLINK("https://dpmzos25m8ivg.cloudfront.net/Documentos/631/69146640304/6316914664030411092023162334.pdf","https://dpmzos25m8ivg.cloudfront.net/Documentos/631/69146640304/6316914664030411092023162334.pdf")</f>
        <v>https://dpmzos25m8ivg.cloudfront.net/Documentos/631/69146640304/6316914664030411092023162334.pdf</v>
      </c>
      <c r="H7554" s="5" t="s">
        <v>16122</v>
      </c>
    </row>
    <row r="7555" spans="1:8" x14ac:dyDescent="0.25">
      <c r="A7555" s="2" t="s">
        <v>7583</v>
      </c>
      <c r="B7555" s="3" t="s">
        <v>312</v>
      </c>
      <c r="C7555" s="3"/>
      <c r="D7555" s="3"/>
      <c r="E7555" s="5" t="str">
        <f>HYPERLINK("https://dpmzos25m8ivg.cloudfront.net/Documentos/631/69237239149/6316923723914910092023191815.jpeg","https://dpmzos25m8ivg.cloudfront.net/Documentos/631/69237239149/6316923723914910092023191815.jpeg")</f>
        <v>https://dpmzos25m8ivg.cloudfront.net/Documentos/631/69237239149/6316923723914910092023191815.jpeg</v>
      </c>
      <c r="F7555" s="5" t="str">
        <f>HYPERLINK("https://dpmzos25m8ivg.cloudfront.net/Documentos/631/69237239149/6316923723914910092023191823.jpeg","https://dpmzos25m8ivg.cloudfront.net/Documentos/631/69237239149/6316923723914910092023191823.jpeg")</f>
        <v>https://dpmzos25m8ivg.cloudfront.net/Documentos/631/69237239149/6316923723914910092023191823.jpeg</v>
      </c>
      <c r="G7555" s="5" t="str">
        <f>HYPERLINK("https://dpmzos25m8ivg.cloudfront.net/Documentos/631/69237239149/6316923723914910092023191834.jpeg","https://dpmzos25m8ivg.cloudfront.net/Documentos/631/69237239149/6316923723914910092023191834.jpeg")</f>
        <v>https://dpmzos25m8ivg.cloudfront.net/Documentos/631/69237239149/6316923723914910092023191834.jpeg</v>
      </c>
      <c r="H7555" s="5" t="s">
        <v>16123</v>
      </c>
    </row>
    <row r="7556" spans="1:8" x14ac:dyDescent="0.25">
      <c r="A7556" s="2" t="s">
        <v>7584</v>
      </c>
      <c r="B7556" s="3"/>
      <c r="C7556" s="3"/>
      <c r="D7556" s="3"/>
      <c r="E7556" s="5" t="str">
        <f>HYPERLINK("https://dpmzos25m8ivg.cloudfront.net/Documentos/631/69283800478/6316928380047808092023115346.jpg","https://dpmzos25m8ivg.cloudfront.net/Documentos/631/69283800478/6316928380047808092023115346.jpg")</f>
        <v>https://dpmzos25m8ivg.cloudfront.net/Documentos/631/69283800478/6316928380047808092023115346.jpg</v>
      </c>
      <c r="F7556" s="5" t="str">
        <f>HYPERLINK("https://dpmzos25m8ivg.cloudfront.net/Documentos/631/69283800478/6316928380047808092023115531.jpg","https://dpmzos25m8ivg.cloudfront.net/Documentos/631/69283800478/6316928380047808092023115531.jpg")</f>
        <v>https://dpmzos25m8ivg.cloudfront.net/Documentos/631/69283800478/6316928380047808092023115531.jpg</v>
      </c>
      <c r="G7556" s="5" t="str">
        <f>HYPERLINK("https://dpmzos25m8ivg.cloudfront.net/Documentos/631/69283800478/6316928380047808092023115604.jpg","https://dpmzos25m8ivg.cloudfront.net/Documentos/631/69283800478/6316928380047808092023115604.jpg")</f>
        <v>https://dpmzos25m8ivg.cloudfront.net/Documentos/631/69283800478/6316928380047808092023115604.jpg</v>
      </c>
      <c r="H7556" s="5" t="s">
        <v>16124</v>
      </c>
    </row>
    <row r="7557" spans="1:8" x14ac:dyDescent="0.25">
      <c r="A7557" s="2" t="s">
        <v>7585</v>
      </c>
      <c r="B7557" s="3"/>
      <c r="C7557" s="3"/>
      <c r="D7557" s="3"/>
      <c r="E7557" s="5" t="str">
        <f>HYPERLINK("https://dpmzos25m8ivg.cloudfront.net/Documentos/631/69364095200/6316936409520010092023130930.pdf","https://dpmzos25m8ivg.cloudfront.net/Documentos/631/69364095200/6316936409520010092023130930.pdf")</f>
        <v>https://dpmzos25m8ivg.cloudfront.net/Documentos/631/69364095200/6316936409520010092023130930.pdf</v>
      </c>
      <c r="F7557" s="5" t="str">
        <f>HYPERLINK("https://dpmzos25m8ivg.cloudfront.net/Documentos/631/69364095200/6316936409520010092023130944.pdf","https://dpmzos25m8ivg.cloudfront.net/Documentos/631/69364095200/6316936409520010092023130944.pdf")</f>
        <v>https://dpmzos25m8ivg.cloudfront.net/Documentos/631/69364095200/6316936409520010092023130944.pdf</v>
      </c>
      <c r="G7557" s="5" t="str">
        <f>HYPERLINK("https://dpmzos25m8ivg.cloudfront.net/Documentos/631/69364095200/6316936409520010092023130958.pdf","https://dpmzos25m8ivg.cloudfront.net/Documentos/631/69364095200/6316936409520010092023130958.pdf")</f>
        <v>https://dpmzos25m8ivg.cloudfront.net/Documentos/631/69364095200/6316936409520010092023130958.pdf</v>
      </c>
      <c r="H7557" s="5" t="s">
        <v>16125</v>
      </c>
    </row>
    <row r="7558" spans="1:8" x14ac:dyDescent="0.25">
      <c r="A7558" s="2" t="s">
        <v>7586</v>
      </c>
      <c r="B7558" s="3"/>
      <c r="C7558" s="3"/>
      <c r="D7558" s="3"/>
      <c r="E7558" s="5" t="str">
        <f>HYPERLINK("https://dpmzos25m8ivg.cloudfront.net/Documentos/631/69365326591/6316936532659111092023005513.jpg","https://dpmzos25m8ivg.cloudfront.net/Documentos/631/69365326591/6316936532659111092023005513.jpg")</f>
        <v>https://dpmzos25m8ivg.cloudfront.net/Documentos/631/69365326591/6316936532659111092023005513.jpg</v>
      </c>
      <c r="F7558" s="5" t="str">
        <f>HYPERLINK("https://dpmzos25m8ivg.cloudfront.net/Documentos/631/69365326591/6316936532659111092023005522.jpg","https://dpmzos25m8ivg.cloudfront.net/Documentos/631/69365326591/6316936532659111092023005522.jpg")</f>
        <v>https://dpmzos25m8ivg.cloudfront.net/Documentos/631/69365326591/6316936532659111092023005522.jpg</v>
      </c>
      <c r="G7558" s="5" t="str">
        <f>HYPERLINK("https://dpmzos25m8ivg.cloudfront.net/Documentos/631/69365326591/6316936532659111092023005534.jpg","https://dpmzos25m8ivg.cloudfront.net/Documentos/631/69365326591/6316936532659111092023005534.jpg")</f>
        <v>https://dpmzos25m8ivg.cloudfront.net/Documentos/631/69365326591/6316936532659111092023005534.jpg</v>
      </c>
      <c r="H7558" s="5" t="s">
        <v>16126</v>
      </c>
    </row>
    <row r="7559" spans="1:8" x14ac:dyDescent="0.25">
      <c r="A7559" s="2" t="s">
        <v>7587</v>
      </c>
      <c r="B7559" s="3"/>
      <c r="C7559" s="3"/>
      <c r="D7559" s="3"/>
      <c r="E7559" s="5" t="str">
        <f>HYPERLINK("https://dpmzos25m8ivg.cloudfront.net/Documentos/631/69377839149/6316937783914911092023170352.pdf","https://dpmzos25m8ivg.cloudfront.net/Documentos/631/69377839149/6316937783914911092023170352.pdf")</f>
        <v>https://dpmzos25m8ivg.cloudfront.net/Documentos/631/69377839149/6316937783914911092023170352.pdf</v>
      </c>
      <c r="F7559" s="5" t="str">
        <f>HYPERLINK("https://dpmzos25m8ivg.cloudfront.net/Documentos/631/69377839149/6316937783914911092023170421.pdf","https://dpmzos25m8ivg.cloudfront.net/Documentos/631/69377839149/6316937783914911092023170421.pdf")</f>
        <v>https://dpmzos25m8ivg.cloudfront.net/Documentos/631/69377839149/6316937783914911092023170421.pdf</v>
      </c>
      <c r="G7559" s="5" t="str">
        <f>HYPERLINK("https://dpmzos25m8ivg.cloudfront.net/Documentos/631/69377839149/6316937783914911092023171022.pdf","https://dpmzos25m8ivg.cloudfront.net/Documentos/631/69377839149/6316937783914911092023171022.pdf")</f>
        <v>https://dpmzos25m8ivg.cloudfront.net/Documentos/631/69377839149/6316937783914911092023171022.pdf</v>
      </c>
      <c r="H7559" s="5" t="s">
        <v>16127</v>
      </c>
    </row>
    <row r="7560" spans="1:8" x14ac:dyDescent="0.25">
      <c r="A7560" s="2" t="s">
        <v>7588</v>
      </c>
      <c r="B7560" s="3"/>
      <c r="C7560" s="3"/>
      <c r="D7560" s="3"/>
      <c r="E7560" s="5" t="str">
        <f>HYPERLINK("https://dpmzos25m8ivg.cloudfront.net/Documentos/631/69396671215/6316939667121511092023161323.jpg","https://dpmzos25m8ivg.cloudfront.net/Documentos/631/69396671215/6316939667121511092023161323.jpg")</f>
        <v>https://dpmzos25m8ivg.cloudfront.net/Documentos/631/69396671215/6316939667121511092023161323.jpg</v>
      </c>
      <c r="F7560" s="5" t="str">
        <f>HYPERLINK("https://dpmzos25m8ivg.cloudfront.net/Documentos/631/69396671215/6316939667121511092023161341.jpg","https://dpmzos25m8ivg.cloudfront.net/Documentos/631/69396671215/6316939667121511092023161341.jpg")</f>
        <v>https://dpmzos25m8ivg.cloudfront.net/Documentos/631/69396671215/6316939667121511092023161341.jpg</v>
      </c>
      <c r="G7560" s="5" t="str">
        <f>HYPERLINK("https://dpmzos25m8ivg.cloudfront.net/Documentos/631/69396671215/6316939667121511092023161405.jpg","https://dpmzos25m8ivg.cloudfront.net/Documentos/631/69396671215/6316939667121511092023161405.jpg")</f>
        <v>https://dpmzos25m8ivg.cloudfront.net/Documentos/631/69396671215/6316939667121511092023161405.jpg</v>
      </c>
      <c r="H7560" s="5" t="s">
        <v>16128</v>
      </c>
    </row>
    <row r="7561" spans="1:8" x14ac:dyDescent="0.25">
      <c r="A7561" s="2" t="s">
        <v>7589</v>
      </c>
      <c r="B7561" s="3"/>
      <c r="C7561" s="3"/>
      <c r="D7561" s="3"/>
      <c r="E7561" s="5" t="str">
        <f>HYPERLINK("https://dpmzos25m8ivg.cloudfront.net/Documentos/631/69429600125/6316942960012511092023160413.jpg","https://dpmzos25m8ivg.cloudfront.net/Documentos/631/69429600125/6316942960012511092023160413.jpg")</f>
        <v>https://dpmzos25m8ivg.cloudfront.net/Documentos/631/69429600125/6316942960012511092023160413.jpg</v>
      </c>
      <c r="F7561" s="5" t="str">
        <f>HYPERLINK("https://dpmzos25m8ivg.cloudfront.net/Documentos/631/69429600125/6316942960012511092023143259.jpg","https://dpmzos25m8ivg.cloudfront.net/Documentos/631/69429600125/6316942960012511092023143259.jpg")</f>
        <v>https://dpmzos25m8ivg.cloudfront.net/Documentos/631/69429600125/6316942960012511092023143259.jpg</v>
      </c>
      <c r="G7561" s="5" t="str">
        <f>HYPERLINK("https://dpmzos25m8ivg.cloudfront.net/Documentos/631/69429600125/6316942960012511092023150500.jpg","https://dpmzos25m8ivg.cloudfront.net/Documentos/631/69429600125/6316942960012511092023150500.jpg")</f>
        <v>https://dpmzos25m8ivg.cloudfront.net/Documentos/631/69429600125/6316942960012511092023150500.jpg</v>
      </c>
      <c r="H7561" s="5" t="s">
        <v>16129</v>
      </c>
    </row>
    <row r="7562" spans="1:8" x14ac:dyDescent="0.25">
      <c r="A7562" s="2" t="s">
        <v>7590</v>
      </c>
      <c r="B7562" s="3"/>
      <c r="C7562" s="3"/>
      <c r="D7562" s="3"/>
      <c r="E7562" s="5" t="str">
        <f>HYPERLINK("https://dpmzos25m8ivg.cloudfront.net/Documentos/631/69469300297/6316946930029705092023172347.pdf","https://dpmzos25m8ivg.cloudfront.net/Documentos/631/69469300297/6316946930029705092023172347.pdf")</f>
        <v>https://dpmzos25m8ivg.cloudfront.net/Documentos/631/69469300297/6316946930029705092023172347.pdf</v>
      </c>
      <c r="F7562" s="5" t="str">
        <f>HYPERLINK("https://dpmzos25m8ivg.cloudfront.net/Documentos/631/69469300297/6316946930029705092023172356.pdf","https://dpmzos25m8ivg.cloudfront.net/Documentos/631/69469300297/6316946930029705092023172356.pdf")</f>
        <v>https://dpmzos25m8ivg.cloudfront.net/Documentos/631/69469300297/6316946930029705092023172356.pdf</v>
      </c>
      <c r="G7562" s="5" t="str">
        <f>HYPERLINK("https://dpmzos25m8ivg.cloudfront.net/Documentos/631/69469300297/6316946930029705092023172405.pdf","https://dpmzos25m8ivg.cloudfront.net/Documentos/631/69469300297/6316946930029705092023172405.pdf")</f>
        <v>https://dpmzos25m8ivg.cloudfront.net/Documentos/631/69469300297/6316946930029705092023172405.pdf</v>
      </c>
      <c r="H7562" s="5" t="s">
        <v>16130</v>
      </c>
    </row>
    <row r="7563" spans="1:8" x14ac:dyDescent="0.25">
      <c r="A7563" s="2" t="s">
        <v>7591</v>
      </c>
      <c r="B7563" s="3"/>
      <c r="C7563" s="3"/>
      <c r="D7563" s="3"/>
      <c r="E7563" s="5" t="str">
        <f>HYPERLINK("https://dpmzos25m8ivg.cloudfront.net/Documentos/631/69491542087/6316949154208710092023233239.pdf","https://dpmzos25m8ivg.cloudfront.net/Documentos/631/69491542087/6316949154208710092023233239.pdf")</f>
        <v>https://dpmzos25m8ivg.cloudfront.net/Documentos/631/69491542087/6316949154208710092023233239.pdf</v>
      </c>
      <c r="F7563" s="5" t="str">
        <f>HYPERLINK("https://dpmzos25m8ivg.cloudfront.net/Documentos/631/69491542087/6316949154208710092023233249.pdf","https://dpmzos25m8ivg.cloudfront.net/Documentos/631/69491542087/6316949154208710092023233249.pdf")</f>
        <v>https://dpmzos25m8ivg.cloudfront.net/Documentos/631/69491542087/6316949154208710092023233249.pdf</v>
      </c>
      <c r="G7563" s="5" t="str">
        <f>HYPERLINK("https://dpmzos25m8ivg.cloudfront.net/Documentos/631/69491542087/6316949154208710092023233259.pdf","https://dpmzos25m8ivg.cloudfront.net/Documentos/631/69491542087/6316949154208710092023233259.pdf")</f>
        <v>https://dpmzos25m8ivg.cloudfront.net/Documentos/631/69491542087/6316949154208710092023233259.pdf</v>
      </c>
      <c r="H7563" s="5" t="s">
        <v>16131</v>
      </c>
    </row>
    <row r="7564" spans="1:8" x14ac:dyDescent="0.25">
      <c r="A7564" s="2" t="s">
        <v>7592</v>
      </c>
      <c r="B7564" s="3"/>
      <c r="C7564" s="3"/>
      <c r="D7564" s="3"/>
      <c r="E7564" s="5" t="str">
        <f>HYPERLINK("https://dpmzos25m8ivg.cloudfront.net/Documentos/631/69514356420/6316951435642006092023092951.pdf","https://dpmzos25m8ivg.cloudfront.net/Documentos/631/69514356420/6316951435642006092023092951.pdf")</f>
        <v>https://dpmzos25m8ivg.cloudfront.net/Documentos/631/69514356420/6316951435642006092023092951.pdf</v>
      </c>
      <c r="F7564" s="5" t="str">
        <f>HYPERLINK("https://dpmzos25m8ivg.cloudfront.net/Documentos/631/69514356420/6316951435642006092023093004.pdf","https://dpmzos25m8ivg.cloudfront.net/Documentos/631/69514356420/6316951435642006092023093004.pdf")</f>
        <v>https://dpmzos25m8ivg.cloudfront.net/Documentos/631/69514356420/6316951435642006092023093004.pdf</v>
      </c>
      <c r="G7564" s="5" t="str">
        <f>HYPERLINK("https://dpmzos25m8ivg.cloudfront.net/Documentos/631/69514356420/6316951435642006092023093021.pdf","https://dpmzos25m8ivg.cloudfront.net/Documentos/631/69514356420/6316951435642006092023093021.pdf")</f>
        <v>https://dpmzos25m8ivg.cloudfront.net/Documentos/631/69514356420/6316951435642006092023093021.pdf</v>
      </c>
      <c r="H7564" s="5" t="s">
        <v>16132</v>
      </c>
    </row>
    <row r="7565" spans="1:8" x14ac:dyDescent="0.25">
      <c r="A7565" s="2" t="s">
        <v>7593</v>
      </c>
      <c r="B7565" s="3" t="s">
        <v>23</v>
      </c>
      <c r="C7565" s="3"/>
      <c r="D7565" s="3"/>
      <c r="E7565" s="5" t="str">
        <f>HYPERLINK("https://dpmzos25m8ivg.cloudfront.net/Documentos/631/69782016500/6316978201650006092023111649.pdf","https://dpmzos25m8ivg.cloudfront.net/Documentos/631/69782016500/6316978201650006092023111649.pdf")</f>
        <v>https://dpmzos25m8ivg.cloudfront.net/Documentos/631/69782016500/6316978201650006092023111649.pdf</v>
      </c>
      <c r="F7565" s="5" t="str">
        <f>HYPERLINK("https://dpmzos25m8ivg.cloudfront.net/Documentos/631/69782016500/6316978201650006092023111719.pdf","https://dpmzos25m8ivg.cloudfront.net/Documentos/631/69782016500/6316978201650006092023111719.pdf")</f>
        <v>https://dpmzos25m8ivg.cloudfront.net/Documentos/631/69782016500/6316978201650006092023111719.pdf</v>
      </c>
      <c r="G7565" s="5" t="str">
        <f>HYPERLINK("https://dpmzos25m8ivg.cloudfront.net/Documentos/631/69782016500/6316978201650006092023111739.pdf","https://dpmzos25m8ivg.cloudfront.net/Documentos/631/69782016500/6316978201650006092023111739.pdf")</f>
        <v>https://dpmzos25m8ivg.cloudfront.net/Documentos/631/69782016500/6316978201650006092023111739.pdf</v>
      </c>
      <c r="H7565" s="5" t="s">
        <v>16133</v>
      </c>
    </row>
    <row r="7566" spans="1:8" x14ac:dyDescent="0.25">
      <c r="A7566" s="2" t="s">
        <v>7594</v>
      </c>
      <c r="B7566" s="3"/>
      <c r="C7566" s="3"/>
      <c r="D7566" s="3"/>
      <c r="E7566" s="5" t="str">
        <f>HYPERLINK("https://dpmzos25m8ivg.cloudfront.net/Documentos/631/69798346220/6316979834622010092023215822.pdf","https://dpmzos25m8ivg.cloudfront.net/Documentos/631/69798346220/6316979834622010092023215822.pdf")</f>
        <v>https://dpmzos25m8ivg.cloudfront.net/Documentos/631/69798346220/6316979834622010092023215822.pdf</v>
      </c>
      <c r="F7566" s="5" t="str">
        <f>HYPERLINK("https://dpmzos25m8ivg.cloudfront.net/Documentos/631/69798346220/6316979834622010092023220106.pdf","https://dpmzos25m8ivg.cloudfront.net/Documentos/631/69798346220/6316979834622010092023220106.pdf")</f>
        <v>https://dpmzos25m8ivg.cloudfront.net/Documentos/631/69798346220/6316979834622010092023220106.pdf</v>
      </c>
      <c r="G7566" s="5" t="str">
        <f>HYPERLINK("https://dpmzos25m8ivg.cloudfront.net/Documentos/631/69798346220/6316979834622010092023220337.pdf","https://dpmzos25m8ivg.cloudfront.net/Documentos/631/69798346220/6316979834622010092023220337.pdf")</f>
        <v>https://dpmzos25m8ivg.cloudfront.net/Documentos/631/69798346220/6316979834622010092023220337.pdf</v>
      </c>
      <c r="H7566" s="5" t="s">
        <v>16134</v>
      </c>
    </row>
    <row r="7567" spans="1:8" x14ac:dyDescent="0.25">
      <c r="A7567" s="2" t="s">
        <v>7595</v>
      </c>
      <c r="B7567" s="3"/>
      <c r="C7567" s="3"/>
      <c r="D7567" s="3"/>
      <c r="E7567" s="5" t="str">
        <f>HYPERLINK("https://dpmzos25m8ivg.cloudfront.net/Documentos/631/69817839672/6316981783967211092023073643.pdf","https://dpmzos25m8ivg.cloudfront.net/Documentos/631/69817839672/6316981783967211092023073643.pdf")</f>
        <v>https://dpmzos25m8ivg.cloudfront.net/Documentos/631/69817839672/6316981783967211092023073643.pdf</v>
      </c>
      <c r="F7567" s="5" t="str">
        <f>HYPERLINK("https://dpmzos25m8ivg.cloudfront.net/Documentos/631/69817839672/6316981783967211092023074027.pdf","https://dpmzos25m8ivg.cloudfront.net/Documentos/631/69817839672/6316981783967211092023074027.pdf")</f>
        <v>https://dpmzos25m8ivg.cloudfront.net/Documentos/631/69817839672/6316981783967211092023074027.pdf</v>
      </c>
      <c r="G7567" s="5" t="str">
        <f>HYPERLINK("https://dpmzos25m8ivg.cloudfront.net/Documentos/631/69817839672/6316981783967211092023074117.pdf","https://dpmzos25m8ivg.cloudfront.net/Documentos/631/69817839672/6316981783967211092023074117.pdf")</f>
        <v>https://dpmzos25m8ivg.cloudfront.net/Documentos/631/69817839672/6316981783967211092023074117.pdf</v>
      </c>
      <c r="H7567" s="5" t="s">
        <v>16135</v>
      </c>
    </row>
    <row r="7568" spans="1:8" x14ac:dyDescent="0.25">
      <c r="A7568" s="2" t="s">
        <v>7596</v>
      </c>
      <c r="B7568" s="3"/>
      <c r="C7568" s="3"/>
      <c r="D7568" s="3"/>
      <c r="E7568" s="5" t="str">
        <f>HYPERLINK("https://dpmzos25m8ivg.cloudfront.net/Documentos/631/69910979187/6316991097918705092023145112.jpeg","https://dpmzos25m8ivg.cloudfront.net/Documentos/631/69910979187/6316991097918705092023145112.jpeg")</f>
        <v>https://dpmzos25m8ivg.cloudfront.net/Documentos/631/69910979187/6316991097918705092023145112.jpeg</v>
      </c>
      <c r="F7568" s="5" t="str">
        <f>HYPERLINK("https://dpmzos25m8ivg.cloudfront.net/Documentos/631/69910979187/6316991097918705092023145136.jpeg","https://dpmzos25m8ivg.cloudfront.net/Documentos/631/69910979187/6316991097918705092023145136.jpeg")</f>
        <v>https://dpmzos25m8ivg.cloudfront.net/Documentos/631/69910979187/6316991097918705092023145136.jpeg</v>
      </c>
      <c r="G7568" s="5" t="str">
        <f>HYPERLINK("https://dpmzos25m8ivg.cloudfront.net/Documentos/631/69910979187/6316991097918705092023145200.jpeg","https://dpmzos25m8ivg.cloudfront.net/Documentos/631/69910979187/6316991097918705092023145200.jpeg")</f>
        <v>https://dpmzos25m8ivg.cloudfront.net/Documentos/631/69910979187/6316991097918705092023145200.jpeg</v>
      </c>
      <c r="H7568" s="5" t="s">
        <v>16136</v>
      </c>
    </row>
    <row r="7569" spans="1:8" x14ac:dyDescent="0.25">
      <c r="A7569" s="2" t="s">
        <v>7597</v>
      </c>
      <c r="B7569" s="3"/>
      <c r="C7569" s="3"/>
      <c r="D7569" s="3"/>
      <c r="E7569" s="5" t="str">
        <f>HYPERLINK("https://dpmzos25m8ivg.cloudfront.net/Documentos/631/69950954134/6316995095413405092023114126.jpeg","https://dpmzos25m8ivg.cloudfront.net/Documentos/631/69950954134/6316995095413405092023114126.jpeg")</f>
        <v>https://dpmzos25m8ivg.cloudfront.net/Documentos/631/69950954134/6316995095413405092023114126.jpeg</v>
      </c>
      <c r="F7569" s="5" t="str">
        <f>HYPERLINK("https://dpmzos25m8ivg.cloudfront.net/Documentos/631/69950954134/6316995095413405092023114140.jpeg","https://dpmzos25m8ivg.cloudfront.net/Documentos/631/69950954134/6316995095413405092023114140.jpeg")</f>
        <v>https://dpmzos25m8ivg.cloudfront.net/Documentos/631/69950954134/6316995095413405092023114140.jpeg</v>
      </c>
      <c r="G7569" s="5" t="str">
        <f>HYPERLINK("https://dpmzos25m8ivg.cloudfront.net/Documentos/631/69950954134/6316995095413405092023114153.jpeg","https://dpmzos25m8ivg.cloudfront.net/Documentos/631/69950954134/6316995095413405092023114153.jpeg")</f>
        <v>https://dpmzos25m8ivg.cloudfront.net/Documentos/631/69950954134/6316995095413405092023114153.jpeg</v>
      </c>
      <c r="H7569" s="5" t="s">
        <v>16137</v>
      </c>
    </row>
    <row r="7570" spans="1:8" x14ac:dyDescent="0.25">
      <c r="A7570" s="2" t="s">
        <v>7598</v>
      </c>
      <c r="B7570" s="3" t="s">
        <v>90</v>
      </c>
      <c r="C7570" s="3"/>
      <c r="D7570" s="3"/>
      <c r="E7570" s="5" t="str">
        <f>HYPERLINK("https://dpmzos25m8ivg.cloudfront.net/Documentos/631/69957665120/6316995766512011092023123429.jpg","https://dpmzos25m8ivg.cloudfront.net/Documentos/631/69957665120/6316995766512011092023123429.jpg")</f>
        <v>https://dpmzos25m8ivg.cloudfront.net/Documentos/631/69957665120/6316995766512011092023123429.jpg</v>
      </c>
      <c r="F7570" s="5" t="str">
        <f>HYPERLINK("https://dpmzos25m8ivg.cloudfront.net/Documentos/631/69957665120/6316995766512011092023123447.jpg","https://dpmzos25m8ivg.cloudfront.net/Documentos/631/69957665120/6316995766512011092023123447.jpg")</f>
        <v>https://dpmzos25m8ivg.cloudfront.net/Documentos/631/69957665120/6316995766512011092023123447.jpg</v>
      </c>
      <c r="G7570" s="5" t="str">
        <f>HYPERLINK("https://dpmzos25m8ivg.cloudfront.net/Documentos/631/69957665120/6316995766512011092023123504.jpg","https://dpmzos25m8ivg.cloudfront.net/Documentos/631/69957665120/6316995766512011092023123504.jpg")</f>
        <v>https://dpmzos25m8ivg.cloudfront.net/Documentos/631/69957665120/6316995766512011092023123504.jpg</v>
      </c>
      <c r="H7570" s="5" t="s">
        <v>16138</v>
      </c>
    </row>
    <row r="7571" spans="1:8" x14ac:dyDescent="0.25">
      <c r="A7571" s="2" t="s">
        <v>7599</v>
      </c>
      <c r="B7571" s="3"/>
      <c r="C7571" s="3"/>
      <c r="D7571" s="3"/>
      <c r="E7571" s="5" t="str">
        <f>HYPERLINK("https://dpmzos25m8ivg.cloudfront.net/Documentos/631/70001893637/6317000189363707092023154520.pdf","https://dpmzos25m8ivg.cloudfront.net/Documentos/631/70001893637/6317000189363707092023154520.pdf")</f>
        <v>https://dpmzos25m8ivg.cloudfront.net/Documentos/631/70001893637/6317000189363707092023154520.pdf</v>
      </c>
      <c r="F7571" s="5" t="str">
        <f>HYPERLINK("https://dpmzos25m8ivg.cloudfront.net/Documentos/631/70001893637/6317000189363707092023154527.pdf","https://dpmzos25m8ivg.cloudfront.net/Documentos/631/70001893637/6317000189363707092023154527.pdf")</f>
        <v>https://dpmzos25m8ivg.cloudfront.net/Documentos/631/70001893637/6317000189363707092023154527.pdf</v>
      </c>
      <c r="G7571" s="5" t="str">
        <f>HYPERLINK("https://dpmzos25m8ivg.cloudfront.net/Documentos/631/70001893637/6317000189363707092023154534.pdf","https://dpmzos25m8ivg.cloudfront.net/Documentos/631/70001893637/6317000189363707092023154534.pdf")</f>
        <v>https://dpmzos25m8ivg.cloudfront.net/Documentos/631/70001893637/6317000189363707092023154534.pdf</v>
      </c>
      <c r="H7571" s="5" t="s">
        <v>16139</v>
      </c>
    </row>
    <row r="7572" spans="1:8" x14ac:dyDescent="0.25">
      <c r="A7572" s="2" t="s">
        <v>7600</v>
      </c>
      <c r="B7572" s="3"/>
      <c r="C7572" s="3"/>
      <c r="D7572" s="3"/>
      <c r="E7572" s="5" t="str">
        <f>HYPERLINK("https://dpmzos25m8ivg.cloudfront.net/Documentos/631/70011949139/6317001194913904092023205735.pdf","https://dpmzos25m8ivg.cloudfront.net/Documentos/631/70011949139/6317001194913904092023205735.pdf")</f>
        <v>https://dpmzos25m8ivg.cloudfront.net/Documentos/631/70011949139/6317001194913904092023205735.pdf</v>
      </c>
      <c r="F7572" s="5" t="str">
        <f>HYPERLINK("https://dpmzos25m8ivg.cloudfront.net/Documentos/631/70011949139/6317001194913908092023093851.pdf","https://dpmzos25m8ivg.cloudfront.net/Documentos/631/70011949139/6317001194913908092023093851.pdf")</f>
        <v>https://dpmzos25m8ivg.cloudfront.net/Documentos/631/70011949139/6317001194913908092023093851.pdf</v>
      </c>
      <c r="G7572" s="5" t="str">
        <f>HYPERLINK("https://dpmzos25m8ivg.cloudfront.net/Documentos/631/70011949139/6317001194913908092023093900.pdf","https://dpmzos25m8ivg.cloudfront.net/Documentos/631/70011949139/6317001194913908092023093900.pdf")</f>
        <v>https://dpmzos25m8ivg.cloudfront.net/Documentos/631/70011949139/6317001194913908092023093900.pdf</v>
      </c>
      <c r="H7572" s="5" t="s">
        <v>16140</v>
      </c>
    </row>
    <row r="7573" spans="1:8" x14ac:dyDescent="0.25">
      <c r="A7573" s="2" t="s">
        <v>7601</v>
      </c>
      <c r="B7573" s="3" t="s">
        <v>308</v>
      </c>
      <c r="C7573" s="3"/>
      <c r="D7573" s="3"/>
      <c r="E7573" s="5" t="str">
        <f>HYPERLINK("https://dpmzos25m8ivg.cloudfront.net/Documentos/631/70019203128/6317001920312805092023153313.pdf","https://dpmzos25m8ivg.cloudfront.net/Documentos/631/70019203128/6317001920312805092023153313.pdf")</f>
        <v>https://dpmzos25m8ivg.cloudfront.net/Documentos/631/70019203128/6317001920312805092023153313.pdf</v>
      </c>
      <c r="F7573" s="5" t="str">
        <f>HYPERLINK("https://dpmzos25m8ivg.cloudfront.net/Documentos/631/70019203128/6317001920312805092023153337.pdf","https://dpmzos25m8ivg.cloudfront.net/Documentos/631/70019203128/6317001920312805092023153337.pdf")</f>
        <v>https://dpmzos25m8ivg.cloudfront.net/Documentos/631/70019203128/6317001920312805092023153337.pdf</v>
      </c>
      <c r="G7573" s="5" t="str">
        <f>HYPERLINK("https://dpmzos25m8ivg.cloudfront.net/Documentos/631/70019203128/6317001920312805092023153410.pdf","https://dpmzos25m8ivg.cloudfront.net/Documentos/631/70019203128/6317001920312805092023153410.pdf")</f>
        <v>https://dpmzos25m8ivg.cloudfront.net/Documentos/631/70019203128/6317001920312805092023153410.pdf</v>
      </c>
      <c r="H7573" s="5" t="s">
        <v>16141</v>
      </c>
    </row>
    <row r="7574" spans="1:8" x14ac:dyDescent="0.25">
      <c r="A7574" s="2" t="s">
        <v>7602</v>
      </c>
      <c r="B7574" s="3" t="s">
        <v>23</v>
      </c>
      <c r="C7574" s="3"/>
      <c r="D7574" s="3"/>
      <c r="E7574" s="5" t="str">
        <f>HYPERLINK("https://dpmzos25m8ivg.cloudfront.net/Documentos/631/70039267334/6317003926733408092023055818.pdf","https://dpmzos25m8ivg.cloudfront.net/Documentos/631/70039267334/6317003926733408092023055818.pdf")</f>
        <v>https://dpmzos25m8ivg.cloudfront.net/Documentos/631/70039267334/6317003926733408092023055818.pdf</v>
      </c>
      <c r="F7574" s="5" t="str">
        <f>HYPERLINK("https://dpmzos25m8ivg.cloudfront.net/Documentos/631/70039267334/6317003926733408092023055904.pdf","https://dpmzos25m8ivg.cloudfront.net/Documentos/631/70039267334/6317003926733408092023055904.pdf")</f>
        <v>https://dpmzos25m8ivg.cloudfront.net/Documentos/631/70039267334/6317003926733408092023055904.pdf</v>
      </c>
      <c r="G7574" s="5" t="str">
        <f>HYPERLINK("https://dpmzos25m8ivg.cloudfront.net/Documentos/631/70039267334/6317003926733408092023055916.pdf","https://dpmzos25m8ivg.cloudfront.net/Documentos/631/70039267334/6317003926733408092023055916.pdf")</f>
        <v>https://dpmzos25m8ivg.cloudfront.net/Documentos/631/70039267334/6317003926733408092023055916.pdf</v>
      </c>
      <c r="H7574" s="5" t="s">
        <v>16142</v>
      </c>
    </row>
    <row r="7575" spans="1:8" x14ac:dyDescent="0.25">
      <c r="A7575" s="2" t="s">
        <v>7603</v>
      </c>
      <c r="B7575" s="3"/>
      <c r="C7575" s="3"/>
      <c r="D7575" s="3"/>
      <c r="E7575" s="5" t="str">
        <f>HYPERLINK("https://dpmzos25m8ivg.cloudfront.net/Documentos/631/70043012140/6317004301214010092023163419.pdf","https://dpmzos25m8ivg.cloudfront.net/Documentos/631/70043012140/6317004301214010092023163419.pdf")</f>
        <v>https://dpmzos25m8ivg.cloudfront.net/Documentos/631/70043012140/6317004301214010092023163419.pdf</v>
      </c>
      <c r="F7575" s="5" t="str">
        <f>HYPERLINK("https://dpmzos25m8ivg.cloudfront.net/Documentos/631/70043012140/6317004301214010092023163436.pdf","https://dpmzos25m8ivg.cloudfront.net/Documentos/631/70043012140/6317004301214010092023163436.pdf")</f>
        <v>https://dpmzos25m8ivg.cloudfront.net/Documentos/631/70043012140/6317004301214010092023163436.pdf</v>
      </c>
      <c r="G7575" s="5" t="str">
        <f>HYPERLINK("https://dpmzos25m8ivg.cloudfront.net/Documentos/631/70043012140/6317004301214010092023163450.pdf","https://dpmzos25m8ivg.cloudfront.net/Documentos/631/70043012140/6317004301214010092023163450.pdf")</f>
        <v>https://dpmzos25m8ivg.cloudfront.net/Documentos/631/70043012140/6317004301214010092023163450.pdf</v>
      </c>
      <c r="H7575" s="5" t="s">
        <v>16143</v>
      </c>
    </row>
    <row r="7576" spans="1:8" x14ac:dyDescent="0.25">
      <c r="A7576" s="2" t="s">
        <v>7604</v>
      </c>
      <c r="B7576" s="3"/>
      <c r="C7576" s="3"/>
      <c r="D7576" s="3"/>
      <c r="E7576" s="5" t="str">
        <f>HYPERLINK("https://dpmzos25m8ivg.cloudfront.net/Documentos/631/70043955100/6317004395510009092023101154.pdf","https://dpmzos25m8ivg.cloudfront.net/Documentos/631/70043955100/6317004395510009092023101154.pdf")</f>
        <v>https://dpmzos25m8ivg.cloudfront.net/Documentos/631/70043955100/6317004395510009092023101154.pdf</v>
      </c>
      <c r="F7576" s="5" t="str">
        <f>HYPERLINK("https://dpmzos25m8ivg.cloudfront.net/Documentos/631/70043955100/6317004395510009092023101234.pdf","https://dpmzos25m8ivg.cloudfront.net/Documentos/631/70043955100/6317004395510009092023101234.pdf")</f>
        <v>https://dpmzos25m8ivg.cloudfront.net/Documentos/631/70043955100/6317004395510009092023101234.pdf</v>
      </c>
      <c r="G7576" s="5" t="str">
        <f>HYPERLINK("https://dpmzos25m8ivg.cloudfront.net/Documentos/631/70043955100/6317004395510009092023101327.pdf","https://dpmzos25m8ivg.cloudfront.net/Documentos/631/70043955100/6317004395510009092023101327.pdf")</f>
        <v>https://dpmzos25m8ivg.cloudfront.net/Documentos/631/70043955100/6317004395510009092023101327.pdf</v>
      </c>
      <c r="H7576" s="5" t="s">
        <v>16144</v>
      </c>
    </row>
    <row r="7577" spans="1:8" x14ac:dyDescent="0.25">
      <c r="A7577" s="2" t="s">
        <v>7605</v>
      </c>
      <c r="B7577" s="3"/>
      <c r="C7577" s="3"/>
      <c r="D7577" s="3"/>
      <c r="E7577" s="5" t="str">
        <f>HYPERLINK("https://dpmzos25m8ivg.cloudfront.net/Documentos/631/70046632131/6317004663213111092023102344.pdf","https://dpmzos25m8ivg.cloudfront.net/Documentos/631/70046632131/6317004663213111092023102344.pdf")</f>
        <v>https://dpmzos25m8ivg.cloudfront.net/Documentos/631/70046632131/6317004663213111092023102344.pdf</v>
      </c>
      <c r="F7577" s="5" t="str">
        <f>HYPERLINK("https://dpmzos25m8ivg.cloudfront.net/Documentos/631/70046632131/6317004663213111092023102352.pdf","https://dpmzos25m8ivg.cloudfront.net/Documentos/631/70046632131/6317004663213111092023102352.pdf")</f>
        <v>https://dpmzos25m8ivg.cloudfront.net/Documentos/631/70046632131/6317004663213111092023102352.pdf</v>
      </c>
      <c r="G7577" s="5" t="str">
        <f>HYPERLINK("https://dpmzos25m8ivg.cloudfront.net/Documentos/631/70046632131/6317004663213111092023102359.pdf","https://dpmzos25m8ivg.cloudfront.net/Documentos/631/70046632131/6317004663213111092023102359.pdf")</f>
        <v>https://dpmzos25m8ivg.cloudfront.net/Documentos/631/70046632131/6317004663213111092023102359.pdf</v>
      </c>
      <c r="H7577" s="5" t="s">
        <v>16145</v>
      </c>
    </row>
    <row r="7578" spans="1:8" x14ac:dyDescent="0.25">
      <c r="A7578" s="2" t="s">
        <v>7606</v>
      </c>
      <c r="B7578" s="3"/>
      <c r="C7578" s="3"/>
      <c r="D7578" s="3"/>
      <c r="E7578" s="5" t="str">
        <f>HYPERLINK("https://dpmzos25m8ivg.cloudfront.net/Documentos/631/70046897194/6317004689719411092023095407.pdf","https://dpmzos25m8ivg.cloudfront.net/Documentos/631/70046897194/6317004689719411092023095407.pdf")</f>
        <v>https://dpmzos25m8ivg.cloudfront.net/Documentos/631/70046897194/6317004689719411092023095407.pdf</v>
      </c>
      <c r="F7578" s="5" t="str">
        <f>HYPERLINK("https://dpmzos25m8ivg.cloudfront.net/Documentos/631/70046897194/6317004689719411092023095414.pdf","https://dpmzos25m8ivg.cloudfront.net/Documentos/631/70046897194/6317004689719411092023095414.pdf")</f>
        <v>https://dpmzos25m8ivg.cloudfront.net/Documentos/631/70046897194/6317004689719411092023095414.pdf</v>
      </c>
      <c r="G7578" s="5" t="str">
        <f>HYPERLINK("https://dpmzos25m8ivg.cloudfront.net/Documentos/631/70046897194/6317004689719411092023095422.pdf","https://dpmzos25m8ivg.cloudfront.net/Documentos/631/70046897194/6317004689719411092023095422.pdf")</f>
        <v>https://dpmzos25m8ivg.cloudfront.net/Documentos/631/70046897194/6317004689719411092023095422.pdf</v>
      </c>
      <c r="H7578" s="5" t="s">
        <v>16146</v>
      </c>
    </row>
    <row r="7579" spans="1:8" x14ac:dyDescent="0.25">
      <c r="A7579" s="2" t="s">
        <v>7607</v>
      </c>
      <c r="B7579" s="3"/>
      <c r="C7579" s="3"/>
      <c r="D7579" s="3"/>
      <c r="E7579" s="5" t="str">
        <f>HYPERLINK("https://dpmzos25m8ivg.cloudfront.net/Documentos/631/70047931175/6317004793117511092023081746.jpg","https://dpmzos25m8ivg.cloudfront.net/Documentos/631/70047931175/6317004793117511092023081746.jpg")</f>
        <v>https://dpmzos25m8ivg.cloudfront.net/Documentos/631/70047931175/6317004793117511092023081746.jpg</v>
      </c>
      <c r="F7579" s="5" t="str">
        <f>HYPERLINK("https://dpmzos25m8ivg.cloudfront.net/Documentos/631/70047931175/6317004793117511092023081802.jpg","https://dpmzos25m8ivg.cloudfront.net/Documentos/631/70047931175/6317004793117511092023081802.jpg")</f>
        <v>https://dpmzos25m8ivg.cloudfront.net/Documentos/631/70047931175/6317004793117511092023081802.jpg</v>
      </c>
      <c r="G7579" s="5" t="str">
        <f>HYPERLINK("https://dpmzos25m8ivg.cloudfront.net/Documentos/631/70047931175/6317004793117511092023081817.jpg","https://dpmzos25m8ivg.cloudfront.net/Documentos/631/70047931175/6317004793117511092023081817.jpg")</f>
        <v>https://dpmzos25m8ivg.cloudfront.net/Documentos/631/70047931175/6317004793117511092023081817.jpg</v>
      </c>
      <c r="H7579" s="5" t="s">
        <v>16147</v>
      </c>
    </row>
    <row r="7580" spans="1:8" x14ac:dyDescent="0.25">
      <c r="A7580" s="2" t="s">
        <v>7608</v>
      </c>
      <c r="B7580" s="3"/>
      <c r="C7580" s="3"/>
      <c r="D7580" s="3"/>
      <c r="E7580" s="5" t="str">
        <f>HYPERLINK("https://dpmzos25m8ivg.cloudfront.net/Documentos/631/70051526549/6317005152654905092023153942.pdf","https://dpmzos25m8ivg.cloudfront.net/Documentos/631/70051526549/6317005152654905092023153942.pdf")</f>
        <v>https://dpmzos25m8ivg.cloudfront.net/Documentos/631/70051526549/6317005152654905092023153942.pdf</v>
      </c>
      <c r="F7580" s="5" t="str">
        <f>HYPERLINK("https://dpmzos25m8ivg.cloudfront.net/Documentos/631/70051526549/6317005152654905092023154002.pdf","https://dpmzos25m8ivg.cloudfront.net/Documentos/631/70051526549/6317005152654905092023154002.pdf")</f>
        <v>https://dpmzos25m8ivg.cloudfront.net/Documentos/631/70051526549/6317005152654905092023154002.pdf</v>
      </c>
      <c r="G7580" s="5" t="str">
        <f>HYPERLINK("https://dpmzos25m8ivg.cloudfront.net/Documentos/631/70051526549/6317005152654905092023154019.pdf","https://dpmzos25m8ivg.cloudfront.net/Documentos/631/70051526549/6317005152654905092023154019.pdf")</f>
        <v>https://dpmzos25m8ivg.cloudfront.net/Documentos/631/70051526549/6317005152654905092023154019.pdf</v>
      </c>
      <c r="H7580" s="5" t="s">
        <v>16148</v>
      </c>
    </row>
    <row r="7581" spans="1:8" x14ac:dyDescent="0.25">
      <c r="A7581" s="2" t="s">
        <v>7609</v>
      </c>
      <c r="B7581" s="3"/>
      <c r="C7581" s="3"/>
      <c r="D7581" s="3"/>
      <c r="E7581" s="5" t="str">
        <f>HYPERLINK("https://dpmzos25m8ivg.cloudfront.net/Documentos/631/70053522621/6317005352262113092023115019.pdf","https://dpmzos25m8ivg.cloudfront.net/Documentos/631/70053522621/6317005352262113092023115019.pdf")</f>
        <v>https://dpmzos25m8ivg.cloudfront.net/Documentos/631/70053522621/6317005352262113092023115019.pdf</v>
      </c>
      <c r="F7581" s="5" t="str">
        <f>HYPERLINK("https://dpmzos25m8ivg.cloudfront.net/Documentos/631/70053522621/6317005352262113092023115034.pdf","https://dpmzos25m8ivg.cloudfront.net/Documentos/631/70053522621/6317005352262113092023115034.pdf")</f>
        <v>https://dpmzos25m8ivg.cloudfront.net/Documentos/631/70053522621/6317005352262113092023115034.pdf</v>
      </c>
      <c r="G7581" s="5" t="str">
        <f>HYPERLINK("https://dpmzos25m8ivg.cloudfront.net/Documentos/631/70053522621/6317005352262113092023115053.pdf","https://dpmzos25m8ivg.cloudfront.net/Documentos/631/70053522621/6317005352262113092023115053.pdf")</f>
        <v>https://dpmzos25m8ivg.cloudfront.net/Documentos/631/70053522621/6317005352262113092023115053.pdf</v>
      </c>
      <c r="H7581" s="5" t="s">
        <v>16149</v>
      </c>
    </row>
    <row r="7582" spans="1:8" x14ac:dyDescent="0.25">
      <c r="A7582" s="2" t="s">
        <v>7610</v>
      </c>
      <c r="B7582" s="3"/>
      <c r="C7582" s="3"/>
      <c r="D7582" s="3"/>
      <c r="E7582" s="5" t="str">
        <f>HYPERLINK("https://dpmzos25m8ivg.cloudfront.net/Documentos/631/70056722400/6317005672240006092023213938.pdf","https://dpmzos25m8ivg.cloudfront.net/Documentos/631/70056722400/6317005672240006092023213938.pdf")</f>
        <v>https://dpmzos25m8ivg.cloudfront.net/Documentos/631/70056722400/6317005672240006092023213938.pdf</v>
      </c>
      <c r="F7582" s="5" t="str">
        <f>HYPERLINK("https://dpmzos25m8ivg.cloudfront.net/Documentos/631/70056722400/6317005672240006092023214002.pdf","https://dpmzos25m8ivg.cloudfront.net/Documentos/631/70056722400/6317005672240006092023214002.pdf")</f>
        <v>https://dpmzos25m8ivg.cloudfront.net/Documentos/631/70056722400/6317005672240006092023214002.pdf</v>
      </c>
      <c r="G7582" s="5" t="str">
        <f>HYPERLINK("https://dpmzos25m8ivg.cloudfront.net/Documentos/631/70056722400/6317005672240006092023214034.pdf","https://dpmzos25m8ivg.cloudfront.net/Documentos/631/70056722400/6317005672240006092023214034.pdf")</f>
        <v>https://dpmzos25m8ivg.cloudfront.net/Documentos/631/70056722400/6317005672240006092023214034.pdf</v>
      </c>
      <c r="H7582" s="5" t="s">
        <v>16150</v>
      </c>
    </row>
    <row r="7583" spans="1:8" x14ac:dyDescent="0.25">
      <c r="A7583" s="2" t="s">
        <v>7611</v>
      </c>
      <c r="B7583" s="3"/>
      <c r="C7583" s="3"/>
      <c r="D7583" s="3"/>
      <c r="E7583" s="5" t="str">
        <f>HYPERLINK("https://dpmzos25m8ivg.cloudfront.net/Documentos/631/70060410159/6317006041015911092023143424.pdf","https://dpmzos25m8ivg.cloudfront.net/Documentos/631/70060410159/6317006041015911092023143424.pdf")</f>
        <v>https://dpmzos25m8ivg.cloudfront.net/Documentos/631/70060410159/6317006041015911092023143424.pdf</v>
      </c>
      <c r="F7583" s="5" t="str">
        <f>HYPERLINK("https://dpmzos25m8ivg.cloudfront.net/Documentos/631/70060410159/6317006041015911092023143456.pdf","https://dpmzos25m8ivg.cloudfront.net/Documentos/631/70060410159/6317006041015911092023143456.pdf")</f>
        <v>https://dpmzos25m8ivg.cloudfront.net/Documentos/631/70060410159/6317006041015911092023143456.pdf</v>
      </c>
      <c r="G7583" s="5" t="str">
        <f>HYPERLINK("https://dpmzos25m8ivg.cloudfront.net/Documentos/631/70060410159/6317006041015911092023143521.pdf","https://dpmzos25m8ivg.cloudfront.net/Documentos/631/70060410159/6317006041015911092023143521.pdf")</f>
        <v>https://dpmzos25m8ivg.cloudfront.net/Documentos/631/70060410159/6317006041015911092023143521.pdf</v>
      </c>
      <c r="H7583" s="5" t="s">
        <v>16151</v>
      </c>
    </row>
    <row r="7584" spans="1:8" x14ac:dyDescent="0.25">
      <c r="A7584" s="2" t="s">
        <v>7612</v>
      </c>
      <c r="B7584" s="3"/>
      <c r="C7584" s="3"/>
      <c r="D7584" s="3"/>
      <c r="E7584" s="5" t="str">
        <f>HYPERLINK("https://dpmzos25m8ivg.cloudfront.net/Documentos/631/70064177670/6317006417767005092023101908.pdf","https://dpmzos25m8ivg.cloudfront.net/Documentos/631/70064177670/6317006417767005092023101908.pdf")</f>
        <v>https://dpmzos25m8ivg.cloudfront.net/Documentos/631/70064177670/6317006417767005092023101908.pdf</v>
      </c>
      <c r="F7584" s="5" t="str">
        <f>HYPERLINK("https://dpmzos25m8ivg.cloudfront.net/Documentos/631/70064177670/6317006417767005092023101944.pdf","https://dpmzos25m8ivg.cloudfront.net/Documentos/631/70064177670/6317006417767005092023101944.pdf")</f>
        <v>https://dpmzos25m8ivg.cloudfront.net/Documentos/631/70064177670/6317006417767005092023101944.pdf</v>
      </c>
      <c r="G7584" s="5" t="str">
        <f>HYPERLINK("https://dpmzos25m8ivg.cloudfront.net/Documentos/631/70064177670/6317006417767005092023102028.pdf","https://dpmzos25m8ivg.cloudfront.net/Documentos/631/70064177670/6317006417767005092023102028.pdf")</f>
        <v>https://dpmzos25m8ivg.cloudfront.net/Documentos/631/70064177670/6317006417767005092023102028.pdf</v>
      </c>
      <c r="H7584" s="5" t="s">
        <v>16152</v>
      </c>
    </row>
    <row r="7585" spans="1:8" x14ac:dyDescent="0.25">
      <c r="A7585" s="2" t="s">
        <v>7613</v>
      </c>
      <c r="B7585" s="3" t="s">
        <v>308</v>
      </c>
      <c r="C7585" s="3"/>
      <c r="D7585" s="3"/>
      <c r="E7585" s="5" t="str">
        <f>HYPERLINK("https://dpmzos25m8ivg.cloudfront.net/Documentos/631/70066237408/6317006623740811092023000021.pdf","https://dpmzos25m8ivg.cloudfront.net/Documentos/631/70066237408/6317006623740811092023000021.pdf")</f>
        <v>https://dpmzos25m8ivg.cloudfront.net/Documentos/631/70066237408/6317006623740811092023000021.pdf</v>
      </c>
      <c r="F7585" s="5" t="str">
        <f>HYPERLINK("https://dpmzos25m8ivg.cloudfront.net/Documentos/631/70066237408/6317006623740811092023000043.pdf","https://dpmzos25m8ivg.cloudfront.net/Documentos/631/70066237408/6317006623740811092023000043.pdf")</f>
        <v>https://dpmzos25m8ivg.cloudfront.net/Documentos/631/70066237408/6317006623740811092023000043.pdf</v>
      </c>
      <c r="G7585" s="5" t="str">
        <f>HYPERLINK("https://dpmzos25m8ivg.cloudfront.net/Documentos/631/70066237408/6317006623740811092023000107.pdf","https://dpmzos25m8ivg.cloudfront.net/Documentos/631/70066237408/6317006623740811092023000107.pdf")</f>
        <v>https://dpmzos25m8ivg.cloudfront.net/Documentos/631/70066237408/6317006623740811092023000107.pdf</v>
      </c>
      <c r="H7585" s="5" t="s">
        <v>16153</v>
      </c>
    </row>
    <row r="7586" spans="1:8" x14ac:dyDescent="0.25">
      <c r="A7586" s="2" t="s">
        <v>7614</v>
      </c>
      <c r="B7586" s="3"/>
      <c r="C7586" s="3"/>
      <c r="D7586" s="3"/>
      <c r="E7586" s="5" t="str">
        <f>HYPERLINK("https://dpmzos25m8ivg.cloudfront.net/Documentos/631/70066322421/6317006632242111092023145439.pdf","https://dpmzos25m8ivg.cloudfront.net/Documentos/631/70066322421/6317006632242111092023145439.pdf")</f>
        <v>https://dpmzos25m8ivg.cloudfront.net/Documentos/631/70066322421/6317006632242111092023145439.pdf</v>
      </c>
      <c r="F7586" s="5" t="str">
        <f>HYPERLINK("https://dpmzos25m8ivg.cloudfront.net/Documentos/631/70066322421/6317006632242111092023145452.pdf","https://dpmzos25m8ivg.cloudfront.net/Documentos/631/70066322421/6317006632242111092023145452.pdf")</f>
        <v>https://dpmzos25m8ivg.cloudfront.net/Documentos/631/70066322421/6317006632242111092023145452.pdf</v>
      </c>
      <c r="G7586" s="5" t="str">
        <f>HYPERLINK("https://dpmzos25m8ivg.cloudfront.net/Documentos/631/70066322421/6317006632242111092023145502.pdf","https://dpmzos25m8ivg.cloudfront.net/Documentos/631/70066322421/6317006632242111092023145502.pdf")</f>
        <v>https://dpmzos25m8ivg.cloudfront.net/Documentos/631/70066322421/6317006632242111092023145502.pdf</v>
      </c>
      <c r="H7586" s="5" t="s">
        <v>16154</v>
      </c>
    </row>
    <row r="7587" spans="1:8" x14ac:dyDescent="0.25">
      <c r="A7587" s="2" t="s">
        <v>7615</v>
      </c>
      <c r="B7587" s="3"/>
      <c r="C7587" s="3"/>
      <c r="D7587" s="3"/>
      <c r="E7587" s="5" t="str">
        <f>HYPERLINK("https://dpmzos25m8ivg.cloudfront.net/Documentos/631/70071726446/6317007172644611092023111510.pdf","https://dpmzos25m8ivg.cloudfront.net/Documentos/631/70071726446/6317007172644611092023111510.pdf")</f>
        <v>https://dpmzos25m8ivg.cloudfront.net/Documentos/631/70071726446/6317007172644611092023111510.pdf</v>
      </c>
      <c r="F7587" s="5" t="str">
        <f>HYPERLINK("https://dpmzos25m8ivg.cloudfront.net/Documentos/631/70071726446/6317007172644611092023111653.pdf","https://dpmzos25m8ivg.cloudfront.net/Documentos/631/70071726446/6317007172644611092023111653.pdf")</f>
        <v>https://dpmzos25m8ivg.cloudfront.net/Documentos/631/70071726446/6317007172644611092023111653.pdf</v>
      </c>
      <c r="G7587" s="5" t="str">
        <f>HYPERLINK("https://dpmzos25m8ivg.cloudfront.net/Documentos/631/70071726446/6317007172644611092023111820.pdf","https://dpmzos25m8ivg.cloudfront.net/Documentos/631/70071726446/6317007172644611092023111820.pdf")</f>
        <v>https://dpmzos25m8ivg.cloudfront.net/Documentos/631/70071726446/6317007172644611092023111820.pdf</v>
      </c>
      <c r="H7587" s="5" t="s">
        <v>16155</v>
      </c>
    </row>
    <row r="7588" spans="1:8" x14ac:dyDescent="0.25">
      <c r="A7588" s="2" t="s">
        <v>7616</v>
      </c>
      <c r="B7588" s="3"/>
      <c r="C7588" s="3"/>
      <c r="D7588" s="3"/>
      <c r="E7588" s="5" t="str">
        <f>HYPERLINK("https://dpmzos25m8ivg.cloudfront.net/Documentos/631/70074288270/6317007428827005092023160456.pdf","https://dpmzos25m8ivg.cloudfront.net/Documentos/631/70074288270/6317007428827005092023160456.pdf")</f>
        <v>https://dpmzos25m8ivg.cloudfront.net/Documentos/631/70074288270/6317007428827005092023160456.pdf</v>
      </c>
      <c r="F7588" s="5" t="str">
        <f>HYPERLINK("https://dpmzos25m8ivg.cloudfront.net/Documentos/631/70074288270/6317007428827005092023160517.pdf","https://dpmzos25m8ivg.cloudfront.net/Documentos/631/70074288270/6317007428827005092023160517.pdf")</f>
        <v>https://dpmzos25m8ivg.cloudfront.net/Documentos/631/70074288270/6317007428827005092023160517.pdf</v>
      </c>
      <c r="G7588" s="5" t="str">
        <f>HYPERLINK("https://dpmzos25m8ivg.cloudfront.net/Documentos/631/70074288270/6317007428827005092023160531.pdf","https://dpmzos25m8ivg.cloudfront.net/Documentos/631/70074288270/6317007428827005092023160531.pdf")</f>
        <v>https://dpmzos25m8ivg.cloudfront.net/Documentos/631/70074288270/6317007428827005092023160531.pdf</v>
      </c>
      <c r="H7588" s="5" t="s">
        <v>16156</v>
      </c>
    </row>
    <row r="7589" spans="1:8" x14ac:dyDescent="0.25">
      <c r="A7589" s="2" t="s">
        <v>7617</v>
      </c>
      <c r="B7589" s="3"/>
      <c r="C7589" s="3"/>
      <c r="D7589" s="3"/>
      <c r="E7589" s="5" t="str">
        <f>HYPERLINK("https://dpmzos25m8ivg.cloudfront.net/Documentos/631/70074874675/6317007487467506092023172108.pdf","https://dpmzos25m8ivg.cloudfront.net/Documentos/631/70074874675/6317007487467506092023172108.pdf")</f>
        <v>https://dpmzos25m8ivg.cloudfront.net/Documentos/631/70074874675/6317007487467506092023172108.pdf</v>
      </c>
      <c r="F7589" s="5" t="str">
        <f>HYPERLINK("https://dpmzos25m8ivg.cloudfront.net/Documentos/631/70074874675/6317007487467506092023172125.pdf","https://dpmzos25m8ivg.cloudfront.net/Documentos/631/70074874675/6317007487467506092023172125.pdf")</f>
        <v>https://dpmzos25m8ivg.cloudfront.net/Documentos/631/70074874675/6317007487467506092023172125.pdf</v>
      </c>
      <c r="G7589" s="5" t="str">
        <f>HYPERLINK("https://dpmzos25m8ivg.cloudfront.net/Documentos/631/70074874675/6317007487467506092023172141.pdf","https://dpmzos25m8ivg.cloudfront.net/Documentos/631/70074874675/6317007487467506092023172141.pdf")</f>
        <v>https://dpmzos25m8ivg.cloudfront.net/Documentos/631/70074874675/6317007487467506092023172141.pdf</v>
      </c>
      <c r="H7589" s="5" t="s">
        <v>16157</v>
      </c>
    </row>
    <row r="7590" spans="1:8" x14ac:dyDescent="0.25">
      <c r="A7590" s="2" t="s">
        <v>7618</v>
      </c>
      <c r="B7590" s="3"/>
      <c r="C7590" s="3"/>
      <c r="D7590" s="3"/>
      <c r="E7590" s="5" t="str">
        <f>HYPERLINK("https://dpmzos25m8ivg.cloudfront.net/Documentos/631/70078907683/6317007890768311092023154116.pdf","https://dpmzos25m8ivg.cloudfront.net/Documentos/631/70078907683/6317007890768311092023154116.pdf")</f>
        <v>https://dpmzos25m8ivg.cloudfront.net/Documentos/631/70078907683/6317007890768311092023154116.pdf</v>
      </c>
      <c r="F7590" s="5" t="str">
        <f>HYPERLINK("https://dpmzos25m8ivg.cloudfront.net/Documentos/631/70078907683/6317007890768311092023154135.pdf","https://dpmzos25m8ivg.cloudfront.net/Documentos/631/70078907683/6317007890768311092023154135.pdf")</f>
        <v>https://dpmzos25m8ivg.cloudfront.net/Documentos/631/70078907683/6317007890768311092023154135.pdf</v>
      </c>
      <c r="G7590" s="5" t="str">
        <f>HYPERLINK("https://dpmzos25m8ivg.cloudfront.net/Documentos/631/70078907683/6317007890768311092023154147.pdf","https://dpmzos25m8ivg.cloudfront.net/Documentos/631/70078907683/6317007890768311092023154147.pdf")</f>
        <v>https://dpmzos25m8ivg.cloudfront.net/Documentos/631/70078907683/6317007890768311092023154147.pdf</v>
      </c>
      <c r="H7590" s="5" t="s">
        <v>16158</v>
      </c>
    </row>
    <row r="7591" spans="1:8" x14ac:dyDescent="0.25">
      <c r="A7591" s="2" t="s">
        <v>7619</v>
      </c>
      <c r="B7591" s="3"/>
      <c r="C7591" s="3"/>
      <c r="D7591" s="3"/>
      <c r="E7591" s="5" t="str">
        <f>HYPERLINK("https://dpmzos25m8ivg.cloudfront.net/Documentos/631/70090606493/6317009060649309092023091752.jpeg","https://dpmzos25m8ivg.cloudfront.net/Documentos/631/70090606493/6317009060649309092023091752.jpeg")</f>
        <v>https://dpmzos25m8ivg.cloudfront.net/Documentos/631/70090606493/6317009060649309092023091752.jpeg</v>
      </c>
      <c r="F7591" s="5" t="str">
        <f>HYPERLINK("https://dpmzos25m8ivg.cloudfront.net/Documentos/631/70090606493/6317009060649309092023091810.jpeg","https://dpmzos25m8ivg.cloudfront.net/Documentos/631/70090606493/6317009060649309092023091810.jpeg")</f>
        <v>https://dpmzos25m8ivg.cloudfront.net/Documentos/631/70090606493/6317009060649309092023091810.jpeg</v>
      </c>
      <c r="G7591" s="5" t="str">
        <f>HYPERLINK("https://dpmzos25m8ivg.cloudfront.net/Documentos/631/70090606493/6317009060649309092023091904.jpeg","https://dpmzos25m8ivg.cloudfront.net/Documentos/631/70090606493/6317009060649309092023091904.jpeg")</f>
        <v>https://dpmzos25m8ivg.cloudfront.net/Documentos/631/70090606493/6317009060649309092023091904.jpeg</v>
      </c>
      <c r="H7591" s="5" t="s">
        <v>16159</v>
      </c>
    </row>
    <row r="7592" spans="1:8" x14ac:dyDescent="0.25">
      <c r="A7592" s="2" t="s">
        <v>7620</v>
      </c>
      <c r="B7592" s="3"/>
      <c r="C7592" s="3"/>
      <c r="D7592" s="3"/>
      <c r="E7592" s="5" t="str">
        <f>HYPERLINK("https://dpmzos25m8ivg.cloudfront.net/Documentos/631/70093160151/6317009316015111092023101505.pdf","https://dpmzos25m8ivg.cloudfront.net/Documentos/631/70093160151/6317009316015111092023101505.pdf")</f>
        <v>https://dpmzos25m8ivg.cloudfront.net/Documentos/631/70093160151/6317009316015111092023101505.pdf</v>
      </c>
      <c r="F7592" s="5" t="str">
        <f>HYPERLINK("https://dpmzos25m8ivg.cloudfront.net/Documentos/631/70093160151/6317009316015111092023103029.pdf","https://dpmzos25m8ivg.cloudfront.net/Documentos/631/70093160151/6317009316015111092023103029.pdf")</f>
        <v>https://dpmzos25m8ivg.cloudfront.net/Documentos/631/70093160151/6317009316015111092023103029.pdf</v>
      </c>
      <c r="G7592" s="5" t="str">
        <f>HYPERLINK("https://dpmzos25m8ivg.cloudfront.net/Documentos/631/70093160151/6317009316015111092023141723.pdf","https://dpmzos25m8ivg.cloudfront.net/Documentos/631/70093160151/6317009316015111092023141723.pdf")</f>
        <v>https://dpmzos25m8ivg.cloudfront.net/Documentos/631/70093160151/6317009316015111092023141723.pdf</v>
      </c>
      <c r="H7592" s="5" t="s">
        <v>16160</v>
      </c>
    </row>
    <row r="7593" spans="1:8" x14ac:dyDescent="0.25">
      <c r="A7593" s="2" t="s">
        <v>7621</v>
      </c>
      <c r="B7593" s="3"/>
      <c r="C7593" s="3"/>
      <c r="D7593" s="3"/>
      <c r="E7593" s="5" t="str">
        <f>HYPERLINK("https://dpmzos25m8ivg.cloudfront.net/Documentos/631/70095764160/6317009576416008092023193555.pdf","https://dpmzos25m8ivg.cloudfront.net/Documentos/631/70095764160/6317009576416008092023193555.pdf")</f>
        <v>https://dpmzos25m8ivg.cloudfront.net/Documentos/631/70095764160/6317009576416008092023193555.pdf</v>
      </c>
      <c r="F7593" s="5" t="str">
        <f>HYPERLINK("https://dpmzos25m8ivg.cloudfront.net/Documentos/631/70095764160/6317009576416008092023193611.pdf","https://dpmzos25m8ivg.cloudfront.net/Documentos/631/70095764160/6317009576416008092023193611.pdf")</f>
        <v>https://dpmzos25m8ivg.cloudfront.net/Documentos/631/70095764160/6317009576416008092023193611.pdf</v>
      </c>
      <c r="G7593" s="5" t="str">
        <f>HYPERLINK("https://dpmzos25m8ivg.cloudfront.net/Documentos/631/70095764160/6317009576416008092023193626.pdf","https://dpmzos25m8ivg.cloudfront.net/Documentos/631/70095764160/6317009576416008092023193626.pdf")</f>
        <v>https://dpmzos25m8ivg.cloudfront.net/Documentos/631/70095764160/6317009576416008092023193626.pdf</v>
      </c>
      <c r="H7593" s="5" t="s">
        <v>16161</v>
      </c>
    </row>
    <row r="7594" spans="1:8" x14ac:dyDescent="0.25">
      <c r="A7594" s="2" t="s">
        <v>7622</v>
      </c>
      <c r="B7594" s="3"/>
      <c r="C7594" s="3"/>
      <c r="D7594" s="3"/>
      <c r="E7594" s="5" t="str">
        <f>HYPERLINK("https://dpmzos25m8ivg.cloudfront.net/Documentos/631/70097536440/6317009753644005092023133343.jpeg","https://dpmzos25m8ivg.cloudfront.net/Documentos/631/70097536440/6317009753644005092023133343.jpeg")</f>
        <v>https://dpmzos25m8ivg.cloudfront.net/Documentos/631/70097536440/6317009753644005092023133343.jpeg</v>
      </c>
      <c r="F7594" s="5" t="str">
        <f>HYPERLINK("https://dpmzos25m8ivg.cloudfront.net/Documentos/631/70097536440/6317009753644005092023133357.jpeg","https://dpmzos25m8ivg.cloudfront.net/Documentos/631/70097536440/6317009753644005092023133357.jpeg")</f>
        <v>https://dpmzos25m8ivg.cloudfront.net/Documentos/631/70097536440/6317009753644005092023133357.jpeg</v>
      </c>
      <c r="G7594" s="5" t="str">
        <f>HYPERLINK("https://dpmzos25m8ivg.cloudfront.net/Documentos/631/70097536440/6317009753644005092023133411.jpeg","https://dpmzos25m8ivg.cloudfront.net/Documentos/631/70097536440/6317009753644005092023133411.jpeg")</f>
        <v>https://dpmzos25m8ivg.cloudfront.net/Documentos/631/70097536440/6317009753644005092023133411.jpeg</v>
      </c>
      <c r="H7594" s="5" t="s">
        <v>16162</v>
      </c>
    </row>
    <row r="7595" spans="1:8" x14ac:dyDescent="0.25">
      <c r="A7595" s="2" t="s">
        <v>7623</v>
      </c>
      <c r="B7595" s="3"/>
      <c r="C7595" s="3"/>
      <c r="D7595" s="3"/>
      <c r="E7595" s="5" t="str">
        <f>HYPERLINK("https://dpmzos25m8ivg.cloudfront.net/Documentos/631/70099926229/6317009992622908092023124044.pdf","https://dpmzos25m8ivg.cloudfront.net/Documentos/631/70099926229/6317009992622908092023124044.pdf")</f>
        <v>https://dpmzos25m8ivg.cloudfront.net/Documentos/631/70099926229/6317009992622908092023124044.pdf</v>
      </c>
      <c r="F7595" s="5" t="str">
        <f>HYPERLINK("https://dpmzos25m8ivg.cloudfront.net/Documentos/631/70099926229/6317009992622908092023124057.pdf","https://dpmzos25m8ivg.cloudfront.net/Documentos/631/70099926229/6317009992622908092023124057.pdf")</f>
        <v>https://dpmzos25m8ivg.cloudfront.net/Documentos/631/70099926229/6317009992622908092023124057.pdf</v>
      </c>
      <c r="G7595" s="5" t="str">
        <f>HYPERLINK("https://dpmzos25m8ivg.cloudfront.net/Documentos/631/70099926229/6317009992622908092023124110.pdf","https://dpmzos25m8ivg.cloudfront.net/Documentos/631/70099926229/6317009992622908092023124110.pdf")</f>
        <v>https://dpmzos25m8ivg.cloudfront.net/Documentos/631/70099926229/6317009992622908092023124110.pdf</v>
      </c>
      <c r="H7595" s="5" t="s">
        <v>16163</v>
      </c>
    </row>
    <row r="7596" spans="1:8" x14ac:dyDescent="0.25">
      <c r="A7596" s="2" t="s">
        <v>7624</v>
      </c>
      <c r="B7596" s="3"/>
      <c r="C7596" s="3"/>
      <c r="D7596" s="3"/>
      <c r="E7596" s="5" t="str">
        <f>HYPERLINK("https://dpmzos25m8ivg.cloudfront.net/Documentos/631/70111403448/6317011140344813092023145117.pdf","https://dpmzos25m8ivg.cloudfront.net/Documentos/631/70111403448/6317011140344813092023145117.pdf")</f>
        <v>https://dpmzos25m8ivg.cloudfront.net/Documentos/631/70111403448/6317011140344813092023145117.pdf</v>
      </c>
      <c r="F7596" s="5" t="str">
        <f>HYPERLINK("https://dpmzos25m8ivg.cloudfront.net/Documentos/631/70111403448/6317011140344813092023145127.pdf","https://dpmzos25m8ivg.cloudfront.net/Documentos/631/70111403448/6317011140344813092023145127.pdf")</f>
        <v>https://dpmzos25m8ivg.cloudfront.net/Documentos/631/70111403448/6317011140344813092023145127.pdf</v>
      </c>
      <c r="G7596" s="5" t="str">
        <f>HYPERLINK("https://dpmzos25m8ivg.cloudfront.net/Documentos/631/70111403448/6317011140344813092023145141.pdf","https://dpmzos25m8ivg.cloudfront.net/Documentos/631/70111403448/6317011140344813092023145141.pdf")</f>
        <v>https://dpmzos25m8ivg.cloudfront.net/Documentos/631/70111403448/6317011140344813092023145141.pdf</v>
      </c>
      <c r="H7596" s="5" t="s">
        <v>16164</v>
      </c>
    </row>
    <row r="7597" spans="1:8" x14ac:dyDescent="0.25">
      <c r="A7597" s="2" t="s">
        <v>7625</v>
      </c>
      <c r="B7597" s="3"/>
      <c r="C7597" s="3"/>
      <c r="D7597" s="3"/>
      <c r="E7597" s="5" t="str">
        <f>HYPERLINK("https://dpmzos25m8ivg.cloudfront.net/Documentos/631/70114515441/6317011451544105092023094834.pdf","https://dpmzos25m8ivg.cloudfront.net/Documentos/631/70114515441/6317011451544105092023094834.pdf")</f>
        <v>https://dpmzos25m8ivg.cloudfront.net/Documentos/631/70114515441/6317011451544105092023094834.pdf</v>
      </c>
      <c r="F7597" s="5" t="str">
        <f>HYPERLINK("https://dpmzos25m8ivg.cloudfront.net/Documentos/631/70114515441/6317011451544105092023082621.pdf","https://dpmzos25m8ivg.cloudfront.net/Documentos/631/70114515441/6317011451544105092023082621.pdf")</f>
        <v>https://dpmzos25m8ivg.cloudfront.net/Documentos/631/70114515441/6317011451544105092023082621.pdf</v>
      </c>
      <c r="G7597" s="5" t="str">
        <f>HYPERLINK("https://dpmzos25m8ivg.cloudfront.net/Documentos/631/70114515441/6317011451544105092023094950.pdf","https://dpmzos25m8ivg.cloudfront.net/Documentos/631/70114515441/6317011451544105092023094950.pdf")</f>
        <v>https://dpmzos25m8ivg.cloudfront.net/Documentos/631/70114515441/6317011451544105092023094950.pdf</v>
      </c>
      <c r="H7597" s="5" t="s">
        <v>16165</v>
      </c>
    </row>
    <row r="7598" spans="1:8" x14ac:dyDescent="0.25">
      <c r="A7598" s="2" t="s">
        <v>7626</v>
      </c>
      <c r="B7598" s="3"/>
      <c r="C7598" s="3"/>
      <c r="D7598" s="3"/>
      <c r="E7598" s="5" t="str">
        <f>HYPERLINK("https://dpmzos25m8ivg.cloudfront.net/Documentos/631/70117978230/6317011797823011092023142118.pdf","https://dpmzos25m8ivg.cloudfront.net/Documentos/631/70117978230/6317011797823011092023142118.pdf")</f>
        <v>https://dpmzos25m8ivg.cloudfront.net/Documentos/631/70117978230/6317011797823011092023142118.pdf</v>
      </c>
      <c r="F7598" s="5" t="str">
        <f>HYPERLINK("https://dpmzos25m8ivg.cloudfront.net/Documentos/631/70117978230/6317011797823011092023142133.pdf","https://dpmzos25m8ivg.cloudfront.net/Documentos/631/70117978230/6317011797823011092023142133.pdf")</f>
        <v>https://dpmzos25m8ivg.cloudfront.net/Documentos/631/70117978230/6317011797823011092023142133.pdf</v>
      </c>
      <c r="G7598" s="5" t="str">
        <f>HYPERLINK("https://dpmzos25m8ivg.cloudfront.net/Documentos/631/70117978230/6317011797823011092023142149.pdf","https://dpmzos25m8ivg.cloudfront.net/Documentos/631/70117978230/6317011797823011092023142149.pdf")</f>
        <v>https://dpmzos25m8ivg.cloudfront.net/Documentos/631/70117978230/6317011797823011092023142149.pdf</v>
      </c>
      <c r="H7598" s="5" t="s">
        <v>16166</v>
      </c>
    </row>
    <row r="7599" spans="1:8" x14ac:dyDescent="0.25">
      <c r="A7599" s="2" t="s">
        <v>7627</v>
      </c>
      <c r="B7599" s="3" t="s">
        <v>308</v>
      </c>
      <c r="C7599" s="3"/>
      <c r="D7599" s="3"/>
      <c r="E7599" s="5" t="str">
        <f>HYPERLINK("https://dpmzos25m8ivg.cloudfront.net/Documentos/631/70119963205/6317011996320510092023154035.jpg","https://dpmzos25m8ivg.cloudfront.net/Documentos/631/70119963205/6317011996320510092023154035.jpg")</f>
        <v>https://dpmzos25m8ivg.cloudfront.net/Documentos/631/70119963205/6317011996320510092023154035.jpg</v>
      </c>
      <c r="F7599" s="5" t="str">
        <f>HYPERLINK("https://dpmzos25m8ivg.cloudfront.net/Documentos/631/70119963205/6317011996320510092023154049.jpg","https://dpmzos25m8ivg.cloudfront.net/Documentos/631/70119963205/6317011996320510092023154049.jpg")</f>
        <v>https://dpmzos25m8ivg.cloudfront.net/Documentos/631/70119963205/6317011996320510092023154049.jpg</v>
      </c>
      <c r="G7599" s="5" t="str">
        <f>HYPERLINK("https://dpmzos25m8ivg.cloudfront.net/Documentos/631/70119963205/6317011996320510092023154055.jpg","https://dpmzos25m8ivg.cloudfront.net/Documentos/631/70119963205/6317011996320510092023154055.jpg")</f>
        <v>https://dpmzos25m8ivg.cloudfront.net/Documentos/631/70119963205/6317011996320510092023154055.jpg</v>
      </c>
      <c r="H7599" s="5" t="s">
        <v>16167</v>
      </c>
    </row>
    <row r="7600" spans="1:8" x14ac:dyDescent="0.25">
      <c r="A7600" s="2" t="s">
        <v>7628</v>
      </c>
      <c r="B7600" s="3" t="s">
        <v>23</v>
      </c>
      <c r="C7600" s="3"/>
      <c r="D7600" s="3"/>
      <c r="E7600" s="5" t="str">
        <f>HYPERLINK("https://dpmzos25m8ivg.cloudfront.net/Documentos/631/70121152111/6317012115211111092023004947.jpg","https://dpmzos25m8ivg.cloudfront.net/Documentos/631/70121152111/6317012115211111092023004947.jpg")</f>
        <v>https://dpmzos25m8ivg.cloudfront.net/Documentos/631/70121152111/6317012115211111092023004947.jpg</v>
      </c>
      <c r="F7600" s="5" t="str">
        <f>HYPERLINK("https://dpmzos25m8ivg.cloudfront.net/Documentos/631/70121152111/6317012115211111092023005004.jpg","https://dpmzos25m8ivg.cloudfront.net/Documentos/631/70121152111/6317012115211111092023005004.jpg")</f>
        <v>https://dpmzos25m8ivg.cloudfront.net/Documentos/631/70121152111/6317012115211111092023005004.jpg</v>
      </c>
      <c r="G7600" s="5" t="str">
        <f>HYPERLINK("https://dpmzos25m8ivg.cloudfront.net/Documentos/631/70121152111/6317012115211111092023005023.jpg","https://dpmzos25m8ivg.cloudfront.net/Documentos/631/70121152111/6317012115211111092023005023.jpg")</f>
        <v>https://dpmzos25m8ivg.cloudfront.net/Documentos/631/70121152111/6317012115211111092023005023.jpg</v>
      </c>
      <c r="H7600" s="5" t="s">
        <v>16168</v>
      </c>
    </row>
    <row r="7601" spans="1:8" x14ac:dyDescent="0.25">
      <c r="A7601" s="2" t="s">
        <v>7629</v>
      </c>
      <c r="B7601" s="3"/>
      <c r="C7601" s="3"/>
      <c r="D7601" s="3"/>
      <c r="E7601" s="5" t="str">
        <f>HYPERLINK("https://dpmzos25m8ivg.cloudfront.net/Documentos/631/70126932409/6317012693240907092023233731.pdf","https://dpmzos25m8ivg.cloudfront.net/Documentos/631/70126932409/6317012693240907092023233731.pdf")</f>
        <v>https://dpmzos25m8ivg.cloudfront.net/Documentos/631/70126932409/6317012693240907092023233731.pdf</v>
      </c>
      <c r="F7601" s="5" t="str">
        <f>HYPERLINK("https://dpmzos25m8ivg.cloudfront.net/Documentos/631/70126932409/6317012693240907092023233748.pdf","https://dpmzos25m8ivg.cloudfront.net/Documentos/631/70126932409/6317012693240907092023233748.pdf")</f>
        <v>https://dpmzos25m8ivg.cloudfront.net/Documentos/631/70126932409/6317012693240907092023233748.pdf</v>
      </c>
      <c r="G7601" s="5" t="str">
        <f>HYPERLINK("https://dpmzos25m8ivg.cloudfront.net/Documentos/631/70126932409/6317012693240907092023233806.pdf","https://dpmzos25m8ivg.cloudfront.net/Documentos/631/70126932409/6317012693240907092023233806.pdf")</f>
        <v>https://dpmzos25m8ivg.cloudfront.net/Documentos/631/70126932409/6317012693240907092023233806.pdf</v>
      </c>
      <c r="H7601" s="5" t="s">
        <v>16169</v>
      </c>
    </row>
    <row r="7602" spans="1:8" x14ac:dyDescent="0.25">
      <c r="A7602" s="2" t="s">
        <v>7630</v>
      </c>
      <c r="B7602" s="3" t="s">
        <v>312</v>
      </c>
      <c r="C7602" s="3"/>
      <c r="D7602" s="3"/>
      <c r="E7602" s="5" t="str">
        <f>HYPERLINK("https://dpmzos25m8ivg.cloudfront.net/Documentos/631/70128397160/6317012839716011092023154700.pdf","https://dpmzos25m8ivg.cloudfront.net/Documentos/631/70128397160/6317012839716011092023154700.pdf")</f>
        <v>https://dpmzos25m8ivg.cloudfront.net/Documentos/631/70128397160/6317012839716011092023154700.pdf</v>
      </c>
      <c r="F7602" s="5" t="str">
        <f>HYPERLINK("https://dpmzos25m8ivg.cloudfront.net/Documentos/631/70128397160/6317012839716011092023154715.pdf","https://dpmzos25m8ivg.cloudfront.net/Documentos/631/70128397160/6317012839716011092023154715.pdf")</f>
        <v>https://dpmzos25m8ivg.cloudfront.net/Documentos/631/70128397160/6317012839716011092023154715.pdf</v>
      </c>
      <c r="G7602" s="5" t="str">
        <f>HYPERLINK("https://dpmzos25m8ivg.cloudfront.net/Documentos/631/70128397160/6317012839716011092023154732.pdf","https://dpmzos25m8ivg.cloudfront.net/Documentos/631/70128397160/6317012839716011092023154732.pdf")</f>
        <v>https://dpmzos25m8ivg.cloudfront.net/Documentos/631/70128397160/6317012839716011092023154732.pdf</v>
      </c>
      <c r="H7602" s="5" t="s">
        <v>16170</v>
      </c>
    </row>
    <row r="7603" spans="1:8" x14ac:dyDescent="0.25">
      <c r="A7603" s="2" t="s">
        <v>7631</v>
      </c>
      <c r="B7603" s="3" t="s">
        <v>312</v>
      </c>
      <c r="C7603" s="3"/>
      <c r="D7603" s="3"/>
      <c r="E7603" s="5" t="str">
        <f>HYPERLINK("https://dpmzos25m8ivg.cloudfront.net/Documentos/631/70130329134/6317013032913405092023173422.pdf","https://dpmzos25m8ivg.cloudfront.net/Documentos/631/70130329134/6317013032913405092023173422.pdf")</f>
        <v>https://dpmzos25m8ivg.cloudfront.net/Documentos/631/70130329134/6317013032913405092023173422.pdf</v>
      </c>
      <c r="F7603" s="5" t="str">
        <f>HYPERLINK("https://dpmzos25m8ivg.cloudfront.net/Documentos/631/70130329134/6317013032913405092023173444.pdf","https://dpmzos25m8ivg.cloudfront.net/Documentos/631/70130329134/6317013032913405092023173444.pdf")</f>
        <v>https://dpmzos25m8ivg.cloudfront.net/Documentos/631/70130329134/6317013032913405092023173444.pdf</v>
      </c>
      <c r="G7603" s="5" t="str">
        <f>HYPERLINK("https://dpmzos25m8ivg.cloudfront.net/Documentos/631/70130329134/6317013032913405092023173459.pdf","https://dpmzos25m8ivg.cloudfront.net/Documentos/631/70130329134/6317013032913405092023173459.pdf")</f>
        <v>https://dpmzos25m8ivg.cloudfront.net/Documentos/631/70130329134/6317013032913405092023173459.pdf</v>
      </c>
      <c r="H7603" s="5" t="s">
        <v>16171</v>
      </c>
    </row>
    <row r="7604" spans="1:8" x14ac:dyDescent="0.25">
      <c r="A7604" s="2" t="s">
        <v>7632</v>
      </c>
      <c r="B7604" s="3"/>
      <c r="C7604" s="3"/>
      <c r="D7604" s="3"/>
      <c r="E7604" s="5" t="str">
        <f>HYPERLINK("https://dpmzos25m8ivg.cloudfront.net/Documentos/631/70132074117/6317013207411707092023102120.pdf","https://dpmzos25m8ivg.cloudfront.net/Documentos/631/70132074117/6317013207411707092023102120.pdf")</f>
        <v>https://dpmzos25m8ivg.cloudfront.net/Documentos/631/70132074117/6317013207411707092023102120.pdf</v>
      </c>
      <c r="F7604" s="5" t="str">
        <f>HYPERLINK("https://dpmzos25m8ivg.cloudfront.net/Documentos/631/70132074117/6317013207411707092023102139.pdf","https://dpmzos25m8ivg.cloudfront.net/Documentos/631/70132074117/6317013207411707092023102139.pdf")</f>
        <v>https://dpmzos25m8ivg.cloudfront.net/Documentos/631/70132074117/6317013207411707092023102139.pdf</v>
      </c>
      <c r="G7604" s="5" t="str">
        <f>HYPERLINK("https://dpmzos25m8ivg.cloudfront.net/Documentos/631/70132074117/6317013207411707092023102159.pdf","https://dpmzos25m8ivg.cloudfront.net/Documentos/631/70132074117/6317013207411707092023102159.pdf")</f>
        <v>https://dpmzos25m8ivg.cloudfront.net/Documentos/631/70132074117/6317013207411707092023102159.pdf</v>
      </c>
      <c r="H7604" s="5" t="s">
        <v>16172</v>
      </c>
    </row>
    <row r="7605" spans="1:8" x14ac:dyDescent="0.25">
      <c r="A7605" s="2" t="s">
        <v>7633</v>
      </c>
      <c r="B7605" s="3"/>
      <c r="C7605" s="3"/>
      <c r="D7605" s="3"/>
      <c r="E7605" s="5" t="str">
        <f>HYPERLINK("https://dpmzos25m8ivg.cloudfront.net/Documentos/631/70134836138/6317013483613806092023150228.pdf","https://dpmzos25m8ivg.cloudfront.net/Documentos/631/70134836138/6317013483613806092023150228.pdf")</f>
        <v>https://dpmzos25m8ivg.cloudfront.net/Documentos/631/70134836138/6317013483613806092023150228.pdf</v>
      </c>
      <c r="F7605" s="5" t="str">
        <f>HYPERLINK("https://dpmzos25m8ivg.cloudfront.net/Documentos/631/70134836138/6317013483613806092023150236.pdf","https://dpmzos25m8ivg.cloudfront.net/Documentos/631/70134836138/6317013483613806092023150236.pdf")</f>
        <v>https://dpmzos25m8ivg.cloudfront.net/Documentos/631/70134836138/6317013483613806092023150236.pdf</v>
      </c>
      <c r="G7605" s="5" t="str">
        <f>HYPERLINK("https://dpmzos25m8ivg.cloudfront.net/Documentos/631/70134836138/6317013483613806092023150243.pdf","https://dpmzos25m8ivg.cloudfront.net/Documentos/631/70134836138/6317013483613806092023150243.pdf")</f>
        <v>https://dpmzos25m8ivg.cloudfront.net/Documentos/631/70134836138/6317013483613806092023150243.pdf</v>
      </c>
      <c r="H7605" s="5" t="s">
        <v>16173</v>
      </c>
    </row>
    <row r="7606" spans="1:8" x14ac:dyDescent="0.25">
      <c r="A7606" s="2" t="s">
        <v>7634</v>
      </c>
      <c r="B7606" s="3"/>
      <c r="C7606" s="3"/>
      <c r="D7606" s="3"/>
      <c r="E7606" s="5" t="str">
        <f>HYPERLINK("https://dpmzos25m8ivg.cloudfront.net/Documentos/631/70139627405/6317013962740506092023130205.pdf","https://dpmzos25m8ivg.cloudfront.net/Documentos/631/70139627405/6317013962740506092023130205.pdf")</f>
        <v>https://dpmzos25m8ivg.cloudfront.net/Documentos/631/70139627405/6317013962740506092023130205.pdf</v>
      </c>
      <c r="F7606" s="5" t="str">
        <f>HYPERLINK("https://dpmzos25m8ivg.cloudfront.net/Documentos/631/70139627405/6317013962740506092023130222.pdf","https://dpmzos25m8ivg.cloudfront.net/Documentos/631/70139627405/6317013962740506092023130222.pdf")</f>
        <v>https://dpmzos25m8ivg.cloudfront.net/Documentos/631/70139627405/6317013962740506092023130222.pdf</v>
      </c>
      <c r="G7606" s="5" t="str">
        <f>HYPERLINK("https://dpmzos25m8ivg.cloudfront.net/Documentos/631/70139627405/6317013962740506092023130233.pdf","https://dpmzos25m8ivg.cloudfront.net/Documentos/631/70139627405/6317013962740506092023130233.pdf")</f>
        <v>https://dpmzos25m8ivg.cloudfront.net/Documentos/631/70139627405/6317013962740506092023130233.pdf</v>
      </c>
      <c r="H7606" s="5" t="s">
        <v>16174</v>
      </c>
    </row>
    <row r="7607" spans="1:8" x14ac:dyDescent="0.25">
      <c r="A7607" s="2" t="s">
        <v>7635</v>
      </c>
      <c r="B7607" s="3"/>
      <c r="C7607" s="3"/>
      <c r="D7607" s="3"/>
      <c r="E7607" s="5" t="str">
        <f>HYPERLINK("https://dpmzos25m8ivg.cloudfront.net/Documentos/631/70140835466/6317014083546609092023101917.pdf","https://dpmzos25m8ivg.cloudfront.net/Documentos/631/70140835466/6317014083546609092023101917.pdf")</f>
        <v>https://dpmzos25m8ivg.cloudfront.net/Documentos/631/70140835466/6317014083546609092023101917.pdf</v>
      </c>
      <c r="F7607" s="5" t="str">
        <f>HYPERLINK("https://dpmzos25m8ivg.cloudfront.net/Documentos/631/70140835466/6317014083546609092023101930.pdf","https://dpmzos25m8ivg.cloudfront.net/Documentos/631/70140835466/6317014083546609092023101930.pdf")</f>
        <v>https://dpmzos25m8ivg.cloudfront.net/Documentos/631/70140835466/6317014083546609092023101930.pdf</v>
      </c>
      <c r="G7607" s="5" t="str">
        <f>HYPERLINK("https://dpmzos25m8ivg.cloudfront.net/Documentos/631/70140835466/6317014083546609092023101948.pdf","https://dpmzos25m8ivg.cloudfront.net/Documentos/631/70140835466/6317014083546609092023101948.pdf")</f>
        <v>https://dpmzos25m8ivg.cloudfront.net/Documentos/631/70140835466/6317014083546609092023101948.pdf</v>
      </c>
      <c r="H7607" s="5" t="s">
        <v>16175</v>
      </c>
    </row>
    <row r="7608" spans="1:8" x14ac:dyDescent="0.25">
      <c r="A7608" s="2" t="s">
        <v>7636</v>
      </c>
      <c r="B7608" s="3"/>
      <c r="C7608" s="3"/>
      <c r="D7608" s="3"/>
      <c r="E7608" s="5" t="str">
        <f>HYPERLINK("https://dpmzos25m8ivg.cloudfront.net/Documentos/631/70145758133/6317014575813311092023102958.pdf","https://dpmzos25m8ivg.cloudfront.net/Documentos/631/70145758133/6317014575813311092023102958.pdf")</f>
        <v>https://dpmzos25m8ivg.cloudfront.net/Documentos/631/70145758133/6317014575813311092023102958.pdf</v>
      </c>
      <c r="F7608" s="5" t="str">
        <f>HYPERLINK("https://dpmzos25m8ivg.cloudfront.net/Documentos/631/70145758133/6317014575813311092023103058.pdf","https://dpmzos25m8ivg.cloudfront.net/Documentos/631/70145758133/6317014575813311092023103058.pdf")</f>
        <v>https://dpmzos25m8ivg.cloudfront.net/Documentos/631/70145758133/6317014575813311092023103058.pdf</v>
      </c>
      <c r="G7608" s="5" t="str">
        <f>HYPERLINK("https://dpmzos25m8ivg.cloudfront.net/Documentos/631/70145758133/6317014575813311092023103118.pdf","https://dpmzos25m8ivg.cloudfront.net/Documentos/631/70145758133/6317014575813311092023103118.pdf")</f>
        <v>https://dpmzos25m8ivg.cloudfront.net/Documentos/631/70145758133/6317014575813311092023103118.pdf</v>
      </c>
      <c r="H7608" s="5" t="s">
        <v>16176</v>
      </c>
    </row>
    <row r="7609" spans="1:8" x14ac:dyDescent="0.25">
      <c r="A7609" s="2" t="s">
        <v>7637</v>
      </c>
      <c r="B7609" s="3"/>
      <c r="C7609" s="3"/>
      <c r="D7609" s="3"/>
      <c r="E7609" s="5" t="str">
        <f>HYPERLINK("https://dpmzos25m8ivg.cloudfront.net/Documentos/631/70150400268/6317015040026808092023122433.pdf","https://dpmzos25m8ivg.cloudfront.net/Documentos/631/70150400268/6317015040026808092023122433.pdf")</f>
        <v>https://dpmzos25m8ivg.cloudfront.net/Documentos/631/70150400268/6317015040026808092023122433.pdf</v>
      </c>
      <c r="F7609" s="5" t="str">
        <f>HYPERLINK("https://dpmzos25m8ivg.cloudfront.net/Documentos/631/70150400268/6317015040026808092023122501.pdf","https://dpmzos25m8ivg.cloudfront.net/Documentos/631/70150400268/6317015040026808092023122501.pdf")</f>
        <v>https://dpmzos25m8ivg.cloudfront.net/Documentos/631/70150400268/6317015040026808092023122501.pdf</v>
      </c>
      <c r="G7609" s="5" t="str">
        <f>HYPERLINK("https://dpmzos25m8ivg.cloudfront.net/Documentos/631/70150400268/6317015040026808092023122451.pdf","https://dpmzos25m8ivg.cloudfront.net/Documentos/631/70150400268/6317015040026808092023122451.pdf")</f>
        <v>https://dpmzos25m8ivg.cloudfront.net/Documentos/631/70150400268/6317015040026808092023122451.pdf</v>
      </c>
      <c r="H7609" s="5" t="s">
        <v>16177</v>
      </c>
    </row>
    <row r="7610" spans="1:8" x14ac:dyDescent="0.25">
      <c r="A7610" s="2" t="s">
        <v>7638</v>
      </c>
      <c r="B7610" s="3"/>
      <c r="C7610" s="3"/>
      <c r="D7610" s="3"/>
      <c r="E7610" s="5" t="str">
        <f>HYPERLINK("https://dpmzos25m8ivg.cloudfront.net/Documentos/631/70153416114/6317015341611406092023103856.jpeg","https://dpmzos25m8ivg.cloudfront.net/Documentos/631/70153416114/6317015341611406092023103856.jpeg")</f>
        <v>https://dpmzos25m8ivg.cloudfront.net/Documentos/631/70153416114/6317015341611406092023103856.jpeg</v>
      </c>
      <c r="F7610" s="5" t="str">
        <f>HYPERLINK("https://dpmzos25m8ivg.cloudfront.net/Documentos/631/70153416114/6317015341611406092023103924.jpeg","https://dpmzos25m8ivg.cloudfront.net/Documentos/631/70153416114/6317015341611406092023103924.jpeg")</f>
        <v>https://dpmzos25m8ivg.cloudfront.net/Documentos/631/70153416114/6317015341611406092023103924.jpeg</v>
      </c>
      <c r="G7610" s="5" t="str">
        <f>HYPERLINK("https://dpmzos25m8ivg.cloudfront.net/Documentos/631/70153416114/6317015341611406092023103937.jpeg","https://dpmzos25m8ivg.cloudfront.net/Documentos/631/70153416114/6317015341611406092023103937.jpeg")</f>
        <v>https://dpmzos25m8ivg.cloudfront.net/Documentos/631/70153416114/6317015341611406092023103937.jpeg</v>
      </c>
      <c r="H7610" s="5" t="s">
        <v>16178</v>
      </c>
    </row>
    <row r="7611" spans="1:8" x14ac:dyDescent="0.25">
      <c r="A7611" s="2" t="s">
        <v>7639</v>
      </c>
      <c r="B7611" s="3"/>
      <c r="C7611" s="3"/>
      <c r="D7611" s="3"/>
      <c r="E7611" s="5" t="str">
        <f>HYPERLINK("https://dpmzos25m8ivg.cloudfront.net/Documentos/631/70154759449/6317015475944905092023170347.jpg","https://dpmzos25m8ivg.cloudfront.net/Documentos/631/70154759449/6317015475944905092023170347.jpg")</f>
        <v>https://dpmzos25m8ivg.cloudfront.net/Documentos/631/70154759449/6317015475944905092023170347.jpg</v>
      </c>
      <c r="F7611" s="5" t="str">
        <f>HYPERLINK("https://dpmzos25m8ivg.cloudfront.net/Documentos/631/70154759449/6317015475944905092023170401.pdf","https://dpmzos25m8ivg.cloudfront.net/Documentos/631/70154759449/6317015475944905092023170401.pdf")</f>
        <v>https://dpmzos25m8ivg.cloudfront.net/Documentos/631/70154759449/6317015475944905092023170401.pdf</v>
      </c>
      <c r="G7611" s="5" t="str">
        <f>HYPERLINK("https://dpmzos25m8ivg.cloudfront.net/Documentos/631/70154759449/6317015475944905092023170411.pdf","https://dpmzos25m8ivg.cloudfront.net/Documentos/631/70154759449/6317015475944905092023170411.pdf")</f>
        <v>https://dpmzos25m8ivg.cloudfront.net/Documentos/631/70154759449/6317015475944905092023170411.pdf</v>
      </c>
      <c r="H7611" s="5" t="s">
        <v>16179</v>
      </c>
    </row>
    <row r="7612" spans="1:8" x14ac:dyDescent="0.25">
      <c r="A7612" s="2" t="s">
        <v>7640</v>
      </c>
      <c r="B7612" s="3"/>
      <c r="C7612" s="3"/>
      <c r="D7612" s="3"/>
      <c r="E7612" s="5" t="str">
        <f>HYPERLINK("https://dpmzos25m8ivg.cloudfront.net/Documentos/631/70155445200/6317015544520006092023175636.jpg","https://dpmzos25m8ivg.cloudfront.net/Documentos/631/70155445200/6317015544520006092023175636.jpg")</f>
        <v>https://dpmzos25m8ivg.cloudfront.net/Documentos/631/70155445200/6317015544520006092023175636.jpg</v>
      </c>
      <c r="F7612" s="5" t="str">
        <f>HYPERLINK("https://dpmzos25m8ivg.cloudfront.net/Documentos/631/70155445200/6317015544520006092023175840.jpg","https://dpmzos25m8ivg.cloudfront.net/Documentos/631/70155445200/6317015544520006092023175840.jpg")</f>
        <v>https://dpmzos25m8ivg.cloudfront.net/Documentos/631/70155445200/6317015544520006092023175840.jpg</v>
      </c>
      <c r="G7612" s="5" t="str">
        <f>HYPERLINK("https://dpmzos25m8ivg.cloudfront.net/Documentos/631/70155445200/6317015544520006092023180029.jpg","https://dpmzos25m8ivg.cloudfront.net/Documentos/631/70155445200/6317015544520006092023180029.jpg")</f>
        <v>https://dpmzos25m8ivg.cloudfront.net/Documentos/631/70155445200/6317015544520006092023180029.jpg</v>
      </c>
      <c r="H7612" s="5" t="s">
        <v>16180</v>
      </c>
    </row>
    <row r="7613" spans="1:8" x14ac:dyDescent="0.25">
      <c r="A7613" s="2" t="s">
        <v>7641</v>
      </c>
      <c r="B7613" s="3"/>
      <c r="C7613" s="3"/>
      <c r="D7613" s="3"/>
      <c r="E7613" s="5" t="str">
        <f>HYPERLINK("https://dpmzos25m8ivg.cloudfront.net/Documentos/631/70157589110/6317015758911011092023093350.pdf","https://dpmzos25m8ivg.cloudfront.net/Documentos/631/70157589110/6317015758911011092023093350.pdf")</f>
        <v>https://dpmzos25m8ivg.cloudfront.net/Documentos/631/70157589110/6317015758911011092023093350.pdf</v>
      </c>
      <c r="F7613" s="5" t="str">
        <f>HYPERLINK("https://dpmzos25m8ivg.cloudfront.net/Documentos/631/70157589110/6317015758911011092023093358.pdf","https://dpmzos25m8ivg.cloudfront.net/Documentos/631/70157589110/6317015758911011092023093358.pdf")</f>
        <v>https://dpmzos25m8ivg.cloudfront.net/Documentos/631/70157589110/6317015758911011092023093358.pdf</v>
      </c>
      <c r="G7613" s="5" t="str">
        <f>HYPERLINK("https://dpmzos25m8ivg.cloudfront.net/Documentos/631/70157589110/6317015758911011092023101453.pdf","https://dpmzos25m8ivg.cloudfront.net/Documentos/631/70157589110/6317015758911011092023101453.pdf")</f>
        <v>https://dpmzos25m8ivg.cloudfront.net/Documentos/631/70157589110/6317015758911011092023101453.pdf</v>
      </c>
      <c r="H7613" s="5" t="s">
        <v>16181</v>
      </c>
    </row>
    <row r="7614" spans="1:8" x14ac:dyDescent="0.25">
      <c r="A7614" s="2" t="s">
        <v>7642</v>
      </c>
      <c r="B7614" s="3"/>
      <c r="C7614" s="3"/>
      <c r="D7614" s="3"/>
      <c r="E7614" s="5" t="str">
        <f>HYPERLINK("https://dpmzos25m8ivg.cloudfront.net/Documentos/631/70158323130/6317015832313010092023192541.jpg","https://dpmzos25m8ivg.cloudfront.net/Documentos/631/70158323130/6317015832313010092023192541.jpg")</f>
        <v>https://dpmzos25m8ivg.cloudfront.net/Documentos/631/70158323130/6317015832313010092023192541.jpg</v>
      </c>
      <c r="F7614" s="5" t="str">
        <f>HYPERLINK("https://dpmzos25m8ivg.cloudfront.net/Documentos/631/70158323130/6317015832313010092023192550.jpg","https://dpmzos25m8ivg.cloudfront.net/Documentos/631/70158323130/6317015832313010092023192550.jpg")</f>
        <v>https://dpmzos25m8ivg.cloudfront.net/Documentos/631/70158323130/6317015832313010092023192550.jpg</v>
      </c>
      <c r="G7614" s="5" t="str">
        <f>HYPERLINK("https://dpmzos25m8ivg.cloudfront.net/Documentos/631/70158323130/6317015832313010092023192557.jpg","https://dpmzos25m8ivg.cloudfront.net/Documentos/631/70158323130/6317015832313010092023192557.jpg")</f>
        <v>https://dpmzos25m8ivg.cloudfront.net/Documentos/631/70158323130/6317015832313010092023192557.jpg</v>
      </c>
      <c r="H7614" s="5" t="s">
        <v>16182</v>
      </c>
    </row>
    <row r="7615" spans="1:8" x14ac:dyDescent="0.25">
      <c r="A7615" s="2" t="s">
        <v>7643</v>
      </c>
      <c r="B7615" s="3"/>
      <c r="C7615" s="3"/>
      <c r="D7615" s="3"/>
      <c r="E7615" s="5" t="str">
        <f>HYPERLINK("https://dpmzos25m8ivg.cloudfront.net/Documentos/631/70160543142/6317016054314211092023133123.jpeg","https://dpmzos25m8ivg.cloudfront.net/Documentos/631/70160543142/6317016054314211092023133123.jpeg")</f>
        <v>https://dpmzos25m8ivg.cloudfront.net/Documentos/631/70160543142/6317016054314211092023133123.jpeg</v>
      </c>
      <c r="F7615" s="5" t="str">
        <f>HYPERLINK("https://dpmzos25m8ivg.cloudfront.net/Documentos/631/70160543142/6317016054314211092023133134.jpeg","https://dpmzos25m8ivg.cloudfront.net/Documentos/631/70160543142/6317016054314211092023133134.jpeg")</f>
        <v>https://dpmzos25m8ivg.cloudfront.net/Documentos/631/70160543142/6317016054314211092023133134.jpeg</v>
      </c>
      <c r="G7615" s="5" t="str">
        <f>HYPERLINK("https://dpmzos25m8ivg.cloudfront.net/Documentos/631/70160543142/6317016054314211092023133149.jpeg","https://dpmzos25m8ivg.cloudfront.net/Documentos/631/70160543142/6317016054314211092023133149.jpeg")</f>
        <v>https://dpmzos25m8ivg.cloudfront.net/Documentos/631/70160543142/6317016054314211092023133149.jpeg</v>
      </c>
      <c r="H7615" s="5" t="s">
        <v>16183</v>
      </c>
    </row>
    <row r="7616" spans="1:8" x14ac:dyDescent="0.25">
      <c r="A7616" s="2" t="s">
        <v>7644</v>
      </c>
      <c r="B7616" s="3"/>
      <c r="C7616" s="3"/>
      <c r="D7616" s="3"/>
      <c r="E7616" s="5" t="str">
        <f>HYPERLINK("https://dpmzos25m8ivg.cloudfront.net/Documentos/631/70160735483/6317016073548309092023004213.pdf","https://dpmzos25m8ivg.cloudfront.net/Documentos/631/70160735483/6317016073548309092023004213.pdf")</f>
        <v>https://dpmzos25m8ivg.cloudfront.net/Documentos/631/70160735483/6317016073548309092023004213.pdf</v>
      </c>
      <c r="F7616" s="5" t="str">
        <f>HYPERLINK("https://dpmzos25m8ivg.cloudfront.net/Documentos/631/70160735483/6317016073548309092023004236.pdf","https://dpmzos25m8ivg.cloudfront.net/Documentos/631/70160735483/6317016073548309092023004236.pdf")</f>
        <v>https://dpmzos25m8ivg.cloudfront.net/Documentos/631/70160735483/6317016073548309092023004236.pdf</v>
      </c>
      <c r="G7616" s="5" t="str">
        <f>HYPERLINK("https://dpmzos25m8ivg.cloudfront.net/Documentos/631/70160735483/6317016073548309092023004246.pdf","https://dpmzos25m8ivg.cloudfront.net/Documentos/631/70160735483/6317016073548309092023004246.pdf")</f>
        <v>https://dpmzos25m8ivg.cloudfront.net/Documentos/631/70160735483/6317016073548309092023004246.pdf</v>
      </c>
      <c r="H7616" s="5" t="s">
        <v>16184</v>
      </c>
    </row>
    <row r="7617" spans="1:8" x14ac:dyDescent="0.25">
      <c r="A7617" s="2" t="s">
        <v>7645</v>
      </c>
      <c r="B7617" s="3"/>
      <c r="C7617" s="3"/>
      <c r="D7617" s="3"/>
      <c r="E7617" s="5" t="str">
        <f>HYPERLINK("https://dpmzos25m8ivg.cloudfront.net/Documentos/631/70162626185/6317016262618508092023162401.pdf","https://dpmzos25m8ivg.cloudfront.net/Documentos/631/70162626185/6317016262618508092023162401.pdf")</f>
        <v>https://dpmzos25m8ivg.cloudfront.net/Documentos/631/70162626185/6317016262618508092023162401.pdf</v>
      </c>
      <c r="F7617" s="5" t="str">
        <f>HYPERLINK("https://dpmzos25m8ivg.cloudfront.net/Documentos/631/70162626185/6317016262618508092023162419.pdf","https://dpmzos25m8ivg.cloudfront.net/Documentos/631/70162626185/6317016262618508092023162419.pdf")</f>
        <v>https://dpmzos25m8ivg.cloudfront.net/Documentos/631/70162626185/6317016262618508092023162419.pdf</v>
      </c>
      <c r="G7617" s="5" t="str">
        <f>HYPERLINK("https://dpmzos25m8ivg.cloudfront.net/Documentos/631/70162626185/6317016262618508092023162432.pdf","https://dpmzos25m8ivg.cloudfront.net/Documentos/631/70162626185/6317016262618508092023162432.pdf")</f>
        <v>https://dpmzos25m8ivg.cloudfront.net/Documentos/631/70162626185/6317016262618508092023162432.pdf</v>
      </c>
      <c r="H7617" s="5" t="s">
        <v>16185</v>
      </c>
    </row>
    <row r="7618" spans="1:8" x14ac:dyDescent="0.25">
      <c r="A7618" s="2" t="s">
        <v>7646</v>
      </c>
      <c r="B7618" s="3"/>
      <c r="C7618" s="3"/>
      <c r="D7618" s="3"/>
      <c r="E7618" s="5" t="str">
        <f>HYPERLINK("https://dpmzos25m8ivg.cloudfront.net/Documentos/631/70168585456/6317016858545613092023221505.jpg","https://dpmzos25m8ivg.cloudfront.net/Documentos/631/70168585456/6317016858545613092023221505.jpg")</f>
        <v>https://dpmzos25m8ivg.cloudfront.net/Documentos/631/70168585456/6317016858545613092023221505.jpg</v>
      </c>
      <c r="F7618" s="5" t="str">
        <f>HYPERLINK("https://dpmzos25m8ivg.cloudfront.net/Documentos/631/70168585456/6317016858545613092023221519.jpg","https://dpmzos25m8ivg.cloudfront.net/Documentos/631/70168585456/6317016858545613092023221519.jpg")</f>
        <v>https://dpmzos25m8ivg.cloudfront.net/Documentos/631/70168585456/6317016858545613092023221519.jpg</v>
      </c>
      <c r="G7618" s="5" t="str">
        <f>HYPERLINK("https://dpmzos25m8ivg.cloudfront.net/Documentos/631/70168585456/6317016858545613092023221622.jpg","https://dpmzos25m8ivg.cloudfront.net/Documentos/631/70168585456/6317016858545613092023221622.jpg")</f>
        <v>https://dpmzos25m8ivg.cloudfront.net/Documentos/631/70168585456/6317016858545613092023221622.jpg</v>
      </c>
      <c r="H7618" s="5" t="s">
        <v>16186</v>
      </c>
    </row>
    <row r="7619" spans="1:8" x14ac:dyDescent="0.25">
      <c r="A7619" s="2" t="s">
        <v>7647</v>
      </c>
      <c r="B7619" s="3"/>
      <c r="C7619" s="3"/>
      <c r="D7619" s="3"/>
      <c r="E7619" s="5" t="str">
        <f>HYPERLINK("https://dpmzos25m8ivg.cloudfront.net/Documentos/631/70171384490/6317017138449011092023074640.pdf","https://dpmzos25m8ivg.cloudfront.net/Documentos/631/70171384490/6317017138449011092023074640.pdf")</f>
        <v>https://dpmzos25m8ivg.cloudfront.net/Documentos/631/70171384490/6317017138449011092023074640.pdf</v>
      </c>
      <c r="F7619" s="5" t="str">
        <f>HYPERLINK("https://dpmzos25m8ivg.cloudfront.net/Documentos/631/70171384490/6317017138449011092023074741.pdf","https://dpmzos25m8ivg.cloudfront.net/Documentos/631/70171384490/6317017138449011092023074741.pdf")</f>
        <v>https://dpmzos25m8ivg.cloudfront.net/Documentos/631/70171384490/6317017138449011092023074741.pdf</v>
      </c>
      <c r="G7619" s="5" t="str">
        <f>HYPERLINK("https://dpmzos25m8ivg.cloudfront.net/Documentos/631/70171384490/6317017138449011092023074758.pdf","https://dpmzos25m8ivg.cloudfront.net/Documentos/631/70171384490/6317017138449011092023074758.pdf")</f>
        <v>https://dpmzos25m8ivg.cloudfront.net/Documentos/631/70171384490/6317017138449011092023074758.pdf</v>
      </c>
      <c r="H7619" s="5" t="s">
        <v>16187</v>
      </c>
    </row>
    <row r="7620" spans="1:8" x14ac:dyDescent="0.25">
      <c r="A7620" s="2" t="s">
        <v>7648</v>
      </c>
      <c r="B7620" s="3"/>
      <c r="C7620" s="3"/>
      <c r="D7620" s="3"/>
      <c r="E7620" s="5" t="str">
        <f>HYPERLINK("https://dpmzos25m8ivg.cloudfront.net/Documentos/631/70181832194/6317018183219406092023175729.pdf","https://dpmzos25m8ivg.cloudfront.net/Documentos/631/70181832194/6317018183219406092023175729.pdf")</f>
        <v>https://dpmzos25m8ivg.cloudfront.net/Documentos/631/70181832194/6317018183219406092023175729.pdf</v>
      </c>
      <c r="F7620" s="5" t="str">
        <f>HYPERLINK("https://dpmzos25m8ivg.cloudfront.net/Documentos/631/70181832194/6317018183219406092023175742.pdf","https://dpmzos25m8ivg.cloudfront.net/Documentos/631/70181832194/6317018183219406092023175742.pdf")</f>
        <v>https://dpmzos25m8ivg.cloudfront.net/Documentos/631/70181832194/6317018183219406092023175742.pdf</v>
      </c>
      <c r="G7620" s="5" t="str">
        <f>HYPERLINK("https://dpmzos25m8ivg.cloudfront.net/Documentos/631/70181832194/6317018183219406092023175750.pdf","https://dpmzos25m8ivg.cloudfront.net/Documentos/631/70181832194/6317018183219406092023175750.pdf")</f>
        <v>https://dpmzos25m8ivg.cloudfront.net/Documentos/631/70181832194/6317018183219406092023175750.pdf</v>
      </c>
      <c r="H7620" s="5" t="s">
        <v>16188</v>
      </c>
    </row>
    <row r="7621" spans="1:8" x14ac:dyDescent="0.25">
      <c r="A7621" s="2" t="s">
        <v>7649</v>
      </c>
      <c r="B7621" s="3" t="s">
        <v>90</v>
      </c>
      <c r="C7621" s="3"/>
      <c r="D7621" s="3"/>
      <c r="E7621" s="5" t="str">
        <f>HYPERLINK("https://dpmzos25m8ivg.cloudfront.net/Documentos/631/70182240126/6317018224012606092023174507.pdf","https://dpmzos25m8ivg.cloudfront.net/Documentos/631/70182240126/6317018224012606092023174507.pdf")</f>
        <v>https://dpmzos25m8ivg.cloudfront.net/Documentos/631/70182240126/6317018224012606092023174507.pdf</v>
      </c>
      <c r="F7621" s="5" t="str">
        <f>HYPERLINK("https://dpmzos25m8ivg.cloudfront.net/Documentos/631/70182240126/6317018224012606092023174528.pdf","https://dpmzos25m8ivg.cloudfront.net/Documentos/631/70182240126/6317018224012606092023174528.pdf")</f>
        <v>https://dpmzos25m8ivg.cloudfront.net/Documentos/631/70182240126/6317018224012606092023174528.pdf</v>
      </c>
      <c r="G7621" s="5" t="str">
        <f>HYPERLINK("https://dpmzos25m8ivg.cloudfront.net/Documentos/631/70182240126/6317018224012606092023174556.pdf","https://dpmzos25m8ivg.cloudfront.net/Documentos/631/70182240126/6317018224012606092023174556.pdf")</f>
        <v>https://dpmzos25m8ivg.cloudfront.net/Documentos/631/70182240126/6317018224012606092023174556.pdf</v>
      </c>
      <c r="H7621" s="5" t="s">
        <v>16189</v>
      </c>
    </row>
    <row r="7622" spans="1:8" x14ac:dyDescent="0.25">
      <c r="A7622" s="2" t="s">
        <v>7650</v>
      </c>
      <c r="B7622" s="3" t="s">
        <v>23</v>
      </c>
      <c r="C7622" s="3"/>
      <c r="D7622" s="3"/>
      <c r="E7622" s="5" t="str">
        <f>HYPERLINK("https://dpmzos25m8ivg.cloudfront.net/Documentos/631/70184595169/6317018459516911092023152138.jpg","https://dpmzos25m8ivg.cloudfront.net/Documentos/631/70184595169/6317018459516911092023152138.jpg")</f>
        <v>https://dpmzos25m8ivg.cloudfront.net/Documentos/631/70184595169/6317018459516911092023152138.jpg</v>
      </c>
      <c r="F7622" s="5" t="str">
        <f>HYPERLINK("https://dpmzos25m8ivg.cloudfront.net/Documentos/631/70184595169/6317018459516911092023152229.jpg","https://dpmzos25m8ivg.cloudfront.net/Documentos/631/70184595169/6317018459516911092023152229.jpg")</f>
        <v>https://dpmzos25m8ivg.cloudfront.net/Documentos/631/70184595169/6317018459516911092023152229.jpg</v>
      </c>
      <c r="G7622" s="5" t="str">
        <f>HYPERLINK("https://dpmzos25m8ivg.cloudfront.net/Documentos/631/70184595169/6317018459516911092023152321.jpg","https://dpmzos25m8ivg.cloudfront.net/Documentos/631/70184595169/6317018459516911092023152321.jpg")</f>
        <v>https://dpmzos25m8ivg.cloudfront.net/Documentos/631/70184595169/6317018459516911092023152321.jpg</v>
      </c>
      <c r="H7622" s="5" t="s">
        <v>16190</v>
      </c>
    </row>
    <row r="7623" spans="1:8" x14ac:dyDescent="0.25">
      <c r="A7623" s="2" t="s">
        <v>7651</v>
      </c>
      <c r="B7623" s="3"/>
      <c r="C7623" s="3"/>
      <c r="D7623" s="3"/>
      <c r="E7623" s="5" t="str">
        <f>HYPERLINK("https://dpmzos25m8ivg.cloudfront.net/Documentos/631/70200466496/6317020046649605092023202107.jpg","https://dpmzos25m8ivg.cloudfront.net/Documentos/631/70200466496/6317020046649605092023202107.jpg")</f>
        <v>https://dpmzos25m8ivg.cloudfront.net/Documentos/631/70200466496/6317020046649605092023202107.jpg</v>
      </c>
      <c r="F7623" s="5" t="str">
        <f>HYPERLINK("https://dpmzos25m8ivg.cloudfront.net/Documentos/631/70200466496/6317020046649605092023202115.jpg","https://dpmzos25m8ivg.cloudfront.net/Documentos/631/70200466496/6317020046649605092023202115.jpg")</f>
        <v>https://dpmzos25m8ivg.cloudfront.net/Documentos/631/70200466496/6317020046649605092023202115.jpg</v>
      </c>
      <c r="G7623" s="5" t="str">
        <f>HYPERLINK("https://dpmzos25m8ivg.cloudfront.net/Documentos/631/70200466496/6317020046649605092023202125.jpg","https://dpmzos25m8ivg.cloudfront.net/Documentos/631/70200466496/6317020046649605092023202125.jpg")</f>
        <v>https://dpmzos25m8ivg.cloudfront.net/Documentos/631/70200466496/6317020046649605092023202125.jpg</v>
      </c>
      <c r="H7623" s="5" t="s">
        <v>16191</v>
      </c>
    </row>
    <row r="7624" spans="1:8" x14ac:dyDescent="0.25">
      <c r="A7624" s="2" t="s">
        <v>7652</v>
      </c>
      <c r="B7624" s="3"/>
      <c r="C7624" s="3"/>
      <c r="D7624" s="3"/>
      <c r="E7624" s="5" t="str">
        <f>HYPERLINK("https://dpmzos25m8ivg.cloudfront.net/Documentos/631/70208242180/6317020824218011092023100013.pdf","https://dpmzos25m8ivg.cloudfront.net/Documentos/631/70208242180/6317020824218011092023100013.pdf")</f>
        <v>https://dpmzos25m8ivg.cloudfront.net/Documentos/631/70208242180/6317020824218011092023100013.pdf</v>
      </c>
      <c r="F7624" s="5" t="str">
        <f>HYPERLINK("https://dpmzos25m8ivg.cloudfront.net/Documentos/631/70208242180/6317020824218011092023100048.pdf","https://dpmzos25m8ivg.cloudfront.net/Documentos/631/70208242180/6317020824218011092023100048.pdf")</f>
        <v>https://dpmzos25m8ivg.cloudfront.net/Documentos/631/70208242180/6317020824218011092023100048.pdf</v>
      </c>
      <c r="G7624" s="5" t="str">
        <f>HYPERLINK("https://dpmzos25m8ivg.cloudfront.net/Documentos/631/70208242180/6317020824218011092023100242.pdf","https://dpmzos25m8ivg.cloudfront.net/Documentos/631/70208242180/6317020824218011092023100242.pdf")</f>
        <v>https://dpmzos25m8ivg.cloudfront.net/Documentos/631/70208242180/6317020824218011092023100242.pdf</v>
      </c>
      <c r="H7624" s="5" t="s">
        <v>16192</v>
      </c>
    </row>
    <row r="7625" spans="1:8" x14ac:dyDescent="0.25">
      <c r="A7625" s="2" t="s">
        <v>7653</v>
      </c>
      <c r="B7625" s="3"/>
      <c r="C7625" s="3"/>
      <c r="D7625" s="3"/>
      <c r="E7625" s="5" t="str">
        <f>HYPERLINK("https://dpmzos25m8ivg.cloudfront.net/Documentos/631/70212534190/6317021253419010092023144548.jpg","https://dpmzos25m8ivg.cloudfront.net/Documentos/631/70212534190/6317021253419010092023144548.jpg")</f>
        <v>https://dpmzos25m8ivg.cloudfront.net/Documentos/631/70212534190/6317021253419010092023144548.jpg</v>
      </c>
      <c r="F7625" s="5" t="str">
        <f>HYPERLINK("https://dpmzos25m8ivg.cloudfront.net/Documentos/631/70212534190/6317021253419010092023144604.jpg","https://dpmzos25m8ivg.cloudfront.net/Documentos/631/70212534190/6317021253419010092023144604.jpg")</f>
        <v>https://dpmzos25m8ivg.cloudfront.net/Documentos/631/70212534190/6317021253419010092023144604.jpg</v>
      </c>
      <c r="G7625" s="5" t="str">
        <f>HYPERLINK("https://dpmzos25m8ivg.cloudfront.net/Documentos/631/70212534190/6317021253419010092023144620.jpg","https://dpmzos25m8ivg.cloudfront.net/Documentos/631/70212534190/6317021253419010092023144620.jpg")</f>
        <v>https://dpmzos25m8ivg.cloudfront.net/Documentos/631/70212534190/6317021253419010092023144620.jpg</v>
      </c>
      <c r="H7625" s="5" t="s">
        <v>16193</v>
      </c>
    </row>
    <row r="7626" spans="1:8" x14ac:dyDescent="0.25">
      <c r="A7626" s="2" t="s">
        <v>7654</v>
      </c>
      <c r="B7626" s="3" t="s">
        <v>90</v>
      </c>
      <c r="C7626" s="3"/>
      <c r="D7626" s="3"/>
      <c r="E7626" s="5" t="str">
        <f>HYPERLINK("https://dpmzos25m8ivg.cloudfront.net/Documentos/631/70214441768/6317021444176807092023092158.pdf","https://dpmzos25m8ivg.cloudfront.net/Documentos/631/70214441768/6317021444176807092023092158.pdf")</f>
        <v>https://dpmzos25m8ivg.cloudfront.net/Documentos/631/70214441768/6317021444176807092023092158.pdf</v>
      </c>
      <c r="F7626" s="5" t="str">
        <f>HYPERLINK("https://dpmzos25m8ivg.cloudfront.net/Documentos/631/70214441768/6317021444176807092023092227.pdf","https://dpmzos25m8ivg.cloudfront.net/Documentos/631/70214441768/6317021444176807092023092227.pdf")</f>
        <v>https://dpmzos25m8ivg.cloudfront.net/Documentos/631/70214441768/6317021444176807092023092227.pdf</v>
      </c>
      <c r="G7626" s="5" t="str">
        <f>HYPERLINK("https://dpmzos25m8ivg.cloudfront.net/Documentos/631/70214441768/6317021444176807092023092325.pdf","https://dpmzos25m8ivg.cloudfront.net/Documentos/631/70214441768/6317021444176807092023092325.pdf")</f>
        <v>https://dpmzos25m8ivg.cloudfront.net/Documentos/631/70214441768/6317021444176807092023092325.pdf</v>
      </c>
      <c r="H7626" s="5" t="s">
        <v>16194</v>
      </c>
    </row>
    <row r="7627" spans="1:8" x14ac:dyDescent="0.25">
      <c r="A7627" s="2" t="s">
        <v>7655</v>
      </c>
      <c r="B7627" s="3"/>
      <c r="C7627" s="3"/>
      <c r="D7627" s="3"/>
      <c r="E7627" s="5" t="str">
        <f>HYPERLINK("https://dpmzos25m8ivg.cloudfront.net/Documentos/631/70214694119/6317021469411905092023172557.jpeg","https://dpmzos25m8ivg.cloudfront.net/Documentos/631/70214694119/6317021469411905092023172557.jpeg")</f>
        <v>https://dpmzos25m8ivg.cloudfront.net/Documentos/631/70214694119/6317021469411905092023172557.jpeg</v>
      </c>
      <c r="F7627" s="5" t="str">
        <f>HYPERLINK("https://dpmzos25m8ivg.cloudfront.net/Documentos/631/70214694119/6317021469411905092023172622.jpeg","https://dpmzos25m8ivg.cloudfront.net/Documentos/631/70214694119/6317021469411905092023172622.jpeg")</f>
        <v>https://dpmzos25m8ivg.cloudfront.net/Documentos/631/70214694119/6317021469411905092023172622.jpeg</v>
      </c>
      <c r="G7627" s="5" t="str">
        <f>HYPERLINK("https://dpmzos25m8ivg.cloudfront.net/Documentos/631/70214694119/6317021469411905092023172647.jpeg","https://dpmzos25m8ivg.cloudfront.net/Documentos/631/70214694119/6317021469411905092023172647.jpeg")</f>
        <v>https://dpmzos25m8ivg.cloudfront.net/Documentos/631/70214694119/6317021469411905092023172647.jpeg</v>
      </c>
      <c r="H7627" s="5" t="s">
        <v>16195</v>
      </c>
    </row>
    <row r="7628" spans="1:8" x14ac:dyDescent="0.25">
      <c r="A7628" s="2" t="s">
        <v>7656</v>
      </c>
      <c r="B7628" s="3"/>
      <c r="C7628" s="3"/>
      <c r="D7628" s="3"/>
      <c r="E7628" s="5" t="str">
        <f>HYPERLINK("https://dpmzos25m8ivg.cloudfront.net/Documentos/631/70215140427/6317021514042711092023123803.pdf","https://dpmzos25m8ivg.cloudfront.net/Documentos/631/70215140427/6317021514042711092023123803.pdf")</f>
        <v>https://dpmzos25m8ivg.cloudfront.net/Documentos/631/70215140427/6317021514042711092023123803.pdf</v>
      </c>
      <c r="F7628" s="5" t="str">
        <f>HYPERLINK("https://dpmzos25m8ivg.cloudfront.net/Documentos/631/70215140427/6317021514042711092023123750.pdf","https://dpmzos25m8ivg.cloudfront.net/Documentos/631/70215140427/6317021514042711092023123750.pdf")</f>
        <v>https://dpmzos25m8ivg.cloudfront.net/Documentos/631/70215140427/6317021514042711092023123750.pdf</v>
      </c>
      <c r="G7628" s="5" t="str">
        <f>HYPERLINK("https://dpmzos25m8ivg.cloudfront.net/Documentos/631/70215140427/6317021514042711092023123735.pdf","https://dpmzos25m8ivg.cloudfront.net/Documentos/631/70215140427/6317021514042711092023123735.pdf")</f>
        <v>https://dpmzos25m8ivg.cloudfront.net/Documentos/631/70215140427/6317021514042711092023123735.pdf</v>
      </c>
      <c r="H7628" s="5" t="s">
        <v>16196</v>
      </c>
    </row>
    <row r="7629" spans="1:8" x14ac:dyDescent="0.25">
      <c r="A7629" s="2" t="s">
        <v>7657</v>
      </c>
      <c r="B7629" s="3"/>
      <c r="C7629" s="3"/>
      <c r="D7629" s="3"/>
      <c r="E7629" s="5" t="str">
        <f>HYPERLINK("https://dpmzos25m8ivg.cloudfront.net/Documentos/631/70216450403/6317021645040305092023122144.jpg","https://dpmzos25m8ivg.cloudfront.net/Documentos/631/70216450403/6317021645040305092023122144.jpg")</f>
        <v>https://dpmzos25m8ivg.cloudfront.net/Documentos/631/70216450403/6317021645040305092023122144.jpg</v>
      </c>
      <c r="F7629" s="5" t="str">
        <f>HYPERLINK("https://dpmzos25m8ivg.cloudfront.net/Documentos/631/70216450403/6317021645040305092023122134.jpg","https://dpmzos25m8ivg.cloudfront.net/Documentos/631/70216450403/6317021645040305092023122134.jpg")</f>
        <v>https://dpmzos25m8ivg.cloudfront.net/Documentos/631/70216450403/6317021645040305092023122134.jpg</v>
      </c>
      <c r="G7629" s="5" t="str">
        <f>HYPERLINK("https://dpmzos25m8ivg.cloudfront.net/Documentos/631/70216450403/6317021645040305092023122112.jpg","https://dpmzos25m8ivg.cloudfront.net/Documentos/631/70216450403/6317021645040305092023122112.jpg")</f>
        <v>https://dpmzos25m8ivg.cloudfront.net/Documentos/631/70216450403/6317021645040305092023122112.jpg</v>
      </c>
      <c r="H7629" s="5" t="s">
        <v>16197</v>
      </c>
    </row>
    <row r="7630" spans="1:8" x14ac:dyDescent="0.25">
      <c r="A7630" s="2" t="s">
        <v>7658</v>
      </c>
      <c r="B7630" s="3" t="s">
        <v>90</v>
      </c>
      <c r="C7630" s="3"/>
      <c r="D7630" s="3"/>
      <c r="E7630" s="5" t="str">
        <f>HYPERLINK("https://dpmzos25m8ivg.cloudfront.net/Documentos/631/70221390162/6317022139016208092023175413.pdf","https://dpmzos25m8ivg.cloudfront.net/Documentos/631/70221390162/6317022139016208092023175413.pdf")</f>
        <v>https://dpmzos25m8ivg.cloudfront.net/Documentos/631/70221390162/6317022139016208092023175413.pdf</v>
      </c>
      <c r="F7630" s="5" t="str">
        <f>HYPERLINK("https://dpmzos25m8ivg.cloudfront.net/Documentos/631/70221390162/6317022139016208092023175428.pdf","https://dpmzos25m8ivg.cloudfront.net/Documentos/631/70221390162/6317022139016208092023175428.pdf")</f>
        <v>https://dpmzos25m8ivg.cloudfront.net/Documentos/631/70221390162/6317022139016208092023175428.pdf</v>
      </c>
      <c r="G7630" s="5" t="str">
        <f>HYPERLINK("https://dpmzos25m8ivg.cloudfront.net/Documentos/631/70221390162/6317022139016208092023175439.pdf","https://dpmzos25m8ivg.cloudfront.net/Documentos/631/70221390162/6317022139016208092023175439.pdf")</f>
        <v>https://dpmzos25m8ivg.cloudfront.net/Documentos/631/70221390162/6317022139016208092023175439.pdf</v>
      </c>
      <c r="H7630" s="5" t="s">
        <v>16198</v>
      </c>
    </row>
    <row r="7631" spans="1:8" x14ac:dyDescent="0.25">
      <c r="A7631" s="2" t="s">
        <v>7659</v>
      </c>
      <c r="B7631" s="3"/>
      <c r="C7631" s="3"/>
      <c r="D7631" s="3"/>
      <c r="E7631" s="5" t="str">
        <f>HYPERLINK("https://dpmzos25m8ivg.cloudfront.net/Documentos/631/70229160123/6317022916012313092023172120.pdf","https://dpmzos25m8ivg.cloudfront.net/Documentos/631/70229160123/6317022916012313092023172120.pdf")</f>
        <v>https://dpmzos25m8ivg.cloudfront.net/Documentos/631/70229160123/6317022916012313092023172120.pdf</v>
      </c>
      <c r="F7631" s="5" t="str">
        <f>HYPERLINK("https://dpmzos25m8ivg.cloudfront.net/Documentos/631/70229160123/6317022916012313092023172130.pdf","https://dpmzos25m8ivg.cloudfront.net/Documentos/631/70229160123/6317022916012313092023172130.pdf")</f>
        <v>https://dpmzos25m8ivg.cloudfront.net/Documentos/631/70229160123/6317022916012313092023172130.pdf</v>
      </c>
      <c r="G7631" s="5" t="str">
        <f>HYPERLINK("https://dpmzos25m8ivg.cloudfront.net/Documentos/631/70229160123/6317022916012313092023172144.pdf","https://dpmzos25m8ivg.cloudfront.net/Documentos/631/70229160123/6317022916012313092023172144.pdf")</f>
        <v>https://dpmzos25m8ivg.cloudfront.net/Documentos/631/70229160123/6317022916012313092023172144.pdf</v>
      </c>
      <c r="H7631" s="5" t="s">
        <v>16199</v>
      </c>
    </row>
    <row r="7632" spans="1:8" x14ac:dyDescent="0.25">
      <c r="A7632" s="2" t="s">
        <v>7660</v>
      </c>
      <c r="B7632" s="3"/>
      <c r="C7632" s="3"/>
      <c r="D7632" s="3"/>
      <c r="E7632" s="5" t="str">
        <f>HYPERLINK("https://dpmzos25m8ivg.cloudfront.net/Documentos/631/70232176140/6317023217614011092023144242.pdf","https://dpmzos25m8ivg.cloudfront.net/Documentos/631/70232176140/6317023217614011092023144242.pdf")</f>
        <v>https://dpmzos25m8ivg.cloudfront.net/Documentos/631/70232176140/6317023217614011092023144242.pdf</v>
      </c>
      <c r="F7632" s="5" t="str">
        <f>HYPERLINK("https://dpmzos25m8ivg.cloudfront.net/Documentos/631/70232176140/6317023217614011092023144256.pdf","https://dpmzos25m8ivg.cloudfront.net/Documentos/631/70232176140/6317023217614011092023144256.pdf")</f>
        <v>https://dpmzos25m8ivg.cloudfront.net/Documentos/631/70232176140/6317023217614011092023144256.pdf</v>
      </c>
      <c r="G7632" s="5" t="str">
        <f>HYPERLINK("https://dpmzos25m8ivg.cloudfront.net/Documentos/631/70232176140/6317023217614011092023144310.pdf","https://dpmzos25m8ivg.cloudfront.net/Documentos/631/70232176140/6317023217614011092023144310.pdf")</f>
        <v>https://dpmzos25m8ivg.cloudfront.net/Documentos/631/70232176140/6317023217614011092023144310.pdf</v>
      </c>
      <c r="H7632" s="5" t="s">
        <v>16200</v>
      </c>
    </row>
    <row r="7633" spans="1:8" x14ac:dyDescent="0.25">
      <c r="A7633" s="2" t="s">
        <v>7661</v>
      </c>
      <c r="B7633" s="3" t="s">
        <v>23</v>
      </c>
      <c r="C7633" s="3"/>
      <c r="D7633" s="3"/>
      <c r="E7633" s="5" t="str">
        <f>HYPERLINK("https://dpmzos25m8ivg.cloudfront.net/Documentos/631/70233896015/6317023389601511092023132151.pdf","https://dpmzos25m8ivg.cloudfront.net/Documentos/631/70233896015/6317023389601511092023132151.pdf")</f>
        <v>https://dpmzos25m8ivg.cloudfront.net/Documentos/631/70233896015/6317023389601511092023132151.pdf</v>
      </c>
      <c r="F7633" s="5" t="str">
        <f>HYPERLINK("https://dpmzos25m8ivg.cloudfront.net/Documentos/631/70233896015/6317023389601511092023132249.pdf","https://dpmzos25m8ivg.cloudfront.net/Documentos/631/70233896015/6317023389601511092023132249.pdf")</f>
        <v>https://dpmzos25m8ivg.cloudfront.net/Documentos/631/70233896015/6317023389601511092023132249.pdf</v>
      </c>
      <c r="G7633" s="5" t="str">
        <f>HYPERLINK("https://dpmzos25m8ivg.cloudfront.net/Documentos/631/70233896015/6317023389601511092023132347.pdf","https://dpmzos25m8ivg.cloudfront.net/Documentos/631/70233896015/6317023389601511092023132347.pdf")</f>
        <v>https://dpmzos25m8ivg.cloudfront.net/Documentos/631/70233896015/6317023389601511092023132347.pdf</v>
      </c>
      <c r="H7633" s="5" t="s">
        <v>16201</v>
      </c>
    </row>
    <row r="7634" spans="1:8" x14ac:dyDescent="0.25">
      <c r="A7634" s="2" t="s">
        <v>7662</v>
      </c>
      <c r="B7634" s="3"/>
      <c r="C7634" s="3"/>
      <c r="D7634" s="3"/>
      <c r="E7634" s="5" t="str">
        <f>HYPERLINK("https://dpmzos25m8ivg.cloudfront.net/Documentos/631/70235372447/6317023537244713092023155718.jpeg","https://dpmzos25m8ivg.cloudfront.net/Documentos/631/70235372447/6317023537244713092023155718.jpeg")</f>
        <v>https://dpmzos25m8ivg.cloudfront.net/Documentos/631/70235372447/6317023537244713092023155718.jpeg</v>
      </c>
      <c r="F7634" s="5" t="str">
        <f>HYPERLINK("https://dpmzos25m8ivg.cloudfront.net/Documentos/631/70235372447/6317023537244713092023155724.jpeg","https://dpmzos25m8ivg.cloudfront.net/Documentos/631/70235372447/6317023537244713092023155724.jpeg")</f>
        <v>https://dpmzos25m8ivg.cloudfront.net/Documentos/631/70235372447/6317023537244713092023155724.jpeg</v>
      </c>
      <c r="G7634" s="5" t="str">
        <f>HYPERLINK("https://dpmzos25m8ivg.cloudfront.net/Documentos/631/70235372447/6317023537244713092023155731.jpeg","https://dpmzos25m8ivg.cloudfront.net/Documentos/631/70235372447/6317023537244713092023155731.jpeg")</f>
        <v>https://dpmzos25m8ivg.cloudfront.net/Documentos/631/70235372447/6317023537244713092023155731.jpeg</v>
      </c>
      <c r="H7634" s="5" t="s">
        <v>16202</v>
      </c>
    </row>
    <row r="7635" spans="1:8" x14ac:dyDescent="0.25">
      <c r="A7635" s="2" t="s">
        <v>7663</v>
      </c>
      <c r="B7635" s="3"/>
      <c r="C7635" s="3"/>
      <c r="D7635" s="3"/>
      <c r="E7635" s="5" t="str">
        <f>HYPERLINK("https://dpmzos25m8ivg.cloudfront.net/Documentos/631/70252595432/6317025259543213092023100244.jpeg","https://dpmzos25m8ivg.cloudfront.net/Documentos/631/70252595432/6317025259543213092023100244.jpeg")</f>
        <v>https://dpmzos25m8ivg.cloudfront.net/Documentos/631/70252595432/6317025259543213092023100244.jpeg</v>
      </c>
      <c r="F7635" s="5" t="str">
        <f>HYPERLINK("https://dpmzos25m8ivg.cloudfront.net/Documentos/631/70252595432/6317025259543213092023100250.jpeg","https://dpmzos25m8ivg.cloudfront.net/Documentos/631/70252595432/6317025259543213092023100250.jpeg")</f>
        <v>https://dpmzos25m8ivg.cloudfront.net/Documentos/631/70252595432/6317025259543213092023100250.jpeg</v>
      </c>
      <c r="G7635" s="5" t="str">
        <f>HYPERLINK("https://dpmzos25m8ivg.cloudfront.net/Documentos/631/70252595432/6317025259543213092023100257.jpeg","https://dpmzos25m8ivg.cloudfront.net/Documentos/631/70252595432/6317025259543213092023100257.jpeg")</f>
        <v>https://dpmzos25m8ivg.cloudfront.net/Documentos/631/70252595432/6317025259543213092023100257.jpeg</v>
      </c>
      <c r="H7635" s="5" t="s">
        <v>16203</v>
      </c>
    </row>
    <row r="7636" spans="1:8" x14ac:dyDescent="0.25">
      <c r="A7636" s="2" t="s">
        <v>7664</v>
      </c>
      <c r="B7636" s="3"/>
      <c r="C7636" s="3"/>
      <c r="D7636" s="3"/>
      <c r="E7636" s="5" t="str">
        <f>HYPERLINK("https://dpmzos25m8ivg.cloudfront.net/Documentos/631/70258146109/6317025814610910092023220122.pdf","https://dpmzos25m8ivg.cloudfront.net/Documentos/631/70258146109/6317025814610910092023220122.pdf")</f>
        <v>https://dpmzos25m8ivg.cloudfront.net/Documentos/631/70258146109/6317025814610910092023220122.pdf</v>
      </c>
      <c r="F7636" s="5" t="str">
        <f>HYPERLINK("https://dpmzos25m8ivg.cloudfront.net/Documentos/631/70258146109/6317025814610910092023220137.pdf","https://dpmzos25m8ivg.cloudfront.net/Documentos/631/70258146109/6317025814610910092023220137.pdf")</f>
        <v>https://dpmzos25m8ivg.cloudfront.net/Documentos/631/70258146109/6317025814610910092023220137.pdf</v>
      </c>
      <c r="G7636" s="5" t="str">
        <f>HYPERLINK("https://dpmzos25m8ivg.cloudfront.net/Documentos/631/70258146109/6317025814610910092023220229.pdf","https://dpmzos25m8ivg.cloudfront.net/Documentos/631/70258146109/6317025814610910092023220229.pdf")</f>
        <v>https://dpmzos25m8ivg.cloudfront.net/Documentos/631/70258146109/6317025814610910092023220229.pdf</v>
      </c>
      <c r="H7636" s="5" t="s">
        <v>16204</v>
      </c>
    </row>
    <row r="7637" spans="1:8" x14ac:dyDescent="0.25">
      <c r="A7637" s="2" t="s">
        <v>7665</v>
      </c>
      <c r="B7637" s="3"/>
      <c r="C7637" s="3"/>
      <c r="D7637" s="3"/>
      <c r="E7637" s="5" t="str">
        <f>HYPERLINK("https://dpmzos25m8ivg.cloudfront.net/Documentos/631/70262640368/6317026264036805092023125941.pdf","https://dpmzos25m8ivg.cloudfront.net/Documentos/631/70262640368/6317026264036805092023125941.pdf")</f>
        <v>https://dpmzos25m8ivg.cloudfront.net/Documentos/631/70262640368/6317026264036805092023125941.pdf</v>
      </c>
      <c r="F7637" s="5" t="str">
        <f>HYPERLINK("https://dpmzos25m8ivg.cloudfront.net/Documentos/631/70262640368/6317026264036805092023130009.pdf","https://dpmzos25m8ivg.cloudfront.net/Documentos/631/70262640368/6317026264036805092023130009.pdf")</f>
        <v>https://dpmzos25m8ivg.cloudfront.net/Documentos/631/70262640368/6317026264036805092023130009.pdf</v>
      </c>
      <c r="G7637" s="5" t="str">
        <f>HYPERLINK("https://dpmzos25m8ivg.cloudfront.net/Documentos/631/70262640368/6317026264036805092023130040.pdf","https://dpmzos25m8ivg.cloudfront.net/Documentos/631/70262640368/6317026264036805092023130040.pdf")</f>
        <v>https://dpmzos25m8ivg.cloudfront.net/Documentos/631/70262640368/6317026264036805092023130040.pdf</v>
      </c>
      <c r="H7637" s="5" t="s">
        <v>16205</v>
      </c>
    </row>
    <row r="7638" spans="1:8" x14ac:dyDescent="0.25">
      <c r="A7638" s="2" t="s">
        <v>7666</v>
      </c>
      <c r="B7638" s="3"/>
      <c r="C7638" s="3"/>
      <c r="D7638" s="3"/>
      <c r="E7638" s="5" t="str">
        <f>HYPERLINK("https://dpmzos25m8ivg.cloudfront.net/Documentos/631/70262693216/6317026269321609092023174309.pdf","https://dpmzos25m8ivg.cloudfront.net/Documentos/631/70262693216/6317026269321609092023174309.pdf")</f>
        <v>https://dpmzos25m8ivg.cloudfront.net/Documentos/631/70262693216/6317026269321609092023174309.pdf</v>
      </c>
      <c r="F7638" s="5" t="str">
        <f>HYPERLINK("https://dpmzos25m8ivg.cloudfront.net/Documentos/631/70262693216/6317026269321609092023174403.pdf","https://dpmzos25m8ivg.cloudfront.net/Documentos/631/70262693216/6317026269321609092023174403.pdf")</f>
        <v>https://dpmzos25m8ivg.cloudfront.net/Documentos/631/70262693216/6317026269321609092023174403.pdf</v>
      </c>
      <c r="G7638" s="5" t="str">
        <f>HYPERLINK("https://dpmzos25m8ivg.cloudfront.net/Documentos/631/70262693216/6317026269321609092023174412.pdf","https://dpmzos25m8ivg.cloudfront.net/Documentos/631/70262693216/6317026269321609092023174412.pdf")</f>
        <v>https://dpmzos25m8ivg.cloudfront.net/Documentos/631/70262693216/6317026269321609092023174412.pdf</v>
      </c>
      <c r="H7638" s="5" t="s">
        <v>16206</v>
      </c>
    </row>
    <row r="7639" spans="1:8" x14ac:dyDescent="0.25">
      <c r="A7639" s="2" t="s">
        <v>7667</v>
      </c>
      <c r="B7639" s="3"/>
      <c r="C7639" s="3"/>
      <c r="D7639" s="3"/>
      <c r="E7639" s="5" t="str">
        <f>HYPERLINK("https://dpmzos25m8ivg.cloudfront.net/Documentos/631/70264459601/6317026445960114092023144611.jpg","https://dpmzos25m8ivg.cloudfront.net/Documentos/631/70264459601/6317026445960114092023144611.jpg")</f>
        <v>https://dpmzos25m8ivg.cloudfront.net/Documentos/631/70264459601/6317026445960114092023144611.jpg</v>
      </c>
      <c r="F7639" s="5" t="str">
        <f>HYPERLINK("https://dpmzos25m8ivg.cloudfront.net/Documentos/631/70264459601/6317026445960114092023144659.jpg","https://dpmzos25m8ivg.cloudfront.net/Documentos/631/70264459601/6317026445960114092023144659.jpg")</f>
        <v>https://dpmzos25m8ivg.cloudfront.net/Documentos/631/70264459601/6317026445960114092023144659.jpg</v>
      </c>
      <c r="G7639" s="5" t="str">
        <f>HYPERLINK("https://dpmzos25m8ivg.cloudfront.net/Documentos/631/70264459601/6317026445960114092023144737.jpg","https://dpmzos25m8ivg.cloudfront.net/Documentos/631/70264459601/6317026445960114092023144737.jpg")</f>
        <v>https://dpmzos25m8ivg.cloudfront.net/Documentos/631/70264459601/6317026445960114092023144737.jpg</v>
      </c>
      <c r="H7639" s="5" t="s">
        <v>16207</v>
      </c>
    </row>
    <row r="7640" spans="1:8" x14ac:dyDescent="0.25">
      <c r="A7640" s="2" t="s">
        <v>7668</v>
      </c>
      <c r="B7640" s="3"/>
      <c r="C7640" s="3"/>
      <c r="D7640" s="3"/>
      <c r="E7640" s="5" t="str">
        <f>HYPERLINK("https://dpmzos25m8ivg.cloudfront.net/Documentos/631/70268067422/6317026806742209092023224845.jpg","https://dpmzos25m8ivg.cloudfront.net/Documentos/631/70268067422/6317026806742209092023224845.jpg")</f>
        <v>https://dpmzos25m8ivg.cloudfront.net/Documentos/631/70268067422/6317026806742209092023224845.jpg</v>
      </c>
      <c r="F7640" s="5" t="str">
        <f>HYPERLINK("https://dpmzos25m8ivg.cloudfront.net/Documentos/631/70268067422/6317026806742209092023224938.jpg","https://dpmzos25m8ivg.cloudfront.net/Documentos/631/70268067422/6317026806742209092023224938.jpg")</f>
        <v>https://dpmzos25m8ivg.cloudfront.net/Documentos/631/70268067422/6317026806742209092023224938.jpg</v>
      </c>
      <c r="G7640" s="5" t="str">
        <f>HYPERLINK("https://dpmzos25m8ivg.cloudfront.net/Documentos/631/70268067422/6317026806742209092023224955.jpg","https://dpmzos25m8ivg.cloudfront.net/Documentos/631/70268067422/6317026806742209092023224955.jpg")</f>
        <v>https://dpmzos25m8ivg.cloudfront.net/Documentos/631/70268067422/6317026806742209092023224955.jpg</v>
      </c>
      <c r="H7640" s="5" t="s">
        <v>16208</v>
      </c>
    </row>
    <row r="7641" spans="1:8" x14ac:dyDescent="0.25">
      <c r="A7641" s="2" t="s">
        <v>7669</v>
      </c>
      <c r="B7641" s="3"/>
      <c r="C7641" s="3"/>
      <c r="D7641" s="3"/>
      <c r="E7641" s="5" t="str">
        <f>HYPERLINK("https://dpmzos25m8ivg.cloudfront.net/Documentos/631/70268297428/6317026829742811092023140442.pdf","https://dpmzos25m8ivg.cloudfront.net/Documentos/631/70268297428/6317026829742811092023140442.pdf")</f>
        <v>https://dpmzos25m8ivg.cloudfront.net/Documentos/631/70268297428/6317026829742811092023140442.pdf</v>
      </c>
      <c r="F7641" s="5" t="str">
        <f>HYPERLINK("https://dpmzos25m8ivg.cloudfront.net/Documentos/631/70268297428/6317026829742811092023140523.pdf","https://dpmzos25m8ivg.cloudfront.net/Documentos/631/70268297428/6317026829742811092023140523.pdf")</f>
        <v>https://dpmzos25m8ivg.cloudfront.net/Documentos/631/70268297428/6317026829742811092023140523.pdf</v>
      </c>
      <c r="G7641" s="5" t="str">
        <f>HYPERLINK("https://dpmzos25m8ivg.cloudfront.net/Documentos/631/70268297428/6317026829742811092023140723.pdf","https://dpmzos25m8ivg.cloudfront.net/Documentos/631/70268297428/6317026829742811092023140723.pdf")</f>
        <v>https://dpmzos25m8ivg.cloudfront.net/Documentos/631/70268297428/6317026829742811092023140723.pdf</v>
      </c>
      <c r="H7641" s="5" t="s">
        <v>16209</v>
      </c>
    </row>
    <row r="7642" spans="1:8" x14ac:dyDescent="0.25">
      <c r="A7642" s="2" t="s">
        <v>7670</v>
      </c>
      <c r="B7642" s="3"/>
      <c r="C7642" s="3"/>
      <c r="D7642" s="3"/>
      <c r="E7642" s="5" t="str">
        <f>HYPERLINK("https://dpmzos25m8ivg.cloudfront.net/Documentos/631/70273594648/6317027359464811092023163457.pdf","https://dpmzos25m8ivg.cloudfront.net/Documentos/631/70273594648/6317027359464811092023163457.pdf")</f>
        <v>https://dpmzos25m8ivg.cloudfront.net/Documentos/631/70273594648/6317027359464811092023163457.pdf</v>
      </c>
      <c r="F7642" s="5" t="str">
        <f>HYPERLINK("https://dpmzos25m8ivg.cloudfront.net/Documentos/631/70273594648/6317027359464811092023163508.pdf","https://dpmzos25m8ivg.cloudfront.net/Documentos/631/70273594648/6317027359464811092023163508.pdf")</f>
        <v>https://dpmzos25m8ivg.cloudfront.net/Documentos/631/70273594648/6317027359464811092023163508.pdf</v>
      </c>
      <c r="G7642" s="5" t="str">
        <f>HYPERLINK("https://dpmzos25m8ivg.cloudfront.net/Documentos/631/70273594648/6317027359464811092023163526.pdf","https://dpmzos25m8ivg.cloudfront.net/Documentos/631/70273594648/6317027359464811092023163526.pdf")</f>
        <v>https://dpmzos25m8ivg.cloudfront.net/Documentos/631/70273594648/6317027359464811092023163526.pdf</v>
      </c>
      <c r="H7642" s="5" t="s">
        <v>16210</v>
      </c>
    </row>
    <row r="7643" spans="1:8" x14ac:dyDescent="0.25">
      <c r="A7643" s="2" t="s">
        <v>7671</v>
      </c>
      <c r="B7643" s="3"/>
      <c r="C7643" s="3"/>
      <c r="D7643" s="3"/>
      <c r="E7643" s="5" t="str">
        <f>HYPERLINK("https://dpmzos25m8ivg.cloudfront.net/Documentos/631/70276390172/6317027639017213092023151733.pdf","https://dpmzos25m8ivg.cloudfront.net/Documentos/631/70276390172/6317027639017213092023151733.pdf")</f>
        <v>https://dpmzos25m8ivg.cloudfront.net/Documentos/631/70276390172/6317027639017213092023151733.pdf</v>
      </c>
      <c r="F7643" s="5" t="str">
        <f>HYPERLINK("https://dpmzos25m8ivg.cloudfront.net/Documentos/631/70276390172/6317027639017213092023152058.pdf","https://dpmzos25m8ivg.cloudfront.net/Documentos/631/70276390172/6317027639017213092023152058.pdf")</f>
        <v>https://dpmzos25m8ivg.cloudfront.net/Documentos/631/70276390172/6317027639017213092023152058.pdf</v>
      </c>
      <c r="G7643" s="5" t="str">
        <f>HYPERLINK("https://dpmzos25m8ivg.cloudfront.net/Documentos/631/70276390172/6317027639017213092023152123.pdf","https://dpmzos25m8ivg.cloudfront.net/Documentos/631/70276390172/6317027639017213092023152123.pdf")</f>
        <v>https://dpmzos25m8ivg.cloudfront.net/Documentos/631/70276390172/6317027639017213092023152123.pdf</v>
      </c>
      <c r="H7643" s="5" t="s">
        <v>16211</v>
      </c>
    </row>
    <row r="7644" spans="1:8" x14ac:dyDescent="0.25">
      <c r="A7644" s="2" t="s">
        <v>7672</v>
      </c>
      <c r="B7644" s="3"/>
      <c r="C7644" s="3"/>
      <c r="D7644" s="3"/>
      <c r="E7644" s="5" t="str">
        <f>HYPERLINK("https://dpmzos25m8ivg.cloudfront.net/Documentos/631/70276580117/6317027658011705092023125307.pdf","https://dpmzos25m8ivg.cloudfront.net/Documentos/631/70276580117/6317027658011705092023125307.pdf")</f>
        <v>https://dpmzos25m8ivg.cloudfront.net/Documentos/631/70276580117/6317027658011705092023125307.pdf</v>
      </c>
      <c r="F7644" s="5" t="str">
        <f>HYPERLINK("https://dpmzos25m8ivg.cloudfront.net/Documentos/631/70276580117/6317027658011705092023125401.pdf","https://dpmzos25m8ivg.cloudfront.net/Documentos/631/70276580117/6317027658011705092023125401.pdf")</f>
        <v>https://dpmzos25m8ivg.cloudfront.net/Documentos/631/70276580117/6317027658011705092023125401.pdf</v>
      </c>
      <c r="G7644" s="5" t="str">
        <f>HYPERLINK("https://dpmzos25m8ivg.cloudfront.net/Documentos/631/70276580117/6317027658011706092023154139.pdf","https://dpmzos25m8ivg.cloudfront.net/Documentos/631/70276580117/6317027658011706092023154139.pdf")</f>
        <v>https://dpmzos25m8ivg.cloudfront.net/Documentos/631/70276580117/6317027658011706092023154139.pdf</v>
      </c>
      <c r="H7644" s="5" t="s">
        <v>16212</v>
      </c>
    </row>
    <row r="7645" spans="1:8" x14ac:dyDescent="0.25">
      <c r="A7645" s="2" t="s">
        <v>7673</v>
      </c>
      <c r="B7645" s="3"/>
      <c r="C7645" s="3"/>
      <c r="D7645" s="3"/>
      <c r="E7645" s="5" t="str">
        <f>HYPERLINK("https://dpmzos25m8ivg.cloudfront.net/Documentos/631/70277502446/6317027750244611092023154754.pdf","https://dpmzos25m8ivg.cloudfront.net/Documentos/631/70277502446/6317027750244611092023154754.pdf")</f>
        <v>https://dpmzos25m8ivg.cloudfront.net/Documentos/631/70277502446/6317027750244611092023154754.pdf</v>
      </c>
      <c r="F7645" s="5" t="str">
        <f>HYPERLINK("https://dpmzos25m8ivg.cloudfront.net/Documentos/631/70277502446/6317027750244611092023154832.pdf","https://dpmzos25m8ivg.cloudfront.net/Documentos/631/70277502446/6317027750244611092023154832.pdf")</f>
        <v>https://dpmzos25m8ivg.cloudfront.net/Documentos/631/70277502446/6317027750244611092023154832.pdf</v>
      </c>
      <c r="G7645" s="5" t="str">
        <f>HYPERLINK("https://dpmzos25m8ivg.cloudfront.net/Documentos/631/70277502446/6317027750244611092023154857.pdf","https://dpmzos25m8ivg.cloudfront.net/Documentos/631/70277502446/6317027750244611092023154857.pdf")</f>
        <v>https://dpmzos25m8ivg.cloudfront.net/Documentos/631/70277502446/6317027750244611092023154857.pdf</v>
      </c>
      <c r="H7645" s="5" t="s">
        <v>16213</v>
      </c>
    </row>
    <row r="7646" spans="1:8" x14ac:dyDescent="0.25">
      <c r="A7646" s="2" t="s">
        <v>7674</v>
      </c>
      <c r="B7646" s="3"/>
      <c r="C7646" s="3"/>
      <c r="D7646" s="3"/>
      <c r="E7646" s="5" t="str">
        <f>HYPERLINK("https://dpmzos25m8ivg.cloudfront.net/Documentos/631/70277828120/6317027782812006092023082913.pdf","https://dpmzos25m8ivg.cloudfront.net/Documentos/631/70277828120/6317027782812006092023082913.pdf")</f>
        <v>https://dpmzos25m8ivg.cloudfront.net/Documentos/631/70277828120/6317027782812006092023082913.pdf</v>
      </c>
      <c r="F7646" s="5" t="str">
        <f>HYPERLINK("https://dpmzos25m8ivg.cloudfront.net/Documentos/631/70277828120/6317027782812006092023082927.pdf","https://dpmzos25m8ivg.cloudfront.net/Documentos/631/70277828120/6317027782812006092023082927.pdf")</f>
        <v>https://dpmzos25m8ivg.cloudfront.net/Documentos/631/70277828120/6317027782812006092023082927.pdf</v>
      </c>
      <c r="G7646" s="5" t="str">
        <f>HYPERLINK("https://dpmzos25m8ivg.cloudfront.net/Documentos/631/70277828120/6317027782812006092023082948.pdf","https://dpmzos25m8ivg.cloudfront.net/Documentos/631/70277828120/6317027782812006092023082948.pdf")</f>
        <v>https://dpmzos25m8ivg.cloudfront.net/Documentos/631/70277828120/6317027782812006092023082948.pdf</v>
      </c>
      <c r="H7646" s="5" t="s">
        <v>16214</v>
      </c>
    </row>
    <row r="7647" spans="1:8" x14ac:dyDescent="0.25">
      <c r="A7647" s="2" t="s">
        <v>7675</v>
      </c>
      <c r="B7647" s="3"/>
      <c r="C7647" s="3"/>
      <c r="D7647" s="3"/>
      <c r="E7647" s="5" t="str">
        <f>HYPERLINK("https://dpmzos25m8ivg.cloudfront.net/Documentos/631/70280624492/6317028062449211092023144910.jpeg","https://dpmzos25m8ivg.cloudfront.net/Documentos/631/70280624492/6317028062449211092023144910.jpeg")</f>
        <v>https://dpmzos25m8ivg.cloudfront.net/Documentos/631/70280624492/6317028062449211092023144910.jpeg</v>
      </c>
      <c r="F7647" s="5" t="str">
        <f>HYPERLINK("https://dpmzos25m8ivg.cloudfront.net/Documentos/631/70280624492/6317028062449211092023144928.jpeg","https://dpmzos25m8ivg.cloudfront.net/Documentos/631/70280624492/6317028062449211092023144928.jpeg")</f>
        <v>https://dpmzos25m8ivg.cloudfront.net/Documentos/631/70280624492/6317028062449211092023144928.jpeg</v>
      </c>
      <c r="G7647" s="5" t="str">
        <f>HYPERLINK("https://dpmzos25m8ivg.cloudfront.net/Documentos/631/70280624492/6317028062449211092023144952.jpeg","https://dpmzos25m8ivg.cloudfront.net/Documentos/631/70280624492/6317028062449211092023144952.jpeg")</f>
        <v>https://dpmzos25m8ivg.cloudfront.net/Documentos/631/70280624492/6317028062449211092023144952.jpeg</v>
      </c>
      <c r="H7647" s="5" t="s">
        <v>16215</v>
      </c>
    </row>
    <row r="7648" spans="1:8" x14ac:dyDescent="0.25">
      <c r="A7648" s="2" t="s">
        <v>7676</v>
      </c>
      <c r="B7648" s="3" t="s">
        <v>90</v>
      </c>
      <c r="C7648" s="3"/>
      <c r="D7648" s="3"/>
      <c r="E7648" s="5" t="str">
        <f>HYPERLINK("https://dpmzos25m8ivg.cloudfront.net/Documentos/631/70286018462/6317028601846206092023163948.pdf","https://dpmzos25m8ivg.cloudfront.net/Documentos/631/70286018462/6317028601846206092023163948.pdf")</f>
        <v>https://dpmzos25m8ivg.cloudfront.net/Documentos/631/70286018462/6317028601846206092023163948.pdf</v>
      </c>
      <c r="F7648" s="5" t="str">
        <f>HYPERLINK("https://dpmzos25m8ivg.cloudfront.net/Documentos/631/70286018462/6317028601846206092023164006.pdf","https://dpmzos25m8ivg.cloudfront.net/Documentos/631/70286018462/6317028601846206092023164006.pdf")</f>
        <v>https://dpmzos25m8ivg.cloudfront.net/Documentos/631/70286018462/6317028601846206092023164006.pdf</v>
      </c>
      <c r="G7648" s="5" t="str">
        <f>HYPERLINK("https://dpmzos25m8ivg.cloudfront.net/Documentos/631/70286018462/6317028601846206092023164841.pdf","https://dpmzos25m8ivg.cloudfront.net/Documentos/631/70286018462/6317028601846206092023164841.pdf")</f>
        <v>https://dpmzos25m8ivg.cloudfront.net/Documentos/631/70286018462/6317028601846206092023164841.pdf</v>
      </c>
      <c r="H7648" s="5" t="s">
        <v>16216</v>
      </c>
    </row>
    <row r="7649" spans="1:8" x14ac:dyDescent="0.25">
      <c r="A7649" s="2" t="s">
        <v>7677</v>
      </c>
      <c r="B7649" s="3"/>
      <c r="C7649" s="3"/>
      <c r="D7649" s="3"/>
      <c r="E7649" s="5" t="str">
        <f>HYPERLINK("https://dpmzos25m8ivg.cloudfront.net/Documentos/631/70288229150/6317028822915005092023165950.jpeg","https://dpmzos25m8ivg.cloudfront.net/Documentos/631/70288229150/6317028822915005092023165950.jpeg")</f>
        <v>https://dpmzos25m8ivg.cloudfront.net/Documentos/631/70288229150/6317028822915005092023165950.jpeg</v>
      </c>
      <c r="F7649" s="5" t="str">
        <f>HYPERLINK("https://dpmzos25m8ivg.cloudfront.net/Documentos/631/70288229150/6317028822915005092023170011.jpeg","https://dpmzos25m8ivg.cloudfront.net/Documentos/631/70288229150/6317028822915005092023170011.jpeg")</f>
        <v>https://dpmzos25m8ivg.cloudfront.net/Documentos/631/70288229150/6317028822915005092023170011.jpeg</v>
      </c>
      <c r="G7649" s="5" t="str">
        <f>HYPERLINK("https://dpmzos25m8ivg.cloudfront.net/Documentos/631/70288229150/6317028822915005092023170121.jpeg","https://dpmzos25m8ivg.cloudfront.net/Documentos/631/70288229150/6317028822915005092023170121.jpeg")</f>
        <v>https://dpmzos25m8ivg.cloudfront.net/Documentos/631/70288229150/6317028822915005092023170121.jpeg</v>
      </c>
      <c r="H7649" s="5" t="s">
        <v>16217</v>
      </c>
    </row>
    <row r="7650" spans="1:8" x14ac:dyDescent="0.25">
      <c r="A7650" s="2" t="s">
        <v>7678</v>
      </c>
      <c r="B7650" s="3"/>
      <c r="C7650" s="3"/>
      <c r="D7650" s="3"/>
      <c r="E7650" s="5" t="str">
        <f>HYPERLINK("https://dpmzos25m8ivg.cloudfront.net/Documentos/631/70289576164/6317028957616411092023150955.pdf","https://dpmzos25m8ivg.cloudfront.net/Documentos/631/70289576164/6317028957616411092023150955.pdf")</f>
        <v>https://dpmzos25m8ivg.cloudfront.net/Documentos/631/70289576164/6317028957616411092023150955.pdf</v>
      </c>
      <c r="F7650" s="5" t="str">
        <f>HYPERLINK("https://dpmzos25m8ivg.cloudfront.net/Documentos/631/70289576164/6317028957616411092023151015.pdf","https://dpmzos25m8ivg.cloudfront.net/Documentos/631/70289576164/6317028957616411092023151015.pdf")</f>
        <v>https://dpmzos25m8ivg.cloudfront.net/Documentos/631/70289576164/6317028957616411092023151015.pdf</v>
      </c>
      <c r="G7650" s="5" t="str">
        <f>HYPERLINK("https://dpmzos25m8ivg.cloudfront.net/Documentos/631/70289576164/6317028957616411092023151032.pdf","https://dpmzos25m8ivg.cloudfront.net/Documentos/631/70289576164/6317028957616411092023151032.pdf")</f>
        <v>https://dpmzos25m8ivg.cloudfront.net/Documentos/631/70289576164/6317028957616411092023151032.pdf</v>
      </c>
      <c r="H7650" s="5" t="s">
        <v>16218</v>
      </c>
    </row>
    <row r="7651" spans="1:8" x14ac:dyDescent="0.25">
      <c r="A7651" s="2" t="s">
        <v>7679</v>
      </c>
      <c r="B7651" s="3"/>
      <c r="C7651" s="3"/>
      <c r="D7651" s="3"/>
      <c r="E7651" s="5" t="str">
        <f>HYPERLINK("https://dpmzos25m8ivg.cloudfront.net/Documentos/631/70291917658/6317029191765810092023183327.pdf","https://dpmzos25m8ivg.cloudfront.net/Documentos/631/70291917658/6317029191765810092023183327.pdf")</f>
        <v>https://dpmzos25m8ivg.cloudfront.net/Documentos/631/70291917658/6317029191765810092023183327.pdf</v>
      </c>
      <c r="F7651" s="5" t="str">
        <f>HYPERLINK("https://dpmzos25m8ivg.cloudfront.net/Documentos/631/70291917658/6317029191765810092023183407.pdf","https://dpmzos25m8ivg.cloudfront.net/Documentos/631/70291917658/6317029191765810092023183407.pdf")</f>
        <v>https://dpmzos25m8ivg.cloudfront.net/Documentos/631/70291917658/6317029191765810092023183407.pdf</v>
      </c>
      <c r="G7651" s="5" t="str">
        <f>HYPERLINK("https://dpmzos25m8ivg.cloudfront.net/Documentos/631/70291917658/6317029191765810092023183852.pdf","https://dpmzos25m8ivg.cloudfront.net/Documentos/631/70291917658/6317029191765810092023183852.pdf")</f>
        <v>https://dpmzos25m8ivg.cloudfront.net/Documentos/631/70291917658/6317029191765810092023183852.pdf</v>
      </c>
      <c r="H7651" s="5" t="s">
        <v>16219</v>
      </c>
    </row>
    <row r="7652" spans="1:8" x14ac:dyDescent="0.25">
      <c r="A7652" s="2" t="s">
        <v>7680</v>
      </c>
      <c r="B7652" s="3"/>
      <c r="C7652" s="3"/>
      <c r="D7652" s="3"/>
      <c r="E7652" s="5" t="str">
        <f>HYPERLINK("https://dpmzos25m8ivg.cloudfront.net/Documentos/631/70293340277/6317029334027711092023114328.pdf","https://dpmzos25m8ivg.cloudfront.net/Documentos/631/70293340277/6317029334027711092023114328.pdf")</f>
        <v>https://dpmzos25m8ivg.cloudfront.net/Documentos/631/70293340277/6317029334027711092023114328.pdf</v>
      </c>
      <c r="F7652" s="5" t="str">
        <f>HYPERLINK("https://dpmzos25m8ivg.cloudfront.net/Documentos/631/70293340277/6317029334027711092023114344.pdf","https://dpmzos25m8ivg.cloudfront.net/Documentos/631/70293340277/6317029334027711092023114344.pdf")</f>
        <v>https://dpmzos25m8ivg.cloudfront.net/Documentos/631/70293340277/6317029334027711092023114344.pdf</v>
      </c>
      <c r="G7652" s="5" t="str">
        <f>HYPERLINK("https://dpmzos25m8ivg.cloudfront.net/Documentos/631/70293340277/6317029334027711092023114359.pdf","https://dpmzos25m8ivg.cloudfront.net/Documentos/631/70293340277/6317029334027711092023114359.pdf")</f>
        <v>https://dpmzos25m8ivg.cloudfront.net/Documentos/631/70293340277/6317029334027711092023114359.pdf</v>
      </c>
      <c r="H7652" s="5" t="s">
        <v>16220</v>
      </c>
    </row>
    <row r="7653" spans="1:8" x14ac:dyDescent="0.25">
      <c r="A7653" s="2" t="s">
        <v>7681</v>
      </c>
      <c r="B7653" s="3"/>
      <c r="C7653" s="3"/>
      <c r="D7653" s="3"/>
      <c r="E7653" s="5" t="str">
        <f>HYPERLINK("https://dpmzos25m8ivg.cloudfront.net/Documentos/631/70296409189/6317029640918907092023101945.pdf","https://dpmzos25m8ivg.cloudfront.net/Documentos/631/70296409189/6317029640918907092023101945.pdf")</f>
        <v>https://dpmzos25m8ivg.cloudfront.net/Documentos/631/70296409189/6317029640918907092023101945.pdf</v>
      </c>
      <c r="F7653" s="5" t="str">
        <f>HYPERLINK("https://dpmzos25m8ivg.cloudfront.net/Documentos/631/70296409189/6317029640918907092023102045.pdf","https://dpmzos25m8ivg.cloudfront.net/Documentos/631/70296409189/6317029640918907092023102045.pdf")</f>
        <v>https://dpmzos25m8ivg.cloudfront.net/Documentos/631/70296409189/6317029640918907092023102045.pdf</v>
      </c>
      <c r="G7653" s="5" t="str">
        <f>HYPERLINK("https://dpmzos25m8ivg.cloudfront.net/Documentos/631/70296409189/6317029640918907092023102059.pdf","https://dpmzos25m8ivg.cloudfront.net/Documentos/631/70296409189/6317029640918907092023102059.pdf")</f>
        <v>https://dpmzos25m8ivg.cloudfront.net/Documentos/631/70296409189/6317029640918907092023102059.pdf</v>
      </c>
      <c r="H7653" s="5" t="s">
        <v>16221</v>
      </c>
    </row>
    <row r="7654" spans="1:8" x14ac:dyDescent="0.25">
      <c r="A7654" s="2" t="s">
        <v>7682</v>
      </c>
      <c r="B7654" s="3"/>
      <c r="C7654" s="3"/>
      <c r="D7654" s="3"/>
      <c r="E7654" s="5" t="str">
        <f>HYPERLINK("https://dpmzos25m8ivg.cloudfront.net/Documentos/631/70299635473/6317029963547311092023102733.pdf","https://dpmzos25m8ivg.cloudfront.net/Documentos/631/70299635473/6317029963547311092023102733.pdf")</f>
        <v>https://dpmzos25m8ivg.cloudfront.net/Documentos/631/70299635473/6317029963547311092023102733.pdf</v>
      </c>
      <c r="F7654" s="5" t="str">
        <f>HYPERLINK("https://dpmzos25m8ivg.cloudfront.net/Documentos/631/70299635473/6317029963547311092023102752.pdf","https://dpmzos25m8ivg.cloudfront.net/Documentos/631/70299635473/6317029963547311092023102752.pdf")</f>
        <v>https://dpmzos25m8ivg.cloudfront.net/Documentos/631/70299635473/6317029963547311092023102752.pdf</v>
      </c>
      <c r="G7654" s="5" t="str">
        <f>HYPERLINK("https://dpmzos25m8ivg.cloudfront.net/Documentos/631/70299635473/6317029963547311092023102808.pdf","https://dpmzos25m8ivg.cloudfront.net/Documentos/631/70299635473/6317029963547311092023102808.pdf")</f>
        <v>https://dpmzos25m8ivg.cloudfront.net/Documentos/631/70299635473/6317029963547311092023102808.pdf</v>
      </c>
      <c r="H7654" s="5" t="s">
        <v>16222</v>
      </c>
    </row>
    <row r="7655" spans="1:8" x14ac:dyDescent="0.25">
      <c r="A7655" s="2" t="s">
        <v>7683</v>
      </c>
      <c r="B7655" s="3"/>
      <c r="C7655" s="3"/>
      <c r="D7655" s="3"/>
      <c r="E7655" s="5" t="str">
        <f>HYPERLINK("https://dpmzos25m8ivg.cloudfront.net/Documentos/631/70302357114/6317030235711406092023095557.pdf","https://dpmzos25m8ivg.cloudfront.net/Documentos/631/70302357114/6317030235711406092023095557.pdf")</f>
        <v>https://dpmzos25m8ivg.cloudfront.net/Documentos/631/70302357114/6317030235711406092023095557.pdf</v>
      </c>
      <c r="F7655" s="5" t="str">
        <f>HYPERLINK("https://dpmzos25m8ivg.cloudfront.net/Documentos/631/70302357114/6317030235711406092023095610.pdf","https://dpmzos25m8ivg.cloudfront.net/Documentos/631/70302357114/6317030235711406092023095610.pdf")</f>
        <v>https://dpmzos25m8ivg.cloudfront.net/Documentos/631/70302357114/6317030235711406092023095610.pdf</v>
      </c>
      <c r="G7655" s="5" t="str">
        <f>HYPERLINK("https://dpmzos25m8ivg.cloudfront.net/Documentos/631/70302357114/6317030235711406092023095617.pdf","https://dpmzos25m8ivg.cloudfront.net/Documentos/631/70302357114/6317030235711406092023095617.pdf")</f>
        <v>https://dpmzos25m8ivg.cloudfront.net/Documentos/631/70302357114/6317030235711406092023095617.pdf</v>
      </c>
      <c r="H7655" s="5" t="s">
        <v>16223</v>
      </c>
    </row>
    <row r="7656" spans="1:8" x14ac:dyDescent="0.25">
      <c r="A7656" s="2" t="s">
        <v>7684</v>
      </c>
      <c r="B7656" s="3"/>
      <c r="C7656" s="3"/>
      <c r="D7656" s="3"/>
      <c r="E7656" s="5" t="str">
        <f>HYPERLINK("https://dpmzos25m8ivg.cloudfront.net/Documentos/631/70302899197/6317030289919710092023143106.pdf","https://dpmzos25m8ivg.cloudfront.net/Documentos/631/70302899197/6317030289919710092023143106.pdf")</f>
        <v>https://dpmzos25m8ivg.cloudfront.net/Documentos/631/70302899197/6317030289919710092023143106.pdf</v>
      </c>
      <c r="F7656" s="5" t="str">
        <f>HYPERLINK("https://dpmzos25m8ivg.cloudfront.net/Documentos/631/70302899197/6317030289919710092023143119.pdf","https://dpmzos25m8ivg.cloudfront.net/Documentos/631/70302899197/6317030289919710092023143119.pdf")</f>
        <v>https://dpmzos25m8ivg.cloudfront.net/Documentos/631/70302899197/6317030289919710092023143119.pdf</v>
      </c>
      <c r="G7656" s="5" t="str">
        <f>HYPERLINK("https://dpmzos25m8ivg.cloudfront.net/Documentos/631/70302899197/6317030289919710092023143136.pdf","https://dpmzos25m8ivg.cloudfront.net/Documentos/631/70302899197/6317030289919710092023143136.pdf")</f>
        <v>https://dpmzos25m8ivg.cloudfront.net/Documentos/631/70302899197/6317030289919710092023143136.pdf</v>
      </c>
      <c r="H7656" s="5" t="s">
        <v>16224</v>
      </c>
    </row>
    <row r="7657" spans="1:8" x14ac:dyDescent="0.25">
      <c r="A7657" s="2" t="s">
        <v>7685</v>
      </c>
      <c r="B7657" s="3"/>
      <c r="C7657" s="3"/>
      <c r="D7657" s="3"/>
      <c r="E7657" s="5" t="str">
        <f>HYPERLINK("https://dpmzos25m8ivg.cloudfront.net/Documentos/631/70306757460/6317030675746009092023185538.pdf","https://dpmzos25m8ivg.cloudfront.net/Documentos/631/70306757460/6317030675746009092023185538.pdf")</f>
        <v>https://dpmzos25m8ivg.cloudfront.net/Documentos/631/70306757460/6317030675746009092023185538.pdf</v>
      </c>
      <c r="F7657" s="5" t="str">
        <f>HYPERLINK("https://dpmzos25m8ivg.cloudfront.net/Documentos/631/70306757460/6317030675746009092023185548.pdf","https://dpmzos25m8ivg.cloudfront.net/Documentos/631/70306757460/6317030675746009092023185548.pdf")</f>
        <v>https://dpmzos25m8ivg.cloudfront.net/Documentos/631/70306757460/6317030675746009092023185548.pdf</v>
      </c>
      <c r="G7657" s="5" t="str">
        <f>HYPERLINK("https://dpmzos25m8ivg.cloudfront.net/Documentos/631/70306757460/6317030675746009092023185559.pdf","https://dpmzos25m8ivg.cloudfront.net/Documentos/631/70306757460/6317030675746009092023185559.pdf")</f>
        <v>https://dpmzos25m8ivg.cloudfront.net/Documentos/631/70306757460/6317030675746009092023185559.pdf</v>
      </c>
      <c r="H7657" s="5" t="s">
        <v>16225</v>
      </c>
    </row>
    <row r="7658" spans="1:8" x14ac:dyDescent="0.25">
      <c r="A7658" s="2" t="s">
        <v>7686</v>
      </c>
      <c r="B7658" s="3"/>
      <c r="C7658" s="3"/>
      <c r="D7658" s="3"/>
      <c r="E7658" s="5" t="str">
        <f>HYPERLINK("https://dpmzos25m8ivg.cloudfront.net/Documentos/631/70308180160/6317030818016006092023205927.pdf","https://dpmzos25m8ivg.cloudfront.net/Documentos/631/70308180160/6317030818016006092023205927.pdf")</f>
        <v>https://dpmzos25m8ivg.cloudfront.net/Documentos/631/70308180160/6317030818016006092023205927.pdf</v>
      </c>
      <c r="F7658" s="5" t="str">
        <f>HYPERLINK("https://dpmzos25m8ivg.cloudfront.net/Documentos/631/70308180160/6317030818016006092023210030.pdf","https://dpmzos25m8ivg.cloudfront.net/Documentos/631/70308180160/6317030818016006092023210030.pdf")</f>
        <v>https://dpmzos25m8ivg.cloudfront.net/Documentos/631/70308180160/6317030818016006092023210030.pdf</v>
      </c>
      <c r="G7658" s="5" t="str">
        <f>HYPERLINK("https://dpmzos25m8ivg.cloudfront.net/Documentos/631/70308180160/6317030818016006092023210009.pdf","https://dpmzos25m8ivg.cloudfront.net/Documentos/631/70308180160/6317030818016006092023210009.pdf")</f>
        <v>https://dpmzos25m8ivg.cloudfront.net/Documentos/631/70308180160/6317030818016006092023210009.pdf</v>
      </c>
      <c r="H7658" s="5" t="s">
        <v>16226</v>
      </c>
    </row>
    <row r="7659" spans="1:8" x14ac:dyDescent="0.25">
      <c r="A7659" s="2" t="s">
        <v>7687</v>
      </c>
      <c r="B7659" s="3"/>
      <c r="C7659" s="3"/>
      <c r="D7659" s="3"/>
      <c r="E7659" s="5" t="str">
        <f>HYPERLINK("https://dpmzos25m8ivg.cloudfront.net/Documentos/631/70308477413/6317030847741311092023015528.pdf","https://dpmzos25m8ivg.cloudfront.net/Documentos/631/70308477413/6317030847741311092023015528.pdf")</f>
        <v>https://dpmzos25m8ivg.cloudfront.net/Documentos/631/70308477413/6317030847741311092023015528.pdf</v>
      </c>
      <c r="F7659" s="5" t="str">
        <f>HYPERLINK("https://dpmzos25m8ivg.cloudfront.net/Documentos/631/70308477413/6317030847741311092023015612.pdf","https://dpmzos25m8ivg.cloudfront.net/Documentos/631/70308477413/6317030847741311092023015612.pdf")</f>
        <v>https://dpmzos25m8ivg.cloudfront.net/Documentos/631/70308477413/6317030847741311092023015612.pdf</v>
      </c>
      <c r="G7659" s="5" t="str">
        <f>HYPERLINK("https://dpmzos25m8ivg.cloudfront.net/Documentos/631/70308477413/6317030847741311092023015631.pdf","https://dpmzos25m8ivg.cloudfront.net/Documentos/631/70308477413/6317030847741311092023015631.pdf")</f>
        <v>https://dpmzos25m8ivg.cloudfront.net/Documentos/631/70308477413/6317030847741311092023015631.pdf</v>
      </c>
      <c r="H7659" s="5" t="s">
        <v>16227</v>
      </c>
    </row>
    <row r="7660" spans="1:8" x14ac:dyDescent="0.25">
      <c r="A7660" s="2" t="s">
        <v>7688</v>
      </c>
      <c r="B7660" s="3"/>
      <c r="C7660" s="3"/>
      <c r="D7660" s="3"/>
      <c r="E7660" s="5" t="str">
        <f>HYPERLINK("https://dpmzos25m8ivg.cloudfront.net/Documentos/631/70309230144/6317030923014412092023171451.jpeg","https://dpmzos25m8ivg.cloudfront.net/Documentos/631/70309230144/6317030923014412092023171451.jpeg")</f>
        <v>https://dpmzos25m8ivg.cloudfront.net/Documentos/631/70309230144/6317030923014412092023171451.jpeg</v>
      </c>
      <c r="F7660" s="5" t="str">
        <f>HYPERLINK("https://dpmzos25m8ivg.cloudfront.net/Documentos/631/70309230144/6317030923014412092023171503.jpeg","https://dpmzos25m8ivg.cloudfront.net/Documentos/631/70309230144/6317030923014412092023171503.jpeg")</f>
        <v>https://dpmzos25m8ivg.cloudfront.net/Documentos/631/70309230144/6317030923014412092023171503.jpeg</v>
      </c>
      <c r="G7660" s="5" t="str">
        <f>HYPERLINK("https://dpmzos25m8ivg.cloudfront.net/Documentos/631/70309230144/6317030923014412092023171515.jpeg","https://dpmzos25m8ivg.cloudfront.net/Documentos/631/70309230144/6317030923014412092023171515.jpeg")</f>
        <v>https://dpmzos25m8ivg.cloudfront.net/Documentos/631/70309230144/6317030923014412092023171515.jpeg</v>
      </c>
      <c r="H7660" s="5" t="s">
        <v>16228</v>
      </c>
    </row>
    <row r="7661" spans="1:8" x14ac:dyDescent="0.25">
      <c r="A7661" s="2" t="s">
        <v>7689</v>
      </c>
      <c r="B7661" s="3"/>
      <c r="C7661" s="3"/>
      <c r="D7661" s="3"/>
      <c r="E7661" s="5" t="str">
        <f>HYPERLINK("https://dpmzos25m8ivg.cloudfront.net/Documentos/631/70313191107/6317031319110708092023000722.pdf","https://dpmzos25m8ivg.cloudfront.net/Documentos/631/70313191107/6317031319110708092023000722.pdf")</f>
        <v>https://dpmzos25m8ivg.cloudfront.net/Documentos/631/70313191107/6317031319110708092023000722.pdf</v>
      </c>
      <c r="F7661" s="5" t="str">
        <f>HYPERLINK("https://dpmzos25m8ivg.cloudfront.net/Documentos/631/70313191107/6317031319110708092023000733.pdf","https://dpmzos25m8ivg.cloudfront.net/Documentos/631/70313191107/6317031319110708092023000733.pdf")</f>
        <v>https://dpmzos25m8ivg.cloudfront.net/Documentos/631/70313191107/6317031319110708092023000733.pdf</v>
      </c>
      <c r="G7661" s="5" t="str">
        <f>HYPERLINK("https://dpmzos25m8ivg.cloudfront.net/Documentos/631/70313191107/6317031319110708092023000742.pdf","https://dpmzos25m8ivg.cloudfront.net/Documentos/631/70313191107/6317031319110708092023000742.pdf")</f>
        <v>https://dpmzos25m8ivg.cloudfront.net/Documentos/631/70313191107/6317031319110708092023000742.pdf</v>
      </c>
      <c r="H7661" s="5" t="s">
        <v>16229</v>
      </c>
    </row>
    <row r="7662" spans="1:8" x14ac:dyDescent="0.25">
      <c r="A7662" s="2" t="s">
        <v>7690</v>
      </c>
      <c r="B7662" s="3"/>
      <c r="C7662" s="3"/>
      <c r="D7662" s="3"/>
      <c r="E7662" s="5" t="str">
        <f>HYPERLINK("https://dpmzos25m8ivg.cloudfront.net/Documentos/631/70321252209/6317032125220911092023153716.pdf","https://dpmzos25m8ivg.cloudfront.net/Documentos/631/70321252209/6317032125220911092023153716.pdf")</f>
        <v>https://dpmzos25m8ivg.cloudfront.net/Documentos/631/70321252209/6317032125220911092023153716.pdf</v>
      </c>
      <c r="F7662" s="5" t="str">
        <f>HYPERLINK("https://dpmzos25m8ivg.cloudfront.net/Documentos/631/70321252209/6317032125220911092023153736.pdf","https://dpmzos25m8ivg.cloudfront.net/Documentos/631/70321252209/6317032125220911092023153736.pdf")</f>
        <v>https://dpmzos25m8ivg.cloudfront.net/Documentos/631/70321252209/6317032125220911092023153736.pdf</v>
      </c>
      <c r="G7662" s="5" t="str">
        <f>HYPERLINK("https://dpmzos25m8ivg.cloudfront.net/Documentos/631/70321252209/6317032125220911092023153753.pdf","https://dpmzos25m8ivg.cloudfront.net/Documentos/631/70321252209/6317032125220911092023153753.pdf")</f>
        <v>https://dpmzos25m8ivg.cloudfront.net/Documentos/631/70321252209/6317032125220911092023153753.pdf</v>
      </c>
      <c r="H7662" s="5" t="s">
        <v>16230</v>
      </c>
    </row>
    <row r="7663" spans="1:8" x14ac:dyDescent="0.25">
      <c r="A7663" s="2" t="s">
        <v>7691</v>
      </c>
      <c r="B7663" s="3"/>
      <c r="C7663" s="3"/>
      <c r="D7663" s="3"/>
      <c r="E7663" s="5" t="str">
        <f>HYPERLINK("https://dpmzos25m8ivg.cloudfront.net/Documentos/631/70328748439/6317032874843914092023125551.pdf","https://dpmzos25m8ivg.cloudfront.net/Documentos/631/70328748439/6317032874843914092023125551.pdf")</f>
        <v>https://dpmzos25m8ivg.cloudfront.net/Documentos/631/70328748439/6317032874843914092023125551.pdf</v>
      </c>
      <c r="F7663" s="5" t="str">
        <f>HYPERLINK("https://dpmzos25m8ivg.cloudfront.net/Documentos/631/70328748439/6317032874843914092023132900.pdf","https://dpmzos25m8ivg.cloudfront.net/Documentos/631/70328748439/6317032874843914092023132900.pdf")</f>
        <v>https://dpmzos25m8ivg.cloudfront.net/Documentos/631/70328748439/6317032874843914092023132900.pdf</v>
      </c>
      <c r="G7663" s="5" t="str">
        <f>HYPERLINK("https://dpmzos25m8ivg.cloudfront.net/Documentos/631/70328748439/6317032874843914092023125601.pdf","https://dpmzos25m8ivg.cloudfront.net/Documentos/631/70328748439/6317032874843914092023125601.pdf")</f>
        <v>https://dpmzos25m8ivg.cloudfront.net/Documentos/631/70328748439/6317032874843914092023125601.pdf</v>
      </c>
      <c r="H7663" s="5" t="s">
        <v>16231</v>
      </c>
    </row>
    <row r="7664" spans="1:8" x14ac:dyDescent="0.25">
      <c r="A7664" s="2" t="s">
        <v>7692</v>
      </c>
      <c r="B7664" s="3"/>
      <c r="C7664" s="3"/>
      <c r="D7664" s="3"/>
      <c r="E7664" s="5" t="str">
        <f>HYPERLINK("https://dpmzos25m8ivg.cloudfront.net/Documentos/631/70330694138/6317033069413811092023120100.jpg","https://dpmzos25m8ivg.cloudfront.net/Documentos/631/70330694138/6317033069413811092023120100.jpg")</f>
        <v>https://dpmzos25m8ivg.cloudfront.net/Documentos/631/70330694138/6317033069413811092023120100.jpg</v>
      </c>
      <c r="F7664" s="5" t="str">
        <f>HYPERLINK("https://dpmzos25m8ivg.cloudfront.net/Documentos/631/70330694138/6317033069413811092023120108.jpg","https://dpmzos25m8ivg.cloudfront.net/Documentos/631/70330694138/6317033069413811092023120108.jpg")</f>
        <v>https://dpmzos25m8ivg.cloudfront.net/Documentos/631/70330694138/6317033069413811092023120108.jpg</v>
      </c>
      <c r="G7664" s="5" t="str">
        <f>HYPERLINK("https://dpmzos25m8ivg.cloudfront.net/Documentos/631/70330694138/6317033069413811092023120117.jpg","https://dpmzos25m8ivg.cloudfront.net/Documentos/631/70330694138/6317033069413811092023120117.jpg")</f>
        <v>https://dpmzos25m8ivg.cloudfront.net/Documentos/631/70330694138/6317033069413811092023120117.jpg</v>
      </c>
      <c r="H7664" s="5" t="s">
        <v>16232</v>
      </c>
    </row>
    <row r="7665" spans="1:8" x14ac:dyDescent="0.25">
      <c r="A7665" s="2" t="s">
        <v>7693</v>
      </c>
      <c r="B7665" s="3"/>
      <c r="C7665" s="3"/>
      <c r="D7665" s="3"/>
      <c r="E7665" s="5" t="str">
        <f>HYPERLINK("https://dpmzos25m8ivg.cloudfront.net/Documentos/631/70331895161/6317033189516111092023144803.jpeg","https://dpmzos25m8ivg.cloudfront.net/Documentos/631/70331895161/6317033189516111092023144803.jpeg")</f>
        <v>https://dpmzos25m8ivg.cloudfront.net/Documentos/631/70331895161/6317033189516111092023144803.jpeg</v>
      </c>
      <c r="F7665" s="5" t="str">
        <f>HYPERLINK("https://dpmzos25m8ivg.cloudfront.net/Documentos/631/70331895161/6317033189516111092023144846.jpeg","https://dpmzos25m8ivg.cloudfront.net/Documentos/631/70331895161/6317033189516111092023144846.jpeg")</f>
        <v>https://dpmzos25m8ivg.cloudfront.net/Documentos/631/70331895161/6317033189516111092023144846.jpeg</v>
      </c>
      <c r="G7665" s="5" t="str">
        <f>HYPERLINK("https://dpmzos25m8ivg.cloudfront.net/Documentos/631/70331895161/6317033189516111092023144901.jpeg","https://dpmzos25m8ivg.cloudfront.net/Documentos/631/70331895161/6317033189516111092023144901.jpeg")</f>
        <v>https://dpmzos25m8ivg.cloudfront.net/Documentos/631/70331895161/6317033189516111092023144901.jpeg</v>
      </c>
      <c r="H7665" s="5" t="s">
        <v>16233</v>
      </c>
    </row>
    <row r="7666" spans="1:8" x14ac:dyDescent="0.25">
      <c r="A7666" s="2" t="s">
        <v>7694</v>
      </c>
      <c r="B7666" s="3"/>
      <c r="C7666" s="3"/>
      <c r="D7666" s="3"/>
      <c r="E7666" s="5" t="str">
        <f>HYPERLINK("https://dpmzos25m8ivg.cloudfront.net/Documentos/631/70336238100/6317033623810006092023014058.pdf","https://dpmzos25m8ivg.cloudfront.net/Documentos/631/70336238100/6317033623810006092023014058.pdf")</f>
        <v>https://dpmzos25m8ivg.cloudfront.net/Documentos/631/70336238100/6317033623810006092023014058.pdf</v>
      </c>
      <c r="F7666" s="5" t="str">
        <f>HYPERLINK("https://dpmzos25m8ivg.cloudfront.net/Documentos/631/70336238100/6317033623810006092023014122.pdf","https://dpmzos25m8ivg.cloudfront.net/Documentos/631/70336238100/6317033623810006092023014122.pdf")</f>
        <v>https://dpmzos25m8ivg.cloudfront.net/Documentos/631/70336238100/6317033623810006092023014122.pdf</v>
      </c>
      <c r="G7666" s="5" t="str">
        <f>HYPERLINK("https://dpmzos25m8ivg.cloudfront.net/Documentos/631/70336238100/6317033623810006092023014150.pdf","https://dpmzos25m8ivg.cloudfront.net/Documentos/631/70336238100/6317033623810006092023014150.pdf")</f>
        <v>https://dpmzos25m8ivg.cloudfront.net/Documentos/631/70336238100/6317033623810006092023014150.pdf</v>
      </c>
      <c r="H7666" s="5" t="s">
        <v>16234</v>
      </c>
    </row>
    <row r="7667" spans="1:8" x14ac:dyDescent="0.25">
      <c r="A7667" s="2" t="s">
        <v>7695</v>
      </c>
      <c r="B7667" s="3"/>
      <c r="C7667" s="3"/>
      <c r="D7667" s="3"/>
      <c r="E7667" s="5" t="str">
        <f>HYPERLINK("https://dpmzos25m8ivg.cloudfront.net/Documentos/631/70340336412/6317034033641211092023152233.jpg","https://dpmzos25m8ivg.cloudfront.net/Documentos/631/70340336412/6317034033641211092023152233.jpg")</f>
        <v>https://dpmzos25m8ivg.cloudfront.net/Documentos/631/70340336412/6317034033641211092023152233.jpg</v>
      </c>
      <c r="F7667" s="5" t="str">
        <f>HYPERLINK("https://dpmzos25m8ivg.cloudfront.net/Documentos/631/70340336412/6317034033641211092023152241.jpg","https://dpmzos25m8ivg.cloudfront.net/Documentos/631/70340336412/6317034033641211092023152241.jpg")</f>
        <v>https://dpmzos25m8ivg.cloudfront.net/Documentos/631/70340336412/6317034033641211092023152241.jpg</v>
      </c>
      <c r="G7667" s="5" t="str">
        <f>HYPERLINK("https://dpmzos25m8ivg.cloudfront.net/Documentos/631/70340336412/6317034033641211092023152254.jpg","https://dpmzos25m8ivg.cloudfront.net/Documentos/631/70340336412/6317034033641211092023152254.jpg")</f>
        <v>https://dpmzos25m8ivg.cloudfront.net/Documentos/631/70340336412/6317034033641211092023152254.jpg</v>
      </c>
      <c r="H7667" s="5" t="s">
        <v>16235</v>
      </c>
    </row>
    <row r="7668" spans="1:8" x14ac:dyDescent="0.25">
      <c r="A7668" s="2" t="s">
        <v>7696</v>
      </c>
      <c r="B7668" s="3"/>
      <c r="C7668" s="3"/>
      <c r="D7668" s="3"/>
      <c r="E7668" s="5" t="str">
        <f>HYPERLINK("https://dpmzos25m8ivg.cloudfront.net/Documentos/631/70345767187/6317034576718707092023181346.pdf","https://dpmzos25m8ivg.cloudfront.net/Documentos/631/70345767187/6317034576718707092023181346.pdf")</f>
        <v>https://dpmzos25m8ivg.cloudfront.net/Documentos/631/70345767187/6317034576718707092023181346.pdf</v>
      </c>
      <c r="F7668" s="5" t="str">
        <f>HYPERLINK("https://dpmzos25m8ivg.cloudfront.net/Documentos/631/70345767187/6317034576718707092023181419.pdf","https://dpmzos25m8ivg.cloudfront.net/Documentos/631/70345767187/6317034576718707092023181419.pdf")</f>
        <v>https://dpmzos25m8ivg.cloudfront.net/Documentos/631/70345767187/6317034576718707092023181419.pdf</v>
      </c>
      <c r="G7668" s="5" t="str">
        <f>HYPERLINK("https://dpmzos25m8ivg.cloudfront.net/Documentos/631/70345767187/6317034576718707092023181432.pdf","https://dpmzos25m8ivg.cloudfront.net/Documentos/631/70345767187/6317034576718707092023181432.pdf")</f>
        <v>https://dpmzos25m8ivg.cloudfront.net/Documentos/631/70345767187/6317034576718707092023181432.pdf</v>
      </c>
      <c r="H7668" s="5" t="s">
        <v>16236</v>
      </c>
    </row>
    <row r="7669" spans="1:8" x14ac:dyDescent="0.25">
      <c r="A7669" s="2" t="s">
        <v>7697</v>
      </c>
      <c r="B7669" s="3" t="s">
        <v>90</v>
      </c>
      <c r="C7669" s="3"/>
      <c r="D7669" s="3"/>
      <c r="E7669" s="5" t="str">
        <f>HYPERLINK("https://dpmzos25m8ivg.cloudfront.net/Documentos/631/70352605448/6317035260544808092023215834.pdf","https://dpmzos25m8ivg.cloudfront.net/Documentos/631/70352605448/6317035260544808092023215834.pdf")</f>
        <v>https://dpmzos25m8ivg.cloudfront.net/Documentos/631/70352605448/6317035260544808092023215834.pdf</v>
      </c>
      <c r="F7669" s="5" t="str">
        <f>HYPERLINK("https://dpmzos25m8ivg.cloudfront.net/Documentos/631/70352605448/6317035260544808092023215847.pdf","https://dpmzos25m8ivg.cloudfront.net/Documentos/631/70352605448/6317035260544808092023215847.pdf")</f>
        <v>https://dpmzos25m8ivg.cloudfront.net/Documentos/631/70352605448/6317035260544808092023215847.pdf</v>
      </c>
      <c r="G7669" s="5" t="str">
        <f>HYPERLINK("https://dpmzos25m8ivg.cloudfront.net/Documentos/631/70352605448/6317035260544808092023215902.pdf","https://dpmzos25m8ivg.cloudfront.net/Documentos/631/70352605448/6317035260544808092023215902.pdf")</f>
        <v>https://dpmzos25m8ivg.cloudfront.net/Documentos/631/70352605448/6317035260544808092023215902.pdf</v>
      </c>
      <c r="H7669" s="5" t="s">
        <v>16237</v>
      </c>
    </row>
    <row r="7670" spans="1:8" x14ac:dyDescent="0.25">
      <c r="A7670" s="2" t="s">
        <v>7698</v>
      </c>
      <c r="B7670" s="3"/>
      <c r="C7670" s="3"/>
      <c r="D7670" s="3"/>
      <c r="E7670" s="5" t="str">
        <f>HYPERLINK("https://dpmzos25m8ivg.cloudfront.net/Documentos/631/70354005162/6317035400516211092023144330.pdf","https://dpmzos25m8ivg.cloudfront.net/Documentos/631/70354005162/6317035400516211092023144330.pdf")</f>
        <v>https://dpmzos25m8ivg.cloudfront.net/Documentos/631/70354005162/6317035400516211092023144330.pdf</v>
      </c>
      <c r="F7670" s="5" t="str">
        <f>HYPERLINK("https://dpmzos25m8ivg.cloudfront.net/Documentos/631/70354005162/6317035400516211092023144354.pdf","https://dpmzos25m8ivg.cloudfront.net/Documentos/631/70354005162/6317035400516211092023144354.pdf")</f>
        <v>https://dpmzos25m8ivg.cloudfront.net/Documentos/631/70354005162/6317035400516211092023144354.pdf</v>
      </c>
      <c r="G7670" s="5" t="str">
        <f>HYPERLINK("https://dpmzos25m8ivg.cloudfront.net/Documentos/631/70354005162/6317035400516211092023144409.pdf","https://dpmzos25m8ivg.cloudfront.net/Documentos/631/70354005162/6317035400516211092023144409.pdf")</f>
        <v>https://dpmzos25m8ivg.cloudfront.net/Documentos/631/70354005162/6317035400516211092023144409.pdf</v>
      </c>
      <c r="H7670" s="5" t="s">
        <v>16238</v>
      </c>
    </row>
    <row r="7671" spans="1:8" x14ac:dyDescent="0.25">
      <c r="A7671" s="2" t="s">
        <v>7699</v>
      </c>
      <c r="B7671" s="3"/>
      <c r="C7671" s="3"/>
      <c r="D7671" s="3"/>
      <c r="E7671" s="5" t="str">
        <f>HYPERLINK("https://dpmzos25m8ivg.cloudfront.net/Documentos/631/70359877206/6317035987720611092023162656.pdf","https://dpmzos25m8ivg.cloudfront.net/Documentos/631/70359877206/6317035987720611092023162656.pdf")</f>
        <v>https://dpmzos25m8ivg.cloudfront.net/Documentos/631/70359877206/6317035987720611092023162656.pdf</v>
      </c>
      <c r="F7671" s="5" t="str">
        <f>HYPERLINK("https://dpmzos25m8ivg.cloudfront.net/Documentos/631/70359877206/6317035987720611092023162713.pdf","https://dpmzos25m8ivg.cloudfront.net/Documentos/631/70359877206/6317035987720611092023162713.pdf")</f>
        <v>https://dpmzos25m8ivg.cloudfront.net/Documentos/631/70359877206/6317035987720611092023162713.pdf</v>
      </c>
      <c r="G7671" s="5" t="str">
        <f>HYPERLINK("https://dpmzos25m8ivg.cloudfront.net/Documentos/631/70359877206/6317035987720611092023162720.pdf","https://dpmzos25m8ivg.cloudfront.net/Documentos/631/70359877206/6317035987720611092023162720.pdf")</f>
        <v>https://dpmzos25m8ivg.cloudfront.net/Documentos/631/70359877206/6317035987720611092023162720.pdf</v>
      </c>
      <c r="H7671" s="5" t="s">
        <v>16239</v>
      </c>
    </row>
    <row r="7672" spans="1:8" x14ac:dyDescent="0.25">
      <c r="A7672" s="2" t="s">
        <v>7700</v>
      </c>
      <c r="B7672" s="3"/>
      <c r="C7672" s="3"/>
      <c r="D7672" s="3"/>
      <c r="E7672" s="5" t="str">
        <f>HYPERLINK("https://dpmzos25m8ivg.cloudfront.net/Documentos/631/70361095139/6317036109513911092023114855.pdf","https://dpmzos25m8ivg.cloudfront.net/Documentos/631/70361095139/6317036109513911092023114855.pdf")</f>
        <v>https://dpmzos25m8ivg.cloudfront.net/Documentos/631/70361095139/6317036109513911092023114855.pdf</v>
      </c>
      <c r="F7672" s="5" t="str">
        <f>HYPERLINK("https://dpmzos25m8ivg.cloudfront.net/Documentos/631/70361095139/6317036109513911092023114907.pdf","https://dpmzos25m8ivg.cloudfront.net/Documentos/631/70361095139/6317036109513911092023114907.pdf")</f>
        <v>https://dpmzos25m8ivg.cloudfront.net/Documentos/631/70361095139/6317036109513911092023114907.pdf</v>
      </c>
      <c r="G7672" s="5" t="str">
        <f>HYPERLINK("https://dpmzos25m8ivg.cloudfront.net/Documentos/631/70361095139/6317036109513911092023114918.pdf","https://dpmzos25m8ivg.cloudfront.net/Documentos/631/70361095139/6317036109513911092023114918.pdf")</f>
        <v>https://dpmzos25m8ivg.cloudfront.net/Documentos/631/70361095139/6317036109513911092023114918.pdf</v>
      </c>
      <c r="H7672" s="5" t="s">
        <v>16240</v>
      </c>
    </row>
    <row r="7673" spans="1:8" x14ac:dyDescent="0.25">
      <c r="A7673" s="2" t="s">
        <v>7701</v>
      </c>
      <c r="B7673" s="3"/>
      <c r="C7673" s="3"/>
      <c r="D7673" s="3"/>
      <c r="E7673" s="5" t="str">
        <f>HYPERLINK("https://dpmzos25m8ivg.cloudfront.net/Documentos/631/70367306417/6317036730641705092023113940.pdf","https://dpmzos25m8ivg.cloudfront.net/Documentos/631/70367306417/6317036730641705092023113940.pdf")</f>
        <v>https://dpmzos25m8ivg.cloudfront.net/Documentos/631/70367306417/6317036730641705092023113940.pdf</v>
      </c>
      <c r="F7673" s="5" t="str">
        <f>HYPERLINK("https://dpmzos25m8ivg.cloudfront.net/Documentos/631/70367306417/6317036730641705092023113951.pdf","https://dpmzos25m8ivg.cloudfront.net/Documentos/631/70367306417/6317036730641705092023113951.pdf")</f>
        <v>https://dpmzos25m8ivg.cloudfront.net/Documentos/631/70367306417/6317036730641705092023113951.pdf</v>
      </c>
      <c r="G7673" s="5" t="str">
        <f>HYPERLINK("https://dpmzos25m8ivg.cloudfront.net/Documentos/631/70367306417/6317036730641705092023114002.pdf","https://dpmzos25m8ivg.cloudfront.net/Documentos/631/70367306417/6317036730641705092023114002.pdf")</f>
        <v>https://dpmzos25m8ivg.cloudfront.net/Documentos/631/70367306417/6317036730641705092023114002.pdf</v>
      </c>
      <c r="H7673" s="5" t="s">
        <v>16241</v>
      </c>
    </row>
    <row r="7674" spans="1:8" x14ac:dyDescent="0.25">
      <c r="A7674" s="2" t="s">
        <v>7702</v>
      </c>
      <c r="B7674" s="3"/>
      <c r="C7674" s="3"/>
      <c r="D7674" s="3"/>
      <c r="E7674" s="5" t="str">
        <f>HYPERLINK("https://dpmzos25m8ivg.cloudfront.net/Documentos/631/70367645203/6317036764520310092023223100.pdf","https://dpmzos25m8ivg.cloudfront.net/Documentos/631/70367645203/6317036764520310092023223100.pdf")</f>
        <v>https://dpmzos25m8ivg.cloudfront.net/Documentos/631/70367645203/6317036764520310092023223100.pdf</v>
      </c>
      <c r="F7674" s="5" t="str">
        <f>HYPERLINK("https://dpmzos25m8ivg.cloudfront.net/Documentos/631/70367645203/6317036764520310092023223105.pdf","https://dpmzos25m8ivg.cloudfront.net/Documentos/631/70367645203/6317036764520310092023223105.pdf")</f>
        <v>https://dpmzos25m8ivg.cloudfront.net/Documentos/631/70367645203/6317036764520310092023223105.pdf</v>
      </c>
      <c r="G7674" s="5" t="str">
        <f>HYPERLINK("https://dpmzos25m8ivg.cloudfront.net/Documentos/631/70367645203/6317036764520310092023223113.pdf","https://dpmzos25m8ivg.cloudfront.net/Documentos/631/70367645203/6317036764520310092023223113.pdf")</f>
        <v>https://dpmzos25m8ivg.cloudfront.net/Documentos/631/70367645203/6317036764520310092023223113.pdf</v>
      </c>
      <c r="H7674" s="5" t="s">
        <v>16242</v>
      </c>
    </row>
    <row r="7675" spans="1:8" x14ac:dyDescent="0.25">
      <c r="A7675" s="2" t="s">
        <v>7703</v>
      </c>
      <c r="B7675" s="3"/>
      <c r="C7675" s="3"/>
      <c r="D7675" s="3"/>
      <c r="E7675" s="5" t="str">
        <f>HYPERLINK("https://dpmzos25m8ivg.cloudfront.net/Documentos/631/70374406120/6317037440612011092023165926.jpg","https://dpmzos25m8ivg.cloudfront.net/Documentos/631/70374406120/6317037440612011092023165926.jpg")</f>
        <v>https://dpmzos25m8ivg.cloudfront.net/Documentos/631/70374406120/6317037440612011092023165926.jpg</v>
      </c>
      <c r="F7675" s="5" t="str">
        <f>HYPERLINK("https://dpmzos25m8ivg.cloudfront.net/Documentos/631/70374406120/6317037440612011092023170852.jpg","https://dpmzos25m8ivg.cloudfront.net/Documentos/631/70374406120/6317037440612011092023170852.jpg")</f>
        <v>https://dpmzos25m8ivg.cloudfront.net/Documentos/631/70374406120/6317037440612011092023170852.jpg</v>
      </c>
      <c r="G7675" s="5" t="str">
        <f>HYPERLINK("https://dpmzos25m8ivg.cloudfront.net/Documentos/631/70374406120/6317037440612011092023170930.jpg","https://dpmzos25m8ivg.cloudfront.net/Documentos/631/70374406120/6317037440612011092023170930.jpg")</f>
        <v>https://dpmzos25m8ivg.cloudfront.net/Documentos/631/70374406120/6317037440612011092023170930.jpg</v>
      </c>
      <c r="H7675" s="5" t="s">
        <v>16243</v>
      </c>
    </row>
    <row r="7676" spans="1:8" x14ac:dyDescent="0.25">
      <c r="A7676" s="2" t="s">
        <v>7704</v>
      </c>
      <c r="B7676" s="3" t="s">
        <v>312</v>
      </c>
      <c r="C7676" s="3"/>
      <c r="D7676" s="3"/>
      <c r="E7676" s="5" t="str">
        <f>HYPERLINK("https://dpmzos25m8ivg.cloudfront.net/Documentos/631/70374745170/6317037474517009092023141625.pdf","https://dpmzos25m8ivg.cloudfront.net/Documentos/631/70374745170/6317037474517009092023141625.pdf")</f>
        <v>https://dpmzos25m8ivg.cloudfront.net/Documentos/631/70374745170/6317037474517009092023141625.pdf</v>
      </c>
      <c r="F7676" s="5" t="str">
        <f>HYPERLINK("https://dpmzos25m8ivg.cloudfront.net/Documentos/631/70374745170/6317037474517009092023141647.pdf","https://dpmzos25m8ivg.cloudfront.net/Documentos/631/70374745170/6317037474517009092023141647.pdf")</f>
        <v>https://dpmzos25m8ivg.cloudfront.net/Documentos/631/70374745170/6317037474517009092023141647.pdf</v>
      </c>
      <c r="G7676" s="5" t="str">
        <f>HYPERLINK("https://dpmzos25m8ivg.cloudfront.net/Documentos/631/70374745170/6317037474517009092023141706.pdf","https://dpmzos25m8ivg.cloudfront.net/Documentos/631/70374745170/6317037474517009092023141706.pdf")</f>
        <v>https://dpmzos25m8ivg.cloudfront.net/Documentos/631/70374745170/6317037474517009092023141706.pdf</v>
      </c>
      <c r="H7676" s="5" t="s">
        <v>16244</v>
      </c>
    </row>
    <row r="7677" spans="1:8" x14ac:dyDescent="0.25">
      <c r="A7677" s="2" t="s">
        <v>7705</v>
      </c>
      <c r="B7677" s="3"/>
      <c r="C7677" s="3"/>
      <c r="D7677" s="3"/>
      <c r="E7677" s="5" t="str">
        <f>HYPERLINK("https://dpmzos25m8ivg.cloudfront.net/Documentos/631/70380576422/6317038057642211092023160229.pdf","https://dpmzos25m8ivg.cloudfront.net/Documentos/631/70380576422/6317038057642211092023160229.pdf")</f>
        <v>https://dpmzos25m8ivg.cloudfront.net/Documentos/631/70380576422/6317038057642211092023160229.pdf</v>
      </c>
      <c r="F7677" s="5" t="str">
        <f>HYPERLINK("https://dpmzos25m8ivg.cloudfront.net/Documentos/631/70380576422/6317038057642211092023162746.pdf","https://dpmzos25m8ivg.cloudfront.net/Documentos/631/70380576422/6317038057642211092023162746.pdf")</f>
        <v>https://dpmzos25m8ivg.cloudfront.net/Documentos/631/70380576422/6317038057642211092023162746.pdf</v>
      </c>
      <c r="G7677" s="5" t="str">
        <f>HYPERLINK("https://dpmzos25m8ivg.cloudfront.net/Documentos/631/70380576422/6317038057642211092023162819.pdf","https://dpmzos25m8ivg.cloudfront.net/Documentos/631/70380576422/6317038057642211092023162819.pdf")</f>
        <v>https://dpmzos25m8ivg.cloudfront.net/Documentos/631/70380576422/6317038057642211092023162819.pdf</v>
      </c>
      <c r="H7677" s="5" t="s">
        <v>16245</v>
      </c>
    </row>
    <row r="7678" spans="1:8" x14ac:dyDescent="0.25">
      <c r="A7678" s="2" t="s">
        <v>7706</v>
      </c>
      <c r="B7678" s="3"/>
      <c r="C7678" s="3"/>
      <c r="D7678" s="3"/>
      <c r="E7678" s="5" t="str">
        <f>HYPERLINK("https://dpmzos25m8ivg.cloudfront.net/Documentos/631/70381902102/6317038190210211092023102427.jpeg","https://dpmzos25m8ivg.cloudfront.net/Documentos/631/70381902102/6317038190210211092023102427.jpeg")</f>
        <v>https://dpmzos25m8ivg.cloudfront.net/Documentos/631/70381902102/6317038190210211092023102427.jpeg</v>
      </c>
      <c r="F7678" s="5" t="str">
        <f>HYPERLINK("https://dpmzos25m8ivg.cloudfront.net/Documentos/631/70381902102/6317038190210211092023102437.jpeg","https://dpmzos25m8ivg.cloudfront.net/Documentos/631/70381902102/6317038190210211092023102437.jpeg")</f>
        <v>https://dpmzos25m8ivg.cloudfront.net/Documentos/631/70381902102/6317038190210211092023102437.jpeg</v>
      </c>
      <c r="G7678" s="5" t="str">
        <f>HYPERLINK("https://dpmzos25m8ivg.cloudfront.net/Documentos/631/70381902102/6317038190210211092023102447.jpeg","https://dpmzos25m8ivg.cloudfront.net/Documentos/631/70381902102/6317038190210211092023102447.jpeg")</f>
        <v>https://dpmzos25m8ivg.cloudfront.net/Documentos/631/70381902102/6317038190210211092023102447.jpeg</v>
      </c>
      <c r="H7678" s="5" t="s">
        <v>16246</v>
      </c>
    </row>
    <row r="7679" spans="1:8" x14ac:dyDescent="0.25">
      <c r="A7679" s="2" t="s">
        <v>7707</v>
      </c>
      <c r="B7679" s="3"/>
      <c r="C7679" s="3"/>
      <c r="D7679" s="3"/>
      <c r="E7679" s="5" t="str">
        <f>HYPERLINK("https://dpmzos25m8ivg.cloudfront.net/Documentos/631/70382886445/6317038288644505092023182918.jpg","https://dpmzos25m8ivg.cloudfront.net/Documentos/631/70382886445/6317038288644505092023182918.jpg")</f>
        <v>https://dpmzos25m8ivg.cloudfront.net/Documentos/631/70382886445/6317038288644505092023182918.jpg</v>
      </c>
      <c r="F7679" s="5" t="str">
        <f>HYPERLINK("https://dpmzos25m8ivg.cloudfront.net/Documentos/631/70382886445/6317038288644505092023182945.jpg","https://dpmzos25m8ivg.cloudfront.net/Documentos/631/70382886445/6317038288644505092023182945.jpg")</f>
        <v>https://dpmzos25m8ivg.cloudfront.net/Documentos/631/70382886445/6317038288644505092023182945.jpg</v>
      </c>
      <c r="G7679" s="5" t="str">
        <f>HYPERLINK("https://dpmzos25m8ivg.cloudfront.net/Documentos/631/70382886445/6317038288644505092023183039.jpg","https://dpmzos25m8ivg.cloudfront.net/Documentos/631/70382886445/6317038288644505092023183039.jpg")</f>
        <v>https://dpmzos25m8ivg.cloudfront.net/Documentos/631/70382886445/6317038288644505092023183039.jpg</v>
      </c>
      <c r="H7679" s="5" t="s">
        <v>16247</v>
      </c>
    </row>
    <row r="7680" spans="1:8" x14ac:dyDescent="0.25">
      <c r="A7680" s="2" t="s">
        <v>7708</v>
      </c>
      <c r="B7680" s="3"/>
      <c r="C7680" s="3"/>
      <c r="D7680" s="3"/>
      <c r="E7680" s="5" t="str">
        <f>HYPERLINK("https://dpmzos25m8ivg.cloudfront.net/Documentos/631/70384861105/6317038486110511092023155612.pdf","https://dpmzos25m8ivg.cloudfront.net/Documentos/631/70384861105/6317038486110511092023155612.pdf")</f>
        <v>https://dpmzos25m8ivg.cloudfront.net/Documentos/631/70384861105/6317038486110511092023155612.pdf</v>
      </c>
      <c r="F7680" s="5" t="str">
        <f>HYPERLINK("https://dpmzos25m8ivg.cloudfront.net/Documentos/631/70384861105/6317038486110511092023155623.pdf","https://dpmzos25m8ivg.cloudfront.net/Documentos/631/70384861105/6317038486110511092023155623.pdf")</f>
        <v>https://dpmzos25m8ivg.cloudfront.net/Documentos/631/70384861105/6317038486110511092023155623.pdf</v>
      </c>
      <c r="G7680" s="5" t="str">
        <f>HYPERLINK("https://dpmzos25m8ivg.cloudfront.net/Documentos/631/70384861105/6317038486110511092023155628.pdf","https://dpmzos25m8ivg.cloudfront.net/Documentos/631/70384861105/6317038486110511092023155628.pdf")</f>
        <v>https://dpmzos25m8ivg.cloudfront.net/Documentos/631/70384861105/6317038486110511092023155628.pdf</v>
      </c>
      <c r="H7680" s="5" t="s">
        <v>16248</v>
      </c>
    </row>
    <row r="7681" spans="1:8" x14ac:dyDescent="0.25">
      <c r="A7681" s="2" t="s">
        <v>7709</v>
      </c>
      <c r="B7681" s="3"/>
      <c r="C7681" s="3"/>
      <c r="D7681" s="3"/>
      <c r="E7681" s="5" t="str">
        <f>HYPERLINK("https://dpmzos25m8ivg.cloudfront.net/Documentos/631/70389909181/6317038990918111092023141239.jpeg","https://dpmzos25m8ivg.cloudfront.net/Documentos/631/70389909181/6317038990918111092023141239.jpeg")</f>
        <v>https://dpmzos25m8ivg.cloudfront.net/Documentos/631/70389909181/6317038990918111092023141239.jpeg</v>
      </c>
      <c r="F7681" s="5" t="str">
        <f>HYPERLINK("https://dpmzos25m8ivg.cloudfront.net/Documentos/631/70389909181/6317038990918111092023141250.jpeg","https://dpmzos25m8ivg.cloudfront.net/Documentos/631/70389909181/6317038990918111092023141250.jpeg")</f>
        <v>https://dpmzos25m8ivg.cloudfront.net/Documentos/631/70389909181/6317038990918111092023141250.jpeg</v>
      </c>
      <c r="G7681" s="5" t="str">
        <f>HYPERLINK("https://dpmzos25m8ivg.cloudfront.net/Documentos/631/70389909181/6317038990918111092023141300.jpeg","https://dpmzos25m8ivg.cloudfront.net/Documentos/631/70389909181/6317038990918111092023141300.jpeg")</f>
        <v>https://dpmzos25m8ivg.cloudfront.net/Documentos/631/70389909181/6317038990918111092023141300.jpeg</v>
      </c>
      <c r="H7681" s="5" t="s">
        <v>16249</v>
      </c>
    </row>
    <row r="7682" spans="1:8" x14ac:dyDescent="0.25">
      <c r="A7682" s="2" t="s">
        <v>7710</v>
      </c>
      <c r="B7682" s="3"/>
      <c r="C7682" s="3"/>
      <c r="D7682" s="3"/>
      <c r="E7682" s="5" t="str">
        <f>HYPERLINK("https://dpmzos25m8ivg.cloudfront.net/Documentos/631/70392381443/6317039238144310092023215656.jpg","https://dpmzos25m8ivg.cloudfront.net/Documentos/631/70392381443/6317039238144310092023215656.jpg")</f>
        <v>https://dpmzos25m8ivg.cloudfront.net/Documentos/631/70392381443/6317039238144310092023215656.jpg</v>
      </c>
      <c r="F7682" s="5" t="str">
        <f>HYPERLINK("https://dpmzos25m8ivg.cloudfront.net/Documentos/631/70392381443/6317039238144310092023215619.jpg","https://dpmzos25m8ivg.cloudfront.net/Documentos/631/70392381443/6317039238144310092023215619.jpg")</f>
        <v>https://dpmzos25m8ivg.cloudfront.net/Documentos/631/70392381443/6317039238144310092023215619.jpg</v>
      </c>
      <c r="G7682" s="5" t="str">
        <f>HYPERLINK("https://dpmzos25m8ivg.cloudfront.net/Documentos/631/70392381443/6317039238144310092023215543.jpg","https://dpmzos25m8ivg.cloudfront.net/Documentos/631/70392381443/6317039238144310092023215543.jpg")</f>
        <v>https://dpmzos25m8ivg.cloudfront.net/Documentos/631/70392381443/6317039238144310092023215543.jpg</v>
      </c>
      <c r="H7682" s="5" t="s">
        <v>16250</v>
      </c>
    </row>
    <row r="7683" spans="1:8" x14ac:dyDescent="0.25">
      <c r="A7683" s="2" t="s">
        <v>7711</v>
      </c>
      <c r="B7683" s="3"/>
      <c r="C7683" s="3"/>
      <c r="D7683" s="3"/>
      <c r="E7683" s="5" t="str">
        <f>HYPERLINK("https://dpmzos25m8ivg.cloudfront.net/Documentos/631/70394525108/6317039452510811092023090406.pdf","https://dpmzos25m8ivg.cloudfront.net/Documentos/631/70394525108/6317039452510811092023090406.pdf")</f>
        <v>https://dpmzos25m8ivg.cloudfront.net/Documentos/631/70394525108/6317039452510811092023090406.pdf</v>
      </c>
      <c r="F7683" s="5" t="str">
        <f>HYPERLINK("https://dpmzos25m8ivg.cloudfront.net/Documentos/631/70394525108/6317039452510811092023091133.pdf","https://dpmzos25m8ivg.cloudfront.net/Documentos/631/70394525108/6317039452510811092023091133.pdf")</f>
        <v>https://dpmzos25m8ivg.cloudfront.net/Documentos/631/70394525108/6317039452510811092023091133.pdf</v>
      </c>
      <c r="G7683" s="5" t="str">
        <f>HYPERLINK("https://dpmzos25m8ivg.cloudfront.net/Documentos/631/70394525108/6317039452510811092023091144.pdf","https://dpmzos25m8ivg.cloudfront.net/Documentos/631/70394525108/6317039452510811092023091144.pdf")</f>
        <v>https://dpmzos25m8ivg.cloudfront.net/Documentos/631/70394525108/6317039452510811092023091144.pdf</v>
      </c>
      <c r="H7683" s="5" t="s">
        <v>16251</v>
      </c>
    </row>
    <row r="7684" spans="1:8" x14ac:dyDescent="0.25">
      <c r="A7684" s="2" t="s">
        <v>7712</v>
      </c>
      <c r="B7684" s="3"/>
      <c r="C7684" s="3"/>
      <c r="D7684" s="3"/>
      <c r="E7684" s="5" t="str">
        <f>HYPERLINK("https://dpmzos25m8ivg.cloudfront.net/Documentos/631/70399487107/6317039948710711092023123338.jpg","https://dpmzos25m8ivg.cloudfront.net/Documentos/631/70399487107/6317039948710711092023123338.jpg")</f>
        <v>https://dpmzos25m8ivg.cloudfront.net/Documentos/631/70399487107/6317039948710711092023123338.jpg</v>
      </c>
      <c r="F7684" s="5" t="str">
        <f>HYPERLINK("https://dpmzos25m8ivg.cloudfront.net/Documentos/631/70399487107/6317039948710711092023123354.jpg","https://dpmzos25m8ivg.cloudfront.net/Documentos/631/70399487107/6317039948710711092023123354.jpg")</f>
        <v>https://dpmzos25m8ivg.cloudfront.net/Documentos/631/70399487107/6317039948710711092023123354.jpg</v>
      </c>
      <c r="G7684" s="5" t="str">
        <f>HYPERLINK("https://dpmzos25m8ivg.cloudfront.net/Documentos/631/70399487107/6317039948710711092023123406.jpg","https://dpmzos25m8ivg.cloudfront.net/Documentos/631/70399487107/6317039948710711092023123406.jpg")</f>
        <v>https://dpmzos25m8ivg.cloudfront.net/Documentos/631/70399487107/6317039948710711092023123406.jpg</v>
      </c>
      <c r="H7684" s="5" t="s">
        <v>16252</v>
      </c>
    </row>
    <row r="7685" spans="1:8" x14ac:dyDescent="0.25">
      <c r="A7685" s="2" t="s">
        <v>7713</v>
      </c>
      <c r="B7685" s="3" t="s">
        <v>23</v>
      </c>
      <c r="C7685" s="3"/>
      <c r="D7685" s="3"/>
      <c r="E7685" s="5" t="str">
        <f>HYPERLINK("https://dpmzos25m8ivg.cloudfront.net/Documentos/631/70400108445/6317040010844506092023214331.pdf","https://dpmzos25m8ivg.cloudfront.net/Documentos/631/70400108445/6317040010844506092023214331.pdf")</f>
        <v>https://dpmzos25m8ivg.cloudfront.net/Documentos/631/70400108445/6317040010844506092023214331.pdf</v>
      </c>
      <c r="F7685" s="5" t="str">
        <f>HYPERLINK("https://dpmzos25m8ivg.cloudfront.net/Documentos/631/70400108445/6317040010844506092023214345.pdf","https://dpmzos25m8ivg.cloudfront.net/Documentos/631/70400108445/6317040010844506092023214345.pdf")</f>
        <v>https://dpmzos25m8ivg.cloudfront.net/Documentos/631/70400108445/6317040010844506092023214345.pdf</v>
      </c>
      <c r="G7685" s="5" t="str">
        <f>HYPERLINK("https://dpmzos25m8ivg.cloudfront.net/Documentos/631/70400108445/6317040010844506092023214400.pdf","https://dpmzos25m8ivg.cloudfront.net/Documentos/631/70400108445/6317040010844506092023214400.pdf")</f>
        <v>https://dpmzos25m8ivg.cloudfront.net/Documentos/631/70400108445/6317040010844506092023214400.pdf</v>
      </c>
      <c r="H7685" s="5" t="s">
        <v>16253</v>
      </c>
    </row>
    <row r="7686" spans="1:8" x14ac:dyDescent="0.25">
      <c r="A7686" s="2" t="s">
        <v>7714</v>
      </c>
      <c r="B7686" s="3"/>
      <c r="C7686" s="3"/>
      <c r="D7686" s="3"/>
      <c r="E7686" s="5" t="str">
        <f>HYPERLINK("https://dpmzos25m8ivg.cloudfront.net/Documentos/631/70408145285/6317040814528511092023165254.jpeg","https://dpmzos25m8ivg.cloudfront.net/Documentos/631/70408145285/6317040814528511092023165254.jpeg")</f>
        <v>https://dpmzos25m8ivg.cloudfront.net/Documentos/631/70408145285/6317040814528511092023165254.jpeg</v>
      </c>
      <c r="F7686" s="5" t="str">
        <f>HYPERLINK("https://dpmzos25m8ivg.cloudfront.net/Documentos/631/70408145285/6317040814528511092023165308.jpeg","https://dpmzos25m8ivg.cloudfront.net/Documentos/631/70408145285/6317040814528511092023165308.jpeg")</f>
        <v>https://dpmzos25m8ivg.cloudfront.net/Documentos/631/70408145285/6317040814528511092023165308.jpeg</v>
      </c>
      <c r="G7686" s="5" t="str">
        <f>HYPERLINK("https://dpmzos25m8ivg.cloudfront.net/Documentos/631/70408145285/6317040814528511092023170244.jpeg","https://dpmzos25m8ivg.cloudfront.net/Documentos/631/70408145285/6317040814528511092023170244.jpeg")</f>
        <v>https://dpmzos25m8ivg.cloudfront.net/Documentos/631/70408145285/6317040814528511092023170244.jpeg</v>
      </c>
      <c r="H7686" s="5" t="s">
        <v>16254</v>
      </c>
    </row>
    <row r="7687" spans="1:8" x14ac:dyDescent="0.25">
      <c r="A7687" s="2" t="s">
        <v>7715</v>
      </c>
      <c r="B7687" s="3"/>
      <c r="C7687" s="3"/>
      <c r="D7687" s="3"/>
      <c r="E7687" s="5" t="str">
        <f>HYPERLINK("https://dpmzos25m8ivg.cloudfront.net/Documentos/631/70410444162/6317041044416209092023173152.pdf","https://dpmzos25m8ivg.cloudfront.net/Documentos/631/70410444162/6317041044416209092023173152.pdf")</f>
        <v>https://dpmzos25m8ivg.cloudfront.net/Documentos/631/70410444162/6317041044416209092023173152.pdf</v>
      </c>
      <c r="F7687" s="5" t="str">
        <f>HYPERLINK("https://dpmzos25m8ivg.cloudfront.net/Documentos/631/70410444162/6317041044416209092023173247.pdf","https://dpmzos25m8ivg.cloudfront.net/Documentos/631/70410444162/6317041044416209092023173247.pdf")</f>
        <v>https://dpmzos25m8ivg.cloudfront.net/Documentos/631/70410444162/6317041044416209092023173247.pdf</v>
      </c>
      <c r="G7687" s="5" t="str">
        <f>HYPERLINK("https://dpmzos25m8ivg.cloudfront.net/Documentos/631/70410444162/6317041044416209092023173317.pdf","https://dpmzos25m8ivg.cloudfront.net/Documentos/631/70410444162/6317041044416209092023173317.pdf")</f>
        <v>https://dpmzos25m8ivg.cloudfront.net/Documentos/631/70410444162/6317041044416209092023173317.pdf</v>
      </c>
      <c r="H7687" s="5" t="s">
        <v>16255</v>
      </c>
    </row>
    <row r="7688" spans="1:8" x14ac:dyDescent="0.25">
      <c r="A7688" s="2" t="s">
        <v>7716</v>
      </c>
      <c r="B7688" s="3" t="s">
        <v>23</v>
      </c>
      <c r="C7688" s="3"/>
      <c r="D7688" s="3"/>
      <c r="E7688" s="5" t="str">
        <f>HYPERLINK("https://dpmzos25m8ivg.cloudfront.net/Documentos/631/70415823455/6317041582345511092023155445.pdf","https://dpmzos25m8ivg.cloudfront.net/Documentos/631/70415823455/6317041582345511092023155445.pdf")</f>
        <v>https://dpmzos25m8ivg.cloudfront.net/Documentos/631/70415823455/6317041582345511092023155445.pdf</v>
      </c>
      <c r="F7688" s="5" t="str">
        <f>HYPERLINK("https://dpmzos25m8ivg.cloudfront.net/Documentos/631/70415823455/6317041582345511092023155459.pdf","https://dpmzos25m8ivg.cloudfront.net/Documentos/631/70415823455/6317041582345511092023155459.pdf")</f>
        <v>https://dpmzos25m8ivg.cloudfront.net/Documentos/631/70415823455/6317041582345511092023155459.pdf</v>
      </c>
      <c r="G7688" s="5" t="str">
        <f>HYPERLINK("https://dpmzos25m8ivg.cloudfront.net/Documentos/631/70415823455/6317041582345511092023155517.pdf","https://dpmzos25m8ivg.cloudfront.net/Documentos/631/70415823455/6317041582345511092023155517.pdf")</f>
        <v>https://dpmzos25m8ivg.cloudfront.net/Documentos/631/70415823455/6317041582345511092023155517.pdf</v>
      </c>
      <c r="H7688" s="5" t="s">
        <v>16256</v>
      </c>
    </row>
    <row r="7689" spans="1:8" x14ac:dyDescent="0.25">
      <c r="A7689" s="2" t="s">
        <v>7717</v>
      </c>
      <c r="B7689" s="3"/>
      <c r="C7689" s="3"/>
      <c r="D7689" s="3"/>
      <c r="E7689" s="5" t="str">
        <f>HYPERLINK("https://dpmzos25m8ivg.cloudfront.net/Documentos/631/70424517167/6317042451716704092023214602.jpg","https://dpmzos25m8ivg.cloudfront.net/Documentos/631/70424517167/6317042451716704092023214602.jpg")</f>
        <v>https://dpmzos25m8ivg.cloudfront.net/Documentos/631/70424517167/6317042451716704092023214602.jpg</v>
      </c>
      <c r="F7689" s="5" t="str">
        <f>HYPERLINK("https://dpmzos25m8ivg.cloudfront.net/Documentos/631/70424517167/6317042451716704092023215534.jpg","https://dpmzos25m8ivg.cloudfront.net/Documentos/631/70424517167/6317042451716704092023215534.jpg")</f>
        <v>https://dpmzos25m8ivg.cloudfront.net/Documentos/631/70424517167/6317042451716704092023215534.jpg</v>
      </c>
      <c r="G7689" s="5" t="str">
        <f>HYPERLINK("https://dpmzos25m8ivg.cloudfront.net/Documentos/631/70424517167/6317042451716704092023215639.jpg","https://dpmzos25m8ivg.cloudfront.net/Documentos/631/70424517167/6317042451716704092023215639.jpg")</f>
        <v>https://dpmzos25m8ivg.cloudfront.net/Documentos/631/70424517167/6317042451716704092023215639.jpg</v>
      </c>
      <c r="H7689" s="5" t="s">
        <v>16257</v>
      </c>
    </row>
    <row r="7690" spans="1:8" x14ac:dyDescent="0.25">
      <c r="A7690" s="2" t="s">
        <v>7718</v>
      </c>
      <c r="B7690" s="3" t="s">
        <v>23</v>
      </c>
      <c r="C7690" s="3"/>
      <c r="D7690" s="3"/>
      <c r="E7690" s="5" t="str">
        <f>HYPERLINK("https://dpmzos25m8ivg.cloudfront.net/Documentos/631/70425810160/6317042581016014092023145700.pdf","https://dpmzos25m8ivg.cloudfront.net/Documentos/631/70425810160/6317042581016014092023145700.pdf")</f>
        <v>https://dpmzos25m8ivg.cloudfront.net/Documentos/631/70425810160/6317042581016014092023145700.pdf</v>
      </c>
      <c r="F7690" s="5" t="str">
        <f>HYPERLINK("https://dpmzos25m8ivg.cloudfront.net/Documentos/631/70425810160/6317042581016014092023145837.pdf","https://dpmzos25m8ivg.cloudfront.net/Documentos/631/70425810160/6317042581016014092023145837.pdf")</f>
        <v>https://dpmzos25m8ivg.cloudfront.net/Documentos/631/70425810160/6317042581016014092023145837.pdf</v>
      </c>
      <c r="G7690" s="5" t="str">
        <f>HYPERLINK("https://dpmzos25m8ivg.cloudfront.net/Documentos/631/70425810160/6317042581016014092023145845.pdf","https://dpmzos25m8ivg.cloudfront.net/Documentos/631/70425810160/6317042581016014092023145845.pdf")</f>
        <v>https://dpmzos25m8ivg.cloudfront.net/Documentos/631/70425810160/6317042581016014092023145845.pdf</v>
      </c>
      <c r="H7690" s="5" t="s">
        <v>16258</v>
      </c>
    </row>
    <row r="7691" spans="1:8" x14ac:dyDescent="0.25">
      <c r="A7691" s="2" t="s">
        <v>7719</v>
      </c>
      <c r="B7691" s="3" t="s">
        <v>312</v>
      </c>
      <c r="C7691" s="3"/>
      <c r="D7691" s="3"/>
      <c r="E7691" s="5" t="str">
        <f>HYPERLINK("https://dpmzos25m8ivg.cloudfront.net/Documentos/631/70431459452/6317043145945213092023111908.pdf","https://dpmzos25m8ivg.cloudfront.net/Documentos/631/70431459452/6317043145945213092023111908.pdf")</f>
        <v>https://dpmzos25m8ivg.cloudfront.net/Documentos/631/70431459452/6317043145945213092023111908.pdf</v>
      </c>
      <c r="F7691" s="5" t="str">
        <f>HYPERLINK("https://dpmzos25m8ivg.cloudfront.net/Documentos/631/70431459452/6317043145945213092023111922.pdf","https://dpmzos25m8ivg.cloudfront.net/Documentos/631/70431459452/6317043145945213092023111922.pdf")</f>
        <v>https://dpmzos25m8ivg.cloudfront.net/Documentos/631/70431459452/6317043145945213092023111922.pdf</v>
      </c>
      <c r="G7691" s="5" t="str">
        <f>HYPERLINK("https://dpmzos25m8ivg.cloudfront.net/Documentos/631/70431459452/6317043145945213092023111932.pdf","https://dpmzos25m8ivg.cloudfront.net/Documentos/631/70431459452/6317043145945213092023111932.pdf")</f>
        <v>https://dpmzos25m8ivg.cloudfront.net/Documentos/631/70431459452/6317043145945213092023111932.pdf</v>
      </c>
      <c r="H7691" s="5" t="s">
        <v>16259</v>
      </c>
    </row>
    <row r="7692" spans="1:8" x14ac:dyDescent="0.25">
      <c r="A7692" s="2" t="s">
        <v>7720</v>
      </c>
      <c r="B7692" s="3"/>
      <c r="C7692" s="3"/>
      <c r="D7692" s="3"/>
      <c r="E7692" s="5" t="str">
        <f>HYPERLINK("https://dpmzos25m8ivg.cloudfront.net/Documentos/631/70432583165/6317043258316511092023100823.pdf","https://dpmzos25m8ivg.cloudfront.net/Documentos/631/70432583165/6317043258316511092023100823.pdf")</f>
        <v>https://dpmzos25m8ivg.cloudfront.net/Documentos/631/70432583165/6317043258316511092023100823.pdf</v>
      </c>
      <c r="F7692" s="5" t="str">
        <f>HYPERLINK("https://dpmzos25m8ivg.cloudfront.net/Documentos/631/70432583165/6317043258316511092023100832.pdf","https://dpmzos25m8ivg.cloudfront.net/Documentos/631/70432583165/6317043258316511092023100832.pdf")</f>
        <v>https://dpmzos25m8ivg.cloudfront.net/Documentos/631/70432583165/6317043258316511092023100832.pdf</v>
      </c>
      <c r="G7692" s="5" t="str">
        <f>HYPERLINK("https://dpmzos25m8ivg.cloudfront.net/Documentos/631/70432583165/6317043258316511092023100844.pdf","https://dpmzos25m8ivg.cloudfront.net/Documentos/631/70432583165/6317043258316511092023100844.pdf")</f>
        <v>https://dpmzos25m8ivg.cloudfront.net/Documentos/631/70432583165/6317043258316511092023100844.pdf</v>
      </c>
      <c r="H7692" s="5" t="s">
        <v>16260</v>
      </c>
    </row>
    <row r="7693" spans="1:8" x14ac:dyDescent="0.25">
      <c r="A7693" s="2" t="s">
        <v>7721</v>
      </c>
      <c r="B7693" s="3"/>
      <c r="C7693" s="3"/>
      <c r="D7693" s="3"/>
      <c r="E7693" s="5" t="str">
        <f>HYPERLINK("https://dpmzos25m8ivg.cloudfront.net/Documentos/631/70433756497/6317043375649709092023132852.pdf","https://dpmzos25m8ivg.cloudfront.net/Documentos/631/70433756497/6317043375649709092023132852.pdf")</f>
        <v>https://dpmzos25m8ivg.cloudfront.net/Documentos/631/70433756497/6317043375649709092023132852.pdf</v>
      </c>
      <c r="F7693" s="5" t="str">
        <f>HYPERLINK("https://dpmzos25m8ivg.cloudfront.net/Documentos/631/70433756497/6317043375649709092023132914.pdf","https://dpmzos25m8ivg.cloudfront.net/Documentos/631/70433756497/6317043375649709092023132914.pdf")</f>
        <v>https://dpmzos25m8ivg.cloudfront.net/Documentos/631/70433756497/6317043375649709092023132914.pdf</v>
      </c>
      <c r="G7693" s="5" t="str">
        <f>HYPERLINK("https://dpmzos25m8ivg.cloudfront.net/Documentos/631/70433756497/6317043375649709092023132930.pdf","https://dpmzos25m8ivg.cloudfront.net/Documentos/631/70433756497/6317043375649709092023132930.pdf")</f>
        <v>https://dpmzos25m8ivg.cloudfront.net/Documentos/631/70433756497/6317043375649709092023132930.pdf</v>
      </c>
      <c r="H7693" s="5" t="s">
        <v>16261</v>
      </c>
    </row>
    <row r="7694" spans="1:8" x14ac:dyDescent="0.25">
      <c r="A7694" s="2" t="s">
        <v>7722</v>
      </c>
      <c r="B7694" s="3"/>
      <c r="C7694" s="3"/>
      <c r="D7694" s="3"/>
      <c r="E7694" s="5" t="str">
        <f>HYPERLINK("https://dpmzos25m8ivg.cloudfront.net/Documentos/631/70434085200/6317043408520011092023144251.pdf","https://dpmzos25m8ivg.cloudfront.net/Documentos/631/70434085200/6317043408520011092023144251.pdf")</f>
        <v>https://dpmzos25m8ivg.cloudfront.net/Documentos/631/70434085200/6317043408520011092023144251.pdf</v>
      </c>
      <c r="F7694" s="5" t="str">
        <f>HYPERLINK("https://dpmzos25m8ivg.cloudfront.net/Documentos/631/70434085200/6317043408520011092023142933.pdf","https://dpmzos25m8ivg.cloudfront.net/Documentos/631/70434085200/6317043408520011092023142933.pdf")</f>
        <v>https://dpmzos25m8ivg.cloudfront.net/Documentos/631/70434085200/6317043408520011092023142933.pdf</v>
      </c>
      <c r="G7694" s="5" t="str">
        <f>HYPERLINK("https://dpmzos25m8ivg.cloudfront.net/Documentos/631/70434085200/6317043408520011092023142922.pdf","https://dpmzos25m8ivg.cloudfront.net/Documentos/631/70434085200/6317043408520011092023142922.pdf")</f>
        <v>https://dpmzos25m8ivg.cloudfront.net/Documentos/631/70434085200/6317043408520011092023142922.pdf</v>
      </c>
      <c r="H7694" s="5" t="s">
        <v>16262</v>
      </c>
    </row>
    <row r="7695" spans="1:8" x14ac:dyDescent="0.25">
      <c r="A7695" s="2" t="s">
        <v>7723</v>
      </c>
      <c r="B7695" s="3"/>
      <c r="C7695" s="3"/>
      <c r="D7695" s="3"/>
      <c r="E7695" s="5" t="str">
        <f>HYPERLINK("https://dpmzos25m8ivg.cloudfront.net/Documentos/631/70434548405/6317043454840507092023180345.pdf","https://dpmzos25m8ivg.cloudfront.net/Documentos/631/70434548405/6317043454840507092023180345.pdf")</f>
        <v>https://dpmzos25m8ivg.cloudfront.net/Documentos/631/70434548405/6317043454840507092023180345.pdf</v>
      </c>
      <c r="F7695" s="5" t="str">
        <f>HYPERLINK("https://dpmzos25m8ivg.cloudfront.net/Documentos/631/70434548405/6317043454840507092023180355.pdf","https://dpmzos25m8ivg.cloudfront.net/Documentos/631/70434548405/6317043454840507092023180355.pdf")</f>
        <v>https://dpmzos25m8ivg.cloudfront.net/Documentos/631/70434548405/6317043454840507092023180355.pdf</v>
      </c>
      <c r="G7695" s="5" t="str">
        <f>HYPERLINK("https://dpmzos25m8ivg.cloudfront.net/Documentos/631/70434548405/6317043454840507092023180407.pdf","https://dpmzos25m8ivg.cloudfront.net/Documentos/631/70434548405/6317043454840507092023180407.pdf")</f>
        <v>https://dpmzos25m8ivg.cloudfront.net/Documentos/631/70434548405/6317043454840507092023180407.pdf</v>
      </c>
      <c r="H7695" s="5" t="s">
        <v>16263</v>
      </c>
    </row>
    <row r="7696" spans="1:8" x14ac:dyDescent="0.25">
      <c r="A7696" s="2" t="s">
        <v>7724</v>
      </c>
      <c r="B7696" s="3"/>
      <c r="C7696" s="3"/>
      <c r="D7696" s="3"/>
      <c r="E7696" s="5" t="str">
        <f>HYPERLINK("https://dpmzos25m8ivg.cloudfront.net/Documentos/631/70440276446/6317044027644611092023005338.pdf","https://dpmzos25m8ivg.cloudfront.net/Documentos/631/70440276446/6317044027644611092023005338.pdf")</f>
        <v>https://dpmzos25m8ivg.cloudfront.net/Documentos/631/70440276446/6317044027644611092023005338.pdf</v>
      </c>
      <c r="F7696" s="5" t="str">
        <f>HYPERLINK("https://dpmzos25m8ivg.cloudfront.net/Documentos/631/70440276446/6317044027644611092023005346.pdf","https://dpmzos25m8ivg.cloudfront.net/Documentos/631/70440276446/6317044027644611092023005346.pdf")</f>
        <v>https://dpmzos25m8ivg.cloudfront.net/Documentos/631/70440276446/6317044027644611092023005346.pdf</v>
      </c>
      <c r="G7696" s="5" t="str">
        <f>HYPERLINK("https://dpmzos25m8ivg.cloudfront.net/Documentos/631/70440276446/6317044027644611092023005356.pdf","https://dpmzos25m8ivg.cloudfront.net/Documentos/631/70440276446/6317044027644611092023005356.pdf")</f>
        <v>https://dpmzos25m8ivg.cloudfront.net/Documentos/631/70440276446/6317044027644611092023005356.pdf</v>
      </c>
      <c r="H7696" s="5" t="s">
        <v>16264</v>
      </c>
    </row>
    <row r="7697" spans="1:8" x14ac:dyDescent="0.25">
      <c r="A7697" s="2" t="s">
        <v>7725</v>
      </c>
      <c r="B7697" s="3"/>
      <c r="C7697" s="3"/>
      <c r="D7697" s="3"/>
      <c r="E7697" s="5" t="str">
        <f>HYPERLINK("https://dpmzos25m8ivg.cloudfront.net/Documentos/631/70441428185/6317044142818505092023115846.pdf","https://dpmzos25m8ivg.cloudfront.net/Documentos/631/70441428185/6317044142818505092023115846.pdf")</f>
        <v>https://dpmzos25m8ivg.cloudfront.net/Documentos/631/70441428185/6317044142818505092023115846.pdf</v>
      </c>
      <c r="F7697" s="5" t="str">
        <f>HYPERLINK("https://dpmzos25m8ivg.cloudfront.net/Documentos/631/70441428185/6317044142818505092023115854.pdf","https://dpmzos25m8ivg.cloudfront.net/Documentos/631/70441428185/6317044142818505092023115854.pdf")</f>
        <v>https://dpmzos25m8ivg.cloudfront.net/Documentos/631/70441428185/6317044142818505092023115854.pdf</v>
      </c>
      <c r="G7697" s="5" t="str">
        <f>HYPERLINK("https://dpmzos25m8ivg.cloudfront.net/Documentos/631/70441428185/6317044142818505092023115902.pdf","https://dpmzos25m8ivg.cloudfront.net/Documentos/631/70441428185/6317044142818505092023115902.pdf")</f>
        <v>https://dpmzos25m8ivg.cloudfront.net/Documentos/631/70441428185/6317044142818505092023115902.pdf</v>
      </c>
      <c r="H7697" s="5" t="s">
        <v>16265</v>
      </c>
    </row>
    <row r="7698" spans="1:8" x14ac:dyDescent="0.25">
      <c r="A7698" s="2" t="s">
        <v>7726</v>
      </c>
      <c r="B7698" s="3"/>
      <c r="C7698" s="3"/>
      <c r="D7698" s="3"/>
      <c r="E7698" s="5" t="str">
        <f>HYPERLINK("https://dpmzos25m8ivg.cloudfront.net/Documentos/631/70443201129/6317044320112911092023163238.pdf","https://dpmzos25m8ivg.cloudfront.net/Documentos/631/70443201129/6317044320112911092023163238.pdf")</f>
        <v>https://dpmzos25m8ivg.cloudfront.net/Documentos/631/70443201129/6317044320112911092023163238.pdf</v>
      </c>
      <c r="F7698" s="5" t="str">
        <f>HYPERLINK("https://dpmzos25m8ivg.cloudfront.net/Documentos/631/70443201129/6317044320112911092023163252.pdf","https://dpmzos25m8ivg.cloudfront.net/Documentos/631/70443201129/6317044320112911092023163252.pdf")</f>
        <v>https://dpmzos25m8ivg.cloudfront.net/Documentos/631/70443201129/6317044320112911092023163252.pdf</v>
      </c>
      <c r="G7698" s="5" t="str">
        <f>HYPERLINK("https://dpmzos25m8ivg.cloudfront.net/Documentos/631/70443201129/6317044320112911092023163303.pdf","https://dpmzos25m8ivg.cloudfront.net/Documentos/631/70443201129/6317044320112911092023163303.pdf")</f>
        <v>https://dpmzos25m8ivg.cloudfront.net/Documentos/631/70443201129/6317044320112911092023163303.pdf</v>
      </c>
      <c r="H7698" s="5" t="s">
        <v>16266</v>
      </c>
    </row>
    <row r="7699" spans="1:8" x14ac:dyDescent="0.25">
      <c r="A7699" s="2" t="s">
        <v>7727</v>
      </c>
      <c r="B7699" s="3"/>
      <c r="C7699" s="3"/>
      <c r="D7699" s="3"/>
      <c r="E7699" s="5" t="str">
        <f>HYPERLINK("https://dpmzos25m8ivg.cloudfront.net/Documentos/631/70444243178/6317044424317811092023151504.pdf","https://dpmzos25m8ivg.cloudfront.net/Documentos/631/70444243178/6317044424317811092023151504.pdf")</f>
        <v>https://dpmzos25m8ivg.cloudfront.net/Documentos/631/70444243178/6317044424317811092023151504.pdf</v>
      </c>
      <c r="F7699" s="5" t="str">
        <f>HYPERLINK("https://dpmzos25m8ivg.cloudfront.net/Documentos/631/70444243178/6317044424317811092023151516.pdf","https://dpmzos25m8ivg.cloudfront.net/Documentos/631/70444243178/6317044424317811092023151516.pdf")</f>
        <v>https://dpmzos25m8ivg.cloudfront.net/Documentos/631/70444243178/6317044424317811092023151516.pdf</v>
      </c>
      <c r="G7699" s="5" t="str">
        <f>HYPERLINK("https://dpmzos25m8ivg.cloudfront.net/Documentos/631/70444243178/6317044424317811092023151528.pdf","https://dpmzos25m8ivg.cloudfront.net/Documentos/631/70444243178/6317044424317811092023151528.pdf")</f>
        <v>https://dpmzos25m8ivg.cloudfront.net/Documentos/631/70444243178/6317044424317811092023151528.pdf</v>
      </c>
      <c r="H7699" s="5" t="s">
        <v>16267</v>
      </c>
    </row>
    <row r="7700" spans="1:8" x14ac:dyDescent="0.25">
      <c r="A7700" s="2" t="s">
        <v>7728</v>
      </c>
      <c r="B7700" s="3"/>
      <c r="C7700" s="3"/>
      <c r="D7700" s="3"/>
      <c r="E7700" s="5" t="str">
        <f>HYPERLINK("https://dpmzos25m8ivg.cloudfront.net/Documentos/631/70445991259/6317044599125905092023093607.pdf","https://dpmzos25m8ivg.cloudfront.net/Documentos/631/70445991259/6317044599125905092023093607.pdf")</f>
        <v>https://dpmzos25m8ivg.cloudfront.net/Documentos/631/70445991259/6317044599125905092023093607.pdf</v>
      </c>
      <c r="F7700" s="5" t="str">
        <f>HYPERLINK("https://dpmzos25m8ivg.cloudfront.net/Documentos/631/70445991259/6317044599125905092023093621.pdf","https://dpmzos25m8ivg.cloudfront.net/Documentos/631/70445991259/6317044599125905092023093621.pdf")</f>
        <v>https://dpmzos25m8ivg.cloudfront.net/Documentos/631/70445991259/6317044599125905092023093621.pdf</v>
      </c>
      <c r="G7700" s="5" t="str">
        <f>HYPERLINK("https://dpmzos25m8ivg.cloudfront.net/Documentos/631/70445991259/6317044599125905092023093635.pdf","https://dpmzos25m8ivg.cloudfront.net/Documentos/631/70445991259/6317044599125905092023093635.pdf")</f>
        <v>https://dpmzos25m8ivg.cloudfront.net/Documentos/631/70445991259/6317044599125905092023093635.pdf</v>
      </c>
      <c r="H7700" s="5" t="s">
        <v>16268</v>
      </c>
    </row>
    <row r="7701" spans="1:8" x14ac:dyDescent="0.25">
      <c r="A7701" s="2" t="s">
        <v>7729</v>
      </c>
      <c r="B7701" s="3"/>
      <c r="C7701" s="3"/>
      <c r="D7701" s="3"/>
      <c r="E7701" s="5" t="str">
        <f>HYPERLINK("https://dpmzos25m8ivg.cloudfront.net/Documentos/631/70455295387/6317045529538711092023091107.pdf","https://dpmzos25m8ivg.cloudfront.net/Documentos/631/70455295387/6317045529538711092023091107.pdf")</f>
        <v>https://dpmzos25m8ivg.cloudfront.net/Documentos/631/70455295387/6317045529538711092023091107.pdf</v>
      </c>
      <c r="F7701" s="5" t="str">
        <f>HYPERLINK("https://dpmzos25m8ivg.cloudfront.net/Documentos/631/70455295387/6317045529538711092023091130.pdf","https://dpmzos25m8ivg.cloudfront.net/Documentos/631/70455295387/6317045529538711092023091130.pdf")</f>
        <v>https://dpmzos25m8ivg.cloudfront.net/Documentos/631/70455295387/6317045529538711092023091130.pdf</v>
      </c>
      <c r="G7701" s="5" t="str">
        <f>HYPERLINK("https://dpmzos25m8ivg.cloudfront.net/Documentos/631/70455295387/6317045529538711092023091146.pdf","https://dpmzos25m8ivg.cloudfront.net/Documentos/631/70455295387/6317045529538711092023091146.pdf")</f>
        <v>https://dpmzos25m8ivg.cloudfront.net/Documentos/631/70455295387/6317045529538711092023091146.pdf</v>
      </c>
      <c r="H7701" s="5" t="s">
        <v>16269</v>
      </c>
    </row>
    <row r="7702" spans="1:8" x14ac:dyDescent="0.25">
      <c r="A7702" s="2" t="s">
        <v>7730</v>
      </c>
      <c r="B7702" s="3"/>
      <c r="C7702" s="3"/>
      <c r="D7702" s="3"/>
      <c r="E7702" s="5" t="str">
        <f>HYPERLINK("https://dpmzos25m8ivg.cloudfront.net/Documentos/631/70458917419/6317045891741906092023170238.pdf","https://dpmzos25m8ivg.cloudfront.net/Documentos/631/70458917419/6317045891741906092023170238.pdf")</f>
        <v>https://dpmzos25m8ivg.cloudfront.net/Documentos/631/70458917419/6317045891741906092023170238.pdf</v>
      </c>
      <c r="F7702" s="5" t="str">
        <f>HYPERLINK("https://dpmzos25m8ivg.cloudfront.net/Documentos/631/70458917419/6317045891741906092023170255.pdf","https://dpmzos25m8ivg.cloudfront.net/Documentos/631/70458917419/6317045891741906092023170255.pdf")</f>
        <v>https://dpmzos25m8ivg.cloudfront.net/Documentos/631/70458917419/6317045891741906092023170255.pdf</v>
      </c>
      <c r="G7702" s="5" t="str">
        <f>HYPERLINK("https://dpmzos25m8ivg.cloudfront.net/Documentos/631/70458917419/6317045891741906092023170303.pdf","https://dpmzos25m8ivg.cloudfront.net/Documentos/631/70458917419/6317045891741906092023170303.pdf")</f>
        <v>https://dpmzos25m8ivg.cloudfront.net/Documentos/631/70458917419/6317045891741906092023170303.pdf</v>
      </c>
      <c r="H7702" s="5" t="s">
        <v>16270</v>
      </c>
    </row>
    <row r="7703" spans="1:8" x14ac:dyDescent="0.25">
      <c r="A7703" s="2" t="s">
        <v>7731</v>
      </c>
      <c r="B7703" s="3"/>
      <c r="C7703" s="3"/>
      <c r="D7703" s="3"/>
      <c r="E7703" s="5" t="str">
        <f>HYPERLINK("https://dpmzos25m8ivg.cloudfront.net/Documentos/631/70466656483/6317046665648311092023134228.jpg","https://dpmzos25m8ivg.cloudfront.net/Documentos/631/70466656483/6317046665648311092023134228.jpg")</f>
        <v>https://dpmzos25m8ivg.cloudfront.net/Documentos/631/70466656483/6317046665648311092023134228.jpg</v>
      </c>
      <c r="F7703" s="5" t="str">
        <f>HYPERLINK("https://dpmzos25m8ivg.cloudfront.net/Documentos/631/70466656483/6317046665648311092023134245.jpg","https://dpmzos25m8ivg.cloudfront.net/Documentos/631/70466656483/6317046665648311092023134245.jpg")</f>
        <v>https://dpmzos25m8ivg.cloudfront.net/Documentos/631/70466656483/6317046665648311092023134245.jpg</v>
      </c>
      <c r="G7703" s="5" t="str">
        <f>HYPERLINK("https://dpmzos25m8ivg.cloudfront.net/Documentos/631/70466656483/6317046665648311092023134255.jpg","https://dpmzos25m8ivg.cloudfront.net/Documentos/631/70466656483/6317046665648311092023134255.jpg")</f>
        <v>https://dpmzos25m8ivg.cloudfront.net/Documentos/631/70466656483/6317046665648311092023134255.jpg</v>
      </c>
      <c r="H7703" s="5" t="s">
        <v>16271</v>
      </c>
    </row>
    <row r="7704" spans="1:8" x14ac:dyDescent="0.25">
      <c r="A7704" s="2" t="s">
        <v>7732</v>
      </c>
      <c r="B7704" s="3"/>
      <c r="C7704" s="3"/>
      <c r="D7704" s="3"/>
      <c r="E7704" s="5" t="str">
        <f>HYPERLINK("https://dpmzos25m8ivg.cloudfront.net/Documentos/631/70467620156/6317046762015609092023210515.pdf","https://dpmzos25m8ivg.cloudfront.net/Documentos/631/70467620156/6317046762015609092023210515.pdf")</f>
        <v>https://dpmzos25m8ivg.cloudfront.net/Documentos/631/70467620156/6317046762015609092023210515.pdf</v>
      </c>
      <c r="F7704" s="5" t="str">
        <f>HYPERLINK("https://dpmzos25m8ivg.cloudfront.net/Documentos/631/70467620156/6317046762015609092023210529.pdf","https://dpmzos25m8ivg.cloudfront.net/Documentos/631/70467620156/6317046762015609092023210529.pdf")</f>
        <v>https://dpmzos25m8ivg.cloudfront.net/Documentos/631/70467620156/6317046762015609092023210529.pdf</v>
      </c>
      <c r="G7704" s="5" t="str">
        <f>HYPERLINK("https://dpmzos25m8ivg.cloudfront.net/Documentos/631/70467620156/6317046762015609092023210538.pdf","https://dpmzos25m8ivg.cloudfront.net/Documentos/631/70467620156/6317046762015609092023210538.pdf")</f>
        <v>https://dpmzos25m8ivg.cloudfront.net/Documentos/631/70467620156/6317046762015609092023210538.pdf</v>
      </c>
      <c r="H7704" s="5" t="s">
        <v>16272</v>
      </c>
    </row>
    <row r="7705" spans="1:8" x14ac:dyDescent="0.25">
      <c r="A7705" s="2" t="s">
        <v>7733</v>
      </c>
      <c r="B7705" s="3" t="s">
        <v>90</v>
      </c>
      <c r="C7705" s="3"/>
      <c r="D7705" s="3"/>
      <c r="E7705" s="5" t="str">
        <f>HYPERLINK("https://dpmzos25m8ivg.cloudfront.net/Documentos/631/70472843117/6317047284311714092023163858.pdf","https://dpmzos25m8ivg.cloudfront.net/Documentos/631/70472843117/6317047284311714092023163858.pdf")</f>
        <v>https://dpmzos25m8ivg.cloudfront.net/Documentos/631/70472843117/6317047284311714092023163858.pdf</v>
      </c>
      <c r="F7705" s="5" t="str">
        <f>HYPERLINK("https://dpmzos25m8ivg.cloudfront.net/Documentos/631/70472843117/6317047284311714092023163910.pdf","https://dpmzos25m8ivg.cloudfront.net/Documentos/631/70472843117/6317047284311714092023163910.pdf")</f>
        <v>https://dpmzos25m8ivg.cloudfront.net/Documentos/631/70472843117/6317047284311714092023163910.pdf</v>
      </c>
      <c r="G7705" s="5" t="str">
        <f>HYPERLINK("https://dpmzos25m8ivg.cloudfront.net/Documentos/631/70472843117/6317047284311714092023163920.pdf","https://dpmzos25m8ivg.cloudfront.net/Documentos/631/70472843117/6317047284311714092023163920.pdf")</f>
        <v>https://dpmzos25m8ivg.cloudfront.net/Documentos/631/70472843117/6317047284311714092023163920.pdf</v>
      </c>
      <c r="H7705" s="5" t="s">
        <v>16273</v>
      </c>
    </row>
    <row r="7706" spans="1:8" x14ac:dyDescent="0.25">
      <c r="A7706" s="2" t="s">
        <v>7734</v>
      </c>
      <c r="B7706" s="3"/>
      <c r="C7706" s="3"/>
      <c r="D7706" s="3"/>
      <c r="E7706" s="5" t="str">
        <f>HYPERLINK("https://dpmzos25m8ivg.cloudfront.net/Documentos/631/70473232103/6317047323210309092023103649.pdf","https://dpmzos25m8ivg.cloudfront.net/Documentos/631/70473232103/6317047323210309092023103649.pdf")</f>
        <v>https://dpmzos25m8ivg.cloudfront.net/Documentos/631/70473232103/6317047323210309092023103649.pdf</v>
      </c>
      <c r="F7706" s="5" t="str">
        <f>HYPERLINK("https://dpmzos25m8ivg.cloudfront.net/Documentos/631/70473232103/6317047323210309092023103701.pdf","https://dpmzos25m8ivg.cloudfront.net/Documentos/631/70473232103/6317047323210309092023103701.pdf")</f>
        <v>https://dpmzos25m8ivg.cloudfront.net/Documentos/631/70473232103/6317047323210309092023103701.pdf</v>
      </c>
      <c r="G7706" s="5" t="str">
        <f>HYPERLINK("https://dpmzos25m8ivg.cloudfront.net/Documentos/631/70473232103/6317047323210309092023103712.pdf","https://dpmzos25m8ivg.cloudfront.net/Documentos/631/70473232103/6317047323210309092023103712.pdf")</f>
        <v>https://dpmzos25m8ivg.cloudfront.net/Documentos/631/70473232103/6317047323210309092023103712.pdf</v>
      </c>
      <c r="H7706" s="5" t="s">
        <v>16274</v>
      </c>
    </row>
    <row r="7707" spans="1:8" x14ac:dyDescent="0.25">
      <c r="A7707" s="2" t="s">
        <v>7735</v>
      </c>
      <c r="B7707" s="3" t="s">
        <v>308</v>
      </c>
      <c r="C7707" s="3"/>
      <c r="D7707" s="3"/>
      <c r="E7707" s="5" t="str">
        <f>HYPERLINK("https://dpmzos25m8ivg.cloudfront.net/Documentos/631/70473949156/6317047394915614092023093044.pdf","https://dpmzos25m8ivg.cloudfront.net/Documentos/631/70473949156/6317047394915614092023093044.pdf")</f>
        <v>https://dpmzos25m8ivg.cloudfront.net/Documentos/631/70473949156/6317047394915614092023093044.pdf</v>
      </c>
      <c r="F7707" s="5" t="str">
        <f>HYPERLINK("https://dpmzos25m8ivg.cloudfront.net/Documentos/631/70473949156/6317047394915614092023093055.pdf","https://dpmzos25m8ivg.cloudfront.net/Documentos/631/70473949156/6317047394915614092023093055.pdf")</f>
        <v>https://dpmzos25m8ivg.cloudfront.net/Documentos/631/70473949156/6317047394915614092023093055.pdf</v>
      </c>
      <c r="G7707" s="5" t="str">
        <f>HYPERLINK("https://dpmzos25m8ivg.cloudfront.net/Documentos/631/70473949156/6317047394915614092023093106.pdf","https://dpmzos25m8ivg.cloudfront.net/Documentos/631/70473949156/6317047394915614092023093106.pdf")</f>
        <v>https://dpmzos25m8ivg.cloudfront.net/Documentos/631/70473949156/6317047394915614092023093106.pdf</v>
      </c>
      <c r="H7707" s="5" t="s">
        <v>16275</v>
      </c>
    </row>
    <row r="7708" spans="1:8" x14ac:dyDescent="0.25">
      <c r="A7708" s="2" t="s">
        <v>7736</v>
      </c>
      <c r="B7708" s="3"/>
      <c r="C7708" s="3"/>
      <c r="D7708" s="3"/>
      <c r="E7708" s="5" t="str">
        <f>HYPERLINK("https://dpmzos25m8ivg.cloudfront.net/Documentos/631/70475229134/6317047522913409092023120229.jpg","https://dpmzos25m8ivg.cloudfront.net/Documentos/631/70475229134/6317047522913409092023120229.jpg")</f>
        <v>https://dpmzos25m8ivg.cloudfront.net/Documentos/631/70475229134/6317047522913409092023120229.jpg</v>
      </c>
      <c r="F7708" s="5" t="str">
        <f>HYPERLINK("https://dpmzos25m8ivg.cloudfront.net/Documentos/631/70475229134/6317047522913409092023120307.jpg","https://dpmzos25m8ivg.cloudfront.net/Documentos/631/70475229134/6317047522913409092023120307.jpg")</f>
        <v>https://dpmzos25m8ivg.cloudfront.net/Documentos/631/70475229134/6317047522913409092023120307.jpg</v>
      </c>
      <c r="G7708" s="5" t="str">
        <f>HYPERLINK("https://dpmzos25m8ivg.cloudfront.net/Documentos/631/70475229134/6317047522913409092023120326.jpg","https://dpmzos25m8ivg.cloudfront.net/Documentos/631/70475229134/6317047522913409092023120326.jpg")</f>
        <v>https://dpmzos25m8ivg.cloudfront.net/Documentos/631/70475229134/6317047522913409092023120326.jpg</v>
      </c>
      <c r="H7708" s="5" t="s">
        <v>16276</v>
      </c>
    </row>
    <row r="7709" spans="1:8" x14ac:dyDescent="0.25">
      <c r="A7709" s="2" t="s">
        <v>7737</v>
      </c>
      <c r="B7709" s="3"/>
      <c r="C7709" s="3"/>
      <c r="D7709" s="3"/>
      <c r="E7709" s="5" t="str">
        <f>HYPERLINK("https://dpmzos25m8ivg.cloudfront.net/Documentos/631/70478629435/6317047862943505092023110159.pdf","https://dpmzos25m8ivg.cloudfront.net/Documentos/631/70478629435/6317047862943505092023110159.pdf")</f>
        <v>https://dpmzos25m8ivg.cloudfront.net/Documentos/631/70478629435/6317047862943505092023110159.pdf</v>
      </c>
      <c r="F7709" s="5" t="str">
        <f>HYPERLINK("https://dpmzos25m8ivg.cloudfront.net/Documentos/631/70478629435/6317047862943505092023110208.pdf","https://dpmzos25m8ivg.cloudfront.net/Documentos/631/70478629435/6317047862943505092023110208.pdf")</f>
        <v>https://dpmzos25m8ivg.cloudfront.net/Documentos/631/70478629435/6317047862943505092023110208.pdf</v>
      </c>
      <c r="G7709" s="5" t="str">
        <f>HYPERLINK("https://dpmzos25m8ivg.cloudfront.net/Documentos/631/70478629435/6317047862943505092023110215.pdf","https://dpmzos25m8ivg.cloudfront.net/Documentos/631/70478629435/6317047862943505092023110215.pdf")</f>
        <v>https://dpmzos25m8ivg.cloudfront.net/Documentos/631/70478629435/6317047862943505092023110215.pdf</v>
      </c>
      <c r="H7709" s="5" t="s">
        <v>16277</v>
      </c>
    </row>
    <row r="7710" spans="1:8" x14ac:dyDescent="0.25">
      <c r="A7710" s="2" t="s">
        <v>7738</v>
      </c>
      <c r="B7710" s="3"/>
      <c r="C7710" s="3"/>
      <c r="D7710" s="3"/>
      <c r="E7710" s="5" t="str">
        <f>HYPERLINK("https://dpmzos25m8ivg.cloudfront.net/Documentos/631/70488855136/6317048885513610092023165015.pdf","https://dpmzos25m8ivg.cloudfront.net/Documentos/631/70488855136/6317048885513610092023165015.pdf")</f>
        <v>https://dpmzos25m8ivg.cloudfront.net/Documentos/631/70488855136/6317048885513610092023165015.pdf</v>
      </c>
      <c r="F7710" s="5" t="str">
        <f>HYPERLINK("https://dpmzos25m8ivg.cloudfront.net/Documentos/631/70488855136/6317048885513610092023165041.pdf","https://dpmzos25m8ivg.cloudfront.net/Documentos/631/70488855136/6317048885513610092023165041.pdf")</f>
        <v>https://dpmzos25m8ivg.cloudfront.net/Documentos/631/70488855136/6317048885513610092023165041.pdf</v>
      </c>
      <c r="G7710" s="5" t="str">
        <f>HYPERLINK("https://dpmzos25m8ivg.cloudfront.net/Documentos/631/70488855136/6317048885513610092023165100.pdf","https://dpmzos25m8ivg.cloudfront.net/Documentos/631/70488855136/6317048885513610092023165100.pdf")</f>
        <v>https://dpmzos25m8ivg.cloudfront.net/Documentos/631/70488855136/6317048885513610092023165100.pdf</v>
      </c>
      <c r="H7710" s="5" t="s">
        <v>16278</v>
      </c>
    </row>
    <row r="7711" spans="1:8" x14ac:dyDescent="0.25">
      <c r="A7711" s="2" t="s">
        <v>7739</v>
      </c>
      <c r="B7711" s="3"/>
      <c r="C7711" s="3"/>
      <c r="D7711" s="3"/>
      <c r="E7711" s="5" t="str">
        <f>HYPERLINK("https://dpmzos25m8ivg.cloudfront.net/Documentos/631/70494013150/6317049401315006092023140250.pdf","https://dpmzos25m8ivg.cloudfront.net/Documentos/631/70494013150/6317049401315006092023140250.pdf")</f>
        <v>https://dpmzos25m8ivg.cloudfront.net/Documentos/631/70494013150/6317049401315006092023140250.pdf</v>
      </c>
      <c r="F7711" s="5" t="str">
        <f>HYPERLINK("https://dpmzos25m8ivg.cloudfront.net/Documentos/631/70494013150/6317049401315006092023140301.pdf","https://dpmzos25m8ivg.cloudfront.net/Documentos/631/70494013150/6317049401315006092023140301.pdf")</f>
        <v>https://dpmzos25m8ivg.cloudfront.net/Documentos/631/70494013150/6317049401315006092023140301.pdf</v>
      </c>
      <c r="G7711" s="5" t="str">
        <f>HYPERLINK("https://dpmzos25m8ivg.cloudfront.net/Documentos/631/70494013150/6317049401315006092023140308.pdf","https://dpmzos25m8ivg.cloudfront.net/Documentos/631/70494013150/6317049401315006092023140308.pdf")</f>
        <v>https://dpmzos25m8ivg.cloudfront.net/Documentos/631/70494013150/6317049401315006092023140308.pdf</v>
      </c>
      <c r="H7711" s="5" t="s">
        <v>16279</v>
      </c>
    </row>
    <row r="7712" spans="1:8" x14ac:dyDescent="0.25">
      <c r="A7712" s="2" t="s">
        <v>7740</v>
      </c>
      <c r="B7712" s="3"/>
      <c r="C7712" s="3"/>
      <c r="D7712" s="3"/>
      <c r="E7712" s="5" t="str">
        <f>HYPERLINK("https://dpmzos25m8ivg.cloudfront.net/Documentos/631/70498533484/6317049853348405092023132325.pdf","https://dpmzos25m8ivg.cloudfront.net/Documentos/631/70498533484/6317049853348405092023132325.pdf")</f>
        <v>https://dpmzos25m8ivg.cloudfront.net/Documentos/631/70498533484/6317049853348405092023132325.pdf</v>
      </c>
      <c r="F7712" s="5" t="str">
        <f>HYPERLINK("https://dpmzos25m8ivg.cloudfront.net/Documentos/631/70498533484/6317049853348405092023132336.pdf","https://dpmzos25m8ivg.cloudfront.net/Documentos/631/70498533484/6317049853348405092023132336.pdf")</f>
        <v>https://dpmzos25m8ivg.cloudfront.net/Documentos/631/70498533484/6317049853348405092023132336.pdf</v>
      </c>
      <c r="G7712" s="5" t="str">
        <f>HYPERLINK("https://dpmzos25m8ivg.cloudfront.net/Documentos/631/70498533484/6317049853348405092023132346.pdf","https://dpmzos25m8ivg.cloudfront.net/Documentos/631/70498533484/6317049853348405092023132346.pdf")</f>
        <v>https://dpmzos25m8ivg.cloudfront.net/Documentos/631/70498533484/6317049853348405092023132346.pdf</v>
      </c>
      <c r="H7712" s="5" t="s">
        <v>16280</v>
      </c>
    </row>
    <row r="7713" spans="1:8" x14ac:dyDescent="0.25">
      <c r="A7713" s="2" t="s">
        <v>7741</v>
      </c>
      <c r="B7713" s="3"/>
      <c r="C7713" s="3"/>
      <c r="D7713" s="3"/>
      <c r="E7713" s="5" t="str">
        <f>HYPERLINK("https://dpmzos25m8ivg.cloudfront.net/Documentos/631/70510014186/6317051001418606092023171205.pdf","https://dpmzos25m8ivg.cloudfront.net/Documentos/631/70510014186/6317051001418606092023171205.pdf")</f>
        <v>https://dpmzos25m8ivg.cloudfront.net/Documentos/631/70510014186/6317051001418606092023171205.pdf</v>
      </c>
      <c r="F7713" s="5" t="str">
        <f>HYPERLINK("https://dpmzos25m8ivg.cloudfront.net/Documentos/631/70510014186/6317051001418606092023171142.pdf","https://dpmzos25m8ivg.cloudfront.net/Documentos/631/70510014186/6317051001418606092023171142.pdf")</f>
        <v>https://dpmzos25m8ivg.cloudfront.net/Documentos/631/70510014186/6317051001418606092023171142.pdf</v>
      </c>
      <c r="G7713" s="5" t="str">
        <f>HYPERLINK("https://dpmzos25m8ivg.cloudfront.net/Documentos/631/70510014186/6317051001418606092023171117.pdf","https://dpmzos25m8ivg.cloudfront.net/Documentos/631/70510014186/6317051001418606092023171117.pdf")</f>
        <v>https://dpmzos25m8ivg.cloudfront.net/Documentos/631/70510014186/6317051001418606092023171117.pdf</v>
      </c>
      <c r="H7713" s="5" t="s">
        <v>16281</v>
      </c>
    </row>
    <row r="7714" spans="1:8" x14ac:dyDescent="0.25">
      <c r="A7714" s="2" t="s">
        <v>7742</v>
      </c>
      <c r="B7714" s="3"/>
      <c r="C7714" s="3"/>
      <c r="D7714" s="3"/>
      <c r="E7714" s="5" t="str">
        <f>HYPERLINK("https://dpmzos25m8ivg.cloudfront.net/Documentos/631/70511391420/6317051139142011092023151419.jpeg","https://dpmzos25m8ivg.cloudfront.net/Documentos/631/70511391420/6317051139142011092023151419.jpeg")</f>
        <v>https://dpmzos25m8ivg.cloudfront.net/Documentos/631/70511391420/6317051139142011092023151419.jpeg</v>
      </c>
      <c r="F7714" s="5" t="str">
        <f>HYPERLINK("https://dpmzos25m8ivg.cloudfront.net/Documentos/631/70511391420/6317051139142011092023151444.jpeg","https://dpmzos25m8ivg.cloudfront.net/Documentos/631/70511391420/6317051139142011092023151444.jpeg")</f>
        <v>https://dpmzos25m8ivg.cloudfront.net/Documentos/631/70511391420/6317051139142011092023151444.jpeg</v>
      </c>
      <c r="G7714" s="5" t="str">
        <f>HYPERLINK("https://dpmzos25m8ivg.cloudfront.net/Documentos/631/70511391420/6317051139142011092023151505.jpeg","https://dpmzos25m8ivg.cloudfront.net/Documentos/631/70511391420/6317051139142011092023151505.jpeg")</f>
        <v>https://dpmzos25m8ivg.cloudfront.net/Documentos/631/70511391420/6317051139142011092023151505.jpeg</v>
      </c>
      <c r="H7714" s="5" t="s">
        <v>16282</v>
      </c>
    </row>
    <row r="7715" spans="1:8" x14ac:dyDescent="0.25">
      <c r="A7715" s="2" t="s">
        <v>7743</v>
      </c>
      <c r="B7715" s="3" t="s">
        <v>308</v>
      </c>
      <c r="C7715" s="3"/>
      <c r="D7715" s="3"/>
      <c r="E7715" s="5" t="str">
        <f>HYPERLINK("https://dpmzos25m8ivg.cloudfront.net/Documentos/631/70518022161/6317051802216111092023101248.pdf","https://dpmzos25m8ivg.cloudfront.net/Documentos/631/70518022161/6317051802216111092023101248.pdf")</f>
        <v>https://dpmzos25m8ivg.cloudfront.net/Documentos/631/70518022161/6317051802216111092023101248.pdf</v>
      </c>
      <c r="F7715" s="5" t="str">
        <f>HYPERLINK("https://dpmzos25m8ivg.cloudfront.net/Documentos/631/70518022161/6317051802216111092023101333.pdf","https://dpmzos25m8ivg.cloudfront.net/Documentos/631/70518022161/6317051802216111092023101333.pdf")</f>
        <v>https://dpmzos25m8ivg.cloudfront.net/Documentos/631/70518022161/6317051802216111092023101333.pdf</v>
      </c>
      <c r="G7715" s="5" t="str">
        <f>HYPERLINK("https://dpmzos25m8ivg.cloudfront.net/Documentos/631/70518022161/6317051802216111092023101424.pdf","https://dpmzos25m8ivg.cloudfront.net/Documentos/631/70518022161/6317051802216111092023101424.pdf")</f>
        <v>https://dpmzos25m8ivg.cloudfront.net/Documentos/631/70518022161/6317051802216111092023101424.pdf</v>
      </c>
      <c r="H7715" s="5" t="s">
        <v>16283</v>
      </c>
    </row>
    <row r="7716" spans="1:8" x14ac:dyDescent="0.25">
      <c r="A7716" s="2" t="s">
        <v>7744</v>
      </c>
      <c r="B7716" s="3"/>
      <c r="C7716" s="3"/>
      <c r="D7716" s="3"/>
      <c r="E7716" s="5" t="str">
        <f>HYPERLINK("https://dpmzos25m8ivg.cloudfront.net/Documentos/631/70518966100/6317051896610011092023162143.pdf","https://dpmzos25m8ivg.cloudfront.net/Documentos/631/70518966100/6317051896610011092023162143.pdf")</f>
        <v>https://dpmzos25m8ivg.cloudfront.net/Documentos/631/70518966100/6317051896610011092023162143.pdf</v>
      </c>
      <c r="F7716" s="5" t="str">
        <f>HYPERLINK("https://dpmzos25m8ivg.cloudfront.net/Documentos/631/70518966100/6317051896610011092023162151.pdf","https://dpmzos25m8ivg.cloudfront.net/Documentos/631/70518966100/6317051896610011092023162151.pdf")</f>
        <v>https://dpmzos25m8ivg.cloudfront.net/Documentos/631/70518966100/6317051896610011092023162151.pdf</v>
      </c>
      <c r="G7716" s="5" t="str">
        <f>HYPERLINK("https://dpmzos25m8ivg.cloudfront.net/Documentos/631/70518966100/6317051896610011092023162159.pdf","https://dpmzos25m8ivg.cloudfront.net/Documentos/631/70518966100/6317051896610011092023162159.pdf")</f>
        <v>https://dpmzos25m8ivg.cloudfront.net/Documentos/631/70518966100/6317051896610011092023162159.pdf</v>
      </c>
      <c r="H7716" s="5" t="s">
        <v>16284</v>
      </c>
    </row>
    <row r="7717" spans="1:8" x14ac:dyDescent="0.25">
      <c r="A7717" s="2" t="s">
        <v>7745</v>
      </c>
      <c r="B7717" s="3"/>
      <c r="C7717" s="3"/>
      <c r="D7717" s="3"/>
      <c r="E7717" s="5" t="str">
        <f>HYPERLINK("https://dpmzos25m8ivg.cloudfront.net/Documentos/631/70521067448/6317052106744806092023102136.pdf","https://dpmzos25m8ivg.cloudfront.net/Documentos/631/70521067448/6317052106744806092023102136.pdf")</f>
        <v>https://dpmzos25m8ivg.cloudfront.net/Documentos/631/70521067448/6317052106744806092023102136.pdf</v>
      </c>
      <c r="F7717" s="5" t="str">
        <f>HYPERLINK("https://dpmzos25m8ivg.cloudfront.net/Documentos/631/70521067448/6317052106744806092023102156.pdf","https://dpmzos25m8ivg.cloudfront.net/Documentos/631/70521067448/6317052106744806092023102156.pdf")</f>
        <v>https://dpmzos25m8ivg.cloudfront.net/Documentos/631/70521067448/6317052106744806092023102156.pdf</v>
      </c>
      <c r="G7717" s="5" t="str">
        <f>HYPERLINK("https://dpmzos25m8ivg.cloudfront.net/Documentos/631/70521067448/6317052106744806092023102212.pdf","https://dpmzos25m8ivg.cloudfront.net/Documentos/631/70521067448/6317052106744806092023102212.pdf")</f>
        <v>https://dpmzos25m8ivg.cloudfront.net/Documentos/631/70521067448/6317052106744806092023102212.pdf</v>
      </c>
      <c r="H7717" s="5" t="s">
        <v>16285</v>
      </c>
    </row>
    <row r="7718" spans="1:8" x14ac:dyDescent="0.25">
      <c r="A7718" s="2" t="s">
        <v>7746</v>
      </c>
      <c r="B7718" s="3"/>
      <c r="C7718" s="3"/>
      <c r="D7718" s="3"/>
      <c r="E7718" s="5" t="str">
        <f>HYPERLINK("https://dpmzos25m8ivg.cloudfront.net/Documentos/631/70532181123/6317053218112306092023162549.pdf","https://dpmzos25m8ivg.cloudfront.net/Documentos/631/70532181123/6317053218112306092023162549.pdf")</f>
        <v>https://dpmzos25m8ivg.cloudfront.net/Documentos/631/70532181123/6317053218112306092023162549.pdf</v>
      </c>
      <c r="F7718" s="5" t="str">
        <f>HYPERLINK("https://dpmzos25m8ivg.cloudfront.net/Documentos/631/70532181123/6317053218112306092023162604.pdf","https://dpmzos25m8ivg.cloudfront.net/Documentos/631/70532181123/6317053218112306092023162604.pdf")</f>
        <v>https://dpmzos25m8ivg.cloudfront.net/Documentos/631/70532181123/6317053218112306092023162604.pdf</v>
      </c>
      <c r="G7718" s="5" t="str">
        <f>HYPERLINK("https://dpmzos25m8ivg.cloudfront.net/Documentos/631/70532181123/6317053218112306092023162614.pdf","https://dpmzos25m8ivg.cloudfront.net/Documentos/631/70532181123/6317053218112306092023162614.pdf")</f>
        <v>https://dpmzos25m8ivg.cloudfront.net/Documentos/631/70532181123/6317053218112306092023162614.pdf</v>
      </c>
      <c r="H7718" s="5" t="s">
        <v>16286</v>
      </c>
    </row>
    <row r="7719" spans="1:8" x14ac:dyDescent="0.25">
      <c r="A7719" s="2" t="s">
        <v>7747</v>
      </c>
      <c r="B7719" s="3"/>
      <c r="C7719" s="3"/>
      <c r="D7719" s="3"/>
      <c r="E7719" s="5" t="str">
        <f>HYPERLINK("https://dpmzos25m8ivg.cloudfront.net/Documentos/631/70534576133/6317053457613311092023143309.pdf","https://dpmzos25m8ivg.cloudfront.net/Documentos/631/70534576133/6317053457613311092023143309.pdf")</f>
        <v>https://dpmzos25m8ivg.cloudfront.net/Documentos/631/70534576133/6317053457613311092023143309.pdf</v>
      </c>
      <c r="F7719" s="5" t="str">
        <f>HYPERLINK("https://dpmzos25m8ivg.cloudfront.net/Documentos/631/70534576133/6317053457613311092023143339.pdf","https://dpmzos25m8ivg.cloudfront.net/Documentos/631/70534576133/6317053457613311092023143339.pdf")</f>
        <v>https://dpmzos25m8ivg.cloudfront.net/Documentos/631/70534576133/6317053457613311092023143339.pdf</v>
      </c>
      <c r="G7719" s="5" t="str">
        <f>HYPERLINK("https://dpmzos25m8ivg.cloudfront.net/Documentos/631/70534576133/6317053457613311092023143412.pdf","https://dpmzos25m8ivg.cloudfront.net/Documentos/631/70534576133/6317053457613311092023143412.pdf")</f>
        <v>https://dpmzos25m8ivg.cloudfront.net/Documentos/631/70534576133/6317053457613311092023143412.pdf</v>
      </c>
      <c r="H7719" s="5" t="s">
        <v>16287</v>
      </c>
    </row>
    <row r="7720" spans="1:8" x14ac:dyDescent="0.25">
      <c r="A7720" s="2" t="s">
        <v>7748</v>
      </c>
      <c r="B7720" s="3"/>
      <c r="C7720" s="3"/>
      <c r="D7720" s="3"/>
      <c r="E7720" s="5" t="str">
        <f>HYPERLINK("https://dpmzos25m8ivg.cloudfront.net/Documentos/631/70538026120/6317053802612005092023122508.pdf","https://dpmzos25m8ivg.cloudfront.net/Documentos/631/70538026120/6317053802612005092023122508.pdf")</f>
        <v>https://dpmzos25m8ivg.cloudfront.net/Documentos/631/70538026120/6317053802612005092023122508.pdf</v>
      </c>
      <c r="F7720" s="5" t="str">
        <f>HYPERLINK("https://dpmzos25m8ivg.cloudfront.net/Documentos/631/70538026120/6317053802612005092023122517.pdf","https://dpmzos25m8ivg.cloudfront.net/Documentos/631/70538026120/6317053802612005092023122517.pdf")</f>
        <v>https://dpmzos25m8ivg.cloudfront.net/Documentos/631/70538026120/6317053802612005092023122517.pdf</v>
      </c>
      <c r="G7720" s="5" t="str">
        <f>HYPERLINK("https://dpmzos25m8ivg.cloudfront.net/Documentos/631/70538026120/6317053802612005092023122527.pdf","https://dpmzos25m8ivg.cloudfront.net/Documentos/631/70538026120/6317053802612005092023122527.pdf")</f>
        <v>https://dpmzos25m8ivg.cloudfront.net/Documentos/631/70538026120/6317053802612005092023122527.pdf</v>
      </c>
      <c r="H7720" s="5" t="s">
        <v>16288</v>
      </c>
    </row>
    <row r="7721" spans="1:8" x14ac:dyDescent="0.25">
      <c r="A7721" s="2" t="s">
        <v>7749</v>
      </c>
      <c r="B7721" s="3"/>
      <c r="C7721" s="3"/>
      <c r="D7721" s="3"/>
      <c r="E7721" s="5" t="str">
        <f>HYPERLINK("https://dpmzos25m8ivg.cloudfront.net/Documentos/631/70552496430/6317055249643008092023114034.pdf","https://dpmzos25m8ivg.cloudfront.net/Documentos/631/70552496430/6317055249643008092023114034.pdf")</f>
        <v>https://dpmzos25m8ivg.cloudfront.net/Documentos/631/70552496430/6317055249643008092023114034.pdf</v>
      </c>
      <c r="F7721" s="5" t="str">
        <f>HYPERLINK("https://dpmzos25m8ivg.cloudfront.net/Documentos/631/70552496430/6317055249643008092023114045.pdf","https://dpmzos25m8ivg.cloudfront.net/Documentos/631/70552496430/6317055249643008092023114045.pdf")</f>
        <v>https://dpmzos25m8ivg.cloudfront.net/Documentos/631/70552496430/6317055249643008092023114045.pdf</v>
      </c>
      <c r="G7721" s="5" t="str">
        <f>HYPERLINK("https://dpmzos25m8ivg.cloudfront.net/Documentos/631/70552496430/6317055249643008092023114057.pdf","https://dpmzos25m8ivg.cloudfront.net/Documentos/631/70552496430/6317055249643008092023114057.pdf")</f>
        <v>https://dpmzos25m8ivg.cloudfront.net/Documentos/631/70552496430/6317055249643008092023114057.pdf</v>
      </c>
      <c r="H7721" s="5" t="s">
        <v>16289</v>
      </c>
    </row>
    <row r="7722" spans="1:8" x14ac:dyDescent="0.25">
      <c r="A7722" s="2" t="s">
        <v>7750</v>
      </c>
      <c r="B7722" s="3"/>
      <c r="C7722" s="3"/>
      <c r="D7722" s="3"/>
      <c r="E7722" s="5" t="str">
        <f>HYPERLINK("https://dpmzos25m8ivg.cloudfront.net/Documentos/631/70553142160/6317055314216011092023105318.jpeg","https://dpmzos25m8ivg.cloudfront.net/Documentos/631/70553142160/6317055314216011092023105318.jpeg")</f>
        <v>https://dpmzos25m8ivg.cloudfront.net/Documentos/631/70553142160/6317055314216011092023105318.jpeg</v>
      </c>
      <c r="F7722" s="5" t="str">
        <f>HYPERLINK("https://dpmzos25m8ivg.cloudfront.net/Documentos/631/70553142160/6317055314216011092023105328.jpeg","https://dpmzos25m8ivg.cloudfront.net/Documentos/631/70553142160/6317055314216011092023105328.jpeg")</f>
        <v>https://dpmzos25m8ivg.cloudfront.net/Documentos/631/70553142160/6317055314216011092023105328.jpeg</v>
      </c>
      <c r="G7722" s="5" t="str">
        <f>HYPERLINK("https://dpmzos25m8ivg.cloudfront.net/Documentos/631/70553142160/6317055314216011092023105337.jpeg","https://dpmzos25m8ivg.cloudfront.net/Documentos/631/70553142160/6317055314216011092023105337.jpeg")</f>
        <v>https://dpmzos25m8ivg.cloudfront.net/Documentos/631/70553142160/6317055314216011092023105337.jpeg</v>
      </c>
      <c r="H7722" s="5" t="s">
        <v>16290</v>
      </c>
    </row>
    <row r="7723" spans="1:8" x14ac:dyDescent="0.25">
      <c r="A7723" s="2" t="s">
        <v>7751</v>
      </c>
      <c r="B7723" s="3"/>
      <c r="C7723" s="3"/>
      <c r="D7723" s="3"/>
      <c r="E7723" s="5" t="str">
        <f>HYPERLINK("https://dpmzos25m8ivg.cloudfront.net/Documentos/631/70569707455/6317056970745511092023153417.jpeg","https://dpmzos25m8ivg.cloudfront.net/Documentos/631/70569707455/6317056970745511092023153417.jpeg")</f>
        <v>https://dpmzos25m8ivg.cloudfront.net/Documentos/631/70569707455/6317056970745511092023153417.jpeg</v>
      </c>
      <c r="F7723" s="5" t="str">
        <f>HYPERLINK("https://dpmzos25m8ivg.cloudfront.net/Documentos/631/70569707455/6317056970745511092023153432.jpeg","https://dpmzos25m8ivg.cloudfront.net/Documentos/631/70569707455/6317056970745511092023153432.jpeg")</f>
        <v>https://dpmzos25m8ivg.cloudfront.net/Documentos/631/70569707455/6317056970745511092023153432.jpeg</v>
      </c>
      <c r="G7723" s="5" t="str">
        <f>HYPERLINK("https://dpmzos25m8ivg.cloudfront.net/Documentos/631/70569707455/6317056970745511092023153447.jpeg","https://dpmzos25m8ivg.cloudfront.net/Documentos/631/70569707455/6317056970745511092023153447.jpeg")</f>
        <v>https://dpmzos25m8ivg.cloudfront.net/Documentos/631/70569707455/6317056970745511092023153447.jpeg</v>
      </c>
      <c r="H7723" s="5" t="s">
        <v>16291</v>
      </c>
    </row>
    <row r="7724" spans="1:8" x14ac:dyDescent="0.25">
      <c r="A7724" s="2" t="s">
        <v>7752</v>
      </c>
      <c r="B7724" s="3" t="s">
        <v>23</v>
      </c>
      <c r="C7724" s="3"/>
      <c r="D7724" s="3"/>
      <c r="E7724" s="5" t="str">
        <f>HYPERLINK("https://dpmzos25m8ivg.cloudfront.net/Documentos/631/70576238287/6317057623828705092023140832.jpeg","https://dpmzos25m8ivg.cloudfront.net/Documentos/631/70576238287/6317057623828705092023140832.jpeg")</f>
        <v>https://dpmzos25m8ivg.cloudfront.net/Documentos/631/70576238287/6317057623828705092023140832.jpeg</v>
      </c>
      <c r="F7724" s="5" t="str">
        <f>HYPERLINK("https://dpmzos25m8ivg.cloudfront.net/Documentos/631/70576238287/6317057623828705092023140929.jpeg","https://dpmzos25m8ivg.cloudfront.net/Documentos/631/70576238287/6317057623828705092023140929.jpeg")</f>
        <v>https://dpmzos25m8ivg.cloudfront.net/Documentos/631/70576238287/6317057623828705092023140929.jpeg</v>
      </c>
      <c r="G7724" s="5" t="str">
        <f>HYPERLINK("https://dpmzos25m8ivg.cloudfront.net/Documentos/631/70576238287/6317057623828705092023140937.jpeg","https://dpmzos25m8ivg.cloudfront.net/Documentos/631/70576238287/6317057623828705092023140937.jpeg")</f>
        <v>https://dpmzos25m8ivg.cloudfront.net/Documentos/631/70576238287/6317057623828705092023140937.jpeg</v>
      </c>
      <c r="H7724" s="5" t="s">
        <v>16292</v>
      </c>
    </row>
    <row r="7725" spans="1:8" x14ac:dyDescent="0.25">
      <c r="A7725" s="2" t="s">
        <v>7753</v>
      </c>
      <c r="B7725" s="3"/>
      <c r="C7725" s="3"/>
      <c r="D7725" s="3"/>
      <c r="E7725" s="5" t="str">
        <f>HYPERLINK("https://dpmzos25m8ivg.cloudfront.net/Documentos/631/70580957101/6317058095710105092023170038.pdf","https://dpmzos25m8ivg.cloudfront.net/Documentos/631/70580957101/6317058095710105092023170038.pdf")</f>
        <v>https://dpmzos25m8ivg.cloudfront.net/Documentos/631/70580957101/6317058095710105092023170038.pdf</v>
      </c>
      <c r="F7725" s="5" t="str">
        <f>HYPERLINK("https://dpmzos25m8ivg.cloudfront.net/Documentos/631/70580957101/6317058095710105092023170052.pdf","https://dpmzos25m8ivg.cloudfront.net/Documentos/631/70580957101/6317058095710105092023170052.pdf")</f>
        <v>https://dpmzos25m8ivg.cloudfront.net/Documentos/631/70580957101/6317058095710105092023170052.pdf</v>
      </c>
      <c r="G7725" s="5" t="str">
        <f>HYPERLINK("https://dpmzos25m8ivg.cloudfront.net/Documentos/631/70580957101/6317058095710105092023170103.pdf","https://dpmzos25m8ivg.cloudfront.net/Documentos/631/70580957101/6317058095710105092023170103.pdf")</f>
        <v>https://dpmzos25m8ivg.cloudfront.net/Documentos/631/70580957101/6317058095710105092023170103.pdf</v>
      </c>
      <c r="H7725" s="5" t="s">
        <v>16293</v>
      </c>
    </row>
    <row r="7726" spans="1:8" x14ac:dyDescent="0.25">
      <c r="A7726" s="2" t="s">
        <v>7754</v>
      </c>
      <c r="B7726" s="3"/>
      <c r="C7726" s="3"/>
      <c r="D7726" s="3"/>
      <c r="E7726" s="5" t="str">
        <f>HYPERLINK("https://dpmzos25m8ivg.cloudfront.net/Documentos/631/70586844139/6317058684413911092023155218.pdf","https://dpmzos25m8ivg.cloudfront.net/Documentos/631/70586844139/6317058684413911092023155218.pdf")</f>
        <v>https://dpmzos25m8ivg.cloudfront.net/Documentos/631/70586844139/6317058684413911092023155218.pdf</v>
      </c>
      <c r="F7726" s="5" t="str">
        <f>HYPERLINK("https://dpmzos25m8ivg.cloudfront.net/Documentos/631/70586844139/6317058684413911092023155231.pdf","https://dpmzos25m8ivg.cloudfront.net/Documentos/631/70586844139/6317058684413911092023155231.pdf")</f>
        <v>https://dpmzos25m8ivg.cloudfront.net/Documentos/631/70586844139/6317058684413911092023155231.pdf</v>
      </c>
      <c r="G7726" s="5" t="str">
        <f>HYPERLINK("https://dpmzos25m8ivg.cloudfront.net/Documentos/631/70586844139/6317058684413911092023155243.pdf","https://dpmzos25m8ivg.cloudfront.net/Documentos/631/70586844139/6317058684413911092023155243.pdf")</f>
        <v>https://dpmzos25m8ivg.cloudfront.net/Documentos/631/70586844139/6317058684413911092023155243.pdf</v>
      </c>
      <c r="H7726" s="5" t="s">
        <v>16294</v>
      </c>
    </row>
    <row r="7727" spans="1:8" x14ac:dyDescent="0.25">
      <c r="A7727" s="2" t="s">
        <v>7755</v>
      </c>
      <c r="B7727" s="3"/>
      <c r="C7727" s="3"/>
      <c r="D7727" s="3"/>
      <c r="E7727" s="5" t="str">
        <f>HYPERLINK("https://dpmzos25m8ivg.cloudfront.net/Documentos/631/70588480177/6317058848017705092023215721.pdf","https://dpmzos25m8ivg.cloudfront.net/Documentos/631/70588480177/6317058848017705092023215721.pdf")</f>
        <v>https://dpmzos25m8ivg.cloudfront.net/Documentos/631/70588480177/6317058848017705092023215721.pdf</v>
      </c>
      <c r="F7727" s="5" t="str">
        <f>HYPERLINK("https://dpmzos25m8ivg.cloudfront.net/Documentos/631/70588480177/6317058848017705092023215736.pdf","https://dpmzos25m8ivg.cloudfront.net/Documentos/631/70588480177/6317058848017705092023215736.pdf")</f>
        <v>https://dpmzos25m8ivg.cloudfront.net/Documentos/631/70588480177/6317058848017705092023215736.pdf</v>
      </c>
      <c r="G7727" s="5" t="str">
        <f>HYPERLINK("https://dpmzos25m8ivg.cloudfront.net/Documentos/631/70588480177/6317058848017705092023215752.pdf","https://dpmzos25m8ivg.cloudfront.net/Documentos/631/70588480177/6317058848017705092023215752.pdf")</f>
        <v>https://dpmzos25m8ivg.cloudfront.net/Documentos/631/70588480177/6317058848017705092023215752.pdf</v>
      </c>
      <c r="H7727" s="5" t="s">
        <v>16295</v>
      </c>
    </row>
    <row r="7728" spans="1:8" x14ac:dyDescent="0.25">
      <c r="A7728" s="2" t="s">
        <v>7756</v>
      </c>
      <c r="B7728" s="3"/>
      <c r="C7728" s="3"/>
      <c r="D7728" s="3"/>
      <c r="E7728" s="5" t="str">
        <f>HYPERLINK("https://dpmzos25m8ivg.cloudfront.net/Documentos/631/70591068125/6317059106812510092023161526.pdf","https://dpmzos25m8ivg.cloudfront.net/Documentos/631/70591068125/6317059106812510092023161526.pdf")</f>
        <v>https://dpmzos25m8ivg.cloudfront.net/Documentos/631/70591068125/6317059106812510092023161526.pdf</v>
      </c>
      <c r="F7728" s="5" t="str">
        <f>HYPERLINK("https://dpmzos25m8ivg.cloudfront.net/Documentos/631/70591068125/6317059106812510092023161547.pdf","https://dpmzos25m8ivg.cloudfront.net/Documentos/631/70591068125/6317059106812510092023161547.pdf")</f>
        <v>https://dpmzos25m8ivg.cloudfront.net/Documentos/631/70591068125/6317059106812510092023161547.pdf</v>
      </c>
      <c r="G7728" s="5" t="str">
        <f>HYPERLINK("https://dpmzos25m8ivg.cloudfront.net/Documentos/631/70591068125/6317059106812510092023161559.pdf","https://dpmzos25m8ivg.cloudfront.net/Documentos/631/70591068125/6317059106812510092023161559.pdf")</f>
        <v>https://dpmzos25m8ivg.cloudfront.net/Documentos/631/70591068125/6317059106812510092023161559.pdf</v>
      </c>
      <c r="H7728" s="5" t="s">
        <v>16296</v>
      </c>
    </row>
    <row r="7729" spans="1:8" x14ac:dyDescent="0.25">
      <c r="A7729" s="2" t="s">
        <v>7757</v>
      </c>
      <c r="B7729" s="3" t="s">
        <v>312</v>
      </c>
      <c r="C7729" s="3"/>
      <c r="D7729" s="3"/>
      <c r="E7729" s="5" t="str">
        <f>HYPERLINK("https://dpmzos25m8ivg.cloudfront.net/Documentos/631/70591693186/6317059169318614092023164815.jpg","https://dpmzos25m8ivg.cloudfront.net/Documentos/631/70591693186/6317059169318614092023164815.jpg")</f>
        <v>https://dpmzos25m8ivg.cloudfront.net/Documentos/631/70591693186/6317059169318614092023164815.jpg</v>
      </c>
      <c r="F7729" s="5" t="str">
        <f>HYPERLINK("https://dpmzos25m8ivg.cloudfront.net/Documentos/631/70591693186/6317059169318614092023164824.jpg","https://dpmzos25m8ivg.cloudfront.net/Documentos/631/70591693186/6317059169318614092023164824.jpg")</f>
        <v>https://dpmzos25m8ivg.cloudfront.net/Documentos/631/70591693186/6317059169318614092023164824.jpg</v>
      </c>
      <c r="G7729" s="5" t="str">
        <f>HYPERLINK("https://dpmzos25m8ivg.cloudfront.net/Documentos/631/70591693186/6317059169318614092023164834.jpg","https://dpmzos25m8ivg.cloudfront.net/Documentos/631/70591693186/6317059169318614092023164834.jpg")</f>
        <v>https://dpmzos25m8ivg.cloudfront.net/Documentos/631/70591693186/6317059169318614092023164834.jpg</v>
      </c>
      <c r="H7729" s="5" t="s">
        <v>16297</v>
      </c>
    </row>
    <row r="7730" spans="1:8" x14ac:dyDescent="0.25">
      <c r="A7730" s="2" t="s">
        <v>7758</v>
      </c>
      <c r="B7730" s="3"/>
      <c r="C7730" s="3"/>
      <c r="D7730" s="3"/>
      <c r="E7730" s="5" t="str">
        <f>HYPERLINK("https://dpmzos25m8ivg.cloudfront.net/Documentos/631/70596410174/6317059641017411092023091534.pdf","https://dpmzos25m8ivg.cloudfront.net/Documentos/631/70596410174/6317059641017411092023091534.pdf")</f>
        <v>https://dpmzos25m8ivg.cloudfront.net/Documentos/631/70596410174/6317059641017411092023091534.pdf</v>
      </c>
      <c r="F7730" s="5" t="str">
        <f>HYPERLINK("https://dpmzos25m8ivg.cloudfront.net/Documentos/631/70596410174/6317059641017411092023091545.pdf","https://dpmzos25m8ivg.cloudfront.net/Documentos/631/70596410174/6317059641017411092023091545.pdf")</f>
        <v>https://dpmzos25m8ivg.cloudfront.net/Documentos/631/70596410174/6317059641017411092023091545.pdf</v>
      </c>
      <c r="G7730" s="5" t="str">
        <f>HYPERLINK("https://dpmzos25m8ivg.cloudfront.net/Documentos/631/70596410174/6317059641017411092023091554.pdf","https://dpmzos25m8ivg.cloudfront.net/Documentos/631/70596410174/6317059641017411092023091554.pdf")</f>
        <v>https://dpmzos25m8ivg.cloudfront.net/Documentos/631/70596410174/6317059641017411092023091554.pdf</v>
      </c>
      <c r="H7730" s="5" t="s">
        <v>16298</v>
      </c>
    </row>
    <row r="7731" spans="1:8" x14ac:dyDescent="0.25">
      <c r="A7731" s="2" t="s">
        <v>7759</v>
      </c>
      <c r="B7731" s="3"/>
      <c r="C7731" s="3"/>
      <c r="D7731" s="3"/>
      <c r="E7731" s="5" t="str">
        <f>HYPERLINK("https://dpmzos25m8ivg.cloudfront.net/Documentos/631/70596454465/6317059645446513092023163050.pdf","https://dpmzos25m8ivg.cloudfront.net/Documentos/631/70596454465/6317059645446513092023163050.pdf")</f>
        <v>https://dpmzos25m8ivg.cloudfront.net/Documentos/631/70596454465/6317059645446513092023163050.pdf</v>
      </c>
      <c r="F7731" s="5" t="str">
        <f>HYPERLINK("https://dpmzos25m8ivg.cloudfront.net/Documentos/631/70596454465/6317059645446513092023163057.pdf","https://dpmzos25m8ivg.cloudfront.net/Documentos/631/70596454465/6317059645446513092023163057.pdf")</f>
        <v>https://dpmzos25m8ivg.cloudfront.net/Documentos/631/70596454465/6317059645446513092023163057.pdf</v>
      </c>
      <c r="G7731" s="5" t="str">
        <f>HYPERLINK("https://dpmzos25m8ivg.cloudfront.net/Documentos/631/70596454465/6317059645446513092023163105.pdf","https://dpmzos25m8ivg.cloudfront.net/Documentos/631/70596454465/6317059645446513092023163105.pdf")</f>
        <v>https://dpmzos25m8ivg.cloudfront.net/Documentos/631/70596454465/6317059645446513092023163105.pdf</v>
      </c>
      <c r="H7731" s="5" t="s">
        <v>16299</v>
      </c>
    </row>
    <row r="7732" spans="1:8" x14ac:dyDescent="0.25">
      <c r="A7732" s="2" t="s">
        <v>7760</v>
      </c>
      <c r="B7732" s="3"/>
      <c r="C7732" s="3"/>
      <c r="D7732" s="3"/>
      <c r="E7732" s="5" t="str">
        <f>HYPERLINK("https://dpmzos25m8ivg.cloudfront.net/Documentos/631/70599656450/6317059965645011092023170010.pdf","https://dpmzos25m8ivg.cloudfront.net/Documentos/631/70599656450/6317059965645011092023170010.pdf")</f>
        <v>https://dpmzos25m8ivg.cloudfront.net/Documentos/631/70599656450/6317059965645011092023170010.pdf</v>
      </c>
      <c r="F7732" s="5" t="str">
        <f>HYPERLINK("https://dpmzos25m8ivg.cloudfront.net/Documentos/631/70599656450/6317059965645011092023170048.pdf","https://dpmzos25m8ivg.cloudfront.net/Documentos/631/70599656450/6317059965645011092023170048.pdf")</f>
        <v>https://dpmzos25m8ivg.cloudfront.net/Documentos/631/70599656450/6317059965645011092023170048.pdf</v>
      </c>
      <c r="G7732" s="5" t="str">
        <f>HYPERLINK("https://dpmzos25m8ivg.cloudfront.net/Documentos/631/70599656450/6317059965645011092023170058.pdf","https://dpmzos25m8ivg.cloudfront.net/Documentos/631/70599656450/6317059965645011092023170058.pdf")</f>
        <v>https://dpmzos25m8ivg.cloudfront.net/Documentos/631/70599656450/6317059965645011092023170058.pdf</v>
      </c>
      <c r="H7732" s="5" t="s">
        <v>16300</v>
      </c>
    </row>
    <row r="7733" spans="1:8" x14ac:dyDescent="0.25">
      <c r="A7733" s="2" t="s">
        <v>7761</v>
      </c>
      <c r="B7733" s="3"/>
      <c r="C7733" s="3"/>
      <c r="D7733" s="3"/>
      <c r="E7733" s="5" t="str">
        <f>HYPERLINK("https://dpmzos25m8ivg.cloudfront.net/Documentos/631/70601651189/6317060165118911092023154705.pdf","https://dpmzos25m8ivg.cloudfront.net/Documentos/631/70601651189/6317060165118911092023154705.pdf")</f>
        <v>https://dpmzos25m8ivg.cloudfront.net/Documentos/631/70601651189/6317060165118911092023154705.pdf</v>
      </c>
      <c r="F7733" s="5" t="str">
        <f>HYPERLINK("https://dpmzos25m8ivg.cloudfront.net/Documentos/631/70601651189/6317060165118911092023154712.pdf","https://dpmzos25m8ivg.cloudfront.net/Documentos/631/70601651189/6317060165118911092023154712.pdf")</f>
        <v>https://dpmzos25m8ivg.cloudfront.net/Documentos/631/70601651189/6317060165118911092023154712.pdf</v>
      </c>
      <c r="G7733" s="5" t="str">
        <f>HYPERLINK("https://dpmzos25m8ivg.cloudfront.net/Documentos/631/70601651189/6317060165118911092023154721.pdf","https://dpmzos25m8ivg.cloudfront.net/Documentos/631/70601651189/6317060165118911092023154721.pdf")</f>
        <v>https://dpmzos25m8ivg.cloudfront.net/Documentos/631/70601651189/6317060165118911092023154721.pdf</v>
      </c>
      <c r="H7733" s="5" t="s">
        <v>16301</v>
      </c>
    </row>
    <row r="7734" spans="1:8" x14ac:dyDescent="0.25">
      <c r="A7734" s="2" t="s">
        <v>7762</v>
      </c>
      <c r="B7734" s="3"/>
      <c r="C7734" s="3"/>
      <c r="D7734" s="3"/>
      <c r="E7734" s="5" t="str">
        <f>HYPERLINK("https://dpmzos25m8ivg.cloudfront.net/Documentos/631/70605035440/6317060503544011092023160340.pdf","https://dpmzos25m8ivg.cloudfront.net/Documentos/631/70605035440/6317060503544011092023160340.pdf")</f>
        <v>https://dpmzos25m8ivg.cloudfront.net/Documentos/631/70605035440/6317060503544011092023160340.pdf</v>
      </c>
      <c r="F7734" s="5" t="str">
        <f>HYPERLINK("https://dpmzos25m8ivg.cloudfront.net/Documentos/631/70605035440/6317060503544011092023160441.pdf","https://dpmzos25m8ivg.cloudfront.net/Documentos/631/70605035440/6317060503544011092023160441.pdf")</f>
        <v>https://dpmzos25m8ivg.cloudfront.net/Documentos/631/70605035440/6317060503544011092023160441.pdf</v>
      </c>
      <c r="G7734" s="5" t="str">
        <f>HYPERLINK("https://dpmzos25m8ivg.cloudfront.net/Documentos/631/70605035440/6317060503544011092023160624.pdf","https://dpmzos25m8ivg.cloudfront.net/Documentos/631/70605035440/6317060503544011092023160624.pdf")</f>
        <v>https://dpmzos25m8ivg.cloudfront.net/Documentos/631/70605035440/6317060503544011092023160624.pdf</v>
      </c>
      <c r="H7734" s="5" t="s">
        <v>16302</v>
      </c>
    </row>
    <row r="7735" spans="1:8" x14ac:dyDescent="0.25">
      <c r="A7735" s="2" t="s">
        <v>7763</v>
      </c>
      <c r="B7735" s="3" t="s">
        <v>308</v>
      </c>
      <c r="C7735" s="3"/>
      <c r="D7735" s="3"/>
      <c r="E7735" s="5" t="str">
        <f>HYPERLINK("https://dpmzos25m8ivg.cloudfront.net/Documentos/631/70618761403/6317061876140310092023231617.pdf","https://dpmzos25m8ivg.cloudfront.net/Documentos/631/70618761403/6317061876140310092023231617.pdf")</f>
        <v>https://dpmzos25m8ivg.cloudfront.net/Documentos/631/70618761403/6317061876140310092023231617.pdf</v>
      </c>
      <c r="F7735" s="5" t="str">
        <f>HYPERLINK("https://dpmzos25m8ivg.cloudfront.net/Documentos/631/70618761403/6317061876140310092023231634.pdf","https://dpmzos25m8ivg.cloudfront.net/Documentos/631/70618761403/6317061876140310092023231634.pdf")</f>
        <v>https://dpmzos25m8ivg.cloudfront.net/Documentos/631/70618761403/6317061876140310092023231634.pdf</v>
      </c>
      <c r="G7735" s="5" t="str">
        <f>HYPERLINK("https://dpmzos25m8ivg.cloudfront.net/Documentos/631/70618761403/6317061876140310092023231649.pdf","https://dpmzos25m8ivg.cloudfront.net/Documentos/631/70618761403/6317061876140310092023231649.pdf")</f>
        <v>https://dpmzos25m8ivg.cloudfront.net/Documentos/631/70618761403/6317061876140310092023231649.pdf</v>
      </c>
      <c r="H7735" s="5" t="s">
        <v>16303</v>
      </c>
    </row>
    <row r="7736" spans="1:8" x14ac:dyDescent="0.25">
      <c r="A7736" s="2" t="s">
        <v>7764</v>
      </c>
      <c r="B7736" s="3"/>
      <c r="C7736" s="3"/>
      <c r="D7736" s="3"/>
      <c r="E7736" s="5" t="str">
        <f>HYPERLINK("https://dpmzos25m8ivg.cloudfront.net/Documentos/631/70618836500/6317061883650006092023120921.pdf","https://dpmzos25m8ivg.cloudfront.net/Documentos/631/70618836500/6317061883650006092023120921.pdf")</f>
        <v>https://dpmzos25m8ivg.cloudfront.net/Documentos/631/70618836500/6317061883650006092023120921.pdf</v>
      </c>
      <c r="F7736" s="5" t="str">
        <f>HYPERLINK("https://dpmzos25m8ivg.cloudfront.net/Documentos/631/70618836500/6317061883650006092023120940.pdf","https://dpmzos25m8ivg.cloudfront.net/Documentos/631/70618836500/6317061883650006092023120940.pdf")</f>
        <v>https://dpmzos25m8ivg.cloudfront.net/Documentos/631/70618836500/6317061883650006092023120940.pdf</v>
      </c>
      <c r="G7736" s="5" t="str">
        <f>HYPERLINK("https://dpmzos25m8ivg.cloudfront.net/Documentos/631/70618836500/6317061883650006092023124208.pdf","https://dpmzos25m8ivg.cloudfront.net/Documentos/631/70618836500/6317061883650006092023124208.pdf")</f>
        <v>https://dpmzos25m8ivg.cloudfront.net/Documentos/631/70618836500/6317061883650006092023124208.pdf</v>
      </c>
      <c r="H7736" s="5" t="s">
        <v>16304</v>
      </c>
    </row>
    <row r="7737" spans="1:8" x14ac:dyDescent="0.25">
      <c r="A7737" s="2" t="s">
        <v>7765</v>
      </c>
      <c r="B7737" s="3" t="s">
        <v>90</v>
      </c>
      <c r="C7737" s="3"/>
      <c r="D7737" s="3"/>
      <c r="E7737" s="5" t="str">
        <f>HYPERLINK("https://dpmzos25m8ivg.cloudfront.net/Documentos/631/70622924192/6317062292419206092023135445.pdf","https://dpmzos25m8ivg.cloudfront.net/Documentos/631/70622924192/6317062292419206092023135445.pdf")</f>
        <v>https://dpmzos25m8ivg.cloudfront.net/Documentos/631/70622924192/6317062292419206092023135445.pdf</v>
      </c>
      <c r="F7737" s="5" t="str">
        <f>HYPERLINK("https://dpmzos25m8ivg.cloudfront.net/Documentos/631/70622924192/6317062292419206092023135455.pdf","https://dpmzos25m8ivg.cloudfront.net/Documentos/631/70622924192/6317062292419206092023135455.pdf")</f>
        <v>https://dpmzos25m8ivg.cloudfront.net/Documentos/631/70622924192/6317062292419206092023135455.pdf</v>
      </c>
      <c r="G7737" s="5" t="str">
        <f>HYPERLINK("https://dpmzos25m8ivg.cloudfront.net/Documentos/631/70622924192/6317062292419206092023140152.pdf","https://dpmzos25m8ivg.cloudfront.net/Documentos/631/70622924192/6317062292419206092023140152.pdf")</f>
        <v>https://dpmzos25m8ivg.cloudfront.net/Documentos/631/70622924192/6317062292419206092023140152.pdf</v>
      </c>
      <c r="H7737" s="5" t="s">
        <v>16305</v>
      </c>
    </row>
    <row r="7738" spans="1:8" x14ac:dyDescent="0.25">
      <c r="A7738" s="2" t="s">
        <v>7766</v>
      </c>
      <c r="B7738" s="3"/>
      <c r="C7738" s="3"/>
      <c r="D7738" s="3"/>
      <c r="E7738" s="5" t="str">
        <f>HYPERLINK("https://dpmzos25m8ivg.cloudfront.net/Documentos/631/70623820439/6317062382043905092023224410.pdf","https://dpmzos25m8ivg.cloudfront.net/Documentos/631/70623820439/6317062382043905092023224410.pdf")</f>
        <v>https://dpmzos25m8ivg.cloudfront.net/Documentos/631/70623820439/6317062382043905092023224410.pdf</v>
      </c>
      <c r="F7738" s="5" t="str">
        <f>HYPERLINK("https://dpmzos25m8ivg.cloudfront.net/Documentos/631/70623820439/6317062382043905092023224441.pdf","https://dpmzos25m8ivg.cloudfront.net/Documentos/631/70623820439/6317062382043905092023224441.pdf")</f>
        <v>https://dpmzos25m8ivg.cloudfront.net/Documentos/631/70623820439/6317062382043905092023224441.pdf</v>
      </c>
      <c r="G7738" s="5" t="str">
        <f>HYPERLINK("https://dpmzos25m8ivg.cloudfront.net/Documentos/631/70623820439/6317062382043905092023224426.pdf","https://dpmzos25m8ivg.cloudfront.net/Documentos/631/70623820439/6317062382043905092023224426.pdf")</f>
        <v>https://dpmzos25m8ivg.cloudfront.net/Documentos/631/70623820439/6317062382043905092023224426.pdf</v>
      </c>
      <c r="H7738" s="5" t="s">
        <v>16306</v>
      </c>
    </row>
    <row r="7739" spans="1:8" x14ac:dyDescent="0.25">
      <c r="A7739" s="2" t="s">
        <v>7767</v>
      </c>
      <c r="B7739" s="3"/>
      <c r="C7739" s="3"/>
      <c r="D7739" s="3"/>
      <c r="E7739" s="5" t="str">
        <f>HYPERLINK("https://dpmzos25m8ivg.cloudfront.net/Documentos/631/70627039405/6317062703940512092023230632.jpeg","https://dpmzos25m8ivg.cloudfront.net/Documentos/631/70627039405/6317062703940512092023230632.jpeg")</f>
        <v>https://dpmzos25m8ivg.cloudfront.net/Documentos/631/70627039405/6317062703940512092023230632.jpeg</v>
      </c>
      <c r="F7739" s="5" t="str">
        <f>HYPERLINK("https://dpmzos25m8ivg.cloudfront.net/Documentos/631/70627039405/6317062703940512092023230640.jpeg","https://dpmzos25m8ivg.cloudfront.net/Documentos/631/70627039405/6317062703940512092023230640.jpeg")</f>
        <v>https://dpmzos25m8ivg.cloudfront.net/Documentos/631/70627039405/6317062703940512092023230640.jpeg</v>
      </c>
      <c r="G7739" s="5" t="str">
        <f>HYPERLINK("https://dpmzos25m8ivg.cloudfront.net/Documentos/631/70627039405/6317062703940512092023230648.jpeg","https://dpmzos25m8ivg.cloudfront.net/Documentos/631/70627039405/6317062703940512092023230648.jpeg")</f>
        <v>https://dpmzos25m8ivg.cloudfront.net/Documentos/631/70627039405/6317062703940512092023230648.jpeg</v>
      </c>
      <c r="H7739" s="5" t="s">
        <v>16307</v>
      </c>
    </row>
    <row r="7740" spans="1:8" x14ac:dyDescent="0.25">
      <c r="A7740" s="2" t="s">
        <v>7768</v>
      </c>
      <c r="B7740" s="3" t="s">
        <v>23</v>
      </c>
      <c r="C7740" s="3"/>
      <c r="D7740" s="3"/>
      <c r="E7740" s="5" t="str">
        <f>HYPERLINK("https://dpmzos25m8ivg.cloudfront.net/Documentos/631/70627233473/6317062723347311092023131623.pdf","https://dpmzos25m8ivg.cloudfront.net/Documentos/631/70627233473/6317062723347311092023131623.pdf")</f>
        <v>https://dpmzos25m8ivg.cloudfront.net/Documentos/631/70627233473/6317062723347311092023131623.pdf</v>
      </c>
      <c r="F7740" s="5" t="str">
        <f>HYPERLINK("https://dpmzos25m8ivg.cloudfront.net/Documentos/631/70627233473/6317062723347311092023131656.pdf","https://dpmzos25m8ivg.cloudfront.net/Documentos/631/70627233473/6317062723347311092023131656.pdf")</f>
        <v>https://dpmzos25m8ivg.cloudfront.net/Documentos/631/70627233473/6317062723347311092023131656.pdf</v>
      </c>
      <c r="G7740" s="5" t="str">
        <f>HYPERLINK("https://dpmzos25m8ivg.cloudfront.net/Documentos/631/70627233473/6317062723347311092023131711.pdf","https://dpmzos25m8ivg.cloudfront.net/Documentos/631/70627233473/6317062723347311092023131711.pdf")</f>
        <v>https://dpmzos25m8ivg.cloudfront.net/Documentos/631/70627233473/6317062723347311092023131711.pdf</v>
      </c>
      <c r="H7740" s="5" t="s">
        <v>16308</v>
      </c>
    </row>
    <row r="7741" spans="1:8" x14ac:dyDescent="0.25">
      <c r="A7741" s="2" t="s">
        <v>7769</v>
      </c>
      <c r="B7741" s="3"/>
      <c r="C7741" s="3"/>
      <c r="D7741" s="3"/>
      <c r="E7741" s="5" t="str">
        <f>HYPERLINK("https://dpmzos25m8ivg.cloudfront.net/Documentos/631/70627780105/6317062778010511092023134952.pdf","https://dpmzos25m8ivg.cloudfront.net/Documentos/631/70627780105/6317062778010511092023134952.pdf")</f>
        <v>https://dpmzos25m8ivg.cloudfront.net/Documentos/631/70627780105/6317062778010511092023134952.pdf</v>
      </c>
      <c r="F7741" s="5" t="str">
        <f>HYPERLINK("https://dpmzos25m8ivg.cloudfront.net/Documentos/631/70627780105/6317062778010511092023135010.pdf","https://dpmzos25m8ivg.cloudfront.net/Documentos/631/70627780105/6317062778010511092023135010.pdf")</f>
        <v>https://dpmzos25m8ivg.cloudfront.net/Documentos/631/70627780105/6317062778010511092023135010.pdf</v>
      </c>
      <c r="G7741" s="5" t="str">
        <f>HYPERLINK("https://dpmzos25m8ivg.cloudfront.net/Documentos/631/70627780105/6317062778010511092023135026.pdf","https://dpmzos25m8ivg.cloudfront.net/Documentos/631/70627780105/6317062778010511092023135026.pdf")</f>
        <v>https://dpmzos25m8ivg.cloudfront.net/Documentos/631/70627780105/6317062778010511092023135026.pdf</v>
      </c>
      <c r="H7741" s="5" t="s">
        <v>16309</v>
      </c>
    </row>
    <row r="7742" spans="1:8" x14ac:dyDescent="0.25">
      <c r="A7742" s="2" t="s">
        <v>7770</v>
      </c>
      <c r="B7742" s="3"/>
      <c r="C7742" s="3"/>
      <c r="D7742" s="3"/>
      <c r="E7742" s="5" t="str">
        <f>HYPERLINK("https://dpmzos25m8ivg.cloudfront.net/Documentos/631/70629307334/6317062930733411092023094248.pdf","https://dpmzos25m8ivg.cloudfront.net/Documentos/631/70629307334/6317062930733411092023094248.pdf")</f>
        <v>https://dpmzos25m8ivg.cloudfront.net/Documentos/631/70629307334/6317062930733411092023094248.pdf</v>
      </c>
      <c r="F7742" s="5" t="str">
        <f>HYPERLINK("https://dpmzos25m8ivg.cloudfront.net/Documentos/631/70629307334/6317062930733411092023094301.pdf","https://dpmzos25m8ivg.cloudfront.net/Documentos/631/70629307334/6317062930733411092023094301.pdf")</f>
        <v>https://dpmzos25m8ivg.cloudfront.net/Documentos/631/70629307334/6317062930733411092023094301.pdf</v>
      </c>
      <c r="G7742" s="5" t="str">
        <f>HYPERLINK("https://dpmzos25m8ivg.cloudfront.net/Documentos/631/70629307334/6317062930733411092023094315.pdf","https://dpmzos25m8ivg.cloudfront.net/Documentos/631/70629307334/6317062930733411092023094315.pdf")</f>
        <v>https://dpmzos25m8ivg.cloudfront.net/Documentos/631/70629307334/6317062930733411092023094315.pdf</v>
      </c>
      <c r="H7742" s="5" t="s">
        <v>16310</v>
      </c>
    </row>
    <row r="7743" spans="1:8" x14ac:dyDescent="0.25">
      <c r="A7743" s="2" t="s">
        <v>7771</v>
      </c>
      <c r="B7743" s="3"/>
      <c r="C7743" s="3"/>
      <c r="D7743" s="3"/>
      <c r="E7743" s="5" t="str">
        <f>HYPERLINK("https://dpmzos25m8ivg.cloudfront.net/Documentos/631/70630562121/6317063056212106092023104850.pdf","https://dpmzos25m8ivg.cloudfront.net/Documentos/631/70630562121/6317063056212106092023104850.pdf")</f>
        <v>https://dpmzos25m8ivg.cloudfront.net/Documentos/631/70630562121/6317063056212106092023104850.pdf</v>
      </c>
      <c r="F7743" s="5" t="str">
        <f>HYPERLINK("https://dpmzos25m8ivg.cloudfront.net/Documentos/631/70630562121/6317063056212106092023104907.pdf","https://dpmzos25m8ivg.cloudfront.net/Documentos/631/70630562121/6317063056212106092023104907.pdf")</f>
        <v>https://dpmzos25m8ivg.cloudfront.net/Documentos/631/70630562121/6317063056212106092023104907.pdf</v>
      </c>
      <c r="G7743" s="5" t="str">
        <f>HYPERLINK("https://dpmzos25m8ivg.cloudfront.net/Documentos/631/70630562121/6317063056212106092023104922.pdf","https://dpmzos25m8ivg.cloudfront.net/Documentos/631/70630562121/6317063056212106092023104922.pdf")</f>
        <v>https://dpmzos25m8ivg.cloudfront.net/Documentos/631/70630562121/6317063056212106092023104922.pdf</v>
      </c>
      <c r="H7743" s="5" t="s">
        <v>16311</v>
      </c>
    </row>
    <row r="7744" spans="1:8" x14ac:dyDescent="0.25">
      <c r="A7744" s="2" t="s">
        <v>7772</v>
      </c>
      <c r="B7744" s="3"/>
      <c r="C7744" s="3"/>
      <c r="D7744" s="3"/>
      <c r="E7744" s="5" t="str">
        <f>HYPERLINK("https://dpmzos25m8ivg.cloudfront.net/Documentos/631/70634023152/6317063402315211092023125640.pdf","https://dpmzos25m8ivg.cloudfront.net/Documentos/631/70634023152/6317063402315211092023125640.pdf")</f>
        <v>https://dpmzos25m8ivg.cloudfront.net/Documentos/631/70634023152/6317063402315211092023125640.pdf</v>
      </c>
      <c r="F7744" s="5" t="str">
        <f>HYPERLINK("https://dpmzos25m8ivg.cloudfront.net/Documentos/631/70634023152/6317063402315211092023125649.pdf","https://dpmzos25m8ivg.cloudfront.net/Documentos/631/70634023152/6317063402315211092023125649.pdf")</f>
        <v>https://dpmzos25m8ivg.cloudfront.net/Documentos/631/70634023152/6317063402315211092023125649.pdf</v>
      </c>
      <c r="G7744" s="5" t="str">
        <f>HYPERLINK("https://dpmzos25m8ivg.cloudfront.net/Documentos/631/70634023152/6317063402315211092023125657.pdf","https://dpmzos25m8ivg.cloudfront.net/Documentos/631/70634023152/6317063402315211092023125657.pdf")</f>
        <v>https://dpmzos25m8ivg.cloudfront.net/Documentos/631/70634023152/6317063402315211092023125657.pdf</v>
      </c>
      <c r="H7744" s="5" t="s">
        <v>16312</v>
      </c>
    </row>
    <row r="7745" spans="1:8" x14ac:dyDescent="0.25">
      <c r="A7745" s="2" t="s">
        <v>7773</v>
      </c>
      <c r="B7745" s="3" t="s">
        <v>312</v>
      </c>
      <c r="C7745" s="3"/>
      <c r="D7745" s="3"/>
      <c r="E7745" s="5" t="str">
        <f>HYPERLINK("https://dpmzos25m8ivg.cloudfront.net/Documentos/631/70648802450/6317064880245011092023150945.jpeg","https://dpmzos25m8ivg.cloudfront.net/Documentos/631/70648802450/6317064880245011092023150945.jpeg")</f>
        <v>https://dpmzos25m8ivg.cloudfront.net/Documentos/631/70648802450/6317064880245011092023150945.jpeg</v>
      </c>
      <c r="F7745" s="5" t="str">
        <f>HYPERLINK("https://dpmzos25m8ivg.cloudfront.net/Documentos/631/70648802450/6317064880245011092023150955.jpeg","https://dpmzos25m8ivg.cloudfront.net/Documentos/631/70648802450/6317064880245011092023150955.jpeg")</f>
        <v>https://dpmzos25m8ivg.cloudfront.net/Documentos/631/70648802450/6317064880245011092023150955.jpeg</v>
      </c>
      <c r="G7745" s="5" t="str">
        <f>HYPERLINK("https://dpmzos25m8ivg.cloudfront.net/Documentos/631/70648802450/6317064880245011092023150925.jpg","https://dpmzos25m8ivg.cloudfront.net/Documentos/631/70648802450/6317064880245011092023150925.jpg")</f>
        <v>https://dpmzos25m8ivg.cloudfront.net/Documentos/631/70648802450/6317064880245011092023150925.jpg</v>
      </c>
      <c r="H7745" s="5" t="s">
        <v>16313</v>
      </c>
    </row>
    <row r="7746" spans="1:8" x14ac:dyDescent="0.25">
      <c r="A7746" s="2" t="s">
        <v>7774</v>
      </c>
      <c r="B7746" s="3"/>
      <c r="C7746" s="3"/>
      <c r="D7746" s="3"/>
      <c r="E7746" s="5" t="str">
        <f>HYPERLINK("https://dpmzos25m8ivg.cloudfront.net/Documentos/631/70658928163/6317065892816313092023090658.pdf","https://dpmzos25m8ivg.cloudfront.net/Documentos/631/70658928163/6317065892816313092023090658.pdf")</f>
        <v>https://dpmzos25m8ivg.cloudfront.net/Documentos/631/70658928163/6317065892816313092023090658.pdf</v>
      </c>
      <c r="F7746" s="5" t="str">
        <f>HYPERLINK("https://dpmzos25m8ivg.cloudfront.net/Documentos/631/70658928163/6317065892816313092023090707.pdf","https://dpmzos25m8ivg.cloudfront.net/Documentos/631/70658928163/6317065892816313092023090707.pdf")</f>
        <v>https://dpmzos25m8ivg.cloudfront.net/Documentos/631/70658928163/6317065892816313092023090707.pdf</v>
      </c>
      <c r="G7746" s="5" t="str">
        <f>HYPERLINK("https://dpmzos25m8ivg.cloudfront.net/Documentos/631/70658928163/6317065892816313092023090716.pdf","https://dpmzos25m8ivg.cloudfront.net/Documentos/631/70658928163/6317065892816313092023090716.pdf")</f>
        <v>https://dpmzos25m8ivg.cloudfront.net/Documentos/631/70658928163/6317065892816313092023090716.pdf</v>
      </c>
      <c r="H7746" s="5" t="s">
        <v>16314</v>
      </c>
    </row>
    <row r="7747" spans="1:8" x14ac:dyDescent="0.25">
      <c r="A7747" s="2" t="s">
        <v>7775</v>
      </c>
      <c r="B7747" s="3"/>
      <c r="C7747" s="3"/>
      <c r="D7747" s="3"/>
      <c r="E7747" s="5" t="str">
        <f>HYPERLINK("https://dpmzos25m8ivg.cloudfront.net/Documentos/631/70662366450/6317066236645005092023190748.jpg","https://dpmzos25m8ivg.cloudfront.net/Documentos/631/70662366450/6317066236645005092023190748.jpg")</f>
        <v>https://dpmzos25m8ivg.cloudfront.net/Documentos/631/70662366450/6317066236645005092023190748.jpg</v>
      </c>
      <c r="F7747" s="5" t="str">
        <f>HYPERLINK("https://dpmzos25m8ivg.cloudfront.net/Documentos/631/70662366450/6317066236645005092023190808.jpg","https://dpmzos25m8ivg.cloudfront.net/Documentos/631/70662366450/6317066236645005092023190808.jpg")</f>
        <v>https://dpmzos25m8ivg.cloudfront.net/Documentos/631/70662366450/6317066236645005092023190808.jpg</v>
      </c>
      <c r="G7747" s="5" t="str">
        <f>HYPERLINK("https://dpmzos25m8ivg.cloudfront.net/Documentos/631/70662366450/6317066236645005092023190827.jpg","https://dpmzos25m8ivg.cloudfront.net/Documentos/631/70662366450/6317066236645005092023190827.jpg")</f>
        <v>https://dpmzos25m8ivg.cloudfront.net/Documentos/631/70662366450/6317066236645005092023190827.jpg</v>
      </c>
      <c r="H7747" s="5" t="s">
        <v>16315</v>
      </c>
    </row>
    <row r="7748" spans="1:8" x14ac:dyDescent="0.25">
      <c r="A7748" s="2" t="s">
        <v>7776</v>
      </c>
      <c r="B7748" s="3"/>
      <c r="C7748" s="3"/>
      <c r="D7748" s="3"/>
      <c r="E7748" s="5" t="str">
        <f>HYPERLINK("https://dpmzos25m8ivg.cloudfront.net/Documentos/631/70680965149/6317068096514909092023172146.pdf","https://dpmzos25m8ivg.cloudfront.net/Documentos/631/70680965149/6317068096514909092023172146.pdf")</f>
        <v>https://dpmzos25m8ivg.cloudfront.net/Documentos/631/70680965149/6317068096514909092023172146.pdf</v>
      </c>
      <c r="F7748" s="5" t="str">
        <f>HYPERLINK("https://dpmzos25m8ivg.cloudfront.net/Documentos/631/70680965149/6317068096514909092023172305.pdf","https://dpmzos25m8ivg.cloudfront.net/Documentos/631/70680965149/6317068096514909092023172305.pdf")</f>
        <v>https://dpmzos25m8ivg.cloudfront.net/Documentos/631/70680965149/6317068096514909092023172305.pdf</v>
      </c>
      <c r="G7748" s="5" t="str">
        <f>HYPERLINK("https://dpmzos25m8ivg.cloudfront.net/Documentos/631/70680965149/6317068096514909092023172333.pdf","https://dpmzos25m8ivg.cloudfront.net/Documentos/631/70680965149/6317068096514909092023172333.pdf")</f>
        <v>https://dpmzos25m8ivg.cloudfront.net/Documentos/631/70680965149/6317068096514909092023172333.pdf</v>
      </c>
      <c r="H7748" s="5" t="s">
        <v>16316</v>
      </c>
    </row>
    <row r="7749" spans="1:8" x14ac:dyDescent="0.25">
      <c r="A7749" s="2" t="s">
        <v>7777</v>
      </c>
      <c r="B7749" s="3"/>
      <c r="C7749" s="3"/>
      <c r="D7749" s="3"/>
      <c r="E7749" s="5" t="str">
        <f>HYPERLINK("https://dpmzos25m8ivg.cloudfront.net/Documentos/631/70695229168/6317069522916808092023110612.pdf","https://dpmzos25m8ivg.cloudfront.net/Documentos/631/70695229168/6317069522916808092023110612.pdf")</f>
        <v>https://dpmzos25m8ivg.cloudfront.net/Documentos/631/70695229168/6317069522916808092023110612.pdf</v>
      </c>
      <c r="F7749" s="5" t="str">
        <f>HYPERLINK("https://dpmzos25m8ivg.cloudfront.net/Documentos/631/70695229168/6317069522916808092023110644.pdf","https://dpmzos25m8ivg.cloudfront.net/Documentos/631/70695229168/6317069522916808092023110644.pdf")</f>
        <v>https://dpmzos25m8ivg.cloudfront.net/Documentos/631/70695229168/6317069522916808092023110644.pdf</v>
      </c>
      <c r="G7749" s="5" t="str">
        <f>HYPERLINK("https://dpmzos25m8ivg.cloudfront.net/Documentos/631/70695229168/6317069522916808092023110730.pdf","https://dpmzos25m8ivg.cloudfront.net/Documentos/631/70695229168/6317069522916808092023110730.pdf")</f>
        <v>https://dpmzos25m8ivg.cloudfront.net/Documentos/631/70695229168/6317069522916808092023110730.pdf</v>
      </c>
      <c r="H7749" s="5" t="s">
        <v>16317</v>
      </c>
    </row>
    <row r="7750" spans="1:8" x14ac:dyDescent="0.25">
      <c r="A7750" s="2" t="s">
        <v>7778</v>
      </c>
      <c r="B7750" s="3"/>
      <c r="C7750" s="3"/>
      <c r="D7750" s="3"/>
      <c r="E7750" s="5" t="str">
        <f>HYPERLINK("https://dpmzos25m8ivg.cloudfront.net/Documentos/631/70702041408/6317070204140811092023150452.jpeg","https://dpmzos25m8ivg.cloudfront.net/Documentos/631/70702041408/6317070204140811092023150452.jpeg")</f>
        <v>https://dpmzos25m8ivg.cloudfront.net/Documentos/631/70702041408/6317070204140811092023150452.jpeg</v>
      </c>
      <c r="F7750" s="5" t="str">
        <f>HYPERLINK("https://dpmzos25m8ivg.cloudfront.net/Documentos/631/70702041408/6317070204140811092023150501.jpeg","https://dpmzos25m8ivg.cloudfront.net/Documentos/631/70702041408/6317070204140811092023150501.jpeg")</f>
        <v>https://dpmzos25m8ivg.cloudfront.net/Documentos/631/70702041408/6317070204140811092023150501.jpeg</v>
      </c>
      <c r="G7750" s="5" t="str">
        <f>HYPERLINK("https://dpmzos25m8ivg.cloudfront.net/Documentos/631/70702041408/6317070204140811092023150511.jpeg","https://dpmzos25m8ivg.cloudfront.net/Documentos/631/70702041408/6317070204140811092023150511.jpeg")</f>
        <v>https://dpmzos25m8ivg.cloudfront.net/Documentos/631/70702041408/6317070204140811092023150511.jpeg</v>
      </c>
      <c r="H7750" s="5" t="s">
        <v>16318</v>
      </c>
    </row>
    <row r="7751" spans="1:8" x14ac:dyDescent="0.25">
      <c r="A7751" s="2" t="s">
        <v>7779</v>
      </c>
      <c r="B7751" s="3"/>
      <c r="C7751" s="3"/>
      <c r="D7751" s="3"/>
      <c r="E7751" s="5" t="str">
        <f>HYPERLINK("https://dpmzos25m8ivg.cloudfront.net/Documentos/631/70703046179/6317070304617910092023234057.pdf","https://dpmzos25m8ivg.cloudfront.net/Documentos/631/70703046179/6317070304617910092023234057.pdf")</f>
        <v>https://dpmzos25m8ivg.cloudfront.net/Documentos/631/70703046179/6317070304617910092023234057.pdf</v>
      </c>
      <c r="F7751" s="5" t="str">
        <f>HYPERLINK("https://dpmzos25m8ivg.cloudfront.net/Documentos/631/70703046179/6317070304617910092023234107.pdf","https://dpmzos25m8ivg.cloudfront.net/Documentos/631/70703046179/6317070304617910092023234107.pdf")</f>
        <v>https://dpmzos25m8ivg.cloudfront.net/Documentos/631/70703046179/6317070304617910092023234107.pdf</v>
      </c>
      <c r="G7751" s="5" t="str">
        <f>HYPERLINK("https://dpmzos25m8ivg.cloudfront.net/Documentos/631/70703046179/6317070304617910092023234114.pdf","https://dpmzos25m8ivg.cloudfront.net/Documentos/631/70703046179/6317070304617910092023234114.pdf")</f>
        <v>https://dpmzos25m8ivg.cloudfront.net/Documentos/631/70703046179/6317070304617910092023234114.pdf</v>
      </c>
      <c r="H7751" s="5" t="s">
        <v>16319</v>
      </c>
    </row>
    <row r="7752" spans="1:8" x14ac:dyDescent="0.25">
      <c r="A7752" s="2" t="s">
        <v>7780</v>
      </c>
      <c r="B7752" s="3" t="s">
        <v>90</v>
      </c>
      <c r="C7752" s="3"/>
      <c r="D7752" s="3"/>
      <c r="E7752" s="5" t="str">
        <f>HYPERLINK("https://dpmzos25m8ivg.cloudfront.net/Documentos/631/70709966164/6317070996616414092023152158.jpeg","https://dpmzos25m8ivg.cloudfront.net/Documentos/631/70709966164/6317070996616414092023152158.jpeg")</f>
        <v>https://dpmzos25m8ivg.cloudfront.net/Documentos/631/70709966164/6317070996616414092023152158.jpeg</v>
      </c>
      <c r="F7752" s="5" t="str">
        <f>HYPERLINK("https://dpmzos25m8ivg.cloudfront.net/Documentos/631/70709966164/6317070996616414092023152205.jpeg","https://dpmzos25m8ivg.cloudfront.net/Documentos/631/70709966164/6317070996616414092023152205.jpeg")</f>
        <v>https://dpmzos25m8ivg.cloudfront.net/Documentos/631/70709966164/6317070996616414092023152205.jpeg</v>
      </c>
      <c r="G7752" s="5" t="str">
        <f>HYPERLINK("https://dpmzos25m8ivg.cloudfront.net/Documentos/631/70709966164/6317070996616414092023152213.jpeg","https://dpmzos25m8ivg.cloudfront.net/Documentos/631/70709966164/6317070996616414092023152213.jpeg")</f>
        <v>https://dpmzos25m8ivg.cloudfront.net/Documentos/631/70709966164/6317070996616414092023152213.jpeg</v>
      </c>
      <c r="H7752" s="5" t="s">
        <v>16320</v>
      </c>
    </row>
    <row r="7753" spans="1:8" x14ac:dyDescent="0.25">
      <c r="A7753" s="2" t="s">
        <v>7781</v>
      </c>
      <c r="B7753" s="3"/>
      <c r="C7753" s="3"/>
      <c r="D7753" s="3"/>
      <c r="E7753" s="5" t="str">
        <f>HYPERLINK("https://dpmzos25m8ivg.cloudfront.net/Documentos/631/70713424150/6317071342415011092023144839.pdf","https://dpmzos25m8ivg.cloudfront.net/Documentos/631/70713424150/6317071342415011092023144839.pdf")</f>
        <v>https://dpmzos25m8ivg.cloudfront.net/Documentos/631/70713424150/6317071342415011092023144839.pdf</v>
      </c>
      <c r="F7753" s="5" t="str">
        <f>HYPERLINK("https://dpmzos25m8ivg.cloudfront.net/Documentos/631/70713424150/6317071342415011092023144854.pdf","https://dpmzos25m8ivg.cloudfront.net/Documentos/631/70713424150/6317071342415011092023144854.pdf")</f>
        <v>https://dpmzos25m8ivg.cloudfront.net/Documentos/631/70713424150/6317071342415011092023144854.pdf</v>
      </c>
      <c r="G7753" s="5" t="str">
        <f>HYPERLINK("https://dpmzos25m8ivg.cloudfront.net/Documentos/631/70713424150/6317071342415011092023144903.pdf","https://dpmzos25m8ivg.cloudfront.net/Documentos/631/70713424150/6317071342415011092023144903.pdf")</f>
        <v>https://dpmzos25m8ivg.cloudfront.net/Documentos/631/70713424150/6317071342415011092023144903.pdf</v>
      </c>
      <c r="H7753" s="5" t="s">
        <v>16321</v>
      </c>
    </row>
    <row r="7754" spans="1:8" x14ac:dyDescent="0.25">
      <c r="A7754" s="2" t="s">
        <v>7782</v>
      </c>
      <c r="B7754" s="3"/>
      <c r="C7754" s="3"/>
      <c r="D7754" s="3"/>
      <c r="E7754" s="5" t="str">
        <f>HYPERLINK("https://dpmzos25m8ivg.cloudfront.net/Documentos/631/70715881124/6317071588112408092023234357.pdf","https://dpmzos25m8ivg.cloudfront.net/Documentos/631/70715881124/6317071588112408092023234357.pdf")</f>
        <v>https://dpmzos25m8ivg.cloudfront.net/Documentos/631/70715881124/6317071588112408092023234357.pdf</v>
      </c>
      <c r="F7754" s="5" t="str">
        <f>HYPERLINK("https://dpmzos25m8ivg.cloudfront.net/Documentos/631/70715881124/6317071588112408092023234603.pdf","https://dpmzos25m8ivg.cloudfront.net/Documentos/631/70715881124/6317071588112408092023234603.pdf")</f>
        <v>https://dpmzos25m8ivg.cloudfront.net/Documentos/631/70715881124/6317071588112408092023234603.pdf</v>
      </c>
      <c r="G7754" s="5" t="str">
        <f>HYPERLINK("https://dpmzos25m8ivg.cloudfront.net/Documentos/631/70715881124/6317071588112408092023234853.pdf","https://dpmzos25m8ivg.cloudfront.net/Documentos/631/70715881124/6317071588112408092023234853.pdf")</f>
        <v>https://dpmzos25m8ivg.cloudfront.net/Documentos/631/70715881124/6317071588112408092023234853.pdf</v>
      </c>
      <c r="H7754" s="5" t="s">
        <v>16322</v>
      </c>
    </row>
    <row r="7755" spans="1:8" x14ac:dyDescent="0.25">
      <c r="A7755" s="2" t="s">
        <v>7783</v>
      </c>
      <c r="B7755" s="3"/>
      <c r="C7755" s="3"/>
      <c r="D7755" s="3"/>
      <c r="E7755" s="5" t="str">
        <f>HYPERLINK("https://dpmzos25m8ivg.cloudfront.net/Documentos/631/70722985177/6317072298517710092023181058.pdf","https://dpmzos25m8ivg.cloudfront.net/Documentos/631/70722985177/6317072298517710092023181058.pdf")</f>
        <v>https://dpmzos25m8ivg.cloudfront.net/Documentos/631/70722985177/6317072298517710092023181058.pdf</v>
      </c>
      <c r="F7755" s="5" t="str">
        <f>HYPERLINK("https://dpmzos25m8ivg.cloudfront.net/Documentos/631/70722985177/6317072298517710092023181108.pdf","https://dpmzos25m8ivg.cloudfront.net/Documentos/631/70722985177/6317072298517710092023181108.pdf")</f>
        <v>https://dpmzos25m8ivg.cloudfront.net/Documentos/631/70722985177/6317072298517710092023181108.pdf</v>
      </c>
      <c r="G7755" s="5" t="str">
        <f>HYPERLINK("https://dpmzos25m8ivg.cloudfront.net/Documentos/631/70722985177/6317072298517710092023181118.pdf","https://dpmzos25m8ivg.cloudfront.net/Documentos/631/70722985177/6317072298517710092023181118.pdf")</f>
        <v>https://dpmzos25m8ivg.cloudfront.net/Documentos/631/70722985177/6317072298517710092023181118.pdf</v>
      </c>
      <c r="H7755" s="5" t="s">
        <v>16323</v>
      </c>
    </row>
    <row r="7756" spans="1:8" x14ac:dyDescent="0.25">
      <c r="A7756" s="2" t="s">
        <v>7784</v>
      </c>
      <c r="B7756" s="3"/>
      <c r="C7756" s="3"/>
      <c r="D7756" s="3"/>
      <c r="E7756" s="5" t="str">
        <f>HYPERLINK("https://dpmzos25m8ivg.cloudfront.net/Documentos/631/70727559184/6317072755918411092023114353.jpeg","https://dpmzos25m8ivg.cloudfront.net/Documentos/631/70727559184/6317072755918411092023114353.jpeg")</f>
        <v>https://dpmzos25m8ivg.cloudfront.net/Documentos/631/70727559184/6317072755918411092023114353.jpeg</v>
      </c>
      <c r="F7756" s="5" t="str">
        <f>HYPERLINK("https://dpmzos25m8ivg.cloudfront.net/Documentos/631/70727559184/6317072755918411092023114402.jpeg","https://dpmzos25m8ivg.cloudfront.net/Documentos/631/70727559184/6317072755918411092023114402.jpeg")</f>
        <v>https://dpmzos25m8ivg.cloudfront.net/Documentos/631/70727559184/6317072755918411092023114402.jpeg</v>
      </c>
      <c r="G7756" s="5" t="str">
        <f>HYPERLINK("https://dpmzos25m8ivg.cloudfront.net/Documentos/631/70727559184/6317072755918411092023114409.jpeg","https://dpmzos25m8ivg.cloudfront.net/Documentos/631/70727559184/6317072755918411092023114409.jpeg")</f>
        <v>https://dpmzos25m8ivg.cloudfront.net/Documentos/631/70727559184/6317072755918411092023114409.jpeg</v>
      </c>
      <c r="H7756" s="5" t="s">
        <v>16324</v>
      </c>
    </row>
    <row r="7757" spans="1:8" x14ac:dyDescent="0.25">
      <c r="A7757" s="2" t="s">
        <v>7785</v>
      </c>
      <c r="B7757" s="3" t="s">
        <v>23</v>
      </c>
      <c r="C7757" s="3"/>
      <c r="D7757" s="3"/>
      <c r="E7757" s="5" t="str">
        <f>HYPERLINK("https://dpmzos25m8ivg.cloudfront.net/Documentos/631/70750477440/6317075047744011092023125128.pdf","https://dpmzos25m8ivg.cloudfront.net/Documentos/631/70750477440/6317075047744011092023125128.pdf")</f>
        <v>https://dpmzos25m8ivg.cloudfront.net/Documentos/631/70750477440/6317075047744011092023125128.pdf</v>
      </c>
      <c r="F7757" s="5" t="str">
        <f>HYPERLINK("https://dpmzos25m8ivg.cloudfront.net/Documentos/631/70750477440/6317075047744011092023125141.pdf","https://dpmzos25m8ivg.cloudfront.net/Documentos/631/70750477440/6317075047744011092023125141.pdf")</f>
        <v>https://dpmzos25m8ivg.cloudfront.net/Documentos/631/70750477440/6317075047744011092023125141.pdf</v>
      </c>
      <c r="G7757" s="5" t="str">
        <f>HYPERLINK("https://dpmzos25m8ivg.cloudfront.net/Documentos/631/70750477440/6317075047744011092023125153.pdf","https://dpmzos25m8ivg.cloudfront.net/Documentos/631/70750477440/6317075047744011092023125153.pdf")</f>
        <v>https://dpmzos25m8ivg.cloudfront.net/Documentos/631/70750477440/6317075047744011092023125153.pdf</v>
      </c>
      <c r="H7757" s="5" t="s">
        <v>16325</v>
      </c>
    </row>
    <row r="7758" spans="1:8" x14ac:dyDescent="0.25">
      <c r="A7758" s="2" t="s">
        <v>7786</v>
      </c>
      <c r="B7758" s="3"/>
      <c r="C7758" s="3"/>
      <c r="D7758" s="3"/>
      <c r="E7758" s="5" t="str">
        <f>HYPERLINK("https://dpmzos25m8ivg.cloudfront.net/Documentos/631/70760579130/6317076057913011092023114410.pdf","https://dpmzos25m8ivg.cloudfront.net/Documentos/631/70760579130/6317076057913011092023114410.pdf")</f>
        <v>https://dpmzos25m8ivg.cloudfront.net/Documentos/631/70760579130/6317076057913011092023114410.pdf</v>
      </c>
      <c r="F7758" s="5" t="str">
        <f>HYPERLINK("https://dpmzos25m8ivg.cloudfront.net/Documentos/631/70760579130/6317076057913011092023114418.pdf","https://dpmzos25m8ivg.cloudfront.net/Documentos/631/70760579130/6317076057913011092023114418.pdf")</f>
        <v>https://dpmzos25m8ivg.cloudfront.net/Documentos/631/70760579130/6317076057913011092023114418.pdf</v>
      </c>
      <c r="G7758" s="5" t="str">
        <f>HYPERLINK("https://dpmzos25m8ivg.cloudfront.net/Documentos/631/70760579130/6317076057913011092023114448.pdf","https://dpmzos25m8ivg.cloudfront.net/Documentos/631/70760579130/6317076057913011092023114448.pdf")</f>
        <v>https://dpmzos25m8ivg.cloudfront.net/Documentos/631/70760579130/6317076057913011092023114448.pdf</v>
      </c>
      <c r="H7758" s="5" t="s">
        <v>16326</v>
      </c>
    </row>
    <row r="7759" spans="1:8" x14ac:dyDescent="0.25">
      <c r="A7759" s="2" t="s">
        <v>7787</v>
      </c>
      <c r="B7759" s="3" t="s">
        <v>23</v>
      </c>
      <c r="C7759" s="3"/>
      <c r="D7759" s="3"/>
      <c r="E7759" s="5" t="str">
        <f>HYPERLINK("https://dpmzos25m8ivg.cloudfront.net/Documentos/631/70761753478/6317076175347811092023144335.pdf","https://dpmzos25m8ivg.cloudfront.net/Documentos/631/70761753478/6317076175347811092023144335.pdf")</f>
        <v>https://dpmzos25m8ivg.cloudfront.net/Documentos/631/70761753478/6317076175347811092023144335.pdf</v>
      </c>
      <c r="F7759" s="5" t="str">
        <f>HYPERLINK("https://dpmzos25m8ivg.cloudfront.net/Documentos/631/70761753478/6317076175347811092023144357.pdf","https://dpmzos25m8ivg.cloudfront.net/Documentos/631/70761753478/6317076175347811092023144357.pdf")</f>
        <v>https://dpmzos25m8ivg.cloudfront.net/Documentos/631/70761753478/6317076175347811092023144357.pdf</v>
      </c>
      <c r="G7759" s="5" t="str">
        <f>HYPERLINK("https://dpmzos25m8ivg.cloudfront.net/Documentos/631/70761753478/6317076175347811092023144412.pdf","https://dpmzos25m8ivg.cloudfront.net/Documentos/631/70761753478/6317076175347811092023144412.pdf")</f>
        <v>https://dpmzos25m8ivg.cloudfront.net/Documentos/631/70761753478/6317076175347811092023144412.pdf</v>
      </c>
      <c r="H7759" s="5" t="s">
        <v>16327</v>
      </c>
    </row>
    <row r="7760" spans="1:8" x14ac:dyDescent="0.25">
      <c r="A7760" s="2" t="s">
        <v>7788</v>
      </c>
      <c r="B7760" s="3"/>
      <c r="C7760" s="3"/>
      <c r="D7760" s="3"/>
      <c r="E7760" s="5" t="str">
        <f>HYPERLINK("https://dpmzos25m8ivg.cloudfront.net/Documentos/631/70764411101/6317076441110111092023162733.jpeg","https://dpmzos25m8ivg.cloudfront.net/Documentos/631/70764411101/6317076441110111092023162733.jpeg")</f>
        <v>https://dpmzos25m8ivg.cloudfront.net/Documentos/631/70764411101/6317076441110111092023162733.jpeg</v>
      </c>
      <c r="F7760" s="5" t="str">
        <f>HYPERLINK("https://dpmzos25m8ivg.cloudfront.net/Documentos/631/70764411101/6317076441110111092023162810.jpeg","https://dpmzos25m8ivg.cloudfront.net/Documentos/631/70764411101/6317076441110111092023162810.jpeg")</f>
        <v>https://dpmzos25m8ivg.cloudfront.net/Documentos/631/70764411101/6317076441110111092023162810.jpeg</v>
      </c>
      <c r="G7760" s="5" t="str">
        <f>HYPERLINK("https://dpmzos25m8ivg.cloudfront.net/Documentos/631/70764411101/6317076441110111092023162520.jpeg","https://dpmzos25m8ivg.cloudfront.net/Documentos/631/70764411101/6317076441110111092023162520.jpeg")</f>
        <v>https://dpmzos25m8ivg.cloudfront.net/Documentos/631/70764411101/6317076441110111092023162520.jpeg</v>
      </c>
      <c r="H7760" s="5" t="s">
        <v>16328</v>
      </c>
    </row>
    <row r="7761" spans="1:8" x14ac:dyDescent="0.25">
      <c r="A7761" s="2" t="s">
        <v>7789</v>
      </c>
      <c r="B7761" s="3"/>
      <c r="C7761" s="3"/>
      <c r="D7761" s="3"/>
      <c r="E7761" s="5" t="str">
        <f>HYPERLINK("https://dpmzos25m8ivg.cloudfront.net/Documentos/631/70772419124/6317077241912411092023093452.pdf","https://dpmzos25m8ivg.cloudfront.net/Documentos/631/70772419124/6317077241912411092023093452.pdf")</f>
        <v>https://dpmzos25m8ivg.cloudfront.net/Documentos/631/70772419124/6317077241912411092023093452.pdf</v>
      </c>
      <c r="F7761" s="5" t="str">
        <f>HYPERLINK("https://dpmzos25m8ivg.cloudfront.net/Documentos/631/70772419124/6317077241912411092023093636.pdf","https://dpmzos25m8ivg.cloudfront.net/Documentos/631/70772419124/6317077241912411092023093636.pdf")</f>
        <v>https://dpmzos25m8ivg.cloudfront.net/Documentos/631/70772419124/6317077241912411092023093636.pdf</v>
      </c>
      <c r="G7761" s="5" t="str">
        <f>HYPERLINK("https://dpmzos25m8ivg.cloudfront.net/Documentos/631/70772419124/6317077241912411092023093655.pdf","https://dpmzos25m8ivg.cloudfront.net/Documentos/631/70772419124/6317077241912411092023093655.pdf")</f>
        <v>https://dpmzos25m8ivg.cloudfront.net/Documentos/631/70772419124/6317077241912411092023093655.pdf</v>
      </c>
      <c r="H7761" s="5" t="s">
        <v>16329</v>
      </c>
    </row>
    <row r="7762" spans="1:8" x14ac:dyDescent="0.25">
      <c r="A7762" s="2" t="s">
        <v>7790</v>
      </c>
      <c r="B7762" s="3" t="s">
        <v>23</v>
      </c>
      <c r="C7762" s="3"/>
      <c r="D7762" s="3"/>
      <c r="E7762" s="5" t="str">
        <f>HYPERLINK("https://dpmzos25m8ivg.cloudfront.net/Documentos/631/70772847193/6317077284719308092023144347.pdf","https://dpmzos25m8ivg.cloudfront.net/Documentos/631/70772847193/6317077284719308092023144347.pdf")</f>
        <v>https://dpmzos25m8ivg.cloudfront.net/Documentos/631/70772847193/6317077284719308092023144347.pdf</v>
      </c>
      <c r="F7762" s="5" t="str">
        <f>HYPERLINK("https://dpmzos25m8ivg.cloudfront.net/Documentos/631/70772847193/6317077284719308092023144403.pdf","https://dpmzos25m8ivg.cloudfront.net/Documentos/631/70772847193/6317077284719308092023144403.pdf")</f>
        <v>https://dpmzos25m8ivg.cloudfront.net/Documentos/631/70772847193/6317077284719308092023144403.pdf</v>
      </c>
      <c r="G7762" s="5" t="str">
        <f>HYPERLINK("https://dpmzos25m8ivg.cloudfront.net/Documentos/631/70772847193/6317077284719308092023144438.pdf","https://dpmzos25m8ivg.cloudfront.net/Documentos/631/70772847193/6317077284719308092023144438.pdf")</f>
        <v>https://dpmzos25m8ivg.cloudfront.net/Documentos/631/70772847193/6317077284719308092023144438.pdf</v>
      </c>
      <c r="H7762" s="5" t="s">
        <v>16330</v>
      </c>
    </row>
    <row r="7763" spans="1:8" x14ac:dyDescent="0.25">
      <c r="A7763" s="2" t="s">
        <v>7791</v>
      </c>
      <c r="B7763" s="3"/>
      <c r="C7763" s="3"/>
      <c r="D7763" s="3"/>
      <c r="E7763" s="5" t="str">
        <f>HYPERLINK("https://dpmzos25m8ivg.cloudfront.net/Documentos/631/70776061127/6317077606112705092023202853.jpg","https://dpmzos25m8ivg.cloudfront.net/Documentos/631/70776061127/6317077606112705092023202853.jpg")</f>
        <v>https://dpmzos25m8ivg.cloudfront.net/Documentos/631/70776061127/6317077606112705092023202853.jpg</v>
      </c>
      <c r="F7763" s="5" t="str">
        <f>HYPERLINK("https://dpmzos25m8ivg.cloudfront.net/Documentos/631/70776061127/6317077606112705092023202905.jpg","https://dpmzos25m8ivg.cloudfront.net/Documentos/631/70776061127/6317077606112705092023202905.jpg")</f>
        <v>https://dpmzos25m8ivg.cloudfront.net/Documentos/631/70776061127/6317077606112705092023202905.jpg</v>
      </c>
      <c r="G7763" s="5" t="str">
        <f>HYPERLINK("https://dpmzos25m8ivg.cloudfront.net/Documentos/631/70776061127/6317077606112705092023202917.jpg","https://dpmzos25m8ivg.cloudfront.net/Documentos/631/70776061127/6317077606112705092023202917.jpg")</f>
        <v>https://dpmzos25m8ivg.cloudfront.net/Documentos/631/70776061127/6317077606112705092023202917.jpg</v>
      </c>
      <c r="H7763" s="5" t="s">
        <v>16331</v>
      </c>
    </row>
    <row r="7764" spans="1:8" x14ac:dyDescent="0.25">
      <c r="A7764" s="2" t="s">
        <v>7792</v>
      </c>
      <c r="B7764" s="3"/>
      <c r="C7764" s="3"/>
      <c r="D7764" s="3"/>
      <c r="E7764" s="5" t="str">
        <f>HYPERLINK("https://dpmzos25m8ivg.cloudfront.net/Documentos/631/70777798158/6317077779815808092023101428.pdf","https://dpmzos25m8ivg.cloudfront.net/Documentos/631/70777798158/6317077779815808092023101428.pdf")</f>
        <v>https://dpmzos25m8ivg.cloudfront.net/Documentos/631/70777798158/6317077779815808092023101428.pdf</v>
      </c>
      <c r="F7764" s="5" t="str">
        <f>HYPERLINK("https://dpmzos25m8ivg.cloudfront.net/Documentos/631/70777798158/6317077779815808092023101724.pdf","https://dpmzos25m8ivg.cloudfront.net/Documentos/631/70777798158/6317077779815808092023101724.pdf")</f>
        <v>https://dpmzos25m8ivg.cloudfront.net/Documentos/631/70777798158/6317077779815808092023101724.pdf</v>
      </c>
      <c r="G7764" s="5" t="str">
        <f>HYPERLINK("https://dpmzos25m8ivg.cloudfront.net/Documentos/631/70777798158/6317077779815808092023101632.pdf","https://dpmzos25m8ivg.cloudfront.net/Documentos/631/70777798158/6317077779815808092023101632.pdf")</f>
        <v>https://dpmzos25m8ivg.cloudfront.net/Documentos/631/70777798158/6317077779815808092023101632.pdf</v>
      </c>
      <c r="H7764" s="5" t="s">
        <v>16332</v>
      </c>
    </row>
    <row r="7765" spans="1:8" x14ac:dyDescent="0.25">
      <c r="A7765" s="2" t="s">
        <v>7793</v>
      </c>
      <c r="B7765" s="3" t="s">
        <v>90</v>
      </c>
      <c r="C7765" s="3"/>
      <c r="D7765" s="3"/>
      <c r="E7765" s="5" t="str">
        <f>HYPERLINK("https://dpmzos25m8ivg.cloudfront.net/Documentos/631/70777865440/6317077786544011092023150625.pdf","https://dpmzos25m8ivg.cloudfront.net/Documentos/631/70777865440/6317077786544011092023150625.pdf")</f>
        <v>https://dpmzos25m8ivg.cloudfront.net/Documentos/631/70777865440/6317077786544011092023150625.pdf</v>
      </c>
      <c r="F7765" s="5" t="str">
        <f>HYPERLINK("https://dpmzos25m8ivg.cloudfront.net/Documentos/631/70777865440/6317077786544011092023150637.pdf","https://dpmzos25m8ivg.cloudfront.net/Documentos/631/70777865440/6317077786544011092023150637.pdf")</f>
        <v>https://dpmzos25m8ivg.cloudfront.net/Documentos/631/70777865440/6317077786544011092023150637.pdf</v>
      </c>
      <c r="G7765" s="5" t="str">
        <f>HYPERLINK("https://dpmzos25m8ivg.cloudfront.net/Documentos/631/70777865440/6317077786544011092023150650.pdf","https://dpmzos25m8ivg.cloudfront.net/Documentos/631/70777865440/6317077786544011092023150650.pdf")</f>
        <v>https://dpmzos25m8ivg.cloudfront.net/Documentos/631/70777865440/6317077786544011092023150650.pdf</v>
      </c>
      <c r="H7765" s="5" t="s">
        <v>16333</v>
      </c>
    </row>
    <row r="7766" spans="1:8" x14ac:dyDescent="0.25">
      <c r="A7766" s="2" t="s">
        <v>7794</v>
      </c>
      <c r="B7766" s="3"/>
      <c r="C7766" s="3"/>
      <c r="D7766" s="3"/>
      <c r="E7766" s="5" t="str">
        <f>HYPERLINK("https://dpmzos25m8ivg.cloudfront.net/Documentos/631/70778729125/6317077872912510092023181902.pdf","https://dpmzos25m8ivg.cloudfront.net/Documentos/631/70778729125/6317077872912510092023181902.pdf")</f>
        <v>https://dpmzos25m8ivg.cloudfront.net/Documentos/631/70778729125/6317077872912510092023181902.pdf</v>
      </c>
      <c r="F7766" s="5" t="str">
        <f>HYPERLINK("https://dpmzos25m8ivg.cloudfront.net/Documentos/631/70778729125/6317077872912510092023181917.pdf","https://dpmzos25m8ivg.cloudfront.net/Documentos/631/70778729125/6317077872912510092023181917.pdf")</f>
        <v>https://dpmzos25m8ivg.cloudfront.net/Documentos/631/70778729125/6317077872912510092023181917.pdf</v>
      </c>
      <c r="G7766" s="5" t="str">
        <f>HYPERLINK("https://dpmzos25m8ivg.cloudfront.net/Documentos/631/70778729125/6317077872912510092023181928.pdf","https://dpmzos25m8ivg.cloudfront.net/Documentos/631/70778729125/6317077872912510092023181928.pdf")</f>
        <v>https://dpmzos25m8ivg.cloudfront.net/Documentos/631/70778729125/6317077872912510092023181928.pdf</v>
      </c>
      <c r="H7766" s="5" t="s">
        <v>16334</v>
      </c>
    </row>
    <row r="7767" spans="1:8" x14ac:dyDescent="0.25">
      <c r="A7767" s="2" t="s">
        <v>7795</v>
      </c>
      <c r="B7767" s="3" t="s">
        <v>23</v>
      </c>
      <c r="C7767" s="3"/>
      <c r="D7767" s="3"/>
      <c r="E7767" s="5" t="str">
        <f>HYPERLINK("https://dpmzos25m8ivg.cloudfront.net/Documentos/631/70782679404/6317078267940405092023115934.pdf","https://dpmzos25m8ivg.cloudfront.net/Documentos/631/70782679404/6317078267940405092023115934.pdf")</f>
        <v>https://dpmzos25m8ivg.cloudfront.net/Documentos/631/70782679404/6317078267940405092023115934.pdf</v>
      </c>
      <c r="F7767" s="5" t="str">
        <f>HYPERLINK("https://dpmzos25m8ivg.cloudfront.net/Documentos/631/70782679404/6317078267940405092023115946.pdf","https://dpmzos25m8ivg.cloudfront.net/Documentos/631/70782679404/6317078267940405092023115946.pdf")</f>
        <v>https://dpmzos25m8ivg.cloudfront.net/Documentos/631/70782679404/6317078267940405092023115946.pdf</v>
      </c>
      <c r="G7767" s="5" t="str">
        <f>HYPERLINK("https://dpmzos25m8ivg.cloudfront.net/Documentos/631/70782679404/6317078267940405092023115956.pdf","https://dpmzos25m8ivg.cloudfront.net/Documentos/631/70782679404/6317078267940405092023115956.pdf")</f>
        <v>https://dpmzos25m8ivg.cloudfront.net/Documentos/631/70782679404/6317078267940405092023115956.pdf</v>
      </c>
      <c r="H7767" s="5" t="s">
        <v>16335</v>
      </c>
    </row>
    <row r="7768" spans="1:8" x14ac:dyDescent="0.25">
      <c r="A7768" s="2" t="s">
        <v>7796</v>
      </c>
      <c r="B7768" s="3" t="s">
        <v>312</v>
      </c>
      <c r="C7768" s="3"/>
      <c r="D7768" s="3"/>
      <c r="E7768" s="5" t="str">
        <f>HYPERLINK("https://dpmzos25m8ivg.cloudfront.net/Documentos/631/70786079100/6317078607910014092023164012.jpeg","https://dpmzos25m8ivg.cloudfront.net/Documentos/631/70786079100/6317078607910014092023164012.jpeg")</f>
        <v>https://dpmzos25m8ivg.cloudfront.net/Documentos/631/70786079100/6317078607910014092023164012.jpeg</v>
      </c>
      <c r="F7768" s="5" t="str">
        <f>HYPERLINK("https://dpmzos25m8ivg.cloudfront.net/Documentos/631/70786079100/6317078607910014092023164018.jpeg","https://dpmzos25m8ivg.cloudfront.net/Documentos/631/70786079100/6317078607910014092023164018.jpeg")</f>
        <v>https://dpmzos25m8ivg.cloudfront.net/Documentos/631/70786079100/6317078607910014092023164018.jpeg</v>
      </c>
      <c r="G7768" s="5" t="str">
        <f>HYPERLINK("https://dpmzos25m8ivg.cloudfront.net/Documentos/631/70786079100/6317078607910014092023164024.jpeg","https://dpmzos25m8ivg.cloudfront.net/Documentos/631/70786079100/6317078607910014092023164024.jpeg")</f>
        <v>https://dpmzos25m8ivg.cloudfront.net/Documentos/631/70786079100/6317078607910014092023164024.jpeg</v>
      </c>
      <c r="H7768" s="5" t="s">
        <v>16336</v>
      </c>
    </row>
    <row r="7769" spans="1:8" x14ac:dyDescent="0.25">
      <c r="A7769" s="2" t="s">
        <v>7797</v>
      </c>
      <c r="B7769" s="3" t="s">
        <v>90</v>
      </c>
      <c r="C7769" s="3"/>
      <c r="D7769" s="3"/>
      <c r="E7769" s="5" t="str">
        <f>HYPERLINK("https://dpmzos25m8ivg.cloudfront.net/Documentos/631/70788630113/6317078863011311092023150933.pdf","https://dpmzos25m8ivg.cloudfront.net/Documentos/631/70788630113/6317078863011311092023150933.pdf")</f>
        <v>https://dpmzos25m8ivg.cloudfront.net/Documentos/631/70788630113/6317078863011311092023150933.pdf</v>
      </c>
      <c r="F7769" s="5" t="str">
        <f>HYPERLINK("https://dpmzos25m8ivg.cloudfront.net/Documentos/631/70788630113/6317078863011311092023150941.pdf","https://dpmzos25m8ivg.cloudfront.net/Documentos/631/70788630113/6317078863011311092023150941.pdf")</f>
        <v>https://dpmzos25m8ivg.cloudfront.net/Documentos/631/70788630113/6317078863011311092023150941.pdf</v>
      </c>
      <c r="G7769" s="5" t="str">
        <f>HYPERLINK("https://dpmzos25m8ivg.cloudfront.net/Documentos/631/70788630113/6317078863011311092023150948.pdf","https://dpmzos25m8ivg.cloudfront.net/Documentos/631/70788630113/6317078863011311092023150948.pdf")</f>
        <v>https://dpmzos25m8ivg.cloudfront.net/Documentos/631/70788630113/6317078863011311092023150948.pdf</v>
      </c>
      <c r="H7769" s="5" t="s">
        <v>16337</v>
      </c>
    </row>
    <row r="7770" spans="1:8" x14ac:dyDescent="0.25">
      <c r="A7770" s="2" t="s">
        <v>7798</v>
      </c>
      <c r="B7770" s="3"/>
      <c r="C7770" s="3"/>
      <c r="D7770" s="3"/>
      <c r="E7770" s="5" t="str">
        <f>HYPERLINK("https://dpmzos25m8ivg.cloudfront.net/Documentos/631/70791035174/6317079103517410092023162727.pdf","https://dpmzos25m8ivg.cloudfront.net/Documentos/631/70791035174/6317079103517410092023162727.pdf")</f>
        <v>https://dpmzos25m8ivg.cloudfront.net/Documentos/631/70791035174/6317079103517410092023162727.pdf</v>
      </c>
      <c r="F7770" s="5" t="str">
        <f>HYPERLINK("https://dpmzos25m8ivg.cloudfront.net/Documentos/631/70791035174/6317079103517410092023162738.pdf","https://dpmzos25m8ivg.cloudfront.net/Documentos/631/70791035174/6317079103517410092023162738.pdf")</f>
        <v>https://dpmzos25m8ivg.cloudfront.net/Documentos/631/70791035174/6317079103517410092023162738.pdf</v>
      </c>
      <c r="G7770" s="5" t="str">
        <f>HYPERLINK("https://dpmzos25m8ivg.cloudfront.net/Documentos/631/70791035174/6317079103517410092023162752.pdf","https://dpmzos25m8ivg.cloudfront.net/Documentos/631/70791035174/6317079103517410092023162752.pdf")</f>
        <v>https://dpmzos25m8ivg.cloudfront.net/Documentos/631/70791035174/6317079103517410092023162752.pdf</v>
      </c>
      <c r="H7770" s="5" t="s">
        <v>16338</v>
      </c>
    </row>
    <row r="7771" spans="1:8" x14ac:dyDescent="0.25">
      <c r="A7771" s="2" t="s">
        <v>7799</v>
      </c>
      <c r="B7771" s="3"/>
      <c r="C7771" s="3"/>
      <c r="D7771" s="3"/>
      <c r="E7771" s="5" t="str">
        <f>HYPERLINK("https://dpmzos25m8ivg.cloudfront.net/Documentos/631/70791626458/6317079162645810092023185705.pdf","https://dpmzos25m8ivg.cloudfront.net/Documentos/631/70791626458/6317079162645810092023185705.pdf")</f>
        <v>https://dpmzos25m8ivg.cloudfront.net/Documentos/631/70791626458/6317079162645810092023185705.pdf</v>
      </c>
      <c r="F7771" s="5" t="str">
        <f>HYPERLINK("https://dpmzos25m8ivg.cloudfront.net/Documentos/631/70791626458/6317079162645810092023185716.pdf","https://dpmzos25m8ivg.cloudfront.net/Documentos/631/70791626458/6317079162645810092023185716.pdf")</f>
        <v>https://dpmzos25m8ivg.cloudfront.net/Documentos/631/70791626458/6317079162645810092023185716.pdf</v>
      </c>
      <c r="G7771" s="5" t="str">
        <f>HYPERLINK("https://dpmzos25m8ivg.cloudfront.net/Documentos/631/70791626458/6317079162645810092023185728.pdf","https://dpmzos25m8ivg.cloudfront.net/Documentos/631/70791626458/6317079162645810092023185728.pdf")</f>
        <v>https://dpmzos25m8ivg.cloudfront.net/Documentos/631/70791626458/6317079162645810092023185728.pdf</v>
      </c>
      <c r="H7771" s="5" t="s">
        <v>16339</v>
      </c>
    </row>
    <row r="7772" spans="1:8" x14ac:dyDescent="0.25">
      <c r="A7772" s="2" t="s">
        <v>7800</v>
      </c>
      <c r="B7772" s="3"/>
      <c r="C7772" s="3"/>
      <c r="D7772" s="3"/>
      <c r="E7772" s="5" t="str">
        <f>HYPERLINK("https://dpmzos25m8ivg.cloudfront.net/Documentos/631/70807091480/6317080709148011092023161759.jpg","https://dpmzos25m8ivg.cloudfront.net/Documentos/631/70807091480/6317080709148011092023161759.jpg")</f>
        <v>https://dpmzos25m8ivg.cloudfront.net/Documentos/631/70807091480/6317080709148011092023161759.jpg</v>
      </c>
      <c r="F7772" s="5" t="str">
        <f>HYPERLINK("https://dpmzos25m8ivg.cloudfront.net/Documentos/631/70807091480/6317080709148011092023161810.jpg","https://dpmzos25m8ivg.cloudfront.net/Documentos/631/70807091480/6317080709148011092023161810.jpg")</f>
        <v>https://dpmzos25m8ivg.cloudfront.net/Documentos/631/70807091480/6317080709148011092023161810.jpg</v>
      </c>
      <c r="G7772" s="5" t="str">
        <f>HYPERLINK("https://dpmzos25m8ivg.cloudfront.net/Documentos/631/70807091480/6317080709148011092023161820.jpg","https://dpmzos25m8ivg.cloudfront.net/Documentos/631/70807091480/6317080709148011092023161820.jpg")</f>
        <v>https://dpmzos25m8ivg.cloudfront.net/Documentos/631/70807091480/6317080709148011092023161820.jpg</v>
      </c>
      <c r="H7772" s="5" t="s">
        <v>16340</v>
      </c>
    </row>
    <row r="7773" spans="1:8" x14ac:dyDescent="0.25">
      <c r="A7773" s="2" t="s">
        <v>7801</v>
      </c>
      <c r="B7773" s="3"/>
      <c r="C7773" s="3"/>
      <c r="D7773" s="3"/>
      <c r="E7773" s="5" t="str">
        <f>HYPERLINK("https://dpmzos25m8ivg.cloudfront.net/Documentos/631/70815858418/6317081585841811092023145701.pdf","https://dpmzos25m8ivg.cloudfront.net/Documentos/631/70815858418/6317081585841811092023145701.pdf")</f>
        <v>https://dpmzos25m8ivg.cloudfront.net/Documentos/631/70815858418/6317081585841811092023145701.pdf</v>
      </c>
      <c r="F7773" s="5" t="str">
        <f>HYPERLINK("https://dpmzos25m8ivg.cloudfront.net/Documentos/631/70815858418/6317081585841811092023145714.pdf","https://dpmzos25m8ivg.cloudfront.net/Documentos/631/70815858418/6317081585841811092023145714.pdf")</f>
        <v>https://dpmzos25m8ivg.cloudfront.net/Documentos/631/70815858418/6317081585841811092023145714.pdf</v>
      </c>
      <c r="G7773" s="5" t="str">
        <f>HYPERLINK("https://dpmzos25m8ivg.cloudfront.net/Documentos/631/70815858418/6317081585841811092023145728.pdf","https://dpmzos25m8ivg.cloudfront.net/Documentos/631/70815858418/6317081585841811092023145728.pdf")</f>
        <v>https://dpmzos25m8ivg.cloudfront.net/Documentos/631/70815858418/6317081585841811092023145728.pdf</v>
      </c>
      <c r="H7773" s="5" t="s">
        <v>16341</v>
      </c>
    </row>
    <row r="7774" spans="1:8" x14ac:dyDescent="0.25">
      <c r="A7774" s="2" t="s">
        <v>7802</v>
      </c>
      <c r="B7774" s="3"/>
      <c r="C7774" s="3"/>
      <c r="D7774" s="3"/>
      <c r="E7774" s="5" t="str">
        <f>HYPERLINK("https://dpmzos25m8ivg.cloudfront.net/Documentos/631/70820919152/6317082091915206092023100913.jpg","https://dpmzos25m8ivg.cloudfront.net/Documentos/631/70820919152/6317082091915206092023100913.jpg")</f>
        <v>https://dpmzos25m8ivg.cloudfront.net/Documentos/631/70820919152/6317082091915206092023100913.jpg</v>
      </c>
      <c r="F7774" s="5" t="str">
        <f>HYPERLINK("https://dpmzos25m8ivg.cloudfront.net/Documentos/631/70820919152/6317082091915206092023100938.jpg","https://dpmzos25m8ivg.cloudfront.net/Documentos/631/70820919152/6317082091915206092023100938.jpg")</f>
        <v>https://dpmzos25m8ivg.cloudfront.net/Documentos/631/70820919152/6317082091915206092023100938.jpg</v>
      </c>
      <c r="G7774" s="5" t="str">
        <f>HYPERLINK("https://dpmzos25m8ivg.cloudfront.net/Documentos/631/70820919152/6317082091915206092023100948.jpg","https://dpmzos25m8ivg.cloudfront.net/Documentos/631/70820919152/6317082091915206092023100948.jpg")</f>
        <v>https://dpmzos25m8ivg.cloudfront.net/Documentos/631/70820919152/6317082091915206092023100948.jpg</v>
      </c>
      <c r="H7774" s="5" t="s">
        <v>16342</v>
      </c>
    </row>
    <row r="7775" spans="1:8" x14ac:dyDescent="0.25">
      <c r="A7775" s="2" t="s">
        <v>7803</v>
      </c>
      <c r="B7775" s="3"/>
      <c r="C7775" s="3"/>
      <c r="D7775" s="3"/>
      <c r="E7775" s="5" t="str">
        <f>HYPERLINK("https://dpmzos25m8ivg.cloudfront.net/Documentos/631/70821308483/6317082130848311092023151857.pdf","https://dpmzos25m8ivg.cloudfront.net/Documentos/631/70821308483/6317082130848311092023151857.pdf")</f>
        <v>https://dpmzos25m8ivg.cloudfront.net/Documentos/631/70821308483/6317082130848311092023151857.pdf</v>
      </c>
      <c r="F7775" s="5" t="str">
        <f>HYPERLINK("https://dpmzos25m8ivg.cloudfront.net/Documentos/631/70821308483/6317082130848311092023151848.pdf","https://dpmzos25m8ivg.cloudfront.net/Documentos/631/70821308483/6317082130848311092023151848.pdf")</f>
        <v>https://dpmzos25m8ivg.cloudfront.net/Documentos/631/70821308483/6317082130848311092023151848.pdf</v>
      </c>
      <c r="G7775" s="5" t="str">
        <f>HYPERLINK("https://dpmzos25m8ivg.cloudfront.net/Documentos/631/70821308483/6317082130848311092023151839.pdf","https://dpmzos25m8ivg.cloudfront.net/Documentos/631/70821308483/6317082130848311092023151839.pdf")</f>
        <v>https://dpmzos25m8ivg.cloudfront.net/Documentos/631/70821308483/6317082130848311092023151839.pdf</v>
      </c>
      <c r="H7775" s="5" t="s">
        <v>16343</v>
      </c>
    </row>
    <row r="7776" spans="1:8" x14ac:dyDescent="0.25">
      <c r="A7776" s="2" t="s">
        <v>7804</v>
      </c>
      <c r="B7776" s="3"/>
      <c r="C7776" s="3"/>
      <c r="D7776" s="3"/>
      <c r="E7776" s="5" t="str">
        <f>HYPERLINK("https://dpmzos25m8ivg.cloudfront.net/Documentos/631/70822836106/6317082283610611092023153448.pdf","https://dpmzos25m8ivg.cloudfront.net/Documentos/631/70822836106/6317082283610611092023153448.pdf")</f>
        <v>https://dpmzos25m8ivg.cloudfront.net/Documentos/631/70822836106/6317082283610611092023153448.pdf</v>
      </c>
      <c r="F7776" s="5" t="str">
        <f>HYPERLINK("https://dpmzos25m8ivg.cloudfront.net/Documentos/631/70822836106/6317082283610611092023153905.pdf","https://dpmzos25m8ivg.cloudfront.net/Documentos/631/70822836106/6317082283610611092023153905.pdf")</f>
        <v>https://dpmzos25m8ivg.cloudfront.net/Documentos/631/70822836106/6317082283610611092023153905.pdf</v>
      </c>
      <c r="G7776" s="5" t="str">
        <f>HYPERLINK("https://dpmzos25m8ivg.cloudfront.net/Documentos/631/70822836106/6317082283610611092023154300.pdf","https://dpmzos25m8ivg.cloudfront.net/Documentos/631/70822836106/6317082283610611092023154300.pdf")</f>
        <v>https://dpmzos25m8ivg.cloudfront.net/Documentos/631/70822836106/6317082283610611092023154300.pdf</v>
      </c>
      <c r="H7776" s="5" t="s">
        <v>16344</v>
      </c>
    </row>
    <row r="7777" spans="1:8" x14ac:dyDescent="0.25">
      <c r="A7777" s="2" t="s">
        <v>7805</v>
      </c>
      <c r="B7777" s="3"/>
      <c r="C7777" s="3"/>
      <c r="D7777" s="3"/>
      <c r="E7777" s="5" t="str">
        <f>HYPERLINK("https://dpmzos25m8ivg.cloudfront.net/Documentos/631/70825757185/6317082575718511092023145923.pdf","https://dpmzos25m8ivg.cloudfront.net/Documentos/631/70825757185/6317082575718511092023145923.pdf")</f>
        <v>https://dpmzos25m8ivg.cloudfront.net/Documentos/631/70825757185/6317082575718511092023145923.pdf</v>
      </c>
      <c r="F7777" s="5" t="str">
        <f>HYPERLINK("https://dpmzos25m8ivg.cloudfront.net/Documentos/631/70825757185/6317082575718511092023145931.pdf","https://dpmzos25m8ivg.cloudfront.net/Documentos/631/70825757185/6317082575718511092023145931.pdf")</f>
        <v>https://dpmzos25m8ivg.cloudfront.net/Documentos/631/70825757185/6317082575718511092023145931.pdf</v>
      </c>
      <c r="G7777" s="5" t="str">
        <f>HYPERLINK("https://dpmzos25m8ivg.cloudfront.net/Documentos/631/70825757185/6317082575718511092023145939.pdf","https://dpmzos25m8ivg.cloudfront.net/Documentos/631/70825757185/6317082575718511092023145939.pdf")</f>
        <v>https://dpmzos25m8ivg.cloudfront.net/Documentos/631/70825757185/6317082575718511092023145939.pdf</v>
      </c>
      <c r="H7777" s="5" t="s">
        <v>16345</v>
      </c>
    </row>
    <row r="7778" spans="1:8" x14ac:dyDescent="0.25">
      <c r="A7778" s="2" t="s">
        <v>7806</v>
      </c>
      <c r="B7778" s="3"/>
      <c r="C7778" s="3"/>
      <c r="D7778" s="3"/>
      <c r="E7778" s="5" t="str">
        <f>HYPERLINK("https://dpmzos25m8ivg.cloudfront.net/Documentos/631/70832366234/6317083236623405092023134552.pdf","https://dpmzos25m8ivg.cloudfront.net/Documentos/631/70832366234/6317083236623405092023134552.pdf")</f>
        <v>https://dpmzos25m8ivg.cloudfront.net/Documentos/631/70832366234/6317083236623405092023134552.pdf</v>
      </c>
      <c r="F7778" s="5" t="str">
        <f>HYPERLINK("https://dpmzos25m8ivg.cloudfront.net/Documentos/631/70832366234/6317083236623405092023134614.pdf","https://dpmzos25m8ivg.cloudfront.net/Documentos/631/70832366234/6317083236623405092023134614.pdf")</f>
        <v>https://dpmzos25m8ivg.cloudfront.net/Documentos/631/70832366234/6317083236623405092023134614.pdf</v>
      </c>
      <c r="G7778" s="5" t="str">
        <f>HYPERLINK("https://dpmzos25m8ivg.cloudfront.net/Documentos/631/70832366234/6317083236623405092023134626.pdf","https://dpmzos25m8ivg.cloudfront.net/Documentos/631/70832366234/6317083236623405092023134626.pdf")</f>
        <v>https://dpmzos25m8ivg.cloudfront.net/Documentos/631/70832366234/6317083236623405092023134626.pdf</v>
      </c>
      <c r="H7778" s="5" t="s">
        <v>16346</v>
      </c>
    </row>
    <row r="7779" spans="1:8" x14ac:dyDescent="0.25">
      <c r="A7779" s="2" t="s">
        <v>7807</v>
      </c>
      <c r="B7779" s="3" t="s">
        <v>308</v>
      </c>
      <c r="C7779" s="3"/>
      <c r="D7779" s="3"/>
      <c r="E7779" s="5" t="str">
        <f>HYPERLINK("https://dpmzos25m8ivg.cloudfront.net/Documentos/631/70843967480/6317084396748009092023121048.pdf","https://dpmzos25m8ivg.cloudfront.net/Documentos/631/70843967480/6317084396748009092023121048.pdf")</f>
        <v>https://dpmzos25m8ivg.cloudfront.net/Documentos/631/70843967480/6317084396748009092023121048.pdf</v>
      </c>
      <c r="F7779" s="5" t="str">
        <f>HYPERLINK("https://dpmzos25m8ivg.cloudfront.net/Documentos/631/70843967480/6317084396748009092023121103.pdf","https://dpmzos25m8ivg.cloudfront.net/Documentos/631/70843967480/6317084396748009092023121103.pdf")</f>
        <v>https://dpmzos25m8ivg.cloudfront.net/Documentos/631/70843967480/6317084396748009092023121103.pdf</v>
      </c>
      <c r="G7779" s="5" t="str">
        <f>HYPERLINK("https://dpmzos25m8ivg.cloudfront.net/Documentos/631/70843967480/6317084396748009092023121114.pdf","https://dpmzos25m8ivg.cloudfront.net/Documentos/631/70843967480/6317084396748009092023121114.pdf")</f>
        <v>https://dpmzos25m8ivg.cloudfront.net/Documentos/631/70843967480/6317084396748009092023121114.pdf</v>
      </c>
      <c r="H7779" s="5" t="s">
        <v>16347</v>
      </c>
    </row>
    <row r="7780" spans="1:8" x14ac:dyDescent="0.25">
      <c r="A7780" s="2" t="s">
        <v>7808</v>
      </c>
      <c r="B7780" s="3"/>
      <c r="C7780" s="3"/>
      <c r="D7780" s="3"/>
      <c r="E7780" s="5" t="str">
        <f>HYPERLINK("https://dpmzos25m8ivg.cloudfront.net/Documentos/631/70846418401/6317084641840111092023101240.pdf","https://dpmzos25m8ivg.cloudfront.net/Documentos/631/70846418401/6317084641840111092023101240.pdf")</f>
        <v>https://dpmzos25m8ivg.cloudfront.net/Documentos/631/70846418401/6317084641840111092023101240.pdf</v>
      </c>
      <c r="F7780" s="5" t="str">
        <f>HYPERLINK("https://dpmzos25m8ivg.cloudfront.net/Documentos/631/70846418401/6317084641840111092023101637.pdf","https://dpmzos25m8ivg.cloudfront.net/Documentos/631/70846418401/6317084641840111092023101637.pdf")</f>
        <v>https://dpmzos25m8ivg.cloudfront.net/Documentos/631/70846418401/6317084641840111092023101637.pdf</v>
      </c>
      <c r="G7780" s="5" t="str">
        <f>HYPERLINK("https://dpmzos25m8ivg.cloudfront.net/Documentos/631/70846418401/6317084641840111092023101750.pdf","https://dpmzos25m8ivg.cloudfront.net/Documentos/631/70846418401/6317084641840111092023101750.pdf")</f>
        <v>https://dpmzos25m8ivg.cloudfront.net/Documentos/631/70846418401/6317084641840111092023101750.pdf</v>
      </c>
      <c r="H7780" s="5" t="s">
        <v>16348</v>
      </c>
    </row>
    <row r="7781" spans="1:8" x14ac:dyDescent="0.25">
      <c r="A7781" s="2" t="s">
        <v>7809</v>
      </c>
      <c r="B7781" s="3" t="s">
        <v>90</v>
      </c>
      <c r="C7781" s="3"/>
      <c r="D7781" s="3"/>
      <c r="E7781" s="5" t="str">
        <f>HYPERLINK("https://dpmzos25m8ivg.cloudfront.net/Documentos/631/70848905482/6317084890548211092023130745.pdf","https://dpmzos25m8ivg.cloudfront.net/Documentos/631/70848905482/6317084890548211092023130745.pdf")</f>
        <v>https://dpmzos25m8ivg.cloudfront.net/Documentos/631/70848905482/6317084890548211092023130745.pdf</v>
      </c>
      <c r="F7781" s="5" t="str">
        <f>HYPERLINK("https://dpmzos25m8ivg.cloudfront.net/Documentos/631/70848905482/6317084890548211092023131215.pdf","https://dpmzos25m8ivg.cloudfront.net/Documentos/631/70848905482/6317084890548211092023131215.pdf")</f>
        <v>https://dpmzos25m8ivg.cloudfront.net/Documentos/631/70848905482/6317084890548211092023131215.pdf</v>
      </c>
      <c r="G7781" s="5" t="str">
        <f>HYPERLINK("https://dpmzos25m8ivg.cloudfront.net/Documentos/631/70848905482/6317084890548211092023131402.pdf","https://dpmzos25m8ivg.cloudfront.net/Documentos/631/70848905482/6317084890548211092023131402.pdf")</f>
        <v>https://dpmzos25m8ivg.cloudfront.net/Documentos/631/70848905482/6317084890548211092023131402.pdf</v>
      </c>
      <c r="H7781" s="5" t="s">
        <v>16349</v>
      </c>
    </row>
    <row r="7782" spans="1:8" x14ac:dyDescent="0.25">
      <c r="A7782" s="2" t="s">
        <v>7810</v>
      </c>
      <c r="B7782" s="3"/>
      <c r="C7782" s="3"/>
      <c r="D7782" s="3"/>
      <c r="E7782" s="5" t="str">
        <f>HYPERLINK("https://dpmzos25m8ivg.cloudfront.net/Documentos/631/70860527107/6317086052710713092023162957.pdf","https://dpmzos25m8ivg.cloudfront.net/Documentos/631/70860527107/6317086052710713092023162957.pdf")</f>
        <v>https://dpmzos25m8ivg.cloudfront.net/Documentos/631/70860527107/6317086052710713092023162957.pdf</v>
      </c>
      <c r="F7782" s="5" t="str">
        <f>HYPERLINK("https://dpmzos25m8ivg.cloudfront.net/Documentos/631/70860527107/6317086052710713092023163030.pdf","https://dpmzos25m8ivg.cloudfront.net/Documentos/631/70860527107/6317086052710713092023163030.pdf")</f>
        <v>https://dpmzos25m8ivg.cloudfront.net/Documentos/631/70860527107/6317086052710713092023163030.pdf</v>
      </c>
      <c r="G7782" s="5" t="str">
        <f>HYPERLINK("https://dpmzos25m8ivg.cloudfront.net/Documentos/631/70860527107/6317086052710713092023163058.pdf","https://dpmzos25m8ivg.cloudfront.net/Documentos/631/70860527107/6317086052710713092023163058.pdf")</f>
        <v>https://dpmzos25m8ivg.cloudfront.net/Documentos/631/70860527107/6317086052710713092023163058.pdf</v>
      </c>
      <c r="H7782" s="5" t="s">
        <v>16350</v>
      </c>
    </row>
    <row r="7783" spans="1:8" x14ac:dyDescent="0.25">
      <c r="A7783" s="2" t="s">
        <v>7811</v>
      </c>
      <c r="B7783" s="3"/>
      <c r="C7783" s="3"/>
      <c r="D7783" s="3"/>
      <c r="E7783" s="5" t="str">
        <f>HYPERLINK("https://dpmzos25m8ivg.cloudfront.net/Documentos/631/70861273109/6317086127310909092023132302.pdf","https://dpmzos25m8ivg.cloudfront.net/Documentos/631/70861273109/6317086127310909092023132302.pdf")</f>
        <v>https://dpmzos25m8ivg.cloudfront.net/Documentos/631/70861273109/6317086127310909092023132302.pdf</v>
      </c>
      <c r="F7783" s="5" t="str">
        <f>HYPERLINK("https://dpmzos25m8ivg.cloudfront.net/Documentos/631/70861273109/6317086127310909092023132316.pdf","https://dpmzos25m8ivg.cloudfront.net/Documentos/631/70861273109/6317086127310909092023132316.pdf")</f>
        <v>https://dpmzos25m8ivg.cloudfront.net/Documentos/631/70861273109/6317086127310909092023132316.pdf</v>
      </c>
      <c r="G7783" s="5" t="str">
        <f>HYPERLINK("https://dpmzos25m8ivg.cloudfront.net/Documentos/631/70861273109/6317086127310909092023132330.pdf","https://dpmzos25m8ivg.cloudfront.net/Documentos/631/70861273109/6317086127310909092023132330.pdf")</f>
        <v>https://dpmzos25m8ivg.cloudfront.net/Documentos/631/70861273109/6317086127310909092023132330.pdf</v>
      </c>
      <c r="H7783" s="5" t="s">
        <v>16351</v>
      </c>
    </row>
    <row r="7784" spans="1:8" x14ac:dyDescent="0.25">
      <c r="A7784" s="2" t="s">
        <v>7812</v>
      </c>
      <c r="B7784" s="3"/>
      <c r="C7784" s="3"/>
      <c r="D7784" s="3"/>
      <c r="E7784" s="5" t="str">
        <f>HYPERLINK("https://dpmzos25m8ivg.cloudfront.net/Documentos/631/70861944410/6317086194441011092023101819.pdf","https://dpmzos25m8ivg.cloudfront.net/Documentos/631/70861944410/6317086194441011092023101819.pdf")</f>
        <v>https://dpmzos25m8ivg.cloudfront.net/Documentos/631/70861944410/6317086194441011092023101819.pdf</v>
      </c>
      <c r="F7784" s="5" t="str">
        <f>HYPERLINK("https://dpmzos25m8ivg.cloudfront.net/Documentos/631/70861944410/6317086194441011092023101843.pdf","https://dpmzos25m8ivg.cloudfront.net/Documentos/631/70861944410/6317086194441011092023101843.pdf")</f>
        <v>https://dpmzos25m8ivg.cloudfront.net/Documentos/631/70861944410/6317086194441011092023101843.pdf</v>
      </c>
      <c r="G7784" s="5" t="str">
        <f>HYPERLINK("https://dpmzos25m8ivg.cloudfront.net/Documentos/631/70861944410/6317086194441011092023101857.pdf","https://dpmzos25m8ivg.cloudfront.net/Documentos/631/70861944410/6317086194441011092023101857.pdf")</f>
        <v>https://dpmzos25m8ivg.cloudfront.net/Documentos/631/70861944410/6317086194441011092023101857.pdf</v>
      </c>
      <c r="H7784" s="5" t="s">
        <v>16352</v>
      </c>
    </row>
    <row r="7785" spans="1:8" x14ac:dyDescent="0.25">
      <c r="A7785" s="2" t="s">
        <v>7813</v>
      </c>
      <c r="B7785" s="3"/>
      <c r="C7785" s="3"/>
      <c r="D7785" s="3"/>
      <c r="E7785" s="5" t="str">
        <f>HYPERLINK("https://dpmzos25m8ivg.cloudfront.net/Documentos/631/70862750423/6317086275042305092023202904.pdf","https://dpmzos25m8ivg.cloudfront.net/Documentos/631/70862750423/6317086275042305092023202904.pdf")</f>
        <v>https://dpmzos25m8ivg.cloudfront.net/Documentos/631/70862750423/6317086275042305092023202904.pdf</v>
      </c>
      <c r="F7785" s="5" t="str">
        <f>HYPERLINK("https://dpmzos25m8ivg.cloudfront.net/Documentos/631/70862750423/6317086275042305092023202933.pdf","https://dpmzos25m8ivg.cloudfront.net/Documentos/631/70862750423/6317086275042305092023202933.pdf")</f>
        <v>https://dpmzos25m8ivg.cloudfront.net/Documentos/631/70862750423/6317086275042305092023202933.pdf</v>
      </c>
      <c r="G7785" s="5" t="str">
        <f>HYPERLINK("https://dpmzos25m8ivg.cloudfront.net/Documentos/631/70862750423/6317086275042305092023202944.pdf","https://dpmzos25m8ivg.cloudfront.net/Documentos/631/70862750423/6317086275042305092023202944.pdf")</f>
        <v>https://dpmzos25m8ivg.cloudfront.net/Documentos/631/70862750423/6317086275042305092023202944.pdf</v>
      </c>
      <c r="H7785" s="5" t="s">
        <v>16353</v>
      </c>
    </row>
    <row r="7786" spans="1:8" x14ac:dyDescent="0.25">
      <c r="A7786" s="2" t="s">
        <v>7814</v>
      </c>
      <c r="B7786" s="3"/>
      <c r="C7786" s="3"/>
      <c r="D7786" s="3"/>
      <c r="E7786" s="5" t="str">
        <f>HYPERLINK("https://dpmzos25m8ivg.cloudfront.net/Documentos/631/70863473458/6317086347345811092023155614.pdf","https://dpmzos25m8ivg.cloudfront.net/Documentos/631/70863473458/6317086347345811092023155614.pdf")</f>
        <v>https://dpmzos25m8ivg.cloudfront.net/Documentos/631/70863473458/6317086347345811092023155614.pdf</v>
      </c>
      <c r="F7786" s="5" t="str">
        <f>HYPERLINK("https://dpmzos25m8ivg.cloudfront.net/Documentos/631/70863473458/6317086347345811092023155628.pdf","https://dpmzos25m8ivg.cloudfront.net/Documentos/631/70863473458/6317086347345811092023155628.pdf")</f>
        <v>https://dpmzos25m8ivg.cloudfront.net/Documentos/631/70863473458/6317086347345811092023155628.pdf</v>
      </c>
      <c r="G7786" s="5" t="str">
        <f>HYPERLINK("https://dpmzos25m8ivg.cloudfront.net/Documentos/631/70863473458/6317086347345811092023155645.pdf","https://dpmzos25m8ivg.cloudfront.net/Documentos/631/70863473458/6317086347345811092023155645.pdf")</f>
        <v>https://dpmzos25m8ivg.cloudfront.net/Documentos/631/70863473458/6317086347345811092023155645.pdf</v>
      </c>
      <c r="H7786" s="5" t="s">
        <v>16354</v>
      </c>
    </row>
    <row r="7787" spans="1:8" x14ac:dyDescent="0.25">
      <c r="A7787" s="2" t="s">
        <v>7815</v>
      </c>
      <c r="B7787" s="3"/>
      <c r="C7787" s="3"/>
      <c r="D7787" s="3"/>
      <c r="E7787" s="5" t="str">
        <f>HYPERLINK("https://dpmzos25m8ivg.cloudfront.net/Documentos/631/70879709413/6317087970941311092023145740.pdf","https://dpmzos25m8ivg.cloudfront.net/Documentos/631/70879709413/6317087970941311092023145740.pdf")</f>
        <v>https://dpmzos25m8ivg.cloudfront.net/Documentos/631/70879709413/6317087970941311092023145740.pdf</v>
      </c>
      <c r="F7787" s="5" t="str">
        <f>HYPERLINK("https://dpmzos25m8ivg.cloudfront.net/Documentos/631/70879709413/6317087970941311092023145833.pdf","https://dpmzos25m8ivg.cloudfront.net/Documentos/631/70879709413/6317087970941311092023145833.pdf")</f>
        <v>https://dpmzos25m8ivg.cloudfront.net/Documentos/631/70879709413/6317087970941311092023145833.pdf</v>
      </c>
      <c r="G7787" s="5" t="str">
        <f>HYPERLINK("https://dpmzos25m8ivg.cloudfront.net/Documentos/631/70879709413/6317087970941311092023145850.pdf","https://dpmzos25m8ivg.cloudfront.net/Documentos/631/70879709413/6317087970941311092023145850.pdf")</f>
        <v>https://dpmzos25m8ivg.cloudfront.net/Documentos/631/70879709413/6317087970941311092023145850.pdf</v>
      </c>
      <c r="H7787" s="5" t="s">
        <v>16355</v>
      </c>
    </row>
    <row r="7788" spans="1:8" x14ac:dyDescent="0.25">
      <c r="A7788" s="2" t="s">
        <v>7816</v>
      </c>
      <c r="B7788" s="3" t="s">
        <v>90</v>
      </c>
      <c r="C7788" s="3"/>
      <c r="D7788" s="3"/>
      <c r="E7788" s="5" t="str">
        <f>HYPERLINK("https://dpmzos25m8ivg.cloudfront.net/Documentos/631/70886950147/6317088695014711092023145538.pdf","https://dpmzos25m8ivg.cloudfront.net/Documentos/631/70886950147/6317088695014711092023145538.pdf")</f>
        <v>https://dpmzos25m8ivg.cloudfront.net/Documentos/631/70886950147/6317088695014711092023145538.pdf</v>
      </c>
      <c r="F7788" s="5" t="str">
        <f>HYPERLINK("https://dpmzos25m8ivg.cloudfront.net/Documentos/631/70886950147/6317088695014711092023145551.pdf","https://dpmzos25m8ivg.cloudfront.net/Documentos/631/70886950147/6317088695014711092023145551.pdf")</f>
        <v>https://dpmzos25m8ivg.cloudfront.net/Documentos/631/70886950147/6317088695014711092023145551.pdf</v>
      </c>
      <c r="G7788" s="5" t="str">
        <f>HYPERLINK("https://dpmzos25m8ivg.cloudfront.net/Documentos/631/70886950147/6317088695014711092023145615.pdf","https://dpmzos25m8ivg.cloudfront.net/Documentos/631/70886950147/6317088695014711092023145615.pdf")</f>
        <v>https://dpmzos25m8ivg.cloudfront.net/Documentos/631/70886950147/6317088695014711092023145615.pdf</v>
      </c>
      <c r="H7788" s="5" t="s">
        <v>16356</v>
      </c>
    </row>
    <row r="7789" spans="1:8" x14ac:dyDescent="0.25">
      <c r="A7789" s="2" t="s">
        <v>7817</v>
      </c>
      <c r="B7789" s="3"/>
      <c r="C7789" s="3"/>
      <c r="D7789" s="3"/>
      <c r="E7789" s="5" t="str">
        <f>HYPERLINK("https://dpmzos25m8ivg.cloudfront.net/Documentos/631/70887876102/6317088787610207092023120343.pdf","https://dpmzos25m8ivg.cloudfront.net/Documentos/631/70887876102/6317088787610207092023120343.pdf")</f>
        <v>https://dpmzos25m8ivg.cloudfront.net/Documentos/631/70887876102/6317088787610207092023120343.pdf</v>
      </c>
      <c r="F7789" s="5" t="str">
        <f>HYPERLINK("https://dpmzos25m8ivg.cloudfront.net/Documentos/631/70887876102/6317088787610207092023120355.pdf","https://dpmzos25m8ivg.cloudfront.net/Documentos/631/70887876102/6317088787610207092023120355.pdf")</f>
        <v>https://dpmzos25m8ivg.cloudfront.net/Documentos/631/70887876102/6317088787610207092023120355.pdf</v>
      </c>
      <c r="G7789" s="5" t="str">
        <f>HYPERLINK("https://dpmzos25m8ivg.cloudfront.net/Documentos/631/70887876102/6317088787610207092023120407.pdf","https://dpmzos25m8ivg.cloudfront.net/Documentos/631/70887876102/6317088787610207092023120407.pdf")</f>
        <v>https://dpmzos25m8ivg.cloudfront.net/Documentos/631/70887876102/6317088787610207092023120407.pdf</v>
      </c>
      <c r="H7789" s="5" t="s">
        <v>16357</v>
      </c>
    </row>
    <row r="7790" spans="1:8" x14ac:dyDescent="0.25">
      <c r="A7790" s="2" t="s">
        <v>7818</v>
      </c>
      <c r="B7790" s="3"/>
      <c r="C7790" s="3"/>
      <c r="D7790" s="3"/>
      <c r="E7790" s="5" t="str">
        <f>HYPERLINK("https://dpmzos25m8ivg.cloudfront.net/Documentos/631/70901997110/6317090199711005092023121630.pdf","https://dpmzos25m8ivg.cloudfront.net/Documentos/631/70901997110/6317090199711005092023121630.pdf")</f>
        <v>https://dpmzos25m8ivg.cloudfront.net/Documentos/631/70901997110/6317090199711005092023121630.pdf</v>
      </c>
      <c r="F7790" s="5" t="str">
        <f>HYPERLINK("https://dpmzos25m8ivg.cloudfront.net/Documentos/631/70901997110/6317090199711005092023121637.pdf","https://dpmzos25m8ivg.cloudfront.net/Documentos/631/70901997110/6317090199711005092023121637.pdf")</f>
        <v>https://dpmzos25m8ivg.cloudfront.net/Documentos/631/70901997110/6317090199711005092023121637.pdf</v>
      </c>
      <c r="G7790" s="5" t="str">
        <f>HYPERLINK("https://dpmzos25m8ivg.cloudfront.net/Documentos/631/70901997110/6317090199711005092023121644.pdf","https://dpmzos25m8ivg.cloudfront.net/Documentos/631/70901997110/6317090199711005092023121644.pdf")</f>
        <v>https://dpmzos25m8ivg.cloudfront.net/Documentos/631/70901997110/6317090199711005092023121644.pdf</v>
      </c>
      <c r="H7790" s="5" t="s">
        <v>16358</v>
      </c>
    </row>
    <row r="7791" spans="1:8" x14ac:dyDescent="0.25">
      <c r="A7791" s="2" t="s">
        <v>7819</v>
      </c>
      <c r="B7791" s="3"/>
      <c r="C7791" s="3"/>
      <c r="D7791" s="3"/>
      <c r="E7791" s="5" t="str">
        <f>HYPERLINK("https://dpmzos25m8ivg.cloudfront.net/Documentos/631/70905341465/6317090534146509092023003607.jpeg","https://dpmzos25m8ivg.cloudfront.net/Documentos/631/70905341465/6317090534146509092023003607.jpeg")</f>
        <v>https://dpmzos25m8ivg.cloudfront.net/Documentos/631/70905341465/6317090534146509092023003607.jpeg</v>
      </c>
      <c r="F7791" s="5" t="str">
        <f>HYPERLINK("https://dpmzos25m8ivg.cloudfront.net/Documentos/631/70905341465/6317090534146509092023003615.jpeg","https://dpmzos25m8ivg.cloudfront.net/Documentos/631/70905341465/6317090534146509092023003615.jpeg")</f>
        <v>https://dpmzos25m8ivg.cloudfront.net/Documentos/631/70905341465/6317090534146509092023003615.jpeg</v>
      </c>
      <c r="G7791" s="5" t="str">
        <f>HYPERLINK("https://dpmzos25m8ivg.cloudfront.net/Documentos/631/70905341465/6317090534146509092023003623.jpeg","https://dpmzos25m8ivg.cloudfront.net/Documentos/631/70905341465/6317090534146509092023003623.jpeg")</f>
        <v>https://dpmzos25m8ivg.cloudfront.net/Documentos/631/70905341465/6317090534146509092023003623.jpeg</v>
      </c>
      <c r="H7791" s="5" t="s">
        <v>16359</v>
      </c>
    </row>
    <row r="7792" spans="1:8" x14ac:dyDescent="0.25">
      <c r="A7792" s="2" t="s">
        <v>7820</v>
      </c>
      <c r="B7792" s="3"/>
      <c r="C7792" s="3"/>
      <c r="D7792" s="3"/>
      <c r="E7792" s="5" t="str">
        <f>HYPERLINK("https://dpmzos25m8ivg.cloudfront.net/Documentos/631/70906899133/6317090689913310092023142407.pdf","https://dpmzos25m8ivg.cloudfront.net/Documentos/631/70906899133/6317090689913310092023142407.pdf")</f>
        <v>https://dpmzos25m8ivg.cloudfront.net/Documentos/631/70906899133/6317090689913310092023142407.pdf</v>
      </c>
      <c r="F7792" s="5" t="str">
        <f>HYPERLINK("https://dpmzos25m8ivg.cloudfront.net/Documentos/631/70906899133/6317090689913310092023142422.pdf","https://dpmzos25m8ivg.cloudfront.net/Documentos/631/70906899133/6317090689913310092023142422.pdf")</f>
        <v>https://dpmzos25m8ivg.cloudfront.net/Documentos/631/70906899133/6317090689913310092023142422.pdf</v>
      </c>
      <c r="G7792" s="5" t="str">
        <f>HYPERLINK("https://dpmzos25m8ivg.cloudfront.net/Documentos/631/70906899133/6317090689913310092023142442.pdf","https://dpmzos25m8ivg.cloudfront.net/Documentos/631/70906899133/6317090689913310092023142442.pdf")</f>
        <v>https://dpmzos25m8ivg.cloudfront.net/Documentos/631/70906899133/6317090689913310092023142442.pdf</v>
      </c>
      <c r="H7792" s="5" t="s">
        <v>16360</v>
      </c>
    </row>
    <row r="7793" spans="1:8" x14ac:dyDescent="0.25">
      <c r="A7793" s="2" t="s">
        <v>7821</v>
      </c>
      <c r="B7793" s="3"/>
      <c r="C7793" s="3"/>
      <c r="D7793" s="3"/>
      <c r="E7793" s="5" t="str">
        <f>HYPERLINK("https://dpmzos25m8ivg.cloudfront.net/Documentos/631/70909785406/6317090978540605092023084703.pdf","https://dpmzos25m8ivg.cloudfront.net/Documentos/631/70909785406/6317090978540605092023084703.pdf")</f>
        <v>https://dpmzos25m8ivg.cloudfront.net/Documentos/631/70909785406/6317090978540605092023084703.pdf</v>
      </c>
      <c r="F7793" s="5" t="str">
        <f>HYPERLINK("https://dpmzos25m8ivg.cloudfront.net/Documentos/631/70909785406/6317090978540605092023084714.pdf","https://dpmzos25m8ivg.cloudfront.net/Documentos/631/70909785406/6317090978540605092023084714.pdf")</f>
        <v>https://dpmzos25m8ivg.cloudfront.net/Documentos/631/70909785406/6317090978540605092023084714.pdf</v>
      </c>
      <c r="G7793" s="5" t="str">
        <f>HYPERLINK("https://dpmzos25m8ivg.cloudfront.net/Documentos/631/70909785406/6317090978540605092023084723.pdf","https://dpmzos25m8ivg.cloudfront.net/Documentos/631/70909785406/6317090978540605092023084723.pdf")</f>
        <v>https://dpmzos25m8ivg.cloudfront.net/Documentos/631/70909785406/6317090978540605092023084723.pdf</v>
      </c>
      <c r="H7793" s="5" t="s">
        <v>16361</v>
      </c>
    </row>
    <row r="7794" spans="1:8" x14ac:dyDescent="0.25">
      <c r="A7794" s="2" t="s">
        <v>7822</v>
      </c>
      <c r="B7794" s="3"/>
      <c r="C7794" s="3"/>
      <c r="D7794" s="3"/>
      <c r="E7794" s="5" t="str">
        <f>HYPERLINK("https://dpmzos25m8ivg.cloudfront.net/Documentos/631/70923916105/6317092391610511092023134824.pdf","https://dpmzos25m8ivg.cloudfront.net/Documentos/631/70923916105/6317092391610511092023134824.pdf")</f>
        <v>https://dpmzos25m8ivg.cloudfront.net/Documentos/631/70923916105/6317092391610511092023134824.pdf</v>
      </c>
      <c r="F7794" s="5" t="str">
        <f>HYPERLINK("https://dpmzos25m8ivg.cloudfront.net/Documentos/631/70923916105/6317092391610511092023134833.pdf","https://dpmzos25m8ivg.cloudfront.net/Documentos/631/70923916105/6317092391610511092023134833.pdf")</f>
        <v>https://dpmzos25m8ivg.cloudfront.net/Documentos/631/70923916105/6317092391610511092023134833.pdf</v>
      </c>
      <c r="G7794" s="5" t="str">
        <f>HYPERLINK("https://dpmzos25m8ivg.cloudfront.net/Documentos/631/70923916105/6317092391610511092023134843.pdf","https://dpmzos25m8ivg.cloudfront.net/Documentos/631/70923916105/6317092391610511092023134843.pdf")</f>
        <v>https://dpmzos25m8ivg.cloudfront.net/Documentos/631/70923916105/6317092391610511092023134843.pdf</v>
      </c>
      <c r="H7794" s="5" t="s">
        <v>16362</v>
      </c>
    </row>
    <row r="7795" spans="1:8" x14ac:dyDescent="0.25">
      <c r="A7795" s="2" t="s">
        <v>7823</v>
      </c>
      <c r="B7795" s="3"/>
      <c r="C7795" s="3"/>
      <c r="D7795" s="3"/>
      <c r="E7795" s="5" t="str">
        <f>HYPERLINK("https://dpmzos25m8ivg.cloudfront.net/Documentos/631/70924740191/6317092474019110092023130744.jpg","https://dpmzos25m8ivg.cloudfront.net/Documentos/631/70924740191/6317092474019110092023130744.jpg")</f>
        <v>https://dpmzos25m8ivg.cloudfront.net/Documentos/631/70924740191/6317092474019110092023130744.jpg</v>
      </c>
      <c r="F7795" s="5" t="str">
        <f>HYPERLINK("https://dpmzos25m8ivg.cloudfront.net/Documentos/631/70924740191/6317092474019110092023130803.jpg","https://dpmzos25m8ivg.cloudfront.net/Documentos/631/70924740191/6317092474019110092023130803.jpg")</f>
        <v>https://dpmzos25m8ivg.cloudfront.net/Documentos/631/70924740191/6317092474019110092023130803.jpg</v>
      </c>
      <c r="G7795" s="5" t="str">
        <f>HYPERLINK("https://dpmzos25m8ivg.cloudfront.net/Documentos/631/70924740191/6317092474019110092023130823.jpg","https://dpmzos25m8ivg.cloudfront.net/Documentos/631/70924740191/6317092474019110092023130823.jpg")</f>
        <v>https://dpmzos25m8ivg.cloudfront.net/Documentos/631/70924740191/6317092474019110092023130823.jpg</v>
      </c>
      <c r="H7795" s="5" t="s">
        <v>16363</v>
      </c>
    </row>
    <row r="7796" spans="1:8" x14ac:dyDescent="0.25">
      <c r="A7796" s="2" t="s">
        <v>7824</v>
      </c>
      <c r="B7796" s="3"/>
      <c r="C7796" s="3"/>
      <c r="D7796" s="3"/>
      <c r="E7796" s="5" t="str">
        <f>HYPERLINK("https://dpmzos25m8ivg.cloudfront.net/Documentos/631/70942334426/6317094233442611092023160006.pdf","https://dpmzos25m8ivg.cloudfront.net/Documentos/631/70942334426/6317094233442611092023160006.pdf")</f>
        <v>https://dpmzos25m8ivg.cloudfront.net/Documentos/631/70942334426/6317094233442611092023160006.pdf</v>
      </c>
      <c r="F7796" s="5" t="str">
        <f>HYPERLINK("https://dpmzos25m8ivg.cloudfront.net/Documentos/631/70942334426/6317094233442611092023160038.pdf","https://dpmzos25m8ivg.cloudfront.net/Documentos/631/70942334426/6317094233442611092023160038.pdf")</f>
        <v>https://dpmzos25m8ivg.cloudfront.net/Documentos/631/70942334426/6317094233442611092023160038.pdf</v>
      </c>
      <c r="G7796" s="5" t="str">
        <f>HYPERLINK("https://dpmzos25m8ivg.cloudfront.net/Documentos/631/70942334426/6317094233442611092023160103.pdf","https://dpmzos25m8ivg.cloudfront.net/Documentos/631/70942334426/6317094233442611092023160103.pdf")</f>
        <v>https://dpmzos25m8ivg.cloudfront.net/Documentos/631/70942334426/6317094233442611092023160103.pdf</v>
      </c>
      <c r="H7796" s="5" t="s">
        <v>16364</v>
      </c>
    </row>
    <row r="7797" spans="1:8" x14ac:dyDescent="0.25">
      <c r="A7797" s="2" t="s">
        <v>7825</v>
      </c>
      <c r="B7797" s="3"/>
      <c r="C7797" s="3"/>
      <c r="D7797" s="3"/>
      <c r="E7797" s="5" t="str">
        <f>HYPERLINK("https://dpmzos25m8ivg.cloudfront.net/Documentos/631/70953658490/6317095365849008092023214002.pdf","https://dpmzos25m8ivg.cloudfront.net/Documentos/631/70953658490/6317095365849008092023214002.pdf")</f>
        <v>https://dpmzos25m8ivg.cloudfront.net/Documentos/631/70953658490/6317095365849008092023214002.pdf</v>
      </c>
      <c r="F7797" s="5" t="str">
        <f>HYPERLINK("https://dpmzos25m8ivg.cloudfront.net/Documentos/631/70953658490/6317095365849008092023214040.pdf","https://dpmzos25m8ivg.cloudfront.net/Documentos/631/70953658490/6317095365849008092023214040.pdf")</f>
        <v>https://dpmzos25m8ivg.cloudfront.net/Documentos/631/70953658490/6317095365849008092023214040.pdf</v>
      </c>
      <c r="G7797" s="5" t="str">
        <f>HYPERLINK("https://dpmzos25m8ivg.cloudfront.net/Documentos/631/70953658490/6317095365849008092023214057.pdf","https://dpmzos25m8ivg.cloudfront.net/Documentos/631/70953658490/6317095365849008092023214057.pdf")</f>
        <v>https://dpmzos25m8ivg.cloudfront.net/Documentos/631/70953658490/6317095365849008092023214057.pdf</v>
      </c>
      <c r="H7797" s="5" t="s">
        <v>16365</v>
      </c>
    </row>
    <row r="7798" spans="1:8" x14ac:dyDescent="0.25">
      <c r="A7798" s="2" t="s">
        <v>7826</v>
      </c>
      <c r="B7798" s="3"/>
      <c r="C7798" s="3"/>
      <c r="D7798" s="3"/>
      <c r="E7798" s="5" t="str">
        <f>HYPERLINK("https://dpmzos25m8ivg.cloudfront.net/Documentos/631/70973777478/6317097377747811092023151035.pdf","https://dpmzos25m8ivg.cloudfront.net/Documentos/631/70973777478/6317097377747811092023151035.pdf")</f>
        <v>https://dpmzos25m8ivg.cloudfront.net/Documentos/631/70973777478/6317097377747811092023151035.pdf</v>
      </c>
      <c r="F7798" s="5" t="str">
        <f>HYPERLINK("https://dpmzos25m8ivg.cloudfront.net/Documentos/631/70973777478/6317097377747811092023151129.pdf","https://dpmzos25m8ivg.cloudfront.net/Documentos/631/70973777478/6317097377747811092023151129.pdf")</f>
        <v>https://dpmzos25m8ivg.cloudfront.net/Documentos/631/70973777478/6317097377747811092023151129.pdf</v>
      </c>
      <c r="G7798" s="5" t="str">
        <f>HYPERLINK("https://dpmzos25m8ivg.cloudfront.net/Documentos/631/70973777478/6317097377747811092023151230.pdf","https://dpmzos25m8ivg.cloudfront.net/Documentos/631/70973777478/6317097377747811092023151230.pdf")</f>
        <v>https://dpmzos25m8ivg.cloudfront.net/Documentos/631/70973777478/6317097377747811092023151230.pdf</v>
      </c>
      <c r="H7798" s="5" t="s">
        <v>16366</v>
      </c>
    </row>
    <row r="7799" spans="1:8" x14ac:dyDescent="0.25">
      <c r="A7799" s="2" t="s">
        <v>7827</v>
      </c>
      <c r="B7799" s="3"/>
      <c r="C7799" s="3"/>
      <c r="D7799" s="3"/>
      <c r="E7799" s="5" t="str">
        <f>HYPERLINK("https://dpmzos25m8ivg.cloudfront.net/Documentos/631/70974959103/6317097495910311092023161058.jpg","https://dpmzos25m8ivg.cloudfront.net/Documentos/631/70974959103/6317097495910311092023161058.jpg")</f>
        <v>https://dpmzos25m8ivg.cloudfront.net/Documentos/631/70974959103/6317097495910311092023161058.jpg</v>
      </c>
      <c r="F7799" s="5" t="str">
        <f>HYPERLINK("https://dpmzos25m8ivg.cloudfront.net/Documentos/631/70974959103/6317097495910311092023161116.jpg","https://dpmzos25m8ivg.cloudfront.net/Documentos/631/70974959103/6317097495910311092023161116.jpg")</f>
        <v>https://dpmzos25m8ivg.cloudfront.net/Documentos/631/70974959103/6317097495910311092023161116.jpg</v>
      </c>
      <c r="G7799" s="5" t="str">
        <f>HYPERLINK("https://dpmzos25m8ivg.cloudfront.net/Documentos/631/70974959103/6317097495910311092023161132.jpg","https://dpmzos25m8ivg.cloudfront.net/Documentos/631/70974959103/6317097495910311092023161132.jpg")</f>
        <v>https://dpmzos25m8ivg.cloudfront.net/Documentos/631/70974959103/6317097495910311092023161132.jpg</v>
      </c>
      <c r="H7799" s="5" t="s">
        <v>16367</v>
      </c>
    </row>
    <row r="7800" spans="1:8" x14ac:dyDescent="0.25">
      <c r="A7800" s="2" t="s">
        <v>7828</v>
      </c>
      <c r="B7800" s="3"/>
      <c r="C7800" s="3"/>
      <c r="D7800" s="3"/>
      <c r="E7800" s="5" t="str">
        <f>HYPERLINK("https://dpmzos25m8ivg.cloudfront.net/Documentos/631/70976421143/6317097642114309092023200445.pdf","https://dpmzos25m8ivg.cloudfront.net/Documentos/631/70976421143/6317097642114309092023200445.pdf")</f>
        <v>https://dpmzos25m8ivg.cloudfront.net/Documentos/631/70976421143/6317097642114309092023200445.pdf</v>
      </c>
      <c r="F7800" s="5" t="str">
        <f>HYPERLINK("https://dpmzos25m8ivg.cloudfront.net/Documentos/631/70976421143/6317097642114309092023200500.pdf","https://dpmzos25m8ivg.cloudfront.net/Documentos/631/70976421143/6317097642114309092023200500.pdf")</f>
        <v>https://dpmzos25m8ivg.cloudfront.net/Documentos/631/70976421143/6317097642114309092023200500.pdf</v>
      </c>
      <c r="G7800" s="5" t="str">
        <f>HYPERLINK("https://dpmzos25m8ivg.cloudfront.net/Documentos/631/70976421143/6317097642114309092023200507.pdf","https://dpmzos25m8ivg.cloudfront.net/Documentos/631/70976421143/6317097642114309092023200507.pdf")</f>
        <v>https://dpmzos25m8ivg.cloudfront.net/Documentos/631/70976421143/6317097642114309092023200507.pdf</v>
      </c>
      <c r="H7800" s="5" t="s">
        <v>16368</v>
      </c>
    </row>
    <row r="7801" spans="1:8" x14ac:dyDescent="0.25">
      <c r="A7801" s="2" t="s">
        <v>7829</v>
      </c>
      <c r="B7801" s="3" t="s">
        <v>23</v>
      </c>
      <c r="C7801" s="3"/>
      <c r="D7801" s="3"/>
      <c r="E7801" s="5" t="str">
        <f>HYPERLINK("https://dpmzos25m8ivg.cloudfront.net/Documentos/631/70978930606/6317097893060610092023202829.pdf","https://dpmzos25m8ivg.cloudfront.net/Documentos/631/70978930606/6317097893060610092023202829.pdf")</f>
        <v>https://dpmzos25m8ivg.cloudfront.net/Documentos/631/70978930606/6317097893060610092023202829.pdf</v>
      </c>
      <c r="F7801" s="5" t="str">
        <f>HYPERLINK("https://dpmzos25m8ivg.cloudfront.net/Documentos/631/70978930606/6317097893060610092023202926.pdf","https://dpmzos25m8ivg.cloudfront.net/Documentos/631/70978930606/6317097893060610092023202926.pdf")</f>
        <v>https://dpmzos25m8ivg.cloudfront.net/Documentos/631/70978930606/6317097893060610092023202926.pdf</v>
      </c>
      <c r="G7801" s="5" t="str">
        <f>HYPERLINK("https://dpmzos25m8ivg.cloudfront.net/Documentos/631/70978930606/6317097893060610092023202941.pdf","https://dpmzos25m8ivg.cloudfront.net/Documentos/631/70978930606/6317097893060610092023202941.pdf")</f>
        <v>https://dpmzos25m8ivg.cloudfront.net/Documentos/631/70978930606/6317097893060610092023202941.pdf</v>
      </c>
      <c r="H7801" s="5" t="s">
        <v>16369</v>
      </c>
    </row>
    <row r="7802" spans="1:8" x14ac:dyDescent="0.25">
      <c r="A7802" s="2" t="s">
        <v>7830</v>
      </c>
      <c r="B7802" s="3"/>
      <c r="C7802" s="3"/>
      <c r="D7802" s="3"/>
      <c r="E7802" s="5" t="str">
        <f>HYPERLINK("https://dpmzos25m8ivg.cloudfront.net/Documentos/631/70980200105/6317098020010511092023123325.pdf","https://dpmzos25m8ivg.cloudfront.net/Documentos/631/70980200105/6317098020010511092023123325.pdf")</f>
        <v>https://dpmzos25m8ivg.cloudfront.net/Documentos/631/70980200105/6317098020010511092023123325.pdf</v>
      </c>
      <c r="F7802" s="5" t="str">
        <f>HYPERLINK("https://dpmzos25m8ivg.cloudfront.net/Documentos/631/70980200105/6317098020010511092023123345.pdf","https://dpmzos25m8ivg.cloudfront.net/Documentos/631/70980200105/6317098020010511092023123345.pdf")</f>
        <v>https://dpmzos25m8ivg.cloudfront.net/Documentos/631/70980200105/6317098020010511092023123345.pdf</v>
      </c>
      <c r="G7802" s="5" t="str">
        <f>HYPERLINK("https://dpmzos25m8ivg.cloudfront.net/Documentos/631/70980200105/6317098020010511092023123358.pdf","https://dpmzos25m8ivg.cloudfront.net/Documentos/631/70980200105/6317098020010511092023123358.pdf")</f>
        <v>https://dpmzos25m8ivg.cloudfront.net/Documentos/631/70980200105/6317098020010511092023123358.pdf</v>
      </c>
      <c r="H7802" s="5" t="s">
        <v>16370</v>
      </c>
    </row>
    <row r="7803" spans="1:8" x14ac:dyDescent="0.25">
      <c r="A7803" s="2" t="s">
        <v>7831</v>
      </c>
      <c r="B7803" s="3"/>
      <c r="C7803" s="3"/>
      <c r="D7803" s="3"/>
      <c r="E7803" s="5" t="str">
        <f>HYPERLINK("https://dpmzos25m8ivg.cloudfront.net/Documentos/631/70985826460/6317098582646005092023100423.jpeg","https://dpmzos25m8ivg.cloudfront.net/Documentos/631/70985826460/6317098582646005092023100423.jpeg")</f>
        <v>https://dpmzos25m8ivg.cloudfront.net/Documentos/631/70985826460/6317098582646005092023100423.jpeg</v>
      </c>
      <c r="F7803" s="5" t="str">
        <f>HYPERLINK("https://dpmzos25m8ivg.cloudfront.net/Documentos/631/70985826460/6317098582646005092023100440.jpeg","https://dpmzos25m8ivg.cloudfront.net/Documentos/631/70985826460/6317098582646005092023100440.jpeg")</f>
        <v>https://dpmzos25m8ivg.cloudfront.net/Documentos/631/70985826460/6317098582646005092023100440.jpeg</v>
      </c>
      <c r="G7803" s="5" t="str">
        <f>HYPERLINK("https://dpmzos25m8ivg.cloudfront.net/Documentos/631/70985826460/6317098582646005092023100454.jpeg","https://dpmzos25m8ivg.cloudfront.net/Documentos/631/70985826460/6317098582646005092023100454.jpeg")</f>
        <v>https://dpmzos25m8ivg.cloudfront.net/Documentos/631/70985826460/6317098582646005092023100454.jpeg</v>
      </c>
      <c r="H7803" s="5" t="s">
        <v>16371</v>
      </c>
    </row>
    <row r="7804" spans="1:8" x14ac:dyDescent="0.25">
      <c r="A7804" s="2" t="s">
        <v>7832</v>
      </c>
      <c r="B7804" s="3" t="s">
        <v>90</v>
      </c>
      <c r="C7804" s="3"/>
      <c r="D7804" s="3"/>
      <c r="E7804" s="5" t="str">
        <f>HYPERLINK("https://dpmzos25m8ivg.cloudfront.net/Documentos/631/71001638115/6317100163811505092023181112.jpeg","https://dpmzos25m8ivg.cloudfront.net/Documentos/631/71001638115/6317100163811505092023181112.jpeg")</f>
        <v>https://dpmzos25m8ivg.cloudfront.net/Documentos/631/71001638115/6317100163811505092023181112.jpeg</v>
      </c>
      <c r="F7804" s="5" t="str">
        <f>HYPERLINK("https://dpmzos25m8ivg.cloudfront.net/Documentos/631/71001638115/6317100163811505092023181132.jpeg","https://dpmzos25m8ivg.cloudfront.net/Documentos/631/71001638115/6317100163811505092023181132.jpeg")</f>
        <v>https://dpmzos25m8ivg.cloudfront.net/Documentos/631/71001638115/6317100163811505092023181132.jpeg</v>
      </c>
      <c r="G7804" s="5" t="str">
        <f>HYPERLINK("https://dpmzos25m8ivg.cloudfront.net/Documentos/631/71001638115/6317100163811505092023181148.jpeg","https://dpmzos25m8ivg.cloudfront.net/Documentos/631/71001638115/6317100163811505092023181148.jpeg")</f>
        <v>https://dpmzos25m8ivg.cloudfront.net/Documentos/631/71001638115/6317100163811505092023181148.jpeg</v>
      </c>
      <c r="H7804" s="5" t="s">
        <v>16372</v>
      </c>
    </row>
    <row r="7805" spans="1:8" x14ac:dyDescent="0.25">
      <c r="A7805" s="2" t="s">
        <v>7833</v>
      </c>
      <c r="B7805" s="3"/>
      <c r="C7805" s="3"/>
      <c r="D7805" s="3"/>
      <c r="E7805" s="5" t="str">
        <f>HYPERLINK("https://dpmzos25m8ivg.cloudfront.net/Documentos/631/71004541406/6317100454140611092023110618.pdf","https://dpmzos25m8ivg.cloudfront.net/Documentos/631/71004541406/6317100454140611092023110618.pdf")</f>
        <v>https://dpmzos25m8ivg.cloudfront.net/Documentos/631/71004541406/6317100454140611092023110618.pdf</v>
      </c>
      <c r="F7805" s="5" t="str">
        <f>HYPERLINK("https://dpmzos25m8ivg.cloudfront.net/Documentos/631/71004541406/6317100454140611092023110644.pdf","https://dpmzos25m8ivg.cloudfront.net/Documentos/631/71004541406/6317100454140611092023110644.pdf")</f>
        <v>https://dpmzos25m8ivg.cloudfront.net/Documentos/631/71004541406/6317100454140611092023110644.pdf</v>
      </c>
      <c r="G7805" s="5" t="str">
        <f>HYPERLINK("https://dpmzos25m8ivg.cloudfront.net/Documentos/631/71004541406/6317100454140611092023110707.pdf","https://dpmzos25m8ivg.cloudfront.net/Documentos/631/71004541406/6317100454140611092023110707.pdf")</f>
        <v>https://dpmzos25m8ivg.cloudfront.net/Documentos/631/71004541406/6317100454140611092023110707.pdf</v>
      </c>
      <c r="H7805" s="5" t="s">
        <v>16373</v>
      </c>
    </row>
    <row r="7806" spans="1:8" x14ac:dyDescent="0.25">
      <c r="A7806" s="2" t="s">
        <v>7834</v>
      </c>
      <c r="B7806" s="3"/>
      <c r="C7806" s="3"/>
      <c r="D7806" s="3"/>
      <c r="E7806" s="5" t="str">
        <f>HYPERLINK("https://dpmzos25m8ivg.cloudfront.net/Documentos/631/71019790415/6317101979041511092023013553.pdf","https://dpmzos25m8ivg.cloudfront.net/Documentos/631/71019790415/6317101979041511092023013553.pdf")</f>
        <v>https://dpmzos25m8ivg.cloudfront.net/Documentos/631/71019790415/6317101979041511092023013553.pdf</v>
      </c>
      <c r="F7806" s="5" t="str">
        <f>HYPERLINK("https://dpmzos25m8ivg.cloudfront.net/Documentos/631/71019790415/6317101979041511092023013602.pdf","https://dpmzos25m8ivg.cloudfront.net/Documentos/631/71019790415/6317101979041511092023013602.pdf")</f>
        <v>https://dpmzos25m8ivg.cloudfront.net/Documentos/631/71019790415/6317101979041511092023013602.pdf</v>
      </c>
      <c r="G7806" s="5" t="str">
        <f>HYPERLINK("https://dpmzos25m8ivg.cloudfront.net/Documentos/631/71019790415/6317101979041511092023013611.pdf","https://dpmzos25m8ivg.cloudfront.net/Documentos/631/71019790415/6317101979041511092023013611.pdf")</f>
        <v>https://dpmzos25m8ivg.cloudfront.net/Documentos/631/71019790415/6317101979041511092023013611.pdf</v>
      </c>
      <c r="H7806" s="5" t="s">
        <v>16374</v>
      </c>
    </row>
    <row r="7807" spans="1:8" x14ac:dyDescent="0.25">
      <c r="A7807" s="2" t="s">
        <v>7835</v>
      </c>
      <c r="B7807" s="3" t="s">
        <v>308</v>
      </c>
      <c r="C7807" s="3"/>
      <c r="D7807" s="3"/>
      <c r="E7807" s="5" t="str">
        <f>HYPERLINK("https://dpmzos25m8ivg.cloudfront.net/Documentos/631/71021345504/6317102134550411092023133301.pdf","https://dpmzos25m8ivg.cloudfront.net/Documentos/631/71021345504/6317102134550411092023133301.pdf")</f>
        <v>https://dpmzos25m8ivg.cloudfront.net/Documentos/631/71021345504/6317102134550411092023133301.pdf</v>
      </c>
      <c r="F7807" s="5" t="str">
        <f>HYPERLINK("https://dpmzos25m8ivg.cloudfront.net/Documentos/631/71021345504/6317102134550411092023133323.pdf","https://dpmzos25m8ivg.cloudfront.net/Documentos/631/71021345504/6317102134550411092023133323.pdf")</f>
        <v>https://dpmzos25m8ivg.cloudfront.net/Documentos/631/71021345504/6317102134550411092023133323.pdf</v>
      </c>
      <c r="G7807" s="5" t="str">
        <f>HYPERLINK("https://dpmzos25m8ivg.cloudfront.net/Documentos/631/71021345504/6317102134550411092023133341.pdf","https://dpmzos25m8ivg.cloudfront.net/Documentos/631/71021345504/6317102134550411092023133341.pdf")</f>
        <v>https://dpmzos25m8ivg.cloudfront.net/Documentos/631/71021345504/6317102134550411092023133341.pdf</v>
      </c>
      <c r="H7807" s="5" t="s">
        <v>16375</v>
      </c>
    </row>
    <row r="7808" spans="1:8" x14ac:dyDescent="0.25">
      <c r="A7808" s="2" t="s">
        <v>7836</v>
      </c>
      <c r="B7808" s="3"/>
      <c r="C7808" s="3"/>
      <c r="D7808" s="3"/>
      <c r="E7808" s="5" t="str">
        <f>HYPERLINK("https://dpmzos25m8ivg.cloudfront.net/Documentos/631/71032714450/6317103271445008092023233507.pdf","https://dpmzos25m8ivg.cloudfront.net/Documentos/631/71032714450/6317103271445008092023233507.pdf")</f>
        <v>https://dpmzos25m8ivg.cloudfront.net/Documentos/631/71032714450/6317103271445008092023233507.pdf</v>
      </c>
      <c r="F7808" s="5" t="str">
        <f>HYPERLINK("https://dpmzos25m8ivg.cloudfront.net/Documentos/631/71032714450/6317103271445008092023233616.pdf","https://dpmzos25m8ivg.cloudfront.net/Documentos/631/71032714450/6317103271445008092023233616.pdf")</f>
        <v>https://dpmzos25m8ivg.cloudfront.net/Documentos/631/71032714450/6317103271445008092023233616.pdf</v>
      </c>
      <c r="G7808" s="5" t="str">
        <f>HYPERLINK("https://dpmzos25m8ivg.cloudfront.net/Documentos/631/71032714450/6317103271445008092023233630.pdf","https://dpmzos25m8ivg.cloudfront.net/Documentos/631/71032714450/6317103271445008092023233630.pdf")</f>
        <v>https://dpmzos25m8ivg.cloudfront.net/Documentos/631/71032714450/6317103271445008092023233630.pdf</v>
      </c>
      <c r="H7808" s="5" t="s">
        <v>16376</v>
      </c>
    </row>
    <row r="7809" spans="1:8" x14ac:dyDescent="0.25">
      <c r="A7809" s="2" t="s">
        <v>7837</v>
      </c>
      <c r="B7809" s="3"/>
      <c r="C7809" s="3"/>
      <c r="D7809" s="3"/>
      <c r="E7809" s="5" t="str">
        <f>HYPERLINK("https://dpmzos25m8ivg.cloudfront.net/Documentos/631/71052856489/6317105285648914092023150006.pdf","https://dpmzos25m8ivg.cloudfront.net/Documentos/631/71052856489/6317105285648914092023150006.pdf")</f>
        <v>https://dpmzos25m8ivg.cloudfront.net/Documentos/631/71052856489/6317105285648914092023150006.pdf</v>
      </c>
      <c r="F7809" s="5" t="str">
        <f>HYPERLINK("https://dpmzos25m8ivg.cloudfront.net/Documentos/631/71052856489/6317105285648914092023150021.pdf","https://dpmzos25m8ivg.cloudfront.net/Documentos/631/71052856489/6317105285648914092023150021.pdf")</f>
        <v>https://dpmzos25m8ivg.cloudfront.net/Documentos/631/71052856489/6317105285648914092023150021.pdf</v>
      </c>
      <c r="G7809" s="5" t="str">
        <f>HYPERLINK("https://dpmzos25m8ivg.cloudfront.net/Documentos/631/71052856489/6317105285648914092023150033.pdf","https://dpmzos25m8ivg.cloudfront.net/Documentos/631/71052856489/6317105285648914092023150033.pdf")</f>
        <v>https://dpmzos25m8ivg.cloudfront.net/Documentos/631/71052856489/6317105285648914092023150033.pdf</v>
      </c>
      <c r="H7809" s="5" t="s">
        <v>16377</v>
      </c>
    </row>
    <row r="7810" spans="1:8" x14ac:dyDescent="0.25">
      <c r="A7810" s="2" t="s">
        <v>7838</v>
      </c>
      <c r="B7810" s="3"/>
      <c r="C7810" s="3"/>
      <c r="D7810" s="3"/>
      <c r="E7810" s="5" t="str">
        <f>HYPERLINK("https://dpmzos25m8ivg.cloudfront.net/Documentos/631/71064006450/6317106400645011092023163117.pdf","https://dpmzos25m8ivg.cloudfront.net/Documentos/631/71064006450/6317106400645011092023163117.pdf")</f>
        <v>https://dpmzos25m8ivg.cloudfront.net/Documentos/631/71064006450/6317106400645011092023163117.pdf</v>
      </c>
      <c r="F7810" s="5" t="str">
        <f>HYPERLINK("https://dpmzos25m8ivg.cloudfront.net/Documentos/631/71064006450/6317106400645011092023163134.pdf","https://dpmzos25m8ivg.cloudfront.net/Documentos/631/71064006450/6317106400645011092023163134.pdf")</f>
        <v>https://dpmzos25m8ivg.cloudfront.net/Documentos/631/71064006450/6317106400645011092023163134.pdf</v>
      </c>
      <c r="G7810" s="5" t="str">
        <f>HYPERLINK("https://dpmzos25m8ivg.cloudfront.net/Documentos/631/71064006450/6317106400645011092023163150.pdf","https://dpmzos25m8ivg.cloudfront.net/Documentos/631/71064006450/6317106400645011092023163150.pdf")</f>
        <v>https://dpmzos25m8ivg.cloudfront.net/Documentos/631/71064006450/6317106400645011092023163150.pdf</v>
      </c>
      <c r="H7810" s="5" t="s">
        <v>16378</v>
      </c>
    </row>
    <row r="7811" spans="1:8" x14ac:dyDescent="0.25">
      <c r="A7811" s="2" t="s">
        <v>7839</v>
      </c>
      <c r="B7811" s="3"/>
      <c r="C7811" s="3"/>
      <c r="D7811" s="3"/>
      <c r="E7811" s="5" t="str">
        <f>HYPERLINK("https://dpmzos25m8ivg.cloudfront.net/Documentos/631/71071443402/6317107144340211092023111042.pdf","https://dpmzos25m8ivg.cloudfront.net/Documentos/631/71071443402/6317107144340211092023111042.pdf")</f>
        <v>https://dpmzos25m8ivg.cloudfront.net/Documentos/631/71071443402/6317107144340211092023111042.pdf</v>
      </c>
      <c r="F7811" s="5" t="str">
        <f>HYPERLINK("https://dpmzos25m8ivg.cloudfront.net/Documentos/631/71071443402/6317107144340211092023111123.pdf","https://dpmzos25m8ivg.cloudfront.net/Documentos/631/71071443402/6317107144340211092023111123.pdf")</f>
        <v>https://dpmzos25m8ivg.cloudfront.net/Documentos/631/71071443402/6317107144340211092023111123.pdf</v>
      </c>
      <c r="G7811" s="5" t="str">
        <f>HYPERLINK("https://dpmzos25m8ivg.cloudfront.net/Documentos/631/71071443402/6317107144340211092023111152.pdf","https://dpmzos25m8ivg.cloudfront.net/Documentos/631/71071443402/6317107144340211092023111152.pdf")</f>
        <v>https://dpmzos25m8ivg.cloudfront.net/Documentos/631/71071443402/6317107144340211092023111152.pdf</v>
      </c>
      <c r="H7811" s="5" t="s">
        <v>16379</v>
      </c>
    </row>
    <row r="7812" spans="1:8" x14ac:dyDescent="0.25">
      <c r="A7812" s="2" t="s">
        <v>7840</v>
      </c>
      <c r="B7812" s="3"/>
      <c r="C7812" s="3"/>
      <c r="D7812" s="3"/>
      <c r="E7812" s="5" t="str">
        <f>HYPERLINK("https://dpmzos25m8ivg.cloudfront.net/Documentos/631/71121430120/6317112143012008092023165611.pdf","https://dpmzos25m8ivg.cloudfront.net/Documentos/631/71121430120/6317112143012008092023165611.pdf")</f>
        <v>https://dpmzos25m8ivg.cloudfront.net/Documentos/631/71121430120/6317112143012008092023165611.pdf</v>
      </c>
      <c r="F7812" s="5" t="str">
        <f>HYPERLINK("https://dpmzos25m8ivg.cloudfront.net/Documentos/631/71121430120/6317112143012008092023165720.pdf","https://dpmzos25m8ivg.cloudfront.net/Documentos/631/71121430120/6317112143012008092023165720.pdf")</f>
        <v>https://dpmzos25m8ivg.cloudfront.net/Documentos/631/71121430120/6317112143012008092023165720.pdf</v>
      </c>
      <c r="G7812" s="5" t="str">
        <f>HYPERLINK("https://dpmzos25m8ivg.cloudfront.net/Documentos/631/71121430120/6317112143012008092023165746.pdf","https://dpmzos25m8ivg.cloudfront.net/Documentos/631/71121430120/6317112143012008092023165746.pdf")</f>
        <v>https://dpmzos25m8ivg.cloudfront.net/Documentos/631/71121430120/6317112143012008092023165746.pdf</v>
      </c>
      <c r="H7812" s="5" t="s">
        <v>16380</v>
      </c>
    </row>
    <row r="7813" spans="1:8" x14ac:dyDescent="0.25">
      <c r="A7813" s="2" t="s">
        <v>7841</v>
      </c>
      <c r="B7813" s="3" t="s">
        <v>90</v>
      </c>
      <c r="C7813" s="3"/>
      <c r="D7813" s="3"/>
      <c r="E7813" s="5" t="str">
        <f>HYPERLINK("https://dpmzos25m8ivg.cloudfront.net/Documentos/631/71125400110/6317112540011005092023163527.pdf","https://dpmzos25m8ivg.cloudfront.net/Documentos/631/71125400110/6317112540011005092023163527.pdf")</f>
        <v>https://dpmzos25m8ivg.cloudfront.net/Documentos/631/71125400110/6317112540011005092023163527.pdf</v>
      </c>
      <c r="F7813" s="5" t="str">
        <f>HYPERLINK("https://dpmzos25m8ivg.cloudfront.net/Documentos/631/71125400110/6317112540011005092023163548.pdf","https://dpmzos25m8ivg.cloudfront.net/Documentos/631/71125400110/6317112540011005092023163548.pdf")</f>
        <v>https://dpmzos25m8ivg.cloudfront.net/Documentos/631/71125400110/6317112540011005092023163548.pdf</v>
      </c>
      <c r="G7813" s="5" t="str">
        <f>HYPERLINK("https://dpmzos25m8ivg.cloudfront.net/Documentos/631/71125400110/6317112540011005092023163556.pdf","https://dpmzos25m8ivg.cloudfront.net/Documentos/631/71125400110/6317112540011005092023163556.pdf")</f>
        <v>https://dpmzos25m8ivg.cloudfront.net/Documentos/631/71125400110/6317112540011005092023163556.pdf</v>
      </c>
      <c r="H7813" s="5" t="s">
        <v>16381</v>
      </c>
    </row>
    <row r="7814" spans="1:8" x14ac:dyDescent="0.25">
      <c r="A7814" s="2" t="s">
        <v>7842</v>
      </c>
      <c r="B7814" s="3"/>
      <c r="C7814" s="3"/>
      <c r="D7814" s="3"/>
      <c r="E7814" s="5" t="str">
        <f>HYPERLINK("https://dpmzos25m8ivg.cloudfront.net/Documentos/631/71132322138/6317113232213811092023140707.jpeg","https://dpmzos25m8ivg.cloudfront.net/Documentos/631/71132322138/6317113232213811092023140707.jpeg")</f>
        <v>https://dpmzos25m8ivg.cloudfront.net/Documentos/631/71132322138/6317113232213811092023140707.jpeg</v>
      </c>
      <c r="F7814" s="5" t="str">
        <f>HYPERLINK("https://dpmzos25m8ivg.cloudfront.net/Documentos/631/71132322138/6317113232213811092023140726.jpeg","https://dpmzos25m8ivg.cloudfront.net/Documentos/631/71132322138/6317113232213811092023140726.jpeg")</f>
        <v>https://dpmzos25m8ivg.cloudfront.net/Documentos/631/71132322138/6317113232213811092023140726.jpeg</v>
      </c>
      <c r="G7814" s="5" t="str">
        <f>HYPERLINK("https://dpmzos25m8ivg.cloudfront.net/Documentos/631/71132322138/6317113232213811092023140738.jpeg","https://dpmzos25m8ivg.cloudfront.net/Documentos/631/71132322138/6317113232213811092023140738.jpeg")</f>
        <v>https://dpmzos25m8ivg.cloudfront.net/Documentos/631/71132322138/6317113232213811092023140738.jpeg</v>
      </c>
      <c r="H7814" s="5" t="s">
        <v>16382</v>
      </c>
    </row>
    <row r="7815" spans="1:8" x14ac:dyDescent="0.25">
      <c r="A7815" s="2" t="s">
        <v>7843</v>
      </c>
      <c r="B7815" s="3"/>
      <c r="C7815" s="3"/>
      <c r="D7815" s="3"/>
      <c r="E7815" s="5" t="str">
        <f>HYPERLINK("https://dpmzos25m8ivg.cloudfront.net/Documentos/631/71140372440/6317114037244007092023164350.pdf","https://dpmzos25m8ivg.cloudfront.net/Documentos/631/71140372440/6317114037244007092023164350.pdf")</f>
        <v>https://dpmzos25m8ivg.cloudfront.net/Documentos/631/71140372440/6317114037244007092023164350.pdf</v>
      </c>
      <c r="F7815" s="5" t="str">
        <f>HYPERLINK("https://dpmzos25m8ivg.cloudfront.net/Documentos/631/71140372440/6317114037244007092023164358.pdf","https://dpmzos25m8ivg.cloudfront.net/Documentos/631/71140372440/6317114037244007092023164358.pdf")</f>
        <v>https://dpmzos25m8ivg.cloudfront.net/Documentos/631/71140372440/6317114037244007092023164358.pdf</v>
      </c>
      <c r="G7815" s="5" t="str">
        <f>HYPERLINK("https://dpmzos25m8ivg.cloudfront.net/Documentos/631/71140372440/6317114037244007092023164404.pdf","https://dpmzos25m8ivg.cloudfront.net/Documentos/631/71140372440/6317114037244007092023164404.pdf")</f>
        <v>https://dpmzos25m8ivg.cloudfront.net/Documentos/631/71140372440/6317114037244007092023164404.pdf</v>
      </c>
      <c r="H7815" s="5" t="s">
        <v>16383</v>
      </c>
    </row>
    <row r="7816" spans="1:8" x14ac:dyDescent="0.25">
      <c r="A7816" s="2" t="s">
        <v>7844</v>
      </c>
      <c r="B7816" s="3"/>
      <c r="C7816" s="3"/>
      <c r="D7816" s="3"/>
      <c r="E7816" s="5" t="str">
        <f>HYPERLINK("https://dpmzos25m8ivg.cloudfront.net/Documentos/631/71165640473/6317116564047314092023152722.pdf","https://dpmzos25m8ivg.cloudfront.net/Documentos/631/71165640473/6317116564047314092023152722.pdf")</f>
        <v>https://dpmzos25m8ivg.cloudfront.net/Documentos/631/71165640473/6317116564047314092023152722.pdf</v>
      </c>
      <c r="F7816" s="5" t="str">
        <f>HYPERLINK("https://dpmzos25m8ivg.cloudfront.net/Documentos/631/71165640473/6317116564047314092023152753.pdf","https://dpmzos25m8ivg.cloudfront.net/Documentos/631/71165640473/6317116564047314092023152753.pdf")</f>
        <v>https://dpmzos25m8ivg.cloudfront.net/Documentos/631/71165640473/6317116564047314092023152753.pdf</v>
      </c>
      <c r="G7816" s="5" t="str">
        <f>HYPERLINK("https://dpmzos25m8ivg.cloudfront.net/Documentos/631/71165640473/6317116564047314092023152803.pdf","https://dpmzos25m8ivg.cloudfront.net/Documentos/631/71165640473/6317116564047314092023152803.pdf")</f>
        <v>https://dpmzos25m8ivg.cloudfront.net/Documentos/631/71165640473/6317116564047314092023152803.pdf</v>
      </c>
      <c r="H7816" s="5" t="s">
        <v>16384</v>
      </c>
    </row>
    <row r="7817" spans="1:8" x14ac:dyDescent="0.25">
      <c r="A7817" s="2" t="s">
        <v>7845</v>
      </c>
      <c r="B7817" s="3"/>
      <c r="C7817" s="3"/>
      <c r="D7817" s="3"/>
      <c r="E7817" s="5" t="str">
        <f>HYPERLINK("https://dpmzos25m8ivg.cloudfront.net/Documentos/631/71182084427/6317118208442708092023124456.jpeg","https://dpmzos25m8ivg.cloudfront.net/Documentos/631/71182084427/6317118208442708092023124456.jpeg")</f>
        <v>https://dpmzos25m8ivg.cloudfront.net/Documentos/631/71182084427/6317118208442708092023124456.jpeg</v>
      </c>
      <c r="F7817" s="5" t="str">
        <f>HYPERLINK("https://dpmzos25m8ivg.cloudfront.net/Documentos/631/71182084427/6317118208442708092023124515.jpeg","https://dpmzos25m8ivg.cloudfront.net/Documentos/631/71182084427/6317118208442708092023124515.jpeg")</f>
        <v>https://dpmzos25m8ivg.cloudfront.net/Documentos/631/71182084427/6317118208442708092023124515.jpeg</v>
      </c>
      <c r="G7817" s="5" t="str">
        <f>HYPERLINK("https://dpmzos25m8ivg.cloudfront.net/Documentos/631/71182084427/6317118208442708092023124537.jpeg","https://dpmzos25m8ivg.cloudfront.net/Documentos/631/71182084427/6317118208442708092023124537.jpeg")</f>
        <v>https://dpmzos25m8ivg.cloudfront.net/Documentos/631/71182084427/6317118208442708092023124537.jpeg</v>
      </c>
      <c r="H7817" s="5" t="s">
        <v>16385</v>
      </c>
    </row>
    <row r="7818" spans="1:8" x14ac:dyDescent="0.25">
      <c r="A7818" s="2" t="s">
        <v>7846</v>
      </c>
      <c r="B7818" s="3"/>
      <c r="C7818" s="3"/>
      <c r="D7818" s="3"/>
      <c r="E7818" s="5" t="str">
        <f>HYPERLINK("https://dpmzos25m8ivg.cloudfront.net/Documentos/631/71201519403/6317120151940309092023123845.pdf","https://dpmzos25m8ivg.cloudfront.net/Documentos/631/71201519403/6317120151940309092023123845.pdf")</f>
        <v>https://dpmzos25m8ivg.cloudfront.net/Documentos/631/71201519403/6317120151940309092023123845.pdf</v>
      </c>
      <c r="F7818" s="5" t="str">
        <f>HYPERLINK("https://dpmzos25m8ivg.cloudfront.net/Documentos/631/71201519403/6317120151940309092023123854.pdf","https://dpmzos25m8ivg.cloudfront.net/Documentos/631/71201519403/6317120151940309092023123854.pdf")</f>
        <v>https://dpmzos25m8ivg.cloudfront.net/Documentos/631/71201519403/6317120151940309092023123854.pdf</v>
      </c>
      <c r="G7818" s="5" t="str">
        <f>HYPERLINK("https://dpmzos25m8ivg.cloudfront.net/Documentos/631/71201519403/6317120151940309092023123905.pdf","https://dpmzos25m8ivg.cloudfront.net/Documentos/631/71201519403/6317120151940309092023123905.pdf")</f>
        <v>https://dpmzos25m8ivg.cloudfront.net/Documentos/631/71201519403/6317120151940309092023123905.pdf</v>
      </c>
      <c r="H7818" s="5" t="s">
        <v>16386</v>
      </c>
    </row>
    <row r="7819" spans="1:8" x14ac:dyDescent="0.25">
      <c r="A7819" s="2" t="s">
        <v>7847</v>
      </c>
      <c r="B7819" s="3"/>
      <c r="C7819" s="3"/>
      <c r="D7819" s="3"/>
      <c r="E7819" s="5" t="str">
        <f>HYPERLINK("https://dpmzos25m8ivg.cloudfront.net/Documentos/631/71201640407/6317120164040711092023143144.jpg","https://dpmzos25m8ivg.cloudfront.net/Documentos/631/71201640407/6317120164040711092023143144.jpg")</f>
        <v>https://dpmzos25m8ivg.cloudfront.net/Documentos/631/71201640407/6317120164040711092023143144.jpg</v>
      </c>
      <c r="F7819" s="5" t="str">
        <f>HYPERLINK("https://dpmzos25m8ivg.cloudfront.net/Documentos/631/71201640407/6317120164040711092023143225.jpg","https://dpmzos25m8ivg.cloudfront.net/Documentos/631/71201640407/6317120164040711092023143225.jpg")</f>
        <v>https://dpmzos25m8ivg.cloudfront.net/Documentos/631/71201640407/6317120164040711092023143225.jpg</v>
      </c>
      <c r="G7819" s="5" t="str">
        <f>HYPERLINK("https://dpmzos25m8ivg.cloudfront.net/Documentos/631/71201640407/6317120164040711092023143330.jpg","https://dpmzos25m8ivg.cloudfront.net/Documentos/631/71201640407/6317120164040711092023143330.jpg")</f>
        <v>https://dpmzos25m8ivg.cloudfront.net/Documentos/631/71201640407/6317120164040711092023143330.jpg</v>
      </c>
      <c r="H7819" s="5" t="s">
        <v>16387</v>
      </c>
    </row>
    <row r="7820" spans="1:8" x14ac:dyDescent="0.25">
      <c r="A7820" s="2" t="s">
        <v>7848</v>
      </c>
      <c r="B7820" s="3" t="s">
        <v>308</v>
      </c>
      <c r="C7820" s="3"/>
      <c r="D7820" s="3"/>
      <c r="E7820" s="5" t="str">
        <f>HYPERLINK("https://dpmzos25m8ivg.cloudfront.net/Documentos/631/71225639441/6317122563944111092023090732.pdf","https://dpmzos25m8ivg.cloudfront.net/Documentos/631/71225639441/6317122563944111092023090732.pdf")</f>
        <v>https://dpmzos25m8ivg.cloudfront.net/Documentos/631/71225639441/6317122563944111092023090732.pdf</v>
      </c>
      <c r="F7820" s="5" t="str">
        <f>HYPERLINK("https://dpmzos25m8ivg.cloudfront.net/Documentos/631/71225639441/6317122563944111092023090741.pdf","https://dpmzos25m8ivg.cloudfront.net/Documentos/631/71225639441/6317122563944111092023090741.pdf")</f>
        <v>https://dpmzos25m8ivg.cloudfront.net/Documentos/631/71225639441/6317122563944111092023090741.pdf</v>
      </c>
      <c r="G7820" s="5" t="str">
        <f>HYPERLINK("https://dpmzos25m8ivg.cloudfront.net/Documentos/631/71225639441/6317122563944111092023090802.pdf","https://dpmzos25m8ivg.cloudfront.net/Documentos/631/71225639441/6317122563944111092023090802.pdf")</f>
        <v>https://dpmzos25m8ivg.cloudfront.net/Documentos/631/71225639441/6317122563944111092023090802.pdf</v>
      </c>
      <c r="H7820" s="5" t="s">
        <v>16388</v>
      </c>
    </row>
    <row r="7821" spans="1:8" x14ac:dyDescent="0.25">
      <c r="A7821" s="2" t="s">
        <v>7849</v>
      </c>
      <c r="B7821" s="3"/>
      <c r="C7821" s="3"/>
      <c r="D7821" s="3"/>
      <c r="E7821" s="5" t="str">
        <f>HYPERLINK("https://dpmzos25m8ivg.cloudfront.net/Documentos/631/71230786406/6317123078640611092023103249.pdf","https://dpmzos25m8ivg.cloudfront.net/Documentos/631/71230786406/6317123078640611092023103249.pdf")</f>
        <v>https://dpmzos25m8ivg.cloudfront.net/Documentos/631/71230786406/6317123078640611092023103249.pdf</v>
      </c>
      <c r="F7821" s="5" t="str">
        <f>HYPERLINK("https://dpmzos25m8ivg.cloudfront.net/Documentos/631/71230786406/6317123078640611092023103300.pdf","https://dpmzos25m8ivg.cloudfront.net/Documentos/631/71230786406/6317123078640611092023103300.pdf")</f>
        <v>https://dpmzos25m8ivg.cloudfront.net/Documentos/631/71230786406/6317123078640611092023103300.pdf</v>
      </c>
      <c r="G7821" s="5" t="str">
        <f>HYPERLINK("https://dpmzos25m8ivg.cloudfront.net/Documentos/631/71230786406/6317123078640611092023103308.pdf","https://dpmzos25m8ivg.cloudfront.net/Documentos/631/71230786406/6317123078640611092023103308.pdf")</f>
        <v>https://dpmzos25m8ivg.cloudfront.net/Documentos/631/71230786406/6317123078640611092023103308.pdf</v>
      </c>
      <c r="H7821" s="5" t="s">
        <v>16389</v>
      </c>
    </row>
    <row r="7822" spans="1:8" x14ac:dyDescent="0.25">
      <c r="A7822" s="2" t="s">
        <v>7850</v>
      </c>
      <c r="B7822" s="3"/>
      <c r="C7822" s="3"/>
      <c r="D7822" s="3"/>
      <c r="E7822" s="5" t="str">
        <f>HYPERLINK("https://dpmzos25m8ivg.cloudfront.net/Documentos/631/71236181492/6317123618149207092023224233.pdf","https://dpmzos25m8ivg.cloudfront.net/Documentos/631/71236181492/6317123618149207092023224233.pdf")</f>
        <v>https://dpmzos25m8ivg.cloudfront.net/Documentos/631/71236181492/6317123618149207092023224233.pdf</v>
      </c>
      <c r="F7822" s="5" t="str">
        <f>HYPERLINK("https://dpmzos25m8ivg.cloudfront.net/Documentos/631/71236181492/6317123618149207092023224309.pdf","https://dpmzos25m8ivg.cloudfront.net/Documentos/631/71236181492/6317123618149207092023224309.pdf")</f>
        <v>https://dpmzos25m8ivg.cloudfront.net/Documentos/631/71236181492/6317123618149207092023224309.pdf</v>
      </c>
      <c r="G7822" s="5" t="str">
        <f>HYPERLINK("https://dpmzos25m8ivg.cloudfront.net/Documentos/631/71236181492/6317123618149207092023224352.pdf","https://dpmzos25m8ivg.cloudfront.net/Documentos/631/71236181492/6317123618149207092023224352.pdf")</f>
        <v>https://dpmzos25m8ivg.cloudfront.net/Documentos/631/71236181492/6317123618149207092023224352.pdf</v>
      </c>
      <c r="H7822" s="5" t="s">
        <v>16390</v>
      </c>
    </row>
    <row r="7823" spans="1:8" x14ac:dyDescent="0.25">
      <c r="A7823" s="2" t="s">
        <v>7851</v>
      </c>
      <c r="B7823" s="3"/>
      <c r="C7823" s="3"/>
      <c r="D7823" s="3"/>
      <c r="E7823" s="5" t="str">
        <f>HYPERLINK("https://dpmzos25m8ivg.cloudfront.net/Documentos/631/71292865474/6317129286547410092023225346.jpeg","https://dpmzos25m8ivg.cloudfront.net/Documentos/631/71292865474/6317129286547410092023225346.jpeg")</f>
        <v>https://dpmzos25m8ivg.cloudfront.net/Documentos/631/71292865474/6317129286547410092023225346.jpeg</v>
      </c>
      <c r="F7823" s="5" t="str">
        <f>HYPERLINK("https://dpmzos25m8ivg.cloudfront.net/Documentos/631/71292865474/6317129286547410092023225405.jpeg","https://dpmzos25m8ivg.cloudfront.net/Documentos/631/71292865474/6317129286547410092023225405.jpeg")</f>
        <v>https://dpmzos25m8ivg.cloudfront.net/Documentos/631/71292865474/6317129286547410092023225405.jpeg</v>
      </c>
      <c r="G7823" s="5" t="str">
        <f>HYPERLINK("https://dpmzos25m8ivg.cloudfront.net/Documentos/631/71292865474/6317129286547410092023225419.jpeg","https://dpmzos25m8ivg.cloudfront.net/Documentos/631/71292865474/6317129286547410092023225419.jpeg")</f>
        <v>https://dpmzos25m8ivg.cloudfront.net/Documentos/631/71292865474/6317129286547410092023225419.jpeg</v>
      </c>
      <c r="H7823" s="5" t="s">
        <v>16391</v>
      </c>
    </row>
    <row r="7824" spans="1:8" x14ac:dyDescent="0.25">
      <c r="A7824" s="2" t="s">
        <v>7852</v>
      </c>
      <c r="B7824" s="3"/>
      <c r="C7824" s="3"/>
      <c r="D7824" s="3"/>
      <c r="E7824" s="5" t="str">
        <f>HYPERLINK("https://dpmzos25m8ivg.cloudfront.net/Documentos/631/71325546461/6317132554646111092023164640.jpg","https://dpmzos25m8ivg.cloudfront.net/Documentos/631/71325546461/6317132554646111092023164640.jpg")</f>
        <v>https://dpmzos25m8ivg.cloudfront.net/Documentos/631/71325546461/6317132554646111092023164640.jpg</v>
      </c>
      <c r="F7824" s="5" t="str">
        <f>HYPERLINK("https://dpmzos25m8ivg.cloudfront.net/Documentos/631/71325546461/6317132554646111092023164704.jpg","https://dpmzos25m8ivg.cloudfront.net/Documentos/631/71325546461/6317132554646111092023164704.jpg")</f>
        <v>https://dpmzos25m8ivg.cloudfront.net/Documentos/631/71325546461/6317132554646111092023164704.jpg</v>
      </c>
      <c r="G7824" s="5" t="str">
        <f>HYPERLINK("https://dpmzos25m8ivg.cloudfront.net/Documentos/631/71325546461/6317132554646111092023164724.jpg","https://dpmzos25m8ivg.cloudfront.net/Documentos/631/71325546461/6317132554646111092023164724.jpg")</f>
        <v>https://dpmzos25m8ivg.cloudfront.net/Documentos/631/71325546461/6317132554646111092023164724.jpg</v>
      </c>
      <c r="H7824" s="5" t="s">
        <v>16392</v>
      </c>
    </row>
    <row r="7825" spans="1:8" x14ac:dyDescent="0.25">
      <c r="A7825" s="2" t="s">
        <v>7853</v>
      </c>
      <c r="B7825" s="3"/>
      <c r="C7825" s="3"/>
      <c r="D7825" s="3"/>
      <c r="E7825" s="5" t="str">
        <f>HYPERLINK("https://dpmzos25m8ivg.cloudfront.net/Documentos/631/71340861437/6317134086143706092023182854.pdf","https://dpmzos25m8ivg.cloudfront.net/Documentos/631/71340861437/6317134086143706092023182854.pdf")</f>
        <v>https://dpmzos25m8ivg.cloudfront.net/Documentos/631/71340861437/6317134086143706092023182854.pdf</v>
      </c>
      <c r="F7825" s="5" t="str">
        <f>HYPERLINK("https://dpmzos25m8ivg.cloudfront.net/Documentos/631/71340861437/6317134086143706092023182952.pdf","https://dpmzos25m8ivg.cloudfront.net/Documentos/631/71340861437/6317134086143706092023182952.pdf")</f>
        <v>https://dpmzos25m8ivg.cloudfront.net/Documentos/631/71340861437/6317134086143706092023182952.pdf</v>
      </c>
      <c r="G7825" s="5" t="str">
        <f>HYPERLINK("https://dpmzos25m8ivg.cloudfront.net/Documentos/631/71340861437/6317134086143706092023183005.pdf","https://dpmzos25m8ivg.cloudfront.net/Documentos/631/71340861437/6317134086143706092023183005.pdf")</f>
        <v>https://dpmzos25m8ivg.cloudfront.net/Documentos/631/71340861437/6317134086143706092023183005.pdf</v>
      </c>
      <c r="H7825" s="5" t="s">
        <v>16393</v>
      </c>
    </row>
    <row r="7826" spans="1:8" x14ac:dyDescent="0.25">
      <c r="A7826" s="2" t="s">
        <v>7854</v>
      </c>
      <c r="B7826" s="3" t="s">
        <v>308</v>
      </c>
      <c r="C7826" s="3"/>
      <c r="D7826" s="3"/>
      <c r="E7826" s="5" t="str">
        <f>HYPERLINK("https://dpmzos25m8ivg.cloudfront.net/Documentos/631/71347976191/6317134797619111092023161112.pdf","https://dpmzos25m8ivg.cloudfront.net/Documentos/631/71347976191/6317134797619111092023161112.pdf")</f>
        <v>https://dpmzos25m8ivg.cloudfront.net/Documentos/631/71347976191/6317134797619111092023161112.pdf</v>
      </c>
      <c r="F7826" s="5" t="str">
        <f>HYPERLINK("https://dpmzos25m8ivg.cloudfront.net/Documentos/631/71347976191/6317134797619111092023161017.pdf","https://dpmzos25m8ivg.cloudfront.net/Documentos/631/71347976191/6317134797619111092023161017.pdf")</f>
        <v>https://dpmzos25m8ivg.cloudfront.net/Documentos/631/71347976191/6317134797619111092023161017.pdf</v>
      </c>
      <c r="G7826" s="5" t="str">
        <f>HYPERLINK("https://dpmzos25m8ivg.cloudfront.net/Documentos/631/71347976191/6317134797619111092023161004.pdf","https://dpmzos25m8ivg.cloudfront.net/Documentos/631/71347976191/6317134797619111092023161004.pdf")</f>
        <v>https://dpmzos25m8ivg.cloudfront.net/Documentos/631/71347976191/6317134797619111092023161004.pdf</v>
      </c>
      <c r="H7826" s="5" t="s">
        <v>16394</v>
      </c>
    </row>
    <row r="7827" spans="1:8" x14ac:dyDescent="0.25">
      <c r="A7827" s="2" t="s">
        <v>7855</v>
      </c>
      <c r="B7827" s="3"/>
      <c r="C7827" s="3"/>
      <c r="D7827" s="3"/>
      <c r="E7827" s="5" t="str">
        <f>HYPERLINK("https://dpmzos25m8ivg.cloudfront.net/Documentos/631/71352691442/6317135269144214092023160531.pdf","https://dpmzos25m8ivg.cloudfront.net/Documentos/631/71352691442/6317135269144214092023160531.pdf")</f>
        <v>https://dpmzos25m8ivg.cloudfront.net/Documentos/631/71352691442/6317135269144214092023160531.pdf</v>
      </c>
      <c r="F7827" s="5" t="str">
        <f>HYPERLINK("https://dpmzos25m8ivg.cloudfront.net/Documentos/631/71352691442/6317135269144214092023160550.pdf","https://dpmzos25m8ivg.cloudfront.net/Documentos/631/71352691442/6317135269144214092023160550.pdf")</f>
        <v>https://dpmzos25m8ivg.cloudfront.net/Documentos/631/71352691442/6317135269144214092023160550.pdf</v>
      </c>
      <c r="G7827" s="5" t="str">
        <f>HYPERLINK("https://dpmzos25m8ivg.cloudfront.net/Documentos/631/71352691442/6317135269144214092023160616.pdf","https://dpmzos25m8ivg.cloudfront.net/Documentos/631/71352691442/6317135269144214092023160616.pdf")</f>
        <v>https://dpmzos25m8ivg.cloudfront.net/Documentos/631/71352691442/6317135269144214092023160616.pdf</v>
      </c>
      <c r="H7827" s="5" t="s">
        <v>16395</v>
      </c>
    </row>
    <row r="7828" spans="1:8" x14ac:dyDescent="0.25">
      <c r="A7828" s="2" t="s">
        <v>7856</v>
      </c>
      <c r="B7828" s="3" t="s">
        <v>90</v>
      </c>
      <c r="C7828" s="3"/>
      <c r="D7828" s="3"/>
      <c r="E7828" s="5" t="str">
        <f>HYPERLINK("https://dpmzos25m8ivg.cloudfront.net/Documentos/631/71601252587/6317160125258705092023181220.pdf","https://dpmzos25m8ivg.cloudfront.net/Documentos/631/71601252587/6317160125258705092023181220.pdf")</f>
        <v>https://dpmzos25m8ivg.cloudfront.net/Documentos/631/71601252587/6317160125258705092023181220.pdf</v>
      </c>
      <c r="F7828" s="5" t="str">
        <f>HYPERLINK("https://dpmzos25m8ivg.cloudfront.net/Documentos/631/71601252587/6317160125258705092023181317.pdf","https://dpmzos25m8ivg.cloudfront.net/Documentos/631/71601252587/6317160125258705092023181317.pdf")</f>
        <v>https://dpmzos25m8ivg.cloudfront.net/Documentos/631/71601252587/6317160125258705092023181317.pdf</v>
      </c>
      <c r="G7828" s="5" t="str">
        <f>HYPERLINK("https://dpmzos25m8ivg.cloudfront.net/Documentos/631/71601252587/6317160125258705092023181338.pdf","https://dpmzos25m8ivg.cloudfront.net/Documentos/631/71601252587/6317160125258705092023181338.pdf")</f>
        <v>https://dpmzos25m8ivg.cloudfront.net/Documentos/631/71601252587/6317160125258705092023181338.pdf</v>
      </c>
      <c r="H7828" s="5" t="s">
        <v>16396</v>
      </c>
    </row>
    <row r="7829" spans="1:8" x14ac:dyDescent="0.25">
      <c r="A7829" s="2" t="s">
        <v>7857</v>
      </c>
      <c r="B7829" s="3" t="s">
        <v>23</v>
      </c>
      <c r="C7829" s="3"/>
      <c r="D7829" s="3"/>
      <c r="E7829" s="5" t="str">
        <f>HYPERLINK("https://dpmzos25m8ivg.cloudfront.net/Documentos/631/71664594418/6317166459441810092023115143.pdf","https://dpmzos25m8ivg.cloudfront.net/Documentos/631/71664594418/6317166459441810092023115143.pdf")</f>
        <v>https://dpmzos25m8ivg.cloudfront.net/Documentos/631/71664594418/6317166459441810092023115143.pdf</v>
      </c>
      <c r="F7829" s="5" t="str">
        <f>HYPERLINK("https://dpmzos25m8ivg.cloudfront.net/Documentos/631/71664594418/6317166459441810092023115155.pdf","https://dpmzos25m8ivg.cloudfront.net/Documentos/631/71664594418/6317166459441810092023115155.pdf")</f>
        <v>https://dpmzos25m8ivg.cloudfront.net/Documentos/631/71664594418/6317166459441810092023115155.pdf</v>
      </c>
      <c r="G7829" s="5" t="str">
        <f>HYPERLINK("https://dpmzos25m8ivg.cloudfront.net/Documentos/631/71664594418/6317166459441810092023115212.pdf","https://dpmzos25m8ivg.cloudfront.net/Documentos/631/71664594418/6317166459441810092023115212.pdf")</f>
        <v>https://dpmzos25m8ivg.cloudfront.net/Documentos/631/71664594418/6317166459441810092023115212.pdf</v>
      </c>
      <c r="H7829" s="5" t="s">
        <v>16397</v>
      </c>
    </row>
    <row r="7830" spans="1:8" x14ac:dyDescent="0.25">
      <c r="A7830" s="2" t="s">
        <v>7858</v>
      </c>
      <c r="B7830" s="3" t="s">
        <v>312</v>
      </c>
      <c r="C7830" s="3"/>
      <c r="D7830" s="3"/>
      <c r="E7830" s="5" t="str">
        <f>HYPERLINK("https://dpmzos25m8ivg.cloudfront.net/Documentos/631/71862340110/6317186234011010092023074025.jpeg","https://dpmzos25m8ivg.cloudfront.net/Documentos/631/71862340110/6317186234011010092023074025.jpeg")</f>
        <v>https://dpmzos25m8ivg.cloudfront.net/Documentos/631/71862340110/6317186234011010092023074025.jpeg</v>
      </c>
      <c r="F7830" s="5" t="str">
        <f>HYPERLINK("https://dpmzos25m8ivg.cloudfront.net/Documentos/631/71862340110/6317186234011010092023074047.jpeg","https://dpmzos25m8ivg.cloudfront.net/Documentos/631/71862340110/6317186234011010092023074047.jpeg")</f>
        <v>https://dpmzos25m8ivg.cloudfront.net/Documentos/631/71862340110/6317186234011010092023074047.jpeg</v>
      </c>
      <c r="G7830" s="5" t="str">
        <f>HYPERLINK("https://dpmzos25m8ivg.cloudfront.net/Documentos/631/71862340110/6317186234011010092023074108.jpeg","https://dpmzos25m8ivg.cloudfront.net/Documentos/631/71862340110/6317186234011010092023074108.jpeg")</f>
        <v>https://dpmzos25m8ivg.cloudfront.net/Documentos/631/71862340110/6317186234011010092023074108.jpeg</v>
      </c>
      <c r="H7830" s="5" t="s">
        <v>16398</v>
      </c>
    </row>
    <row r="7831" spans="1:8" x14ac:dyDescent="0.25">
      <c r="A7831" s="2" t="s">
        <v>7859</v>
      </c>
      <c r="B7831" s="3"/>
      <c r="C7831" s="3"/>
      <c r="D7831" s="3"/>
      <c r="E7831" s="5" t="str">
        <f>HYPERLINK("https://dpmzos25m8ivg.cloudfront.net/Documentos/631/71882383168/6317188238316811092023150953.jpg","https://dpmzos25m8ivg.cloudfront.net/Documentos/631/71882383168/6317188238316811092023150953.jpg")</f>
        <v>https://dpmzos25m8ivg.cloudfront.net/Documentos/631/71882383168/6317188238316811092023150953.jpg</v>
      </c>
      <c r="F7831" s="5" t="str">
        <f>HYPERLINK("https://dpmzos25m8ivg.cloudfront.net/Documentos/631/71882383168/6317188238316811092023151008.jpg","https://dpmzos25m8ivg.cloudfront.net/Documentos/631/71882383168/6317188238316811092023151008.jpg")</f>
        <v>https://dpmzos25m8ivg.cloudfront.net/Documentos/631/71882383168/6317188238316811092023151008.jpg</v>
      </c>
      <c r="G7831" s="5" t="str">
        <f>HYPERLINK("https://dpmzos25m8ivg.cloudfront.net/Documentos/631/71882383168/6317188238316811092023151037.jpg","https://dpmzos25m8ivg.cloudfront.net/Documentos/631/71882383168/6317188238316811092023151037.jpg")</f>
        <v>https://dpmzos25m8ivg.cloudfront.net/Documentos/631/71882383168/6317188238316811092023151037.jpg</v>
      </c>
      <c r="H7831" s="5" t="s">
        <v>16399</v>
      </c>
    </row>
    <row r="7832" spans="1:8" x14ac:dyDescent="0.25">
      <c r="A7832" s="2" t="s">
        <v>7860</v>
      </c>
      <c r="B7832" s="3"/>
      <c r="C7832" s="3"/>
      <c r="D7832" s="3"/>
      <c r="E7832" s="5" t="str">
        <f>HYPERLINK("https://dpmzos25m8ivg.cloudfront.net/Documentos/631/72018798200/6317201879820013092023112437.pdf","https://dpmzos25m8ivg.cloudfront.net/Documentos/631/72018798200/6317201879820013092023112437.pdf")</f>
        <v>https://dpmzos25m8ivg.cloudfront.net/Documentos/631/72018798200/6317201879820013092023112437.pdf</v>
      </c>
      <c r="F7832" s="5" t="str">
        <f>HYPERLINK("https://dpmzos25m8ivg.cloudfront.net/Documentos/631/72018798200/6317201879820013092023112851.pdf","https://dpmzos25m8ivg.cloudfront.net/Documentos/631/72018798200/6317201879820013092023112851.pdf")</f>
        <v>https://dpmzos25m8ivg.cloudfront.net/Documentos/631/72018798200/6317201879820013092023112851.pdf</v>
      </c>
      <c r="G7832" s="5" t="str">
        <f>HYPERLINK("https://dpmzos25m8ivg.cloudfront.net/Documentos/631/72018798200/6317201879820013092023112925.pdf","https://dpmzos25m8ivg.cloudfront.net/Documentos/631/72018798200/6317201879820013092023112925.pdf")</f>
        <v>https://dpmzos25m8ivg.cloudfront.net/Documentos/631/72018798200/6317201879820013092023112925.pdf</v>
      </c>
      <c r="H7832" s="5" t="s">
        <v>16400</v>
      </c>
    </row>
    <row r="7833" spans="1:8" x14ac:dyDescent="0.25">
      <c r="A7833" s="2" t="s">
        <v>7861</v>
      </c>
      <c r="B7833" s="3"/>
      <c r="C7833" s="3"/>
      <c r="D7833" s="3"/>
      <c r="E7833" s="5" t="str">
        <f>HYPERLINK("https://dpmzos25m8ivg.cloudfront.net/Documentos/631/72034866487/6317203486648710092023222223.pdf","https://dpmzos25m8ivg.cloudfront.net/Documentos/631/72034866487/6317203486648710092023222223.pdf")</f>
        <v>https://dpmzos25m8ivg.cloudfront.net/Documentos/631/72034866487/6317203486648710092023222223.pdf</v>
      </c>
      <c r="F7833" s="5" t="str">
        <f>HYPERLINK("https://dpmzos25m8ivg.cloudfront.net/Documentos/631/72034866487/6317203486648710092023222445.pdf","https://dpmzos25m8ivg.cloudfront.net/Documentos/631/72034866487/6317203486648710092023222445.pdf")</f>
        <v>https://dpmzos25m8ivg.cloudfront.net/Documentos/631/72034866487/6317203486648710092023222445.pdf</v>
      </c>
      <c r="G7833" s="5" t="str">
        <f>HYPERLINK("https://dpmzos25m8ivg.cloudfront.net/Documentos/631/72034866487/6317203486648710092023222719.pdf","https://dpmzos25m8ivg.cloudfront.net/Documentos/631/72034866487/6317203486648710092023222719.pdf")</f>
        <v>https://dpmzos25m8ivg.cloudfront.net/Documentos/631/72034866487/6317203486648710092023222719.pdf</v>
      </c>
      <c r="H7833" s="5" t="s">
        <v>16401</v>
      </c>
    </row>
    <row r="7834" spans="1:8" x14ac:dyDescent="0.25">
      <c r="A7834" s="2" t="s">
        <v>7862</v>
      </c>
      <c r="B7834" s="3"/>
      <c r="C7834" s="3"/>
      <c r="D7834" s="3"/>
      <c r="E7834" s="5" t="str">
        <f>HYPERLINK("https://dpmzos25m8ivg.cloudfront.net/Documentos/631/72165456215/6317216545621508092023172920.jpg","https://dpmzos25m8ivg.cloudfront.net/Documentos/631/72165456215/6317216545621508092023172920.jpg")</f>
        <v>https://dpmzos25m8ivg.cloudfront.net/Documentos/631/72165456215/6317216545621508092023172920.jpg</v>
      </c>
      <c r="F7834" s="5" t="str">
        <f>HYPERLINK("https://dpmzos25m8ivg.cloudfront.net/Documentos/631/72165456215/6317216545621508092023172943.jpg","https://dpmzos25m8ivg.cloudfront.net/Documentos/631/72165456215/6317216545621508092023172943.jpg")</f>
        <v>https://dpmzos25m8ivg.cloudfront.net/Documentos/631/72165456215/6317216545621508092023172943.jpg</v>
      </c>
      <c r="G7834" s="5" t="str">
        <f>HYPERLINK("https://dpmzos25m8ivg.cloudfront.net/Documentos/631/72165456215/6317216545621508092023173003.jpg","https://dpmzos25m8ivg.cloudfront.net/Documentos/631/72165456215/6317216545621508092023173003.jpg")</f>
        <v>https://dpmzos25m8ivg.cloudfront.net/Documentos/631/72165456215/6317216545621508092023173003.jpg</v>
      </c>
      <c r="H7834" s="5" t="s">
        <v>16402</v>
      </c>
    </row>
    <row r="7835" spans="1:8" x14ac:dyDescent="0.25">
      <c r="A7835" s="2" t="s">
        <v>7863</v>
      </c>
      <c r="B7835" s="3"/>
      <c r="C7835" s="3"/>
      <c r="D7835" s="3"/>
      <c r="E7835" s="5" t="str">
        <f>HYPERLINK("https://dpmzos25m8ivg.cloudfront.net/Documentos/631/72190663253/6317219066325311092023154328.pdf","https://dpmzos25m8ivg.cloudfront.net/Documentos/631/72190663253/6317219066325311092023154328.pdf")</f>
        <v>https://dpmzos25m8ivg.cloudfront.net/Documentos/631/72190663253/6317219066325311092023154328.pdf</v>
      </c>
      <c r="F7835" s="5" t="str">
        <f>HYPERLINK("https://dpmzos25m8ivg.cloudfront.net/Documentos/631/72190663253/6317219066325311092023154340.pdf","https://dpmzos25m8ivg.cloudfront.net/Documentos/631/72190663253/6317219066325311092023154340.pdf")</f>
        <v>https://dpmzos25m8ivg.cloudfront.net/Documentos/631/72190663253/6317219066325311092023154340.pdf</v>
      </c>
      <c r="G7835" s="5" t="str">
        <f>HYPERLINK("https://dpmzos25m8ivg.cloudfront.net/Documentos/631/72190663253/6317219066325311092023154354.pdf","https://dpmzos25m8ivg.cloudfront.net/Documentos/631/72190663253/6317219066325311092023154354.pdf")</f>
        <v>https://dpmzos25m8ivg.cloudfront.net/Documentos/631/72190663253/6317219066325311092023154354.pdf</v>
      </c>
      <c r="H7835" s="5" t="s">
        <v>16403</v>
      </c>
    </row>
    <row r="7836" spans="1:8" x14ac:dyDescent="0.25">
      <c r="A7836" s="2" t="s">
        <v>7864</v>
      </c>
      <c r="B7836" s="3" t="s">
        <v>308</v>
      </c>
      <c r="C7836" s="3"/>
      <c r="D7836" s="3"/>
      <c r="E7836" s="5" t="str">
        <f>HYPERLINK("https://dpmzos25m8ivg.cloudfront.net/Documentos/631/72209070287/6317220907028711092023003623.pdf","https://dpmzos25m8ivg.cloudfront.net/Documentos/631/72209070287/6317220907028711092023003623.pdf")</f>
        <v>https://dpmzos25m8ivg.cloudfront.net/Documentos/631/72209070287/6317220907028711092023003623.pdf</v>
      </c>
      <c r="F7836" s="5" t="str">
        <f>HYPERLINK("https://dpmzos25m8ivg.cloudfront.net/Documentos/631/72209070287/6317220907028711092023153855.pdf","https://dpmzos25m8ivg.cloudfront.net/Documentos/631/72209070287/6317220907028711092023153855.pdf")</f>
        <v>https://dpmzos25m8ivg.cloudfront.net/Documentos/631/72209070287/6317220907028711092023153855.pdf</v>
      </c>
      <c r="G7836" s="5" t="str">
        <f>HYPERLINK("https://dpmzos25m8ivg.cloudfront.net/Documentos/631/72209070287/6317220907028711092023003132.pdf","https://dpmzos25m8ivg.cloudfront.net/Documentos/631/72209070287/6317220907028711092023003132.pdf")</f>
        <v>https://dpmzos25m8ivg.cloudfront.net/Documentos/631/72209070287/6317220907028711092023003132.pdf</v>
      </c>
      <c r="H7836" s="5" t="s">
        <v>16404</v>
      </c>
    </row>
    <row r="7837" spans="1:8" x14ac:dyDescent="0.25">
      <c r="A7837" s="2" t="s">
        <v>7865</v>
      </c>
      <c r="B7837" s="3"/>
      <c r="C7837" s="3"/>
      <c r="D7837" s="3"/>
      <c r="E7837" s="5" t="str">
        <f>HYPERLINK("https://dpmzos25m8ivg.cloudfront.net/Documentos/631/72419520149/6317241952014912092023192322.jpg","https://dpmzos25m8ivg.cloudfront.net/Documentos/631/72419520149/6317241952014912092023192322.jpg")</f>
        <v>https://dpmzos25m8ivg.cloudfront.net/Documentos/631/72419520149/6317241952014912092023192322.jpg</v>
      </c>
      <c r="F7837" s="5" t="str">
        <f>HYPERLINK("https://dpmzos25m8ivg.cloudfront.net/Documentos/631/72419520149/6317241952014912092023192336.jpg","https://dpmzos25m8ivg.cloudfront.net/Documentos/631/72419520149/6317241952014912092023192336.jpg")</f>
        <v>https://dpmzos25m8ivg.cloudfront.net/Documentos/631/72419520149/6317241952014912092023192336.jpg</v>
      </c>
      <c r="G7837" s="5" t="str">
        <f>HYPERLINK("https://dpmzos25m8ivg.cloudfront.net/Documentos/631/72419520149/6317241952014912092023192351.jpg","https://dpmzos25m8ivg.cloudfront.net/Documentos/631/72419520149/6317241952014912092023192351.jpg")</f>
        <v>https://dpmzos25m8ivg.cloudfront.net/Documentos/631/72419520149/6317241952014912092023192351.jpg</v>
      </c>
      <c r="H7837" s="5" t="s">
        <v>16405</v>
      </c>
    </row>
    <row r="7838" spans="1:8" x14ac:dyDescent="0.25">
      <c r="A7838" s="2" t="s">
        <v>7866</v>
      </c>
      <c r="B7838" s="3"/>
      <c r="C7838" s="3"/>
      <c r="D7838" s="3"/>
      <c r="E7838" s="5" t="str">
        <f>HYPERLINK("https://dpmzos25m8ivg.cloudfront.net/Documentos/631/72485043191/6317248504319104092023183101.pdf","https://dpmzos25m8ivg.cloudfront.net/Documentos/631/72485043191/6317248504319104092023183101.pdf")</f>
        <v>https://dpmzos25m8ivg.cloudfront.net/Documentos/631/72485043191/6317248504319104092023183101.pdf</v>
      </c>
      <c r="F7838" s="5" t="str">
        <f>HYPERLINK("https://dpmzos25m8ivg.cloudfront.net/Documentos/631/72485043191/6317248504319104092023183633.pdf","https://dpmzos25m8ivg.cloudfront.net/Documentos/631/72485043191/6317248504319104092023183633.pdf")</f>
        <v>https://dpmzos25m8ivg.cloudfront.net/Documentos/631/72485043191/6317248504319104092023183633.pdf</v>
      </c>
      <c r="G7838" s="5" t="str">
        <f>HYPERLINK("https://dpmzos25m8ivg.cloudfront.net/Documentos/631/72485043191/6317248504319104092023183732.pdf","https://dpmzos25m8ivg.cloudfront.net/Documentos/631/72485043191/6317248504319104092023183732.pdf")</f>
        <v>https://dpmzos25m8ivg.cloudfront.net/Documentos/631/72485043191/6317248504319104092023183732.pdf</v>
      </c>
      <c r="H7838" s="5" t="s">
        <v>16406</v>
      </c>
    </row>
    <row r="7839" spans="1:8" x14ac:dyDescent="0.25">
      <c r="A7839" s="2" t="s">
        <v>7867</v>
      </c>
      <c r="B7839" s="3"/>
      <c r="C7839" s="3"/>
      <c r="D7839" s="3"/>
      <c r="E7839" s="5" t="str">
        <f>HYPERLINK("https://dpmzos25m8ivg.cloudfront.net/Documentos/631/72569476153/6317256947615311092023003352.pdf","https://dpmzos25m8ivg.cloudfront.net/Documentos/631/72569476153/6317256947615311092023003352.pdf")</f>
        <v>https://dpmzos25m8ivg.cloudfront.net/Documentos/631/72569476153/6317256947615311092023003352.pdf</v>
      </c>
      <c r="F7839" s="5" t="str">
        <f>HYPERLINK("https://dpmzos25m8ivg.cloudfront.net/Documentos/631/72569476153/6317256947615311092023003401.pdf","https://dpmzos25m8ivg.cloudfront.net/Documentos/631/72569476153/6317256947615311092023003401.pdf")</f>
        <v>https://dpmzos25m8ivg.cloudfront.net/Documentos/631/72569476153/6317256947615311092023003401.pdf</v>
      </c>
      <c r="G7839" s="5" t="str">
        <f>HYPERLINK("https://dpmzos25m8ivg.cloudfront.net/Documentos/631/72569476153/6317256947615311092023003409.pdf","https://dpmzos25m8ivg.cloudfront.net/Documentos/631/72569476153/6317256947615311092023003409.pdf")</f>
        <v>https://dpmzos25m8ivg.cloudfront.net/Documentos/631/72569476153/6317256947615311092023003409.pdf</v>
      </c>
      <c r="H7839" s="5" t="s">
        <v>16407</v>
      </c>
    </row>
    <row r="7840" spans="1:8" x14ac:dyDescent="0.25">
      <c r="A7840" s="2" t="s">
        <v>7868</v>
      </c>
      <c r="B7840" s="3"/>
      <c r="C7840" s="3"/>
      <c r="D7840" s="3"/>
      <c r="E7840" s="5" t="str">
        <f>HYPERLINK("https://dpmzos25m8ivg.cloudfront.net/Documentos/631/72631260287/6317263126028706092023121227.pdf","https://dpmzos25m8ivg.cloudfront.net/Documentos/631/72631260287/6317263126028706092023121227.pdf")</f>
        <v>https://dpmzos25m8ivg.cloudfront.net/Documentos/631/72631260287/6317263126028706092023121227.pdf</v>
      </c>
      <c r="F7840" s="5" t="str">
        <f>HYPERLINK("https://dpmzos25m8ivg.cloudfront.net/Documentos/631/72631260287/6317263126028706092023121242.pdf","https://dpmzos25m8ivg.cloudfront.net/Documentos/631/72631260287/6317263126028706092023121242.pdf")</f>
        <v>https://dpmzos25m8ivg.cloudfront.net/Documentos/631/72631260287/6317263126028706092023121242.pdf</v>
      </c>
      <c r="G7840" s="5" t="str">
        <f>HYPERLINK("https://dpmzos25m8ivg.cloudfront.net/Documentos/631/72631260287/6317263126028706092023121253.pdf","https://dpmzos25m8ivg.cloudfront.net/Documentos/631/72631260287/6317263126028706092023121253.pdf")</f>
        <v>https://dpmzos25m8ivg.cloudfront.net/Documentos/631/72631260287/6317263126028706092023121253.pdf</v>
      </c>
      <c r="H7840" s="5" t="s">
        <v>16408</v>
      </c>
    </row>
    <row r="7841" spans="1:8" x14ac:dyDescent="0.25">
      <c r="A7841" s="2" t="s">
        <v>7869</v>
      </c>
      <c r="B7841" s="3"/>
      <c r="C7841" s="3"/>
      <c r="D7841" s="3"/>
      <c r="E7841" s="5" t="str">
        <f>HYPERLINK("https://dpmzos25m8ivg.cloudfront.net/Documentos/631/72646527500/6317264652750011092023091540.pdf","https://dpmzos25m8ivg.cloudfront.net/Documentos/631/72646527500/6317264652750011092023091540.pdf")</f>
        <v>https://dpmzos25m8ivg.cloudfront.net/Documentos/631/72646527500/6317264652750011092023091540.pdf</v>
      </c>
      <c r="F7841" s="5" t="str">
        <f>HYPERLINK("https://dpmzos25m8ivg.cloudfront.net/Documentos/631/72646527500/6317264652750011092023091549.pdf","https://dpmzos25m8ivg.cloudfront.net/Documentos/631/72646527500/6317264652750011092023091549.pdf")</f>
        <v>https://dpmzos25m8ivg.cloudfront.net/Documentos/631/72646527500/6317264652750011092023091549.pdf</v>
      </c>
      <c r="G7841" s="5" t="str">
        <f>HYPERLINK("https://dpmzos25m8ivg.cloudfront.net/Documentos/631/72646527500/6317264652750011092023091557.pdf","https://dpmzos25m8ivg.cloudfront.net/Documentos/631/72646527500/6317264652750011092023091557.pdf")</f>
        <v>https://dpmzos25m8ivg.cloudfront.net/Documentos/631/72646527500/6317264652750011092023091557.pdf</v>
      </c>
      <c r="H7841" s="5" t="s">
        <v>16409</v>
      </c>
    </row>
    <row r="7842" spans="1:8" x14ac:dyDescent="0.25">
      <c r="A7842" s="2" t="s">
        <v>7870</v>
      </c>
      <c r="B7842" s="3" t="s">
        <v>90</v>
      </c>
      <c r="C7842" s="3"/>
      <c r="D7842" s="3"/>
      <c r="E7842" s="5" t="str">
        <f>HYPERLINK("https://dpmzos25m8ivg.cloudfront.net/Documentos/631/72679441249/6317267944124905092023103553.jpg","https://dpmzos25m8ivg.cloudfront.net/Documentos/631/72679441249/6317267944124905092023103553.jpg")</f>
        <v>https://dpmzos25m8ivg.cloudfront.net/Documentos/631/72679441249/6317267944124905092023103553.jpg</v>
      </c>
      <c r="F7842" s="5" t="str">
        <f>HYPERLINK("https://dpmzos25m8ivg.cloudfront.net/Documentos/631/72679441249/6317267944124905092023103611.jpg","https://dpmzos25m8ivg.cloudfront.net/Documentos/631/72679441249/6317267944124905092023103611.jpg")</f>
        <v>https://dpmzos25m8ivg.cloudfront.net/Documentos/631/72679441249/6317267944124905092023103611.jpg</v>
      </c>
      <c r="G7842" s="5" t="str">
        <f>HYPERLINK("https://dpmzos25m8ivg.cloudfront.net/Documentos/631/72679441249/6317267944124905092023103627.jpg","https://dpmzos25m8ivg.cloudfront.net/Documentos/631/72679441249/6317267944124905092023103627.jpg")</f>
        <v>https://dpmzos25m8ivg.cloudfront.net/Documentos/631/72679441249/6317267944124905092023103627.jpg</v>
      </c>
      <c r="H7842" s="5" t="s">
        <v>16410</v>
      </c>
    </row>
    <row r="7843" spans="1:8" x14ac:dyDescent="0.25">
      <c r="A7843" s="2" t="s">
        <v>7871</v>
      </c>
      <c r="B7843" s="3" t="s">
        <v>90</v>
      </c>
      <c r="C7843" s="3"/>
      <c r="D7843" s="3"/>
      <c r="E7843" s="5" t="str">
        <f>HYPERLINK("https://dpmzos25m8ivg.cloudfront.net/Documentos/631/72722290200/6317272229020011092023114216.jpg","https://dpmzos25m8ivg.cloudfront.net/Documentos/631/72722290200/6317272229020011092023114216.jpg")</f>
        <v>https://dpmzos25m8ivg.cloudfront.net/Documentos/631/72722290200/6317272229020011092023114216.jpg</v>
      </c>
      <c r="F7843" s="5" t="str">
        <f>HYPERLINK("https://dpmzos25m8ivg.cloudfront.net/Documentos/631/72722290200/6317272229020011092023114258.jpg","https://dpmzos25m8ivg.cloudfront.net/Documentos/631/72722290200/6317272229020011092023114258.jpg")</f>
        <v>https://dpmzos25m8ivg.cloudfront.net/Documentos/631/72722290200/6317272229020011092023114258.jpg</v>
      </c>
      <c r="G7843" s="5" t="str">
        <f>HYPERLINK("https://dpmzos25m8ivg.cloudfront.net/Documentos/631/72722290200/6317272229020011092023114324.jpg","https://dpmzos25m8ivg.cloudfront.net/Documentos/631/72722290200/6317272229020011092023114324.jpg")</f>
        <v>https://dpmzos25m8ivg.cloudfront.net/Documentos/631/72722290200/6317272229020011092023114324.jpg</v>
      </c>
      <c r="H7843" s="5" t="s">
        <v>16411</v>
      </c>
    </row>
    <row r="7844" spans="1:8" x14ac:dyDescent="0.25">
      <c r="A7844" s="2" t="s">
        <v>7872</v>
      </c>
      <c r="B7844" s="3"/>
      <c r="C7844" s="3"/>
      <c r="D7844" s="3"/>
      <c r="E7844" s="5" t="str">
        <f>HYPERLINK("https://dpmzos25m8ivg.cloudfront.net/Documentos/631/72746904500/6317274690450007092023191620.pdf","https://dpmzos25m8ivg.cloudfront.net/Documentos/631/72746904500/6317274690450007092023191620.pdf")</f>
        <v>https://dpmzos25m8ivg.cloudfront.net/Documentos/631/72746904500/6317274690450007092023191620.pdf</v>
      </c>
      <c r="F7844" s="5" t="str">
        <f>HYPERLINK("https://dpmzos25m8ivg.cloudfront.net/Documentos/631/72746904500/6317274690450007092023191636.pdf","https://dpmzos25m8ivg.cloudfront.net/Documentos/631/72746904500/6317274690450007092023191636.pdf")</f>
        <v>https://dpmzos25m8ivg.cloudfront.net/Documentos/631/72746904500/6317274690450007092023191636.pdf</v>
      </c>
      <c r="G7844" s="5" t="str">
        <f>HYPERLINK("https://dpmzos25m8ivg.cloudfront.net/Documentos/631/72746904500/6317274690450007092023191654.pdf","https://dpmzos25m8ivg.cloudfront.net/Documentos/631/72746904500/6317274690450007092023191654.pdf")</f>
        <v>https://dpmzos25m8ivg.cloudfront.net/Documentos/631/72746904500/6317274690450007092023191654.pdf</v>
      </c>
      <c r="H7844" s="5" t="s">
        <v>16412</v>
      </c>
    </row>
    <row r="7845" spans="1:8" x14ac:dyDescent="0.25">
      <c r="A7845" s="2" t="s">
        <v>7873</v>
      </c>
      <c r="B7845" s="3"/>
      <c r="C7845" s="3"/>
      <c r="D7845" s="3"/>
      <c r="E7845" s="5" t="str">
        <f>HYPERLINK("https://dpmzos25m8ivg.cloudfront.net/Documentos/631/72778008268/6317277800826806092023170402.pdf","https://dpmzos25m8ivg.cloudfront.net/Documentos/631/72778008268/6317277800826806092023170402.pdf")</f>
        <v>https://dpmzos25m8ivg.cloudfront.net/Documentos/631/72778008268/6317277800826806092023170402.pdf</v>
      </c>
      <c r="F7845" s="5" t="str">
        <f>HYPERLINK("https://dpmzos25m8ivg.cloudfront.net/Documentos/631/72778008268/6317277800826806092023170420.pdf","https://dpmzos25m8ivg.cloudfront.net/Documentos/631/72778008268/6317277800826806092023170420.pdf")</f>
        <v>https://dpmzos25m8ivg.cloudfront.net/Documentos/631/72778008268/6317277800826806092023170420.pdf</v>
      </c>
      <c r="G7845" s="5" t="str">
        <f>HYPERLINK("https://dpmzos25m8ivg.cloudfront.net/Documentos/631/72778008268/6317277800826806092023170440.pdf","https://dpmzos25m8ivg.cloudfront.net/Documentos/631/72778008268/6317277800826806092023170440.pdf")</f>
        <v>https://dpmzos25m8ivg.cloudfront.net/Documentos/631/72778008268/6317277800826806092023170440.pdf</v>
      </c>
      <c r="H7845" s="5" t="s">
        <v>16413</v>
      </c>
    </row>
    <row r="7846" spans="1:8" x14ac:dyDescent="0.25">
      <c r="A7846" s="2" t="s">
        <v>7874</v>
      </c>
      <c r="B7846" s="3"/>
      <c r="C7846" s="3"/>
      <c r="D7846" s="3"/>
      <c r="E7846" s="5" t="str">
        <f>HYPERLINK("https://dpmzos25m8ivg.cloudfront.net/Documentos/631/72919965115/6317291996511506092023135825.pdf","https://dpmzos25m8ivg.cloudfront.net/Documentos/631/72919965115/6317291996511506092023135825.pdf")</f>
        <v>https://dpmzos25m8ivg.cloudfront.net/Documentos/631/72919965115/6317291996511506092023135825.pdf</v>
      </c>
      <c r="F7846" s="5" t="str">
        <f>HYPERLINK("https://dpmzos25m8ivg.cloudfront.net/Documentos/631/72919965115/6317291996511506092023135837.pdf","https://dpmzos25m8ivg.cloudfront.net/Documentos/631/72919965115/6317291996511506092023135837.pdf")</f>
        <v>https://dpmzos25m8ivg.cloudfront.net/Documentos/631/72919965115/6317291996511506092023135837.pdf</v>
      </c>
      <c r="G7846" s="5" t="str">
        <f>HYPERLINK("https://dpmzos25m8ivg.cloudfront.net/Documentos/631/72919965115/6317291996511506092023135854.pdf","https://dpmzos25m8ivg.cloudfront.net/Documentos/631/72919965115/6317291996511506092023135854.pdf")</f>
        <v>https://dpmzos25m8ivg.cloudfront.net/Documentos/631/72919965115/6317291996511506092023135854.pdf</v>
      </c>
      <c r="H7846" s="5" t="s">
        <v>16414</v>
      </c>
    </row>
    <row r="7847" spans="1:8" x14ac:dyDescent="0.25">
      <c r="A7847" s="2" t="s">
        <v>7875</v>
      </c>
      <c r="B7847" s="3"/>
      <c r="C7847" s="3"/>
      <c r="D7847" s="3"/>
      <c r="E7847" s="5" t="str">
        <f>HYPERLINK("https://dpmzos25m8ivg.cloudfront.net/Documentos/631/72938862172/6317293886217208092023143844.jpg","https://dpmzos25m8ivg.cloudfront.net/Documentos/631/72938862172/6317293886217208092023143844.jpg")</f>
        <v>https://dpmzos25m8ivg.cloudfront.net/Documentos/631/72938862172/6317293886217208092023143844.jpg</v>
      </c>
      <c r="F7847" s="5" t="str">
        <f>HYPERLINK("https://dpmzos25m8ivg.cloudfront.net/Documentos/631/72938862172/6317293886217208092023143853.jpg","https://dpmzos25m8ivg.cloudfront.net/Documentos/631/72938862172/6317293886217208092023143853.jpg")</f>
        <v>https://dpmzos25m8ivg.cloudfront.net/Documentos/631/72938862172/6317293886217208092023143853.jpg</v>
      </c>
      <c r="G7847" s="5" t="str">
        <f>HYPERLINK("https://dpmzos25m8ivg.cloudfront.net/Documentos/631/72938862172/6317293886217208092023143901.jpg","https://dpmzos25m8ivg.cloudfront.net/Documentos/631/72938862172/6317293886217208092023143901.jpg")</f>
        <v>https://dpmzos25m8ivg.cloudfront.net/Documentos/631/72938862172/6317293886217208092023143901.jpg</v>
      </c>
      <c r="H7847" s="5" t="s">
        <v>16415</v>
      </c>
    </row>
    <row r="7848" spans="1:8" x14ac:dyDescent="0.25">
      <c r="A7848" s="2" t="s">
        <v>7876</v>
      </c>
      <c r="B7848" s="3"/>
      <c r="C7848" s="3"/>
      <c r="D7848" s="3"/>
      <c r="E7848" s="5" t="str">
        <f>HYPERLINK("https://dpmzos25m8ivg.cloudfront.net/Documentos/631/73062014172/6317306201417211092023145500.pdf","https://dpmzos25m8ivg.cloudfront.net/Documentos/631/73062014172/6317306201417211092023145500.pdf")</f>
        <v>https://dpmzos25m8ivg.cloudfront.net/Documentos/631/73062014172/6317306201417211092023145500.pdf</v>
      </c>
      <c r="F7848" s="5" t="str">
        <f>HYPERLINK("https://dpmzos25m8ivg.cloudfront.net/Documentos/631/73062014172/6317306201417211092023145513.pdf","https://dpmzos25m8ivg.cloudfront.net/Documentos/631/73062014172/6317306201417211092023145513.pdf")</f>
        <v>https://dpmzos25m8ivg.cloudfront.net/Documentos/631/73062014172/6317306201417211092023145513.pdf</v>
      </c>
      <c r="G7848" s="5" t="str">
        <f>HYPERLINK("https://dpmzos25m8ivg.cloudfront.net/Documentos/631/73062014172/6317306201417211092023145528.pdf","https://dpmzos25m8ivg.cloudfront.net/Documentos/631/73062014172/6317306201417211092023145528.pdf")</f>
        <v>https://dpmzos25m8ivg.cloudfront.net/Documentos/631/73062014172/6317306201417211092023145528.pdf</v>
      </c>
      <c r="H7848" s="5" t="s">
        <v>16416</v>
      </c>
    </row>
    <row r="7849" spans="1:8" x14ac:dyDescent="0.25">
      <c r="A7849" s="2" t="s">
        <v>7877</v>
      </c>
      <c r="B7849" s="3"/>
      <c r="C7849" s="3"/>
      <c r="D7849" s="3"/>
      <c r="E7849" s="5" t="str">
        <f>HYPERLINK("https://dpmzos25m8ivg.cloudfront.net/Documentos/631/73078646149/6317307864614906092023140542.jpg","https://dpmzos25m8ivg.cloudfront.net/Documentos/631/73078646149/6317307864614906092023140542.jpg")</f>
        <v>https://dpmzos25m8ivg.cloudfront.net/Documentos/631/73078646149/6317307864614906092023140542.jpg</v>
      </c>
      <c r="F7849" s="5" t="str">
        <f>HYPERLINK("https://dpmzos25m8ivg.cloudfront.net/Documentos/631/73078646149/6317307864614906092023140622.jpg","https://dpmzos25m8ivg.cloudfront.net/Documentos/631/73078646149/6317307864614906092023140622.jpg")</f>
        <v>https://dpmzos25m8ivg.cloudfront.net/Documentos/631/73078646149/6317307864614906092023140622.jpg</v>
      </c>
      <c r="G7849" s="5" t="str">
        <f>HYPERLINK("https://dpmzos25m8ivg.cloudfront.net/Documentos/631/73078646149/6317307864614906092023140647.jpg","https://dpmzos25m8ivg.cloudfront.net/Documentos/631/73078646149/6317307864614906092023140647.jpg")</f>
        <v>https://dpmzos25m8ivg.cloudfront.net/Documentos/631/73078646149/6317307864614906092023140647.jpg</v>
      </c>
      <c r="H7849" s="5" t="s">
        <v>16417</v>
      </c>
    </row>
    <row r="7850" spans="1:8" x14ac:dyDescent="0.25">
      <c r="A7850" s="2" t="s">
        <v>7878</v>
      </c>
      <c r="B7850" s="3"/>
      <c r="C7850" s="3"/>
      <c r="D7850" s="3"/>
      <c r="E7850" s="5" t="str">
        <f>HYPERLINK("https://dpmzos25m8ivg.cloudfront.net/Documentos/631/73092495187/6317309249518711092023101249.jpeg","https://dpmzos25m8ivg.cloudfront.net/Documentos/631/73092495187/6317309249518711092023101249.jpeg")</f>
        <v>https://dpmzos25m8ivg.cloudfront.net/Documentos/631/73092495187/6317309249518711092023101249.jpeg</v>
      </c>
      <c r="F7850" s="5" t="str">
        <f>HYPERLINK("https://dpmzos25m8ivg.cloudfront.net/Documentos/631/73092495187/6317309249518711092023101422.jpeg","https://dpmzos25m8ivg.cloudfront.net/Documentos/631/73092495187/6317309249518711092023101422.jpeg")</f>
        <v>https://dpmzos25m8ivg.cloudfront.net/Documentos/631/73092495187/6317309249518711092023101422.jpeg</v>
      </c>
      <c r="G7850" s="5" t="str">
        <f>HYPERLINK("https://dpmzos25m8ivg.cloudfront.net/Documentos/631/73092495187/6317309249518711092023101442.jpeg","https://dpmzos25m8ivg.cloudfront.net/Documentos/631/73092495187/6317309249518711092023101442.jpeg")</f>
        <v>https://dpmzos25m8ivg.cloudfront.net/Documentos/631/73092495187/6317309249518711092023101442.jpeg</v>
      </c>
      <c r="H7850" s="5" t="s">
        <v>16418</v>
      </c>
    </row>
    <row r="7851" spans="1:8" x14ac:dyDescent="0.25">
      <c r="A7851" s="2" t="s">
        <v>7879</v>
      </c>
      <c r="B7851" s="3"/>
      <c r="C7851" s="3"/>
      <c r="D7851" s="3"/>
      <c r="E7851" s="5" t="str">
        <f>HYPERLINK("https://dpmzos25m8ivg.cloudfront.net/Documentos/631/73102016049/6317310201604911092023153337.pdf","https://dpmzos25m8ivg.cloudfront.net/Documentos/631/73102016049/6317310201604911092023153337.pdf")</f>
        <v>https://dpmzos25m8ivg.cloudfront.net/Documentos/631/73102016049/6317310201604911092023153337.pdf</v>
      </c>
      <c r="F7851" s="5" t="str">
        <f>HYPERLINK("https://dpmzos25m8ivg.cloudfront.net/Documentos/631/73102016049/6317310201604911092023153347.pdf","https://dpmzos25m8ivg.cloudfront.net/Documentos/631/73102016049/6317310201604911092023153347.pdf")</f>
        <v>https://dpmzos25m8ivg.cloudfront.net/Documentos/631/73102016049/6317310201604911092023153347.pdf</v>
      </c>
      <c r="G7851" s="5" t="str">
        <f>HYPERLINK("https://dpmzos25m8ivg.cloudfront.net/Documentos/631/73102016049/6317310201604911092023153355.pdf","https://dpmzos25m8ivg.cloudfront.net/Documentos/631/73102016049/6317310201604911092023153355.pdf")</f>
        <v>https://dpmzos25m8ivg.cloudfront.net/Documentos/631/73102016049/6317310201604911092023153355.pdf</v>
      </c>
      <c r="H7851" s="5" t="s">
        <v>16419</v>
      </c>
    </row>
    <row r="7852" spans="1:8" x14ac:dyDescent="0.25">
      <c r="A7852" s="2" t="s">
        <v>7880</v>
      </c>
      <c r="B7852" s="3"/>
      <c r="C7852" s="3"/>
      <c r="D7852" s="3"/>
      <c r="E7852" s="5" t="str">
        <f>HYPERLINK("https://dpmzos25m8ivg.cloudfront.net/Documentos/631/73176966172/6317317696617211092023161327.jpg","https://dpmzos25m8ivg.cloudfront.net/Documentos/631/73176966172/6317317696617211092023161327.jpg")</f>
        <v>https://dpmzos25m8ivg.cloudfront.net/Documentos/631/73176966172/6317317696617211092023161327.jpg</v>
      </c>
      <c r="F7852" s="5" t="str">
        <f>HYPERLINK("https://dpmzos25m8ivg.cloudfront.net/Documentos/631/73176966172/6317317696617211092023163445.jpg","https://dpmzos25m8ivg.cloudfront.net/Documentos/631/73176966172/6317317696617211092023163445.jpg")</f>
        <v>https://dpmzos25m8ivg.cloudfront.net/Documentos/631/73176966172/6317317696617211092023163445.jpg</v>
      </c>
      <c r="G7852" s="5" t="str">
        <f>HYPERLINK("https://dpmzos25m8ivg.cloudfront.net/Documentos/631/73176966172/6317317696617211092023161307.jpg","https://dpmzos25m8ivg.cloudfront.net/Documentos/631/73176966172/6317317696617211092023161307.jpg")</f>
        <v>https://dpmzos25m8ivg.cloudfront.net/Documentos/631/73176966172/6317317696617211092023161307.jpg</v>
      </c>
      <c r="H7852" s="5" t="s">
        <v>16420</v>
      </c>
    </row>
    <row r="7853" spans="1:8" x14ac:dyDescent="0.25">
      <c r="A7853" s="2" t="s">
        <v>7881</v>
      </c>
      <c r="B7853" s="3"/>
      <c r="C7853" s="3"/>
      <c r="D7853" s="3"/>
      <c r="E7853" s="5" t="str">
        <f>HYPERLINK("https://dpmzos25m8ivg.cloudfront.net/Documentos/631/73181137120/6317318113712011092023133037.jpg","https://dpmzos25m8ivg.cloudfront.net/Documentos/631/73181137120/6317318113712011092023133037.jpg")</f>
        <v>https://dpmzos25m8ivg.cloudfront.net/Documentos/631/73181137120/6317318113712011092023133037.jpg</v>
      </c>
      <c r="F7853" s="5" t="str">
        <f>HYPERLINK("https://dpmzos25m8ivg.cloudfront.net/Documentos/631/73181137120/6317318113712011092023133059.jpg","https://dpmzos25m8ivg.cloudfront.net/Documentos/631/73181137120/6317318113712011092023133059.jpg")</f>
        <v>https://dpmzos25m8ivg.cloudfront.net/Documentos/631/73181137120/6317318113712011092023133059.jpg</v>
      </c>
      <c r="G7853" s="5" t="str">
        <f>HYPERLINK("https://dpmzos25m8ivg.cloudfront.net/Documentos/631/73181137120/6317318113712011092023133147.jpg","https://dpmzos25m8ivg.cloudfront.net/Documentos/631/73181137120/6317318113712011092023133147.jpg")</f>
        <v>https://dpmzos25m8ivg.cloudfront.net/Documentos/631/73181137120/6317318113712011092023133147.jpg</v>
      </c>
      <c r="H7853" s="5" t="s">
        <v>16421</v>
      </c>
    </row>
    <row r="7854" spans="1:8" x14ac:dyDescent="0.25">
      <c r="A7854" s="2" t="s">
        <v>7882</v>
      </c>
      <c r="B7854" s="3"/>
      <c r="C7854" s="3"/>
      <c r="D7854" s="3"/>
      <c r="E7854" s="5" t="str">
        <f>HYPERLINK("https://dpmzos25m8ivg.cloudfront.net/Documentos/631/73217280130/6317321728013011092023160256.pdf","https://dpmzos25m8ivg.cloudfront.net/Documentos/631/73217280130/6317321728013011092023160256.pdf")</f>
        <v>https://dpmzos25m8ivg.cloudfront.net/Documentos/631/73217280130/6317321728013011092023160256.pdf</v>
      </c>
      <c r="F7854" s="5" t="str">
        <f>HYPERLINK("https://dpmzos25m8ivg.cloudfront.net/Documentos/631/73217280130/6317321728013011092023160310.pdf","https://dpmzos25m8ivg.cloudfront.net/Documentos/631/73217280130/6317321728013011092023160310.pdf")</f>
        <v>https://dpmzos25m8ivg.cloudfront.net/Documentos/631/73217280130/6317321728013011092023160310.pdf</v>
      </c>
      <c r="G7854" s="5" t="str">
        <f>HYPERLINK("https://dpmzos25m8ivg.cloudfront.net/Documentos/631/73217280130/6317321728013011092023160323.pdf","https://dpmzos25m8ivg.cloudfront.net/Documentos/631/73217280130/6317321728013011092023160323.pdf")</f>
        <v>https://dpmzos25m8ivg.cloudfront.net/Documentos/631/73217280130/6317321728013011092023160323.pdf</v>
      </c>
      <c r="H7854" s="5" t="s">
        <v>16422</v>
      </c>
    </row>
    <row r="7855" spans="1:8" x14ac:dyDescent="0.25">
      <c r="A7855" s="2" t="s">
        <v>7883</v>
      </c>
      <c r="B7855" s="3"/>
      <c r="C7855" s="3"/>
      <c r="D7855" s="3"/>
      <c r="E7855" s="5" t="str">
        <f>HYPERLINK("https://dpmzos25m8ivg.cloudfront.net/Documentos/631/73356867172/6317335686717207092023201812.pdf","https://dpmzos25m8ivg.cloudfront.net/Documentos/631/73356867172/6317335686717207092023201812.pdf")</f>
        <v>https://dpmzos25m8ivg.cloudfront.net/Documentos/631/73356867172/6317335686717207092023201812.pdf</v>
      </c>
      <c r="F7855" s="5" t="str">
        <f>HYPERLINK("https://dpmzos25m8ivg.cloudfront.net/Documentos/631/73356867172/6317335686717207092023201833.pdf","https://dpmzos25m8ivg.cloudfront.net/Documentos/631/73356867172/6317335686717207092023201833.pdf")</f>
        <v>https://dpmzos25m8ivg.cloudfront.net/Documentos/631/73356867172/6317335686717207092023201833.pdf</v>
      </c>
      <c r="G7855" s="5" t="str">
        <f>HYPERLINK("https://dpmzos25m8ivg.cloudfront.net/Documentos/631/73356867172/6317335686717207092023201856.pdf","https://dpmzos25m8ivg.cloudfront.net/Documentos/631/73356867172/6317335686717207092023201856.pdf")</f>
        <v>https://dpmzos25m8ivg.cloudfront.net/Documentos/631/73356867172/6317335686717207092023201856.pdf</v>
      </c>
      <c r="H7855" s="5" t="s">
        <v>16423</v>
      </c>
    </row>
    <row r="7856" spans="1:8" x14ac:dyDescent="0.25">
      <c r="A7856" s="2" t="s">
        <v>7884</v>
      </c>
      <c r="B7856" s="3" t="s">
        <v>308</v>
      </c>
      <c r="C7856" s="3"/>
      <c r="D7856" s="3"/>
      <c r="E7856" s="5" t="str">
        <f>HYPERLINK("https://dpmzos25m8ivg.cloudfront.net/Documentos/631/73388661200/6317338866120011092023121725.jpeg","https://dpmzos25m8ivg.cloudfront.net/Documentos/631/73388661200/6317338866120011092023121725.jpeg")</f>
        <v>https://dpmzos25m8ivg.cloudfront.net/Documentos/631/73388661200/6317338866120011092023121725.jpeg</v>
      </c>
      <c r="F7856" s="5" t="str">
        <f>HYPERLINK("https://dpmzos25m8ivg.cloudfront.net/Documentos/631/73388661200/6317338866120011092023121742.jpeg","https://dpmzos25m8ivg.cloudfront.net/Documentos/631/73388661200/6317338866120011092023121742.jpeg")</f>
        <v>https://dpmzos25m8ivg.cloudfront.net/Documentos/631/73388661200/6317338866120011092023121742.jpeg</v>
      </c>
      <c r="G7856" s="5" t="str">
        <f>HYPERLINK("https://dpmzos25m8ivg.cloudfront.net/Documentos/631/73388661200/6317338866120011092023121808.jpeg","https://dpmzos25m8ivg.cloudfront.net/Documentos/631/73388661200/6317338866120011092023121808.jpeg")</f>
        <v>https://dpmzos25m8ivg.cloudfront.net/Documentos/631/73388661200/6317338866120011092023121808.jpeg</v>
      </c>
      <c r="H7856" s="5" t="s">
        <v>16424</v>
      </c>
    </row>
    <row r="7857" spans="1:8" x14ac:dyDescent="0.25">
      <c r="A7857" s="2" t="s">
        <v>7885</v>
      </c>
      <c r="B7857" s="3"/>
      <c r="C7857" s="3"/>
      <c r="D7857" s="3"/>
      <c r="E7857" s="5" t="str">
        <f>HYPERLINK("https://dpmzos25m8ivg.cloudfront.net/Documentos/631/73448443204/6317344844320405092023130526.pdf","https://dpmzos25m8ivg.cloudfront.net/Documentos/631/73448443204/6317344844320405092023130526.pdf")</f>
        <v>https://dpmzos25m8ivg.cloudfront.net/Documentos/631/73448443204/6317344844320405092023130526.pdf</v>
      </c>
      <c r="F7857" s="5" t="str">
        <f>HYPERLINK("https://dpmzos25m8ivg.cloudfront.net/Documentos/631/73448443204/6317344844320405092023130556.pdf","https://dpmzos25m8ivg.cloudfront.net/Documentos/631/73448443204/6317344844320405092023130556.pdf")</f>
        <v>https://dpmzos25m8ivg.cloudfront.net/Documentos/631/73448443204/6317344844320405092023130556.pdf</v>
      </c>
      <c r="G7857" s="5" t="str">
        <f>HYPERLINK("https://dpmzos25m8ivg.cloudfront.net/Documentos/631/73448443204/6317344844320405092023130633.pdf","https://dpmzos25m8ivg.cloudfront.net/Documentos/631/73448443204/6317344844320405092023130633.pdf")</f>
        <v>https://dpmzos25m8ivg.cloudfront.net/Documentos/631/73448443204/6317344844320405092023130633.pdf</v>
      </c>
      <c r="H7857" s="5" t="s">
        <v>16425</v>
      </c>
    </row>
    <row r="7858" spans="1:8" x14ac:dyDescent="0.25">
      <c r="A7858" s="2" t="s">
        <v>7886</v>
      </c>
      <c r="B7858" s="3"/>
      <c r="C7858" s="3"/>
      <c r="D7858" s="3"/>
      <c r="E7858" s="5" t="str">
        <f>HYPERLINK("https://dpmzos25m8ivg.cloudfront.net/Documentos/631/73468452500/6317346845250010092023215719.jpg","https://dpmzos25m8ivg.cloudfront.net/Documentos/631/73468452500/6317346845250010092023215719.jpg")</f>
        <v>https://dpmzos25m8ivg.cloudfront.net/Documentos/631/73468452500/6317346845250010092023215719.jpg</v>
      </c>
      <c r="F7858" s="5" t="str">
        <f>HYPERLINK("https://dpmzos25m8ivg.cloudfront.net/Documentos/631/73468452500/6317346845250010092023215735.jpg","https://dpmzos25m8ivg.cloudfront.net/Documentos/631/73468452500/6317346845250010092023215735.jpg")</f>
        <v>https://dpmzos25m8ivg.cloudfront.net/Documentos/631/73468452500/6317346845250010092023215735.jpg</v>
      </c>
      <c r="G7858" s="5" t="str">
        <f>HYPERLINK("https://dpmzos25m8ivg.cloudfront.net/Documentos/631/73468452500/6317346845250010092023215746.jpg","https://dpmzos25m8ivg.cloudfront.net/Documentos/631/73468452500/6317346845250010092023215746.jpg")</f>
        <v>https://dpmzos25m8ivg.cloudfront.net/Documentos/631/73468452500/6317346845250010092023215746.jpg</v>
      </c>
      <c r="H7858" s="5" t="s">
        <v>16426</v>
      </c>
    </row>
    <row r="7859" spans="1:8" x14ac:dyDescent="0.25">
      <c r="A7859" s="2" t="s">
        <v>7887</v>
      </c>
      <c r="B7859" s="3" t="s">
        <v>90</v>
      </c>
      <c r="C7859" s="3"/>
      <c r="D7859" s="3"/>
      <c r="E7859" s="5" t="str">
        <f>HYPERLINK("https://dpmzos25m8ivg.cloudfront.net/Documentos/631/73491764300/6317349176430008092023213925.pdf","https://dpmzos25m8ivg.cloudfront.net/Documentos/631/73491764300/6317349176430008092023213925.pdf")</f>
        <v>https://dpmzos25m8ivg.cloudfront.net/Documentos/631/73491764300/6317349176430008092023213925.pdf</v>
      </c>
      <c r="F7859" s="5" t="str">
        <f>HYPERLINK("https://dpmzos25m8ivg.cloudfront.net/Documentos/631/73491764300/6317349176430008092023213949.pdf","https://dpmzos25m8ivg.cloudfront.net/Documentos/631/73491764300/6317349176430008092023213949.pdf")</f>
        <v>https://dpmzos25m8ivg.cloudfront.net/Documentos/631/73491764300/6317349176430008092023213949.pdf</v>
      </c>
      <c r="G7859" s="5" t="str">
        <f>HYPERLINK("https://dpmzos25m8ivg.cloudfront.net/Documentos/631/73491764300/6317349176430008092023214013.pdf","https://dpmzos25m8ivg.cloudfront.net/Documentos/631/73491764300/6317349176430008092023214013.pdf")</f>
        <v>https://dpmzos25m8ivg.cloudfront.net/Documentos/631/73491764300/6317349176430008092023214013.pdf</v>
      </c>
      <c r="H7859" s="5" t="s">
        <v>16427</v>
      </c>
    </row>
    <row r="7860" spans="1:8" x14ac:dyDescent="0.25">
      <c r="A7860" s="2" t="s">
        <v>7888</v>
      </c>
      <c r="B7860" s="3"/>
      <c r="C7860" s="3"/>
      <c r="D7860" s="3"/>
      <c r="E7860" s="5" t="str">
        <f>HYPERLINK("https://dpmzos25m8ivg.cloudfront.net/Documentos/631/73552216120/6317355221612009092023210238.pdf","https://dpmzos25m8ivg.cloudfront.net/Documentos/631/73552216120/6317355221612009092023210238.pdf")</f>
        <v>https://dpmzos25m8ivg.cloudfront.net/Documentos/631/73552216120/6317355221612009092023210238.pdf</v>
      </c>
      <c r="F7860" s="5" t="str">
        <f>HYPERLINK("https://dpmzos25m8ivg.cloudfront.net/Documentos/631/73552216120/6317355221612009092023210249.pdf","https://dpmzos25m8ivg.cloudfront.net/Documentos/631/73552216120/6317355221612009092023210249.pdf")</f>
        <v>https://dpmzos25m8ivg.cloudfront.net/Documentos/631/73552216120/6317355221612009092023210249.pdf</v>
      </c>
      <c r="G7860" s="5" t="str">
        <f>HYPERLINK("https://dpmzos25m8ivg.cloudfront.net/Documentos/631/73552216120/6317355221612009092023210307.pdf","https://dpmzos25m8ivg.cloudfront.net/Documentos/631/73552216120/6317355221612009092023210307.pdf")</f>
        <v>https://dpmzos25m8ivg.cloudfront.net/Documentos/631/73552216120/6317355221612009092023210307.pdf</v>
      </c>
      <c r="H7860" s="5" t="s">
        <v>16428</v>
      </c>
    </row>
    <row r="7861" spans="1:8" x14ac:dyDescent="0.25">
      <c r="A7861" s="2" t="s">
        <v>7889</v>
      </c>
      <c r="B7861" s="3"/>
      <c r="C7861" s="3"/>
      <c r="D7861" s="3"/>
      <c r="E7861" s="5" t="str">
        <f>HYPERLINK("https://dpmzos25m8ivg.cloudfront.net/Documentos/631/73595543149/6317359554314914092023093709.jpg","https://dpmzos25m8ivg.cloudfront.net/Documentos/631/73595543149/6317359554314914092023093709.jpg")</f>
        <v>https://dpmzos25m8ivg.cloudfront.net/Documentos/631/73595543149/6317359554314914092023093709.jpg</v>
      </c>
      <c r="F7861" s="5" t="str">
        <f>HYPERLINK("https://dpmzos25m8ivg.cloudfront.net/Documentos/631/73595543149/6317359554314914092023093727.jpg","https://dpmzos25m8ivg.cloudfront.net/Documentos/631/73595543149/6317359554314914092023093727.jpg")</f>
        <v>https://dpmzos25m8ivg.cloudfront.net/Documentos/631/73595543149/6317359554314914092023093727.jpg</v>
      </c>
      <c r="G7861" s="5" t="str">
        <f>HYPERLINK("https://dpmzos25m8ivg.cloudfront.net/Documentos/631/73595543149/6317359554314914092023093746.jpg","https://dpmzos25m8ivg.cloudfront.net/Documentos/631/73595543149/6317359554314914092023093746.jpg")</f>
        <v>https://dpmzos25m8ivg.cloudfront.net/Documentos/631/73595543149/6317359554314914092023093746.jpg</v>
      </c>
      <c r="H7861" s="5" t="s">
        <v>16429</v>
      </c>
    </row>
    <row r="7862" spans="1:8" x14ac:dyDescent="0.25">
      <c r="A7862" s="2" t="s">
        <v>7890</v>
      </c>
      <c r="B7862" s="3"/>
      <c r="C7862" s="3"/>
      <c r="D7862" s="3"/>
      <c r="E7862" s="5" t="str">
        <f>HYPERLINK("https://dpmzos25m8ivg.cloudfront.net/Documentos/631/73635359653/6317363535965305092023161015.pdf","https://dpmzos25m8ivg.cloudfront.net/Documentos/631/73635359653/6317363535965305092023161015.pdf")</f>
        <v>https://dpmzos25m8ivg.cloudfront.net/Documentos/631/73635359653/6317363535965305092023161015.pdf</v>
      </c>
      <c r="F7862" s="5" t="str">
        <f>HYPERLINK("https://dpmzos25m8ivg.cloudfront.net/Documentos/631/73635359653/6317363535965305092023161024.pdf","https://dpmzos25m8ivg.cloudfront.net/Documentos/631/73635359653/6317363535965305092023161024.pdf")</f>
        <v>https://dpmzos25m8ivg.cloudfront.net/Documentos/631/73635359653/6317363535965305092023161024.pdf</v>
      </c>
      <c r="G7862" s="5" t="str">
        <f>HYPERLINK("https://dpmzos25m8ivg.cloudfront.net/Documentos/631/73635359653/6317363535965305092023161141.jpg","https://dpmzos25m8ivg.cloudfront.net/Documentos/631/73635359653/6317363535965305092023161141.jpg")</f>
        <v>https://dpmzos25m8ivg.cloudfront.net/Documentos/631/73635359653/6317363535965305092023161141.jpg</v>
      </c>
      <c r="H7862" s="5" t="s">
        <v>16430</v>
      </c>
    </row>
    <row r="7863" spans="1:8" x14ac:dyDescent="0.25">
      <c r="A7863" s="2" t="s">
        <v>7891</v>
      </c>
      <c r="B7863" s="3"/>
      <c r="C7863" s="3"/>
      <c r="D7863" s="3"/>
      <c r="E7863" s="5" t="str">
        <f>HYPERLINK("https://dpmzos25m8ivg.cloudfront.net/Documentos/631/73640166191/6317364016619113092023154907.pdf","https://dpmzos25m8ivg.cloudfront.net/Documentos/631/73640166191/6317364016619113092023154907.pdf")</f>
        <v>https://dpmzos25m8ivg.cloudfront.net/Documentos/631/73640166191/6317364016619113092023154907.pdf</v>
      </c>
      <c r="F7863" s="5" t="str">
        <f>HYPERLINK("https://dpmzos25m8ivg.cloudfront.net/Documentos/631/73640166191/6317364016619113092023154927.pdf","https://dpmzos25m8ivg.cloudfront.net/Documentos/631/73640166191/6317364016619113092023154927.pdf")</f>
        <v>https://dpmzos25m8ivg.cloudfront.net/Documentos/631/73640166191/6317364016619113092023154927.pdf</v>
      </c>
      <c r="G7863" s="5" t="str">
        <f>HYPERLINK("https://dpmzos25m8ivg.cloudfront.net/Documentos/631/73640166191/6317364016619113092023154948.pdf","https://dpmzos25m8ivg.cloudfront.net/Documentos/631/73640166191/6317364016619113092023154948.pdf")</f>
        <v>https://dpmzos25m8ivg.cloudfront.net/Documentos/631/73640166191/6317364016619113092023154948.pdf</v>
      </c>
      <c r="H7863" s="5" t="s">
        <v>16431</v>
      </c>
    </row>
    <row r="7864" spans="1:8" x14ac:dyDescent="0.25">
      <c r="A7864" s="2" t="s">
        <v>7892</v>
      </c>
      <c r="B7864" s="3"/>
      <c r="C7864" s="3"/>
      <c r="D7864" s="3"/>
      <c r="E7864" s="5" t="str">
        <f>HYPERLINK("https://dpmzos25m8ivg.cloudfront.net/Documentos/631/73801500225/6317380150022508092023133342.pdf","https://dpmzos25m8ivg.cloudfront.net/Documentos/631/73801500225/6317380150022508092023133342.pdf")</f>
        <v>https://dpmzos25m8ivg.cloudfront.net/Documentos/631/73801500225/6317380150022508092023133342.pdf</v>
      </c>
      <c r="F7864" s="5" t="str">
        <f>HYPERLINK("https://dpmzos25m8ivg.cloudfront.net/Documentos/631/73801500225/6317380150022508092023134034.pdf","https://dpmzos25m8ivg.cloudfront.net/Documentos/631/73801500225/6317380150022508092023134034.pdf")</f>
        <v>https://dpmzos25m8ivg.cloudfront.net/Documentos/631/73801500225/6317380150022508092023134034.pdf</v>
      </c>
      <c r="G7864" s="5" t="str">
        <f>HYPERLINK("https://dpmzos25m8ivg.cloudfront.net/Documentos/631/73801500225/6317380150022508092023135201.pdf","https://dpmzos25m8ivg.cloudfront.net/Documentos/631/73801500225/6317380150022508092023135201.pdf")</f>
        <v>https://dpmzos25m8ivg.cloudfront.net/Documentos/631/73801500225/6317380150022508092023135201.pdf</v>
      </c>
      <c r="H7864" s="5" t="s">
        <v>16432</v>
      </c>
    </row>
    <row r="7865" spans="1:8" x14ac:dyDescent="0.25">
      <c r="A7865" s="2" t="s">
        <v>7893</v>
      </c>
      <c r="B7865" s="3"/>
      <c r="C7865" s="3"/>
      <c r="D7865" s="3"/>
      <c r="E7865" s="5" t="str">
        <f>HYPERLINK("https://dpmzos25m8ivg.cloudfront.net/Documentos/631/73810380130/6317381038013005092023142312.pdf","https://dpmzos25m8ivg.cloudfront.net/Documentos/631/73810380130/6317381038013005092023142312.pdf")</f>
        <v>https://dpmzos25m8ivg.cloudfront.net/Documentos/631/73810380130/6317381038013005092023142312.pdf</v>
      </c>
      <c r="F7865" s="5" t="str">
        <f>HYPERLINK("https://dpmzos25m8ivg.cloudfront.net/Documentos/631/73810380130/6317381038013005092023142323.pdf","https://dpmzos25m8ivg.cloudfront.net/Documentos/631/73810380130/6317381038013005092023142323.pdf")</f>
        <v>https://dpmzos25m8ivg.cloudfront.net/Documentos/631/73810380130/6317381038013005092023142323.pdf</v>
      </c>
      <c r="G7865" s="5" t="str">
        <f>HYPERLINK("https://dpmzos25m8ivg.cloudfront.net/Documentos/631/73810380130/6317381038013005092023142335.pdf","https://dpmzos25m8ivg.cloudfront.net/Documentos/631/73810380130/6317381038013005092023142335.pdf")</f>
        <v>https://dpmzos25m8ivg.cloudfront.net/Documentos/631/73810380130/6317381038013005092023142335.pdf</v>
      </c>
      <c r="H7865" s="5" t="s">
        <v>16433</v>
      </c>
    </row>
    <row r="7866" spans="1:8" x14ac:dyDescent="0.25">
      <c r="A7866" s="2" t="s">
        <v>7894</v>
      </c>
      <c r="B7866" s="3" t="s">
        <v>23</v>
      </c>
      <c r="C7866" s="3"/>
      <c r="D7866" s="3"/>
      <c r="E7866" s="5" t="str">
        <f>HYPERLINK("https://dpmzos25m8ivg.cloudfront.net/Documentos/631/73839639204/6317383963920406092023172802.pdf","https://dpmzos25m8ivg.cloudfront.net/Documentos/631/73839639204/6317383963920406092023172802.pdf")</f>
        <v>https://dpmzos25m8ivg.cloudfront.net/Documentos/631/73839639204/6317383963920406092023172802.pdf</v>
      </c>
      <c r="F7866" s="5" t="str">
        <f>HYPERLINK("https://dpmzos25m8ivg.cloudfront.net/Documentos/631/73839639204/6317383963920406092023172830.pdf","https://dpmzos25m8ivg.cloudfront.net/Documentos/631/73839639204/6317383963920406092023172830.pdf")</f>
        <v>https://dpmzos25m8ivg.cloudfront.net/Documentos/631/73839639204/6317383963920406092023172830.pdf</v>
      </c>
      <c r="G7866" s="5" t="str">
        <f>HYPERLINK("https://dpmzos25m8ivg.cloudfront.net/Documentos/631/73839639204/6317383963920406092023172909.pdf","https://dpmzos25m8ivg.cloudfront.net/Documentos/631/73839639204/6317383963920406092023172909.pdf")</f>
        <v>https://dpmzos25m8ivg.cloudfront.net/Documentos/631/73839639204/6317383963920406092023172909.pdf</v>
      </c>
      <c r="H7866" s="5" t="s">
        <v>16434</v>
      </c>
    </row>
    <row r="7867" spans="1:8" x14ac:dyDescent="0.25">
      <c r="A7867" s="2" t="s">
        <v>7895</v>
      </c>
      <c r="B7867" s="3"/>
      <c r="C7867" s="3"/>
      <c r="D7867" s="3"/>
      <c r="E7867" s="5" t="str">
        <f>HYPERLINK("https://dpmzos25m8ivg.cloudfront.net/Documentos/631/74036467204/6317403646720405092023085933.pdf","https://dpmzos25m8ivg.cloudfront.net/Documentos/631/74036467204/6317403646720405092023085933.pdf")</f>
        <v>https://dpmzos25m8ivg.cloudfront.net/Documentos/631/74036467204/6317403646720405092023085933.pdf</v>
      </c>
      <c r="F7867" s="5" t="str">
        <f>HYPERLINK("https://dpmzos25m8ivg.cloudfront.net/Documentos/631/74036467204/6317403646720405092023090004.pdf","https://dpmzos25m8ivg.cloudfront.net/Documentos/631/74036467204/6317403646720405092023090004.pdf")</f>
        <v>https://dpmzos25m8ivg.cloudfront.net/Documentos/631/74036467204/6317403646720405092023090004.pdf</v>
      </c>
      <c r="G7867" s="5" t="str">
        <f>HYPERLINK("https://dpmzos25m8ivg.cloudfront.net/Documentos/631/74036467204/6317403646720405092023090037.pdf","https://dpmzos25m8ivg.cloudfront.net/Documentos/631/74036467204/6317403646720405092023090037.pdf")</f>
        <v>https://dpmzos25m8ivg.cloudfront.net/Documentos/631/74036467204/6317403646720405092023090037.pdf</v>
      </c>
      <c r="H7867" s="5" t="s">
        <v>16435</v>
      </c>
    </row>
    <row r="7868" spans="1:8" x14ac:dyDescent="0.25">
      <c r="A7868" s="2" t="s">
        <v>7896</v>
      </c>
      <c r="B7868" s="3"/>
      <c r="C7868" s="3"/>
      <c r="D7868" s="3"/>
      <c r="E7868" s="5" t="str">
        <f>HYPERLINK("https://dpmzos25m8ivg.cloudfront.net/Documentos/631/74146084415/6317414608441507092023230357.pdf","https://dpmzos25m8ivg.cloudfront.net/Documentos/631/74146084415/6317414608441507092023230357.pdf")</f>
        <v>https://dpmzos25m8ivg.cloudfront.net/Documentos/631/74146084415/6317414608441507092023230357.pdf</v>
      </c>
      <c r="F7868" s="5" t="str">
        <f>HYPERLINK("https://dpmzos25m8ivg.cloudfront.net/Documentos/631/74146084415/6317414608441507092023230418.pdf","https://dpmzos25m8ivg.cloudfront.net/Documentos/631/74146084415/6317414608441507092023230418.pdf")</f>
        <v>https://dpmzos25m8ivg.cloudfront.net/Documentos/631/74146084415/6317414608441507092023230418.pdf</v>
      </c>
      <c r="G7868" s="5" t="str">
        <f>HYPERLINK("https://dpmzos25m8ivg.cloudfront.net/Documentos/631/74146084415/6317414608441507092023230441.pdf","https://dpmzos25m8ivg.cloudfront.net/Documentos/631/74146084415/6317414608441507092023230441.pdf")</f>
        <v>https://dpmzos25m8ivg.cloudfront.net/Documentos/631/74146084415/6317414608441507092023230441.pdf</v>
      </c>
      <c r="H7868" s="5" t="s">
        <v>16436</v>
      </c>
    </row>
    <row r="7869" spans="1:8" x14ac:dyDescent="0.25">
      <c r="A7869" s="2" t="s">
        <v>7897</v>
      </c>
      <c r="B7869" s="3"/>
      <c r="C7869" s="3"/>
      <c r="D7869" s="3"/>
      <c r="E7869" s="5" t="str">
        <f>HYPERLINK("https://dpmzos25m8ivg.cloudfront.net/Documentos/631/74170856449/6317417085644911092023162347.jpg","https://dpmzos25m8ivg.cloudfront.net/Documentos/631/74170856449/6317417085644911092023162347.jpg")</f>
        <v>https://dpmzos25m8ivg.cloudfront.net/Documentos/631/74170856449/6317417085644911092023162347.jpg</v>
      </c>
      <c r="F7869" s="5" t="str">
        <f>HYPERLINK("https://dpmzos25m8ivg.cloudfront.net/Documentos/631/74170856449/6317417085644911092023162408.jpg","https://dpmzos25m8ivg.cloudfront.net/Documentos/631/74170856449/6317417085644911092023162408.jpg")</f>
        <v>https://dpmzos25m8ivg.cloudfront.net/Documentos/631/74170856449/6317417085644911092023162408.jpg</v>
      </c>
      <c r="G7869" s="5" t="str">
        <f>HYPERLINK("https://dpmzos25m8ivg.cloudfront.net/Documentos/631/74170856449/6317417085644911092023162520.jpg","https://dpmzos25m8ivg.cloudfront.net/Documentos/631/74170856449/6317417085644911092023162520.jpg")</f>
        <v>https://dpmzos25m8ivg.cloudfront.net/Documentos/631/74170856449/6317417085644911092023162520.jpg</v>
      </c>
      <c r="H7869" s="5" t="s">
        <v>16437</v>
      </c>
    </row>
    <row r="7870" spans="1:8" x14ac:dyDescent="0.25">
      <c r="A7870" s="2" t="s">
        <v>7898</v>
      </c>
      <c r="B7870" s="3"/>
      <c r="C7870" s="3"/>
      <c r="D7870" s="3"/>
      <c r="E7870" s="5" t="str">
        <f>HYPERLINK("https://dpmzos25m8ivg.cloudfront.net/Documentos/631/74210181072/6317421018107211092023012212.jpg","https://dpmzos25m8ivg.cloudfront.net/Documentos/631/74210181072/6317421018107211092023012212.jpg")</f>
        <v>https://dpmzos25m8ivg.cloudfront.net/Documentos/631/74210181072/6317421018107211092023012212.jpg</v>
      </c>
      <c r="F7870" s="5" t="str">
        <f>HYPERLINK("https://dpmzos25m8ivg.cloudfront.net/Documentos/631/74210181072/6317421018107211092023012220.jpg","https://dpmzos25m8ivg.cloudfront.net/Documentos/631/74210181072/6317421018107211092023012220.jpg")</f>
        <v>https://dpmzos25m8ivg.cloudfront.net/Documentos/631/74210181072/6317421018107211092023012220.jpg</v>
      </c>
      <c r="G7870" s="5" t="str">
        <f>HYPERLINK("https://dpmzos25m8ivg.cloudfront.net/Documentos/631/74210181072/6317421018107211092023012227.jpg","https://dpmzos25m8ivg.cloudfront.net/Documentos/631/74210181072/6317421018107211092023012227.jpg")</f>
        <v>https://dpmzos25m8ivg.cloudfront.net/Documentos/631/74210181072/6317421018107211092023012227.jpg</v>
      </c>
      <c r="H7870" s="5" t="s">
        <v>16438</v>
      </c>
    </row>
    <row r="7871" spans="1:8" x14ac:dyDescent="0.25">
      <c r="A7871" s="2" t="s">
        <v>7899</v>
      </c>
      <c r="B7871" s="3"/>
      <c r="C7871" s="3"/>
      <c r="D7871" s="3"/>
      <c r="E7871" s="5" t="str">
        <f>HYPERLINK("https://dpmzos25m8ivg.cloudfront.net/Documentos/631/74238221249/6317423822124911092023164624.jpg","https://dpmzos25m8ivg.cloudfront.net/Documentos/631/74238221249/6317423822124911092023164624.jpg")</f>
        <v>https://dpmzos25m8ivg.cloudfront.net/Documentos/631/74238221249/6317423822124911092023164624.jpg</v>
      </c>
      <c r="F7871" s="5" t="str">
        <f>HYPERLINK("https://dpmzos25m8ivg.cloudfront.net/Documentos/631/74238221249/6317423822124911092023164636.jpg","https://dpmzos25m8ivg.cloudfront.net/Documentos/631/74238221249/6317423822124911092023164636.jpg")</f>
        <v>https://dpmzos25m8ivg.cloudfront.net/Documentos/631/74238221249/6317423822124911092023164636.jpg</v>
      </c>
      <c r="G7871" s="5" t="str">
        <f>HYPERLINK("https://dpmzos25m8ivg.cloudfront.net/Documentos/631/74238221249/6317423822124911092023164702.jpg","https://dpmzos25m8ivg.cloudfront.net/Documentos/631/74238221249/6317423822124911092023164702.jpg")</f>
        <v>https://dpmzos25m8ivg.cloudfront.net/Documentos/631/74238221249/6317423822124911092023164702.jpg</v>
      </c>
      <c r="H7871" s="5" t="s">
        <v>16439</v>
      </c>
    </row>
    <row r="7872" spans="1:8" x14ac:dyDescent="0.25">
      <c r="A7872" s="2" t="s">
        <v>7900</v>
      </c>
      <c r="B7872" s="3"/>
      <c r="C7872" s="3"/>
      <c r="D7872" s="3"/>
      <c r="E7872" s="5" t="str">
        <f>HYPERLINK("https://dpmzos25m8ivg.cloudfront.net/Documentos/631/74450557972/6317445055797211092023091203.pdf","https://dpmzos25m8ivg.cloudfront.net/Documentos/631/74450557972/6317445055797211092023091203.pdf")</f>
        <v>https://dpmzos25m8ivg.cloudfront.net/Documentos/631/74450557972/6317445055797211092023091203.pdf</v>
      </c>
      <c r="F7872" s="5" t="str">
        <f>HYPERLINK("https://dpmzos25m8ivg.cloudfront.net/Documentos/631/74450557972/6317445055797211092023091239.pdf","https://dpmzos25m8ivg.cloudfront.net/Documentos/631/74450557972/6317445055797211092023091239.pdf")</f>
        <v>https://dpmzos25m8ivg.cloudfront.net/Documentos/631/74450557972/6317445055797211092023091239.pdf</v>
      </c>
      <c r="G7872" s="5" t="str">
        <f>HYPERLINK("https://dpmzos25m8ivg.cloudfront.net/Documentos/631/74450557972/6317445055797211092023091254.pdf","https://dpmzos25m8ivg.cloudfront.net/Documentos/631/74450557972/6317445055797211092023091254.pdf")</f>
        <v>https://dpmzos25m8ivg.cloudfront.net/Documentos/631/74450557972/6317445055797211092023091254.pdf</v>
      </c>
      <c r="H7872" s="5" t="s">
        <v>16440</v>
      </c>
    </row>
    <row r="7873" spans="1:8" x14ac:dyDescent="0.25">
      <c r="A7873" s="2" t="s">
        <v>7901</v>
      </c>
      <c r="B7873" s="3"/>
      <c r="C7873" s="3"/>
      <c r="D7873" s="3"/>
      <c r="E7873" s="5" t="str">
        <f>HYPERLINK("https://dpmzos25m8ivg.cloudfront.net/Documentos/631/74484524368/6317448452436805092023223916.jpeg","https://dpmzos25m8ivg.cloudfront.net/Documentos/631/74484524368/6317448452436805092023223916.jpeg")</f>
        <v>https://dpmzos25m8ivg.cloudfront.net/Documentos/631/74484524368/6317448452436805092023223916.jpeg</v>
      </c>
      <c r="F7873" s="5" t="str">
        <f>HYPERLINK("https://dpmzos25m8ivg.cloudfront.net/Documentos/631/74484524368/6317448452436805092023223931.jpeg","https://dpmzos25m8ivg.cloudfront.net/Documentos/631/74484524368/6317448452436805092023223931.jpeg")</f>
        <v>https://dpmzos25m8ivg.cloudfront.net/Documentos/631/74484524368/6317448452436805092023223931.jpeg</v>
      </c>
      <c r="G7873" s="5" t="str">
        <f>HYPERLINK("https://dpmzos25m8ivg.cloudfront.net/Documentos/631/74484524368/6317448452436805092023224253.jpeg","https://dpmzos25m8ivg.cloudfront.net/Documentos/631/74484524368/6317448452436805092023224253.jpeg")</f>
        <v>https://dpmzos25m8ivg.cloudfront.net/Documentos/631/74484524368/6317448452436805092023224253.jpeg</v>
      </c>
      <c r="H7873" s="5" t="s">
        <v>16441</v>
      </c>
    </row>
    <row r="7874" spans="1:8" x14ac:dyDescent="0.25">
      <c r="A7874" s="2" t="s">
        <v>7902</v>
      </c>
      <c r="B7874" s="3"/>
      <c r="C7874" s="3"/>
      <c r="D7874" s="3"/>
      <c r="E7874" s="5" t="str">
        <f>HYPERLINK("https://dpmzos25m8ivg.cloudfront.net/Documentos/631/74514113204/6317451411320414092023135112.pdf","https://dpmzos25m8ivg.cloudfront.net/Documentos/631/74514113204/6317451411320414092023135112.pdf")</f>
        <v>https://dpmzos25m8ivg.cloudfront.net/Documentos/631/74514113204/6317451411320414092023135112.pdf</v>
      </c>
      <c r="F7874" s="5" t="str">
        <f>HYPERLINK("https://dpmzos25m8ivg.cloudfront.net/Documentos/631/74514113204/6317451411320414092023135124.pdf","https://dpmzos25m8ivg.cloudfront.net/Documentos/631/74514113204/6317451411320414092023135124.pdf")</f>
        <v>https://dpmzos25m8ivg.cloudfront.net/Documentos/631/74514113204/6317451411320414092023135124.pdf</v>
      </c>
      <c r="G7874" s="5" t="str">
        <f>HYPERLINK("https://dpmzos25m8ivg.cloudfront.net/Documentos/631/74514113204/6317451411320414092023135139.pdf","https://dpmzos25m8ivg.cloudfront.net/Documentos/631/74514113204/6317451411320414092023135139.pdf")</f>
        <v>https://dpmzos25m8ivg.cloudfront.net/Documentos/631/74514113204/6317451411320414092023135139.pdf</v>
      </c>
      <c r="H7874" s="5" t="s">
        <v>16442</v>
      </c>
    </row>
    <row r="7875" spans="1:8" x14ac:dyDescent="0.25">
      <c r="A7875" s="2" t="s">
        <v>7903</v>
      </c>
      <c r="B7875" s="3"/>
      <c r="C7875" s="3"/>
      <c r="D7875" s="3"/>
      <c r="E7875" s="5" t="str">
        <f>HYPERLINK("https://dpmzos25m8ivg.cloudfront.net/Documentos/631/74588460200/6317458846020011092023164753.jpeg","https://dpmzos25m8ivg.cloudfront.net/Documentos/631/74588460200/6317458846020011092023164753.jpeg")</f>
        <v>https://dpmzos25m8ivg.cloudfront.net/Documentos/631/74588460200/6317458846020011092023164753.jpeg</v>
      </c>
      <c r="F7875" s="5" t="str">
        <f>HYPERLINK("https://dpmzos25m8ivg.cloudfront.net/Documentos/631/74588460200/6317458846020011092023164806.jpeg","https://dpmzos25m8ivg.cloudfront.net/Documentos/631/74588460200/6317458846020011092023164806.jpeg")</f>
        <v>https://dpmzos25m8ivg.cloudfront.net/Documentos/631/74588460200/6317458846020011092023164806.jpeg</v>
      </c>
      <c r="G7875" s="5" t="str">
        <f>HYPERLINK("https://dpmzos25m8ivg.cloudfront.net/Documentos/631/74588460200/6317458846020011092023164817.jpeg","https://dpmzos25m8ivg.cloudfront.net/Documentos/631/74588460200/6317458846020011092023164817.jpeg")</f>
        <v>https://dpmzos25m8ivg.cloudfront.net/Documentos/631/74588460200/6317458846020011092023164817.jpeg</v>
      </c>
      <c r="H7875" s="5" t="s">
        <v>16443</v>
      </c>
    </row>
    <row r="7876" spans="1:8" x14ac:dyDescent="0.25">
      <c r="A7876" s="2" t="s">
        <v>7904</v>
      </c>
      <c r="B7876" s="3"/>
      <c r="C7876" s="3"/>
      <c r="D7876" s="3"/>
      <c r="E7876" s="5" t="str">
        <f>HYPERLINK("https://dpmzos25m8ivg.cloudfront.net/Documentos/631/74798863491/6317479886349105092023153759.pdf","https://dpmzos25m8ivg.cloudfront.net/Documentos/631/74798863491/6317479886349105092023153759.pdf")</f>
        <v>https://dpmzos25m8ivg.cloudfront.net/Documentos/631/74798863491/6317479886349105092023153759.pdf</v>
      </c>
      <c r="F7876" s="5" t="str">
        <f>HYPERLINK("https://dpmzos25m8ivg.cloudfront.net/Documentos/631/74798863491/6317479886349105092023153819.pdf","https://dpmzos25m8ivg.cloudfront.net/Documentos/631/74798863491/6317479886349105092023153819.pdf")</f>
        <v>https://dpmzos25m8ivg.cloudfront.net/Documentos/631/74798863491/6317479886349105092023153819.pdf</v>
      </c>
      <c r="G7876" s="5" t="str">
        <f>HYPERLINK("https://dpmzos25m8ivg.cloudfront.net/Documentos/631/74798863491/6317479886349105092023153835.pdf","https://dpmzos25m8ivg.cloudfront.net/Documentos/631/74798863491/6317479886349105092023153835.pdf")</f>
        <v>https://dpmzos25m8ivg.cloudfront.net/Documentos/631/74798863491/6317479886349105092023153835.pdf</v>
      </c>
      <c r="H7876" s="5" t="s">
        <v>16444</v>
      </c>
    </row>
    <row r="7877" spans="1:8" x14ac:dyDescent="0.25">
      <c r="A7877" s="2" t="s">
        <v>7905</v>
      </c>
      <c r="B7877" s="3"/>
      <c r="C7877" s="3"/>
      <c r="D7877" s="3"/>
      <c r="E7877" s="5" t="str">
        <f>HYPERLINK("https://dpmzos25m8ivg.cloudfront.net/Documentos/631/74882660725/6317488266072507092023222305.pdf","https://dpmzos25m8ivg.cloudfront.net/Documentos/631/74882660725/6317488266072507092023222305.pdf")</f>
        <v>https://dpmzos25m8ivg.cloudfront.net/Documentos/631/74882660725/6317488266072507092023222305.pdf</v>
      </c>
      <c r="F7877" s="5" t="str">
        <f>HYPERLINK("https://dpmzos25m8ivg.cloudfront.net/Documentos/631/74882660725/6317488266072507092023222317.pdf","https://dpmzos25m8ivg.cloudfront.net/Documentos/631/74882660725/6317488266072507092023222317.pdf")</f>
        <v>https://dpmzos25m8ivg.cloudfront.net/Documentos/631/74882660725/6317488266072507092023222317.pdf</v>
      </c>
      <c r="G7877" s="5" t="str">
        <f>HYPERLINK("https://dpmzos25m8ivg.cloudfront.net/Documentos/631/74882660725/6317488266072507092023222329.pdf","https://dpmzos25m8ivg.cloudfront.net/Documentos/631/74882660725/6317488266072507092023222329.pdf")</f>
        <v>https://dpmzos25m8ivg.cloudfront.net/Documentos/631/74882660725/6317488266072507092023222329.pdf</v>
      </c>
      <c r="H7877" s="5" t="s">
        <v>16445</v>
      </c>
    </row>
    <row r="7878" spans="1:8" x14ac:dyDescent="0.25">
      <c r="A7878" s="2" t="s">
        <v>7906</v>
      </c>
      <c r="B7878" s="3"/>
      <c r="C7878" s="3"/>
      <c r="D7878" s="3"/>
      <c r="E7878" s="5" t="str">
        <f>HYPERLINK("https://dpmzos25m8ivg.cloudfront.net/Documentos/631/74917838134/6317491783813407092023215839.pdf","https://dpmzos25m8ivg.cloudfront.net/Documentos/631/74917838134/6317491783813407092023215839.pdf")</f>
        <v>https://dpmzos25m8ivg.cloudfront.net/Documentos/631/74917838134/6317491783813407092023215839.pdf</v>
      </c>
      <c r="F7878" s="5" t="str">
        <f>HYPERLINK("https://dpmzos25m8ivg.cloudfront.net/Documentos/631/74917838134/6317491783813407092023215847.pdf","https://dpmzos25m8ivg.cloudfront.net/Documentos/631/74917838134/6317491783813407092023215847.pdf")</f>
        <v>https://dpmzos25m8ivg.cloudfront.net/Documentos/631/74917838134/6317491783813407092023215847.pdf</v>
      </c>
      <c r="G7878" s="5" t="str">
        <f>HYPERLINK("https://dpmzos25m8ivg.cloudfront.net/Documentos/631/74917838134/6317491783813407092023215857.pdf","https://dpmzos25m8ivg.cloudfront.net/Documentos/631/74917838134/6317491783813407092023215857.pdf")</f>
        <v>https://dpmzos25m8ivg.cloudfront.net/Documentos/631/74917838134/6317491783813407092023215857.pdf</v>
      </c>
      <c r="H7878" s="5" t="s">
        <v>16446</v>
      </c>
    </row>
    <row r="7879" spans="1:8" x14ac:dyDescent="0.25">
      <c r="A7879" s="2" t="s">
        <v>7907</v>
      </c>
      <c r="B7879" s="3"/>
      <c r="C7879" s="3"/>
      <c r="D7879" s="3"/>
      <c r="E7879" s="5" t="str">
        <f>HYPERLINK("https://dpmzos25m8ivg.cloudfront.net/Documentos/631/74918397115/6317491839711506092023101401.pdf","https://dpmzos25m8ivg.cloudfront.net/Documentos/631/74918397115/6317491839711506092023101401.pdf")</f>
        <v>https://dpmzos25m8ivg.cloudfront.net/Documentos/631/74918397115/6317491839711506092023101401.pdf</v>
      </c>
      <c r="F7879" s="5" t="str">
        <f>HYPERLINK("https://dpmzos25m8ivg.cloudfront.net/Documentos/631/74918397115/6317491839711506092023101411.pdf","https://dpmzos25m8ivg.cloudfront.net/Documentos/631/74918397115/6317491839711506092023101411.pdf")</f>
        <v>https://dpmzos25m8ivg.cloudfront.net/Documentos/631/74918397115/6317491839711506092023101411.pdf</v>
      </c>
      <c r="G7879" s="5" t="str">
        <f>HYPERLINK("https://dpmzos25m8ivg.cloudfront.net/Documentos/631/74918397115/6317491839711506092023101420.pdf","https://dpmzos25m8ivg.cloudfront.net/Documentos/631/74918397115/6317491839711506092023101420.pdf")</f>
        <v>https://dpmzos25m8ivg.cloudfront.net/Documentos/631/74918397115/6317491839711506092023101420.pdf</v>
      </c>
      <c r="H7879" s="5" t="s">
        <v>16447</v>
      </c>
    </row>
    <row r="7880" spans="1:8" x14ac:dyDescent="0.25">
      <c r="A7880" s="2" t="s">
        <v>7908</v>
      </c>
      <c r="B7880" s="3"/>
      <c r="C7880" s="3"/>
      <c r="D7880" s="3"/>
      <c r="E7880" s="5" t="str">
        <f>HYPERLINK("https://dpmzos25m8ivg.cloudfront.net/Documentos/631/74964402304/6317496440230410092023073353.pdf","https://dpmzos25m8ivg.cloudfront.net/Documentos/631/74964402304/6317496440230410092023073353.pdf")</f>
        <v>https://dpmzos25m8ivg.cloudfront.net/Documentos/631/74964402304/6317496440230410092023073353.pdf</v>
      </c>
      <c r="F7880" s="5" t="str">
        <f>HYPERLINK("https://dpmzos25m8ivg.cloudfront.net/Documentos/631/74964402304/6317496440230410092023073430.pdf","https://dpmzos25m8ivg.cloudfront.net/Documentos/631/74964402304/6317496440230410092023073430.pdf")</f>
        <v>https://dpmzos25m8ivg.cloudfront.net/Documentos/631/74964402304/6317496440230410092023073430.pdf</v>
      </c>
      <c r="G7880" s="5" t="str">
        <f>HYPERLINK("https://dpmzos25m8ivg.cloudfront.net/Documentos/631/74964402304/6317496440230410092023073509.pdf","https://dpmzos25m8ivg.cloudfront.net/Documentos/631/74964402304/6317496440230410092023073509.pdf")</f>
        <v>https://dpmzos25m8ivg.cloudfront.net/Documentos/631/74964402304/6317496440230410092023073509.pdf</v>
      </c>
      <c r="H7880" s="5" t="s">
        <v>16448</v>
      </c>
    </row>
    <row r="7881" spans="1:8" x14ac:dyDescent="0.25">
      <c r="A7881" s="2" t="s">
        <v>7909</v>
      </c>
      <c r="B7881" s="3"/>
      <c r="C7881" s="3"/>
      <c r="D7881" s="3"/>
      <c r="E7881" s="5" t="str">
        <f>HYPERLINK("https://dpmzos25m8ivg.cloudfront.net/Documentos/631/75035138020/6317503513802011092023143857.pdf","https://dpmzos25m8ivg.cloudfront.net/Documentos/631/75035138020/6317503513802011092023143857.pdf")</f>
        <v>https://dpmzos25m8ivg.cloudfront.net/Documentos/631/75035138020/6317503513802011092023143857.pdf</v>
      </c>
      <c r="F7881" s="5" t="str">
        <f>HYPERLINK("https://dpmzos25m8ivg.cloudfront.net/Documentos/631/75035138020/6317503513802011092023143932.pdf","https://dpmzos25m8ivg.cloudfront.net/Documentos/631/75035138020/6317503513802011092023143932.pdf")</f>
        <v>https://dpmzos25m8ivg.cloudfront.net/Documentos/631/75035138020/6317503513802011092023143932.pdf</v>
      </c>
      <c r="G7881" s="5" t="str">
        <f>HYPERLINK("https://dpmzos25m8ivg.cloudfront.net/Documentos/631/75035138020/6317503513802011092023144416.pdf","https://dpmzos25m8ivg.cloudfront.net/Documentos/631/75035138020/6317503513802011092023144416.pdf")</f>
        <v>https://dpmzos25m8ivg.cloudfront.net/Documentos/631/75035138020/6317503513802011092023144416.pdf</v>
      </c>
      <c r="H7881" s="5" t="s">
        <v>16449</v>
      </c>
    </row>
    <row r="7882" spans="1:8" x14ac:dyDescent="0.25">
      <c r="A7882" s="2" t="s">
        <v>7910</v>
      </c>
      <c r="B7882" s="3" t="s">
        <v>312</v>
      </c>
      <c r="C7882" s="3"/>
      <c r="D7882" s="3"/>
      <c r="E7882" s="5" t="str">
        <f>HYPERLINK("https://dpmzos25m8ivg.cloudfront.net/Documentos/631/75045206249/6317504520624911092023111615.jpg","https://dpmzos25m8ivg.cloudfront.net/Documentos/631/75045206249/6317504520624911092023111615.jpg")</f>
        <v>https://dpmzos25m8ivg.cloudfront.net/Documentos/631/75045206249/6317504520624911092023111615.jpg</v>
      </c>
      <c r="F7882" s="5" t="str">
        <f>HYPERLINK("https://dpmzos25m8ivg.cloudfront.net/Documentos/631/75045206249/6317504520624911092023111621.jpg","https://dpmzos25m8ivg.cloudfront.net/Documentos/631/75045206249/6317504520624911092023111621.jpg")</f>
        <v>https://dpmzos25m8ivg.cloudfront.net/Documentos/631/75045206249/6317504520624911092023111621.jpg</v>
      </c>
      <c r="G7882" s="5" t="str">
        <f>HYPERLINK("https://dpmzos25m8ivg.cloudfront.net/Documentos/631/75045206249/6317504520624911092023111630.jpg","https://dpmzos25m8ivg.cloudfront.net/Documentos/631/75045206249/6317504520624911092023111630.jpg")</f>
        <v>https://dpmzos25m8ivg.cloudfront.net/Documentos/631/75045206249/6317504520624911092023111630.jpg</v>
      </c>
      <c r="H7882" s="5" t="s">
        <v>16450</v>
      </c>
    </row>
    <row r="7883" spans="1:8" x14ac:dyDescent="0.25">
      <c r="A7883" s="2" t="s">
        <v>7911</v>
      </c>
      <c r="B7883" s="3"/>
      <c r="C7883" s="3"/>
      <c r="D7883" s="3"/>
      <c r="E7883" s="5" t="str">
        <f>HYPERLINK("https://dpmzos25m8ivg.cloudfront.net/Documentos/631/75064472153/6317506447215311092023161217.pdf","https://dpmzos25m8ivg.cloudfront.net/Documentos/631/75064472153/6317506447215311092023161217.pdf")</f>
        <v>https://dpmzos25m8ivg.cloudfront.net/Documentos/631/75064472153/6317506447215311092023161217.pdf</v>
      </c>
      <c r="F7883" s="5" t="str">
        <f>HYPERLINK("https://dpmzos25m8ivg.cloudfront.net/Documentos/631/75064472153/6317506447215311092023161239.pdf","https://dpmzos25m8ivg.cloudfront.net/Documentos/631/75064472153/6317506447215311092023161239.pdf")</f>
        <v>https://dpmzos25m8ivg.cloudfront.net/Documentos/631/75064472153/6317506447215311092023161239.pdf</v>
      </c>
      <c r="G7883" s="5" t="str">
        <f>HYPERLINK("https://dpmzos25m8ivg.cloudfront.net/Documentos/631/75064472153/6317506447215311092023161308.pdf","https://dpmzos25m8ivg.cloudfront.net/Documentos/631/75064472153/6317506447215311092023161308.pdf")</f>
        <v>https://dpmzos25m8ivg.cloudfront.net/Documentos/631/75064472153/6317506447215311092023161308.pdf</v>
      </c>
      <c r="H7883" s="5" t="s">
        <v>16451</v>
      </c>
    </row>
    <row r="7884" spans="1:8" x14ac:dyDescent="0.25">
      <c r="A7884" s="2" t="s">
        <v>7912</v>
      </c>
      <c r="B7884" s="3"/>
      <c r="C7884" s="3"/>
      <c r="D7884" s="3"/>
      <c r="E7884" s="5" t="str">
        <f>HYPERLINK("https://dpmzos25m8ivg.cloudfront.net/Documentos/631/75246899187/6317524689918710092023211330.jpeg","https://dpmzos25m8ivg.cloudfront.net/Documentos/631/75246899187/6317524689918710092023211330.jpeg")</f>
        <v>https://dpmzos25m8ivg.cloudfront.net/Documentos/631/75246899187/6317524689918710092023211330.jpeg</v>
      </c>
      <c r="F7884" s="5" t="str">
        <f>HYPERLINK("https://dpmzos25m8ivg.cloudfront.net/Documentos/631/75246899187/6317524689918710092023211343.jpeg","https://dpmzos25m8ivg.cloudfront.net/Documentos/631/75246899187/6317524689918710092023211343.jpeg")</f>
        <v>https://dpmzos25m8ivg.cloudfront.net/Documentos/631/75246899187/6317524689918710092023211343.jpeg</v>
      </c>
      <c r="G7884" s="5" t="str">
        <f>HYPERLINK("https://dpmzos25m8ivg.cloudfront.net/Documentos/631/75246899187/6317524689918710092023211351.jpeg","https://dpmzos25m8ivg.cloudfront.net/Documentos/631/75246899187/6317524689918710092023211351.jpeg")</f>
        <v>https://dpmzos25m8ivg.cloudfront.net/Documentos/631/75246899187/6317524689918710092023211351.jpeg</v>
      </c>
      <c r="H7884" s="5" t="s">
        <v>16452</v>
      </c>
    </row>
    <row r="7885" spans="1:8" x14ac:dyDescent="0.25">
      <c r="A7885" s="2" t="s">
        <v>7913</v>
      </c>
      <c r="B7885" s="3"/>
      <c r="C7885" s="3"/>
      <c r="D7885" s="3"/>
      <c r="E7885" s="5" t="str">
        <f>HYPERLINK("https://dpmzos25m8ivg.cloudfront.net/Documentos/631/75250780687/6317525078068710092023162151.jpg","https://dpmzos25m8ivg.cloudfront.net/Documentos/631/75250780687/6317525078068710092023162151.jpg")</f>
        <v>https://dpmzos25m8ivg.cloudfront.net/Documentos/631/75250780687/6317525078068710092023162151.jpg</v>
      </c>
      <c r="F7885" s="5" t="str">
        <f>HYPERLINK("https://dpmzos25m8ivg.cloudfront.net/Documentos/631/75250780687/6317525078068710092023162248.jpg","https://dpmzos25m8ivg.cloudfront.net/Documentos/631/75250780687/6317525078068710092023162248.jpg")</f>
        <v>https://dpmzos25m8ivg.cloudfront.net/Documentos/631/75250780687/6317525078068710092023162248.jpg</v>
      </c>
      <c r="G7885" s="5" t="str">
        <f>HYPERLINK("https://dpmzos25m8ivg.cloudfront.net/Documentos/631/75250780687/6317525078068710092023162341.jpg","https://dpmzos25m8ivg.cloudfront.net/Documentos/631/75250780687/6317525078068710092023162341.jpg")</f>
        <v>https://dpmzos25m8ivg.cloudfront.net/Documentos/631/75250780687/6317525078068710092023162341.jpg</v>
      </c>
      <c r="H7885" s="5" t="s">
        <v>16453</v>
      </c>
    </row>
    <row r="7886" spans="1:8" x14ac:dyDescent="0.25">
      <c r="A7886" s="2" t="s">
        <v>7914</v>
      </c>
      <c r="B7886" s="3" t="s">
        <v>23</v>
      </c>
      <c r="C7886" s="3"/>
      <c r="D7886" s="3"/>
      <c r="E7886" s="5" t="str">
        <f>HYPERLINK("https://dpmzos25m8ivg.cloudfront.net/Documentos/631/75254026634/6317525402663409092023223536.jpg","https://dpmzos25m8ivg.cloudfront.net/Documentos/631/75254026634/6317525402663409092023223536.jpg")</f>
        <v>https://dpmzos25m8ivg.cloudfront.net/Documentos/631/75254026634/6317525402663409092023223536.jpg</v>
      </c>
      <c r="F7886" s="5" t="str">
        <f>HYPERLINK("https://dpmzos25m8ivg.cloudfront.net/Documentos/631/75254026634/6317525402663409092023223552.jpg","https://dpmzos25m8ivg.cloudfront.net/Documentos/631/75254026634/6317525402663409092023223552.jpg")</f>
        <v>https://dpmzos25m8ivg.cloudfront.net/Documentos/631/75254026634/6317525402663409092023223552.jpg</v>
      </c>
      <c r="G7886" s="5" t="str">
        <f>HYPERLINK("https://dpmzos25m8ivg.cloudfront.net/Documentos/631/75254026634/6317525402663409092023223635.jpg","https://dpmzos25m8ivg.cloudfront.net/Documentos/631/75254026634/6317525402663409092023223635.jpg")</f>
        <v>https://dpmzos25m8ivg.cloudfront.net/Documentos/631/75254026634/6317525402663409092023223635.jpg</v>
      </c>
      <c r="H7886" s="5" t="s">
        <v>16454</v>
      </c>
    </row>
    <row r="7887" spans="1:8" x14ac:dyDescent="0.25">
      <c r="A7887" s="2" t="s">
        <v>7915</v>
      </c>
      <c r="B7887" s="3"/>
      <c r="C7887" s="3"/>
      <c r="D7887" s="3"/>
      <c r="E7887" s="5" t="str">
        <f>HYPERLINK("https://dpmzos25m8ivg.cloudfront.net/Documentos/631/75285444934/6317528544493411092023085834.pdf","https://dpmzos25m8ivg.cloudfront.net/Documentos/631/75285444934/6317528544493411092023085834.pdf")</f>
        <v>https://dpmzos25m8ivg.cloudfront.net/Documentos/631/75285444934/6317528544493411092023085834.pdf</v>
      </c>
      <c r="F7887" s="5" t="str">
        <f>HYPERLINK("https://dpmzos25m8ivg.cloudfront.net/Documentos/631/75285444934/6317528544493411092023085846.pdf","https://dpmzos25m8ivg.cloudfront.net/Documentos/631/75285444934/6317528544493411092023085846.pdf")</f>
        <v>https://dpmzos25m8ivg.cloudfront.net/Documentos/631/75285444934/6317528544493411092023085846.pdf</v>
      </c>
      <c r="G7887" s="5" t="str">
        <f>HYPERLINK("https://dpmzos25m8ivg.cloudfront.net/Documentos/631/75285444934/6317528544493411092023085858.pdf","https://dpmzos25m8ivg.cloudfront.net/Documentos/631/75285444934/6317528544493411092023085858.pdf")</f>
        <v>https://dpmzos25m8ivg.cloudfront.net/Documentos/631/75285444934/6317528544493411092023085858.pdf</v>
      </c>
      <c r="H7887" s="5" t="s">
        <v>16455</v>
      </c>
    </row>
    <row r="7888" spans="1:8" x14ac:dyDescent="0.25">
      <c r="A7888" s="2" t="s">
        <v>7916</v>
      </c>
      <c r="B7888" s="3"/>
      <c r="C7888" s="3"/>
      <c r="D7888" s="3"/>
      <c r="E7888" s="5" t="str">
        <f>HYPERLINK("https://dpmzos25m8ivg.cloudfront.net/Documentos/631/75328054415/6317532805441511092023165343.pdf","https://dpmzos25m8ivg.cloudfront.net/Documentos/631/75328054415/6317532805441511092023165343.pdf")</f>
        <v>https://dpmzos25m8ivg.cloudfront.net/Documentos/631/75328054415/6317532805441511092023165343.pdf</v>
      </c>
      <c r="F7888" s="5" t="str">
        <f>HYPERLINK("https://dpmzos25m8ivg.cloudfront.net/Documentos/631/75328054415/6317532805441511092023165416.pdf","https://dpmzos25m8ivg.cloudfront.net/Documentos/631/75328054415/6317532805441511092023165416.pdf")</f>
        <v>https://dpmzos25m8ivg.cloudfront.net/Documentos/631/75328054415/6317532805441511092023165416.pdf</v>
      </c>
      <c r="G7888" s="5" t="str">
        <f>HYPERLINK("https://dpmzos25m8ivg.cloudfront.net/Documentos/631/75328054415/6317532805441511092023165455.pdf","https://dpmzos25m8ivg.cloudfront.net/Documentos/631/75328054415/6317532805441511092023165455.pdf")</f>
        <v>https://dpmzos25m8ivg.cloudfront.net/Documentos/631/75328054415/6317532805441511092023165455.pdf</v>
      </c>
      <c r="H7888" s="5" t="s">
        <v>16456</v>
      </c>
    </row>
    <row r="7889" spans="1:8" x14ac:dyDescent="0.25">
      <c r="A7889" s="2" t="s">
        <v>7917</v>
      </c>
      <c r="B7889" s="3"/>
      <c r="C7889" s="3"/>
      <c r="D7889" s="3"/>
      <c r="E7889" s="5" t="str">
        <f>HYPERLINK("https://dpmzos25m8ivg.cloudfront.net/Documentos/631/75338866315/6317533886631505092023095043.pdf","https://dpmzos25m8ivg.cloudfront.net/Documentos/631/75338866315/6317533886631505092023095043.pdf")</f>
        <v>https://dpmzos25m8ivg.cloudfront.net/Documentos/631/75338866315/6317533886631505092023095043.pdf</v>
      </c>
      <c r="F7889" s="5" t="str">
        <f>HYPERLINK("https://dpmzos25m8ivg.cloudfront.net/Documentos/631/75338866315/6317533886631505092023095056.pdf","https://dpmzos25m8ivg.cloudfront.net/Documentos/631/75338866315/6317533886631505092023095056.pdf")</f>
        <v>https://dpmzos25m8ivg.cloudfront.net/Documentos/631/75338866315/6317533886631505092023095056.pdf</v>
      </c>
      <c r="G7889" s="5" t="str">
        <f>HYPERLINK("https://dpmzos25m8ivg.cloudfront.net/Documentos/631/75338866315/6317533886631505092023095111.pdf","https://dpmzos25m8ivg.cloudfront.net/Documentos/631/75338866315/6317533886631505092023095111.pdf")</f>
        <v>https://dpmzos25m8ivg.cloudfront.net/Documentos/631/75338866315/6317533886631505092023095111.pdf</v>
      </c>
      <c r="H7889" s="5" t="s">
        <v>16457</v>
      </c>
    </row>
    <row r="7890" spans="1:8" x14ac:dyDescent="0.25">
      <c r="A7890" s="2" t="s">
        <v>7918</v>
      </c>
      <c r="B7890" s="3"/>
      <c r="C7890" s="3"/>
      <c r="D7890" s="3"/>
      <c r="E7890" s="5" t="str">
        <f>HYPERLINK("https://dpmzos25m8ivg.cloudfront.net/Documentos/631/75347857234/6317534785723410092023224354.pdf","https://dpmzos25m8ivg.cloudfront.net/Documentos/631/75347857234/6317534785723410092023224354.pdf")</f>
        <v>https://dpmzos25m8ivg.cloudfront.net/Documentos/631/75347857234/6317534785723410092023224354.pdf</v>
      </c>
      <c r="F7890" s="5" t="str">
        <f>HYPERLINK("https://dpmzos25m8ivg.cloudfront.net/Documentos/631/75347857234/6317534785723410092023224410.pdf","https://dpmzos25m8ivg.cloudfront.net/Documentos/631/75347857234/6317534785723410092023224410.pdf")</f>
        <v>https://dpmzos25m8ivg.cloudfront.net/Documentos/631/75347857234/6317534785723410092023224410.pdf</v>
      </c>
      <c r="G7890" s="5" t="str">
        <f>HYPERLINK("https://dpmzos25m8ivg.cloudfront.net/Documentos/631/75347857234/6317534785723410092023224428.pdf","https://dpmzos25m8ivg.cloudfront.net/Documentos/631/75347857234/6317534785723410092023224428.pdf")</f>
        <v>https://dpmzos25m8ivg.cloudfront.net/Documentos/631/75347857234/6317534785723410092023224428.pdf</v>
      </c>
      <c r="H7890" s="5" t="s">
        <v>16458</v>
      </c>
    </row>
    <row r="7891" spans="1:8" x14ac:dyDescent="0.25">
      <c r="A7891" s="2" t="s">
        <v>7919</v>
      </c>
      <c r="B7891" s="3" t="s">
        <v>308</v>
      </c>
      <c r="C7891" s="3"/>
      <c r="D7891" s="3"/>
      <c r="E7891" s="5" t="str">
        <f>HYPERLINK("https://dpmzos25m8ivg.cloudfront.net/Documentos/631/75377357604/6317537735760407092023214649.pdf","https://dpmzos25m8ivg.cloudfront.net/Documentos/631/75377357604/6317537735760407092023214649.pdf")</f>
        <v>https://dpmzos25m8ivg.cloudfront.net/Documentos/631/75377357604/6317537735760407092023214649.pdf</v>
      </c>
      <c r="F7891" s="5" t="str">
        <f>HYPERLINK("https://dpmzos25m8ivg.cloudfront.net/Documentos/631/75377357604/6317537735760407092023214703.pdf","https://dpmzos25m8ivg.cloudfront.net/Documentos/631/75377357604/6317537735760407092023214703.pdf")</f>
        <v>https://dpmzos25m8ivg.cloudfront.net/Documentos/631/75377357604/6317537735760407092023214703.pdf</v>
      </c>
      <c r="G7891" s="5" t="str">
        <f>HYPERLINK("https://dpmzos25m8ivg.cloudfront.net/Documentos/631/75377357604/6317537735760407092023214718.pdf","https://dpmzos25m8ivg.cloudfront.net/Documentos/631/75377357604/6317537735760407092023214718.pdf")</f>
        <v>https://dpmzos25m8ivg.cloudfront.net/Documentos/631/75377357604/6317537735760407092023214718.pdf</v>
      </c>
      <c r="H7891" s="5" t="s">
        <v>16459</v>
      </c>
    </row>
    <row r="7892" spans="1:8" x14ac:dyDescent="0.25">
      <c r="A7892" s="2" t="s">
        <v>7920</v>
      </c>
      <c r="B7892" s="3"/>
      <c r="C7892" s="3"/>
      <c r="D7892" s="3"/>
      <c r="E7892" s="5" t="str">
        <f>HYPERLINK("https://dpmzos25m8ivg.cloudfront.net/Documentos/631/75432218100/6317543221810011092023033157.jpeg","https://dpmzos25m8ivg.cloudfront.net/Documentos/631/75432218100/6317543221810011092023033157.jpeg")</f>
        <v>https://dpmzos25m8ivg.cloudfront.net/Documentos/631/75432218100/6317543221810011092023033157.jpeg</v>
      </c>
      <c r="F7892" s="5" t="str">
        <f>HYPERLINK("https://dpmzos25m8ivg.cloudfront.net/Documentos/631/75432218100/6317543221810011092023033220.jpeg","https://dpmzos25m8ivg.cloudfront.net/Documentos/631/75432218100/6317543221810011092023033220.jpeg")</f>
        <v>https://dpmzos25m8ivg.cloudfront.net/Documentos/631/75432218100/6317543221810011092023033220.jpeg</v>
      </c>
      <c r="G7892" s="5" t="str">
        <f>HYPERLINK("https://dpmzos25m8ivg.cloudfront.net/Documentos/631/75432218100/6317543221810011092023033242.jpeg","https://dpmzos25m8ivg.cloudfront.net/Documentos/631/75432218100/6317543221810011092023033242.jpeg")</f>
        <v>https://dpmzos25m8ivg.cloudfront.net/Documentos/631/75432218100/6317543221810011092023033242.jpeg</v>
      </c>
      <c r="H7892" s="5" t="s">
        <v>16460</v>
      </c>
    </row>
    <row r="7893" spans="1:8" x14ac:dyDescent="0.25">
      <c r="A7893" s="2" t="s">
        <v>7921</v>
      </c>
      <c r="B7893" s="3"/>
      <c r="C7893" s="3"/>
      <c r="D7893" s="3"/>
      <c r="E7893" s="5" t="str">
        <f>HYPERLINK("https://dpmzos25m8ivg.cloudfront.net/Documentos/631/75447495415/6317544749541514092023121159.jpg","https://dpmzos25m8ivg.cloudfront.net/Documentos/631/75447495415/6317544749541514092023121159.jpg")</f>
        <v>https://dpmzos25m8ivg.cloudfront.net/Documentos/631/75447495415/6317544749541514092023121159.jpg</v>
      </c>
      <c r="F7893" s="5" t="str">
        <f>HYPERLINK("https://dpmzos25m8ivg.cloudfront.net/Documentos/631/75447495415/6317544749541514092023121212.jpg","https://dpmzos25m8ivg.cloudfront.net/Documentos/631/75447495415/6317544749541514092023121212.jpg")</f>
        <v>https://dpmzos25m8ivg.cloudfront.net/Documentos/631/75447495415/6317544749541514092023121212.jpg</v>
      </c>
      <c r="G7893" s="5" t="str">
        <f>HYPERLINK("https://dpmzos25m8ivg.cloudfront.net/Documentos/631/75447495415/6317544749541514092023121230.jpg","https://dpmzos25m8ivg.cloudfront.net/Documentos/631/75447495415/6317544749541514092023121230.jpg")</f>
        <v>https://dpmzos25m8ivg.cloudfront.net/Documentos/631/75447495415/6317544749541514092023121230.jpg</v>
      </c>
      <c r="H7893" s="5" t="s">
        <v>16461</v>
      </c>
    </row>
    <row r="7894" spans="1:8" x14ac:dyDescent="0.25">
      <c r="A7894" s="2" t="s">
        <v>7922</v>
      </c>
      <c r="B7894" s="3"/>
      <c r="C7894" s="3"/>
      <c r="D7894" s="3"/>
      <c r="E7894" s="5" t="str">
        <f>HYPERLINK("https://dpmzos25m8ivg.cloudfront.net/Documentos/631/75595834234/6317559583423411092023121127.pdf","https://dpmzos25m8ivg.cloudfront.net/Documentos/631/75595834234/6317559583423411092023121127.pdf")</f>
        <v>https://dpmzos25m8ivg.cloudfront.net/Documentos/631/75595834234/6317559583423411092023121127.pdf</v>
      </c>
      <c r="F7894" s="5" t="str">
        <f>HYPERLINK("https://dpmzos25m8ivg.cloudfront.net/Documentos/631/75595834234/6317559583423411092023121145.pdf","https://dpmzos25m8ivg.cloudfront.net/Documentos/631/75595834234/6317559583423411092023121145.pdf")</f>
        <v>https://dpmzos25m8ivg.cloudfront.net/Documentos/631/75595834234/6317559583423411092023121145.pdf</v>
      </c>
      <c r="G7894" s="5" t="str">
        <f>HYPERLINK("https://dpmzos25m8ivg.cloudfront.net/Documentos/631/75595834234/6317559583423411092023121156.pdf","https://dpmzos25m8ivg.cloudfront.net/Documentos/631/75595834234/6317559583423411092023121156.pdf")</f>
        <v>https://dpmzos25m8ivg.cloudfront.net/Documentos/631/75595834234/6317559583423411092023121156.pdf</v>
      </c>
      <c r="H7894" s="5" t="s">
        <v>16462</v>
      </c>
    </row>
    <row r="7895" spans="1:8" x14ac:dyDescent="0.25">
      <c r="A7895" s="2" t="s">
        <v>7923</v>
      </c>
      <c r="B7895" s="3"/>
      <c r="C7895" s="3"/>
      <c r="D7895" s="3"/>
      <c r="E7895" s="5" t="str">
        <f>HYPERLINK("https://dpmzos25m8ivg.cloudfront.net/Documentos/631/75621126491/6317562112649110092023164454.pdf","https://dpmzos25m8ivg.cloudfront.net/Documentos/631/75621126491/6317562112649110092023164454.pdf")</f>
        <v>https://dpmzos25m8ivg.cloudfront.net/Documentos/631/75621126491/6317562112649110092023164454.pdf</v>
      </c>
      <c r="F7895" s="5" t="str">
        <f>HYPERLINK("https://dpmzos25m8ivg.cloudfront.net/Documentos/631/75621126491/6317562112649110092023165644.pdf","https://dpmzos25m8ivg.cloudfront.net/Documentos/631/75621126491/6317562112649110092023165644.pdf")</f>
        <v>https://dpmzos25m8ivg.cloudfront.net/Documentos/631/75621126491/6317562112649110092023165644.pdf</v>
      </c>
      <c r="G7895" s="5" t="str">
        <f>HYPERLINK("https://dpmzos25m8ivg.cloudfront.net/Documentos/631/75621126491/6317562112649110092023165703.pdf","https://dpmzos25m8ivg.cloudfront.net/Documentos/631/75621126491/6317562112649110092023165703.pdf")</f>
        <v>https://dpmzos25m8ivg.cloudfront.net/Documentos/631/75621126491/6317562112649110092023165703.pdf</v>
      </c>
      <c r="H7895" s="5" t="s">
        <v>16463</v>
      </c>
    </row>
    <row r="7896" spans="1:8" x14ac:dyDescent="0.25">
      <c r="A7896" s="2" t="s">
        <v>7924</v>
      </c>
      <c r="B7896" s="3" t="s">
        <v>23</v>
      </c>
      <c r="C7896" s="3"/>
      <c r="D7896" s="3"/>
      <c r="E7896" s="5" t="str">
        <f>HYPERLINK("https://dpmzos25m8ivg.cloudfront.net/Documentos/631/75629194100/6317562919410006092023124409.jpeg","https://dpmzos25m8ivg.cloudfront.net/Documentos/631/75629194100/6317562919410006092023124409.jpeg")</f>
        <v>https://dpmzos25m8ivg.cloudfront.net/Documentos/631/75629194100/6317562919410006092023124409.jpeg</v>
      </c>
      <c r="F7896" s="5" t="str">
        <f>HYPERLINK("https://dpmzos25m8ivg.cloudfront.net/Documentos/631/75629194100/6317562919410006092023124430.jpeg","https://dpmzos25m8ivg.cloudfront.net/Documentos/631/75629194100/6317562919410006092023124430.jpeg")</f>
        <v>https://dpmzos25m8ivg.cloudfront.net/Documentos/631/75629194100/6317562919410006092023124430.jpeg</v>
      </c>
      <c r="G7896" s="5" t="str">
        <f>HYPERLINK("https://dpmzos25m8ivg.cloudfront.net/Documentos/631/75629194100/6317562919410006092023124624.pdf","https://dpmzos25m8ivg.cloudfront.net/Documentos/631/75629194100/6317562919410006092023124624.pdf")</f>
        <v>https://dpmzos25m8ivg.cloudfront.net/Documentos/631/75629194100/6317562919410006092023124624.pdf</v>
      </c>
      <c r="H7896" s="5" t="s">
        <v>16464</v>
      </c>
    </row>
    <row r="7897" spans="1:8" x14ac:dyDescent="0.25">
      <c r="A7897" s="2" t="s">
        <v>7925</v>
      </c>
      <c r="B7897" s="3"/>
      <c r="C7897" s="3"/>
      <c r="D7897" s="3"/>
      <c r="E7897" s="5" t="str">
        <f>HYPERLINK("https://dpmzos25m8ivg.cloudfront.net/Documentos/631/75662442134/6317566244213411092023131650.pdf","https://dpmzos25m8ivg.cloudfront.net/Documentos/631/75662442134/6317566244213411092023131650.pdf")</f>
        <v>https://dpmzos25m8ivg.cloudfront.net/Documentos/631/75662442134/6317566244213411092023131650.pdf</v>
      </c>
      <c r="F7897" s="5" t="str">
        <f>HYPERLINK("https://dpmzos25m8ivg.cloudfront.net/Documentos/631/75662442134/6317566244213411092023131658.pdf","https://dpmzos25m8ivg.cloudfront.net/Documentos/631/75662442134/6317566244213411092023131658.pdf")</f>
        <v>https://dpmzos25m8ivg.cloudfront.net/Documentos/631/75662442134/6317566244213411092023131658.pdf</v>
      </c>
      <c r="G7897" s="5" t="str">
        <f>HYPERLINK("https://dpmzos25m8ivg.cloudfront.net/Documentos/631/75662442134/6317566244213411092023131706.pdf","https://dpmzos25m8ivg.cloudfront.net/Documentos/631/75662442134/6317566244213411092023131706.pdf")</f>
        <v>https://dpmzos25m8ivg.cloudfront.net/Documentos/631/75662442134/6317566244213411092023131706.pdf</v>
      </c>
      <c r="H7897" s="5" t="s">
        <v>16465</v>
      </c>
    </row>
    <row r="7898" spans="1:8" x14ac:dyDescent="0.25">
      <c r="A7898" s="2" t="s">
        <v>7926</v>
      </c>
      <c r="B7898" s="3"/>
      <c r="C7898" s="3"/>
      <c r="D7898" s="3"/>
      <c r="E7898" s="5" t="str">
        <f>HYPERLINK("https://dpmzos25m8ivg.cloudfront.net/Documentos/631/75748568187/6317574856818710092023131752.jpeg","https://dpmzos25m8ivg.cloudfront.net/Documentos/631/75748568187/6317574856818710092023131752.jpeg")</f>
        <v>https://dpmzos25m8ivg.cloudfront.net/Documentos/631/75748568187/6317574856818710092023131752.jpeg</v>
      </c>
      <c r="F7898" s="5" t="str">
        <f>HYPERLINK("https://dpmzos25m8ivg.cloudfront.net/Documentos/631/75748568187/6317574856818710092023131823.jpeg","https://dpmzos25m8ivg.cloudfront.net/Documentos/631/75748568187/6317574856818710092023131823.jpeg")</f>
        <v>https://dpmzos25m8ivg.cloudfront.net/Documentos/631/75748568187/6317574856818710092023131823.jpeg</v>
      </c>
      <c r="G7898" s="5" t="str">
        <f>HYPERLINK("https://dpmzos25m8ivg.cloudfront.net/Documentos/631/75748568187/6317574856818710092023131805.jpeg","https://dpmzos25m8ivg.cloudfront.net/Documentos/631/75748568187/6317574856818710092023131805.jpeg")</f>
        <v>https://dpmzos25m8ivg.cloudfront.net/Documentos/631/75748568187/6317574856818710092023131805.jpeg</v>
      </c>
      <c r="H7898" s="5" t="s">
        <v>16466</v>
      </c>
    </row>
    <row r="7899" spans="1:8" x14ac:dyDescent="0.25">
      <c r="A7899" s="2" t="s">
        <v>7927</v>
      </c>
      <c r="B7899" s="3"/>
      <c r="C7899" s="3"/>
      <c r="D7899" s="3"/>
      <c r="E7899" s="5" t="str">
        <f>HYPERLINK("https://dpmzos25m8ivg.cloudfront.net/Documentos/631/75769930225/6317576993022505092023163130.pdf","https://dpmzos25m8ivg.cloudfront.net/Documentos/631/75769930225/6317576993022505092023163130.pdf")</f>
        <v>https://dpmzos25m8ivg.cloudfront.net/Documentos/631/75769930225/6317576993022505092023163130.pdf</v>
      </c>
      <c r="F7899" s="5" t="str">
        <f>HYPERLINK("https://dpmzos25m8ivg.cloudfront.net/Documentos/631/75769930225/6317576993022505092023165738.pdf","https://dpmzos25m8ivg.cloudfront.net/Documentos/631/75769930225/6317576993022505092023165738.pdf")</f>
        <v>https://dpmzos25m8ivg.cloudfront.net/Documentos/631/75769930225/6317576993022505092023165738.pdf</v>
      </c>
      <c r="G7899" s="5" t="str">
        <f>HYPERLINK("https://dpmzos25m8ivg.cloudfront.net/Documentos/631/75769930225/6317576993022505092023165810.pdf","https://dpmzos25m8ivg.cloudfront.net/Documentos/631/75769930225/6317576993022505092023165810.pdf")</f>
        <v>https://dpmzos25m8ivg.cloudfront.net/Documentos/631/75769930225/6317576993022505092023165810.pdf</v>
      </c>
      <c r="H7899" s="5" t="s">
        <v>16467</v>
      </c>
    </row>
    <row r="7900" spans="1:8" x14ac:dyDescent="0.25">
      <c r="A7900" s="2" t="s">
        <v>7928</v>
      </c>
      <c r="B7900" s="3"/>
      <c r="C7900" s="3"/>
      <c r="D7900" s="3"/>
      <c r="E7900" s="5" t="str">
        <f>HYPERLINK("https://dpmzos25m8ivg.cloudfront.net/Documentos/631/75855054187/6317585505418710092023214228.pdf","https://dpmzos25m8ivg.cloudfront.net/Documentos/631/75855054187/6317585505418710092023214228.pdf")</f>
        <v>https://dpmzos25m8ivg.cloudfront.net/Documentos/631/75855054187/6317585505418710092023214228.pdf</v>
      </c>
      <c r="F7900" s="5" t="str">
        <f>HYPERLINK("https://dpmzos25m8ivg.cloudfront.net/Documentos/631/75855054187/6317585505418710092023214243.pdf","https://dpmzos25m8ivg.cloudfront.net/Documentos/631/75855054187/6317585505418710092023214243.pdf")</f>
        <v>https://dpmzos25m8ivg.cloudfront.net/Documentos/631/75855054187/6317585505418710092023214243.pdf</v>
      </c>
      <c r="G7900" s="5" t="str">
        <f>HYPERLINK("https://dpmzos25m8ivg.cloudfront.net/Documentos/631/75855054187/6317585505418710092023214258.pdf","https://dpmzos25m8ivg.cloudfront.net/Documentos/631/75855054187/6317585505418710092023214258.pdf")</f>
        <v>https://dpmzos25m8ivg.cloudfront.net/Documentos/631/75855054187/6317585505418710092023214258.pdf</v>
      </c>
      <c r="H7900" s="5" t="s">
        <v>16468</v>
      </c>
    </row>
    <row r="7901" spans="1:8" x14ac:dyDescent="0.25">
      <c r="A7901" s="2" t="s">
        <v>7929</v>
      </c>
      <c r="B7901" s="3"/>
      <c r="C7901" s="3"/>
      <c r="D7901" s="3"/>
      <c r="E7901" s="5" t="str">
        <f>HYPERLINK("https://dpmzos25m8ivg.cloudfront.net/Documentos/631/75865211900/6317586521190005092023223745.pdf","https://dpmzos25m8ivg.cloudfront.net/Documentos/631/75865211900/6317586521190005092023223745.pdf")</f>
        <v>https://dpmzos25m8ivg.cloudfront.net/Documentos/631/75865211900/6317586521190005092023223745.pdf</v>
      </c>
      <c r="F7901" s="5" t="str">
        <f>HYPERLINK("https://dpmzos25m8ivg.cloudfront.net/Documentos/631/75865211900/6317586521190005092023223833.pdf","https://dpmzos25m8ivg.cloudfront.net/Documentos/631/75865211900/6317586521190005092023223833.pdf")</f>
        <v>https://dpmzos25m8ivg.cloudfront.net/Documentos/631/75865211900/6317586521190005092023223833.pdf</v>
      </c>
      <c r="G7901" s="5" t="str">
        <f>HYPERLINK("https://dpmzos25m8ivg.cloudfront.net/Documentos/631/75865211900/6317586521190005092023223909.pdf","https://dpmzos25m8ivg.cloudfront.net/Documentos/631/75865211900/6317586521190005092023223909.pdf")</f>
        <v>https://dpmzos25m8ivg.cloudfront.net/Documentos/631/75865211900/6317586521190005092023223909.pdf</v>
      </c>
      <c r="H7901" s="5" t="s">
        <v>16469</v>
      </c>
    </row>
    <row r="7902" spans="1:8" x14ac:dyDescent="0.25">
      <c r="A7902" s="2" t="s">
        <v>7930</v>
      </c>
      <c r="B7902" s="3"/>
      <c r="C7902" s="3"/>
      <c r="D7902" s="3"/>
      <c r="E7902" s="5" t="str">
        <f>HYPERLINK("https://dpmzos25m8ivg.cloudfront.net/Documentos/631/75950731204/6317595073120411092023164844.pdf","https://dpmzos25m8ivg.cloudfront.net/Documentos/631/75950731204/6317595073120411092023164844.pdf")</f>
        <v>https://dpmzos25m8ivg.cloudfront.net/Documentos/631/75950731204/6317595073120411092023164844.pdf</v>
      </c>
      <c r="F7902" s="5" t="str">
        <f>HYPERLINK("https://dpmzos25m8ivg.cloudfront.net/Documentos/631/75950731204/6317595073120411092023165139.pdf","https://dpmzos25m8ivg.cloudfront.net/Documentos/631/75950731204/6317595073120411092023165139.pdf")</f>
        <v>https://dpmzos25m8ivg.cloudfront.net/Documentos/631/75950731204/6317595073120411092023165139.pdf</v>
      </c>
      <c r="G7902" s="5" t="str">
        <f>HYPERLINK("https://dpmzos25m8ivg.cloudfront.net/Documentos/631/75950731204/6317595073120411092023165347.pdf","https://dpmzos25m8ivg.cloudfront.net/Documentos/631/75950731204/6317595073120411092023165347.pdf")</f>
        <v>https://dpmzos25m8ivg.cloudfront.net/Documentos/631/75950731204/6317595073120411092023165347.pdf</v>
      </c>
      <c r="H7902" s="5" t="s">
        <v>16470</v>
      </c>
    </row>
    <row r="7903" spans="1:8" x14ac:dyDescent="0.25">
      <c r="A7903" s="2" t="s">
        <v>7931</v>
      </c>
      <c r="B7903" s="3"/>
      <c r="C7903" s="3"/>
      <c r="D7903" s="3"/>
      <c r="E7903" s="5" t="str">
        <f>HYPERLINK("https://dpmzos25m8ivg.cloudfront.net/Documentos/631/76168751491/6317616875149108092023183245.pdf","https://dpmzos25m8ivg.cloudfront.net/Documentos/631/76168751491/6317616875149108092023183245.pdf")</f>
        <v>https://dpmzos25m8ivg.cloudfront.net/Documentos/631/76168751491/6317616875149108092023183245.pdf</v>
      </c>
      <c r="F7903" s="5" t="str">
        <f>HYPERLINK("https://dpmzos25m8ivg.cloudfront.net/Documentos/631/76168751491/6317616875149108092023183254.pdf","https://dpmzos25m8ivg.cloudfront.net/Documentos/631/76168751491/6317616875149108092023183254.pdf")</f>
        <v>https://dpmzos25m8ivg.cloudfront.net/Documentos/631/76168751491/6317616875149108092023183254.pdf</v>
      </c>
      <c r="G7903" s="5" t="str">
        <f>HYPERLINK("https://dpmzos25m8ivg.cloudfront.net/Documentos/631/76168751491/6317616875149108092023183304.pdf","https://dpmzos25m8ivg.cloudfront.net/Documentos/631/76168751491/6317616875149108092023183304.pdf")</f>
        <v>https://dpmzos25m8ivg.cloudfront.net/Documentos/631/76168751491/6317616875149108092023183304.pdf</v>
      </c>
      <c r="H7903" s="5" t="s">
        <v>16471</v>
      </c>
    </row>
    <row r="7904" spans="1:8" x14ac:dyDescent="0.25">
      <c r="A7904" s="2" t="s">
        <v>7932</v>
      </c>
      <c r="B7904" s="3"/>
      <c r="C7904" s="3"/>
      <c r="D7904" s="3"/>
      <c r="E7904" s="5" t="str">
        <f>HYPERLINK("https://dpmzos25m8ivg.cloudfront.net/Documentos/631/76195449253/6317619544925309092023005901.jpg","https://dpmzos25m8ivg.cloudfront.net/Documentos/631/76195449253/6317619544925309092023005901.jpg")</f>
        <v>https://dpmzos25m8ivg.cloudfront.net/Documentos/631/76195449253/6317619544925309092023005901.jpg</v>
      </c>
      <c r="F7904" s="5" t="str">
        <f>HYPERLINK("https://dpmzos25m8ivg.cloudfront.net/Documentos/631/76195449253/6317619544925309092023005926.jpg","https://dpmzos25m8ivg.cloudfront.net/Documentos/631/76195449253/6317619544925309092023005926.jpg")</f>
        <v>https://dpmzos25m8ivg.cloudfront.net/Documentos/631/76195449253/6317619544925309092023005926.jpg</v>
      </c>
      <c r="G7904" s="5" t="str">
        <f>HYPERLINK("https://dpmzos25m8ivg.cloudfront.net/Documentos/631/76195449253/6317619544925309092023005958.jpg","https://dpmzos25m8ivg.cloudfront.net/Documentos/631/76195449253/6317619544925309092023005958.jpg")</f>
        <v>https://dpmzos25m8ivg.cloudfront.net/Documentos/631/76195449253/6317619544925309092023005958.jpg</v>
      </c>
      <c r="H7904" s="5" t="s">
        <v>16472</v>
      </c>
    </row>
    <row r="7905" spans="1:8" x14ac:dyDescent="0.25">
      <c r="A7905" s="2" t="s">
        <v>7933</v>
      </c>
      <c r="B7905" s="3"/>
      <c r="C7905" s="3"/>
      <c r="D7905" s="3"/>
      <c r="E7905" s="5" t="str">
        <f>HYPERLINK("https://dpmzos25m8ivg.cloudfront.net/Documentos/631/76245896215/6317624589621510092023200027.pdf","https://dpmzos25m8ivg.cloudfront.net/Documentos/631/76245896215/6317624589621510092023200027.pdf")</f>
        <v>https://dpmzos25m8ivg.cloudfront.net/Documentos/631/76245896215/6317624589621510092023200027.pdf</v>
      </c>
      <c r="F7905" s="5" t="str">
        <f>HYPERLINK("https://dpmzos25m8ivg.cloudfront.net/Documentos/631/76245896215/6317624589621510092023200048.pdf","https://dpmzos25m8ivg.cloudfront.net/Documentos/631/76245896215/6317624589621510092023200048.pdf")</f>
        <v>https://dpmzos25m8ivg.cloudfront.net/Documentos/631/76245896215/6317624589621510092023200048.pdf</v>
      </c>
      <c r="G7905" s="5" t="str">
        <f>HYPERLINK("https://dpmzos25m8ivg.cloudfront.net/Documentos/631/76245896215/6317624589621510092023200111.pdf","https://dpmzos25m8ivg.cloudfront.net/Documentos/631/76245896215/6317624589621510092023200111.pdf")</f>
        <v>https://dpmzos25m8ivg.cloudfront.net/Documentos/631/76245896215/6317624589621510092023200111.pdf</v>
      </c>
      <c r="H7905" s="5" t="s">
        <v>16473</v>
      </c>
    </row>
    <row r="7906" spans="1:8" x14ac:dyDescent="0.25">
      <c r="A7906" s="2" t="s">
        <v>7934</v>
      </c>
      <c r="B7906" s="3"/>
      <c r="C7906" s="3"/>
      <c r="D7906" s="3"/>
      <c r="E7906" s="5" t="str">
        <f>HYPERLINK("https://dpmzos25m8ivg.cloudfront.net/Documentos/631/76279790649/6317627979064909092023184534.pdf","https://dpmzos25m8ivg.cloudfront.net/Documentos/631/76279790649/6317627979064909092023184534.pdf")</f>
        <v>https://dpmzos25m8ivg.cloudfront.net/Documentos/631/76279790649/6317627979064909092023184534.pdf</v>
      </c>
      <c r="F7906" s="5" t="str">
        <f>HYPERLINK("https://dpmzos25m8ivg.cloudfront.net/Documentos/631/76279790649/6317627979064909092023184550.pdf","https://dpmzos25m8ivg.cloudfront.net/Documentos/631/76279790649/6317627979064909092023184550.pdf")</f>
        <v>https://dpmzos25m8ivg.cloudfront.net/Documentos/631/76279790649/6317627979064909092023184550.pdf</v>
      </c>
      <c r="G7906" s="5" t="str">
        <f>HYPERLINK("https://dpmzos25m8ivg.cloudfront.net/Documentos/631/76279790649/6317627979064909092023184609.pdf","https://dpmzos25m8ivg.cloudfront.net/Documentos/631/76279790649/6317627979064909092023184609.pdf")</f>
        <v>https://dpmzos25m8ivg.cloudfront.net/Documentos/631/76279790649/6317627979064909092023184609.pdf</v>
      </c>
      <c r="H7906" s="5" t="s">
        <v>16474</v>
      </c>
    </row>
    <row r="7907" spans="1:8" x14ac:dyDescent="0.25">
      <c r="A7907" s="2" t="s">
        <v>7935</v>
      </c>
      <c r="B7907" s="3" t="s">
        <v>308</v>
      </c>
      <c r="C7907" s="3"/>
      <c r="D7907" s="3"/>
      <c r="E7907" s="5" t="str">
        <f>HYPERLINK("https://dpmzos25m8ivg.cloudfront.net/Documentos/631/76308618934/6317630861893406092023132711.pdf","https://dpmzos25m8ivg.cloudfront.net/Documentos/631/76308618934/6317630861893406092023132711.pdf")</f>
        <v>https://dpmzos25m8ivg.cloudfront.net/Documentos/631/76308618934/6317630861893406092023132711.pdf</v>
      </c>
      <c r="F7907" s="5" t="str">
        <f>HYPERLINK("https://dpmzos25m8ivg.cloudfront.net/Documentos/631/76308618934/6317630861893406092023133159.pdf","https://dpmzos25m8ivg.cloudfront.net/Documentos/631/76308618934/6317630861893406092023133159.pdf")</f>
        <v>https://dpmzos25m8ivg.cloudfront.net/Documentos/631/76308618934/6317630861893406092023133159.pdf</v>
      </c>
      <c r="G7907" s="5" t="str">
        <f>HYPERLINK("https://dpmzos25m8ivg.cloudfront.net/Documentos/631/76308618934/6317630861893406092023133208.pdf","https://dpmzos25m8ivg.cloudfront.net/Documentos/631/76308618934/6317630861893406092023133208.pdf")</f>
        <v>https://dpmzos25m8ivg.cloudfront.net/Documentos/631/76308618934/6317630861893406092023133208.pdf</v>
      </c>
      <c r="H7907" s="5" t="s">
        <v>16475</v>
      </c>
    </row>
    <row r="7908" spans="1:8" x14ac:dyDescent="0.25">
      <c r="A7908" s="2" t="s">
        <v>7936</v>
      </c>
      <c r="B7908" s="3"/>
      <c r="C7908" s="3"/>
      <c r="D7908" s="3"/>
      <c r="E7908" s="5" t="str">
        <f>HYPERLINK("https://dpmzos25m8ivg.cloudfront.net/Documentos/631/76335836300/6317633583630011092023130234.pdf","https://dpmzos25m8ivg.cloudfront.net/Documentos/631/76335836300/6317633583630011092023130234.pdf")</f>
        <v>https://dpmzos25m8ivg.cloudfront.net/Documentos/631/76335836300/6317633583630011092023130234.pdf</v>
      </c>
      <c r="F7908" s="5" t="str">
        <f>HYPERLINK("https://dpmzos25m8ivg.cloudfront.net/Documentos/631/76335836300/6317633583630011092023130349.pdf","https://dpmzos25m8ivg.cloudfront.net/Documentos/631/76335836300/6317633583630011092023130349.pdf")</f>
        <v>https://dpmzos25m8ivg.cloudfront.net/Documentos/631/76335836300/6317633583630011092023130349.pdf</v>
      </c>
      <c r="G7908" s="5" t="str">
        <f>HYPERLINK("https://dpmzos25m8ivg.cloudfront.net/Documentos/631/76335836300/6317633583630011092023130509.pdf","https://dpmzos25m8ivg.cloudfront.net/Documentos/631/76335836300/6317633583630011092023130509.pdf")</f>
        <v>https://dpmzos25m8ivg.cloudfront.net/Documentos/631/76335836300/6317633583630011092023130509.pdf</v>
      </c>
      <c r="H7908" s="5" t="s">
        <v>16476</v>
      </c>
    </row>
    <row r="7909" spans="1:8" x14ac:dyDescent="0.25">
      <c r="A7909" s="2" t="s">
        <v>7937</v>
      </c>
      <c r="B7909" s="3" t="s">
        <v>23</v>
      </c>
      <c r="C7909" s="3"/>
      <c r="D7909" s="3"/>
      <c r="E7909" s="5" t="str">
        <f>HYPERLINK("https://dpmzos25m8ivg.cloudfront.net/Documentos/631/76350045300/6317635004530009092023142905.pdf","https://dpmzos25m8ivg.cloudfront.net/Documentos/631/76350045300/6317635004530009092023142905.pdf")</f>
        <v>https://dpmzos25m8ivg.cloudfront.net/Documentos/631/76350045300/6317635004530009092023142905.pdf</v>
      </c>
      <c r="F7909" s="5" t="str">
        <f>HYPERLINK("https://dpmzos25m8ivg.cloudfront.net/Documentos/631/76350045300/6317635004530009092023142927.pdf","https://dpmzos25m8ivg.cloudfront.net/Documentos/631/76350045300/6317635004530009092023142927.pdf")</f>
        <v>https://dpmzos25m8ivg.cloudfront.net/Documentos/631/76350045300/6317635004530009092023142927.pdf</v>
      </c>
      <c r="G7909" s="5" t="str">
        <f>HYPERLINK("https://dpmzos25m8ivg.cloudfront.net/Documentos/631/76350045300/6317635004530009092023142937.pdf","https://dpmzos25m8ivg.cloudfront.net/Documentos/631/76350045300/6317635004530009092023142937.pdf")</f>
        <v>https://dpmzos25m8ivg.cloudfront.net/Documentos/631/76350045300/6317635004530009092023142937.pdf</v>
      </c>
      <c r="H7909" s="5" t="s">
        <v>16477</v>
      </c>
    </row>
    <row r="7910" spans="1:8" x14ac:dyDescent="0.25">
      <c r="A7910" s="2" t="s">
        <v>7938</v>
      </c>
      <c r="B7910" s="3" t="s">
        <v>90</v>
      </c>
      <c r="C7910" s="3"/>
      <c r="D7910" s="3"/>
      <c r="E7910" s="5" t="str">
        <f>HYPERLINK("https://dpmzos25m8ivg.cloudfront.net/Documentos/631/76355993215/6317635599321507092023224359.pdf","https://dpmzos25m8ivg.cloudfront.net/Documentos/631/76355993215/6317635599321507092023224359.pdf")</f>
        <v>https://dpmzos25m8ivg.cloudfront.net/Documentos/631/76355993215/6317635599321507092023224359.pdf</v>
      </c>
      <c r="F7910" s="5" t="str">
        <f>HYPERLINK("https://dpmzos25m8ivg.cloudfront.net/Documentos/631/76355993215/6317635599321507092023224416.pdf","https://dpmzos25m8ivg.cloudfront.net/Documentos/631/76355993215/6317635599321507092023224416.pdf")</f>
        <v>https://dpmzos25m8ivg.cloudfront.net/Documentos/631/76355993215/6317635599321507092023224416.pdf</v>
      </c>
      <c r="G7910" s="5" t="str">
        <f>HYPERLINK("https://dpmzos25m8ivg.cloudfront.net/Documentos/631/76355993215/6317635599321507092023224432.pdf","https://dpmzos25m8ivg.cloudfront.net/Documentos/631/76355993215/6317635599321507092023224432.pdf")</f>
        <v>https://dpmzos25m8ivg.cloudfront.net/Documentos/631/76355993215/6317635599321507092023224432.pdf</v>
      </c>
      <c r="H7910" s="5" t="s">
        <v>16478</v>
      </c>
    </row>
    <row r="7911" spans="1:8" x14ac:dyDescent="0.25">
      <c r="A7911" s="2" t="s">
        <v>7939</v>
      </c>
      <c r="B7911" s="3"/>
      <c r="C7911" s="3"/>
      <c r="D7911" s="3"/>
      <c r="E7911" s="5" t="str">
        <f>HYPERLINK("https://dpmzos25m8ivg.cloudfront.net/Documentos/631/76498808187/6317649880818711092023143506.jpeg","https://dpmzos25m8ivg.cloudfront.net/Documentos/631/76498808187/6317649880818711092023143506.jpeg")</f>
        <v>https://dpmzos25m8ivg.cloudfront.net/Documentos/631/76498808187/6317649880818711092023143506.jpeg</v>
      </c>
      <c r="F7911" s="5" t="str">
        <f>HYPERLINK("https://dpmzos25m8ivg.cloudfront.net/Documentos/631/76498808187/6317649880818711092023143511.jpeg","https://dpmzos25m8ivg.cloudfront.net/Documentos/631/76498808187/6317649880818711092023143511.jpeg")</f>
        <v>https://dpmzos25m8ivg.cloudfront.net/Documentos/631/76498808187/6317649880818711092023143511.jpeg</v>
      </c>
      <c r="G7911" s="5" t="str">
        <f>HYPERLINK("https://dpmzos25m8ivg.cloudfront.net/Documentos/631/76498808187/6317649880818711092023143524.jpeg","https://dpmzos25m8ivg.cloudfront.net/Documentos/631/76498808187/6317649880818711092023143524.jpeg")</f>
        <v>https://dpmzos25m8ivg.cloudfront.net/Documentos/631/76498808187/6317649880818711092023143524.jpeg</v>
      </c>
      <c r="H7911" s="5" t="s">
        <v>16479</v>
      </c>
    </row>
    <row r="7912" spans="1:8" x14ac:dyDescent="0.25">
      <c r="A7912" s="2" t="s">
        <v>7940</v>
      </c>
      <c r="B7912" s="3"/>
      <c r="C7912" s="3"/>
      <c r="D7912" s="3"/>
      <c r="E7912" s="5" t="str">
        <f>HYPERLINK("https://dpmzos25m8ivg.cloudfront.net/Documentos/631/76583384515/6317658338451508092023153758.pdf","https://dpmzos25m8ivg.cloudfront.net/Documentos/631/76583384515/6317658338451508092023153758.pdf")</f>
        <v>https://dpmzos25m8ivg.cloudfront.net/Documentos/631/76583384515/6317658338451508092023153758.pdf</v>
      </c>
      <c r="F7912" s="5" t="str">
        <f>HYPERLINK("https://dpmzos25m8ivg.cloudfront.net/Documentos/631/76583384515/6317658338451508092023153824.pdf","https://dpmzos25m8ivg.cloudfront.net/Documentos/631/76583384515/6317658338451508092023153824.pdf")</f>
        <v>https://dpmzos25m8ivg.cloudfront.net/Documentos/631/76583384515/6317658338451508092023153824.pdf</v>
      </c>
      <c r="G7912" s="5" t="str">
        <f>HYPERLINK("https://dpmzos25m8ivg.cloudfront.net/Documentos/631/76583384515/6317658338451508092023154539.pdf","https://dpmzos25m8ivg.cloudfront.net/Documentos/631/76583384515/6317658338451508092023154539.pdf")</f>
        <v>https://dpmzos25m8ivg.cloudfront.net/Documentos/631/76583384515/6317658338451508092023154539.pdf</v>
      </c>
      <c r="H7912" s="5" t="s">
        <v>16480</v>
      </c>
    </row>
    <row r="7913" spans="1:8" x14ac:dyDescent="0.25">
      <c r="A7913" s="2" t="s">
        <v>7941</v>
      </c>
      <c r="B7913" s="3" t="s">
        <v>90</v>
      </c>
      <c r="C7913" s="3"/>
      <c r="D7913" s="3"/>
      <c r="E7913" s="5" t="str">
        <f>HYPERLINK("https://dpmzos25m8ivg.cloudfront.net/Documentos/631/76621820291/6317662182029109092023160527.jpg","https://dpmzos25m8ivg.cloudfront.net/Documentos/631/76621820291/6317662182029109092023160527.jpg")</f>
        <v>https://dpmzos25m8ivg.cloudfront.net/Documentos/631/76621820291/6317662182029109092023160527.jpg</v>
      </c>
      <c r="F7913" s="5" t="str">
        <f>HYPERLINK("https://dpmzos25m8ivg.cloudfront.net/Documentos/631/76621820291/6317662182029109092023160448.jpg","https://dpmzos25m8ivg.cloudfront.net/Documentos/631/76621820291/6317662182029109092023160448.jpg")</f>
        <v>https://dpmzos25m8ivg.cloudfront.net/Documentos/631/76621820291/6317662182029109092023160448.jpg</v>
      </c>
      <c r="G7913" s="5" t="str">
        <f>HYPERLINK("https://dpmzos25m8ivg.cloudfront.net/Documentos/631/76621820291/6317662182029109092023160543.jpg","https://dpmzos25m8ivg.cloudfront.net/Documentos/631/76621820291/6317662182029109092023160543.jpg")</f>
        <v>https://dpmzos25m8ivg.cloudfront.net/Documentos/631/76621820291/6317662182029109092023160543.jpg</v>
      </c>
      <c r="H7913" s="5" t="s">
        <v>16481</v>
      </c>
    </row>
    <row r="7914" spans="1:8" x14ac:dyDescent="0.25">
      <c r="A7914" s="2" t="s">
        <v>7942</v>
      </c>
      <c r="B7914" s="3"/>
      <c r="C7914" s="3"/>
      <c r="D7914" s="3"/>
      <c r="E7914" s="5" t="str">
        <f>HYPERLINK("https://dpmzos25m8ivg.cloudfront.net/Documentos/631/76665119068/6317666511906811092023140923.pdf","https://dpmzos25m8ivg.cloudfront.net/Documentos/631/76665119068/6317666511906811092023140923.pdf")</f>
        <v>https://dpmzos25m8ivg.cloudfront.net/Documentos/631/76665119068/6317666511906811092023140923.pdf</v>
      </c>
      <c r="F7914" s="5" t="str">
        <f>HYPERLINK("https://dpmzos25m8ivg.cloudfront.net/Documentos/631/76665119068/6317666511906811092023141449.pdf","https://dpmzos25m8ivg.cloudfront.net/Documentos/631/76665119068/6317666511906811092023141449.pdf")</f>
        <v>https://dpmzos25m8ivg.cloudfront.net/Documentos/631/76665119068/6317666511906811092023141449.pdf</v>
      </c>
      <c r="G7914" s="5" t="str">
        <f>HYPERLINK("https://dpmzos25m8ivg.cloudfront.net/Documentos/631/76665119068/6317666511906811092023141853.pdf","https://dpmzos25m8ivg.cloudfront.net/Documentos/631/76665119068/6317666511906811092023141853.pdf")</f>
        <v>https://dpmzos25m8ivg.cloudfront.net/Documentos/631/76665119068/6317666511906811092023141853.pdf</v>
      </c>
      <c r="H7914" s="5" t="s">
        <v>16482</v>
      </c>
    </row>
    <row r="7915" spans="1:8" x14ac:dyDescent="0.25">
      <c r="A7915" s="2" t="s">
        <v>7943</v>
      </c>
      <c r="B7915" s="3"/>
      <c r="C7915" s="3"/>
      <c r="D7915" s="3"/>
      <c r="E7915" s="5" t="str">
        <f>HYPERLINK("https://dpmzos25m8ivg.cloudfront.net/Documentos/631/76684270230/6317668427023010092023154259.jpeg","https://dpmzos25m8ivg.cloudfront.net/Documentos/631/76684270230/6317668427023010092023154259.jpeg")</f>
        <v>https://dpmzos25m8ivg.cloudfront.net/Documentos/631/76684270230/6317668427023010092023154259.jpeg</v>
      </c>
      <c r="F7915" s="5" t="str">
        <f>HYPERLINK("https://dpmzos25m8ivg.cloudfront.net/Documentos/631/76684270230/6317668427023010092023154337.jpeg","https://dpmzos25m8ivg.cloudfront.net/Documentos/631/76684270230/6317668427023010092023154337.jpeg")</f>
        <v>https://dpmzos25m8ivg.cloudfront.net/Documentos/631/76684270230/6317668427023010092023154337.jpeg</v>
      </c>
      <c r="G7915" s="5" t="str">
        <f>HYPERLINK("https://dpmzos25m8ivg.cloudfront.net/Documentos/631/76684270230/6317668427023010092023154348.jpeg","https://dpmzos25m8ivg.cloudfront.net/Documentos/631/76684270230/6317668427023010092023154348.jpeg")</f>
        <v>https://dpmzos25m8ivg.cloudfront.net/Documentos/631/76684270230/6317668427023010092023154348.jpeg</v>
      </c>
      <c r="H7915" s="5" t="s">
        <v>16483</v>
      </c>
    </row>
    <row r="7916" spans="1:8" x14ac:dyDescent="0.25">
      <c r="A7916" s="2" t="s">
        <v>7944</v>
      </c>
      <c r="B7916" s="3" t="s">
        <v>90</v>
      </c>
      <c r="C7916" s="3"/>
      <c r="D7916" s="3"/>
      <c r="E7916" s="5" t="str">
        <f>HYPERLINK("https://dpmzos25m8ivg.cloudfront.net/Documentos/631/76725081487/6317672508148711092023125931.jpeg","https://dpmzos25m8ivg.cloudfront.net/Documentos/631/76725081487/6317672508148711092023125931.jpeg")</f>
        <v>https://dpmzos25m8ivg.cloudfront.net/Documentos/631/76725081487/6317672508148711092023125931.jpeg</v>
      </c>
      <c r="F7916" s="5" t="str">
        <f>HYPERLINK("https://dpmzos25m8ivg.cloudfront.net/Documentos/631/76725081487/6317672508148711092023125947.jpeg","https://dpmzos25m8ivg.cloudfront.net/Documentos/631/76725081487/6317672508148711092023125947.jpeg")</f>
        <v>https://dpmzos25m8ivg.cloudfront.net/Documentos/631/76725081487/6317672508148711092023125947.jpeg</v>
      </c>
      <c r="G7916" s="5" t="str">
        <f>HYPERLINK("https://dpmzos25m8ivg.cloudfront.net/Documentos/631/76725081487/6317672508148711092023125959.jpeg","https://dpmzos25m8ivg.cloudfront.net/Documentos/631/76725081487/6317672508148711092023125959.jpeg")</f>
        <v>https://dpmzos25m8ivg.cloudfront.net/Documentos/631/76725081487/6317672508148711092023125959.jpeg</v>
      </c>
      <c r="H7916" s="5" t="s">
        <v>16484</v>
      </c>
    </row>
    <row r="7917" spans="1:8" x14ac:dyDescent="0.25">
      <c r="A7917" s="2" t="s">
        <v>7945</v>
      </c>
      <c r="B7917" s="3"/>
      <c r="C7917" s="3"/>
      <c r="D7917" s="3"/>
      <c r="E7917" s="5" t="str">
        <f>HYPERLINK("https://dpmzos25m8ivg.cloudfront.net/Documentos/631/76766985020/6317676698502010092023212232.pdf","https://dpmzos25m8ivg.cloudfront.net/Documentos/631/76766985020/6317676698502010092023212232.pdf")</f>
        <v>https://dpmzos25m8ivg.cloudfront.net/Documentos/631/76766985020/6317676698502010092023212232.pdf</v>
      </c>
      <c r="F7917" s="5" t="str">
        <f>HYPERLINK("https://dpmzos25m8ivg.cloudfront.net/Documentos/631/76766985020/6317676698502010092023212252.pdf","https://dpmzos25m8ivg.cloudfront.net/Documentos/631/76766985020/6317676698502010092023212252.pdf")</f>
        <v>https://dpmzos25m8ivg.cloudfront.net/Documentos/631/76766985020/6317676698502010092023212252.pdf</v>
      </c>
      <c r="G7917" s="5" t="str">
        <f>HYPERLINK("https://dpmzos25m8ivg.cloudfront.net/Documentos/631/76766985020/6317676698502010092023212309.pdf","https://dpmzos25m8ivg.cloudfront.net/Documentos/631/76766985020/6317676698502010092023212309.pdf")</f>
        <v>https://dpmzos25m8ivg.cloudfront.net/Documentos/631/76766985020/6317676698502010092023212309.pdf</v>
      </c>
      <c r="H7917" s="5" t="s">
        <v>16485</v>
      </c>
    </row>
    <row r="7918" spans="1:8" x14ac:dyDescent="0.25">
      <c r="A7918" s="2" t="s">
        <v>7946</v>
      </c>
      <c r="B7918" s="3"/>
      <c r="C7918" s="3"/>
      <c r="D7918" s="3"/>
      <c r="E7918" s="5" t="str">
        <f>HYPERLINK("https://dpmzos25m8ivg.cloudfront.net/Documentos/631/76769461587/6317676946158705092023115041.pdf","https://dpmzos25m8ivg.cloudfront.net/Documentos/631/76769461587/6317676946158705092023115041.pdf")</f>
        <v>https://dpmzos25m8ivg.cloudfront.net/Documentos/631/76769461587/6317676946158705092023115041.pdf</v>
      </c>
      <c r="F7918" s="5" t="str">
        <f>HYPERLINK("https://dpmzos25m8ivg.cloudfront.net/Documentos/631/76769461587/6317676946158705092023115054.pdf","https://dpmzos25m8ivg.cloudfront.net/Documentos/631/76769461587/6317676946158705092023115054.pdf")</f>
        <v>https://dpmzos25m8ivg.cloudfront.net/Documentos/631/76769461587/6317676946158705092023115054.pdf</v>
      </c>
      <c r="G7918" s="5" t="str">
        <f>HYPERLINK("https://dpmzos25m8ivg.cloudfront.net/Documentos/631/76769461587/6317676946158704092023214921.pdf","https://dpmzos25m8ivg.cloudfront.net/Documentos/631/76769461587/6317676946158704092023214921.pdf")</f>
        <v>https://dpmzos25m8ivg.cloudfront.net/Documentos/631/76769461587/6317676946158704092023214921.pdf</v>
      </c>
      <c r="H7918" s="5" t="s">
        <v>16486</v>
      </c>
    </row>
    <row r="7919" spans="1:8" x14ac:dyDescent="0.25">
      <c r="A7919" s="2" t="s">
        <v>7947</v>
      </c>
      <c r="B7919" s="3"/>
      <c r="C7919" s="3"/>
      <c r="D7919" s="3"/>
      <c r="E7919" s="5" t="str">
        <f>HYPERLINK("https://dpmzos25m8ivg.cloudfront.net/Documentos/631/76799565291/6317679956529111092023151042.pdf","https://dpmzos25m8ivg.cloudfront.net/Documentos/631/76799565291/6317679956529111092023151042.pdf")</f>
        <v>https://dpmzos25m8ivg.cloudfront.net/Documentos/631/76799565291/6317679956529111092023151042.pdf</v>
      </c>
      <c r="F7919" s="5" t="str">
        <f>HYPERLINK("https://dpmzos25m8ivg.cloudfront.net/Documentos/631/76799565291/6317679956529111092023151104.pdf","https://dpmzos25m8ivg.cloudfront.net/Documentos/631/76799565291/6317679956529111092023151104.pdf")</f>
        <v>https://dpmzos25m8ivg.cloudfront.net/Documentos/631/76799565291/6317679956529111092023151104.pdf</v>
      </c>
      <c r="G7919" s="5" t="str">
        <f>HYPERLINK("https://dpmzos25m8ivg.cloudfront.net/Documentos/631/76799565291/6317679956529111092023151125.pdf","https://dpmzos25m8ivg.cloudfront.net/Documentos/631/76799565291/6317679956529111092023151125.pdf")</f>
        <v>https://dpmzos25m8ivg.cloudfront.net/Documentos/631/76799565291/6317679956529111092023151125.pdf</v>
      </c>
      <c r="H7919" s="5" t="s">
        <v>16487</v>
      </c>
    </row>
    <row r="7920" spans="1:8" x14ac:dyDescent="0.25">
      <c r="A7920" s="2" t="s">
        <v>7948</v>
      </c>
      <c r="B7920" s="3"/>
      <c r="C7920" s="3"/>
      <c r="D7920" s="3"/>
      <c r="E7920" s="5" t="str">
        <f>HYPERLINK("https://dpmzos25m8ivg.cloudfront.net/Documentos/631/76821110204/6317682111020405092023155452.pdf","https://dpmzos25m8ivg.cloudfront.net/Documentos/631/76821110204/6317682111020405092023155452.pdf")</f>
        <v>https://dpmzos25m8ivg.cloudfront.net/Documentos/631/76821110204/6317682111020405092023155452.pdf</v>
      </c>
      <c r="F7920" s="5" t="str">
        <f>HYPERLINK("https://dpmzos25m8ivg.cloudfront.net/Documentos/631/76821110204/6317682111020405092023155602.pdf","https://dpmzos25m8ivg.cloudfront.net/Documentos/631/76821110204/6317682111020405092023155602.pdf")</f>
        <v>https://dpmzos25m8ivg.cloudfront.net/Documentos/631/76821110204/6317682111020405092023155602.pdf</v>
      </c>
      <c r="G7920" s="5" t="str">
        <f>HYPERLINK("https://dpmzos25m8ivg.cloudfront.net/Documentos/631/76821110204/6317682111020405092023155618.pdf","https://dpmzos25m8ivg.cloudfront.net/Documentos/631/76821110204/6317682111020405092023155618.pdf")</f>
        <v>https://dpmzos25m8ivg.cloudfront.net/Documentos/631/76821110204/6317682111020405092023155618.pdf</v>
      </c>
      <c r="H7920" s="5" t="s">
        <v>16488</v>
      </c>
    </row>
    <row r="7921" spans="1:8" x14ac:dyDescent="0.25">
      <c r="A7921" s="2" t="s">
        <v>7949</v>
      </c>
      <c r="B7921" s="3"/>
      <c r="C7921" s="3"/>
      <c r="D7921" s="3"/>
      <c r="E7921" s="5" t="str">
        <f>HYPERLINK("https://dpmzos25m8ivg.cloudfront.net/Documentos/631/76956024691/6317695602469111092023155849.pdf","https://dpmzos25m8ivg.cloudfront.net/Documentos/631/76956024691/6317695602469111092023155849.pdf")</f>
        <v>https://dpmzos25m8ivg.cloudfront.net/Documentos/631/76956024691/6317695602469111092023155849.pdf</v>
      </c>
      <c r="F7921" s="5" t="str">
        <f>HYPERLINK("https://dpmzos25m8ivg.cloudfront.net/Documentos/631/76956024691/6317695602469111092023162815.pdf","https://dpmzos25m8ivg.cloudfront.net/Documentos/631/76956024691/6317695602469111092023162815.pdf")</f>
        <v>https://dpmzos25m8ivg.cloudfront.net/Documentos/631/76956024691/6317695602469111092023162815.pdf</v>
      </c>
      <c r="G7921" s="5" t="str">
        <f>HYPERLINK("https://dpmzos25m8ivg.cloudfront.net/Documentos/631/76956024691/6317695602469111092023162829.pdf","https://dpmzos25m8ivg.cloudfront.net/Documentos/631/76956024691/6317695602469111092023162829.pdf")</f>
        <v>https://dpmzos25m8ivg.cloudfront.net/Documentos/631/76956024691/6317695602469111092023162829.pdf</v>
      </c>
      <c r="H7921" s="5" t="s">
        <v>16489</v>
      </c>
    </row>
    <row r="7922" spans="1:8" x14ac:dyDescent="0.25">
      <c r="A7922" s="2" t="s">
        <v>7950</v>
      </c>
      <c r="B7922" s="3" t="s">
        <v>90</v>
      </c>
      <c r="C7922" s="3"/>
      <c r="D7922" s="3"/>
      <c r="E7922" s="5" t="str">
        <f>HYPERLINK("https://dpmzos25m8ivg.cloudfront.net/Documentos/631/77120442953/6317712044295310092023174748.pdf","https://dpmzos25m8ivg.cloudfront.net/Documentos/631/77120442953/6317712044295310092023174748.pdf")</f>
        <v>https://dpmzos25m8ivg.cloudfront.net/Documentos/631/77120442953/6317712044295310092023174748.pdf</v>
      </c>
      <c r="F7922" s="5" t="str">
        <f>HYPERLINK("https://dpmzos25m8ivg.cloudfront.net/Documentos/631/77120442953/6317712044295310092023174759.pdf","https://dpmzos25m8ivg.cloudfront.net/Documentos/631/77120442953/6317712044295310092023174759.pdf")</f>
        <v>https://dpmzos25m8ivg.cloudfront.net/Documentos/631/77120442953/6317712044295310092023174759.pdf</v>
      </c>
      <c r="G7922" s="5" t="str">
        <f>HYPERLINK("https://dpmzos25m8ivg.cloudfront.net/Documentos/631/77120442953/6317712044295310092023174815.pdf","https://dpmzos25m8ivg.cloudfront.net/Documentos/631/77120442953/6317712044295310092023174815.pdf")</f>
        <v>https://dpmzos25m8ivg.cloudfront.net/Documentos/631/77120442953/6317712044295310092023174815.pdf</v>
      </c>
      <c r="H7922" s="5" t="s">
        <v>16490</v>
      </c>
    </row>
    <row r="7923" spans="1:8" x14ac:dyDescent="0.25">
      <c r="A7923" s="2" t="s">
        <v>7951</v>
      </c>
      <c r="B7923" s="3"/>
      <c r="C7923" s="3"/>
      <c r="D7923" s="3"/>
      <c r="E7923" s="5" t="str">
        <f>HYPERLINK("https://dpmzos25m8ivg.cloudfront.net/Documentos/631/77220994320/6317722099432011092023155529.pdf","https://dpmzos25m8ivg.cloudfront.net/Documentos/631/77220994320/6317722099432011092023155529.pdf")</f>
        <v>https://dpmzos25m8ivg.cloudfront.net/Documentos/631/77220994320/6317722099432011092023155529.pdf</v>
      </c>
      <c r="F7923" s="5" t="str">
        <f>HYPERLINK("https://dpmzos25m8ivg.cloudfront.net/Documentos/631/77220994320/6317722099432011092023155542.pdf","https://dpmzos25m8ivg.cloudfront.net/Documentos/631/77220994320/6317722099432011092023155542.pdf")</f>
        <v>https://dpmzos25m8ivg.cloudfront.net/Documentos/631/77220994320/6317722099432011092023155542.pdf</v>
      </c>
      <c r="G7923" s="5" t="str">
        <f>HYPERLINK("https://dpmzos25m8ivg.cloudfront.net/Documentos/631/77220994320/6317722099432011092023155558.pdf","https://dpmzos25m8ivg.cloudfront.net/Documentos/631/77220994320/6317722099432011092023155558.pdf")</f>
        <v>https://dpmzos25m8ivg.cloudfront.net/Documentos/631/77220994320/6317722099432011092023155558.pdf</v>
      </c>
      <c r="H7923" s="5" t="s">
        <v>16491</v>
      </c>
    </row>
    <row r="7924" spans="1:8" x14ac:dyDescent="0.25">
      <c r="A7924" s="2" t="s">
        <v>7952</v>
      </c>
      <c r="B7924" s="3" t="s">
        <v>90</v>
      </c>
      <c r="C7924" s="3"/>
      <c r="D7924" s="3"/>
      <c r="E7924" s="5" t="str">
        <f>HYPERLINK("https://dpmzos25m8ivg.cloudfront.net/Documentos/631/77311515491/6317731151549111092023165417.jpg","https://dpmzos25m8ivg.cloudfront.net/Documentos/631/77311515491/6317731151549111092023165417.jpg")</f>
        <v>https://dpmzos25m8ivg.cloudfront.net/Documentos/631/77311515491/6317731151549111092023165417.jpg</v>
      </c>
      <c r="F7924" s="5" t="str">
        <f>HYPERLINK("https://dpmzos25m8ivg.cloudfront.net/Documentos/631/77311515491/6317731151549111092023165437.jpg","https://dpmzos25m8ivg.cloudfront.net/Documentos/631/77311515491/6317731151549111092023165437.jpg")</f>
        <v>https://dpmzos25m8ivg.cloudfront.net/Documentos/631/77311515491/6317731151549111092023165437.jpg</v>
      </c>
      <c r="G7924" s="5" t="str">
        <f>HYPERLINK("https://dpmzos25m8ivg.cloudfront.net/Documentos/631/77311515491/6317731151549111092023165453.jpg","https://dpmzos25m8ivg.cloudfront.net/Documentos/631/77311515491/6317731151549111092023165453.jpg")</f>
        <v>https://dpmzos25m8ivg.cloudfront.net/Documentos/631/77311515491/6317731151549111092023165453.jpg</v>
      </c>
      <c r="H7924" s="5" t="s">
        <v>16492</v>
      </c>
    </row>
    <row r="7925" spans="1:8" x14ac:dyDescent="0.25">
      <c r="A7925" s="2" t="s">
        <v>7953</v>
      </c>
      <c r="B7925" s="3"/>
      <c r="C7925" s="3"/>
      <c r="D7925" s="3"/>
      <c r="E7925" s="5" t="str">
        <f>HYPERLINK("https://dpmzos25m8ivg.cloudfront.net/Documentos/631/77353048700/6317735304870006092023135204.pdf","https://dpmzos25m8ivg.cloudfront.net/Documentos/631/77353048700/6317735304870006092023135204.pdf")</f>
        <v>https://dpmzos25m8ivg.cloudfront.net/Documentos/631/77353048700/6317735304870006092023135204.pdf</v>
      </c>
      <c r="F7925" s="5" t="str">
        <f>HYPERLINK("https://dpmzos25m8ivg.cloudfront.net/Documentos/631/77353048700/6317735304870006092023135217.pdf","https://dpmzos25m8ivg.cloudfront.net/Documentos/631/77353048700/6317735304870006092023135217.pdf")</f>
        <v>https://dpmzos25m8ivg.cloudfront.net/Documentos/631/77353048700/6317735304870006092023135217.pdf</v>
      </c>
      <c r="G7925" s="5" t="str">
        <f>HYPERLINK("https://dpmzos25m8ivg.cloudfront.net/Documentos/631/77353048700/6317735304870006092023135227.pdf","https://dpmzos25m8ivg.cloudfront.net/Documentos/631/77353048700/6317735304870006092023135227.pdf")</f>
        <v>https://dpmzos25m8ivg.cloudfront.net/Documentos/631/77353048700/6317735304870006092023135227.pdf</v>
      </c>
      <c r="H7925" s="5" t="s">
        <v>16493</v>
      </c>
    </row>
    <row r="7926" spans="1:8" x14ac:dyDescent="0.25">
      <c r="A7926" s="2" t="s">
        <v>7954</v>
      </c>
      <c r="B7926" s="3"/>
      <c r="C7926" s="3"/>
      <c r="D7926" s="3"/>
      <c r="E7926" s="5" t="str">
        <f>HYPERLINK("https://dpmzos25m8ivg.cloudfront.net/Documentos/631/77443268149/6317744326814911092023140409.pdf","https://dpmzos25m8ivg.cloudfront.net/Documentos/631/77443268149/6317744326814911092023140409.pdf")</f>
        <v>https://dpmzos25m8ivg.cloudfront.net/Documentos/631/77443268149/6317744326814911092023140409.pdf</v>
      </c>
      <c r="F7926" s="5" t="str">
        <f>HYPERLINK("https://dpmzos25m8ivg.cloudfront.net/Documentos/631/77443268149/6317744326814911092023140413.pdf","https://dpmzos25m8ivg.cloudfront.net/Documentos/631/77443268149/6317744326814911092023140413.pdf")</f>
        <v>https://dpmzos25m8ivg.cloudfront.net/Documentos/631/77443268149/6317744326814911092023140413.pdf</v>
      </c>
      <c r="G7926" s="5" t="str">
        <f>HYPERLINK("https://dpmzos25m8ivg.cloudfront.net/Documentos/631/77443268149/6317744326814911092023140420.pdf","https://dpmzos25m8ivg.cloudfront.net/Documentos/631/77443268149/6317744326814911092023140420.pdf")</f>
        <v>https://dpmzos25m8ivg.cloudfront.net/Documentos/631/77443268149/6317744326814911092023140420.pdf</v>
      </c>
      <c r="H7926" s="5" t="s">
        <v>16494</v>
      </c>
    </row>
    <row r="7927" spans="1:8" x14ac:dyDescent="0.25">
      <c r="A7927" s="2" t="s">
        <v>7955</v>
      </c>
      <c r="B7927" s="3" t="s">
        <v>23</v>
      </c>
      <c r="C7927" s="3"/>
      <c r="D7927" s="3"/>
      <c r="E7927" s="5" t="str">
        <f>HYPERLINK("https://dpmzos25m8ivg.cloudfront.net/Documentos/631/77504224120/6317750422412011092023154101.pdf","https://dpmzos25m8ivg.cloudfront.net/Documentos/631/77504224120/6317750422412011092023154101.pdf")</f>
        <v>https://dpmzos25m8ivg.cloudfront.net/Documentos/631/77504224120/6317750422412011092023154101.pdf</v>
      </c>
      <c r="F7927" s="5" t="str">
        <f>HYPERLINK("https://dpmzos25m8ivg.cloudfront.net/Documentos/631/77504224120/6317750422412011092023154204.pdf","https://dpmzos25m8ivg.cloudfront.net/Documentos/631/77504224120/6317750422412011092023154204.pdf")</f>
        <v>https://dpmzos25m8ivg.cloudfront.net/Documentos/631/77504224120/6317750422412011092023154204.pdf</v>
      </c>
      <c r="G7927" s="5" t="str">
        <f>HYPERLINK("https://dpmzos25m8ivg.cloudfront.net/Documentos/631/77504224120/6317750422412011092023154221.pdf","https://dpmzos25m8ivg.cloudfront.net/Documentos/631/77504224120/6317750422412011092023154221.pdf")</f>
        <v>https://dpmzos25m8ivg.cloudfront.net/Documentos/631/77504224120/6317750422412011092023154221.pdf</v>
      </c>
      <c r="H7927" s="5" t="s">
        <v>16495</v>
      </c>
    </row>
    <row r="7928" spans="1:8" x14ac:dyDescent="0.25">
      <c r="A7928" s="2" t="s">
        <v>7956</v>
      </c>
      <c r="B7928" s="3"/>
      <c r="C7928" s="3"/>
      <c r="D7928" s="3"/>
      <c r="E7928" s="5" t="str">
        <f>HYPERLINK("https://dpmzos25m8ivg.cloudfront.net/Documentos/631/77596498353/6317759649835305092023205014.pdf","https://dpmzos25m8ivg.cloudfront.net/Documentos/631/77596498353/6317759649835305092023205014.pdf")</f>
        <v>https://dpmzos25m8ivg.cloudfront.net/Documentos/631/77596498353/6317759649835305092023205014.pdf</v>
      </c>
      <c r="F7928" s="5" t="str">
        <f>HYPERLINK("https://dpmzos25m8ivg.cloudfront.net/Documentos/631/77596498353/6317759649835305092023205033.pdf","https://dpmzos25m8ivg.cloudfront.net/Documentos/631/77596498353/6317759649835305092023205033.pdf")</f>
        <v>https://dpmzos25m8ivg.cloudfront.net/Documentos/631/77596498353/6317759649835305092023205033.pdf</v>
      </c>
      <c r="G7928" s="5" t="str">
        <f>HYPERLINK("https://dpmzos25m8ivg.cloudfront.net/Documentos/631/77596498353/6317759649835305092023205050.pdf","https://dpmzos25m8ivg.cloudfront.net/Documentos/631/77596498353/6317759649835305092023205050.pdf")</f>
        <v>https://dpmzos25m8ivg.cloudfront.net/Documentos/631/77596498353/6317759649835305092023205050.pdf</v>
      </c>
      <c r="H7928" s="5" t="s">
        <v>16496</v>
      </c>
    </row>
    <row r="7929" spans="1:8" x14ac:dyDescent="0.25">
      <c r="A7929" s="2" t="s">
        <v>7957</v>
      </c>
      <c r="B7929" s="3"/>
      <c r="C7929" s="3"/>
      <c r="D7929" s="3"/>
      <c r="E7929" s="5" t="str">
        <f>HYPERLINK("https://dpmzos25m8ivg.cloudfront.net/Documentos/631/77678796587/6317767879658705092023223045.pdf","https://dpmzos25m8ivg.cloudfront.net/Documentos/631/77678796587/6317767879658705092023223045.pdf")</f>
        <v>https://dpmzos25m8ivg.cloudfront.net/Documentos/631/77678796587/6317767879658705092023223045.pdf</v>
      </c>
      <c r="F7929" s="5" t="str">
        <f>HYPERLINK("https://dpmzos25m8ivg.cloudfront.net/Documentos/631/77678796587/6317767879658705092023223156.pdf","https://dpmzos25m8ivg.cloudfront.net/Documentos/631/77678796587/6317767879658705092023223156.pdf")</f>
        <v>https://dpmzos25m8ivg.cloudfront.net/Documentos/631/77678796587/6317767879658705092023223156.pdf</v>
      </c>
      <c r="G7929" s="5" t="str">
        <f>HYPERLINK("https://dpmzos25m8ivg.cloudfront.net/Documentos/631/77678796587/6317767879658705092023223320.pdf","https://dpmzos25m8ivg.cloudfront.net/Documentos/631/77678796587/6317767879658705092023223320.pdf")</f>
        <v>https://dpmzos25m8ivg.cloudfront.net/Documentos/631/77678796587/6317767879658705092023223320.pdf</v>
      </c>
      <c r="H7929" s="5" t="s">
        <v>16497</v>
      </c>
    </row>
    <row r="7930" spans="1:8" x14ac:dyDescent="0.25">
      <c r="A7930" s="2" t="s">
        <v>7958</v>
      </c>
      <c r="B7930" s="3"/>
      <c r="C7930" s="3"/>
      <c r="D7930" s="3"/>
      <c r="E7930" s="5" t="str">
        <f>HYPERLINK("https://dpmzos25m8ivg.cloudfront.net/Documentos/631/77866525587/6317786652558712092023224053.pdf","https://dpmzos25m8ivg.cloudfront.net/Documentos/631/77866525587/6317786652558712092023224053.pdf")</f>
        <v>https://dpmzos25m8ivg.cloudfront.net/Documentos/631/77866525587/6317786652558712092023224053.pdf</v>
      </c>
      <c r="F7930" s="5" t="str">
        <f>HYPERLINK("https://dpmzos25m8ivg.cloudfront.net/Documentos/631/77866525587/6317786652558712092023224105.pdf","https://dpmzos25m8ivg.cloudfront.net/Documentos/631/77866525587/6317786652558712092023224105.pdf")</f>
        <v>https://dpmzos25m8ivg.cloudfront.net/Documentos/631/77866525587/6317786652558712092023224105.pdf</v>
      </c>
      <c r="G7930" s="5" t="str">
        <f>HYPERLINK("https://dpmzos25m8ivg.cloudfront.net/Documentos/631/77866525587/6317786652558712092023224114.pdf","https://dpmzos25m8ivg.cloudfront.net/Documentos/631/77866525587/6317786652558712092023224114.pdf")</f>
        <v>https://dpmzos25m8ivg.cloudfront.net/Documentos/631/77866525587/6317786652558712092023224114.pdf</v>
      </c>
      <c r="H7930" s="5" t="s">
        <v>16498</v>
      </c>
    </row>
    <row r="7931" spans="1:8" x14ac:dyDescent="0.25">
      <c r="A7931" s="2" t="s">
        <v>7959</v>
      </c>
      <c r="B7931" s="3"/>
      <c r="C7931" s="3"/>
      <c r="D7931" s="3"/>
      <c r="E7931" s="5" t="str">
        <f>HYPERLINK("https://dpmzos25m8ivg.cloudfront.net/Documentos/631/77899423104/6317789942310411092023110952.jpg","https://dpmzos25m8ivg.cloudfront.net/Documentos/631/77899423104/6317789942310411092023110952.jpg")</f>
        <v>https://dpmzos25m8ivg.cloudfront.net/Documentos/631/77899423104/6317789942310411092023110952.jpg</v>
      </c>
      <c r="F7931" s="5" t="str">
        <f>HYPERLINK("https://dpmzos25m8ivg.cloudfront.net/Documentos/631/77899423104/6317789942310411092023111006.jpg","https://dpmzos25m8ivg.cloudfront.net/Documentos/631/77899423104/6317789942310411092023111006.jpg")</f>
        <v>https://dpmzos25m8ivg.cloudfront.net/Documentos/631/77899423104/6317789942310411092023111006.jpg</v>
      </c>
      <c r="G7931" s="5" t="str">
        <f>HYPERLINK("https://dpmzos25m8ivg.cloudfront.net/Documentos/631/77899423104/6317789942310411092023111020.jpg","https://dpmzos25m8ivg.cloudfront.net/Documentos/631/77899423104/6317789942310411092023111020.jpg")</f>
        <v>https://dpmzos25m8ivg.cloudfront.net/Documentos/631/77899423104/6317789942310411092023111020.jpg</v>
      </c>
      <c r="H7931" s="5" t="s">
        <v>16499</v>
      </c>
    </row>
    <row r="7932" spans="1:8" x14ac:dyDescent="0.25">
      <c r="A7932" s="2" t="s">
        <v>7960</v>
      </c>
      <c r="B7932" s="3"/>
      <c r="C7932" s="3"/>
      <c r="D7932" s="3"/>
      <c r="E7932" s="5" t="str">
        <f>HYPERLINK("https://dpmzos25m8ivg.cloudfront.net/Documentos/631/77909917287/6317790991728707092023235510.pdf","https://dpmzos25m8ivg.cloudfront.net/Documentos/631/77909917287/6317790991728707092023235510.pdf")</f>
        <v>https://dpmzos25m8ivg.cloudfront.net/Documentos/631/77909917287/6317790991728707092023235510.pdf</v>
      </c>
      <c r="F7932" s="5" t="str">
        <f>HYPERLINK("https://dpmzos25m8ivg.cloudfront.net/Documentos/631/77909917287/6317790991728707092023235523.pdf","https://dpmzos25m8ivg.cloudfront.net/Documentos/631/77909917287/6317790991728707092023235523.pdf")</f>
        <v>https://dpmzos25m8ivg.cloudfront.net/Documentos/631/77909917287/6317790991728707092023235523.pdf</v>
      </c>
      <c r="G7932" s="5" t="str">
        <f>HYPERLINK("https://dpmzos25m8ivg.cloudfront.net/Documentos/631/77909917287/6317790991728707092023235538.pdf","https://dpmzos25m8ivg.cloudfront.net/Documentos/631/77909917287/6317790991728707092023235538.pdf")</f>
        <v>https://dpmzos25m8ivg.cloudfront.net/Documentos/631/77909917287/6317790991728707092023235538.pdf</v>
      </c>
      <c r="H7932" s="5" t="s">
        <v>16500</v>
      </c>
    </row>
    <row r="7933" spans="1:8" x14ac:dyDescent="0.25">
      <c r="A7933" s="2" t="s">
        <v>7961</v>
      </c>
      <c r="B7933" s="3" t="s">
        <v>23</v>
      </c>
      <c r="C7933" s="3"/>
      <c r="D7933" s="3"/>
      <c r="E7933" s="5" t="str">
        <f>HYPERLINK("https://dpmzos25m8ivg.cloudfront.net/Documentos/631/78013976149/6317801397614906092023111232.pdf","https://dpmzos25m8ivg.cloudfront.net/Documentos/631/78013976149/6317801397614906092023111232.pdf")</f>
        <v>https://dpmzos25m8ivg.cloudfront.net/Documentos/631/78013976149/6317801397614906092023111232.pdf</v>
      </c>
      <c r="F7933" s="5" t="str">
        <f>HYPERLINK("https://dpmzos25m8ivg.cloudfront.net/Documentos/631/78013976149/6317801397614906092023150801.pdf","https://dpmzos25m8ivg.cloudfront.net/Documentos/631/78013976149/6317801397614906092023150801.pdf")</f>
        <v>https://dpmzos25m8ivg.cloudfront.net/Documentos/631/78013976149/6317801397614906092023150801.pdf</v>
      </c>
      <c r="G7933" s="5" t="str">
        <f>HYPERLINK("https://dpmzos25m8ivg.cloudfront.net/Documentos/631/78013976149/6317801397614906092023150827.pdf","https://dpmzos25m8ivg.cloudfront.net/Documentos/631/78013976149/6317801397614906092023150827.pdf")</f>
        <v>https://dpmzos25m8ivg.cloudfront.net/Documentos/631/78013976149/6317801397614906092023150827.pdf</v>
      </c>
      <c r="H7933" s="5" t="s">
        <v>16501</v>
      </c>
    </row>
    <row r="7934" spans="1:8" x14ac:dyDescent="0.25">
      <c r="A7934" s="2" t="s">
        <v>7962</v>
      </c>
      <c r="B7934" s="3"/>
      <c r="C7934" s="3"/>
      <c r="D7934" s="3"/>
      <c r="E7934" s="5" t="str">
        <f>HYPERLINK("https://dpmzos25m8ivg.cloudfront.net/Documentos/631/78047900587/6317804790058709092023214307.pdf","https://dpmzos25m8ivg.cloudfront.net/Documentos/631/78047900587/6317804790058709092023214307.pdf")</f>
        <v>https://dpmzos25m8ivg.cloudfront.net/Documentos/631/78047900587/6317804790058709092023214307.pdf</v>
      </c>
      <c r="F7934" s="5" t="str">
        <f>HYPERLINK("https://dpmzos25m8ivg.cloudfront.net/Documentos/631/78047900587/6317804790058709092023214326.pdf","https://dpmzos25m8ivg.cloudfront.net/Documentos/631/78047900587/6317804790058709092023214326.pdf")</f>
        <v>https://dpmzos25m8ivg.cloudfront.net/Documentos/631/78047900587/6317804790058709092023214326.pdf</v>
      </c>
      <c r="G7934" s="5" t="str">
        <f>HYPERLINK("https://dpmzos25m8ivg.cloudfront.net/Documentos/631/78047900587/6317804790058709092023214341.pdf","https://dpmzos25m8ivg.cloudfront.net/Documentos/631/78047900587/6317804790058709092023214341.pdf")</f>
        <v>https://dpmzos25m8ivg.cloudfront.net/Documentos/631/78047900587/6317804790058709092023214341.pdf</v>
      </c>
      <c r="H7934" s="5" t="s">
        <v>16502</v>
      </c>
    </row>
    <row r="7935" spans="1:8" x14ac:dyDescent="0.25">
      <c r="A7935" s="2" t="s">
        <v>7963</v>
      </c>
      <c r="B7935" s="3"/>
      <c r="C7935" s="3"/>
      <c r="D7935" s="3"/>
      <c r="E7935" s="5" t="str">
        <f>HYPERLINK("https://dpmzos25m8ivg.cloudfront.net/Documentos/631/78065755534/6317806575553409092023202751.pdf","https://dpmzos25m8ivg.cloudfront.net/Documentos/631/78065755534/6317806575553409092023202751.pdf")</f>
        <v>https://dpmzos25m8ivg.cloudfront.net/Documentos/631/78065755534/6317806575553409092023202751.pdf</v>
      </c>
      <c r="F7935" s="5" t="str">
        <f>HYPERLINK("https://dpmzos25m8ivg.cloudfront.net/Documentos/631/78065755534/6317806575553409092023202900.pdf","https://dpmzos25m8ivg.cloudfront.net/Documentos/631/78065755534/6317806575553409092023202900.pdf")</f>
        <v>https://dpmzos25m8ivg.cloudfront.net/Documentos/631/78065755534/6317806575553409092023202900.pdf</v>
      </c>
      <c r="G7935" s="5" t="str">
        <f>HYPERLINK("https://dpmzos25m8ivg.cloudfront.net/Documentos/631/78065755534/6317806575553409092023203318.pdf","https://dpmzos25m8ivg.cloudfront.net/Documentos/631/78065755534/6317806575553409092023203318.pdf")</f>
        <v>https://dpmzos25m8ivg.cloudfront.net/Documentos/631/78065755534/6317806575553409092023203318.pdf</v>
      </c>
      <c r="H7935" s="5" t="s">
        <v>16503</v>
      </c>
    </row>
    <row r="7936" spans="1:8" x14ac:dyDescent="0.25">
      <c r="A7936" s="2" t="s">
        <v>7964</v>
      </c>
      <c r="B7936" s="3"/>
      <c r="C7936" s="3"/>
      <c r="D7936" s="3"/>
      <c r="E7936" s="5" t="str">
        <f>HYPERLINK("https://dpmzos25m8ivg.cloudfront.net/Documentos/631/78100364591/6317810036459109092023164312.pdf","https://dpmzos25m8ivg.cloudfront.net/Documentos/631/78100364591/6317810036459109092023164312.pdf")</f>
        <v>https://dpmzos25m8ivg.cloudfront.net/Documentos/631/78100364591/6317810036459109092023164312.pdf</v>
      </c>
      <c r="F7936" s="5" t="str">
        <f>HYPERLINK("https://dpmzos25m8ivg.cloudfront.net/Documentos/631/78100364591/6317810036459109092023164329.pdf","https://dpmzos25m8ivg.cloudfront.net/Documentos/631/78100364591/6317810036459109092023164329.pdf")</f>
        <v>https://dpmzos25m8ivg.cloudfront.net/Documentos/631/78100364591/6317810036459109092023164329.pdf</v>
      </c>
      <c r="G7936" s="5" t="str">
        <f>HYPERLINK("https://dpmzos25m8ivg.cloudfront.net/Documentos/631/78100364591/6317810036459109092023164344.pdf","https://dpmzos25m8ivg.cloudfront.net/Documentos/631/78100364591/6317810036459109092023164344.pdf")</f>
        <v>https://dpmzos25m8ivg.cloudfront.net/Documentos/631/78100364591/6317810036459109092023164344.pdf</v>
      </c>
      <c r="H7936" s="5" t="s">
        <v>16504</v>
      </c>
    </row>
    <row r="7937" spans="1:8" x14ac:dyDescent="0.25">
      <c r="A7937" s="2" t="s">
        <v>7965</v>
      </c>
      <c r="B7937" s="3"/>
      <c r="C7937" s="3"/>
      <c r="D7937" s="3"/>
      <c r="E7937" s="5" t="str">
        <f>HYPERLINK("https://dpmzos25m8ivg.cloudfront.net/Documentos/631/78127939587/6317812793958708092023222823.pdf","https://dpmzos25m8ivg.cloudfront.net/Documentos/631/78127939587/6317812793958708092023222823.pdf")</f>
        <v>https://dpmzos25m8ivg.cloudfront.net/Documentos/631/78127939587/6317812793958708092023222823.pdf</v>
      </c>
      <c r="F7937" s="5" t="str">
        <f>HYPERLINK("https://dpmzos25m8ivg.cloudfront.net/Documentos/631/78127939587/6317812793958708092023222755.pdf","https://dpmzos25m8ivg.cloudfront.net/Documentos/631/78127939587/6317812793958708092023222755.pdf")</f>
        <v>https://dpmzos25m8ivg.cloudfront.net/Documentos/631/78127939587/6317812793958708092023222755.pdf</v>
      </c>
      <c r="G7937" s="5" t="str">
        <f>HYPERLINK("https://dpmzos25m8ivg.cloudfront.net/Documentos/631/78127939587/6317812793958708092023222739.pdf","https://dpmzos25m8ivg.cloudfront.net/Documentos/631/78127939587/6317812793958708092023222739.pdf")</f>
        <v>https://dpmzos25m8ivg.cloudfront.net/Documentos/631/78127939587/6317812793958708092023222739.pdf</v>
      </c>
      <c r="H7937" s="5" t="s">
        <v>16505</v>
      </c>
    </row>
    <row r="7938" spans="1:8" x14ac:dyDescent="0.25">
      <c r="A7938" s="2" t="s">
        <v>7966</v>
      </c>
      <c r="B7938" s="3"/>
      <c r="C7938" s="3"/>
      <c r="D7938" s="3"/>
      <c r="E7938" s="5" t="str">
        <f>HYPERLINK("https://dpmzos25m8ivg.cloudfront.net/Documentos/631/78160707568/6317816070756811092023155151.jpg","https://dpmzos25m8ivg.cloudfront.net/Documentos/631/78160707568/6317816070756811092023155151.jpg")</f>
        <v>https://dpmzos25m8ivg.cloudfront.net/Documentos/631/78160707568/6317816070756811092023155151.jpg</v>
      </c>
      <c r="F7938" s="5" t="str">
        <f>HYPERLINK("https://dpmzos25m8ivg.cloudfront.net/Documentos/631/78160707568/6317816070756811092023155213.jpg","https://dpmzos25m8ivg.cloudfront.net/Documentos/631/78160707568/6317816070756811092023155213.jpg")</f>
        <v>https://dpmzos25m8ivg.cloudfront.net/Documentos/631/78160707568/6317816070756811092023155213.jpg</v>
      </c>
      <c r="G7938" s="5" t="str">
        <f>HYPERLINK("https://dpmzos25m8ivg.cloudfront.net/Documentos/631/78160707568/6317816070756811092023155229.jpg","https://dpmzos25m8ivg.cloudfront.net/Documentos/631/78160707568/6317816070756811092023155229.jpg")</f>
        <v>https://dpmzos25m8ivg.cloudfront.net/Documentos/631/78160707568/6317816070756811092023155229.jpg</v>
      </c>
      <c r="H7938" s="5" t="s">
        <v>16506</v>
      </c>
    </row>
    <row r="7939" spans="1:8" x14ac:dyDescent="0.25">
      <c r="A7939" s="2" t="s">
        <v>7967</v>
      </c>
      <c r="B7939" s="3"/>
      <c r="C7939" s="3"/>
      <c r="D7939" s="3"/>
      <c r="E7939" s="5" t="str">
        <f>HYPERLINK("https://dpmzos25m8ivg.cloudfront.net/Documentos/631/78314283215/6317831428321506092023145118.jpg","https://dpmzos25m8ivg.cloudfront.net/Documentos/631/78314283215/6317831428321506092023145118.jpg")</f>
        <v>https://dpmzos25m8ivg.cloudfront.net/Documentos/631/78314283215/6317831428321506092023145118.jpg</v>
      </c>
      <c r="F7939" s="5" t="str">
        <f>HYPERLINK("https://dpmzos25m8ivg.cloudfront.net/Documentos/631/78314283215/6317831428321506092023145306.jpg","https://dpmzos25m8ivg.cloudfront.net/Documentos/631/78314283215/6317831428321506092023145306.jpg")</f>
        <v>https://dpmzos25m8ivg.cloudfront.net/Documentos/631/78314283215/6317831428321506092023145306.jpg</v>
      </c>
      <c r="G7939" s="5" t="str">
        <f>HYPERLINK("https://dpmzos25m8ivg.cloudfront.net/Documentos/631/78314283215/6317831428321506092023145411.jpg","https://dpmzos25m8ivg.cloudfront.net/Documentos/631/78314283215/6317831428321506092023145411.jpg")</f>
        <v>https://dpmzos25m8ivg.cloudfront.net/Documentos/631/78314283215/6317831428321506092023145411.jpg</v>
      </c>
      <c r="H7939" s="5" t="s">
        <v>16507</v>
      </c>
    </row>
    <row r="7940" spans="1:8" x14ac:dyDescent="0.25">
      <c r="A7940" s="2" t="s">
        <v>7968</v>
      </c>
      <c r="B7940" s="3"/>
      <c r="C7940" s="3"/>
      <c r="D7940" s="3"/>
      <c r="E7940" s="5" t="str">
        <f>HYPERLINK("https://dpmzos25m8ivg.cloudfront.net/Documentos/631/78341698587/6317834169858705092023220436.jpg","https://dpmzos25m8ivg.cloudfront.net/Documentos/631/78341698587/6317834169858705092023220436.jpg")</f>
        <v>https://dpmzos25m8ivg.cloudfront.net/Documentos/631/78341698587/6317834169858705092023220436.jpg</v>
      </c>
      <c r="F7940" s="5" t="str">
        <f>HYPERLINK("https://dpmzos25m8ivg.cloudfront.net/Documentos/631/78341698587/6317834169858705092023220511.jpg","https://dpmzos25m8ivg.cloudfront.net/Documentos/631/78341698587/6317834169858705092023220511.jpg")</f>
        <v>https://dpmzos25m8ivg.cloudfront.net/Documentos/631/78341698587/6317834169858705092023220511.jpg</v>
      </c>
      <c r="G7940" s="5" t="str">
        <f>HYPERLINK("https://dpmzos25m8ivg.cloudfront.net/Documentos/631/78341698587/6317834169858705092023220540.jpg","https://dpmzos25m8ivg.cloudfront.net/Documentos/631/78341698587/6317834169858705092023220540.jpg")</f>
        <v>https://dpmzos25m8ivg.cloudfront.net/Documentos/631/78341698587/6317834169858705092023220540.jpg</v>
      </c>
      <c r="H7940" s="5" t="s">
        <v>16508</v>
      </c>
    </row>
    <row r="7941" spans="1:8" x14ac:dyDescent="0.25">
      <c r="A7941" s="2" t="s">
        <v>7969</v>
      </c>
      <c r="B7941" s="3"/>
      <c r="C7941" s="3"/>
      <c r="D7941" s="3"/>
      <c r="E7941" s="5" t="str">
        <f>HYPERLINK("https://dpmzos25m8ivg.cloudfront.net/Documentos/631/78403693168/6317840369316811092023100823.jpg","https://dpmzos25m8ivg.cloudfront.net/Documentos/631/78403693168/6317840369316811092023100823.jpg")</f>
        <v>https://dpmzos25m8ivg.cloudfront.net/Documentos/631/78403693168/6317840369316811092023100823.jpg</v>
      </c>
      <c r="F7941" s="5" t="str">
        <f>HYPERLINK("https://dpmzos25m8ivg.cloudfront.net/Documentos/631/78403693168/6317840369316811092023101201.jpg","https://dpmzos25m8ivg.cloudfront.net/Documentos/631/78403693168/6317840369316811092023101201.jpg")</f>
        <v>https://dpmzos25m8ivg.cloudfront.net/Documentos/631/78403693168/6317840369316811092023101201.jpg</v>
      </c>
      <c r="G7941" s="5" t="str">
        <f>HYPERLINK("https://dpmzos25m8ivg.cloudfront.net/Documentos/631/78403693168/6317840369316811092023101821.jpg","https://dpmzos25m8ivg.cloudfront.net/Documentos/631/78403693168/6317840369316811092023101821.jpg")</f>
        <v>https://dpmzos25m8ivg.cloudfront.net/Documentos/631/78403693168/6317840369316811092023101821.jpg</v>
      </c>
      <c r="H7941" s="5" t="s">
        <v>16509</v>
      </c>
    </row>
    <row r="7942" spans="1:8" x14ac:dyDescent="0.25">
      <c r="A7942" s="2" t="s">
        <v>7970</v>
      </c>
      <c r="B7942" s="3"/>
      <c r="C7942" s="3"/>
      <c r="D7942" s="3"/>
      <c r="E7942" s="5" t="str">
        <f>HYPERLINK("https://dpmzos25m8ivg.cloudfront.net/Documentos/631/78407117404/6317840711740411092023135712.jpg","https://dpmzos25m8ivg.cloudfront.net/Documentos/631/78407117404/6317840711740411092023135712.jpg")</f>
        <v>https://dpmzos25m8ivg.cloudfront.net/Documentos/631/78407117404/6317840711740411092023135712.jpg</v>
      </c>
      <c r="F7942" s="5" t="str">
        <f>HYPERLINK("https://dpmzos25m8ivg.cloudfront.net/Documentos/631/78407117404/6317840711740411092023135716.jpg","https://dpmzos25m8ivg.cloudfront.net/Documentos/631/78407117404/6317840711740411092023135716.jpg")</f>
        <v>https://dpmzos25m8ivg.cloudfront.net/Documentos/631/78407117404/6317840711740411092023135716.jpg</v>
      </c>
      <c r="G7942" s="5" t="str">
        <f>HYPERLINK("https://dpmzos25m8ivg.cloudfront.net/Documentos/631/78407117404/6317840711740411092023135838.jpg","https://dpmzos25m8ivg.cloudfront.net/Documentos/631/78407117404/6317840711740411092023135838.jpg")</f>
        <v>https://dpmzos25m8ivg.cloudfront.net/Documentos/631/78407117404/6317840711740411092023135838.jpg</v>
      </c>
      <c r="H7942" s="5" t="s">
        <v>16510</v>
      </c>
    </row>
    <row r="7943" spans="1:8" x14ac:dyDescent="0.25">
      <c r="A7943" s="2" t="s">
        <v>7971</v>
      </c>
      <c r="B7943" s="3" t="s">
        <v>90</v>
      </c>
      <c r="C7943" s="3"/>
      <c r="D7943" s="3"/>
      <c r="E7943" s="5" t="str">
        <f>HYPERLINK("https://dpmzos25m8ivg.cloudfront.net/Documentos/631/78506271215/6317850627121511092023170255.pdf","https://dpmzos25m8ivg.cloudfront.net/Documentos/631/78506271215/6317850627121511092023170255.pdf")</f>
        <v>https://dpmzos25m8ivg.cloudfront.net/Documentos/631/78506271215/6317850627121511092023170255.pdf</v>
      </c>
      <c r="F7943" s="5" t="str">
        <f>HYPERLINK("https://dpmzos25m8ivg.cloudfront.net/Documentos/631/78506271215/6317850627121511092023170312.pdf","https://dpmzos25m8ivg.cloudfront.net/Documentos/631/78506271215/6317850627121511092023170312.pdf")</f>
        <v>https://dpmzos25m8ivg.cloudfront.net/Documentos/631/78506271215/6317850627121511092023170312.pdf</v>
      </c>
      <c r="G7943" s="5" t="str">
        <f>HYPERLINK("https://dpmzos25m8ivg.cloudfront.net/Documentos/631/78506271215/6317850627121511092023170333.pdf","https://dpmzos25m8ivg.cloudfront.net/Documentos/631/78506271215/6317850627121511092023170333.pdf")</f>
        <v>https://dpmzos25m8ivg.cloudfront.net/Documentos/631/78506271215/6317850627121511092023170333.pdf</v>
      </c>
      <c r="H7943" s="5" t="s">
        <v>16511</v>
      </c>
    </row>
    <row r="7944" spans="1:8" x14ac:dyDescent="0.25">
      <c r="A7944" s="2" t="s">
        <v>7972</v>
      </c>
      <c r="B7944" s="3" t="s">
        <v>23</v>
      </c>
      <c r="C7944" s="3"/>
      <c r="D7944" s="3"/>
      <c r="E7944" s="5" t="str">
        <f>HYPERLINK("https://dpmzos25m8ivg.cloudfront.net/Documentos/631/78510392587/6317851039258706092023124515.jpg","https://dpmzos25m8ivg.cloudfront.net/Documentos/631/78510392587/6317851039258706092023124515.jpg")</f>
        <v>https://dpmzos25m8ivg.cloudfront.net/Documentos/631/78510392587/6317851039258706092023124515.jpg</v>
      </c>
      <c r="F7944" s="5" t="str">
        <f>HYPERLINK("https://dpmzos25m8ivg.cloudfront.net/Documentos/631/78510392587/6317851039258706092023124530.jpg","https://dpmzos25m8ivg.cloudfront.net/Documentos/631/78510392587/6317851039258706092023124530.jpg")</f>
        <v>https://dpmzos25m8ivg.cloudfront.net/Documentos/631/78510392587/6317851039258706092023124530.jpg</v>
      </c>
      <c r="G7944" s="5" t="str">
        <f>HYPERLINK("https://dpmzos25m8ivg.cloudfront.net/Documentos/631/78510392587/6317851039258706092023124542.jpg","https://dpmzos25m8ivg.cloudfront.net/Documentos/631/78510392587/6317851039258706092023124542.jpg")</f>
        <v>https://dpmzos25m8ivg.cloudfront.net/Documentos/631/78510392587/6317851039258706092023124542.jpg</v>
      </c>
      <c r="H7944" s="5" t="s">
        <v>16512</v>
      </c>
    </row>
    <row r="7945" spans="1:8" x14ac:dyDescent="0.25">
      <c r="A7945" s="2" t="s">
        <v>7973</v>
      </c>
      <c r="B7945" s="3"/>
      <c r="C7945" s="3"/>
      <c r="D7945" s="3"/>
      <c r="E7945" s="5" t="str">
        <f>HYPERLINK("https://dpmzos25m8ivg.cloudfront.net/Documentos/631/78529000544/6317852900054411092023164313.pdf","https://dpmzos25m8ivg.cloudfront.net/Documentos/631/78529000544/6317852900054411092023164313.pdf")</f>
        <v>https://dpmzos25m8ivg.cloudfront.net/Documentos/631/78529000544/6317852900054411092023164313.pdf</v>
      </c>
      <c r="F7945" s="5" t="str">
        <f>HYPERLINK("https://dpmzos25m8ivg.cloudfront.net/Documentos/631/78529000544/6317852900054411092023164326.pdf","https://dpmzos25m8ivg.cloudfront.net/Documentos/631/78529000544/6317852900054411092023164326.pdf")</f>
        <v>https://dpmzos25m8ivg.cloudfront.net/Documentos/631/78529000544/6317852900054411092023164326.pdf</v>
      </c>
      <c r="G7945" s="5" t="str">
        <f>HYPERLINK("https://dpmzos25m8ivg.cloudfront.net/Documentos/631/78529000544/6317852900054411092023164342.pdf","https://dpmzos25m8ivg.cloudfront.net/Documentos/631/78529000544/6317852900054411092023164342.pdf")</f>
        <v>https://dpmzos25m8ivg.cloudfront.net/Documentos/631/78529000544/6317852900054411092023164342.pdf</v>
      </c>
      <c r="H7945" s="5" t="s">
        <v>16513</v>
      </c>
    </row>
    <row r="7946" spans="1:8" x14ac:dyDescent="0.25">
      <c r="A7946" s="2" t="s">
        <v>7974</v>
      </c>
      <c r="B7946" s="3"/>
      <c r="C7946" s="3"/>
      <c r="D7946" s="3"/>
      <c r="E7946" s="5" t="str">
        <f>HYPERLINK("https://dpmzos25m8ivg.cloudfront.net/Documentos/631/78547822534/6317854782253407092023124146.pdf","https://dpmzos25m8ivg.cloudfront.net/Documentos/631/78547822534/6317854782253407092023124146.pdf")</f>
        <v>https://dpmzos25m8ivg.cloudfront.net/Documentos/631/78547822534/6317854782253407092023124146.pdf</v>
      </c>
      <c r="F7946" s="5" t="str">
        <f>HYPERLINK("https://dpmzos25m8ivg.cloudfront.net/Documentos/631/78547822534/6317854782253407092023124159.pdf","https://dpmzos25m8ivg.cloudfront.net/Documentos/631/78547822534/6317854782253407092023124159.pdf")</f>
        <v>https://dpmzos25m8ivg.cloudfront.net/Documentos/631/78547822534/6317854782253407092023124159.pdf</v>
      </c>
      <c r="G7946" s="5" t="str">
        <f>HYPERLINK("https://dpmzos25m8ivg.cloudfront.net/Documentos/631/78547822534/6317854782253407092023124214.pdf","https://dpmzos25m8ivg.cloudfront.net/Documentos/631/78547822534/6317854782253407092023124214.pdf")</f>
        <v>https://dpmzos25m8ivg.cloudfront.net/Documentos/631/78547822534/6317854782253407092023124214.pdf</v>
      </c>
      <c r="H7946" s="5" t="s">
        <v>16514</v>
      </c>
    </row>
    <row r="7947" spans="1:8" x14ac:dyDescent="0.25">
      <c r="A7947" s="2" t="s">
        <v>7975</v>
      </c>
      <c r="B7947" s="3"/>
      <c r="C7947" s="3"/>
      <c r="D7947" s="3"/>
      <c r="E7947" s="5" t="str">
        <f>HYPERLINK("https://dpmzos25m8ivg.cloudfront.net/Documentos/631/78559863168/6317855986316810092023183410.pdf","https://dpmzos25m8ivg.cloudfront.net/Documentos/631/78559863168/6317855986316810092023183410.pdf")</f>
        <v>https://dpmzos25m8ivg.cloudfront.net/Documentos/631/78559863168/6317855986316810092023183410.pdf</v>
      </c>
      <c r="F7947" s="5" t="str">
        <f>HYPERLINK("https://dpmzos25m8ivg.cloudfront.net/Documentos/631/78559863168/6317855986316810092023183428.pdf","https://dpmzos25m8ivg.cloudfront.net/Documentos/631/78559863168/6317855986316810092023183428.pdf")</f>
        <v>https://dpmzos25m8ivg.cloudfront.net/Documentos/631/78559863168/6317855986316810092023183428.pdf</v>
      </c>
      <c r="G7947" s="5" t="str">
        <f>HYPERLINK("https://dpmzos25m8ivg.cloudfront.net/Documentos/631/78559863168/6317855986316810092023183446.pdf","https://dpmzos25m8ivg.cloudfront.net/Documentos/631/78559863168/6317855986316810092023183446.pdf")</f>
        <v>https://dpmzos25m8ivg.cloudfront.net/Documentos/631/78559863168/6317855986316810092023183446.pdf</v>
      </c>
      <c r="H7947" s="5" t="s">
        <v>16515</v>
      </c>
    </row>
    <row r="7948" spans="1:8" x14ac:dyDescent="0.25">
      <c r="A7948" s="2" t="s">
        <v>7976</v>
      </c>
      <c r="B7948" s="3"/>
      <c r="C7948" s="3"/>
      <c r="D7948" s="3"/>
      <c r="E7948" s="5" t="str">
        <f>HYPERLINK("https://dpmzos25m8ivg.cloudfront.net/Documentos/631/78573980559/6317857398055905092023100354.pdf","https://dpmzos25m8ivg.cloudfront.net/Documentos/631/78573980559/6317857398055905092023100354.pdf")</f>
        <v>https://dpmzos25m8ivg.cloudfront.net/Documentos/631/78573980559/6317857398055905092023100354.pdf</v>
      </c>
      <c r="F7948" s="5" t="str">
        <f>HYPERLINK("https://dpmzos25m8ivg.cloudfront.net/Documentos/631/78573980559/6317857398055905092023100410.pdf","https://dpmzos25m8ivg.cloudfront.net/Documentos/631/78573980559/6317857398055905092023100410.pdf")</f>
        <v>https://dpmzos25m8ivg.cloudfront.net/Documentos/631/78573980559/6317857398055905092023100410.pdf</v>
      </c>
      <c r="G7948" s="5" t="str">
        <f>HYPERLINK("https://dpmzos25m8ivg.cloudfront.net/Documentos/631/78573980559/6317857398055905092023100420.pdf","https://dpmzos25m8ivg.cloudfront.net/Documentos/631/78573980559/6317857398055905092023100420.pdf")</f>
        <v>https://dpmzos25m8ivg.cloudfront.net/Documentos/631/78573980559/6317857398055905092023100420.pdf</v>
      </c>
      <c r="H7948" s="5" t="s">
        <v>16516</v>
      </c>
    </row>
    <row r="7949" spans="1:8" x14ac:dyDescent="0.25">
      <c r="A7949" s="2" t="s">
        <v>7977</v>
      </c>
      <c r="B7949" s="3"/>
      <c r="C7949" s="3"/>
      <c r="D7949" s="3"/>
      <c r="E7949" s="5" t="str">
        <f>HYPERLINK("https://dpmzos25m8ivg.cloudfront.net/Documentos/631/78574749753/6317857474975314092023133634.pdf","https://dpmzos25m8ivg.cloudfront.net/Documentos/631/78574749753/6317857474975314092023133634.pdf")</f>
        <v>https://dpmzos25m8ivg.cloudfront.net/Documentos/631/78574749753/6317857474975314092023133634.pdf</v>
      </c>
      <c r="F7949" s="5" t="str">
        <f>HYPERLINK("https://dpmzos25m8ivg.cloudfront.net/Documentos/631/78574749753/6317857474975314092023133702.pdf","https://dpmzos25m8ivg.cloudfront.net/Documentos/631/78574749753/6317857474975314092023133702.pdf")</f>
        <v>https://dpmzos25m8ivg.cloudfront.net/Documentos/631/78574749753/6317857474975314092023133702.pdf</v>
      </c>
      <c r="G7949" s="5" t="str">
        <f>HYPERLINK("https://dpmzos25m8ivg.cloudfront.net/Documentos/631/78574749753/6317857474975314092023133721.pdf","https://dpmzos25m8ivg.cloudfront.net/Documentos/631/78574749753/6317857474975314092023133721.pdf")</f>
        <v>https://dpmzos25m8ivg.cloudfront.net/Documentos/631/78574749753/6317857474975314092023133721.pdf</v>
      </c>
      <c r="H7949" s="5" t="s">
        <v>16517</v>
      </c>
    </row>
    <row r="7950" spans="1:8" x14ac:dyDescent="0.25">
      <c r="A7950" s="2" t="s">
        <v>7978</v>
      </c>
      <c r="B7950" s="3" t="s">
        <v>308</v>
      </c>
      <c r="C7950" s="3"/>
      <c r="D7950" s="3"/>
      <c r="E7950" s="5" t="str">
        <f>HYPERLINK("https://dpmzos25m8ivg.cloudfront.net/Documentos/631/78608716100/6317860871610006092023104940.pdf","https://dpmzos25m8ivg.cloudfront.net/Documentos/631/78608716100/6317860871610006092023104940.pdf")</f>
        <v>https://dpmzos25m8ivg.cloudfront.net/Documentos/631/78608716100/6317860871610006092023104940.pdf</v>
      </c>
      <c r="F7950" s="5" t="str">
        <f>HYPERLINK("https://dpmzos25m8ivg.cloudfront.net/Documentos/631/78608716100/6317860871610006092023104953.pdf","https://dpmzos25m8ivg.cloudfront.net/Documentos/631/78608716100/6317860871610006092023104953.pdf")</f>
        <v>https://dpmzos25m8ivg.cloudfront.net/Documentos/631/78608716100/6317860871610006092023104953.pdf</v>
      </c>
      <c r="G7950" s="5" t="str">
        <f>HYPERLINK("https://dpmzos25m8ivg.cloudfront.net/Documentos/631/78608716100/6317860871610006092023105002.pdf","https://dpmzos25m8ivg.cloudfront.net/Documentos/631/78608716100/6317860871610006092023105002.pdf")</f>
        <v>https://dpmzos25m8ivg.cloudfront.net/Documentos/631/78608716100/6317860871610006092023105002.pdf</v>
      </c>
      <c r="H7950" s="5" t="s">
        <v>16518</v>
      </c>
    </row>
    <row r="7951" spans="1:8" x14ac:dyDescent="0.25">
      <c r="A7951" s="2" t="s">
        <v>7979</v>
      </c>
      <c r="B7951" s="3" t="s">
        <v>23</v>
      </c>
      <c r="C7951" s="3"/>
      <c r="D7951" s="3"/>
      <c r="E7951" s="5" t="str">
        <f>HYPERLINK("https://dpmzos25m8ivg.cloudfront.net/Documentos/631/78628113487/6317862811348713092023130525.pdf","https://dpmzos25m8ivg.cloudfront.net/Documentos/631/78628113487/6317862811348713092023130525.pdf")</f>
        <v>https://dpmzos25m8ivg.cloudfront.net/Documentos/631/78628113487/6317862811348713092023130525.pdf</v>
      </c>
      <c r="F7951" s="5" t="str">
        <f>HYPERLINK("https://dpmzos25m8ivg.cloudfront.net/Documentos/631/78628113487/6317862811348713092023130544.pdf","https://dpmzos25m8ivg.cloudfront.net/Documentos/631/78628113487/6317862811348713092023130544.pdf")</f>
        <v>https://dpmzos25m8ivg.cloudfront.net/Documentos/631/78628113487/6317862811348713092023130544.pdf</v>
      </c>
      <c r="G7951" s="5" t="str">
        <f>HYPERLINK("https://dpmzos25m8ivg.cloudfront.net/Documentos/631/78628113487/6317862811348713092023130556.pdf","https://dpmzos25m8ivg.cloudfront.net/Documentos/631/78628113487/6317862811348713092023130556.pdf")</f>
        <v>https://dpmzos25m8ivg.cloudfront.net/Documentos/631/78628113487/6317862811348713092023130556.pdf</v>
      </c>
      <c r="H7951" s="5" t="s">
        <v>16519</v>
      </c>
    </row>
    <row r="7952" spans="1:8" x14ac:dyDescent="0.25">
      <c r="A7952" s="2" t="s">
        <v>7980</v>
      </c>
      <c r="B7952" s="3"/>
      <c r="C7952" s="3"/>
      <c r="D7952" s="3"/>
      <c r="E7952" s="5" t="str">
        <f>HYPERLINK("https://dpmzos25m8ivg.cloudfront.net/Documentos/631/78668735500/6317866873550011092023133846.jpg","https://dpmzos25m8ivg.cloudfront.net/Documentos/631/78668735500/6317866873550011092023133846.jpg")</f>
        <v>https://dpmzos25m8ivg.cloudfront.net/Documentos/631/78668735500/6317866873550011092023133846.jpg</v>
      </c>
      <c r="F7952" s="5" t="str">
        <f>HYPERLINK("https://dpmzos25m8ivg.cloudfront.net/Documentos/631/78668735500/6317866873550011092023134024.jpg","https://dpmzos25m8ivg.cloudfront.net/Documentos/631/78668735500/6317866873550011092023134024.jpg")</f>
        <v>https://dpmzos25m8ivg.cloudfront.net/Documentos/631/78668735500/6317866873550011092023134024.jpg</v>
      </c>
      <c r="G7952" s="5" t="str">
        <f>HYPERLINK("https://dpmzos25m8ivg.cloudfront.net/Documentos/631/78668735500/6317866873550011092023134159.jpg","https://dpmzos25m8ivg.cloudfront.net/Documentos/631/78668735500/6317866873550011092023134159.jpg")</f>
        <v>https://dpmzos25m8ivg.cloudfront.net/Documentos/631/78668735500/6317866873550011092023134159.jpg</v>
      </c>
      <c r="H7952" s="5" t="s">
        <v>16520</v>
      </c>
    </row>
    <row r="7953" spans="1:8" x14ac:dyDescent="0.25">
      <c r="A7953" s="2" t="s">
        <v>7981</v>
      </c>
      <c r="B7953" s="3"/>
      <c r="C7953" s="3"/>
      <c r="D7953" s="3"/>
      <c r="E7953" s="5" t="str">
        <f>HYPERLINK("https://dpmzos25m8ivg.cloudfront.net/Documentos/631/78696151534/6317869615153405092023124639.jpeg","https://dpmzos25m8ivg.cloudfront.net/Documentos/631/78696151534/6317869615153405092023124639.jpeg")</f>
        <v>https://dpmzos25m8ivg.cloudfront.net/Documentos/631/78696151534/6317869615153405092023124639.jpeg</v>
      </c>
      <c r="F7953" s="5" t="str">
        <f>HYPERLINK("https://dpmzos25m8ivg.cloudfront.net/Documentos/631/78696151534/6317869615153405092023124703.jpeg","https://dpmzos25m8ivg.cloudfront.net/Documentos/631/78696151534/6317869615153405092023124703.jpeg")</f>
        <v>https://dpmzos25m8ivg.cloudfront.net/Documentos/631/78696151534/6317869615153405092023124703.jpeg</v>
      </c>
      <c r="G7953" s="5" t="str">
        <f>HYPERLINK("https://dpmzos25m8ivg.cloudfront.net/Documentos/631/78696151534/6317869615153405092023124725.jpeg","https://dpmzos25m8ivg.cloudfront.net/Documentos/631/78696151534/6317869615153405092023124725.jpeg")</f>
        <v>https://dpmzos25m8ivg.cloudfront.net/Documentos/631/78696151534/6317869615153405092023124725.jpeg</v>
      </c>
      <c r="H7953" s="5" t="s">
        <v>16521</v>
      </c>
    </row>
    <row r="7954" spans="1:8" x14ac:dyDescent="0.25">
      <c r="A7954" s="2" t="s">
        <v>7982</v>
      </c>
      <c r="B7954" s="3"/>
      <c r="C7954" s="3"/>
      <c r="D7954" s="3"/>
      <c r="E7954" s="5" t="str">
        <f>HYPERLINK("https://dpmzos25m8ivg.cloudfront.net/Documentos/631/78731046215/6317873104621511092023161013.pdf","https://dpmzos25m8ivg.cloudfront.net/Documentos/631/78731046215/6317873104621511092023161013.pdf")</f>
        <v>https://dpmzos25m8ivg.cloudfront.net/Documentos/631/78731046215/6317873104621511092023161013.pdf</v>
      </c>
      <c r="F7954" s="5" t="str">
        <f>HYPERLINK("https://dpmzos25m8ivg.cloudfront.net/Documentos/631/78731046215/6317873104621511092023161116.pdf","https://dpmzos25m8ivg.cloudfront.net/Documentos/631/78731046215/6317873104621511092023161116.pdf")</f>
        <v>https://dpmzos25m8ivg.cloudfront.net/Documentos/631/78731046215/6317873104621511092023161116.pdf</v>
      </c>
      <c r="G7954" s="5" t="str">
        <f>HYPERLINK("https://dpmzos25m8ivg.cloudfront.net/Documentos/631/78731046215/6317873104621511092023161143.pdf","https://dpmzos25m8ivg.cloudfront.net/Documentos/631/78731046215/6317873104621511092023161143.pdf")</f>
        <v>https://dpmzos25m8ivg.cloudfront.net/Documentos/631/78731046215/6317873104621511092023161143.pdf</v>
      </c>
      <c r="H7954" s="5" t="s">
        <v>16522</v>
      </c>
    </row>
    <row r="7955" spans="1:8" x14ac:dyDescent="0.25">
      <c r="A7955" s="2" t="s">
        <v>7983</v>
      </c>
      <c r="B7955" s="3" t="s">
        <v>23</v>
      </c>
      <c r="C7955" s="3"/>
      <c r="D7955" s="3"/>
      <c r="E7955" s="5" t="str">
        <f>HYPERLINK("https://dpmzos25m8ivg.cloudfront.net/Documentos/631/78776066568/6317877606656811092023144602.jpeg","https://dpmzos25m8ivg.cloudfront.net/Documentos/631/78776066568/6317877606656811092023144602.jpeg")</f>
        <v>https://dpmzos25m8ivg.cloudfront.net/Documentos/631/78776066568/6317877606656811092023144602.jpeg</v>
      </c>
      <c r="F7955" s="5" t="str">
        <f>HYPERLINK("https://dpmzos25m8ivg.cloudfront.net/Documentos/631/78776066568/6317877606656811092023144613.jpeg","https://dpmzos25m8ivg.cloudfront.net/Documentos/631/78776066568/6317877606656811092023144613.jpeg")</f>
        <v>https://dpmzos25m8ivg.cloudfront.net/Documentos/631/78776066568/6317877606656811092023144613.jpeg</v>
      </c>
      <c r="G7955" s="5" t="str">
        <f>HYPERLINK("https://dpmzos25m8ivg.cloudfront.net/Documentos/631/78776066568/6317877606656811092023144624.jpeg","https://dpmzos25m8ivg.cloudfront.net/Documentos/631/78776066568/6317877606656811092023144624.jpeg")</f>
        <v>https://dpmzos25m8ivg.cloudfront.net/Documentos/631/78776066568/6317877606656811092023144624.jpeg</v>
      </c>
      <c r="H7955" s="5" t="s">
        <v>16523</v>
      </c>
    </row>
    <row r="7956" spans="1:8" x14ac:dyDescent="0.25">
      <c r="A7956" s="2" t="s">
        <v>7984</v>
      </c>
      <c r="B7956" s="3"/>
      <c r="C7956" s="3"/>
      <c r="D7956" s="3"/>
      <c r="E7956" s="5" t="str">
        <f>HYPERLINK("https://dpmzos25m8ivg.cloudfront.net/Documentos/631/78798019287/6317879801928711092023144952.pdf","https://dpmzos25m8ivg.cloudfront.net/Documentos/631/78798019287/6317879801928711092023144952.pdf")</f>
        <v>https://dpmzos25m8ivg.cloudfront.net/Documentos/631/78798019287/6317879801928711092023144952.pdf</v>
      </c>
      <c r="F7956" s="5" t="str">
        <f>HYPERLINK("https://dpmzos25m8ivg.cloudfront.net/Documentos/631/78798019287/6317879801928711092023145006.pdf","https://dpmzos25m8ivg.cloudfront.net/Documentos/631/78798019287/6317879801928711092023145006.pdf")</f>
        <v>https://dpmzos25m8ivg.cloudfront.net/Documentos/631/78798019287/6317879801928711092023145006.pdf</v>
      </c>
      <c r="G7956" s="5" t="str">
        <f>HYPERLINK("https://dpmzos25m8ivg.cloudfront.net/Documentos/631/78798019287/6317879801928711092023145027.pdf","https://dpmzos25m8ivg.cloudfront.net/Documentos/631/78798019287/6317879801928711092023145027.pdf")</f>
        <v>https://dpmzos25m8ivg.cloudfront.net/Documentos/631/78798019287/6317879801928711092023145027.pdf</v>
      </c>
      <c r="H7956" s="5" t="s">
        <v>16524</v>
      </c>
    </row>
    <row r="7957" spans="1:8" x14ac:dyDescent="0.25">
      <c r="A7957" s="2" t="s">
        <v>7985</v>
      </c>
      <c r="B7957" s="3"/>
      <c r="C7957" s="3"/>
      <c r="D7957" s="3"/>
      <c r="E7957" s="5" t="str">
        <f>HYPERLINK("https://dpmzos25m8ivg.cloudfront.net/Documentos/631/78806445553/6317880644555311092023132700.pdf","https://dpmzos25m8ivg.cloudfront.net/Documentos/631/78806445553/6317880644555311092023132700.pdf")</f>
        <v>https://dpmzos25m8ivg.cloudfront.net/Documentos/631/78806445553/6317880644555311092023132700.pdf</v>
      </c>
      <c r="F7957" s="5" t="str">
        <f>HYPERLINK("https://dpmzos25m8ivg.cloudfront.net/Documentos/631/78806445553/6317880644555311092023132711.pdf","https://dpmzos25m8ivg.cloudfront.net/Documentos/631/78806445553/6317880644555311092023132711.pdf")</f>
        <v>https://dpmzos25m8ivg.cloudfront.net/Documentos/631/78806445553/6317880644555311092023132711.pdf</v>
      </c>
      <c r="G7957" s="5" t="str">
        <f>HYPERLINK("https://dpmzos25m8ivg.cloudfront.net/Documentos/631/78806445553/6317880644555311092023132729.pdf","https://dpmzos25m8ivg.cloudfront.net/Documentos/631/78806445553/6317880644555311092023132729.pdf")</f>
        <v>https://dpmzos25m8ivg.cloudfront.net/Documentos/631/78806445553/6317880644555311092023132729.pdf</v>
      </c>
      <c r="H7957" s="5" t="s">
        <v>16525</v>
      </c>
    </row>
    <row r="7958" spans="1:8" x14ac:dyDescent="0.25">
      <c r="A7958" s="2" t="s">
        <v>7986</v>
      </c>
      <c r="B7958" s="3"/>
      <c r="C7958" s="3"/>
      <c r="D7958" s="3"/>
      <c r="E7958" s="5" t="str">
        <f>HYPERLINK("https://dpmzos25m8ivg.cloudfront.net/Documentos/631/78859280559/6317885928055908092023231839.pdf","https://dpmzos25m8ivg.cloudfront.net/Documentos/631/78859280559/6317885928055908092023231839.pdf")</f>
        <v>https://dpmzos25m8ivg.cloudfront.net/Documentos/631/78859280559/6317885928055908092023231839.pdf</v>
      </c>
      <c r="F7958" s="5" t="str">
        <f>HYPERLINK("https://dpmzos25m8ivg.cloudfront.net/Documentos/631/78859280559/6317885928055908092023231919.pdf","https://dpmzos25m8ivg.cloudfront.net/Documentos/631/78859280559/6317885928055908092023231919.pdf")</f>
        <v>https://dpmzos25m8ivg.cloudfront.net/Documentos/631/78859280559/6317885928055908092023231919.pdf</v>
      </c>
      <c r="G7958" s="5" t="str">
        <f>HYPERLINK("https://dpmzos25m8ivg.cloudfront.net/Documentos/631/78859280559/6317885928055908092023231949.pdf","https://dpmzos25m8ivg.cloudfront.net/Documentos/631/78859280559/6317885928055908092023231949.pdf")</f>
        <v>https://dpmzos25m8ivg.cloudfront.net/Documentos/631/78859280559/6317885928055908092023231949.pdf</v>
      </c>
      <c r="H7958" s="5" t="s">
        <v>16526</v>
      </c>
    </row>
    <row r="7959" spans="1:8" x14ac:dyDescent="0.25">
      <c r="A7959" s="2" t="s">
        <v>7987</v>
      </c>
      <c r="B7959" s="3"/>
      <c r="C7959" s="3"/>
      <c r="D7959" s="3"/>
      <c r="E7959" s="5" t="str">
        <f>HYPERLINK("https://dpmzos25m8ivg.cloudfront.net/Documentos/631/78883407172/6317888340717213092023231342.pdf","https://dpmzos25m8ivg.cloudfront.net/Documentos/631/78883407172/6317888340717213092023231342.pdf")</f>
        <v>https://dpmzos25m8ivg.cloudfront.net/Documentos/631/78883407172/6317888340717213092023231342.pdf</v>
      </c>
      <c r="F7959" s="5" t="str">
        <f>HYPERLINK("https://dpmzos25m8ivg.cloudfront.net/Documentos/631/78883407172/6317888340717213092023231503.pdf","https://dpmzos25m8ivg.cloudfront.net/Documentos/631/78883407172/6317888340717213092023231503.pdf")</f>
        <v>https://dpmzos25m8ivg.cloudfront.net/Documentos/631/78883407172/6317888340717213092023231503.pdf</v>
      </c>
      <c r="G7959" s="5" t="str">
        <f>HYPERLINK("https://dpmzos25m8ivg.cloudfront.net/Documentos/631/78883407172/6317888340717213092023231542.pdf","https://dpmzos25m8ivg.cloudfront.net/Documentos/631/78883407172/6317888340717213092023231542.pdf")</f>
        <v>https://dpmzos25m8ivg.cloudfront.net/Documentos/631/78883407172/6317888340717213092023231542.pdf</v>
      </c>
      <c r="H7959" s="5" t="s">
        <v>16527</v>
      </c>
    </row>
    <row r="7960" spans="1:8" x14ac:dyDescent="0.25">
      <c r="A7960" s="2" t="s">
        <v>7988</v>
      </c>
      <c r="B7960" s="3" t="s">
        <v>23</v>
      </c>
      <c r="C7960" s="3"/>
      <c r="D7960" s="3"/>
      <c r="E7960" s="5" t="str">
        <f>HYPERLINK("https://dpmzos25m8ivg.cloudfront.net/Documentos/631/78893003520/6317889300352014092023161003.pdf","https://dpmzos25m8ivg.cloudfront.net/Documentos/631/78893003520/6317889300352014092023161003.pdf")</f>
        <v>https://dpmzos25m8ivg.cloudfront.net/Documentos/631/78893003520/6317889300352014092023161003.pdf</v>
      </c>
      <c r="F7960" s="5" t="str">
        <f>HYPERLINK("https://dpmzos25m8ivg.cloudfront.net/Documentos/631/78893003520/6317889300352014092023161013.pdf","https://dpmzos25m8ivg.cloudfront.net/Documentos/631/78893003520/6317889300352014092023161013.pdf")</f>
        <v>https://dpmzos25m8ivg.cloudfront.net/Documentos/631/78893003520/6317889300352014092023161013.pdf</v>
      </c>
      <c r="G7960" s="5" t="str">
        <f>HYPERLINK("https://dpmzos25m8ivg.cloudfront.net/Documentos/631/78893003520/6317889300352014092023161025.pdf","https://dpmzos25m8ivg.cloudfront.net/Documentos/631/78893003520/6317889300352014092023161025.pdf")</f>
        <v>https://dpmzos25m8ivg.cloudfront.net/Documentos/631/78893003520/6317889300352014092023161025.pdf</v>
      </c>
      <c r="H7960" s="5" t="s">
        <v>16528</v>
      </c>
    </row>
    <row r="7961" spans="1:8" x14ac:dyDescent="0.25">
      <c r="A7961" s="2" t="s">
        <v>7989</v>
      </c>
      <c r="B7961" s="3" t="s">
        <v>308</v>
      </c>
      <c r="C7961" s="3"/>
      <c r="D7961" s="3"/>
      <c r="E7961" s="5" t="str">
        <f>HYPERLINK("https://dpmzos25m8ivg.cloudfront.net/Documentos/631/78954746187/6317895474618705092023115722.pdf","https://dpmzos25m8ivg.cloudfront.net/Documentos/631/78954746187/6317895474618705092023115722.pdf")</f>
        <v>https://dpmzos25m8ivg.cloudfront.net/Documentos/631/78954746187/6317895474618705092023115722.pdf</v>
      </c>
      <c r="F7961" s="5" t="str">
        <f>HYPERLINK("https://dpmzos25m8ivg.cloudfront.net/Documentos/631/78954746187/6317895474618705092023115617.pdf","https://dpmzos25m8ivg.cloudfront.net/Documentos/631/78954746187/6317895474618705092023115617.pdf")</f>
        <v>https://dpmzos25m8ivg.cloudfront.net/Documentos/631/78954746187/6317895474618705092023115617.pdf</v>
      </c>
      <c r="G7961" s="5" t="str">
        <f>HYPERLINK("https://dpmzos25m8ivg.cloudfront.net/Documentos/631/78954746187/6317895474618705092023115754.pdf","https://dpmzos25m8ivg.cloudfront.net/Documentos/631/78954746187/6317895474618705092023115754.pdf")</f>
        <v>https://dpmzos25m8ivg.cloudfront.net/Documentos/631/78954746187/6317895474618705092023115754.pdf</v>
      </c>
      <c r="H7961" s="5" t="s">
        <v>16529</v>
      </c>
    </row>
    <row r="7962" spans="1:8" x14ac:dyDescent="0.25">
      <c r="A7962" s="2" t="s">
        <v>7990</v>
      </c>
      <c r="B7962" s="3" t="s">
        <v>90</v>
      </c>
      <c r="C7962" s="3"/>
      <c r="D7962" s="3"/>
      <c r="E7962" s="5" t="str">
        <f>HYPERLINK("https://dpmzos25m8ivg.cloudfront.net/Documentos/631/79004660534/6317900466053411092023155934.pdf","https://dpmzos25m8ivg.cloudfront.net/Documentos/631/79004660534/6317900466053411092023155934.pdf")</f>
        <v>https://dpmzos25m8ivg.cloudfront.net/Documentos/631/79004660534/6317900466053411092023155934.pdf</v>
      </c>
      <c r="F7962" s="5" t="str">
        <f>HYPERLINK("https://dpmzos25m8ivg.cloudfront.net/Documentos/631/79004660534/6317900466053411092023155951.pdf","https://dpmzos25m8ivg.cloudfront.net/Documentos/631/79004660534/6317900466053411092023155951.pdf")</f>
        <v>https://dpmzos25m8ivg.cloudfront.net/Documentos/631/79004660534/6317900466053411092023155951.pdf</v>
      </c>
      <c r="G7962" s="5" t="str">
        <f>HYPERLINK("https://dpmzos25m8ivg.cloudfront.net/Documentos/631/79004660534/6317900466053411092023160003.pdf","https://dpmzos25m8ivg.cloudfront.net/Documentos/631/79004660534/6317900466053411092023160003.pdf")</f>
        <v>https://dpmzos25m8ivg.cloudfront.net/Documentos/631/79004660534/6317900466053411092023160003.pdf</v>
      </c>
      <c r="H7962" s="5" t="s">
        <v>16530</v>
      </c>
    </row>
    <row r="7963" spans="1:8" x14ac:dyDescent="0.25">
      <c r="A7963" s="2" t="s">
        <v>7991</v>
      </c>
      <c r="B7963" s="3"/>
      <c r="C7963" s="3"/>
      <c r="D7963" s="3"/>
      <c r="E7963" s="5" t="str">
        <f>HYPERLINK("https://dpmzos25m8ivg.cloudfront.net/Documentos/631/79148310263/6317914831026310092023193610.pdf","https://dpmzos25m8ivg.cloudfront.net/Documentos/631/79148310263/6317914831026310092023193610.pdf")</f>
        <v>https://dpmzos25m8ivg.cloudfront.net/Documentos/631/79148310263/6317914831026310092023193610.pdf</v>
      </c>
      <c r="F7963" s="5" t="str">
        <f>HYPERLINK("https://dpmzos25m8ivg.cloudfront.net/Documentos/631/79148310263/6317914831026310092023193631.pdf","https://dpmzos25m8ivg.cloudfront.net/Documentos/631/79148310263/6317914831026310092023193631.pdf")</f>
        <v>https://dpmzos25m8ivg.cloudfront.net/Documentos/631/79148310263/6317914831026310092023193631.pdf</v>
      </c>
      <c r="G7963" s="5" t="str">
        <f>HYPERLINK("https://dpmzos25m8ivg.cloudfront.net/Documentos/631/79148310263/6317914831026310092023193646.pdf","https://dpmzos25m8ivg.cloudfront.net/Documentos/631/79148310263/6317914831026310092023193646.pdf")</f>
        <v>https://dpmzos25m8ivg.cloudfront.net/Documentos/631/79148310263/6317914831026310092023193646.pdf</v>
      </c>
      <c r="H7963" s="5" t="s">
        <v>16531</v>
      </c>
    </row>
    <row r="7964" spans="1:8" x14ac:dyDescent="0.25">
      <c r="A7964" s="2" t="s">
        <v>7992</v>
      </c>
      <c r="B7964" s="3"/>
      <c r="C7964" s="3"/>
      <c r="D7964" s="3"/>
      <c r="E7964" s="5" t="str">
        <f>HYPERLINK("https://dpmzos25m8ivg.cloudfront.net/Documentos/631/79170170100/6317917017010011092023093221.pdf","https://dpmzos25m8ivg.cloudfront.net/Documentos/631/79170170100/6317917017010011092023093221.pdf")</f>
        <v>https://dpmzos25m8ivg.cloudfront.net/Documentos/631/79170170100/6317917017010011092023093221.pdf</v>
      </c>
      <c r="F7964" s="5" t="str">
        <f>HYPERLINK("https://dpmzos25m8ivg.cloudfront.net/Documentos/631/79170170100/6317917017010011092023093230.pdf","https://dpmzos25m8ivg.cloudfront.net/Documentos/631/79170170100/6317917017010011092023093230.pdf")</f>
        <v>https://dpmzos25m8ivg.cloudfront.net/Documentos/631/79170170100/6317917017010011092023093230.pdf</v>
      </c>
      <c r="G7964" s="5" t="str">
        <f>HYPERLINK("https://dpmzos25m8ivg.cloudfront.net/Documentos/631/79170170100/6317917017010011092023093239.pdf","https://dpmzos25m8ivg.cloudfront.net/Documentos/631/79170170100/6317917017010011092023093239.pdf")</f>
        <v>https://dpmzos25m8ivg.cloudfront.net/Documentos/631/79170170100/6317917017010011092023093239.pdf</v>
      </c>
      <c r="H7964" s="5" t="s">
        <v>16532</v>
      </c>
    </row>
    <row r="7965" spans="1:8" x14ac:dyDescent="0.25">
      <c r="A7965" s="2" t="s">
        <v>7993</v>
      </c>
      <c r="B7965" s="3"/>
      <c r="C7965" s="3"/>
      <c r="D7965" s="3"/>
      <c r="E7965" s="5" t="str">
        <f>HYPERLINK("https://dpmzos25m8ivg.cloudfront.net/Documentos/631/79218393987/6317921839398710092023165847.pdf","https://dpmzos25m8ivg.cloudfront.net/Documentos/631/79218393987/6317921839398710092023165847.pdf")</f>
        <v>https://dpmzos25m8ivg.cloudfront.net/Documentos/631/79218393987/6317921839398710092023165847.pdf</v>
      </c>
      <c r="F7965" s="5" t="str">
        <f>HYPERLINK("https://dpmzos25m8ivg.cloudfront.net/Documentos/631/79218393987/6317921839398710092023165900.pdf","https://dpmzos25m8ivg.cloudfront.net/Documentos/631/79218393987/6317921839398710092023165900.pdf")</f>
        <v>https://dpmzos25m8ivg.cloudfront.net/Documentos/631/79218393987/6317921839398710092023165900.pdf</v>
      </c>
      <c r="G7965" s="5" t="str">
        <f>HYPERLINK("https://dpmzos25m8ivg.cloudfront.net/Documentos/631/79218393987/6317921839398710092023165921.pdf","https://dpmzos25m8ivg.cloudfront.net/Documentos/631/79218393987/6317921839398710092023165921.pdf")</f>
        <v>https://dpmzos25m8ivg.cloudfront.net/Documentos/631/79218393987/6317921839398710092023165921.pdf</v>
      </c>
      <c r="H7965" s="5" t="s">
        <v>16533</v>
      </c>
    </row>
    <row r="7966" spans="1:8" x14ac:dyDescent="0.25">
      <c r="A7966" s="2" t="s">
        <v>7994</v>
      </c>
      <c r="B7966" s="3"/>
      <c r="C7966" s="3"/>
      <c r="D7966" s="3"/>
      <c r="E7966" s="5" t="str">
        <f>HYPERLINK("https://dpmzos25m8ivg.cloudfront.net/Documentos/631/79250530544/6317925053054410092023132214.pdf","https://dpmzos25m8ivg.cloudfront.net/Documentos/631/79250530544/6317925053054410092023132214.pdf")</f>
        <v>https://dpmzos25m8ivg.cloudfront.net/Documentos/631/79250530544/6317925053054410092023132214.pdf</v>
      </c>
      <c r="F7966" s="5" t="str">
        <f>HYPERLINK("https://dpmzos25m8ivg.cloudfront.net/Documentos/631/79250530544/6317925053054410092023132154.pdf","https://dpmzos25m8ivg.cloudfront.net/Documentos/631/79250530544/6317925053054410092023132154.pdf")</f>
        <v>https://dpmzos25m8ivg.cloudfront.net/Documentos/631/79250530544/6317925053054410092023132154.pdf</v>
      </c>
      <c r="G7966" s="5" t="str">
        <f>HYPERLINK("https://dpmzos25m8ivg.cloudfront.net/Documentos/631/79250530544/6317925053054410092023132134.pdf","https://dpmzos25m8ivg.cloudfront.net/Documentos/631/79250530544/6317925053054410092023132134.pdf")</f>
        <v>https://dpmzos25m8ivg.cloudfront.net/Documentos/631/79250530544/6317925053054410092023132134.pdf</v>
      </c>
      <c r="H7966" s="5" t="s">
        <v>16534</v>
      </c>
    </row>
    <row r="7967" spans="1:8" x14ac:dyDescent="0.25">
      <c r="A7967" s="2" t="s">
        <v>7995</v>
      </c>
      <c r="B7967" s="3"/>
      <c r="C7967" s="3"/>
      <c r="D7967" s="3"/>
      <c r="E7967" s="5" t="str">
        <f>HYPERLINK("https://dpmzos25m8ivg.cloudfront.net/Documentos/631/79256503204/6317925650320411092023165116.pdf","https://dpmzos25m8ivg.cloudfront.net/Documentos/631/79256503204/6317925650320411092023165116.pdf")</f>
        <v>https://dpmzos25m8ivg.cloudfront.net/Documentos/631/79256503204/6317925650320411092023165116.pdf</v>
      </c>
      <c r="F7967" s="5" t="str">
        <f>HYPERLINK("https://dpmzos25m8ivg.cloudfront.net/Documentos/631/79256503204/6317925650320411092023172429.pdf","https://dpmzos25m8ivg.cloudfront.net/Documentos/631/79256503204/6317925650320411092023172429.pdf")</f>
        <v>https://dpmzos25m8ivg.cloudfront.net/Documentos/631/79256503204/6317925650320411092023172429.pdf</v>
      </c>
      <c r="G7967" s="5" t="str">
        <f>HYPERLINK("https://dpmzos25m8ivg.cloudfront.net/Documentos/631/79256503204/6317925650320411092023172438.pdf","https://dpmzos25m8ivg.cloudfront.net/Documentos/631/79256503204/6317925650320411092023172438.pdf")</f>
        <v>https://dpmzos25m8ivg.cloudfront.net/Documentos/631/79256503204/6317925650320411092023172438.pdf</v>
      </c>
      <c r="H7967" s="5" t="s">
        <v>16535</v>
      </c>
    </row>
    <row r="7968" spans="1:8" x14ac:dyDescent="0.25">
      <c r="A7968" s="2" t="s">
        <v>7996</v>
      </c>
      <c r="B7968" s="3"/>
      <c r="C7968" s="3"/>
      <c r="D7968" s="3"/>
      <c r="E7968" s="5" t="str">
        <f>HYPERLINK("https://dpmzos25m8ivg.cloudfront.net/Documentos/631/79311598534/6317931159853411092023133723.pdf","https://dpmzos25m8ivg.cloudfront.net/Documentos/631/79311598534/6317931159853411092023133723.pdf")</f>
        <v>https://dpmzos25m8ivg.cloudfront.net/Documentos/631/79311598534/6317931159853411092023133723.pdf</v>
      </c>
      <c r="F7968" s="5" t="str">
        <f>HYPERLINK("https://dpmzos25m8ivg.cloudfront.net/Documentos/631/79311598534/6317931159853411092023133327.pdf","https://dpmzos25m8ivg.cloudfront.net/Documentos/631/79311598534/6317931159853411092023133327.pdf")</f>
        <v>https://dpmzos25m8ivg.cloudfront.net/Documentos/631/79311598534/6317931159853411092023133327.pdf</v>
      </c>
      <c r="G7968" s="5" t="str">
        <f>HYPERLINK("https://dpmzos25m8ivg.cloudfront.net/Documentos/631/79311598534/6317931159853410092023042056.jpg","https://dpmzos25m8ivg.cloudfront.net/Documentos/631/79311598534/6317931159853410092023042056.jpg")</f>
        <v>https://dpmzos25m8ivg.cloudfront.net/Documentos/631/79311598534/6317931159853410092023042056.jpg</v>
      </c>
      <c r="H7968" s="5" t="s">
        <v>16536</v>
      </c>
    </row>
    <row r="7969" spans="1:8" x14ac:dyDescent="0.25">
      <c r="A7969" s="2" t="s">
        <v>7997</v>
      </c>
      <c r="B7969" s="3"/>
      <c r="C7969" s="3"/>
      <c r="D7969" s="3"/>
      <c r="E7969" s="5" t="str">
        <f>HYPERLINK("https://dpmzos25m8ivg.cloudfront.net/Documentos/631/79323235415/6317932323541511092023151735.pdf","https://dpmzos25m8ivg.cloudfront.net/Documentos/631/79323235415/6317932323541511092023151735.pdf")</f>
        <v>https://dpmzos25m8ivg.cloudfront.net/Documentos/631/79323235415/6317932323541511092023151735.pdf</v>
      </c>
      <c r="F7969" s="5" t="str">
        <f>HYPERLINK("https://dpmzos25m8ivg.cloudfront.net/Documentos/631/79323235415/6317932323541511092023152246.pdf","https://dpmzos25m8ivg.cloudfront.net/Documentos/631/79323235415/6317932323541511092023152246.pdf")</f>
        <v>https://dpmzos25m8ivg.cloudfront.net/Documentos/631/79323235415/6317932323541511092023152246.pdf</v>
      </c>
      <c r="G7969" s="5" t="str">
        <f>HYPERLINK("https://dpmzos25m8ivg.cloudfront.net/Documentos/631/79323235415/6317932323541511092023152315.pdf","https://dpmzos25m8ivg.cloudfront.net/Documentos/631/79323235415/6317932323541511092023152315.pdf")</f>
        <v>https://dpmzos25m8ivg.cloudfront.net/Documentos/631/79323235415/6317932323541511092023152315.pdf</v>
      </c>
      <c r="H7969" s="5" t="s">
        <v>16537</v>
      </c>
    </row>
    <row r="7970" spans="1:8" x14ac:dyDescent="0.25">
      <c r="A7970" s="2" t="s">
        <v>7998</v>
      </c>
      <c r="B7970" s="3"/>
      <c r="C7970" s="3"/>
      <c r="D7970" s="3"/>
      <c r="E7970" s="5" t="str">
        <f>HYPERLINK("https://dpmzos25m8ivg.cloudfront.net/Documentos/631/79327494334/6317932749433410092023084316.jpeg","https://dpmzos25m8ivg.cloudfront.net/Documentos/631/79327494334/6317932749433410092023084316.jpeg")</f>
        <v>https://dpmzos25m8ivg.cloudfront.net/Documentos/631/79327494334/6317932749433410092023084316.jpeg</v>
      </c>
      <c r="F7970" s="5" t="str">
        <f>HYPERLINK("https://dpmzos25m8ivg.cloudfront.net/Documentos/631/79327494334/6317932749433410092023084350.jpeg","https://dpmzos25m8ivg.cloudfront.net/Documentos/631/79327494334/6317932749433410092023084350.jpeg")</f>
        <v>https://dpmzos25m8ivg.cloudfront.net/Documentos/631/79327494334/6317932749433410092023084350.jpeg</v>
      </c>
      <c r="G7970" s="5" t="str">
        <f>HYPERLINK("https://dpmzos25m8ivg.cloudfront.net/Documentos/631/79327494334/6317932749433410092023084410.jpeg","https://dpmzos25m8ivg.cloudfront.net/Documentos/631/79327494334/6317932749433410092023084410.jpeg")</f>
        <v>https://dpmzos25m8ivg.cloudfront.net/Documentos/631/79327494334/6317932749433410092023084410.jpeg</v>
      </c>
      <c r="H7970" s="5" t="s">
        <v>16538</v>
      </c>
    </row>
    <row r="7971" spans="1:8" x14ac:dyDescent="0.25">
      <c r="A7971" s="2" t="s">
        <v>7999</v>
      </c>
      <c r="B7971" s="3"/>
      <c r="C7971" s="3"/>
      <c r="D7971" s="3"/>
      <c r="E7971" s="5" t="str">
        <f>HYPERLINK("https://dpmzos25m8ivg.cloudfront.net/Documentos/631/79338682587/6317933868258706092023161550.pdf","https://dpmzos25m8ivg.cloudfront.net/Documentos/631/79338682587/6317933868258706092023161550.pdf")</f>
        <v>https://dpmzos25m8ivg.cloudfront.net/Documentos/631/79338682587/6317933868258706092023161550.pdf</v>
      </c>
      <c r="F7971" s="5" t="str">
        <f>HYPERLINK("https://dpmzos25m8ivg.cloudfront.net/Documentos/631/79338682587/6317933868258706092023161607.pdf","https://dpmzos25m8ivg.cloudfront.net/Documentos/631/79338682587/6317933868258706092023161607.pdf")</f>
        <v>https://dpmzos25m8ivg.cloudfront.net/Documentos/631/79338682587/6317933868258706092023161607.pdf</v>
      </c>
      <c r="G7971" s="5" t="str">
        <f>HYPERLINK("https://dpmzos25m8ivg.cloudfront.net/Documentos/631/79338682587/6317933868258706092023161623.pdf","https://dpmzos25m8ivg.cloudfront.net/Documentos/631/79338682587/6317933868258706092023161623.pdf")</f>
        <v>https://dpmzos25m8ivg.cloudfront.net/Documentos/631/79338682587/6317933868258706092023161623.pdf</v>
      </c>
      <c r="H7971" s="5" t="s">
        <v>16539</v>
      </c>
    </row>
    <row r="7972" spans="1:8" x14ac:dyDescent="0.25">
      <c r="A7972" s="2" t="s">
        <v>8000</v>
      </c>
      <c r="B7972" s="3"/>
      <c r="C7972" s="3"/>
      <c r="D7972" s="3"/>
      <c r="E7972" s="5" t="str">
        <f>HYPERLINK("https://dpmzos25m8ivg.cloudfront.net/Documentos/631/79387888215/6317938788821511092023160248.jpeg","https://dpmzos25m8ivg.cloudfront.net/Documentos/631/79387888215/6317938788821511092023160248.jpeg")</f>
        <v>https://dpmzos25m8ivg.cloudfront.net/Documentos/631/79387888215/6317938788821511092023160248.jpeg</v>
      </c>
      <c r="F7972" s="5" t="str">
        <f>HYPERLINK("https://dpmzos25m8ivg.cloudfront.net/Documentos/631/79387888215/6317938788821511092023160300.jpeg","https://dpmzos25m8ivg.cloudfront.net/Documentos/631/79387888215/6317938788821511092023160300.jpeg")</f>
        <v>https://dpmzos25m8ivg.cloudfront.net/Documentos/631/79387888215/6317938788821511092023160300.jpeg</v>
      </c>
      <c r="G7972" s="5" t="str">
        <f>HYPERLINK("https://dpmzos25m8ivg.cloudfront.net/Documentos/631/79387888215/6317938788821511092023160312.jpeg","https://dpmzos25m8ivg.cloudfront.net/Documentos/631/79387888215/6317938788821511092023160312.jpeg")</f>
        <v>https://dpmzos25m8ivg.cloudfront.net/Documentos/631/79387888215/6317938788821511092023160312.jpeg</v>
      </c>
      <c r="H7972" s="5" t="s">
        <v>16540</v>
      </c>
    </row>
    <row r="7973" spans="1:8" x14ac:dyDescent="0.25">
      <c r="A7973" s="2" t="s">
        <v>8001</v>
      </c>
      <c r="B7973" s="3"/>
      <c r="C7973" s="3"/>
      <c r="D7973" s="3"/>
      <c r="E7973" s="5" t="str">
        <f>HYPERLINK("https://dpmzos25m8ivg.cloudfront.net/Documentos/631/79389589215/6317938958921510092023132220.pdf","https://dpmzos25m8ivg.cloudfront.net/Documentos/631/79389589215/6317938958921510092023132220.pdf")</f>
        <v>https://dpmzos25m8ivg.cloudfront.net/Documentos/631/79389589215/6317938958921510092023132220.pdf</v>
      </c>
      <c r="F7973" s="5" t="str">
        <f>HYPERLINK("https://dpmzos25m8ivg.cloudfront.net/Documentos/631/79389589215/6317938958921510092023132236.pdf","https://dpmzos25m8ivg.cloudfront.net/Documentos/631/79389589215/6317938958921510092023132236.pdf")</f>
        <v>https://dpmzos25m8ivg.cloudfront.net/Documentos/631/79389589215/6317938958921510092023132236.pdf</v>
      </c>
      <c r="G7973" s="5" t="str">
        <f>HYPERLINK("https://dpmzos25m8ivg.cloudfront.net/Documentos/631/79389589215/6317938958921510092023132245.pdf","https://dpmzos25m8ivg.cloudfront.net/Documentos/631/79389589215/6317938958921510092023132245.pdf")</f>
        <v>https://dpmzos25m8ivg.cloudfront.net/Documentos/631/79389589215/6317938958921510092023132245.pdf</v>
      </c>
      <c r="H7973" s="5" t="s">
        <v>16541</v>
      </c>
    </row>
    <row r="7974" spans="1:8" x14ac:dyDescent="0.25">
      <c r="A7974" s="2" t="s">
        <v>8002</v>
      </c>
      <c r="B7974" s="3" t="s">
        <v>90</v>
      </c>
      <c r="C7974" s="3"/>
      <c r="D7974" s="3"/>
      <c r="E7974" s="5" t="str">
        <f>HYPERLINK("https://dpmzos25m8ivg.cloudfront.net/Documentos/631/79441491500/6317944149150004092023200525.jpeg","https://dpmzos25m8ivg.cloudfront.net/Documentos/631/79441491500/6317944149150004092023200525.jpeg")</f>
        <v>https://dpmzos25m8ivg.cloudfront.net/Documentos/631/79441491500/6317944149150004092023200525.jpeg</v>
      </c>
      <c r="F7974" s="5" t="str">
        <f>HYPERLINK("https://dpmzos25m8ivg.cloudfront.net/Documentos/631/79441491500/6317944149150004092023200550.jpeg","https://dpmzos25m8ivg.cloudfront.net/Documentos/631/79441491500/6317944149150004092023200550.jpeg")</f>
        <v>https://dpmzos25m8ivg.cloudfront.net/Documentos/631/79441491500/6317944149150004092023200550.jpeg</v>
      </c>
      <c r="G7974" s="5" t="str">
        <f>HYPERLINK("https://dpmzos25m8ivg.cloudfront.net/Documentos/631/79441491500/6317944149150004092023200656.jpeg","https://dpmzos25m8ivg.cloudfront.net/Documentos/631/79441491500/6317944149150004092023200656.jpeg")</f>
        <v>https://dpmzos25m8ivg.cloudfront.net/Documentos/631/79441491500/6317944149150004092023200656.jpeg</v>
      </c>
      <c r="H7974" s="5" t="s">
        <v>16542</v>
      </c>
    </row>
    <row r="7975" spans="1:8" x14ac:dyDescent="0.25">
      <c r="A7975" s="2" t="s">
        <v>8003</v>
      </c>
      <c r="B7975" s="3" t="s">
        <v>23</v>
      </c>
      <c r="C7975" s="3"/>
      <c r="D7975" s="3"/>
      <c r="E7975" s="5" t="str">
        <f>HYPERLINK("https://dpmzos25m8ivg.cloudfront.net/Documentos/631/79442099191/6317944209919105092023140537.jpg","https://dpmzos25m8ivg.cloudfront.net/Documentos/631/79442099191/6317944209919105092023140537.jpg")</f>
        <v>https://dpmzos25m8ivg.cloudfront.net/Documentos/631/79442099191/6317944209919105092023140537.jpg</v>
      </c>
      <c r="F7975" s="5" t="str">
        <f>HYPERLINK("https://dpmzos25m8ivg.cloudfront.net/Documentos/631/79442099191/6317944209919105092023140608.jpg","https://dpmzos25m8ivg.cloudfront.net/Documentos/631/79442099191/6317944209919105092023140608.jpg")</f>
        <v>https://dpmzos25m8ivg.cloudfront.net/Documentos/631/79442099191/6317944209919105092023140608.jpg</v>
      </c>
      <c r="G7975" s="5" t="str">
        <f>HYPERLINK("https://dpmzos25m8ivg.cloudfront.net/Documentos/631/79442099191/6317944209919105092023140640.jpg","https://dpmzos25m8ivg.cloudfront.net/Documentos/631/79442099191/6317944209919105092023140640.jpg")</f>
        <v>https://dpmzos25m8ivg.cloudfront.net/Documentos/631/79442099191/6317944209919105092023140640.jpg</v>
      </c>
      <c r="H7975" s="5" t="s">
        <v>16543</v>
      </c>
    </row>
    <row r="7976" spans="1:8" x14ac:dyDescent="0.25">
      <c r="A7976" s="2" t="s">
        <v>8004</v>
      </c>
      <c r="B7976" s="3" t="s">
        <v>90</v>
      </c>
      <c r="C7976" s="3"/>
      <c r="D7976" s="3"/>
      <c r="E7976" s="5" t="str">
        <f>HYPERLINK("https://dpmzos25m8ivg.cloudfront.net/Documentos/631/79455603691/6317945560369111092023093324.pdf","https://dpmzos25m8ivg.cloudfront.net/Documentos/631/79455603691/6317945560369111092023093324.pdf")</f>
        <v>https://dpmzos25m8ivg.cloudfront.net/Documentos/631/79455603691/6317945560369111092023093324.pdf</v>
      </c>
      <c r="F7976" s="5" t="str">
        <f>HYPERLINK("https://dpmzos25m8ivg.cloudfront.net/Documentos/631/79455603691/6317945560369111092023093432.pdf","https://dpmzos25m8ivg.cloudfront.net/Documentos/631/79455603691/6317945560369111092023093432.pdf")</f>
        <v>https://dpmzos25m8ivg.cloudfront.net/Documentos/631/79455603691/6317945560369111092023093432.pdf</v>
      </c>
      <c r="G7976" s="5" t="str">
        <f>HYPERLINK("https://dpmzos25m8ivg.cloudfront.net/Documentos/631/79455603691/6317945560369111092023093757.pdf","https://dpmzos25m8ivg.cloudfront.net/Documentos/631/79455603691/6317945560369111092023093757.pdf")</f>
        <v>https://dpmzos25m8ivg.cloudfront.net/Documentos/631/79455603691/6317945560369111092023093757.pdf</v>
      </c>
      <c r="H7976" s="5" t="s">
        <v>16544</v>
      </c>
    </row>
    <row r="7977" spans="1:8" x14ac:dyDescent="0.25">
      <c r="A7977" s="2" t="s">
        <v>8005</v>
      </c>
      <c r="B7977" s="3"/>
      <c r="C7977" s="3"/>
      <c r="D7977" s="3"/>
      <c r="E7977" s="4" t="str">
        <f>HYPERLINK("https://dpmzos25m8ivg.cloudfront.net/Documentos/631/79461026234/6317946102623407092023215621.jpg","https://dpmzos25m8ivg.cloudfront.net/Documentos/631/79461026234/6317946102623407092023215621.jpg")</f>
        <v>https://dpmzos25m8ivg.cloudfront.net/Documentos/631/79461026234/6317946102623407092023215621.jpg</v>
      </c>
      <c r="F7977" s="4" t="str">
        <f>HYPERLINK("https://dpmzos25m8ivg.cloudfront.net/Documentos/631/79461026234/6317946102623407092023215640.jpg","https://dpmzos25m8ivg.cloudfront.net/Documentos/631/79461026234/6317946102623407092023215640.jpg")</f>
        <v>https://dpmzos25m8ivg.cloudfront.net/Documentos/631/79461026234/6317946102623407092023215640.jpg</v>
      </c>
      <c r="G7977" s="4" t="str">
        <f>HYPERLINK("https://dpmzos25m8ivg.cloudfront.net/Documentos/631/79461026234/6317946102623407092023215655.jpg","https://dpmzos25m8ivg.cloudfront.net/Documentos/631/79461026234/6317946102623407092023215655.jpg")</f>
        <v>https://dpmzos25m8ivg.cloudfront.net/Documentos/631/79461026234/6317946102623407092023215655.jpg</v>
      </c>
      <c r="H7977" s="4" t="s">
        <v>16545</v>
      </c>
    </row>
    <row r="7978" spans="1:8" x14ac:dyDescent="0.25">
      <c r="A7978" s="2" t="s">
        <v>8006</v>
      </c>
      <c r="B7978" s="3"/>
      <c r="C7978" s="3"/>
      <c r="D7978" s="3"/>
      <c r="E7978" s="5" t="str">
        <f>HYPERLINK("https://dpmzos25m8ivg.cloudfront.net/Documentos/631/79465340278/6317946534027810092023114255.jpg","https://dpmzos25m8ivg.cloudfront.net/Documentos/631/79465340278/6317946534027810092023114255.jpg")</f>
        <v>https://dpmzos25m8ivg.cloudfront.net/Documentos/631/79465340278/6317946534027810092023114255.jpg</v>
      </c>
      <c r="F7978" s="5" t="str">
        <f>HYPERLINK("https://dpmzos25m8ivg.cloudfront.net/Documentos/631/79465340278/6317946534027810092023114324.jpg","https://dpmzos25m8ivg.cloudfront.net/Documentos/631/79465340278/6317946534027810092023114324.jpg")</f>
        <v>https://dpmzos25m8ivg.cloudfront.net/Documentos/631/79465340278/6317946534027810092023114324.jpg</v>
      </c>
      <c r="G7978" s="5" t="str">
        <f>HYPERLINK("https://dpmzos25m8ivg.cloudfront.net/Documentos/631/79465340278/6317946534027810092023114349.jpg","https://dpmzos25m8ivg.cloudfront.net/Documentos/631/79465340278/6317946534027810092023114349.jpg")</f>
        <v>https://dpmzos25m8ivg.cloudfront.net/Documentos/631/79465340278/6317946534027810092023114349.jpg</v>
      </c>
      <c r="H7978" s="5" t="s">
        <v>16546</v>
      </c>
    </row>
    <row r="7979" spans="1:8" x14ac:dyDescent="0.25">
      <c r="A7979" s="2" t="s">
        <v>8007</v>
      </c>
      <c r="B7979" s="3"/>
      <c r="C7979" s="3"/>
      <c r="D7979" s="3"/>
      <c r="E7979" s="5" t="str">
        <f>HYPERLINK("https://dpmzos25m8ivg.cloudfront.net/Documentos/631/79507131949/6317950713194910092023231134.pdf","https://dpmzos25m8ivg.cloudfront.net/Documentos/631/79507131949/6317950713194910092023231134.pdf")</f>
        <v>https://dpmzos25m8ivg.cloudfront.net/Documentos/631/79507131949/6317950713194910092023231134.pdf</v>
      </c>
      <c r="F7979" s="5" t="str">
        <f>HYPERLINK("https://dpmzos25m8ivg.cloudfront.net/Documentos/631/79507131949/6317950713194910092023231154.pdf","https://dpmzos25m8ivg.cloudfront.net/Documentos/631/79507131949/6317950713194910092023231154.pdf")</f>
        <v>https://dpmzos25m8ivg.cloudfront.net/Documentos/631/79507131949/6317950713194910092023231154.pdf</v>
      </c>
      <c r="G7979" s="5" t="str">
        <f>HYPERLINK("https://dpmzos25m8ivg.cloudfront.net/Documentos/631/79507131949/6317950713194910092023231210.pdf","https://dpmzos25m8ivg.cloudfront.net/Documentos/631/79507131949/6317950713194910092023231210.pdf")</f>
        <v>https://dpmzos25m8ivg.cloudfront.net/Documentos/631/79507131949/6317950713194910092023231210.pdf</v>
      </c>
      <c r="H7979" s="5" t="s">
        <v>16547</v>
      </c>
    </row>
    <row r="7980" spans="1:8" x14ac:dyDescent="0.25">
      <c r="A7980" s="2" t="s">
        <v>8008</v>
      </c>
      <c r="B7980" s="3"/>
      <c r="C7980" s="3"/>
      <c r="D7980" s="3"/>
      <c r="E7980" s="5" t="str">
        <f>HYPERLINK("https://dpmzos25m8ivg.cloudfront.net/Documentos/631/79534040525/6317953404052514092023113043.pdf","https://dpmzos25m8ivg.cloudfront.net/Documentos/631/79534040525/6317953404052514092023113043.pdf")</f>
        <v>https://dpmzos25m8ivg.cloudfront.net/Documentos/631/79534040525/6317953404052514092023113043.pdf</v>
      </c>
      <c r="F7980" s="5" t="str">
        <f>HYPERLINK("https://dpmzos25m8ivg.cloudfront.net/Documentos/631/79534040525/6317953404052514092023113109.pdf","https://dpmzos25m8ivg.cloudfront.net/Documentos/631/79534040525/6317953404052514092023113109.pdf")</f>
        <v>https://dpmzos25m8ivg.cloudfront.net/Documentos/631/79534040525/6317953404052514092023113109.pdf</v>
      </c>
      <c r="G7980" s="5" t="str">
        <f>HYPERLINK("https://dpmzos25m8ivg.cloudfront.net/Documentos/631/79534040525/6317953404052514092023113127.pdf","https://dpmzos25m8ivg.cloudfront.net/Documentos/631/79534040525/6317953404052514092023113127.pdf")</f>
        <v>https://dpmzos25m8ivg.cloudfront.net/Documentos/631/79534040525/6317953404052514092023113127.pdf</v>
      </c>
      <c r="H7980" s="5" t="s">
        <v>16548</v>
      </c>
    </row>
    <row r="7981" spans="1:8" x14ac:dyDescent="0.25">
      <c r="A7981" s="2" t="s">
        <v>8009</v>
      </c>
      <c r="B7981" s="3"/>
      <c r="C7981" s="3"/>
      <c r="D7981" s="3"/>
      <c r="E7981" s="5" t="str">
        <f>HYPERLINK("https://dpmzos25m8ivg.cloudfront.net/Documentos/631/79628168649/6317962816864911092023162118.pdf","https://dpmzos25m8ivg.cloudfront.net/Documentos/631/79628168649/6317962816864911092023162118.pdf")</f>
        <v>https://dpmzos25m8ivg.cloudfront.net/Documentos/631/79628168649/6317962816864911092023162118.pdf</v>
      </c>
      <c r="F7981" s="5" t="str">
        <f>HYPERLINK("https://dpmzos25m8ivg.cloudfront.net/Documentos/631/79628168649/6317962816864911092023162129.pdf","https://dpmzos25m8ivg.cloudfront.net/Documentos/631/79628168649/6317962816864911092023162129.pdf")</f>
        <v>https://dpmzos25m8ivg.cloudfront.net/Documentos/631/79628168649/6317962816864911092023162129.pdf</v>
      </c>
      <c r="G7981" s="5" t="str">
        <f>HYPERLINK("https://dpmzos25m8ivg.cloudfront.net/Documentos/631/79628168649/6317962816864911092023162141.pdf","https://dpmzos25m8ivg.cloudfront.net/Documentos/631/79628168649/6317962816864911092023162141.pdf")</f>
        <v>https://dpmzos25m8ivg.cloudfront.net/Documentos/631/79628168649/6317962816864911092023162141.pdf</v>
      </c>
      <c r="H7981" s="5" t="s">
        <v>16549</v>
      </c>
    </row>
    <row r="7982" spans="1:8" x14ac:dyDescent="0.25">
      <c r="A7982" s="2" t="s">
        <v>8010</v>
      </c>
      <c r="B7982" s="3" t="s">
        <v>308</v>
      </c>
      <c r="C7982" s="3"/>
      <c r="D7982" s="3"/>
      <c r="E7982" s="5" t="str">
        <f>HYPERLINK("https://dpmzos25m8ivg.cloudfront.net/Documentos/631/79686834591/6317968683459110092023102921.pdf","https://dpmzos25m8ivg.cloudfront.net/Documentos/631/79686834591/6317968683459110092023102921.pdf")</f>
        <v>https://dpmzos25m8ivg.cloudfront.net/Documentos/631/79686834591/6317968683459110092023102921.pdf</v>
      </c>
      <c r="F7982" s="5" t="str">
        <f>HYPERLINK("https://dpmzos25m8ivg.cloudfront.net/Documentos/631/79686834591/6317968683459110092023103002.pdf","https://dpmzos25m8ivg.cloudfront.net/Documentos/631/79686834591/6317968683459110092023103002.pdf")</f>
        <v>https://dpmzos25m8ivg.cloudfront.net/Documentos/631/79686834591/6317968683459110092023103002.pdf</v>
      </c>
      <c r="G7982" s="5" t="str">
        <f>HYPERLINK("https://dpmzos25m8ivg.cloudfront.net/Documentos/631/79686834591/6317968683459110092023103031.pdf","https://dpmzos25m8ivg.cloudfront.net/Documentos/631/79686834591/6317968683459110092023103031.pdf")</f>
        <v>https://dpmzos25m8ivg.cloudfront.net/Documentos/631/79686834591/6317968683459110092023103031.pdf</v>
      </c>
      <c r="H7982" s="5" t="s">
        <v>16550</v>
      </c>
    </row>
    <row r="7983" spans="1:8" x14ac:dyDescent="0.25">
      <c r="A7983" s="2" t="s">
        <v>8011</v>
      </c>
      <c r="B7983" s="3"/>
      <c r="C7983" s="3"/>
      <c r="D7983" s="3"/>
      <c r="E7983" s="5" t="str">
        <f>HYPERLINK("https://dpmzos25m8ivg.cloudfront.net/Documentos/631/79688950220/6317968895022007092023210503.pdf","https://dpmzos25m8ivg.cloudfront.net/Documentos/631/79688950220/6317968895022007092023210503.pdf")</f>
        <v>https://dpmzos25m8ivg.cloudfront.net/Documentos/631/79688950220/6317968895022007092023210503.pdf</v>
      </c>
      <c r="F7983" s="5" t="str">
        <f>HYPERLINK("https://dpmzos25m8ivg.cloudfront.net/Documentos/631/79688950220/6317968895022007092023210526.pdf","https://dpmzos25m8ivg.cloudfront.net/Documentos/631/79688950220/6317968895022007092023210526.pdf")</f>
        <v>https://dpmzos25m8ivg.cloudfront.net/Documentos/631/79688950220/6317968895022007092023210526.pdf</v>
      </c>
      <c r="G7983" s="5" t="str">
        <f>HYPERLINK("https://dpmzos25m8ivg.cloudfront.net/Documentos/631/79688950220/6317968895022007092023222734.pdf","https://dpmzos25m8ivg.cloudfront.net/Documentos/631/79688950220/6317968895022007092023222734.pdf")</f>
        <v>https://dpmzos25m8ivg.cloudfront.net/Documentos/631/79688950220/6317968895022007092023222734.pdf</v>
      </c>
      <c r="H7983" s="5" t="s">
        <v>16551</v>
      </c>
    </row>
    <row r="7984" spans="1:8" x14ac:dyDescent="0.25">
      <c r="A7984" s="2" t="s">
        <v>8012</v>
      </c>
      <c r="B7984" s="3"/>
      <c r="C7984" s="3"/>
      <c r="D7984" s="3"/>
      <c r="E7984" s="5" t="str">
        <f>HYPERLINK("https://dpmzos25m8ivg.cloudfront.net/Documentos/631/79700268420/6317970026842011092023104209.pdf","https://dpmzos25m8ivg.cloudfront.net/Documentos/631/79700268420/6317970026842011092023104209.pdf")</f>
        <v>https://dpmzos25m8ivg.cloudfront.net/Documentos/631/79700268420/6317970026842011092023104209.pdf</v>
      </c>
      <c r="F7984" s="5" t="str">
        <f>HYPERLINK("https://dpmzos25m8ivg.cloudfront.net/Documentos/631/79700268420/6317970026842011092023104222.pdf","https://dpmzos25m8ivg.cloudfront.net/Documentos/631/79700268420/6317970026842011092023104222.pdf")</f>
        <v>https://dpmzos25m8ivg.cloudfront.net/Documentos/631/79700268420/6317970026842011092023104222.pdf</v>
      </c>
      <c r="G7984" s="5" t="str">
        <f>HYPERLINK("https://dpmzos25m8ivg.cloudfront.net/Documentos/631/79700268420/6317970026842011092023104231.pdf","https://dpmzos25m8ivg.cloudfront.net/Documentos/631/79700268420/6317970026842011092023104231.pdf")</f>
        <v>https://dpmzos25m8ivg.cloudfront.net/Documentos/631/79700268420/6317970026842011092023104231.pdf</v>
      </c>
      <c r="H7984" s="5" t="s">
        <v>16552</v>
      </c>
    </row>
    <row r="7985" spans="1:8" x14ac:dyDescent="0.25">
      <c r="A7985" s="2" t="s">
        <v>8013</v>
      </c>
      <c r="B7985" s="3" t="s">
        <v>23</v>
      </c>
      <c r="C7985" s="3"/>
      <c r="D7985" s="3"/>
      <c r="E7985" s="5" t="str">
        <f>HYPERLINK("https://dpmzos25m8ivg.cloudfront.net/Documentos/631/79706967672/6317970696767211092023141732.pdf","https://dpmzos25m8ivg.cloudfront.net/Documentos/631/79706967672/6317970696767211092023141732.pdf")</f>
        <v>https://dpmzos25m8ivg.cloudfront.net/Documentos/631/79706967672/6317970696767211092023141732.pdf</v>
      </c>
      <c r="F7985" s="5" t="str">
        <f>HYPERLINK("https://dpmzos25m8ivg.cloudfront.net/Documentos/631/79706967672/6317970696767211092023142538.pdf","https://dpmzos25m8ivg.cloudfront.net/Documentos/631/79706967672/6317970696767211092023142538.pdf")</f>
        <v>https://dpmzos25m8ivg.cloudfront.net/Documentos/631/79706967672/6317970696767211092023142538.pdf</v>
      </c>
      <c r="G7985" s="5" t="str">
        <f>HYPERLINK("https://dpmzos25m8ivg.cloudfront.net/Documentos/631/79706967672/6317970696767211092023142636.pdf","https://dpmzos25m8ivg.cloudfront.net/Documentos/631/79706967672/6317970696767211092023142636.pdf")</f>
        <v>https://dpmzos25m8ivg.cloudfront.net/Documentos/631/79706967672/6317970696767211092023142636.pdf</v>
      </c>
      <c r="H7985" s="5" t="s">
        <v>16553</v>
      </c>
    </row>
    <row r="7986" spans="1:8" x14ac:dyDescent="0.25">
      <c r="A7986" s="2" t="s">
        <v>8014</v>
      </c>
      <c r="B7986" s="3"/>
      <c r="C7986" s="3"/>
      <c r="D7986" s="3"/>
      <c r="E7986" s="5" t="str">
        <f>HYPERLINK("https://dpmzos25m8ivg.cloudfront.net/Documentos/631/79708765368/6317970876536810092023222757.pdf","https://dpmzos25m8ivg.cloudfront.net/Documentos/631/79708765368/6317970876536810092023222757.pdf")</f>
        <v>https://dpmzos25m8ivg.cloudfront.net/Documentos/631/79708765368/6317970876536810092023222757.pdf</v>
      </c>
      <c r="F7986" s="5" t="str">
        <f>HYPERLINK("https://dpmzos25m8ivg.cloudfront.net/Documentos/631/79708765368/6317970876536810092023222815.pdf","https://dpmzos25m8ivg.cloudfront.net/Documentos/631/79708765368/6317970876536810092023222815.pdf")</f>
        <v>https://dpmzos25m8ivg.cloudfront.net/Documentos/631/79708765368/6317970876536810092023222815.pdf</v>
      </c>
      <c r="G7986" s="5" t="str">
        <f>HYPERLINK("https://dpmzos25m8ivg.cloudfront.net/Documentos/631/79708765368/6317970876536810092023222832.pdf","https://dpmzos25m8ivg.cloudfront.net/Documentos/631/79708765368/6317970876536810092023222832.pdf")</f>
        <v>https://dpmzos25m8ivg.cloudfront.net/Documentos/631/79708765368/6317970876536810092023222832.pdf</v>
      </c>
      <c r="H7986" s="5" t="s">
        <v>16554</v>
      </c>
    </row>
    <row r="7987" spans="1:8" x14ac:dyDescent="0.25">
      <c r="A7987" s="2" t="s">
        <v>8015</v>
      </c>
      <c r="B7987" s="3" t="s">
        <v>23</v>
      </c>
      <c r="C7987" s="3"/>
      <c r="D7987" s="3"/>
      <c r="E7987" s="5" t="str">
        <f>HYPERLINK("https://dpmzos25m8ivg.cloudfront.net/Documentos/631/79750745515/6317975074551505092023202502.pdf","https://dpmzos25m8ivg.cloudfront.net/Documentos/631/79750745515/6317975074551505092023202502.pdf")</f>
        <v>https://dpmzos25m8ivg.cloudfront.net/Documentos/631/79750745515/6317975074551505092023202502.pdf</v>
      </c>
      <c r="F7987" s="5" t="str">
        <f>HYPERLINK("https://dpmzos25m8ivg.cloudfront.net/Documentos/631/79750745515/6317975074551505092023202323.pdf","https://dpmzos25m8ivg.cloudfront.net/Documentos/631/79750745515/6317975074551505092023202323.pdf")</f>
        <v>https://dpmzos25m8ivg.cloudfront.net/Documentos/631/79750745515/6317975074551505092023202323.pdf</v>
      </c>
      <c r="G7987" s="5" t="str">
        <f>HYPERLINK("https://dpmzos25m8ivg.cloudfront.net/Documentos/631/79750745515/6317975074551505092023202056.pdf","https://dpmzos25m8ivg.cloudfront.net/Documentos/631/79750745515/6317975074551505092023202056.pdf")</f>
        <v>https://dpmzos25m8ivg.cloudfront.net/Documentos/631/79750745515/6317975074551505092023202056.pdf</v>
      </c>
      <c r="H7987" s="5" t="s">
        <v>16555</v>
      </c>
    </row>
    <row r="7988" spans="1:8" x14ac:dyDescent="0.25">
      <c r="A7988" s="2" t="s">
        <v>8016</v>
      </c>
      <c r="B7988" s="3"/>
      <c r="C7988" s="3"/>
      <c r="D7988" s="3"/>
      <c r="E7988" s="5" t="str">
        <f>HYPERLINK("https://dpmzos25m8ivg.cloudfront.net/Documentos/631/79771866249/6317977186624904092023204008.pdf","https://dpmzos25m8ivg.cloudfront.net/Documentos/631/79771866249/6317977186624904092023204008.pdf")</f>
        <v>https://dpmzos25m8ivg.cloudfront.net/Documentos/631/79771866249/6317977186624904092023204008.pdf</v>
      </c>
      <c r="F7988" s="5" t="str">
        <f>HYPERLINK("https://dpmzos25m8ivg.cloudfront.net/Documentos/631/79771866249/6317977186624904092023204053.pdf","https://dpmzos25m8ivg.cloudfront.net/Documentos/631/79771866249/6317977186624904092023204053.pdf")</f>
        <v>https://dpmzos25m8ivg.cloudfront.net/Documentos/631/79771866249/6317977186624904092023204053.pdf</v>
      </c>
      <c r="G7988" s="5" t="str">
        <f>HYPERLINK("https://dpmzos25m8ivg.cloudfront.net/Documentos/631/79771866249/6317977186624904092023204104.pdf","https://dpmzos25m8ivg.cloudfront.net/Documentos/631/79771866249/6317977186624904092023204104.pdf")</f>
        <v>https://dpmzos25m8ivg.cloudfront.net/Documentos/631/79771866249/6317977186624904092023204104.pdf</v>
      </c>
      <c r="H7988" s="5" t="s">
        <v>16556</v>
      </c>
    </row>
    <row r="7989" spans="1:8" x14ac:dyDescent="0.25">
      <c r="A7989" s="2" t="s">
        <v>8017</v>
      </c>
      <c r="B7989" s="3" t="s">
        <v>90</v>
      </c>
      <c r="C7989" s="3"/>
      <c r="D7989" s="3"/>
      <c r="E7989" s="5" t="str">
        <f>HYPERLINK("https://dpmzos25m8ivg.cloudfront.net/Documentos/631/79888348515/6317988834851510092023162101.pdf","https://dpmzos25m8ivg.cloudfront.net/Documentos/631/79888348515/6317988834851510092023162101.pdf")</f>
        <v>https://dpmzos25m8ivg.cloudfront.net/Documentos/631/79888348515/6317988834851510092023162101.pdf</v>
      </c>
      <c r="F7989" s="5" t="str">
        <f>HYPERLINK("https://dpmzos25m8ivg.cloudfront.net/Documentos/631/79888348515/6317988834851510092023162135.pdf","https://dpmzos25m8ivg.cloudfront.net/Documentos/631/79888348515/6317988834851510092023162135.pdf")</f>
        <v>https://dpmzos25m8ivg.cloudfront.net/Documentos/631/79888348515/6317988834851510092023162135.pdf</v>
      </c>
      <c r="G7989" s="5" t="str">
        <f>HYPERLINK("https://dpmzos25m8ivg.cloudfront.net/Documentos/631/79888348515/6317988834851510092023162213.pdf","https://dpmzos25m8ivg.cloudfront.net/Documentos/631/79888348515/6317988834851510092023162213.pdf")</f>
        <v>https://dpmzos25m8ivg.cloudfront.net/Documentos/631/79888348515/6317988834851510092023162213.pdf</v>
      </c>
      <c r="H7989" s="5" t="s">
        <v>16557</v>
      </c>
    </row>
    <row r="7990" spans="1:8" x14ac:dyDescent="0.25">
      <c r="A7990" s="2" t="s">
        <v>8018</v>
      </c>
      <c r="B7990" s="3"/>
      <c r="C7990" s="3"/>
      <c r="D7990" s="3"/>
      <c r="E7990" s="5" t="str">
        <f>HYPERLINK("https://dpmzos25m8ivg.cloudfront.net/Documentos/631/80009285903/6318000928590307092023110720.pdf","https://dpmzos25m8ivg.cloudfront.net/Documentos/631/80009285903/6318000928590307092023110720.pdf")</f>
        <v>https://dpmzos25m8ivg.cloudfront.net/Documentos/631/80009285903/6318000928590307092023110720.pdf</v>
      </c>
      <c r="F7990" s="5" t="str">
        <f>HYPERLINK("https://dpmzos25m8ivg.cloudfront.net/Documentos/631/80009285903/6318000928590307092023110747.pdf","https://dpmzos25m8ivg.cloudfront.net/Documentos/631/80009285903/6318000928590307092023110747.pdf")</f>
        <v>https://dpmzos25m8ivg.cloudfront.net/Documentos/631/80009285903/6318000928590307092023110747.pdf</v>
      </c>
      <c r="G7990" s="5" t="str">
        <f>HYPERLINK("https://dpmzos25m8ivg.cloudfront.net/Documentos/631/80009285903/6318000928590307092023110758.pdf","https://dpmzos25m8ivg.cloudfront.net/Documentos/631/80009285903/6318000928590307092023110758.pdf")</f>
        <v>https://dpmzos25m8ivg.cloudfront.net/Documentos/631/80009285903/6318000928590307092023110758.pdf</v>
      </c>
      <c r="H7990" s="5" t="s">
        <v>16558</v>
      </c>
    </row>
    <row r="7991" spans="1:8" x14ac:dyDescent="0.25">
      <c r="A7991" s="2" t="s">
        <v>8019</v>
      </c>
      <c r="B7991" s="3"/>
      <c r="C7991" s="3"/>
      <c r="D7991" s="3"/>
      <c r="E7991" s="5" t="str">
        <f>HYPERLINK("https://dpmzos25m8ivg.cloudfront.net/Documentos/631/80041604504/6318004160450414092023150004.pdf","https://dpmzos25m8ivg.cloudfront.net/Documentos/631/80041604504/6318004160450414092023150004.pdf")</f>
        <v>https://dpmzos25m8ivg.cloudfront.net/Documentos/631/80041604504/6318004160450414092023150004.pdf</v>
      </c>
      <c r="F7991" s="5" t="str">
        <f>HYPERLINK("https://dpmzos25m8ivg.cloudfront.net/Documentos/631/80041604504/6318004160450414092023150022.pdf","https://dpmzos25m8ivg.cloudfront.net/Documentos/631/80041604504/6318004160450414092023150022.pdf")</f>
        <v>https://dpmzos25m8ivg.cloudfront.net/Documentos/631/80041604504/6318004160450414092023150022.pdf</v>
      </c>
      <c r="G7991" s="5" t="str">
        <f>HYPERLINK("https://dpmzos25m8ivg.cloudfront.net/Documentos/631/80041604504/6318004160450414092023150039.pdf","https://dpmzos25m8ivg.cloudfront.net/Documentos/631/80041604504/6318004160450414092023150039.pdf")</f>
        <v>https://dpmzos25m8ivg.cloudfront.net/Documentos/631/80041604504/6318004160450414092023150039.pdf</v>
      </c>
      <c r="H7991" s="5" t="s">
        <v>16559</v>
      </c>
    </row>
    <row r="7992" spans="1:8" x14ac:dyDescent="0.25">
      <c r="A7992" s="2" t="s">
        <v>8020</v>
      </c>
      <c r="B7992" s="3"/>
      <c r="C7992" s="3"/>
      <c r="D7992" s="3"/>
      <c r="E7992" s="5" t="str">
        <f>HYPERLINK("https://dpmzos25m8ivg.cloudfront.net/Documentos/631/80084427515/6318008442751507092023111511.jpg","https://dpmzos25m8ivg.cloudfront.net/Documentos/631/80084427515/6318008442751507092023111511.jpg")</f>
        <v>https://dpmzos25m8ivg.cloudfront.net/Documentos/631/80084427515/6318008442751507092023111511.jpg</v>
      </c>
      <c r="F7992" s="5" t="str">
        <f>HYPERLINK("https://dpmzos25m8ivg.cloudfront.net/Documentos/631/80084427515/6318008442751507092023111537.jpg","https://dpmzos25m8ivg.cloudfront.net/Documentos/631/80084427515/6318008442751507092023111537.jpg")</f>
        <v>https://dpmzos25m8ivg.cloudfront.net/Documentos/631/80084427515/6318008442751507092023111537.jpg</v>
      </c>
      <c r="G7992" s="5" t="str">
        <f>HYPERLINK("https://dpmzos25m8ivg.cloudfront.net/Documentos/631/80084427515/6318008442751507092023111620.jpg","https://dpmzos25m8ivg.cloudfront.net/Documentos/631/80084427515/6318008442751507092023111620.jpg")</f>
        <v>https://dpmzos25m8ivg.cloudfront.net/Documentos/631/80084427515/6318008442751507092023111620.jpg</v>
      </c>
      <c r="H7992" s="5" t="s">
        <v>16560</v>
      </c>
    </row>
    <row r="7993" spans="1:8" x14ac:dyDescent="0.25">
      <c r="A7993" s="2" t="s">
        <v>8021</v>
      </c>
      <c r="B7993" s="3"/>
      <c r="C7993" s="3"/>
      <c r="D7993" s="3"/>
      <c r="E7993" s="5" t="str">
        <f>HYPERLINK("https://dpmzos25m8ivg.cloudfront.net/Documentos/631/80173250530/6318017325053009092023170409.jpg","https://dpmzos25m8ivg.cloudfront.net/Documentos/631/80173250530/6318017325053009092023170409.jpg")</f>
        <v>https://dpmzos25m8ivg.cloudfront.net/Documentos/631/80173250530/6318017325053009092023170409.jpg</v>
      </c>
      <c r="F7993" s="5" t="str">
        <f>HYPERLINK("https://dpmzos25m8ivg.cloudfront.net/Documentos/631/80173250530/6318017325053009092023170302.jpg","https://dpmzos25m8ivg.cloudfront.net/Documentos/631/80173250530/6318017325053009092023170302.jpg")</f>
        <v>https://dpmzos25m8ivg.cloudfront.net/Documentos/631/80173250530/6318017325053009092023170302.jpg</v>
      </c>
      <c r="G7993" s="5" t="str">
        <f>HYPERLINK("https://dpmzos25m8ivg.cloudfront.net/Documentos/631/80173250530/6318017325053009092023170158.jpg","https://dpmzos25m8ivg.cloudfront.net/Documentos/631/80173250530/6318017325053009092023170158.jpg")</f>
        <v>https://dpmzos25m8ivg.cloudfront.net/Documentos/631/80173250530/6318017325053009092023170158.jpg</v>
      </c>
      <c r="H7993" s="5" t="s">
        <v>16561</v>
      </c>
    </row>
    <row r="7994" spans="1:8" x14ac:dyDescent="0.25">
      <c r="A7994" s="2" t="s">
        <v>8022</v>
      </c>
      <c r="B7994" s="3"/>
      <c r="C7994" s="3"/>
      <c r="D7994" s="3"/>
      <c r="E7994" s="5" t="str">
        <f>HYPERLINK("https://dpmzos25m8ivg.cloudfront.net/Documentos/631/80184979587/6318018497958705092023093441.pdf","https://dpmzos25m8ivg.cloudfront.net/Documentos/631/80184979587/6318018497958705092023093441.pdf")</f>
        <v>https://dpmzos25m8ivg.cloudfront.net/Documentos/631/80184979587/6318018497958705092023093441.pdf</v>
      </c>
      <c r="F7994" s="5" t="str">
        <f>HYPERLINK("https://dpmzos25m8ivg.cloudfront.net/Documentos/631/80184979587/6318018497958705092023093508.pdf","https://dpmzos25m8ivg.cloudfront.net/Documentos/631/80184979587/6318018497958705092023093508.pdf")</f>
        <v>https://dpmzos25m8ivg.cloudfront.net/Documentos/631/80184979587/6318018497958705092023093508.pdf</v>
      </c>
      <c r="G7994" s="5" t="str">
        <f>HYPERLINK("https://dpmzos25m8ivg.cloudfront.net/Documentos/631/80184979587/6318018497958705092023093524.pdf","https://dpmzos25m8ivg.cloudfront.net/Documentos/631/80184979587/6318018497958705092023093524.pdf")</f>
        <v>https://dpmzos25m8ivg.cloudfront.net/Documentos/631/80184979587/6318018497958705092023093524.pdf</v>
      </c>
      <c r="H7994" s="5" t="s">
        <v>16562</v>
      </c>
    </row>
    <row r="7995" spans="1:8" x14ac:dyDescent="0.25">
      <c r="A7995" s="2" t="s">
        <v>8023</v>
      </c>
      <c r="B7995" s="3"/>
      <c r="C7995" s="3"/>
      <c r="D7995" s="3"/>
      <c r="E7995" s="5" t="str">
        <f>HYPERLINK("https://dpmzos25m8ivg.cloudfront.net/Documentos/631/80187145504/6318018714550408092023131507.jpg","https://dpmzos25m8ivg.cloudfront.net/Documentos/631/80187145504/6318018714550408092023131507.jpg")</f>
        <v>https://dpmzos25m8ivg.cloudfront.net/Documentos/631/80187145504/6318018714550408092023131507.jpg</v>
      </c>
      <c r="F7995" s="5" t="str">
        <f>HYPERLINK("https://dpmzos25m8ivg.cloudfront.net/Documentos/631/80187145504/6318018714550408092023131524.jpg","https://dpmzos25m8ivg.cloudfront.net/Documentos/631/80187145504/6318018714550408092023131524.jpg")</f>
        <v>https://dpmzos25m8ivg.cloudfront.net/Documentos/631/80187145504/6318018714550408092023131524.jpg</v>
      </c>
      <c r="G7995" s="5" t="str">
        <f>HYPERLINK("https://dpmzos25m8ivg.cloudfront.net/Documentos/631/80187145504/6318018714550408092023131540.jpg","https://dpmzos25m8ivg.cloudfront.net/Documentos/631/80187145504/6318018714550408092023131540.jpg")</f>
        <v>https://dpmzos25m8ivg.cloudfront.net/Documentos/631/80187145504/6318018714550408092023131540.jpg</v>
      </c>
      <c r="H7995" s="5" t="s">
        <v>16563</v>
      </c>
    </row>
    <row r="7996" spans="1:8" x14ac:dyDescent="0.25">
      <c r="A7996" s="2" t="s">
        <v>8024</v>
      </c>
      <c r="B7996" s="3"/>
      <c r="C7996" s="3"/>
      <c r="D7996" s="3"/>
      <c r="E7996" s="5" t="str">
        <f>HYPERLINK("https://dpmzos25m8ivg.cloudfront.net/Documentos/631/80192246291/6318019224629108092023233544.jpeg","https://dpmzos25m8ivg.cloudfront.net/Documentos/631/80192246291/6318019224629108092023233544.jpeg")</f>
        <v>https://dpmzos25m8ivg.cloudfront.net/Documentos/631/80192246291/6318019224629108092023233544.jpeg</v>
      </c>
      <c r="F7996" s="5" t="str">
        <f>HYPERLINK("https://dpmzos25m8ivg.cloudfront.net/Documentos/631/80192246291/6318019224629108092023233623.jpeg","https://dpmzos25m8ivg.cloudfront.net/Documentos/631/80192246291/6318019224629108092023233623.jpeg")</f>
        <v>https://dpmzos25m8ivg.cloudfront.net/Documentos/631/80192246291/6318019224629108092023233623.jpeg</v>
      </c>
      <c r="G7996" s="5" t="str">
        <f>HYPERLINK("https://dpmzos25m8ivg.cloudfront.net/Documentos/631/80192246291/6318019224629108092023233649.jpeg","https://dpmzos25m8ivg.cloudfront.net/Documentos/631/80192246291/6318019224629108092023233649.jpeg")</f>
        <v>https://dpmzos25m8ivg.cloudfront.net/Documentos/631/80192246291/6318019224629108092023233649.jpeg</v>
      </c>
      <c r="H7996" s="5" t="s">
        <v>16564</v>
      </c>
    </row>
    <row r="7997" spans="1:8" x14ac:dyDescent="0.25">
      <c r="A7997" s="2" t="s">
        <v>8025</v>
      </c>
      <c r="B7997" s="3" t="s">
        <v>23</v>
      </c>
      <c r="C7997" s="3"/>
      <c r="D7997" s="3"/>
      <c r="E7997" s="5" t="str">
        <f>HYPERLINK("https://dpmzos25m8ivg.cloudfront.net/Documentos/631/80216420687/6318021642068711092023115022.pdf","https://dpmzos25m8ivg.cloudfront.net/Documentos/631/80216420687/6318021642068711092023115022.pdf")</f>
        <v>https://dpmzos25m8ivg.cloudfront.net/Documentos/631/80216420687/6318021642068711092023115022.pdf</v>
      </c>
      <c r="F7997" s="5" t="str">
        <f>HYPERLINK("https://dpmzos25m8ivg.cloudfront.net/Documentos/631/80216420687/6318021642068711092023115206.pdf","https://dpmzos25m8ivg.cloudfront.net/Documentos/631/80216420687/6318021642068711092023115206.pdf")</f>
        <v>https://dpmzos25m8ivg.cloudfront.net/Documentos/631/80216420687/6318021642068711092023115206.pdf</v>
      </c>
      <c r="G7997" s="5" t="str">
        <f>HYPERLINK("https://dpmzos25m8ivg.cloudfront.net/Documentos/631/80216420687/6318021642068711092023134135.pdf","https://dpmzos25m8ivg.cloudfront.net/Documentos/631/80216420687/6318021642068711092023134135.pdf")</f>
        <v>https://dpmzos25m8ivg.cloudfront.net/Documentos/631/80216420687/6318021642068711092023134135.pdf</v>
      </c>
      <c r="H7997" s="5" t="s">
        <v>16565</v>
      </c>
    </row>
    <row r="7998" spans="1:8" x14ac:dyDescent="0.25">
      <c r="A7998" s="2" t="s">
        <v>8026</v>
      </c>
      <c r="B7998" s="3"/>
      <c r="C7998" s="3"/>
      <c r="D7998" s="3"/>
      <c r="E7998" s="5" t="str">
        <f>HYPERLINK("https://dpmzos25m8ivg.cloudfront.net/Documentos/631/80303544449/6318030354444913092023194645.pdf","https://dpmzos25m8ivg.cloudfront.net/Documentos/631/80303544449/6318030354444913092023194645.pdf")</f>
        <v>https://dpmzos25m8ivg.cloudfront.net/Documentos/631/80303544449/6318030354444913092023194645.pdf</v>
      </c>
      <c r="F7998" s="5" t="str">
        <f>HYPERLINK("https://dpmzos25m8ivg.cloudfront.net/Documentos/631/80303544449/6318030354444913092023194701.pdf","https://dpmzos25m8ivg.cloudfront.net/Documentos/631/80303544449/6318030354444913092023194701.pdf")</f>
        <v>https://dpmzos25m8ivg.cloudfront.net/Documentos/631/80303544449/6318030354444913092023194701.pdf</v>
      </c>
      <c r="G7998" s="5" t="str">
        <f>HYPERLINK("https://dpmzos25m8ivg.cloudfront.net/Documentos/631/80303544449/6318030354444913092023194712.pdf","https://dpmzos25m8ivg.cloudfront.net/Documentos/631/80303544449/6318030354444913092023194712.pdf")</f>
        <v>https://dpmzos25m8ivg.cloudfront.net/Documentos/631/80303544449/6318030354444913092023194712.pdf</v>
      </c>
      <c r="H7998" s="5" t="s">
        <v>16566</v>
      </c>
    </row>
    <row r="7999" spans="1:8" x14ac:dyDescent="0.25">
      <c r="A7999" s="2" t="s">
        <v>8027</v>
      </c>
      <c r="B7999" s="3" t="s">
        <v>23</v>
      </c>
      <c r="C7999" s="3"/>
      <c r="D7999" s="3"/>
      <c r="E7999" s="5" t="str">
        <f>HYPERLINK("https://dpmzos25m8ivg.cloudfront.net/Documentos/631/80341110663/6318034111066311092023095654.jpg","https://dpmzos25m8ivg.cloudfront.net/Documentos/631/80341110663/6318034111066311092023095654.jpg")</f>
        <v>https://dpmzos25m8ivg.cloudfront.net/Documentos/631/80341110663/6318034111066311092023095654.jpg</v>
      </c>
      <c r="F7999" s="5" t="str">
        <f>HYPERLINK("https://dpmzos25m8ivg.cloudfront.net/Documentos/631/80341110663/6318034111066311092023102235.pdf","https://dpmzos25m8ivg.cloudfront.net/Documentos/631/80341110663/6318034111066311092023102235.pdf")</f>
        <v>https://dpmzos25m8ivg.cloudfront.net/Documentos/631/80341110663/6318034111066311092023102235.pdf</v>
      </c>
      <c r="G7999" s="5" t="str">
        <f>HYPERLINK("https://dpmzos25m8ivg.cloudfront.net/Documentos/631/80341110663/6318034111066311092023123034.pdf","https://dpmzos25m8ivg.cloudfront.net/Documentos/631/80341110663/6318034111066311092023123034.pdf")</f>
        <v>https://dpmzos25m8ivg.cloudfront.net/Documentos/631/80341110663/6318034111066311092023123034.pdf</v>
      </c>
      <c r="H7999" s="5" t="s">
        <v>16567</v>
      </c>
    </row>
    <row r="8000" spans="1:8" x14ac:dyDescent="0.25">
      <c r="A8000" s="2" t="s">
        <v>8028</v>
      </c>
      <c r="B8000" s="3" t="s">
        <v>90</v>
      </c>
      <c r="C8000" s="3"/>
      <c r="D8000" s="3"/>
      <c r="E8000" s="5" t="str">
        <f>HYPERLINK("https://dpmzos25m8ivg.cloudfront.net/Documentos/631/80348947534/6318034894753406092023101711.pdf","https://dpmzos25m8ivg.cloudfront.net/Documentos/631/80348947534/6318034894753406092023101711.pdf")</f>
        <v>https://dpmzos25m8ivg.cloudfront.net/Documentos/631/80348947534/6318034894753406092023101711.pdf</v>
      </c>
      <c r="F8000" s="5" t="str">
        <f>HYPERLINK("https://dpmzos25m8ivg.cloudfront.net/Documentos/631/80348947534/6318034894753406092023101754.pdf","https://dpmzos25m8ivg.cloudfront.net/Documentos/631/80348947534/6318034894753406092023101754.pdf")</f>
        <v>https://dpmzos25m8ivg.cloudfront.net/Documentos/631/80348947534/6318034894753406092023101754.pdf</v>
      </c>
      <c r="G8000" s="5" t="str">
        <f>HYPERLINK("https://dpmzos25m8ivg.cloudfront.net/Documentos/631/80348947534/6318034894753406092023101810.pdf","https://dpmzos25m8ivg.cloudfront.net/Documentos/631/80348947534/6318034894753406092023101810.pdf")</f>
        <v>https://dpmzos25m8ivg.cloudfront.net/Documentos/631/80348947534/6318034894753406092023101810.pdf</v>
      </c>
      <c r="H8000" s="5" t="s">
        <v>16568</v>
      </c>
    </row>
    <row r="8001" spans="1:8" x14ac:dyDescent="0.25">
      <c r="A8001" s="2" t="s">
        <v>8029</v>
      </c>
      <c r="B8001" s="3"/>
      <c r="C8001" s="3"/>
      <c r="D8001" s="3"/>
      <c r="E8001" s="5" t="str">
        <f>HYPERLINK("https://dpmzos25m8ivg.cloudfront.net/Documentos/631/80356745287/6318035674528708092023103932.pdf","https://dpmzos25m8ivg.cloudfront.net/Documentos/631/80356745287/6318035674528708092023103932.pdf")</f>
        <v>https://dpmzos25m8ivg.cloudfront.net/Documentos/631/80356745287/6318035674528708092023103932.pdf</v>
      </c>
      <c r="F8001" s="5" t="str">
        <f>HYPERLINK("https://dpmzos25m8ivg.cloudfront.net/Documentos/631/80356745287/6318035674528708092023103944.pdf","https://dpmzos25m8ivg.cloudfront.net/Documentos/631/80356745287/6318035674528708092023103944.pdf")</f>
        <v>https://dpmzos25m8ivg.cloudfront.net/Documentos/631/80356745287/6318035674528708092023103944.pdf</v>
      </c>
      <c r="G8001" s="5" t="str">
        <f>HYPERLINK("https://dpmzos25m8ivg.cloudfront.net/Documentos/631/80356745287/6318035674528708092023104019.pdf","https://dpmzos25m8ivg.cloudfront.net/Documentos/631/80356745287/6318035674528708092023104019.pdf")</f>
        <v>https://dpmzos25m8ivg.cloudfront.net/Documentos/631/80356745287/6318035674528708092023104019.pdf</v>
      </c>
      <c r="H8001" s="5" t="s">
        <v>16569</v>
      </c>
    </row>
    <row r="8002" spans="1:8" x14ac:dyDescent="0.25">
      <c r="A8002" s="2" t="s">
        <v>8030</v>
      </c>
      <c r="B8002" s="3"/>
      <c r="C8002" s="3"/>
      <c r="D8002" s="3"/>
      <c r="E8002" s="5" t="str">
        <f>HYPERLINK("https://dpmzos25m8ivg.cloudfront.net/Documentos/631/80357881249/6318035788124907092023130457.jpeg","https://dpmzos25m8ivg.cloudfront.net/Documentos/631/80357881249/6318035788124907092023130457.jpeg")</f>
        <v>https://dpmzos25m8ivg.cloudfront.net/Documentos/631/80357881249/6318035788124907092023130457.jpeg</v>
      </c>
      <c r="F8002" s="5" t="str">
        <f>HYPERLINK("https://dpmzos25m8ivg.cloudfront.net/Documentos/631/80357881249/6318035788124907092023130549.jpeg","https://dpmzos25m8ivg.cloudfront.net/Documentos/631/80357881249/6318035788124907092023130549.jpeg")</f>
        <v>https://dpmzos25m8ivg.cloudfront.net/Documentos/631/80357881249/6318035788124907092023130549.jpeg</v>
      </c>
      <c r="G8002" s="5" t="str">
        <f>HYPERLINK("https://dpmzos25m8ivg.cloudfront.net/Documentos/631/80357881249/6318035788124907092023130614.jpeg","https://dpmzos25m8ivg.cloudfront.net/Documentos/631/80357881249/6318035788124907092023130614.jpeg")</f>
        <v>https://dpmzos25m8ivg.cloudfront.net/Documentos/631/80357881249/6318035788124907092023130614.jpeg</v>
      </c>
      <c r="H8002" s="5" t="s">
        <v>16570</v>
      </c>
    </row>
    <row r="8003" spans="1:8" x14ac:dyDescent="0.25">
      <c r="A8003" s="2" t="s">
        <v>8031</v>
      </c>
      <c r="B8003" s="3"/>
      <c r="C8003" s="3"/>
      <c r="D8003" s="3"/>
      <c r="E8003" s="5" t="str">
        <f>HYPERLINK("https://dpmzos25m8ivg.cloudfront.net/Documentos/631/80380530520/6318038053052005092023185753.pdf","https://dpmzos25m8ivg.cloudfront.net/Documentos/631/80380530520/6318038053052005092023185753.pdf")</f>
        <v>https://dpmzos25m8ivg.cloudfront.net/Documentos/631/80380530520/6318038053052005092023185753.pdf</v>
      </c>
      <c r="F8003" s="5" t="str">
        <f>HYPERLINK("https://dpmzos25m8ivg.cloudfront.net/Documentos/631/80380530520/6318038053052005092023185820.pdf","https://dpmzos25m8ivg.cloudfront.net/Documentos/631/80380530520/6318038053052005092023185820.pdf")</f>
        <v>https://dpmzos25m8ivg.cloudfront.net/Documentos/631/80380530520/6318038053052005092023185820.pdf</v>
      </c>
      <c r="G8003" s="5" t="str">
        <f>HYPERLINK("https://dpmzos25m8ivg.cloudfront.net/Documentos/631/80380530520/6318038053052005092023185851.pdf","https://dpmzos25m8ivg.cloudfront.net/Documentos/631/80380530520/6318038053052005092023185851.pdf")</f>
        <v>https://dpmzos25m8ivg.cloudfront.net/Documentos/631/80380530520/6318038053052005092023185851.pdf</v>
      </c>
      <c r="H8003" s="5" t="s">
        <v>16571</v>
      </c>
    </row>
    <row r="8004" spans="1:8" x14ac:dyDescent="0.25">
      <c r="A8004" s="2" t="s">
        <v>8032</v>
      </c>
      <c r="B8004" s="3"/>
      <c r="C8004" s="3"/>
      <c r="D8004" s="3"/>
      <c r="E8004" s="5" t="str">
        <f>HYPERLINK("https://dpmzos25m8ivg.cloudfront.net/Documentos/631/80393772500/6318039377250011092023163113.pdf","https://dpmzos25m8ivg.cloudfront.net/Documentos/631/80393772500/6318039377250011092023163113.pdf")</f>
        <v>https://dpmzos25m8ivg.cloudfront.net/Documentos/631/80393772500/6318039377250011092023163113.pdf</v>
      </c>
      <c r="F8004" s="5" t="str">
        <f>HYPERLINK("https://dpmzos25m8ivg.cloudfront.net/Documentos/631/80393772500/6318039377250011092023163143.pdf","https://dpmzos25m8ivg.cloudfront.net/Documentos/631/80393772500/6318039377250011092023163143.pdf")</f>
        <v>https://dpmzos25m8ivg.cloudfront.net/Documentos/631/80393772500/6318039377250011092023163143.pdf</v>
      </c>
      <c r="G8004" s="5" t="str">
        <f>HYPERLINK("https://dpmzos25m8ivg.cloudfront.net/Documentos/631/80393772500/6318039377250011092023163211.pdf","https://dpmzos25m8ivg.cloudfront.net/Documentos/631/80393772500/6318039377250011092023163211.pdf")</f>
        <v>https://dpmzos25m8ivg.cloudfront.net/Documentos/631/80393772500/6318039377250011092023163211.pdf</v>
      </c>
      <c r="H8004" s="5" t="s">
        <v>16572</v>
      </c>
    </row>
    <row r="8005" spans="1:8" x14ac:dyDescent="0.25">
      <c r="A8005" s="2" t="s">
        <v>8033</v>
      </c>
      <c r="B8005" s="3"/>
      <c r="C8005" s="3"/>
      <c r="D8005" s="3"/>
      <c r="E8005" s="5" t="str">
        <f>HYPERLINK("https://dpmzos25m8ivg.cloudfront.net/Documentos/631/80432506934/6318043250693411092023135732.pdf","https://dpmzos25m8ivg.cloudfront.net/Documentos/631/80432506934/6318043250693411092023135732.pdf")</f>
        <v>https://dpmzos25m8ivg.cloudfront.net/Documentos/631/80432506934/6318043250693411092023135732.pdf</v>
      </c>
      <c r="F8005" s="5" t="str">
        <f>HYPERLINK("https://dpmzos25m8ivg.cloudfront.net/Documentos/631/80432506934/6318043250693411092023135744.pdf","https://dpmzos25m8ivg.cloudfront.net/Documentos/631/80432506934/6318043250693411092023135744.pdf")</f>
        <v>https://dpmzos25m8ivg.cloudfront.net/Documentos/631/80432506934/6318043250693411092023135744.pdf</v>
      </c>
      <c r="G8005" s="5" t="str">
        <f>HYPERLINK("https://dpmzos25m8ivg.cloudfront.net/Documentos/631/80432506934/6318043250693411092023135758.pdf","https://dpmzos25m8ivg.cloudfront.net/Documentos/631/80432506934/6318043250693411092023135758.pdf")</f>
        <v>https://dpmzos25m8ivg.cloudfront.net/Documentos/631/80432506934/6318043250693411092023135758.pdf</v>
      </c>
      <c r="H8005" s="5" t="s">
        <v>16573</v>
      </c>
    </row>
    <row r="8006" spans="1:8" x14ac:dyDescent="0.25">
      <c r="A8006" s="2" t="s">
        <v>8034</v>
      </c>
      <c r="B8006" s="3"/>
      <c r="C8006" s="3"/>
      <c r="D8006" s="3"/>
      <c r="E8006" s="5" t="str">
        <f>HYPERLINK("https://dpmzos25m8ivg.cloudfront.net/Documentos/631/80442072104/6318044207210408092023222733.pdf","https://dpmzos25m8ivg.cloudfront.net/Documentos/631/80442072104/6318044207210408092023222733.pdf")</f>
        <v>https://dpmzos25m8ivg.cloudfront.net/Documentos/631/80442072104/6318044207210408092023222733.pdf</v>
      </c>
      <c r="F8006" s="5" t="str">
        <f>HYPERLINK("https://dpmzos25m8ivg.cloudfront.net/Documentos/631/80442072104/6318044207210408092023222928.pdf","https://dpmzos25m8ivg.cloudfront.net/Documentos/631/80442072104/6318044207210408092023222928.pdf")</f>
        <v>https://dpmzos25m8ivg.cloudfront.net/Documentos/631/80442072104/6318044207210408092023222928.pdf</v>
      </c>
      <c r="G8006" s="5" t="str">
        <f>HYPERLINK("https://dpmzos25m8ivg.cloudfront.net/Documentos/631/80442072104/6318044207210408092023222939.pdf","https://dpmzos25m8ivg.cloudfront.net/Documentos/631/80442072104/6318044207210408092023222939.pdf")</f>
        <v>https://dpmzos25m8ivg.cloudfront.net/Documentos/631/80442072104/6318044207210408092023222939.pdf</v>
      </c>
      <c r="H8006" s="5" t="s">
        <v>16574</v>
      </c>
    </row>
    <row r="8007" spans="1:8" x14ac:dyDescent="0.25">
      <c r="A8007" s="2" t="s">
        <v>8035</v>
      </c>
      <c r="B8007" s="3"/>
      <c r="C8007" s="3"/>
      <c r="D8007" s="3"/>
      <c r="E8007" s="5" t="str">
        <f>HYPERLINK("https://dpmzos25m8ivg.cloudfront.net/Documentos/631/80461387549/6318046138754910092023142750.jpg","https://dpmzos25m8ivg.cloudfront.net/Documentos/631/80461387549/6318046138754910092023142750.jpg")</f>
        <v>https://dpmzos25m8ivg.cloudfront.net/Documentos/631/80461387549/6318046138754910092023142750.jpg</v>
      </c>
      <c r="F8007" s="5" t="str">
        <f>HYPERLINK("https://dpmzos25m8ivg.cloudfront.net/Documentos/631/80461387549/6318046138754910092023142809.jpg","https://dpmzos25m8ivg.cloudfront.net/Documentos/631/80461387549/6318046138754910092023142809.jpg")</f>
        <v>https://dpmzos25m8ivg.cloudfront.net/Documentos/631/80461387549/6318046138754910092023142809.jpg</v>
      </c>
      <c r="G8007" s="5" t="str">
        <f>HYPERLINK("https://dpmzos25m8ivg.cloudfront.net/Documentos/631/80461387549/6318046138754910092023142845.jpg","https://dpmzos25m8ivg.cloudfront.net/Documentos/631/80461387549/6318046138754910092023142845.jpg")</f>
        <v>https://dpmzos25m8ivg.cloudfront.net/Documentos/631/80461387549/6318046138754910092023142845.jpg</v>
      </c>
      <c r="H8007" s="5" t="s">
        <v>16575</v>
      </c>
    </row>
    <row r="8008" spans="1:8" x14ac:dyDescent="0.25">
      <c r="A8008" s="2" t="s">
        <v>8036</v>
      </c>
      <c r="B8008" s="3"/>
      <c r="C8008" s="3"/>
      <c r="D8008" s="3"/>
      <c r="E8008" s="5" t="str">
        <f>HYPERLINK("https://dpmzos25m8ivg.cloudfront.net/Documentos/631/80489842534/6318048984253408092023102701.pdf","https://dpmzos25m8ivg.cloudfront.net/Documentos/631/80489842534/6318048984253408092023102701.pdf")</f>
        <v>https://dpmzos25m8ivg.cloudfront.net/Documentos/631/80489842534/6318048984253408092023102701.pdf</v>
      </c>
      <c r="F8008" s="5" t="str">
        <f>HYPERLINK("https://dpmzos25m8ivg.cloudfront.net/Documentos/631/80489842534/6318048984253408092023102711.pdf","https://dpmzos25m8ivg.cloudfront.net/Documentos/631/80489842534/6318048984253408092023102711.pdf")</f>
        <v>https://dpmzos25m8ivg.cloudfront.net/Documentos/631/80489842534/6318048984253408092023102711.pdf</v>
      </c>
      <c r="G8008" s="5" t="str">
        <f>HYPERLINK("https://dpmzos25m8ivg.cloudfront.net/Documentos/631/80489842534/6318048984253408092023102721.pdf","https://dpmzos25m8ivg.cloudfront.net/Documentos/631/80489842534/6318048984253408092023102721.pdf")</f>
        <v>https://dpmzos25m8ivg.cloudfront.net/Documentos/631/80489842534/6318048984253408092023102721.pdf</v>
      </c>
      <c r="H8008" s="5" t="s">
        <v>16576</v>
      </c>
    </row>
    <row r="8009" spans="1:8" x14ac:dyDescent="0.25">
      <c r="A8009" s="2" t="s">
        <v>8037</v>
      </c>
      <c r="B8009" s="3"/>
      <c r="C8009" s="3"/>
      <c r="D8009" s="3"/>
      <c r="E8009" s="5" t="str">
        <f>HYPERLINK("https://dpmzos25m8ivg.cloudfront.net/Documentos/631/80506135268/6318050613526808092023122558.jpg","https://dpmzos25m8ivg.cloudfront.net/Documentos/631/80506135268/6318050613526808092023122558.jpg")</f>
        <v>https://dpmzos25m8ivg.cloudfront.net/Documentos/631/80506135268/6318050613526808092023122558.jpg</v>
      </c>
      <c r="F8009" s="5" t="str">
        <f>HYPERLINK("https://dpmzos25m8ivg.cloudfront.net/Documentos/631/80506135268/6318050613526808092023122617.jpg","https://dpmzos25m8ivg.cloudfront.net/Documentos/631/80506135268/6318050613526808092023122617.jpg")</f>
        <v>https://dpmzos25m8ivg.cloudfront.net/Documentos/631/80506135268/6318050613526808092023122617.jpg</v>
      </c>
      <c r="G8009" s="5" t="str">
        <f>HYPERLINK("https://dpmzos25m8ivg.cloudfront.net/Documentos/631/80506135268/6318050613526808092023122641.jpg","https://dpmzos25m8ivg.cloudfront.net/Documentos/631/80506135268/6318050613526808092023122641.jpg")</f>
        <v>https://dpmzos25m8ivg.cloudfront.net/Documentos/631/80506135268/6318050613526808092023122641.jpg</v>
      </c>
      <c r="H8009" s="5" t="s">
        <v>16577</v>
      </c>
    </row>
    <row r="8010" spans="1:8" x14ac:dyDescent="0.25">
      <c r="A8010" s="2" t="s">
        <v>8038</v>
      </c>
      <c r="B8010" s="3"/>
      <c r="C8010" s="3"/>
      <c r="D8010" s="3"/>
      <c r="E8010" s="5" t="str">
        <f>HYPERLINK("https://dpmzos25m8ivg.cloudfront.net/Documentos/631/80547443153/6318054744315305092023124028.pdf","https://dpmzos25m8ivg.cloudfront.net/Documentos/631/80547443153/6318054744315305092023124028.pdf")</f>
        <v>https://dpmzos25m8ivg.cloudfront.net/Documentos/631/80547443153/6318054744315305092023124028.pdf</v>
      </c>
      <c r="F8010" s="5" t="str">
        <f>HYPERLINK("https://dpmzos25m8ivg.cloudfront.net/Documentos/631/80547443153/6318054744315305092023124047.pdf","https://dpmzos25m8ivg.cloudfront.net/Documentos/631/80547443153/6318054744315305092023124047.pdf")</f>
        <v>https://dpmzos25m8ivg.cloudfront.net/Documentos/631/80547443153/6318054744315305092023124047.pdf</v>
      </c>
      <c r="G8010" s="5" t="str">
        <f>HYPERLINK("https://dpmzos25m8ivg.cloudfront.net/Documentos/631/80547443153/6318054744315305092023124112.pdf","https://dpmzos25m8ivg.cloudfront.net/Documentos/631/80547443153/6318054744315305092023124112.pdf")</f>
        <v>https://dpmzos25m8ivg.cloudfront.net/Documentos/631/80547443153/6318054744315305092023124112.pdf</v>
      </c>
      <c r="H8010" s="5" t="s">
        <v>16578</v>
      </c>
    </row>
    <row r="8011" spans="1:8" x14ac:dyDescent="0.25">
      <c r="A8011" s="2" t="s">
        <v>8039</v>
      </c>
      <c r="B8011" s="3"/>
      <c r="C8011" s="3"/>
      <c r="D8011" s="3"/>
      <c r="E8011" s="5" t="str">
        <f>HYPERLINK("https://dpmzos25m8ivg.cloudfront.net/Documentos/631/80551475153/6318055147515305092023151804.pdf","https://dpmzos25m8ivg.cloudfront.net/Documentos/631/80551475153/6318055147515305092023151804.pdf")</f>
        <v>https://dpmzos25m8ivg.cloudfront.net/Documentos/631/80551475153/6318055147515305092023151804.pdf</v>
      </c>
      <c r="F8011" s="5" t="str">
        <f>HYPERLINK("https://dpmzos25m8ivg.cloudfront.net/Documentos/631/80551475153/6318055147515305092023151819.pdf","https://dpmzos25m8ivg.cloudfront.net/Documentos/631/80551475153/6318055147515305092023151819.pdf")</f>
        <v>https://dpmzos25m8ivg.cloudfront.net/Documentos/631/80551475153/6318055147515305092023151819.pdf</v>
      </c>
      <c r="G8011" s="5" t="str">
        <f>HYPERLINK("https://dpmzos25m8ivg.cloudfront.net/Documentos/631/80551475153/6318055147515305092023151835.pdf","https://dpmzos25m8ivg.cloudfront.net/Documentos/631/80551475153/6318055147515305092023151835.pdf")</f>
        <v>https://dpmzos25m8ivg.cloudfront.net/Documentos/631/80551475153/6318055147515305092023151835.pdf</v>
      </c>
      <c r="H8011" s="5" t="s">
        <v>16579</v>
      </c>
    </row>
    <row r="8012" spans="1:8" x14ac:dyDescent="0.25">
      <c r="A8012" s="2" t="s">
        <v>8040</v>
      </c>
      <c r="B8012" s="3"/>
      <c r="C8012" s="3"/>
      <c r="D8012" s="3"/>
      <c r="E8012" s="5" t="str">
        <f>HYPERLINK("https://dpmzos25m8ivg.cloudfront.net/Documentos/631/80561462534/6318056146253405092023110211.pdf","https://dpmzos25m8ivg.cloudfront.net/Documentos/631/80561462534/6318056146253405092023110211.pdf")</f>
        <v>https://dpmzos25m8ivg.cloudfront.net/Documentos/631/80561462534/6318056146253405092023110211.pdf</v>
      </c>
      <c r="F8012" s="5" t="str">
        <f>HYPERLINK("https://dpmzos25m8ivg.cloudfront.net/Documentos/631/80561462534/6318056146253405092023110222.pdf","https://dpmzos25m8ivg.cloudfront.net/Documentos/631/80561462534/6318056146253405092023110222.pdf")</f>
        <v>https://dpmzos25m8ivg.cloudfront.net/Documentos/631/80561462534/6318056146253405092023110222.pdf</v>
      </c>
      <c r="G8012" s="5" t="str">
        <f>HYPERLINK("https://dpmzos25m8ivg.cloudfront.net/Documentos/631/80561462534/6318056146253405092023112140.pdf","https://dpmzos25m8ivg.cloudfront.net/Documentos/631/80561462534/6318056146253405092023112140.pdf")</f>
        <v>https://dpmzos25m8ivg.cloudfront.net/Documentos/631/80561462534/6318056146253405092023112140.pdf</v>
      </c>
      <c r="H8012" s="5" t="s">
        <v>16580</v>
      </c>
    </row>
    <row r="8013" spans="1:8" x14ac:dyDescent="0.25">
      <c r="A8013" s="2" t="s">
        <v>8041</v>
      </c>
      <c r="B8013" s="3"/>
      <c r="C8013" s="3"/>
      <c r="D8013" s="3"/>
      <c r="E8013" s="5" t="str">
        <f>HYPERLINK("https://dpmzos25m8ivg.cloudfront.net/Documentos/631/80571948200/6318057194820005092023162416.pdf","https://dpmzos25m8ivg.cloudfront.net/Documentos/631/80571948200/6318057194820005092023162416.pdf")</f>
        <v>https://dpmzos25m8ivg.cloudfront.net/Documentos/631/80571948200/6318057194820005092023162416.pdf</v>
      </c>
      <c r="F8013" s="5" t="str">
        <f>HYPERLINK("https://dpmzos25m8ivg.cloudfront.net/Documentos/631/80571948200/6318057194820005092023162447.pdf","https://dpmzos25m8ivg.cloudfront.net/Documentos/631/80571948200/6318057194820005092023162447.pdf")</f>
        <v>https://dpmzos25m8ivg.cloudfront.net/Documentos/631/80571948200/6318057194820005092023162447.pdf</v>
      </c>
      <c r="G8013" s="5" t="str">
        <f>HYPERLINK("https://dpmzos25m8ivg.cloudfront.net/Documentos/631/80571948200/6318057194820005092023162504.pdf","https://dpmzos25m8ivg.cloudfront.net/Documentos/631/80571948200/6318057194820005092023162504.pdf")</f>
        <v>https://dpmzos25m8ivg.cloudfront.net/Documentos/631/80571948200/6318057194820005092023162504.pdf</v>
      </c>
      <c r="H8013" s="5" t="s">
        <v>16581</v>
      </c>
    </row>
    <row r="8014" spans="1:8" x14ac:dyDescent="0.25">
      <c r="A8014" s="2" t="s">
        <v>8042</v>
      </c>
      <c r="B8014" s="3" t="s">
        <v>90</v>
      </c>
      <c r="C8014" s="3"/>
      <c r="D8014" s="3"/>
      <c r="E8014" s="5" t="str">
        <f>HYPERLINK("https://dpmzos25m8ivg.cloudfront.net/Documentos/631/80593348087/6318059334808710092023132201.pdf","https://dpmzos25m8ivg.cloudfront.net/Documentos/631/80593348087/6318059334808710092023132201.pdf")</f>
        <v>https://dpmzos25m8ivg.cloudfront.net/Documentos/631/80593348087/6318059334808710092023132201.pdf</v>
      </c>
      <c r="F8014" s="5" t="str">
        <f>HYPERLINK("https://dpmzos25m8ivg.cloudfront.net/Documentos/631/80593348087/6318059334808710092023145006.pdf","https://dpmzos25m8ivg.cloudfront.net/Documentos/631/80593348087/6318059334808710092023145006.pdf")</f>
        <v>https://dpmzos25m8ivg.cloudfront.net/Documentos/631/80593348087/6318059334808710092023145006.pdf</v>
      </c>
      <c r="G8014" s="5" t="str">
        <f>HYPERLINK("https://dpmzos25m8ivg.cloudfront.net/Documentos/631/80593348087/6318059334808710092023145017.pdf","https://dpmzos25m8ivg.cloudfront.net/Documentos/631/80593348087/6318059334808710092023145017.pdf")</f>
        <v>https://dpmzos25m8ivg.cloudfront.net/Documentos/631/80593348087/6318059334808710092023145017.pdf</v>
      </c>
      <c r="H8014" s="5" t="s">
        <v>16582</v>
      </c>
    </row>
    <row r="8015" spans="1:8" x14ac:dyDescent="0.25">
      <c r="A8015" s="2" t="s">
        <v>8043</v>
      </c>
      <c r="B8015" s="3" t="s">
        <v>23</v>
      </c>
      <c r="C8015" s="3"/>
      <c r="D8015" s="3"/>
      <c r="E8015" s="5" t="str">
        <f>HYPERLINK("https://dpmzos25m8ivg.cloudfront.net/Documentos/631/80601677587/6318060167758710092023173709.jpg","https://dpmzos25m8ivg.cloudfront.net/Documentos/631/80601677587/6318060167758710092023173709.jpg")</f>
        <v>https://dpmzos25m8ivg.cloudfront.net/Documentos/631/80601677587/6318060167758710092023173709.jpg</v>
      </c>
      <c r="F8015" s="5" t="str">
        <f>HYPERLINK("https://dpmzos25m8ivg.cloudfront.net/Documentos/631/80601677587/6318060167758710092023173724.jpg","https://dpmzos25m8ivg.cloudfront.net/Documentos/631/80601677587/6318060167758710092023173724.jpg")</f>
        <v>https://dpmzos25m8ivg.cloudfront.net/Documentos/631/80601677587/6318060167758710092023173724.jpg</v>
      </c>
      <c r="G8015" s="5" t="str">
        <f>HYPERLINK("https://dpmzos25m8ivg.cloudfront.net/Documentos/631/80601677587/6318060167758710092023173741.jpg","https://dpmzos25m8ivg.cloudfront.net/Documentos/631/80601677587/6318060167758710092023173741.jpg")</f>
        <v>https://dpmzos25m8ivg.cloudfront.net/Documentos/631/80601677587/6318060167758710092023173741.jpg</v>
      </c>
      <c r="H8015" s="5" t="s">
        <v>16583</v>
      </c>
    </row>
    <row r="8016" spans="1:8" x14ac:dyDescent="0.25">
      <c r="A8016" s="2" t="s">
        <v>8044</v>
      </c>
      <c r="B8016" s="3"/>
      <c r="C8016" s="3"/>
      <c r="D8016" s="3"/>
      <c r="E8016" s="5" t="str">
        <f>HYPERLINK("https://dpmzos25m8ivg.cloudfront.net/Documentos/631/80643531572/6318064353157211092023152420.pdf","https://dpmzos25m8ivg.cloudfront.net/Documentos/631/80643531572/6318064353157211092023152420.pdf")</f>
        <v>https://dpmzos25m8ivg.cloudfront.net/Documentos/631/80643531572/6318064353157211092023152420.pdf</v>
      </c>
      <c r="F8016" s="5" t="str">
        <f>HYPERLINK("https://dpmzos25m8ivg.cloudfront.net/Documentos/631/80643531572/6318064353157211092023152442.pdf","https://dpmzos25m8ivg.cloudfront.net/Documentos/631/80643531572/6318064353157211092023152442.pdf")</f>
        <v>https://dpmzos25m8ivg.cloudfront.net/Documentos/631/80643531572/6318064353157211092023152442.pdf</v>
      </c>
      <c r="G8016" s="5" t="str">
        <f>HYPERLINK("https://dpmzos25m8ivg.cloudfront.net/Documentos/631/80643531572/6318064353157211092023152508.pdf","https://dpmzos25m8ivg.cloudfront.net/Documentos/631/80643531572/6318064353157211092023152508.pdf")</f>
        <v>https://dpmzos25m8ivg.cloudfront.net/Documentos/631/80643531572/6318064353157211092023152508.pdf</v>
      </c>
      <c r="H8016" s="5" t="s">
        <v>16584</v>
      </c>
    </row>
    <row r="8017" spans="1:8" x14ac:dyDescent="0.25">
      <c r="A8017" s="2" t="s">
        <v>8045</v>
      </c>
      <c r="B8017" s="3"/>
      <c r="C8017" s="3"/>
      <c r="D8017" s="3"/>
      <c r="E8017" s="5" t="str">
        <f>HYPERLINK("https://dpmzos25m8ivg.cloudfront.net/Documentos/631/80682189553/6318068218955311092023131150.pdf","https://dpmzos25m8ivg.cloudfront.net/Documentos/631/80682189553/6318068218955311092023131150.pdf")</f>
        <v>https://dpmzos25m8ivg.cloudfront.net/Documentos/631/80682189553/6318068218955311092023131150.pdf</v>
      </c>
      <c r="F8017" s="5" t="str">
        <f>HYPERLINK("https://dpmzos25m8ivg.cloudfront.net/Documentos/631/80682189553/6318068218955311092023131207.pdf","https://dpmzos25m8ivg.cloudfront.net/Documentos/631/80682189553/6318068218955311092023131207.pdf")</f>
        <v>https://dpmzos25m8ivg.cloudfront.net/Documentos/631/80682189553/6318068218955311092023131207.pdf</v>
      </c>
      <c r="G8017" s="5" t="str">
        <f>HYPERLINK("https://dpmzos25m8ivg.cloudfront.net/Documentos/631/80682189553/6318068218955311092023131232.pdf","https://dpmzos25m8ivg.cloudfront.net/Documentos/631/80682189553/6318068218955311092023131232.pdf")</f>
        <v>https://dpmzos25m8ivg.cloudfront.net/Documentos/631/80682189553/6318068218955311092023131232.pdf</v>
      </c>
      <c r="H8017" s="5" t="s">
        <v>16585</v>
      </c>
    </row>
    <row r="8018" spans="1:8" x14ac:dyDescent="0.25">
      <c r="A8018" s="2" t="s">
        <v>8046</v>
      </c>
      <c r="B8018" s="3"/>
      <c r="C8018" s="3"/>
      <c r="D8018" s="3"/>
      <c r="E8018" s="5" t="str">
        <f>HYPERLINK("https://dpmzos25m8ivg.cloudfront.net/Documentos/631/80690491034/6318069049103410092023204347.pdf","https://dpmzos25m8ivg.cloudfront.net/Documentos/631/80690491034/6318069049103410092023204347.pdf")</f>
        <v>https://dpmzos25m8ivg.cloudfront.net/Documentos/631/80690491034/6318069049103410092023204347.pdf</v>
      </c>
      <c r="F8018" s="5" t="str">
        <f>HYPERLINK("https://dpmzos25m8ivg.cloudfront.net/Documentos/631/80690491034/6318069049103410092023204402.pdf","https://dpmzos25m8ivg.cloudfront.net/Documentos/631/80690491034/6318069049103410092023204402.pdf")</f>
        <v>https://dpmzos25m8ivg.cloudfront.net/Documentos/631/80690491034/6318069049103410092023204402.pdf</v>
      </c>
      <c r="G8018" s="5" t="str">
        <f>HYPERLINK("https://dpmzos25m8ivg.cloudfront.net/Documentos/631/80690491034/6318069049103410092023204417.pdf","https://dpmzos25m8ivg.cloudfront.net/Documentos/631/80690491034/6318069049103410092023204417.pdf")</f>
        <v>https://dpmzos25m8ivg.cloudfront.net/Documentos/631/80690491034/6318069049103410092023204417.pdf</v>
      </c>
      <c r="H8018" s="5" t="s">
        <v>16586</v>
      </c>
    </row>
    <row r="8019" spans="1:8" x14ac:dyDescent="0.25">
      <c r="A8019" s="2" t="s">
        <v>8047</v>
      </c>
      <c r="B8019" s="3"/>
      <c r="C8019" s="3"/>
      <c r="D8019" s="3"/>
      <c r="E8019" s="5" t="str">
        <f>HYPERLINK("https://dpmzos25m8ivg.cloudfront.net/Documentos/631/80713572515/6318071357251511092023150351.jpg","https://dpmzos25m8ivg.cloudfront.net/Documentos/631/80713572515/6318071357251511092023150351.jpg")</f>
        <v>https://dpmzos25m8ivg.cloudfront.net/Documentos/631/80713572515/6318071357251511092023150351.jpg</v>
      </c>
      <c r="F8019" s="5" t="str">
        <f>HYPERLINK("https://dpmzos25m8ivg.cloudfront.net/Documentos/631/80713572515/6318071357251511092023150422.jpg","https://dpmzos25m8ivg.cloudfront.net/Documentos/631/80713572515/6318071357251511092023150422.jpg")</f>
        <v>https://dpmzos25m8ivg.cloudfront.net/Documentos/631/80713572515/6318071357251511092023150422.jpg</v>
      </c>
      <c r="G8019" s="5" t="str">
        <f>HYPERLINK("https://dpmzos25m8ivg.cloudfront.net/Documentos/631/80713572515/6318071357251511092023150442.jpg","https://dpmzos25m8ivg.cloudfront.net/Documentos/631/80713572515/6318071357251511092023150442.jpg")</f>
        <v>https://dpmzos25m8ivg.cloudfront.net/Documentos/631/80713572515/6318071357251511092023150442.jpg</v>
      </c>
      <c r="H8019" s="5" t="s">
        <v>16587</v>
      </c>
    </row>
    <row r="8020" spans="1:8" x14ac:dyDescent="0.25">
      <c r="A8020" s="2" t="s">
        <v>8048</v>
      </c>
      <c r="B8020" s="3"/>
      <c r="C8020" s="3"/>
      <c r="D8020" s="3"/>
      <c r="E8020" s="5" t="str">
        <f>HYPERLINK("https://dpmzos25m8ivg.cloudfront.net/Documentos/631/80726038504/6318072603850408092023235750.jpeg","https://dpmzos25m8ivg.cloudfront.net/Documentos/631/80726038504/6318072603850408092023235750.jpeg")</f>
        <v>https://dpmzos25m8ivg.cloudfront.net/Documentos/631/80726038504/6318072603850408092023235750.jpeg</v>
      </c>
      <c r="F8020" s="5" t="str">
        <f>HYPERLINK("https://dpmzos25m8ivg.cloudfront.net/Documentos/631/80726038504/6318072603850408092023235835.jpeg","https://dpmzos25m8ivg.cloudfront.net/Documentos/631/80726038504/6318072603850408092023235835.jpeg")</f>
        <v>https://dpmzos25m8ivg.cloudfront.net/Documentos/631/80726038504/6318072603850408092023235835.jpeg</v>
      </c>
      <c r="G8020" s="5" t="str">
        <f>HYPERLINK("https://dpmzos25m8ivg.cloudfront.net/Documentos/631/80726038504/6318072603850408092023235859.jpeg","https://dpmzos25m8ivg.cloudfront.net/Documentos/631/80726038504/6318072603850408092023235859.jpeg")</f>
        <v>https://dpmzos25m8ivg.cloudfront.net/Documentos/631/80726038504/6318072603850408092023235859.jpeg</v>
      </c>
      <c r="H8020" s="5" t="s">
        <v>16588</v>
      </c>
    </row>
    <row r="8021" spans="1:8" x14ac:dyDescent="0.25">
      <c r="A8021" s="2" t="s">
        <v>8049</v>
      </c>
      <c r="B8021" s="3" t="s">
        <v>90</v>
      </c>
      <c r="C8021" s="3"/>
      <c r="D8021" s="3"/>
      <c r="E8021" s="5" t="str">
        <f>HYPERLINK("https://dpmzos25m8ivg.cloudfront.net/Documentos/631/80743811534/6318074381153410092023230355.pdf","https://dpmzos25m8ivg.cloudfront.net/Documentos/631/80743811534/6318074381153410092023230355.pdf")</f>
        <v>https://dpmzos25m8ivg.cloudfront.net/Documentos/631/80743811534/6318074381153410092023230355.pdf</v>
      </c>
      <c r="F8021" s="5" t="str">
        <f>HYPERLINK("https://dpmzos25m8ivg.cloudfront.net/Documentos/631/80743811534/6318074381153411092023100545.pdf","https://dpmzos25m8ivg.cloudfront.net/Documentos/631/80743811534/6318074381153411092023100545.pdf")</f>
        <v>https://dpmzos25m8ivg.cloudfront.net/Documentos/631/80743811534/6318074381153411092023100545.pdf</v>
      </c>
      <c r="G8021" s="5" t="str">
        <f>HYPERLINK("https://dpmzos25m8ivg.cloudfront.net/Documentos/631/80743811534/6318074381153411092023100610.pdf","https://dpmzos25m8ivg.cloudfront.net/Documentos/631/80743811534/6318074381153411092023100610.pdf")</f>
        <v>https://dpmzos25m8ivg.cloudfront.net/Documentos/631/80743811534/6318074381153411092023100610.pdf</v>
      </c>
      <c r="H8021" s="5" t="s">
        <v>16589</v>
      </c>
    </row>
    <row r="8022" spans="1:8" x14ac:dyDescent="0.25">
      <c r="A8022" s="2" t="s">
        <v>8050</v>
      </c>
      <c r="B8022" s="3"/>
      <c r="C8022" s="3"/>
      <c r="D8022" s="3"/>
      <c r="E8022" s="5" t="str">
        <f>HYPERLINK("https://dpmzos25m8ivg.cloudfront.net/Documentos/631/80782833500/6318078283350006092023143021.jpg","https://dpmzos25m8ivg.cloudfront.net/Documentos/631/80782833500/6318078283350006092023143021.jpg")</f>
        <v>https://dpmzos25m8ivg.cloudfront.net/Documentos/631/80782833500/6318078283350006092023143021.jpg</v>
      </c>
      <c r="F8022" s="5" t="str">
        <f>HYPERLINK("https://dpmzos25m8ivg.cloudfront.net/Documentos/631/80782833500/6318078283350006092023143051.jpg","https://dpmzos25m8ivg.cloudfront.net/Documentos/631/80782833500/6318078283350006092023143051.jpg")</f>
        <v>https://dpmzos25m8ivg.cloudfront.net/Documentos/631/80782833500/6318078283350006092023143051.jpg</v>
      </c>
      <c r="G8022" s="5" t="str">
        <f>HYPERLINK("https://dpmzos25m8ivg.cloudfront.net/Documentos/631/80782833500/6318078283350006092023143114.jpg","https://dpmzos25m8ivg.cloudfront.net/Documentos/631/80782833500/6318078283350006092023143114.jpg")</f>
        <v>https://dpmzos25m8ivg.cloudfront.net/Documentos/631/80782833500/6318078283350006092023143114.jpg</v>
      </c>
      <c r="H8022" s="5" t="s">
        <v>16590</v>
      </c>
    </row>
    <row r="8023" spans="1:8" x14ac:dyDescent="0.25">
      <c r="A8023" s="2" t="s">
        <v>8051</v>
      </c>
      <c r="B8023" s="3" t="s">
        <v>23</v>
      </c>
      <c r="C8023" s="3"/>
      <c r="D8023" s="3"/>
      <c r="E8023" s="5" t="str">
        <f>HYPERLINK("https://dpmzos25m8ivg.cloudfront.net/Documentos/631/80809200368/6318080920036811092023164809.pdf","https://dpmzos25m8ivg.cloudfront.net/Documentos/631/80809200368/6318080920036811092023164809.pdf")</f>
        <v>https://dpmzos25m8ivg.cloudfront.net/Documentos/631/80809200368/6318080920036811092023164809.pdf</v>
      </c>
      <c r="F8023" s="5" t="str">
        <f>HYPERLINK("https://dpmzos25m8ivg.cloudfront.net/Documentos/631/80809200368/6318080920036811092023164850.pdf","https://dpmzos25m8ivg.cloudfront.net/Documentos/631/80809200368/6318080920036811092023164850.pdf")</f>
        <v>https://dpmzos25m8ivg.cloudfront.net/Documentos/631/80809200368/6318080920036811092023164850.pdf</v>
      </c>
      <c r="G8023" s="5" t="str">
        <f>HYPERLINK("https://dpmzos25m8ivg.cloudfront.net/Documentos/631/80809200368/6318080920036811092023164930.pdf","https://dpmzos25m8ivg.cloudfront.net/Documentos/631/80809200368/6318080920036811092023164930.pdf")</f>
        <v>https://dpmzos25m8ivg.cloudfront.net/Documentos/631/80809200368/6318080920036811092023164930.pdf</v>
      </c>
      <c r="H8023" s="5" t="s">
        <v>16591</v>
      </c>
    </row>
    <row r="8024" spans="1:8" x14ac:dyDescent="0.25">
      <c r="A8024" s="2" t="s">
        <v>8052</v>
      </c>
      <c r="B8024" s="3"/>
      <c r="C8024" s="3"/>
      <c r="D8024" s="3"/>
      <c r="E8024" s="5" t="str">
        <f>HYPERLINK("https://dpmzos25m8ivg.cloudfront.net/Documentos/631/80823831515/6318082383151508092023202737.jpg","https://dpmzos25m8ivg.cloudfront.net/Documentos/631/80823831515/6318082383151508092023202737.jpg")</f>
        <v>https://dpmzos25m8ivg.cloudfront.net/Documentos/631/80823831515/6318082383151508092023202737.jpg</v>
      </c>
      <c r="F8024" s="5" t="str">
        <f>HYPERLINK("https://dpmzos25m8ivg.cloudfront.net/Documentos/631/80823831515/6318082383151508092023202826.jpg","https://dpmzos25m8ivg.cloudfront.net/Documentos/631/80823831515/6318082383151508092023202826.jpg")</f>
        <v>https://dpmzos25m8ivg.cloudfront.net/Documentos/631/80823831515/6318082383151508092023202826.jpg</v>
      </c>
      <c r="G8024" s="5" t="str">
        <f>HYPERLINK("https://dpmzos25m8ivg.cloudfront.net/Documentos/631/80823831515/6318082383151508092023202838.jpg","https://dpmzos25m8ivg.cloudfront.net/Documentos/631/80823831515/6318082383151508092023202838.jpg")</f>
        <v>https://dpmzos25m8ivg.cloudfront.net/Documentos/631/80823831515/6318082383151508092023202838.jpg</v>
      </c>
      <c r="H8024" s="5" t="s">
        <v>16592</v>
      </c>
    </row>
    <row r="8025" spans="1:8" x14ac:dyDescent="0.25">
      <c r="A8025" s="2" t="s">
        <v>8053</v>
      </c>
      <c r="B8025" s="3"/>
      <c r="C8025" s="3"/>
      <c r="D8025" s="3"/>
      <c r="E8025" s="5" t="str">
        <f>HYPERLINK("https://dpmzos25m8ivg.cloudfront.net/Documentos/631/80874320291/6318087432029110092023235951.jpg","https://dpmzos25m8ivg.cloudfront.net/Documentos/631/80874320291/6318087432029110092023235951.jpg")</f>
        <v>https://dpmzos25m8ivg.cloudfront.net/Documentos/631/80874320291/6318087432029110092023235951.jpg</v>
      </c>
      <c r="F8025" s="5" t="str">
        <f>HYPERLINK("https://dpmzos25m8ivg.cloudfront.net/Documentos/631/80874320291/6318087432029111092023000223.jpg","https://dpmzos25m8ivg.cloudfront.net/Documentos/631/80874320291/6318087432029111092023000223.jpg")</f>
        <v>https://dpmzos25m8ivg.cloudfront.net/Documentos/631/80874320291/6318087432029111092023000223.jpg</v>
      </c>
      <c r="G8025" s="5" t="str">
        <f>HYPERLINK("https://dpmzos25m8ivg.cloudfront.net/Documentos/631/80874320291/6318087432029111092023000304.jpg","https://dpmzos25m8ivg.cloudfront.net/Documentos/631/80874320291/6318087432029111092023000304.jpg")</f>
        <v>https://dpmzos25m8ivg.cloudfront.net/Documentos/631/80874320291/6318087432029111092023000304.jpg</v>
      </c>
      <c r="H8025" s="5" t="s">
        <v>16593</v>
      </c>
    </row>
    <row r="8026" spans="1:8" x14ac:dyDescent="0.25">
      <c r="A8026" s="2" t="s">
        <v>8054</v>
      </c>
      <c r="B8026" s="3"/>
      <c r="C8026" s="3"/>
      <c r="D8026" s="3"/>
      <c r="E8026" s="5" t="str">
        <f>HYPERLINK("https://dpmzos25m8ivg.cloudfront.net/Documentos/631/80935362215/6318093536221505092023113907.pdf","https://dpmzos25m8ivg.cloudfront.net/Documentos/631/80935362215/6318093536221505092023113907.pdf")</f>
        <v>https://dpmzos25m8ivg.cloudfront.net/Documentos/631/80935362215/6318093536221505092023113907.pdf</v>
      </c>
      <c r="F8026" s="5" t="str">
        <f>HYPERLINK("https://dpmzos25m8ivg.cloudfront.net/Documentos/631/80935362215/6318093536221505092023113922.pdf","https://dpmzos25m8ivg.cloudfront.net/Documentos/631/80935362215/6318093536221505092023113922.pdf")</f>
        <v>https://dpmzos25m8ivg.cloudfront.net/Documentos/631/80935362215/6318093536221505092023113922.pdf</v>
      </c>
      <c r="G8026" s="5" t="str">
        <f>HYPERLINK("https://dpmzos25m8ivg.cloudfront.net/Documentos/631/80935362215/6318093536221505092023113942.pdf","https://dpmzos25m8ivg.cloudfront.net/Documentos/631/80935362215/6318093536221505092023113942.pdf")</f>
        <v>https://dpmzos25m8ivg.cloudfront.net/Documentos/631/80935362215/6318093536221505092023113942.pdf</v>
      </c>
      <c r="H8026" s="5" t="s">
        <v>16594</v>
      </c>
    </row>
    <row r="8027" spans="1:8" x14ac:dyDescent="0.25">
      <c r="A8027" s="2" t="s">
        <v>8055</v>
      </c>
      <c r="B8027" s="3"/>
      <c r="C8027" s="3"/>
      <c r="D8027" s="3"/>
      <c r="E8027" s="5" t="str">
        <f>HYPERLINK("https://dpmzos25m8ivg.cloudfront.net/Documentos/631/80991262549/6318099126254911092023105122.jpg","https://dpmzos25m8ivg.cloudfront.net/Documentos/631/80991262549/6318099126254911092023105122.jpg")</f>
        <v>https://dpmzos25m8ivg.cloudfront.net/Documentos/631/80991262549/6318099126254911092023105122.jpg</v>
      </c>
      <c r="F8027" s="5" t="str">
        <f>HYPERLINK("https://dpmzos25m8ivg.cloudfront.net/Documentos/631/80991262549/6318099126254911092023105110.jpg","https://dpmzos25m8ivg.cloudfront.net/Documentos/631/80991262549/6318099126254911092023105110.jpg")</f>
        <v>https://dpmzos25m8ivg.cloudfront.net/Documentos/631/80991262549/6318099126254911092023105110.jpg</v>
      </c>
      <c r="G8027" s="5" t="str">
        <f>HYPERLINK("https://dpmzos25m8ivg.cloudfront.net/Documentos/631/80991262549/6318099126254911092023105026.jpg","https://dpmzos25m8ivg.cloudfront.net/Documentos/631/80991262549/6318099126254911092023105026.jpg")</f>
        <v>https://dpmzos25m8ivg.cloudfront.net/Documentos/631/80991262549/6318099126254911092023105026.jpg</v>
      </c>
      <c r="H8027" s="5" t="s">
        <v>16595</v>
      </c>
    </row>
    <row r="8028" spans="1:8" x14ac:dyDescent="0.25">
      <c r="A8028" s="2" t="s">
        <v>8056</v>
      </c>
      <c r="B8028" s="3" t="s">
        <v>23</v>
      </c>
      <c r="C8028" s="3"/>
      <c r="D8028" s="3"/>
      <c r="E8028" s="5" t="str">
        <f>HYPERLINK("https://dpmzos25m8ivg.cloudfront.net/Documentos/631/81009976249/6318100997624911092023140708.pdf","https://dpmzos25m8ivg.cloudfront.net/Documentos/631/81009976249/6318100997624911092023140708.pdf")</f>
        <v>https://dpmzos25m8ivg.cloudfront.net/Documentos/631/81009976249/6318100997624911092023140708.pdf</v>
      </c>
      <c r="F8028" s="5" t="str">
        <f>HYPERLINK("https://dpmzos25m8ivg.cloudfront.net/Documentos/631/81009976249/6318100997624911092023140723.pdf","https://dpmzos25m8ivg.cloudfront.net/Documentos/631/81009976249/6318100997624911092023140723.pdf")</f>
        <v>https://dpmzos25m8ivg.cloudfront.net/Documentos/631/81009976249/6318100997624911092023140723.pdf</v>
      </c>
      <c r="G8028" s="5" t="str">
        <f>HYPERLINK("https://dpmzos25m8ivg.cloudfront.net/Documentos/631/81009976249/6318100997624911092023140744.pdf","https://dpmzos25m8ivg.cloudfront.net/Documentos/631/81009976249/6318100997624911092023140744.pdf")</f>
        <v>https://dpmzos25m8ivg.cloudfront.net/Documentos/631/81009976249/6318100997624911092023140744.pdf</v>
      </c>
      <c r="H8028" s="5" t="s">
        <v>16596</v>
      </c>
    </row>
    <row r="8029" spans="1:8" x14ac:dyDescent="0.25">
      <c r="A8029" s="2" t="s">
        <v>8057</v>
      </c>
      <c r="B8029" s="3"/>
      <c r="C8029" s="3"/>
      <c r="D8029" s="3"/>
      <c r="E8029" s="5" t="str">
        <f>HYPERLINK("https://dpmzos25m8ivg.cloudfront.net/Documentos/631/81035853434/6318103585343408092023112743.pdf","https://dpmzos25m8ivg.cloudfront.net/Documentos/631/81035853434/6318103585343408092023112743.pdf")</f>
        <v>https://dpmzos25m8ivg.cloudfront.net/Documentos/631/81035853434/6318103585343408092023112743.pdf</v>
      </c>
      <c r="F8029" s="5" t="str">
        <f>HYPERLINK("https://dpmzos25m8ivg.cloudfront.net/Documentos/631/81035853434/6318103585343408092023112758.pdf","https://dpmzos25m8ivg.cloudfront.net/Documentos/631/81035853434/6318103585343408092023112758.pdf")</f>
        <v>https://dpmzos25m8ivg.cloudfront.net/Documentos/631/81035853434/6318103585343408092023112758.pdf</v>
      </c>
      <c r="G8029" s="5" t="str">
        <f>HYPERLINK("https://dpmzos25m8ivg.cloudfront.net/Documentos/631/81035853434/6318103585343408092023112807.pdf","https://dpmzos25m8ivg.cloudfront.net/Documentos/631/81035853434/6318103585343408092023112807.pdf")</f>
        <v>https://dpmzos25m8ivg.cloudfront.net/Documentos/631/81035853434/6318103585343408092023112807.pdf</v>
      </c>
      <c r="H8029" s="5" t="s">
        <v>16597</v>
      </c>
    </row>
    <row r="8030" spans="1:8" x14ac:dyDescent="0.25">
      <c r="A8030" s="2" t="s">
        <v>8058</v>
      </c>
      <c r="B8030" s="3"/>
      <c r="C8030" s="3"/>
      <c r="D8030" s="3"/>
      <c r="E8030" s="5" t="str">
        <f>HYPERLINK("https://dpmzos25m8ivg.cloudfront.net/Documentos/631/81065990510/6318106599051006092023100509.pdf","https://dpmzos25m8ivg.cloudfront.net/Documentos/631/81065990510/6318106599051006092023100509.pdf")</f>
        <v>https://dpmzos25m8ivg.cloudfront.net/Documentos/631/81065990510/6318106599051006092023100509.pdf</v>
      </c>
      <c r="F8030" s="5" t="str">
        <f>HYPERLINK("https://dpmzos25m8ivg.cloudfront.net/Documentos/631/81065990510/6318106599051006092023100520.pdf","https://dpmzos25m8ivg.cloudfront.net/Documentos/631/81065990510/6318106599051006092023100520.pdf")</f>
        <v>https://dpmzos25m8ivg.cloudfront.net/Documentos/631/81065990510/6318106599051006092023100520.pdf</v>
      </c>
      <c r="G8030" s="5" t="str">
        <f>HYPERLINK("https://dpmzos25m8ivg.cloudfront.net/Documentos/631/81065990510/6318106599051006092023100531.pdf","https://dpmzos25m8ivg.cloudfront.net/Documentos/631/81065990510/6318106599051006092023100531.pdf")</f>
        <v>https://dpmzos25m8ivg.cloudfront.net/Documentos/631/81065990510/6318106599051006092023100531.pdf</v>
      </c>
      <c r="H8030" s="5" t="s">
        <v>16598</v>
      </c>
    </row>
    <row r="8031" spans="1:8" x14ac:dyDescent="0.25">
      <c r="A8031" s="2" t="s">
        <v>8059</v>
      </c>
      <c r="B8031" s="3"/>
      <c r="C8031" s="3"/>
      <c r="D8031" s="3"/>
      <c r="E8031" s="5" t="str">
        <f>HYPERLINK("https://dpmzos25m8ivg.cloudfront.net/Documentos/631/81120664500/6318112066450005092023103102.pdf","https://dpmzos25m8ivg.cloudfront.net/Documentos/631/81120664500/6318112066450005092023103102.pdf")</f>
        <v>https://dpmzos25m8ivg.cloudfront.net/Documentos/631/81120664500/6318112066450005092023103102.pdf</v>
      </c>
      <c r="F8031" s="5" t="str">
        <f>HYPERLINK("https://dpmzos25m8ivg.cloudfront.net/Documentos/631/81120664500/6318112066450005092023103129.pdf","https://dpmzos25m8ivg.cloudfront.net/Documentos/631/81120664500/6318112066450005092023103129.pdf")</f>
        <v>https://dpmzos25m8ivg.cloudfront.net/Documentos/631/81120664500/6318112066450005092023103129.pdf</v>
      </c>
      <c r="G8031" s="5" t="str">
        <f>HYPERLINK("https://dpmzos25m8ivg.cloudfront.net/Documentos/631/81120664500/6318112066450005092023103140.pdf","https://dpmzos25m8ivg.cloudfront.net/Documentos/631/81120664500/6318112066450005092023103140.pdf")</f>
        <v>https://dpmzos25m8ivg.cloudfront.net/Documentos/631/81120664500/6318112066450005092023103140.pdf</v>
      </c>
      <c r="H8031" s="5" t="s">
        <v>16599</v>
      </c>
    </row>
    <row r="8032" spans="1:8" x14ac:dyDescent="0.25">
      <c r="A8032" s="2" t="s">
        <v>8060</v>
      </c>
      <c r="B8032" s="3" t="s">
        <v>308</v>
      </c>
      <c r="C8032" s="3"/>
      <c r="D8032" s="3"/>
      <c r="E8032" s="5" t="str">
        <f>HYPERLINK("https://dpmzos25m8ivg.cloudfront.net/Documentos/631/81122012500/6318112201250011092023165649.jpg","https://dpmzos25m8ivg.cloudfront.net/Documentos/631/81122012500/6318112201250011092023165649.jpg")</f>
        <v>https://dpmzos25m8ivg.cloudfront.net/Documentos/631/81122012500/6318112201250011092023165649.jpg</v>
      </c>
      <c r="F8032" s="5" t="str">
        <f>HYPERLINK("https://dpmzos25m8ivg.cloudfront.net/Documentos/631/81122012500/6318112201250011092023165701.jpg","https://dpmzos25m8ivg.cloudfront.net/Documentos/631/81122012500/6318112201250011092023165701.jpg")</f>
        <v>https://dpmzos25m8ivg.cloudfront.net/Documentos/631/81122012500/6318112201250011092023165701.jpg</v>
      </c>
      <c r="G8032" s="5" t="str">
        <f>HYPERLINK("https://dpmzos25m8ivg.cloudfront.net/Documentos/631/81122012500/6318112201250011092023165712.jpg","https://dpmzos25m8ivg.cloudfront.net/Documentos/631/81122012500/6318112201250011092023165712.jpg")</f>
        <v>https://dpmzos25m8ivg.cloudfront.net/Documentos/631/81122012500/6318112201250011092023165712.jpg</v>
      </c>
      <c r="H8032" s="5" t="s">
        <v>16600</v>
      </c>
    </row>
    <row r="8033" spans="1:8" x14ac:dyDescent="0.25">
      <c r="A8033" s="2" t="s">
        <v>8061</v>
      </c>
      <c r="B8033" s="3"/>
      <c r="C8033" s="3"/>
      <c r="D8033" s="3"/>
      <c r="E8033" s="5" t="str">
        <f>HYPERLINK("https://dpmzos25m8ivg.cloudfront.net/Documentos/631/81141076500/6318114107650006092023172105.pdf","https://dpmzos25m8ivg.cloudfront.net/Documentos/631/81141076500/6318114107650006092023172105.pdf")</f>
        <v>https://dpmzos25m8ivg.cloudfront.net/Documentos/631/81141076500/6318114107650006092023172105.pdf</v>
      </c>
      <c r="F8033" s="5" t="str">
        <f>HYPERLINK("https://dpmzos25m8ivg.cloudfront.net/Documentos/631/81141076500/6318114107650006092023172122.pdf","https://dpmzos25m8ivg.cloudfront.net/Documentos/631/81141076500/6318114107650006092023172122.pdf")</f>
        <v>https://dpmzos25m8ivg.cloudfront.net/Documentos/631/81141076500/6318114107650006092023172122.pdf</v>
      </c>
      <c r="G8033" s="5" t="str">
        <f>HYPERLINK("https://dpmzos25m8ivg.cloudfront.net/Documentos/631/81141076500/6318114107650006092023172141.pdf","https://dpmzos25m8ivg.cloudfront.net/Documentos/631/81141076500/6318114107650006092023172141.pdf")</f>
        <v>https://dpmzos25m8ivg.cloudfront.net/Documentos/631/81141076500/6318114107650006092023172141.pdf</v>
      </c>
      <c r="H8033" s="5" t="s">
        <v>16601</v>
      </c>
    </row>
    <row r="8034" spans="1:8" x14ac:dyDescent="0.25">
      <c r="A8034" s="2" t="s">
        <v>8062</v>
      </c>
      <c r="B8034" s="3"/>
      <c r="C8034" s="3"/>
      <c r="D8034" s="3"/>
      <c r="E8034" s="5" t="str">
        <f>HYPERLINK("https://dpmzos25m8ivg.cloudfront.net/Documentos/631/81234295504/6318123429550411092023162455.jpeg","https://dpmzos25m8ivg.cloudfront.net/Documentos/631/81234295504/6318123429550411092023162455.jpeg")</f>
        <v>https://dpmzos25m8ivg.cloudfront.net/Documentos/631/81234295504/6318123429550411092023162455.jpeg</v>
      </c>
      <c r="F8034" s="5" t="str">
        <f>HYPERLINK("https://dpmzos25m8ivg.cloudfront.net/Documentos/631/81234295504/6318123429550411092023162554.jpeg","https://dpmzos25m8ivg.cloudfront.net/Documentos/631/81234295504/6318123429550411092023162554.jpeg")</f>
        <v>https://dpmzos25m8ivg.cloudfront.net/Documentos/631/81234295504/6318123429550411092023162554.jpeg</v>
      </c>
      <c r="G8034" s="5" t="str">
        <f>HYPERLINK("https://dpmzos25m8ivg.cloudfront.net/Documentos/631/81234295504/6318123429550411092023162645.jpeg","https://dpmzos25m8ivg.cloudfront.net/Documentos/631/81234295504/6318123429550411092023162645.jpeg")</f>
        <v>https://dpmzos25m8ivg.cloudfront.net/Documentos/631/81234295504/6318123429550411092023162645.jpeg</v>
      </c>
      <c r="H8034" s="5" t="s">
        <v>16602</v>
      </c>
    </row>
    <row r="8035" spans="1:8" x14ac:dyDescent="0.25">
      <c r="A8035" s="2" t="s">
        <v>8063</v>
      </c>
      <c r="B8035" s="3"/>
      <c r="C8035" s="3"/>
      <c r="D8035" s="3"/>
      <c r="E8035" s="5" t="str">
        <f>HYPERLINK("https://dpmzos25m8ivg.cloudfront.net/Documentos/631/81235925587/6318123592558712092023201704.pdf","https://dpmzos25m8ivg.cloudfront.net/Documentos/631/81235925587/6318123592558712092023201704.pdf")</f>
        <v>https://dpmzos25m8ivg.cloudfront.net/Documentos/631/81235925587/6318123592558712092023201704.pdf</v>
      </c>
      <c r="F8035" s="5" t="str">
        <f>HYPERLINK("https://dpmzos25m8ivg.cloudfront.net/Documentos/631/81235925587/6318123592558712092023201717.pdf","https://dpmzos25m8ivg.cloudfront.net/Documentos/631/81235925587/6318123592558712092023201717.pdf")</f>
        <v>https://dpmzos25m8ivg.cloudfront.net/Documentos/631/81235925587/6318123592558712092023201717.pdf</v>
      </c>
      <c r="G8035" s="5" t="str">
        <f>HYPERLINK("https://dpmzos25m8ivg.cloudfront.net/Documentos/631/81235925587/6318123592558712092023201732.pdf","https://dpmzos25m8ivg.cloudfront.net/Documentos/631/81235925587/6318123592558712092023201732.pdf")</f>
        <v>https://dpmzos25m8ivg.cloudfront.net/Documentos/631/81235925587/6318123592558712092023201732.pdf</v>
      </c>
      <c r="H8035" s="5" t="s">
        <v>16603</v>
      </c>
    </row>
    <row r="8036" spans="1:8" x14ac:dyDescent="0.25">
      <c r="A8036" s="2" t="s">
        <v>8064</v>
      </c>
      <c r="B8036" s="3"/>
      <c r="C8036" s="3"/>
      <c r="D8036" s="3"/>
      <c r="E8036" s="5" t="str">
        <f>HYPERLINK("https://dpmzos25m8ivg.cloudfront.net/Documentos/631/81335288953/6318133528895306092023143932.jpg","https://dpmzos25m8ivg.cloudfront.net/Documentos/631/81335288953/6318133528895306092023143932.jpg")</f>
        <v>https://dpmzos25m8ivg.cloudfront.net/Documentos/631/81335288953/6318133528895306092023143932.jpg</v>
      </c>
      <c r="F8036" s="5" t="str">
        <f>HYPERLINK("https://dpmzos25m8ivg.cloudfront.net/Documentos/631/81335288953/6318133528895306092023144044.jpeg","https://dpmzos25m8ivg.cloudfront.net/Documentos/631/81335288953/6318133528895306092023144044.jpeg")</f>
        <v>https://dpmzos25m8ivg.cloudfront.net/Documentos/631/81335288953/6318133528895306092023144044.jpeg</v>
      </c>
      <c r="G8036" s="5" t="str">
        <f>HYPERLINK("https://dpmzos25m8ivg.cloudfront.net/Documentos/631/81335288953/6318133528895306092023144115.jpeg","https://dpmzos25m8ivg.cloudfront.net/Documentos/631/81335288953/6318133528895306092023144115.jpeg")</f>
        <v>https://dpmzos25m8ivg.cloudfront.net/Documentos/631/81335288953/6318133528895306092023144115.jpeg</v>
      </c>
      <c r="H8036" s="5" t="s">
        <v>16604</v>
      </c>
    </row>
    <row r="8037" spans="1:8" x14ac:dyDescent="0.25">
      <c r="A8037" s="2" t="s">
        <v>8065</v>
      </c>
      <c r="B8037" s="3"/>
      <c r="C8037" s="3"/>
      <c r="D8037" s="3"/>
      <c r="E8037" s="5" t="str">
        <f>HYPERLINK("https://dpmzos25m8ivg.cloudfront.net/Documentos/631/81363460030/6318136346003008092023191145.pdf","https://dpmzos25m8ivg.cloudfront.net/Documentos/631/81363460030/6318136346003008092023191145.pdf")</f>
        <v>https://dpmzos25m8ivg.cloudfront.net/Documentos/631/81363460030/6318136346003008092023191145.pdf</v>
      </c>
      <c r="F8037" s="5" t="str">
        <f>HYPERLINK("https://dpmzos25m8ivg.cloudfront.net/Documentos/631/81363460030/6318136346003008092023191154.pdf","https://dpmzos25m8ivg.cloudfront.net/Documentos/631/81363460030/6318136346003008092023191154.pdf")</f>
        <v>https://dpmzos25m8ivg.cloudfront.net/Documentos/631/81363460030/6318136346003008092023191154.pdf</v>
      </c>
      <c r="G8037" s="5" t="str">
        <f>HYPERLINK("https://dpmzos25m8ivg.cloudfront.net/Documentos/631/81363460030/6318136346003008092023191204.pdf","https://dpmzos25m8ivg.cloudfront.net/Documentos/631/81363460030/6318136346003008092023191204.pdf")</f>
        <v>https://dpmzos25m8ivg.cloudfront.net/Documentos/631/81363460030/6318136346003008092023191204.pdf</v>
      </c>
      <c r="H8037" s="5" t="s">
        <v>16605</v>
      </c>
    </row>
    <row r="8038" spans="1:8" x14ac:dyDescent="0.25">
      <c r="A8038" s="2" t="s">
        <v>8066</v>
      </c>
      <c r="B8038" s="3"/>
      <c r="C8038" s="3"/>
      <c r="D8038" s="3"/>
      <c r="E8038" s="5" t="str">
        <f>HYPERLINK("https://dpmzos25m8ivg.cloudfront.net/Documentos/631/81400403200/6318140040320014092023162430.pdf","https://dpmzos25m8ivg.cloudfront.net/Documentos/631/81400403200/6318140040320014092023162430.pdf")</f>
        <v>https://dpmzos25m8ivg.cloudfront.net/Documentos/631/81400403200/6318140040320014092023162430.pdf</v>
      </c>
      <c r="F8038" s="5" t="str">
        <f>HYPERLINK("https://dpmzos25m8ivg.cloudfront.net/Documentos/631/81400403200/6318140040320014092023162444.pdf","https://dpmzos25m8ivg.cloudfront.net/Documentos/631/81400403200/6318140040320014092023162444.pdf")</f>
        <v>https://dpmzos25m8ivg.cloudfront.net/Documentos/631/81400403200/6318140040320014092023162444.pdf</v>
      </c>
      <c r="G8038" s="5" t="str">
        <f>HYPERLINK("https://dpmzos25m8ivg.cloudfront.net/Documentos/631/81400403200/6318140040320014092023162458.pdf","https://dpmzos25m8ivg.cloudfront.net/Documentos/631/81400403200/6318140040320014092023162458.pdf")</f>
        <v>https://dpmzos25m8ivg.cloudfront.net/Documentos/631/81400403200/6318140040320014092023162458.pdf</v>
      </c>
      <c r="H8038" s="5" t="s">
        <v>16606</v>
      </c>
    </row>
    <row r="8039" spans="1:8" x14ac:dyDescent="0.25">
      <c r="A8039" s="2" t="s">
        <v>8067</v>
      </c>
      <c r="B8039" s="3"/>
      <c r="C8039" s="3"/>
      <c r="D8039" s="3"/>
      <c r="E8039" s="5" t="str">
        <f>HYPERLINK("https://dpmzos25m8ivg.cloudfront.net/Documentos/631/81434456234/6318143445623411092023130712.pdf","https://dpmzos25m8ivg.cloudfront.net/Documentos/631/81434456234/6318143445623411092023130712.pdf")</f>
        <v>https://dpmzos25m8ivg.cloudfront.net/Documentos/631/81434456234/6318143445623411092023130712.pdf</v>
      </c>
      <c r="F8039" s="5" t="str">
        <f>HYPERLINK("https://dpmzos25m8ivg.cloudfront.net/Documentos/631/81434456234/6318143445623411092023130757.pdf","https://dpmzos25m8ivg.cloudfront.net/Documentos/631/81434456234/6318143445623411092023130757.pdf")</f>
        <v>https://dpmzos25m8ivg.cloudfront.net/Documentos/631/81434456234/6318143445623411092023130757.pdf</v>
      </c>
      <c r="G8039" s="5" t="str">
        <f>HYPERLINK("https://dpmzos25m8ivg.cloudfront.net/Documentos/631/81434456234/6318143445623411092023130827.pdf","https://dpmzos25m8ivg.cloudfront.net/Documentos/631/81434456234/6318143445623411092023130827.pdf")</f>
        <v>https://dpmzos25m8ivg.cloudfront.net/Documentos/631/81434456234/6318143445623411092023130827.pdf</v>
      </c>
      <c r="H8039" s="5" t="s">
        <v>16607</v>
      </c>
    </row>
    <row r="8040" spans="1:8" x14ac:dyDescent="0.25">
      <c r="A8040" s="2" t="s">
        <v>8068</v>
      </c>
      <c r="B8040" s="3"/>
      <c r="C8040" s="3"/>
      <c r="D8040" s="3"/>
      <c r="E8040" s="5" t="str">
        <f>HYPERLINK("https://dpmzos25m8ivg.cloudfront.net/Documentos/631/81443676500/6318144367650014092023165510.pdf","https://dpmzos25m8ivg.cloudfront.net/Documentos/631/81443676500/6318144367650014092023165510.pdf")</f>
        <v>https://dpmzos25m8ivg.cloudfront.net/Documentos/631/81443676500/6318144367650014092023165510.pdf</v>
      </c>
      <c r="F8040" s="5" t="str">
        <f>HYPERLINK("https://dpmzos25m8ivg.cloudfront.net/Documentos/631/81443676500/6318144367650014092023165523.pdf","https://dpmzos25m8ivg.cloudfront.net/Documentos/631/81443676500/6318144367650014092023165523.pdf")</f>
        <v>https://dpmzos25m8ivg.cloudfront.net/Documentos/631/81443676500/6318144367650014092023165523.pdf</v>
      </c>
      <c r="G8040" s="5" t="str">
        <f>HYPERLINK("https://dpmzos25m8ivg.cloudfront.net/Documentos/631/81443676500/6318144367650014092023165537.pdf","https://dpmzos25m8ivg.cloudfront.net/Documentos/631/81443676500/6318144367650014092023165537.pdf")</f>
        <v>https://dpmzos25m8ivg.cloudfront.net/Documentos/631/81443676500/6318144367650014092023165537.pdf</v>
      </c>
      <c r="H8040" s="5" t="s">
        <v>16608</v>
      </c>
    </row>
    <row r="8041" spans="1:8" x14ac:dyDescent="0.25">
      <c r="A8041" s="2" t="s">
        <v>8069</v>
      </c>
      <c r="B8041" s="3"/>
      <c r="C8041" s="3"/>
      <c r="D8041" s="3"/>
      <c r="E8041" s="5" t="str">
        <f>HYPERLINK("https://dpmzos25m8ivg.cloudfront.net/Documentos/631/81446322149/6318144632214905092023124605.pdf","https://dpmzos25m8ivg.cloudfront.net/Documentos/631/81446322149/6318144632214905092023124605.pdf")</f>
        <v>https://dpmzos25m8ivg.cloudfront.net/Documentos/631/81446322149/6318144632214905092023124605.pdf</v>
      </c>
      <c r="F8041" s="5" t="str">
        <f>HYPERLINK("https://dpmzos25m8ivg.cloudfront.net/Documentos/631/81446322149/6318144632214905092023124630.pdf","https://dpmzos25m8ivg.cloudfront.net/Documentos/631/81446322149/6318144632214905092023124630.pdf")</f>
        <v>https://dpmzos25m8ivg.cloudfront.net/Documentos/631/81446322149/6318144632214905092023124630.pdf</v>
      </c>
      <c r="G8041" s="5" t="str">
        <f>HYPERLINK("https://dpmzos25m8ivg.cloudfront.net/Documentos/631/81446322149/6318144632214905092023124649.pdf","https://dpmzos25m8ivg.cloudfront.net/Documentos/631/81446322149/6318144632214905092023124649.pdf")</f>
        <v>https://dpmzos25m8ivg.cloudfront.net/Documentos/631/81446322149/6318144632214905092023124649.pdf</v>
      </c>
      <c r="H8041" s="5" t="s">
        <v>16609</v>
      </c>
    </row>
    <row r="8042" spans="1:8" x14ac:dyDescent="0.25">
      <c r="A8042" s="2" t="s">
        <v>8070</v>
      </c>
      <c r="B8042" s="3"/>
      <c r="C8042" s="3"/>
      <c r="D8042" s="3"/>
      <c r="E8042" s="5" t="str">
        <f>HYPERLINK("https://dpmzos25m8ivg.cloudfront.net/Documentos/631/81470746387/6318147074638705092023185656.pdf","https://dpmzos25m8ivg.cloudfront.net/Documentos/631/81470746387/6318147074638705092023185656.pdf")</f>
        <v>https://dpmzos25m8ivg.cloudfront.net/Documentos/631/81470746387/6318147074638705092023185656.pdf</v>
      </c>
      <c r="F8042" s="5" t="str">
        <f>HYPERLINK("https://dpmzos25m8ivg.cloudfront.net/Documentos/631/81470746387/6318147074638705092023185735.pdf","https://dpmzos25m8ivg.cloudfront.net/Documentos/631/81470746387/6318147074638705092023185735.pdf")</f>
        <v>https://dpmzos25m8ivg.cloudfront.net/Documentos/631/81470746387/6318147074638705092023185735.pdf</v>
      </c>
      <c r="G8042" s="5" t="str">
        <f>HYPERLINK("https://dpmzos25m8ivg.cloudfront.net/Documentos/631/81470746387/6318147074638705092023185752.pdf","https://dpmzos25m8ivg.cloudfront.net/Documentos/631/81470746387/6318147074638705092023185752.pdf")</f>
        <v>https://dpmzos25m8ivg.cloudfront.net/Documentos/631/81470746387/6318147074638705092023185752.pdf</v>
      </c>
      <c r="H8042" s="5" t="s">
        <v>16610</v>
      </c>
    </row>
    <row r="8043" spans="1:8" x14ac:dyDescent="0.25">
      <c r="A8043" s="2" t="s">
        <v>8071</v>
      </c>
      <c r="B8043" s="3"/>
      <c r="C8043" s="3"/>
      <c r="D8043" s="3"/>
      <c r="E8043" s="5" t="str">
        <f>HYPERLINK("https://dpmzos25m8ivg.cloudfront.net/Documentos/631/81472757572/6318147275757211092023162207.pdf","https://dpmzos25m8ivg.cloudfront.net/Documentos/631/81472757572/6318147275757211092023162207.pdf")</f>
        <v>https://dpmzos25m8ivg.cloudfront.net/Documentos/631/81472757572/6318147275757211092023162207.pdf</v>
      </c>
      <c r="F8043" s="5" t="str">
        <f>HYPERLINK("https://dpmzos25m8ivg.cloudfront.net/Documentos/631/81472757572/6318147275757211092023162215.pdf","https://dpmzos25m8ivg.cloudfront.net/Documentos/631/81472757572/6318147275757211092023162215.pdf")</f>
        <v>https://dpmzos25m8ivg.cloudfront.net/Documentos/631/81472757572/6318147275757211092023162215.pdf</v>
      </c>
      <c r="G8043" s="5" t="str">
        <f>HYPERLINK("https://dpmzos25m8ivg.cloudfront.net/Documentos/631/81472757572/6318147275757211092023162224.pdf","https://dpmzos25m8ivg.cloudfront.net/Documentos/631/81472757572/6318147275757211092023162224.pdf")</f>
        <v>https://dpmzos25m8ivg.cloudfront.net/Documentos/631/81472757572/6318147275757211092023162224.pdf</v>
      </c>
      <c r="H8043" s="5" t="s">
        <v>16611</v>
      </c>
    </row>
    <row r="8044" spans="1:8" x14ac:dyDescent="0.25">
      <c r="A8044" s="2" t="s">
        <v>8072</v>
      </c>
      <c r="B8044" s="3" t="s">
        <v>90</v>
      </c>
      <c r="C8044" s="3"/>
      <c r="D8044" s="3"/>
      <c r="E8044" s="5" t="str">
        <f>HYPERLINK("https://dpmzos25m8ivg.cloudfront.net/Documentos/631/81549024272/6318154902427211092023173841.pdf","https://dpmzos25m8ivg.cloudfront.net/Documentos/631/81549024272/6318154902427211092023173841.pdf")</f>
        <v>https://dpmzos25m8ivg.cloudfront.net/Documentos/631/81549024272/6318154902427211092023173841.pdf</v>
      </c>
      <c r="F8044" s="5" t="str">
        <f>HYPERLINK("https://dpmzos25m8ivg.cloudfront.net/Documentos/631/81549024272/6318154902427211092023173915.pdf","https://dpmzos25m8ivg.cloudfront.net/Documentos/631/81549024272/6318154902427211092023173915.pdf")</f>
        <v>https://dpmzos25m8ivg.cloudfront.net/Documentos/631/81549024272/6318154902427211092023173915.pdf</v>
      </c>
      <c r="G8044" s="5" t="str">
        <f>HYPERLINK("https://dpmzos25m8ivg.cloudfront.net/Documentos/631/81549024272/6318154902427211092023173931.pdf","https://dpmzos25m8ivg.cloudfront.net/Documentos/631/81549024272/6318154902427211092023173931.pdf")</f>
        <v>https://dpmzos25m8ivg.cloudfront.net/Documentos/631/81549024272/6318154902427211092023173931.pdf</v>
      </c>
      <c r="H8044" s="5" t="s">
        <v>16612</v>
      </c>
    </row>
    <row r="8045" spans="1:8" x14ac:dyDescent="0.25">
      <c r="A8045" s="2" t="s">
        <v>8073</v>
      </c>
      <c r="B8045" s="3" t="s">
        <v>308</v>
      </c>
      <c r="C8045" s="3"/>
      <c r="D8045" s="3"/>
      <c r="E8045" s="5" t="str">
        <f>HYPERLINK("https://dpmzos25m8ivg.cloudfront.net/Documentos/631/81586094068/6318158609406806092023123312.jpg","https://dpmzos25m8ivg.cloudfront.net/Documentos/631/81586094068/6318158609406806092023123312.jpg")</f>
        <v>https://dpmzos25m8ivg.cloudfront.net/Documentos/631/81586094068/6318158609406806092023123312.jpg</v>
      </c>
      <c r="F8045" s="5" t="str">
        <f>HYPERLINK("https://dpmzos25m8ivg.cloudfront.net/Documentos/631/81586094068/6318158609406806092023123338.jpg","https://dpmzos25m8ivg.cloudfront.net/Documentos/631/81586094068/6318158609406806092023123338.jpg")</f>
        <v>https://dpmzos25m8ivg.cloudfront.net/Documentos/631/81586094068/6318158609406806092023123338.jpg</v>
      </c>
      <c r="G8045" s="5" t="str">
        <f>HYPERLINK("https://dpmzos25m8ivg.cloudfront.net/Documentos/631/81586094068/6318158609406806092023123415.jpg","https://dpmzos25m8ivg.cloudfront.net/Documentos/631/81586094068/6318158609406806092023123415.jpg")</f>
        <v>https://dpmzos25m8ivg.cloudfront.net/Documentos/631/81586094068/6318158609406806092023123415.jpg</v>
      </c>
      <c r="H8045" s="5" t="s">
        <v>16613</v>
      </c>
    </row>
    <row r="8046" spans="1:8" x14ac:dyDescent="0.25">
      <c r="A8046" s="2" t="s">
        <v>8074</v>
      </c>
      <c r="B8046" s="3"/>
      <c r="C8046" s="3"/>
      <c r="D8046" s="3"/>
      <c r="E8046" s="5" t="str">
        <f>HYPERLINK("https://dpmzos25m8ivg.cloudfront.net/Documentos/631/81611390591/6318161139059108092023180908.jpg","https://dpmzos25m8ivg.cloudfront.net/Documentos/631/81611390591/6318161139059108092023180908.jpg")</f>
        <v>https://dpmzos25m8ivg.cloudfront.net/Documentos/631/81611390591/6318161139059108092023180908.jpg</v>
      </c>
      <c r="F8046" s="5" t="str">
        <f>HYPERLINK("https://dpmzos25m8ivg.cloudfront.net/Documentos/631/81611390591/6318161139059108092023180928.jpg","https://dpmzos25m8ivg.cloudfront.net/Documentos/631/81611390591/6318161139059108092023180928.jpg")</f>
        <v>https://dpmzos25m8ivg.cloudfront.net/Documentos/631/81611390591/6318161139059108092023180928.jpg</v>
      </c>
      <c r="G8046" s="5" t="str">
        <f>HYPERLINK("https://dpmzos25m8ivg.cloudfront.net/Documentos/631/81611390591/6318161139059108092023180945.jpg","https://dpmzos25m8ivg.cloudfront.net/Documentos/631/81611390591/6318161139059108092023180945.jpg")</f>
        <v>https://dpmzos25m8ivg.cloudfront.net/Documentos/631/81611390591/6318161139059108092023180945.jpg</v>
      </c>
      <c r="H8046" s="5" t="s">
        <v>16614</v>
      </c>
    </row>
    <row r="8047" spans="1:8" x14ac:dyDescent="0.25">
      <c r="A8047" s="2" t="s">
        <v>8075</v>
      </c>
      <c r="B8047" s="3" t="s">
        <v>90</v>
      </c>
      <c r="C8047" s="3"/>
      <c r="D8047" s="3"/>
      <c r="E8047" s="5" t="str">
        <f>HYPERLINK("https://dpmzos25m8ivg.cloudfront.net/Documentos/631/81630239534/6318163023953406092023160955.pdf","https://dpmzos25m8ivg.cloudfront.net/Documentos/631/81630239534/6318163023953406092023160955.pdf")</f>
        <v>https://dpmzos25m8ivg.cloudfront.net/Documentos/631/81630239534/6318163023953406092023160955.pdf</v>
      </c>
      <c r="F8047" s="5" t="str">
        <f>HYPERLINK("https://dpmzos25m8ivg.cloudfront.net/Documentos/631/81630239534/6318163023953406092023161140.pdf","https://dpmzos25m8ivg.cloudfront.net/Documentos/631/81630239534/6318163023953406092023161140.pdf")</f>
        <v>https://dpmzos25m8ivg.cloudfront.net/Documentos/631/81630239534/6318163023953406092023161140.pdf</v>
      </c>
      <c r="G8047" s="5" t="str">
        <f>HYPERLINK("https://dpmzos25m8ivg.cloudfront.net/Documentos/631/81630239534/6318163023953406092023161239.pdf","https://dpmzos25m8ivg.cloudfront.net/Documentos/631/81630239534/6318163023953406092023161239.pdf")</f>
        <v>https://dpmzos25m8ivg.cloudfront.net/Documentos/631/81630239534/6318163023953406092023161239.pdf</v>
      </c>
      <c r="H8047" s="5" t="s">
        <v>16615</v>
      </c>
    </row>
    <row r="8048" spans="1:8" x14ac:dyDescent="0.25">
      <c r="A8048" s="2" t="s">
        <v>8076</v>
      </c>
      <c r="B8048" s="3"/>
      <c r="C8048" s="3"/>
      <c r="D8048" s="3"/>
      <c r="E8048" s="5" t="str">
        <f>HYPERLINK("https://dpmzos25m8ivg.cloudfront.net/Documentos/631/81658184220/6318165818422008092023141347.pdf","https://dpmzos25m8ivg.cloudfront.net/Documentos/631/81658184220/6318165818422008092023141347.pdf")</f>
        <v>https://dpmzos25m8ivg.cloudfront.net/Documentos/631/81658184220/6318165818422008092023141347.pdf</v>
      </c>
      <c r="F8048" s="5" t="str">
        <f>HYPERLINK("https://dpmzos25m8ivg.cloudfront.net/Documentos/631/81658184220/6318165818422008092023141356.pdf","https://dpmzos25m8ivg.cloudfront.net/Documentos/631/81658184220/6318165818422008092023141356.pdf")</f>
        <v>https://dpmzos25m8ivg.cloudfront.net/Documentos/631/81658184220/6318165818422008092023141356.pdf</v>
      </c>
      <c r="G8048" s="5" t="str">
        <f>HYPERLINK("https://dpmzos25m8ivg.cloudfront.net/Documentos/631/81658184220/6318165818422008092023141405.pdf","https://dpmzos25m8ivg.cloudfront.net/Documentos/631/81658184220/6318165818422008092023141405.pdf")</f>
        <v>https://dpmzos25m8ivg.cloudfront.net/Documentos/631/81658184220/6318165818422008092023141405.pdf</v>
      </c>
      <c r="H8048" s="5" t="s">
        <v>16616</v>
      </c>
    </row>
    <row r="8049" spans="1:8" x14ac:dyDescent="0.25">
      <c r="A8049" s="2" t="s">
        <v>8077</v>
      </c>
      <c r="B8049" s="3" t="s">
        <v>308</v>
      </c>
      <c r="C8049" s="3"/>
      <c r="D8049" s="3"/>
      <c r="E8049" s="5" t="str">
        <f>HYPERLINK("https://dpmzos25m8ivg.cloudfront.net/Documentos/631/81710585234/6318171058523405092023084423.jpeg","https://dpmzos25m8ivg.cloudfront.net/Documentos/631/81710585234/6318171058523405092023084423.jpeg")</f>
        <v>https://dpmzos25m8ivg.cloudfront.net/Documentos/631/81710585234/6318171058523405092023084423.jpeg</v>
      </c>
      <c r="F8049" s="5" t="str">
        <f>HYPERLINK("https://dpmzos25m8ivg.cloudfront.net/Documentos/631/81710585234/6318171058523405092023084437.jpeg","https://dpmzos25m8ivg.cloudfront.net/Documentos/631/81710585234/6318171058523405092023084437.jpeg")</f>
        <v>https://dpmzos25m8ivg.cloudfront.net/Documentos/631/81710585234/6318171058523405092023084437.jpeg</v>
      </c>
      <c r="G8049" s="5" t="str">
        <f>HYPERLINK("https://dpmzos25m8ivg.cloudfront.net/Documentos/631/81710585234/6318171058523405092023084453.jpeg","https://dpmzos25m8ivg.cloudfront.net/Documentos/631/81710585234/6318171058523405092023084453.jpeg")</f>
        <v>https://dpmzos25m8ivg.cloudfront.net/Documentos/631/81710585234/6318171058523405092023084453.jpeg</v>
      </c>
      <c r="H8049" s="5" t="s">
        <v>16617</v>
      </c>
    </row>
    <row r="8050" spans="1:8" x14ac:dyDescent="0.25">
      <c r="A8050" s="2" t="s">
        <v>8078</v>
      </c>
      <c r="B8050" s="3" t="s">
        <v>90</v>
      </c>
      <c r="C8050" s="3"/>
      <c r="D8050" s="3"/>
      <c r="E8050" s="5" t="str">
        <f>HYPERLINK("https://dpmzos25m8ivg.cloudfront.net/Documentos/631/81747896500/6318174789650011092023000113.jpg","https://dpmzos25m8ivg.cloudfront.net/Documentos/631/81747896500/6318174789650011092023000113.jpg")</f>
        <v>https://dpmzos25m8ivg.cloudfront.net/Documentos/631/81747896500/6318174789650011092023000113.jpg</v>
      </c>
      <c r="F8050" s="5" t="str">
        <f>HYPERLINK("https://dpmzos25m8ivg.cloudfront.net/Documentos/631/81747896500/6318174789650010092023235236.jpg","https://dpmzos25m8ivg.cloudfront.net/Documentos/631/81747896500/6318174789650010092023235236.jpg")</f>
        <v>https://dpmzos25m8ivg.cloudfront.net/Documentos/631/81747896500/6318174789650010092023235236.jpg</v>
      </c>
      <c r="G8050" s="5" t="str">
        <f>HYPERLINK("https://dpmzos25m8ivg.cloudfront.net/Documentos/631/81747896500/6318174789650010092023235308.jpg","https://dpmzos25m8ivg.cloudfront.net/Documentos/631/81747896500/6318174789650010092023235308.jpg")</f>
        <v>https://dpmzos25m8ivg.cloudfront.net/Documentos/631/81747896500/6318174789650010092023235308.jpg</v>
      </c>
      <c r="H8050" s="5" t="s">
        <v>16618</v>
      </c>
    </row>
    <row r="8051" spans="1:8" x14ac:dyDescent="0.25">
      <c r="A8051" s="2" t="s">
        <v>8079</v>
      </c>
      <c r="B8051" s="3"/>
      <c r="C8051" s="3"/>
      <c r="D8051" s="3"/>
      <c r="E8051" s="5" t="str">
        <f>HYPERLINK("https://dpmzos25m8ivg.cloudfront.net/Documentos/631/81767870787/6318176787078711092023004901.pdf","https://dpmzos25m8ivg.cloudfront.net/Documentos/631/81767870787/6318176787078711092023004901.pdf")</f>
        <v>https://dpmzos25m8ivg.cloudfront.net/Documentos/631/81767870787/6318176787078711092023004901.pdf</v>
      </c>
      <c r="F8051" s="5" t="str">
        <f>HYPERLINK("https://dpmzos25m8ivg.cloudfront.net/Documentos/631/81767870787/6318176787078711092023004938.pdf","https://dpmzos25m8ivg.cloudfront.net/Documentos/631/81767870787/6318176787078711092023004938.pdf")</f>
        <v>https://dpmzos25m8ivg.cloudfront.net/Documentos/631/81767870787/6318176787078711092023004938.pdf</v>
      </c>
      <c r="G8051" s="5" t="str">
        <f>HYPERLINK("https://dpmzos25m8ivg.cloudfront.net/Documentos/631/81767870787/6318176787078711092023004955.pdf","https://dpmzos25m8ivg.cloudfront.net/Documentos/631/81767870787/6318176787078711092023004955.pdf")</f>
        <v>https://dpmzos25m8ivg.cloudfront.net/Documentos/631/81767870787/6318176787078711092023004955.pdf</v>
      </c>
      <c r="H8051" s="5" t="s">
        <v>16619</v>
      </c>
    </row>
    <row r="8052" spans="1:8" x14ac:dyDescent="0.25">
      <c r="A8052" s="2" t="s">
        <v>8080</v>
      </c>
      <c r="B8052" s="3" t="s">
        <v>312</v>
      </c>
      <c r="C8052" s="3"/>
      <c r="D8052" s="3"/>
      <c r="E8052" s="5" t="str">
        <f>HYPERLINK("https://dpmzos25m8ivg.cloudfront.net/Documentos/631/81820364534/6318182036453410092023103506.jpg","https://dpmzos25m8ivg.cloudfront.net/Documentos/631/81820364534/6318182036453410092023103506.jpg")</f>
        <v>https://dpmzos25m8ivg.cloudfront.net/Documentos/631/81820364534/6318182036453410092023103506.jpg</v>
      </c>
      <c r="F8052" s="5" t="str">
        <f>HYPERLINK("https://dpmzos25m8ivg.cloudfront.net/Documentos/631/81820364534/6318182036453410092023104827.jpg","https://dpmzos25m8ivg.cloudfront.net/Documentos/631/81820364534/6318182036453410092023104827.jpg")</f>
        <v>https://dpmzos25m8ivg.cloudfront.net/Documentos/631/81820364534/6318182036453410092023104827.jpg</v>
      </c>
      <c r="G8052" s="5" t="str">
        <f>HYPERLINK("https://dpmzos25m8ivg.cloudfront.net/Documentos/631/81820364534/6318182036453410092023104847.jpg","https://dpmzos25m8ivg.cloudfront.net/Documentos/631/81820364534/6318182036453410092023104847.jpg")</f>
        <v>https://dpmzos25m8ivg.cloudfront.net/Documentos/631/81820364534/6318182036453410092023104847.jpg</v>
      </c>
      <c r="H8052" s="5" t="s">
        <v>16620</v>
      </c>
    </row>
    <row r="8053" spans="1:8" x14ac:dyDescent="0.25">
      <c r="A8053" s="2" t="s">
        <v>8081</v>
      </c>
      <c r="B8053" s="3"/>
      <c r="C8053" s="3"/>
      <c r="D8053" s="3"/>
      <c r="E8053" s="5" t="str">
        <f>HYPERLINK("https://dpmzos25m8ivg.cloudfront.net/Documentos/631/81877048968/6318187704896811092023032227.pdf","https://dpmzos25m8ivg.cloudfront.net/Documentos/631/81877048968/6318187704896811092023032227.pdf")</f>
        <v>https://dpmzos25m8ivg.cloudfront.net/Documentos/631/81877048968/6318187704896811092023032227.pdf</v>
      </c>
      <c r="F8053" s="5" t="str">
        <f>HYPERLINK("https://dpmzos25m8ivg.cloudfront.net/Documentos/631/81877048968/6318187704896811092023032244.pdf","https://dpmzos25m8ivg.cloudfront.net/Documentos/631/81877048968/6318187704896811092023032244.pdf")</f>
        <v>https://dpmzos25m8ivg.cloudfront.net/Documentos/631/81877048968/6318187704896811092023032244.pdf</v>
      </c>
      <c r="G8053" s="5" t="str">
        <f>HYPERLINK("https://dpmzos25m8ivg.cloudfront.net/Documentos/631/81877048968/6318187704896811092023032300.pdf","https://dpmzos25m8ivg.cloudfront.net/Documentos/631/81877048968/6318187704896811092023032300.pdf")</f>
        <v>https://dpmzos25m8ivg.cloudfront.net/Documentos/631/81877048968/6318187704896811092023032300.pdf</v>
      </c>
      <c r="H8053" s="5" t="s">
        <v>16621</v>
      </c>
    </row>
    <row r="8054" spans="1:8" x14ac:dyDescent="0.25">
      <c r="A8054" s="2" t="s">
        <v>8082</v>
      </c>
      <c r="B8054" s="3"/>
      <c r="C8054" s="3"/>
      <c r="D8054" s="3"/>
      <c r="E8054" s="5" t="str">
        <f>HYPERLINK("https://dpmzos25m8ivg.cloudfront.net/Documentos/631/81910428272/6318191042827207092023105916.jpg","https://dpmzos25m8ivg.cloudfront.net/Documentos/631/81910428272/6318191042827207092023105916.jpg")</f>
        <v>https://dpmzos25m8ivg.cloudfront.net/Documentos/631/81910428272/6318191042827207092023105916.jpg</v>
      </c>
      <c r="F8054" s="5" t="str">
        <f>HYPERLINK("https://dpmzos25m8ivg.cloudfront.net/Documentos/631/81910428272/6318191042827207092023105953.jpg","https://dpmzos25m8ivg.cloudfront.net/Documentos/631/81910428272/6318191042827207092023105953.jpg")</f>
        <v>https://dpmzos25m8ivg.cloudfront.net/Documentos/631/81910428272/6318191042827207092023105953.jpg</v>
      </c>
      <c r="G8054" s="5" t="str">
        <f>HYPERLINK("https://dpmzos25m8ivg.cloudfront.net/Documentos/631/81910428272/6318191042827207092023110017.jpg","https://dpmzos25m8ivg.cloudfront.net/Documentos/631/81910428272/6318191042827207092023110017.jpg")</f>
        <v>https://dpmzos25m8ivg.cloudfront.net/Documentos/631/81910428272/6318191042827207092023110017.jpg</v>
      </c>
      <c r="H8054" s="5" t="s">
        <v>16622</v>
      </c>
    </row>
    <row r="8055" spans="1:8" x14ac:dyDescent="0.25">
      <c r="A8055" s="2" t="s">
        <v>8083</v>
      </c>
      <c r="B8055" s="3"/>
      <c r="C8055" s="3"/>
      <c r="D8055" s="3"/>
      <c r="E8055" s="5" t="str">
        <f>HYPERLINK("https://dpmzos25m8ivg.cloudfront.net/Documentos/631/81959885553/6318195988555310092023164136.pdf","https://dpmzos25m8ivg.cloudfront.net/Documentos/631/81959885553/6318195988555310092023164136.pdf")</f>
        <v>https://dpmzos25m8ivg.cloudfront.net/Documentos/631/81959885553/6318195988555310092023164136.pdf</v>
      </c>
      <c r="F8055" s="5" t="str">
        <f>HYPERLINK("https://dpmzos25m8ivg.cloudfront.net/Documentos/631/81959885553/6318195988555310092023164155.pdf","https://dpmzos25m8ivg.cloudfront.net/Documentos/631/81959885553/6318195988555310092023164155.pdf")</f>
        <v>https://dpmzos25m8ivg.cloudfront.net/Documentos/631/81959885553/6318195988555310092023164155.pdf</v>
      </c>
      <c r="G8055" s="5" t="str">
        <f>HYPERLINK("https://dpmzos25m8ivg.cloudfront.net/Documentos/631/81959885553/6318195988555310092023164223.pdf","https://dpmzos25m8ivg.cloudfront.net/Documentos/631/81959885553/6318195988555310092023164223.pdf")</f>
        <v>https://dpmzos25m8ivg.cloudfront.net/Documentos/631/81959885553/6318195988555310092023164223.pdf</v>
      </c>
      <c r="H8055" s="5" t="s">
        <v>16623</v>
      </c>
    </row>
    <row r="8056" spans="1:8" x14ac:dyDescent="0.25">
      <c r="A8056" s="2" t="s">
        <v>8084</v>
      </c>
      <c r="B8056" s="3" t="s">
        <v>23</v>
      </c>
      <c r="C8056" s="3"/>
      <c r="D8056" s="3"/>
      <c r="E8056" s="5" t="str">
        <f>HYPERLINK("https://dpmzos25m8ivg.cloudfront.net/Documentos/631/81971885568/6318197188556811092023094108.pdf","https://dpmzos25m8ivg.cloudfront.net/Documentos/631/81971885568/6318197188556811092023094108.pdf")</f>
        <v>https://dpmzos25m8ivg.cloudfront.net/Documentos/631/81971885568/6318197188556811092023094108.pdf</v>
      </c>
      <c r="F8056" s="5" t="str">
        <f>HYPERLINK("https://dpmzos25m8ivg.cloudfront.net/Documentos/631/81971885568/6318197188556811092023094117.pdf","https://dpmzos25m8ivg.cloudfront.net/Documentos/631/81971885568/6318197188556811092023094117.pdf")</f>
        <v>https://dpmzos25m8ivg.cloudfront.net/Documentos/631/81971885568/6318197188556811092023094117.pdf</v>
      </c>
      <c r="G8056" s="5" t="str">
        <f>HYPERLINK("https://dpmzos25m8ivg.cloudfront.net/Documentos/631/81971885568/6318197188556811092023094124.pdf","https://dpmzos25m8ivg.cloudfront.net/Documentos/631/81971885568/6318197188556811092023094124.pdf")</f>
        <v>https://dpmzos25m8ivg.cloudfront.net/Documentos/631/81971885568/6318197188556811092023094124.pdf</v>
      </c>
      <c r="H8056" s="5" t="s">
        <v>16624</v>
      </c>
    </row>
    <row r="8057" spans="1:8" x14ac:dyDescent="0.25">
      <c r="A8057" s="2" t="s">
        <v>8085</v>
      </c>
      <c r="B8057" s="3" t="s">
        <v>312</v>
      </c>
      <c r="C8057" s="3"/>
      <c r="D8057" s="3"/>
      <c r="E8057" s="5" t="str">
        <f>HYPERLINK("https://dpmzos25m8ivg.cloudfront.net/Documentos/631/82042462500/6318204246250005092023130453.jpeg","https://dpmzos25m8ivg.cloudfront.net/Documentos/631/82042462500/6318204246250005092023130453.jpeg")</f>
        <v>https://dpmzos25m8ivg.cloudfront.net/Documentos/631/82042462500/6318204246250005092023130453.jpeg</v>
      </c>
      <c r="F8057" s="5" t="str">
        <f>HYPERLINK("https://dpmzos25m8ivg.cloudfront.net/Documentos/631/82042462500/6318204246250004092023222931.jpeg","https://dpmzos25m8ivg.cloudfront.net/Documentos/631/82042462500/6318204246250004092023222931.jpeg")</f>
        <v>https://dpmzos25m8ivg.cloudfront.net/Documentos/631/82042462500/6318204246250004092023222931.jpeg</v>
      </c>
      <c r="G8057" s="5" t="str">
        <f>HYPERLINK("https://dpmzos25m8ivg.cloudfront.net/Documentos/631/82042462500/6318204246250005092023130501.jpeg","https://dpmzos25m8ivg.cloudfront.net/Documentos/631/82042462500/6318204246250005092023130501.jpeg")</f>
        <v>https://dpmzos25m8ivg.cloudfront.net/Documentos/631/82042462500/6318204246250005092023130501.jpeg</v>
      </c>
      <c r="H8057" s="5" t="s">
        <v>16625</v>
      </c>
    </row>
    <row r="8058" spans="1:8" x14ac:dyDescent="0.25">
      <c r="A8058" s="2" t="s">
        <v>8086</v>
      </c>
      <c r="B8058" s="3" t="s">
        <v>308</v>
      </c>
      <c r="C8058" s="3"/>
      <c r="D8058" s="3"/>
      <c r="E8058" s="5" t="str">
        <f>HYPERLINK("https://dpmzos25m8ivg.cloudfront.net/Documentos/631/82088373500/6318208837350005092023171508.pdf","https://dpmzos25m8ivg.cloudfront.net/Documentos/631/82088373500/6318208837350005092023171508.pdf")</f>
        <v>https://dpmzos25m8ivg.cloudfront.net/Documentos/631/82088373500/6318208837350005092023171508.pdf</v>
      </c>
      <c r="F8058" s="5" t="str">
        <f>HYPERLINK("https://dpmzos25m8ivg.cloudfront.net/Documentos/631/82088373500/6318208837350005092023171536.pdf","https://dpmzos25m8ivg.cloudfront.net/Documentos/631/82088373500/6318208837350005092023171536.pdf")</f>
        <v>https://dpmzos25m8ivg.cloudfront.net/Documentos/631/82088373500/6318208837350005092023171536.pdf</v>
      </c>
      <c r="G8058" s="5" t="str">
        <f>HYPERLINK("https://dpmzos25m8ivg.cloudfront.net/Documentos/631/82088373500/6318208837350005092023171522.pdf","https://dpmzos25m8ivg.cloudfront.net/Documentos/631/82088373500/6318208837350005092023171522.pdf")</f>
        <v>https://dpmzos25m8ivg.cloudfront.net/Documentos/631/82088373500/6318208837350005092023171522.pdf</v>
      </c>
      <c r="H8058" s="5" t="s">
        <v>16626</v>
      </c>
    </row>
    <row r="8059" spans="1:8" x14ac:dyDescent="0.25">
      <c r="A8059" s="2" t="s">
        <v>8087</v>
      </c>
      <c r="B8059" s="3"/>
      <c r="C8059" s="3"/>
      <c r="D8059" s="3"/>
      <c r="E8059" s="5" t="str">
        <f>HYPERLINK("https://dpmzos25m8ivg.cloudfront.net/Documentos/631/82131775334/6318213177533405092023105633.jpg","https://dpmzos25m8ivg.cloudfront.net/Documentos/631/82131775334/6318213177533405092023105633.jpg")</f>
        <v>https://dpmzos25m8ivg.cloudfront.net/Documentos/631/82131775334/6318213177533405092023105633.jpg</v>
      </c>
      <c r="F8059" s="5" t="str">
        <f>HYPERLINK("https://dpmzos25m8ivg.cloudfront.net/Documentos/631/82131775334/6318213177533405092023110134.jpg","https://dpmzos25m8ivg.cloudfront.net/Documentos/631/82131775334/6318213177533405092023110134.jpg")</f>
        <v>https://dpmzos25m8ivg.cloudfront.net/Documentos/631/82131775334/6318213177533405092023110134.jpg</v>
      </c>
      <c r="G8059" s="5" t="str">
        <f>HYPERLINK("https://dpmzos25m8ivg.cloudfront.net/Documentos/631/82131775334/6318213177533405092023110039.jpg","https://dpmzos25m8ivg.cloudfront.net/Documentos/631/82131775334/6318213177533405092023110039.jpg")</f>
        <v>https://dpmzos25m8ivg.cloudfront.net/Documentos/631/82131775334/6318213177533405092023110039.jpg</v>
      </c>
      <c r="H8059" s="5" t="s">
        <v>16627</v>
      </c>
    </row>
    <row r="8060" spans="1:8" x14ac:dyDescent="0.25">
      <c r="A8060" s="2" t="s">
        <v>8088</v>
      </c>
      <c r="B8060" s="3" t="s">
        <v>312</v>
      </c>
      <c r="C8060" s="3"/>
      <c r="D8060" s="3"/>
      <c r="E8060" s="5" t="str">
        <f>HYPERLINK("https://dpmzos25m8ivg.cloudfront.net/Documentos/631/82143692587/6318214369258711092023120508.pdf","https://dpmzos25m8ivg.cloudfront.net/Documentos/631/82143692587/6318214369258711092023120508.pdf")</f>
        <v>https://dpmzos25m8ivg.cloudfront.net/Documentos/631/82143692587/6318214369258711092023120508.pdf</v>
      </c>
      <c r="F8060" s="5" t="str">
        <f>HYPERLINK("https://dpmzos25m8ivg.cloudfront.net/Documentos/631/82143692587/6318214369258711092023120519.pdf","https://dpmzos25m8ivg.cloudfront.net/Documentos/631/82143692587/6318214369258711092023120519.pdf")</f>
        <v>https://dpmzos25m8ivg.cloudfront.net/Documentos/631/82143692587/6318214369258711092023120519.pdf</v>
      </c>
      <c r="G8060" s="5" t="str">
        <f>HYPERLINK("https://dpmzos25m8ivg.cloudfront.net/Documentos/631/82143692587/6318214369258711092023120529.pdf","https://dpmzos25m8ivg.cloudfront.net/Documentos/631/82143692587/6318214369258711092023120529.pdf")</f>
        <v>https://dpmzos25m8ivg.cloudfront.net/Documentos/631/82143692587/6318214369258711092023120529.pdf</v>
      </c>
      <c r="H8060" s="5" t="s">
        <v>16628</v>
      </c>
    </row>
    <row r="8061" spans="1:8" x14ac:dyDescent="0.25">
      <c r="A8061" s="2" t="s">
        <v>8089</v>
      </c>
      <c r="B8061" s="3"/>
      <c r="C8061" s="3"/>
      <c r="D8061" s="3"/>
      <c r="E8061" s="5" t="str">
        <f>HYPERLINK("https://dpmzos25m8ivg.cloudfront.net/Documentos/631/82147205249/6318214720524908092023163316.pdf","https://dpmzos25m8ivg.cloudfront.net/Documentos/631/82147205249/6318214720524908092023163316.pdf")</f>
        <v>https://dpmzos25m8ivg.cloudfront.net/Documentos/631/82147205249/6318214720524908092023163316.pdf</v>
      </c>
      <c r="F8061" s="5" t="str">
        <f>HYPERLINK("https://dpmzos25m8ivg.cloudfront.net/Documentos/631/82147205249/6318214720524908092023163334.pdf","https://dpmzos25m8ivg.cloudfront.net/Documentos/631/82147205249/6318214720524908092023163334.pdf")</f>
        <v>https://dpmzos25m8ivg.cloudfront.net/Documentos/631/82147205249/6318214720524908092023163334.pdf</v>
      </c>
      <c r="G8061" s="5" t="str">
        <f>HYPERLINK("https://dpmzos25m8ivg.cloudfront.net/Documentos/631/82147205249/6318214720524908092023163353.pdf","https://dpmzos25m8ivg.cloudfront.net/Documentos/631/82147205249/6318214720524908092023163353.pdf")</f>
        <v>https://dpmzos25m8ivg.cloudfront.net/Documentos/631/82147205249/6318214720524908092023163353.pdf</v>
      </c>
      <c r="H8061" s="5" t="s">
        <v>16629</v>
      </c>
    </row>
    <row r="8062" spans="1:8" x14ac:dyDescent="0.25">
      <c r="A8062" s="2" t="s">
        <v>8090</v>
      </c>
      <c r="B8062" s="3"/>
      <c r="C8062" s="3"/>
      <c r="D8062" s="3"/>
      <c r="E8062" s="5" t="str">
        <f>HYPERLINK("https://dpmzos25m8ivg.cloudfront.net/Documentos/631/82202567100/6318220256710006092023102037.pdf","https://dpmzos25m8ivg.cloudfront.net/Documentos/631/82202567100/6318220256710006092023102037.pdf")</f>
        <v>https://dpmzos25m8ivg.cloudfront.net/Documentos/631/82202567100/6318220256710006092023102037.pdf</v>
      </c>
      <c r="F8062" s="5" t="str">
        <f>HYPERLINK("https://dpmzos25m8ivg.cloudfront.net/Documentos/631/82202567100/6318220256710006092023102046.pdf","https://dpmzos25m8ivg.cloudfront.net/Documentos/631/82202567100/6318220256710006092023102046.pdf")</f>
        <v>https://dpmzos25m8ivg.cloudfront.net/Documentos/631/82202567100/6318220256710006092023102046.pdf</v>
      </c>
      <c r="G8062" s="5" t="str">
        <f>HYPERLINK("https://dpmzos25m8ivg.cloudfront.net/Documentos/631/82202567100/6318220256710006092023102101.pdf","https://dpmzos25m8ivg.cloudfront.net/Documentos/631/82202567100/6318220256710006092023102101.pdf")</f>
        <v>https://dpmzos25m8ivg.cloudfront.net/Documentos/631/82202567100/6318220256710006092023102101.pdf</v>
      </c>
      <c r="H8062" s="5" t="s">
        <v>16630</v>
      </c>
    </row>
    <row r="8063" spans="1:8" x14ac:dyDescent="0.25">
      <c r="A8063" s="2" t="s">
        <v>8091</v>
      </c>
      <c r="B8063" s="3"/>
      <c r="C8063" s="3"/>
      <c r="D8063" s="3"/>
      <c r="E8063" s="5" t="str">
        <f>HYPERLINK("https://dpmzos25m8ivg.cloudfront.net/Documentos/631/82225710520/6318222571052014092023130958.pdf","https://dpmzos25m8ivg.cloudfront.net/Documentos/631/82225710520/6318222571052014092023130958.pdf")</f>
        <v>https://dpmzos25m8ivg.cloudfront.net/Documentos/631/82225710520/6318222571052014092023130958.pdf</v>
      </c>
      <c r="F8063" s="5" t="str">
        <f>HYPERLINK("https://dpmzos25m8ivg.cloudfront.net/Documentos/631/82225710520/6318222571052014092023131006.pdf","https://dpmzos25m8ivg.cloudfront.net/Documentos/631/82225710520/6318222571052014092023131006.pdf")</f>
        <v>https://dpmzos25m8ivg.cloudfront.net/Documentos/631/82225710520/6318222571052014092023131006.pdf</v>
      </c>
      <c r="G8063" s="5" t="str">
        <f>HYPERLINK("https://dpmzos25m8ivg.cloudfront.net/Documentos/631/82225710520/6318222571052014092023131014.pdf","https://dpmzos25m8ivg.cloudfront.net/Documentos/631/82225710520/6318222571052014092023131014.pdf")</f>
        <v>https://dpmzos25m8ivg.cloudfront.net/Documentos/631/82225710520/6318222571052014092023131014.pdf</v>
      </c>
      <c r="H8063" s="5" t="s">
        <v>16631</v>
      </c>
    </row>
    <row r="8064" spans="1:8" x14ac:dyDescent="0.25">
      <c r="A8064" s="14" t="s">
        <v>8092</v>
      </c>
      <c r="B8064" s="15" t="s">
        <v>312</v>
      </c>
      <c r="C8064" s="3"/>
      <c r="D8064" s="3"/>
      <c r="E8064" s="9" t="str">
        <f>HYPERLINK("https://dpmzos25m8ivg.cloudfront.net/Documentos/631/82293147487/6318229314748712092023175042.pdf","https://dpmzos25m8ivg.cloudfront.net/Documentos/631/82293147487/6318229314748712092023175042.pdf")</f>
        <v>https://dpmzos25m8ivg.cloudfront.net/Documentos/631/82293147487/6318229314748712092023175042.pdf</v>
      </c>
      <c r="F8064" s="9" t="str">
        <f>HYPERLINK("https://dpmzos25m8ivg.cloudfront.net/Documentos/631/82293147487/6318229314748712092023175102.pdf","https://dpmzos25m8ivg.cloudfront.net/Documentos/631/82293147487/6318229314748712092023175102.pdf")</f>
        <v>https://dpmzos25m8ivg.cloudfront.net/Documentos/631/82293147487/6318229314748712092023175102.pdf</v>
      </c>
      <c r="G8064" s="9" t="str">
        <f>HYPERLINK("https://dpmzos25m8ivg.cloudfront.net/Documentos/631/82293147487/6318229314748712092023175118.pdf","https://dpmzos25m8ivg.cloudfront.net/Documentos/631/82293147487/6318229314748712092023175118.pdf")</f>
        <v>https://dpmzos25m8ivg.cloudfront.net/Documentos/631/82293147487/6318229314748712092023175118.pdf</v>
      </c>
      <c r="H8064" s="9" t="s">
        <v>16632</v>
      </c>
    </row>
    <row r="8065" spans="1:8" x14ac:dyDescent="0.25">
      <c r="A8065" s="2" t="s">
        <v>8093</v>
      </c>
      <c r="B8065" s="3"/>
      <c r="C8065" s="3"/>
      <c r="D8065" s="3"/>
      <c r="E8065" s="5" t="str">
        <f>HYPERLINK("https://dpmzos25m8ivg.cloudfront.net/Documentos/631/82326045572/6318232604557205092023133401.jpeg","https://dpmzos25m8ivg.cloudfront.net/Documentos/631/82326045572/6318232604557205092023133401.jpeg")</f>
        <v>https://dpmzos25m8ivg.cloudfront.net/Documentos/631/82326045572/6318232604557205092023133401.jpeg</v>
      </c>
      <c r="F8065" s="5" t="str">
        <f>HYPERLINK("https://dpmzos25m8ivg.cloudfront.net/Documentos/631/82326045572/6318232604557205092023133412.jpeg","https://dpmzos25m8ivg.cloudfront.net/Documentos/631/82326045572/6318232604557205092023133412.jpeg")</f>
        <v>https://dpmzos25m8ivg.cloudfront.net/Documentos/631/82326045572/6318232604557205092023133412.jpeg</v>
      </c>
      <c r="G8065" s="5" t="str">
        <f>HYPERLINK("https://dpmzos25m8ivg.cloudfront.net/Documentos/631/82326045572/6318232604557205092023133421.jpeg","https://dpmzos25m8ivg.cloudfront.net/Documentos/631/82326045572/6318232604557205092023133421.jpeg")</f>
        <v>https://dpmzos25m8ivg.cloudfront.net/Documentos/631/82326045572/6318232604557205092023133421.jpeg</v>
      </c>
      <c r="H8065" s="5" t="s">
        <v>16633</v>
      </c>
    </row>
    <row r="8066" spans="1:8" x14ac:dyDescent="0.25">
      <c r="A8066" s="2" t="s">
        <v>8094</v>
      </c>
      <c r="B8066" s="3"/>
      <c r="C8066" s="3"/>
      <c r="D8066" s="3"/>
      <c r="E8066" s="5" t="str">
        <f>HYPERLINK("https://dpmzos25m8ivg.cloudfront.net/Documentos/631/82428840568/6318242884056808092023182418.pdf","https://dpmzos25m8ivg.cloudfront.net/Documentos/631/82428840568/6318242884056808092023182418.pdf")</f>
        <v>https://dpmzos25m8ivg.cloudfront.net/Documentos/631/82428840568/6318242884056808092023182418.pdf</v>
      </c>
      <c r="F8066" s="5" t="str">
        <f>HYPERLINK("https://dpmzos25m8ivg.cloudfront.net/Documentos/631/82428840568/6318242884056808092023182410.pdf","https://dpmzos25m8ivg.cloudfront.net/Documentos/631/82428840568/6318242884056808092023182410.pdf")</f>
        <v>https://dpmzos25m8ivg.cloudfront.net/Documentos/631/82428840568/6318242884056808092023182410.pdf</v>
      </c>
      <c r="G8066" s="5" t="str">
        <f>HYPERLINK("https://dpmzos25m8ivg.cloudfront.net/Documentos/631/82428840568/6318242884056808092023182401.pdf","https://dpmzos25m8ivg.cloudfront.net/Documentos/631/82428840568/6318242884056808092023182401.pdf")</f>
        <v>https://dpmzos25m8ivg.cloudfront.net/Documentos/631/82428840568/6318242884056808092023182401.pdf</v>
      </c>
      <c r="H8066" s="5" t="s">
        <v>16634</v>
      </c>
    </row>
    <row r="8067" spans="1:8" x14ac:dyDescent="0.25">
      <c r="A8067" s="2" t="s">
        <v>8095</v>
      </c>
      <c r="B8067" s="3" t="s">
        <v>23</v>
      </c>
      <c r="C8067" s="3"/>
      <c r="D8067" s="3"/>
      <c r="E8067" s="5" t="str">
        <f>HYPERLINK("https://dpmzos25m8ivg.cloudfront.net/Documentos/631/82430195534/6318243019553410092023213639.pdf","https://dpmzos25m8ivg.cloudfront.net/Documentos/631/82430195534/6318243019553410092023213639.pdf")</f>
        <v>https://dpmzos25m8ivg.cloudfront.net/Documentos/631/82430195534/6318243019553410092023213639.pdf</v>
      </c>
      <c r="F8067" s="5" t="str">
        <f>HYPERLINK("https://dpmzos25m8ivg.cloudfront.net/Documentos/631/82430195534/6318243019553410092023213655.pdf","https://dpmzos25m8ivg.cloudfront.net/Documentos/631/82430195534/6318243019553410092023213655.pdf")</f>
        <v>https://dpmzos25m8ivg.cloudfront.net/Documentos/631/82430195534/6318243019553410092023213655.pdf</v>
      </c>
      <c r="G8067" s="5" t="str">
        <f>HYPERLINK("https://dpmzos25m8ivg.cloudfront.net/Documentos/631/82430195534/6318243019553410092023213706.pdf","https://dpmzos25m8ivg.cloudfront.net/Documentos/631/82430195534/6318243019553410092023213706.pdf")</f>
        <v>https://dpmzos25m8ivg.cloudfront.net/Documentos/631/82430195534/6318243019553410092023213706.pdf</v>
      </c>
      <c r="H8067" s="5" t="s">
        <v>16635</v>
      </c>
    </row>
    <row r="8068" spans="1:8" x14ac:dyDescent="0.25">
      <c r="A8068" s="2" t="s">
        <v>8096</v>
      </c>
      <c r="B8068" s="3"/>
      <c r="C8068" s="3"/>
      <c r="D8068" s="3"/>
      <c r="E8068" s="5" t="str">
        <f>HYPERLINK("https://dpmzos25m8ivg.cloudfront.net/Documentos/631/82470049172/6318247004917207092023060307.pdf","https://dpmzos25m8ivg.cloudfront.net/Documentos/631/82470049172/6318247004917207092023060307.pdf")</f>
        <v>https://dpmzos25m8ivg.cloudfront.net/Documentos/631/82470049172/6318247004917207092023060307.pdf</v>
      </c>
      <c r="F8068" s="5" t="str">
        <f>HYPERLINK("https://dpmzos25m8ivg.cloudfront.net/Documentos/631/82470049172/6318247004917207092023060337.pdf","https://dpmzos25m8ivg.cloudfront.net/Documentos/631/82470049172/6318247004917207092023060337.pdf")</f>
        <v>https://dpmzos25m8ivg.cloudfront.net/Documentos/631/82470049172/6318247004917207092023060337.pdf</v>
      </c>
      <c r="G8068" s="5" t="str">
        <f>HYPERLINK("https://dpmzos25m8ivg.cloudfront.net/Documentos/631/82470049172/6318247004917207092023060358.pdf","https://dpmzos25m8ivg.cloudfront.net/Documentos/631/82470049172/6318247004917207092023060358.pdf")</f>
        <v>https://dpmzos25m8ivg.cloudfront.net/Documentos/631/82470049172/6318247004917207092023060358.pdf</v>
      </c>
      <c r="H8068" s="5" t="s">
        <v>16636</v>
      </c>
    </row>
    <row r="8069" spans="1:8" x14ac:dyDescent="0.25">
      <c r="A8069" s="2" t="s">
        <v>8097</v>
      </c>
      <c r="B8069" s="3"/>
      <c r="C8069" s="3"/>
      <c r="D8069" s="3"/>
      <c r="E8069" s="5" t="str">
        <f>HYPERLINK("https://dpmzos25m8ivg.cloudfront.net/Documentos/631/82560315068/6318256031506811092023162844.pdf","https://dpmzos25m8ivg.cloudfront.net/Documentos/631/82560315068/6318256031506811092023162844.pdf")</f>
        <v>https://dpmzos25m8ivg.cloudfront.net/Documentos/631/82560315068/6318256031506811092023162844.pdf</v>
      </c>
      <c r="F8069" s="5" t="str">
        <f>HYPERLINK("https://dpmzos25m8ivg.cloudfront.net/Documentos/631/82560315068/6318256031506811092023162919.pdf","https://dpmzos25m8ivg.cloudfront.net/Documentos/631/82560315068/6318256031506811092023162919.pdf")</f>
        <v>https://dpmzos25m8ivg.cloudfront.net/Documentos/631/82560315068/6318256031506811092023162919.pdf</v>
      </c>
      <c r="G8069" s="5" t="str">
        <f>HYPERLINK("https://dpmzos25m8ivg.cloudfront.net/Documentos/631/82560315068/6318256031506811092023162953.pdf","https://dpmzos25m8ivg.cloudfront.net/Documentos/631/82560315068/6318256031506811092023162953.pdf")</f>
        <v>https://dpmzos25m8ivg.cloudfront.net/Documentos/631/82560315068/6318256031506811092023162953.pdf</v>
      </c>
      <c r="H8069" s="5" t="s">
        <v>16637</v>
      </c>
    </row>
    <row r="8070" spans="1:8" x14ac:dyDescent="0.25">
      <c r="A8070" s="2" t="s">
        <v>8098</v>
      </c>
      <c r="B8070" s="3" t="s">
        <v>23</v>
      </c>
      <c r="C8070" s="3"/>
      <c r="D8070" s="3"/>
      <c r="E8070" s="5" t="str">
        <f>HYPERLINK("https://dpmzos25m8ivg.cloudfront.net/Documentos/631/82574049004/6318257404900409092023213313.jpg","https://dpmzos25m8ivg.cloudfront.net/Documentos/631/82574049004/6318257404900409092023213313.jpg")</f>
        <v>https://dpmzos25m8ivg.cloudfront.net/Documentos/631/82574049004/6318257404900409092023213313.jpg</v>
      </c>
      <c r="F8070" s="5" t="str">
        <f>HYPERLINK("https://dpmzos25m8ivg.cloudfront.net/Documentos/631/82574049004/6318257404900409092023213422.jpg","https://dpmzos25m8ivg.cloudfront.net/Documentos/631/82574049004/6318257404900409092023213422.jpg")</f>
        <v>https://dpmzos25m8ivg.cloudfront.net/Documentos/631/82574049004/6318257404900409092023213422.jpg</v>
      </c>
      <c r="G8070" s="5" t="str">
        <f>HYPERLINK("https://dpmzos25m8ivg.cloudfront.net/Documentos/631/82574049004/6318257404900409092023213715.jpg","https://dpmzos25m8ivg.cloudfront.net/Documentos/631/82574049004/6318257404900409092023213715.jpg")</f>
        <v>https://dpmzos25m8ivg.cloudfront.net/Documentos/631/82574049004/6318257404900409092023213715.jpg</v>
      </c>
      <c r="H8070" s="5" t="s">
        <v>16638</v>
      </c>
    </row>
    <row r="8071" spans="1:8" x14ac:dyDescent="0.25">
      <c r="A8071" s="2" t="s">
        <v>8099</v>
      </c>
      <c r="B8071" s="3"/>
      <c r="C8071" s="3"/>
      <c r="D8071" s="3"/>
      <c r="E8071" s="5" t="str">
        <f>HYPERLINK("https://dpmzos25m8ivg.cloudfront.net/Documentos/631/82578621268/6318257862126809092023234745.jpeg","https://dpmzos25m8ivg.cloudfront.net/Documentos/631/82578621268/6318257862126809092023234745.jpeg")</f>
        <v>https://dpmzos25m8ivg.cloudfront.net/Documentos/631/82578621268/6318257862126809092023234745.jpeg</v>
      </c>
      <c r="F8071" s="5" t="str">
        <f>HYPERLINK("https://dpmzos25m8ivg.cloudfront.net/Documentos/631/82578621268/6318257862126809092023234756.jpeg","https://dpmzos25m8ivg.cloudfront.net/Documentos/631/82578621268/6318257862126809092023234756.jpeg")</f>
        <v>https://dpmzos25m8ivg.cloudfront.net/Documentos/631/82578621268/6318257862126809092023234756.jpeg</v>
      </c>
      <c r="G8071" s="5" t="str">
        <f>HYPERLINK("https://dpmzos25m8ivg.cloudfront.net/Documentos/631/82578621268/6318257862126809092023234807.jpeg","https://dpmzos25m8ivg.cloudfront.net/Documentos/631/82578621268/6318257862126809092023234807.jpeg")</f>
        <v>https://dpmzos25m8ivg.cloudfront.net/Documentos/631/82578621268/6318257862126809092023234807.jpeg</v>
      </c>
      <c r="H8071" s="5" t="s">
        <v>16639</v>
      </c>
    </row>
    <row r="8072" spans="1:8" x14ac:dyDescent="0.25">
      <c r="A8072" s="2" t="s">
        <v>8100</v>
      </c>
      <c r="B8072" s="3"/>
      <c r="C8072" s="3"/>
      <c r="D8072" s="3"/>
      <c r="E8072" s="5" t="str">
        <f>HYPERLINK("https://dpmzos25m8ivg.cloudfront.net/Documentos/631/82580529004/6318258052900406092023145345.pdf","https://dpmzos25m8ivg.cloudfront.net/Documentos/631/82580529004/6318258052900406092023145345.pdf")</f>
        <v>https://dpmzos25m8ivg.cloudfront.net/Documentos/631/82580529004/6318258052900406092023145345.pdf</v>
      </c>
      <c r="F8072" s="5" t="str">
        <f>HYPERLINK("https://dpmzos25m8ivg.cloudfront.net/Documentos/631/82580529004/6318258052900406092023145356.pdf","https://dpmzos25m8ivg.cloudfront.net/Documentos/631/82580529004/6318258052900406092023145356.pdf")</f>
        <v>https://dpmzos25m8ivg.cloudfront.net/Documentos/631/82580529004/6318258052900406092023145356.pdf</v>
      </c>
      <c r="G8072" s="5" t="str">
        <f>HYPERLINK("https://dpmzos25m8ivg.cloudfront.net/Documentos/631/82580529004/6318258052900406092023145405.pdf","https://dpmzos25m8ivg.cloudfront.net/Documentos/631/82580529004/6318258052900406092023145405.pdf")</f>
        <v>https://dpmzos25m8ivg.cloudfront.net/Documentos/631/82580529004/6318258052900406092023145405.pdf</v>
      </c>
      <c r="H8072" s="5" t="s">
        <v>16640</v>
      </c>
    </row>
    <row r="8073" spans="1:8" x14ac:dyDescent="0.25">
      <c r="A8073" s="2" t="s">
        <v>8101</v>
      </c>
      <c r="B8073" s="3"/>
      <c r="C8073" s="3"/>
      <c r="D8073" s="3"/>
      <c r="E8073" s="5" t="str">
        <f>HYPERLINK("https://dpmzos25m8ivg.cloudfront.net/Documentos/631/82591067520/6318259106752005092023225818.pdf","https://dpmzos25m8ivg.cloudfront.net/Documentos/631/82591067520/6318259106752005092023225818.pdf")</f>
        <v>https://dpmzos25m8ivg.cloudfront.net/Documentos/631/82591067520/6318259106752005092023225818.pdf</v>
      </c>
      <c r="F8073" s="5" t="str">
        <f>HYPERLINK("https://dpmzos25m8ivg.cloudfront.net/Documentos/631/82591067520/6318259106752005092023225840.pdf","https://dpmzos25m8ivg.cloudfront.net/Documentos/631/82591067520/6318259106752005092023225840.pdf")</f>
        <v>https://dpmzos25m8ivg.cloudfront.net/Documentos/631/82591067520/6318259106752005092023225840.pdf</v>
      </c>
      <c r="G8073" s="5" t="str">
        <f>HYPERLINK("https://dpmzos25m8ivg.cloudfront.net/Documentos/631/82591067520/6318259106752005092023225914.pdf","https://dpmzos25m8ivg.cloudfront.net/Documentos/631/82591067520/6318259106752005092023225914.pdf")</f>
        <v>https://dpmzos25m8ivg.cloudfront.net/Documentos/631/82591067520/6318259106752005092023225914.pdf</v>
      </c>
      <c r="H8073" s="5" t="s">
        <v>16641</v>
      </c>
    </row>
    <row r="8074" spans="1:8" x14ac:dyDescent="0.25">
      <c r="A8074" s="2" t="s">
        <v>8102</v>
      </c>
      <c r="B8074" s="3"/>
      <c r="C8074" s="3"/>
      <c r="D8074" s="3"/>
      <c r="E8074" s="5" t="str">
        <f>HYPERLINK("https://dpmzos25m8ivg.cloudfront.net/Documentos/631/82600635220/6318260063522008092023175019.jpg","https://dpmzos25m8ivg.cloudfront.net/Documentos/631/82600635220/6318260063522008092023175019.jpg")</f>
        <v>https://dpmzos25m8ivg.cloudfront.net/Documentos/631/82600635220/6318260063522008092023175019.jpg</v>
      </c>
      <c r="F8074" s="5" t="str">
        <f>HYPERLINK("https://dpmzos25m8ivg.cloudfront.net/Documentos/631/82600635220/6318260063522008092023175029.jpg","https://dpmzos25m8ivg.cloudfront.net/Documentos/631/82600635220/6318260063522008092023175029.jpg")</f>
        <v>https://dpmzos25m8ivg.cloudfront.net/Documentos/631/82600635220/6318260063522008092023175029.jpg</v>
      </c>
      <c r="G8074" s="5" t="str">
        <f>HYPERLINK("https://dpmzos25m8ivg.cloudfront.net/Documentos/631/82600635220/6318260063522008092023175039.jpg","https://dpmzos25m8ivg.cloudfront.net/Documentos/631/82600635220/6318260063522008092023175039.jpg")</f>
        <v>https://dpmzos25m8ivg.cloudfront.net/Documentos/631/82600635220/6318260063522008092023175039.jpg</v>
      </c>
      <c r="H8074" s="5" t="s">
        <v>16642</v>
      </c>
    </row>
    <row r="8075" spans="1:8" x14ac:dyDescent="0.25">
      <c r="A8075" s="2" t="s">
        <v>8103</v>
      </c>
      <c r="B8075" s="3" t="s">
        <v>308</v>
      </c>
      <c r="C8075" s="3"/>
      <c r="D8075" s="3"/>
      <c r="E8075" s="5" t="str">
        <f>HYPERLINK("https://dpmzos25m8ivg.cloudfront.net/Documentos/631/82603561553/6318260356155307092023210645.jpg","https://dpmzos25m8ivg.cloudfront.net/Documentos/631/82603561553/6318260356155307092023210645.jpg")</f>
        <v>https://dpmzos25m8ivg.cloudfront.net/Documentos/631/82603561553/6318260356155307092023210645.jpg</v>
      </c>
      <c r="F8075" s="5" t="str">
        <f>HYPERLINK("https://dpmzos25m8ivg.cloudfront.net/Documentos/631/82603561553/6318260356155307092023210729.jpg","https://dpmzos25m8ivg.cloudfront.net/Documentos/631/82603561553/6318260356155307092023210729.jpg")</f>
        <v>https://dpmzos25m8ivg.cloudfront.net/Documentos/631/82603561553/6318260356155307092023210729.jpg</v>
      </c>
      <c r="G8075" s="5" t="str">
        <f>HYPERLINK("https://dpmzos25m8ivg.cloudfront.net/Documentos/631/82603561553/6318260356155307092023210757.jpg","https://dpmzos25m8ivg.cloudfront.net/Documentos/631/82603561553/6318260356155307092023210757.jpg")</f>
        <v>https://dpmzos25m8ivg.cloudfront.net/Documentos/631/82603561553/6318260356155307092023210757.jpg</v>
      </c>
      <c r="H8075" s="5" t="s">
        <v>16643</v>
      </c>
    </row>
    <row r="8076" spans="1:8" x14ac:dyDescent="0.25">
      <c r="A8076" s="2" t="s">
        <v>8104</v>
      </c>
      <c r="B8076" s="3"/>
      <c r="C8076" s="3"/>
      <c r="D8076" s="3"/>
      <c r="E8076" s="5" t="str">
        <f>HYPERLINK("https://dpmzos25m8ivg.cloudfront.net/Documentos/631/82634637420/6318263463742011092023153024.pdf","https://dpmzos25m8ivg.cloudfront.net/Documentos/631/82634637420/6318263463742011092023153024.pdf")</f>
        <v>https://dpmzos25m8ivg.cloudfront.net/Documentos/631/82634637420/6318263463742011092023153024.pdf</v>
      </c>
      <c r="F8076" s="5" t="str">
        <f>HYPERLINK("https://dpmzos25m8ivg.cloudfront.net/Documentos/631/82634637420/6318263463742011092023153046.pdf","https://dpmzos25m8ivg.cloudfront.net/Documentos/631/82634637420/6318263463742011092023153046.pdf")</f>
        <v>https://dpmzos25m8ivg.cloudfront.net/Documentos/631/82634637420/6318263463742011092023153046.pdf</v>
      </c>
      <c r="G8076" s="5" t="str">
        <f>HYPERLINK("https://dpmzos25m8ivg.cloudfront.net/Documentos/631/82634637420/6318263463742011092023153101.pdf","https://dpmzos25m8ivg.cloudfront.net/Documentos/631/82634637420/6318263463742011092023153101.pdf")</f>
        <v>https://dpmzos25m8ivg.cloudfront.net/Documentos/631/82634637420/6318263463742011092023153101.pdf</v>
      </c>
      <c r="H8076" s="5" t="s">
        <v>16644</v>
      </c>
    </row>
    <row r="8077" spans="1:8" x14ac:dyDescent="0.25">
      <c r="A8077" s="2" t="s">
        <v>8105</v>
      </c>
      <c r="B8077" s="3"/>
      <c r="C8077" s="3"/>
      <c r="D8077" s="3"/>
      <c r="E8077" s="5" t="str">
        <f>HYPERLINK("https://dpmzos25m8ivg.cloudfront.net/Documentos/631/82645094520/6318264509452011092023133049.pdf","https://dpmzos25m8ivg.cloudfront.net/Documentos/631/82645094520/6318264509452011092023133049.pdf")</f>
        <v>https://dpmzos25m8ivg.cloudfront.net/Documentos/631/82645094520/6318264509452011092023133049.pdf</v>
      </c>
      <c r="F8077" s="5" t="str">
        <f>HYPERLINK("https://dpmzos25m8ivg.cloudfront.net/Documentos/631/82645094520/6318264509452011092023133100.pdf","https://dpmzos25m8ivg.cloudfront.net/Documentos/631/82645094520/6318264509452011092023133100.pdf")</f>
        <v>https://dpmzos25m8ivg.cloudfront.net/Documentos/631/82645094520/6318264509452011092023133100.pdf</v>
      </c>
      <c r="G8077" s="5" t="str">
        <f>HYPERLINK("https://dpmzos25m8ivg.cloudfront.net/Documentos/631/82645094520/6318264509452011092023133111.pdf","https://dpmzos25m8ivg.cloudfront.net/Documentos/631/82645094520/6318264509452011092023133111.pdf")</f>
        <v>https://dpmzos25m8ivg.cloudfront.net/Documentos/631/82645094520/6318264509452011092023133111.pdf</v>
      </c>
      <c r="H8077" s="5" t="s">
        <v>16645</v>
      </c>
    </row>
    <row r="8078" spans="1:8" x14ac:dyDescent="0.25">
      <c r="A8078" s="2" t="s">
        <v>8106</v>
      </c>
      <c r="B8078" s="3"/>
      <c r="C8078" s="3"/>
      <c r="D8078" s="3"/>
      <c r="E8078" s="5" t="str">
        <f>HYPERLINK("https://dpmzos25m8ivg.cloudfront.net/Documentos/631/82697191291/6318269719129106092023215734.pdf","https://dpmzos25m8ivg.cloudfront.net/Documentos/631/82697191291/6318269719129106092023215734.pdf")</f>
        <v>https://dpmzos25m8ivg.cloudfront.net/Documentos/631/82697191291/6318269719129106092023215734.pdf</v>
      </c>
      <c r="F8078" s="5" t="str">
        <f>HYPERLINK("https://dpmzos25m8ivg.cloudfront.net/Documentos/631/82697191291/6318269719129106092023215743.pdf","https://dpmzos25m8ivg.cloudfront.net/Documentos/631/82697191291/6318269719129106092023215743.pdf")</f>
        <v>https://dpmzos25m8ivg.cloudfront.net/Documentos/631/82697191291/6318269719129106092023215743.pdf</v>
      </c>
      <c r="G8078" s="5" t="str">
        <f>HYPERLINK("https://dpmzos25m8ivg.cloudfront.net/Documentos/631/82697191291/6318269719129106092023215752.pdf","https://dpmzos25m8ivg.cloudfront.net/Documentos/631/82697191291/6318269719129106092023215752.pdf")</f>
        <v>https://dpmzos25m8ivg.cloudfront.net/Documentos/631/82697191291/6318269719129106092023215752.pdf</v>
      </c>
      <c r="H8078" s="5" t="s">
        <v>16646</v>
      </c>
    </row>
    <row r="8079" spans="1:8" x14ac:dyDescent="0.25">
      <c r="A8079" s="2" t="s">
        <v>8107</v>
      </c>
      <c r="B8079" s="3" t="s">
        <v>308</v>
      </c>
      <c r="C8079" s="3"/>
      <c r="D8079" s="3"/>
      <c r="E8079" s="5" t="str">
        <f>HYPERLINK("https://dpmzos25m8ivg.cloudfront.net/Documentos/631/82798087015/6318279808701511092023163101.pdf","https://dpmzos25m8ivg.cloudfront.net/Documentos/631/82798087015/6318279808701511092023163101.pdf")</f>
        <v>https://dpmzos25m8ivg.cloudfront.net/Documentos/631/82798087015/6318279808701511092023163101.pdf</v>
      </c>
      <c r="F8079" s="5" t="str">
        <f>HYPERLINK("https://dpmzos25m8ivg.cloudfront.net/Documentos/631/82798087015/6318279808701511092023163119.pdf","https://dpmzos25m8ivg.cloudfront.net/Documentos/631/82798087015/6318279808701511092023163119.pdf")</f>
        <v>https://dpmzos25m8ivg.cloudfront.net/Documentos/631/82798087015/6318279808701511092023163119.pdf</v>
      </c>
      <c r="G8079" s="5" t="str">
        <f>HYPERLINK("https://dpmzos25m8ivg.cloudfront.net/Documentos/631/82798087015/6318279808701511092023163133.pdf","https://dpmzos25m8ivg.cloudfront.net/Documentos/631/82798087015/6318279808701511092023163133.pdf")</f>
        <v>https://dpmzos25m8ivg.cloudfront.net/Documentos/631/82798087015/6318279808701511092023163133.pdf</v>
      </c>
      <c r="H8079" s="5" t="s">
        <v>16647</v>
      </c>
    </row>
    <row r="8080" spans="1:8" x14ac:dyDescent="0.25">
      <c r="A8080" s="2" t="s">
        <v>8108</v>
      </c>
      <c r="B8080" s="3"/>
      <c r="C8080" s="3"/>
      <c r="D8080" s="3"/>
      <c r="E8080" s="5" t="str">
        <f>HYPERLINK("https://dpmzos25m8ivg.cloudfront.net/Documentos/631/82825343234/6318282534323410092023223632.pdf","https://dpmzos25m8ivg.cloudfront.net/Documentos/631/82825343234/6318282534323410092023223632.pdf")</f>
        <v>https://dpmzos25m8ivg.cloudfront.net/Documentos/631/82825343234/6318282534323410092023223632.pdf</v>
      </c>
      <c r="F8080" s="5" t="str">
        <f>HYPERLINK("https://dpmzos25m8ivg.cloudfront.net/Documentos/631/82825343234/6318282534323410092023223750.pdf","https://dpmzos25m8ivg.cloudfront.net/Documentos/631/82825343234/6318282534323410092023223750.pdf")</f>
        <v>https://dpmzos25m8ivg.cloudfront.net/Documentos/631/82825343234/6318282534323410092023223750.pdf</v>
      </c>
      <c r="G8080" s="5" t="str">
        <f>HYPERLINK("https://dpmzos25m8ivg.cloudfront.net/Documentos/631/82825343234/6318282534323410092023223810.pdf","https://dpmzos25m8ivg.cloudfront.net/Documentos/631/82825343234/6318282534323410092023223810.pdf")</f>
        <v>https://dpmzos25m8ivg.cloudfront.net/Documentos/631/82825343234/6318282534323410092023223810.pdf</v>
      </c>
      <c r="H8080" s="5" t="s">
        <v>16648</v>
      </c>
    </row>
    <row r="8081" spans="1:8" x14ac:dyDescent="0.25">
      <c r="A8081" s="2" t="s">
        <v>8109</v>
      </c>
      <c r="B8081" s="3"/>
      <c r="C8081" s="3"/>
      <c r="D8081" s="3"/>
      <c r="E8081" s="5" t="str">
        <f>HYPERLINK("https://dpmzos25m8ivg.cloudfront.net/Documentos/631/82825513687/6318282551368711092023012844.jpeg","https://dpmzos25m8ivg.cloudfront.net/Documentos/631/82825513687/6318282551368711092023012844.jpeg")</f>
        <v>https://dpmzos25m8ivg.cloudfront.net/Documentos/631/82825513687/6318282551368711092023012844.jpeg</v>
      </c>
      <c r="F8081" s="5" t="str">
        <f>HYPERLINK("https://dpmzos25m8ivg.cloudfront.net/Documentos/631/82825513687/6318282551368711092023013018.jpeg","https://dpmzos25m8ivg.cloudfront.net/Documentos/631/82825513687/6318282551368711092023013018.jpeg")</f>
        <v>https://dpmzos25m8ivg.cloudfront.net/Documentos/631/82825513687/6318282551368711092023013018.jpeg</v>
      </c>
      <c r="G8081" s="5" t="str">
        <f>HYPERLINK("https://dpmzos25m8ivg.cloudfront.net/Documentos/631/82825513687/6318282551368711092023013155.jpeg","https://dpmzos25m8ivg.cloudfront.net/Documentos/631/82825513687/6318282551368711092023013155.jpeg")</f>
        <v>https://dpmzos25m8ivg.cloudfront.net/Documentos/631/82825513687/6318282551368711092023013155.jpeg</v>
      </c>
      <c r="H8081" s="5" t="s">
        <v>16649</v>
      </c>
    </row>
    <row r="8082" spans="1:8" x14ac:dyDescent="0.25">
      <c r="A8082" s="2" t="s">
        <v>8110</v>
      </c>
      <c r="B8082" s="3"/>
      <c r="C8082" s="3"/>
      <c r="D8082" s="3"/>
      <c r="E8082" s="5" t="str">
        <f>HYPERLINK("https://dpmzos25m8ivg.cloudfront.net/Documentos/631/82836841249/6318283684124914092023160322.pdf","https://dpmzos25m8ivg.cloudfront.net/Documentos/631/82836841249/6318283684124914092023160322.pdf")</f>
        <v>https://dpmzos25m8ivg.cloudfront.net/Documentos/631/82836841249/6318283684124914092023160322.pdf</v>
      </c>
      <c r="F8082" s="5" t="str">
        <f>HYPERLINK("https://dpmzos25m8ivg.cloudfront.net/Documentos/631/82836841249/6318283684124914092023162016.pdf","https://dpmzos25m8ivg.cloudfront.net/Documentos/631/82836841249/6318283684124914092023162016.pdf")</f>
        <v>https://dpmzos25m8ivg.cloudfront.net/Documentos/631/82836841249/6318283684124914092023162016.pdf</v>
      </c>
      <c r="G8082" s="5" t="str">
        <f>HYPERLINK("https://dpmzos25m8ivg.cloudfront.net/Documentos/631/82836841249/6318283684124914092023162051.pdf","https://dpmzos25m8ivg.cloudfront.net/Documentos/631/82836841249/6318283684124914092023162051.pdf")</f>
        <v>https://dpmzos25m8ivg.cloudfront.net/Documentos/631/82836841249/6318283684124914092023162051.pdf</v>
      </c>
      <c r="H8082" s="5" t="s">
        <v>16650</v>
      </c>
    </row>
    <row r="8083" spans="1:8" x14ac:dyDescent="0.25">
      <c r="A8083" s="2" t="s">
        <v>8111</v>
      </c>
      <c r="B8083" s="3"/>
      <c r="C8083" s="3"/>
      <c r="D8083" s="3"/>
      <c r="E8083" s="5" t="str">
        <f>HYPERLINK("https://dpmzos25m8ivg.cloudfront.net/Documentos/631/82900876168/6318290087616813092023120817.pdf","https://dpmzos25m8ivg.cloudfront.net/Documentos/631/82900876168/6318290087616813092023120817.pdf")</f>
        <v>https://dpmzos25m8ivg.cloudfront.net/Documentos/631/82900876168/6318290087616813092023120817.pdf</v>
      </c>
      <c r="F8083" s="5" t="str">
        <f>HYPERLINK("https://dpmzos25m8ivg.cloudfront.net/Documentos/631/82900876168/6318290087616813092023120810.pdf","https://dpmzos25m8ivg.cloudfront.net/Documentos/631/82900876168/6318290087616813092023120810.pdf")</f>
        <v>https://dpmzos25m8ivg.cloudfront.net/Documentos/631/82900876168/6318290087616813092023120810.pdf</v>
      </c>
      <c r="G8083" s="5" t="str">
        <f>HYPERLINK("https://dpmzos25m8ivg.cloudfront.net/Documentos/631/82900876168/6318290087616813092023120803.pdf","https://dpmzos25m8ivg.cloudfront.net/Documentos/631/82900876168/6318290087616813092023120803.pdf")</f>
        <v>https://dpmzos25m8ivg.cloudfront.net/Documentos/631/82900876168/6318290087616813092023120803.pdf</v>
      </c>
      <c r="H8083" s="5" t="s">
        <v>16651</v>
      </c>
    </row>
    <row r="8084" spans="1:8" x14ac:dyDescent="0.25">
      <c r="A8084" s="2" t="s">
        <v>8112</v>
      </c>
      <c r="B8084" s="3"/>
      <c r="C8084" s="3"/>
      <c r="D8084" s="3"/>
      <c r="E8084" s="5" t="str">
        <f>HYPERLINK("https://dpmzos25m8ivg.cloudfront.net/Documentos/631/82911517687/6318291151768709092023203137.pdf","https://dpmzos25m8ivg.cloudfront.net/Documentos/631/82911517687/6318291151768709092023203137.pdf")</f>
        <v>https://dpmzos25m8ivg.cloudfront.net/Documentos/631/82911517687/6318291151768709092023203137.pdf</v>
      </c>
      <c r="F8084" s="5" t="str">
        <f>HYPERLINK("https://dpmzos25m8ivg.cloudfront.net/Documentos/631/82911517687/6318291151768709092023203225.pdf","https://dpmzos25m8ivg.cloudfront.net/Documentos/631/82911517687/6318291151768709092023203225.pdf")</f>
        <v>https://dpmzos25m8ivg.cloudfront.net/Documentos/631/82911517687/6318291151768709092023203225.pdf</v>
      </c>
      <c r="G8084" s="5" t="str">
        <f>HYPERLINK("https://dpmzos25m8ivg.cloudfront.net/Documentos/631/82911517687/6318291151768709092023203246.pdf","https://dpmzos25m8ivg.cloudfront.net/Documentos/631/82911517687/6318291151768709092023203246.pdf")</f>
        <v>https://dpmzos25m8ivg.cloudfront.net/Documentos/631/82911517687/6318291151768709092023203246.pdf</v>
      </c>
      <c r="H8084" s="5" t="s">
        <v>16652</v>
      </c>
    </row>
    <row r="8085" spans="1:8" x14ac:dyDescent="0.25">
      <c r="A8085" s="2" t="s">
        <v>8113</v>
      </c>
      <c r="B8085" s="3"/>
      <c r="C8085" s="3"/>
      <c r="D8085" s="3"/>
      <c r="E8085" s="5" t="str">
        <f>HYPERLINK("https://dpmzos25m8ivg.cloudfront.net/Documentos/631/82952450153/6318295245015310092023153742.jpg","https://dpmzos25m8ivg.cloudfront.net/Documentos/631/82952450153/6318295245015310092023153742.jpg")</f>
        <v>https://dpmzos25m8ivg.cloudfront.net/Documentos/631/82952450153/6318295245015310092023153742.jpg</v>
      </c>
      <c r="F8085" s="5" t="str">
        <f>HYPERLINK("https://dpmzos25m8ivg.cloudfront.net/Documentos/631/82952450153/6318295245015310092023153852.jpg","https://dpmzos25m8ivg.cloudfront.net/Documentos/631/82952450153/6318295245015310092023153852.jpg")</f>
        <v>https://dpmzos25m8ivg.cloudfront.net/Documentos/631/82952450153/6318295245015310092023153852.jpg</v>
      </c>
      <c r="G8085" s="5" t="str">
        <f>HYPERLINK("https://dpmzos25m8ivg.cloudfront.net/Documentos/631/82952450153/6318295245015310092023153907.jpg","https://dpmzos25m8ivg.cloudfront.net/Documentos/631/82952450153/6318295245015310092023153907.jpg")</f>
        <v>https://dpmzos25m8ivg.cloudfront.net/Documentos/631/82952450153/6318295245015310092023153907.jpg</v>
      </c>
      <c r="H8085" s="5" t="s">
        <v>16653</v>
      </c>
    </row>
    <row r="8086" spans="1:8" x14ac:dyDescent="0.25">
      <c r="A8086" s="2" t="s">
        <v>8114</v>
      </c>
      <c r="B8086" s="3" t="s">
        <v>312</v>
      </c>
      <c r="C8086" s="3"/>
      <c r="D8086" s="3"/>
      <c r="E8086" s="5" t="str">
        <f>HYPERLINK("https://dpmzos25m8ivg.cloudfront.net/Documentos/631/82987300549/6318298730054911092023014847.pdf","https://dpmzos25m8ivg.cloudfront.net/Documentos/631/82987300549/6318298730054911092023014847.pdf")</f>
        <v>https://dpmzos25m8ivg.cloudfront.net/Documentos/631/82987300549/6318298730054911092023014847.pdf</v>
      </c>
      <c r="F8086" s="5" t="str">
        <f>HYPERLINK("https://dpmzos25m8ivg.cloudfront.net/Documentos/631/82987300549/6318298730054911092023014903.pdf","https://dpmzos25m8ivg.cloudfront.net/Documentos/631/82987300549/6318298730054911092023014903.pdf")</f>
        <v>https://dpmzos25m8ivg.cloudfront.net/Documentos/631/82987300549/6318298730054911092023014903.pdf</v>
      </c>
      <c r="G8086" s="5" t="str">
        <f>HYPERLINK("https://dpmzos25m8ivg.cloudfront.net/Documentos/631/82987300549/6318298730054911092023014828.pdf","https://dpmzos25m8ivg.cloudfront.net/Documentos/631/82987300549/6318298730054911092023014828.pdf")</f>
        <v>https://dpmzos25m8ivg.cloudfront.net/Documentos/631/82987300549/6318298730054911092023014828.pdf</v>
      </c>
      <c r="H8086" s="5" t="s">
        <v>16654</v>
      </c>
    </row>
    <row r="8087" spans="1:8" x14ac:dyDescent="0.25">
      <c r="A8087" s="2" t="s">
        <v>8115</v>
      </c>
      <c r="B8087" s="3" t="s">
        <v>308</v>
      </c>
      <c r="C8087" s="3"/>
      <c r="D8087" s="3"/>
      <c r="E8087" s="5" t="str">
        <f>HYPERLINK("https://dpmzos25m8ivg.cloudfront.net/Documentos/631/82988099472/6318298809947207092023135051.pdf","https://dpmzos25m8ivg.cloudfront.net/Documentos/631/82988099472/6318298809947207092023135051.pdf")</f>
        <v>https://dpmzos25m8ivg.cloudfront.net/Documentos/631/82988099472/6318298809947207092023135051.pdf</v>
      </c>
      <c r="F8087" s="5" t="str">
        <f>HYPERLINK("https://dpmzos25m8ivg.cloudfront.net/Documentos/631/82988099472/6318298809947207092023135433.pdf","https://dpmzos25m8ivg.cloudfront.net/Documentos/631/82988099472/6318298809947207092023135433.pdf")</f>
        <v>https://dpmzos25m8ivg.cloudfront.net/Documentos/631/82988099472/6318298809947207092023135433.pdf</v>
      </c>
      <c r="G8087" s="5" t="str">
        <f>HYPERLINK("https://dpmzos25m8ivg.cloudfront.net/Documentos/631/82988099472/6318298809947207092023135504.pdf","https://dpmzos25m8ivg.cloudfront.net/Documentos/631/82988099472/6318298809947207092023135504.pdf")</f>
        <v>https://dpmzos25m8ivg.cloudfront.net/Documentos/631/82988099472/6318298809947207092023135504.pdf</v>
      </c>
      <c r="H8087" s="5" t="s">
        <v>16655</v>
      </c>
    </row>
    <row r="8088" spans="1:8" x14ac:dyDescent="0.25">
      <c r="A8088" s="2" t="s">
        <v>8116</v>
      </c>
      <c r="B8088" s="3"/>
      <c r="C8088" s="3"/>
      <c r="D8088" s="3"/>
      <c r="E8088" s="5" t="str">
        <f>HYPERLINK("https://dpmzos25m8ivg.cloudfront.net/Documentos/631/83112227387/6318311222738705092023090146.jpeg","https://dpmzos25m8ivg.cloudfront.net/Documentos/631/83112227387/6318311222738705092023090146.jpeg")</f>
        <v>https://dpmzos25m8ivg.cloudfront.net/Documentos/631/83112227387/6318311222738705092023090146.jpeg</v>
      </c>
      <c r="F8088" s="5" t="str">
        <f>HYPERLINK("https://dpmzos25m8ivg.cloudfront.net/Documentos/631/83112227387/6318311222738705092023090223.jpeg","https://dpmzos25m8ivg.cloudfront.net/Documentos/631/83112227387/6318311222738705092023090223.jpeg")</f>
        <v>https://dpmzos25m8ivg.cloudfront.net/Documentos/631/83112227387/6318311222738705092023090223.jpeg</v>
      </c>
      <c r="G8088" s="5" t="str">
        <f>HYPERLINK("https://dpmzos25m8ivg.cloudfront.net/Documentos/631/83112227387/6318311222738705092023090239.jpeg","https://dpmzos25m8ivg.cloudfront.net/Documentos/631/83112227387/6318311222738705092023090239.jpeg")</f>
        <v>https://dpmzos25m8ivg.cloudfront.net/Documentos/631/83112227387/6318311222738705092023090239.jpeg</v>
      </c>
      <c r="H8088" s="5" t="s">
        <v>16656</v>
      </c>
    </row>
    <row r="8089" spans="1:8" x14ac:dyDescent="0.25">
      <c r="A8089" s="2" t="s">
        <v>8117</v>
      </c>
      <c r="B8089" s="3"/>
      <c r="C8089" s="3"/>
      <c r="D8089" s="3"/>
      <c r="E8089" s="5" t="str">
        <f>HYPERLINK("https://dpmzos25m8ivg.cloudfront.net/Documentos/631/83116982520/6318311698252008092023190903.pdf","https://dpmzos25m8ivg.cloudfront.net/Documentos/631/83116982520/6318311698252008092023190903.pdf")</f>
        <v>https://dpmzos25m8ivg.cloudfront.net/Documentos/631/83116982520/6318311698252008092023190903.pdf</v>
      </c>
      <c r="F8089" s="5" t="str">
        <f>HYPERLINK("https://dpmzos25m8ivg.cloudfront.net/Documentos/631/83116982520/6318311698252008092023190829.pdf","https://dpmzos25m8ivg.cloudfront.net/Documentos/631/83116982520/6318311698252008092023190829.pdf")</f>
        <v>https://dpmzos25m8ivg.cloudfront.net/Documentos/631/83116982520/6318311698252008092023190829.pdf</v>
      </c>
      <c r="G8089" s="5" t="str">
        <f>HYPERLINK("https://dpmzos25m8ivg.cloudfront.net/Documentos/631/83116982520/6318311698252008092023190804.pdf","https://dpmzos25m8ivg.cloudfront.net/Documentos/631/83116982520/6318311698252008092023190804.pdf")</f>
        <v>https://dpmzos25m8ivg.cloudfront.net/Documentos/631/83116982520/6318311698252008092023190804.pdf</v>
      </c>
      <c r="H8089" s="5" t="s">
        <v>16657</v>
      </c>
    </row>
    <row r="8090" spans="1:8" x14ac:dyDescent="0.25">
      <c r="A8090" s="2" t="s">
        <v>8118</v>
      </c>
      <c r="B8090" s="3"/>
      <c r="C8090" s="3"/>
      <c r="D8090" s="3"/>
      <c r="E8090" s="5" t="str">
        <f>HYPERLINK("https://dpmzos25m8ivg.cloudfront.net/Documentos/631/83142754172/6318314275417206092023194027.pdf","https://dpmzos25m8ivg.cloudfront.net/Documentos/631/83142754172/6318314275417206092023194027.pdf")</f>
        <v>https://dpmzos25m8ivg.cloudfront.net/Documentos/631/83142754172/6318314275417206092023194027.pdf</v>
      </c>
      <c r="F8090" s="5" t="str">
        <f>HYPERLINK("https://dpmzos25m8ivg.cloudfront.net/Documentos/631/83142754172/6318314275417206092023194043.pdf","https://dpmzos25m8ivg.cloudfront.net/Documentos/631/83142754172/6318314275417206092023194043.pdf")</f>
        <v>https://dpmzos25m8ivg.cloudfront.net/Documentos/631/83142754172/6318314275417206092023194043.pdf</v>
      </c>
      <c r="G8090" s="5" t="str">
        <f>HYPERLINK("https://dpmzos25m8ivg.cloudfront.net/Documentos/631/83142754172/6318314275417206092023194107.pdf","https://dpmzos25m8ivg.cloudfront.net/Documentos/631/83142754172/6318314275417206092023194107.pdf")</f>
        <v>https://dpmzos25m8ivg.cloudfront.net/Documentos/631/83142754172/6318314275417206092023194107.pdf</v>
      </c>
      <c r="H8090" s="5" t="s">
        <v>16658</v>
      </c>
    </row>
    <row r="8091" spans="1:8" x14ac:dyDescent="0.25">
      <c r="A8091" s="2" t="s">
        <v>8119</v>
      </c>
      <c r="B8091" s="3"/>
      <c r="C8091" s="3"/>
      <c r="D8091" s="3"/>
      <c r="E8091" s="5" t="str">
        <f>HYPERLINK("https://dpmzos25m8ivg.cloudfront.net/Documentos/631/83160922553/6318316092255305092023122959.jpg","https://dpmzos25m8ivg.cloudfront.net/Documentos/631/83160922553/6318316092255305092023122959.jpg")</f>
        <v>https://dpmzos25m8ivg.cloudfront.net/Documentos/631/83160922553/6318316092255305092023122959.jpg</v>
      </c>
      <c r="F8091" s="5" t="str">
        <f>HYPERLINK("https://dpmzos25m8ivg.cloudfront.net/Documentos/631/83160922553/6318316092255305092023123014.jpg","https://dpmzos25m8ivg.cloudfront.net/Documentos/631/83160922553/6318316092255305092023123014.jpg")</f>
        <v>https://dpmzos25m8ivg.cloudfront.net/Documentos/631/83160922553/6318316092255305092023123014.jpg</v>
      </c>
      <c r="G8091" s="5" t="str">
        <f>HYPERLINK("https://dpmzos25m8ivg.cloudfront.net/Documentos/631/83160922553/6318316092255305092023123023.jpg","https://dpmzos25m8ivg.cloudfront.net/Documentos/631/83160922553/6318316092255305092023123023.jpg")</f>
        <v>https://dpmzos25m8ivg.cloudfront.net/Documentos/631/83160922553/6318316092255305092023123023.jpg</v>
      </c>
      <c r="H8091" s="5" t="s">
        <v>16659</v>
      </c>
    </row>
    <row r="8092" spans="1:8" x14ac:dyDescent="0.25">
      <c r="A8092" s="2" t="s">
        <v>8120</v>
      </c>
      <c r="B8092" s="3"/>
      <c r="C8092" s="3"/>
      <c r="D8092" s="3"/>
      <c r="E8092" s="5" t="str">
        <f>HYPERLINK("https://dpmzos25m8ivg.cloudfront.net/Documentos/631/83224351349/6318322435134905092023210211.pdf","https://dpmzos25m8ivg.cloudfront.net/Documentos/631/83224351349/6318322435134905092023210211.pdf")</f>
        <v>https://dpmzos25m8ivg.cloudfront.net/Documentos/631/83224351349/6318322435134905092023210211.pdf</v>
      </c>
      <c r="F8092" s="5" t="str">
        <f>HYPERLINK("https://dpmzos25m8ivg.cloudfront.net/Documentos/631/83224351349/6318322435134905092023210245.pdf","https://dpmzos25m8ivg.cloudfront.net/Documentos/631/83224351349/6318322435134905092023210245.pdf")</f>
        <v>https://dpmzos25m8ivg.cloudfront.net/Documentos/631/83224351349/6318322435134905092023210245.pdf</v>
      </c>
      <c r="G8092" s="5" t="str">
        <f>HYPERLINK("https://dpmzos25m8ivg.cloudfront.net/Documentos/631/83224351349/6318322435134905092023210320.pdf","https://dpmzos25m8ivg.cloudfront.net/Documentos/631/83224351349/6318322435134905092023210320.pdf")</f>
        <v>https://dpmzos25m8ivg.cloudfront.net/Documentos/631/83224351349/6318322435134905092023210320.pdf</v>
      </c>
      <c r="H8092" s="5" t="s">
        <v>16660</v>
      </c>
    </row>
    <row r="8093" spans="1:8" x14ac:dyDescent="0.25">
      <c r="A8093" s="2" t="s">
        <v>8121</v>
      </c>
      <c r="B8093" s="3"/>
      <c r="C8093" s="3"/>
      <c r="D8093" s="3"/>
      <c r="E8093" s="5" t="str">
        <f>HYPERLINK("https://dpmzos25m8ivg.cloudfront.net/Documentos/631/83256059449/6318325605944906092023175444.jpeg","https://dpmzos25m8ivg.cloudfront.net/Documentos/631/83256059449/6318325605944906092023175444.jpeg")</f>
        <v>https://dpmzos25m8ivg.cloudfront.net/Documentos/631/83256059449/6318325605944906092023175444.jpeg</v>
      </c>
      <c r="F8093" s="5" t="str">
        <f>HYPERLINK("https://dpmzos25m8ivg.cloudfront.net/Documentos/631/83256059449/6318325605944906092023175504.jpeg","https://dpmzos25m8ivg.cloudfront.net/Documentos/631/83256059449/6318325605944906092023175504.jpeg")</f>
        <v>https://dpmzos25m8ivg.cloudfront.net/Documentos/631/83256059449/6318325605944906092023175504.jpeg</v>
      </c>
      <c r="G8093" s="5" t="str">
        <f>HYPERLINK("https://dpmzos25m8ivg.cloudfront.net/Documentos/631/83256059449/6318325605944906092023175522.jpeg","https://dpmzos25m8ivg.cloudfront.net/Documentos/631/83256059449/6318325605944906092023175522.jpeg")</f>
        <v>https://dpmzos25m8ivg.cloudfront.net/Documentos/631/83256059449/6318325605944906092023175522.jpeg</v>
      </c>
      <c r="H8093" s="5" t="s">
        <v>16661</v>
      </c>
    </row>
    <row r="8094" spans="1:8" x14ac:dyDescent="0.25">
      <c r="A8094" s="2" t="s">
        <v>8122</v>
      </c>
      <c r="B8094" s="3"/>
      <c r="C8094" s="3"/>
      <c r="D8094" s="3"/>
      <c r="E8094" s="5" t="str">
        <f>HYPERLINK("https://dpmzos25m8ivg.cloudfront.net/Documentos/631/83302670168/6318330267016808092023155734.pdf","https://dpmzos25m8ivg.cloudfront.net/Documentos/631/83302670168/6318330267016808092023155734.pdf")</f>
        <v>https://dpmzos25m8ivg.cloudfront.net/Documentos/631/83302670168/6318330267016808092023155734.pdf</v>
      </c>
      <c r="F8094" s="5" t="str">
        <f>HYPERLINK("https://dpmzos25m8ivg.cloudfront.net/Documentos/631/83302670168/6318330267016808092023160106.pdf","https://dpmzos25m8ivg.cloudfront.net/Documentos/631/83302670168/6318330267016808092023160106.pdf")</f>
        <v>https://dpmzos25m8ivg.cloudfront.net/Documentos/631/83302670168/6318330267016808092023160106.pdf</v>
      </c>
      <c r="G8094" s="5" t="str">
        <f>HYPERLINK("https://dpmzos25m8ivg.cloudfront.net/Documentos/631/83302670168/6318330267016808092023160219.pdf","https://dpmzos25m8ivg.cloudfront.net/Documentos/631/83302670168/6318330267016808092023160219.pdf")</f>
        <v>https://dpmzos25m8ivg.cloudfront.net/Documentos/631/83302670168/6318330267016808092023160219.pdf</v>
      </c>
      <c r="H8094" s="5" t="s">
        <v>16662</v>
      </c>
    </row>
    <row r="8095" spans="1:8" x14ac:dyDescent="0.25">
      <c r="A8095" s="2" t="s">
        <v>8123</v>
      </c>
      <c r="B8095" s="3"/>
      <c r="C8095" s="3"/>
      <c r="D8095" s="3"/>
      <c r="E8095" s="5" t="str">
        <f>HYPERLINK("https://dpmzos25m8ivg.cloudfront.net/Documentos/631/83304347291/6318330434729107092023165308.jpg","https://dpmzos25m8ivg.cloudfront.net/Documentos/631/83304347291/6318330434729107092023165308.jpg")</f>
        <v>https://dpmzos25m8ivg.cloudfront.net/Documentos/631/83304347291/6318330434729107092023165308.jpg</v>
      </c>
      <c r="F8095" s="5" t="str">
        <f>HYPERLINK("https://dpmzos25m8ivg.cloudfront.net/Documentos/631/83304347291/6318330434729107092023165358.jpg","https://dpmzos25m8ivg.cloudfront.net/Documentos/631/83304347291/6318330434729107092023165358.jpg")</f>
        <v>https://dpmzos25m8ivg.cloudfront.net/Documentos/631/83304347291/6318330434729107092023165358.jpg</v>
      </c>
      <c r="G8095" s="5" t="str">
        <f>HYPERLINK("https://dpmzos25m8ivg.cloudfront.net/Documentos/631/83304347291/6318330434729107092023165415.jpg","https://dpmzos25m8ivg.cloudfront.net/Documentos/631/83304347291/6318330434729107092023165415.jpg")</f>
        <v>https://dpmzos25m8ivg.cloudfront.net/Documentos/631/83304347291/6318330434729107092023165415.jpg</v>
      </c>
      <c r="H8095" s="5" t="s">
        <v>16663</v>
      </c>
    </row>
    <row r="8096" spans="1:8" x14ac:dyDescent="0.25">
      <c r="A8096" s="2" t="s">
        <v>8124</v>
      </c>
      <c r="B8096" s="3"/>
      <c r="C8096" s="3"/>
      <c r="D8096" s="3"/>
      <c r="E8096" s="5" t="str">
        <f>HYPERLINK("https://dpmzos25m8ivg.cloudfront.net/Documentos/631/83324321204/6318332432120411092023160553.pdf","https://dpmzos25m8ivg.cloudfront.net/Documentos/631/83324321204/6318332432120411092023160553.pdf")</f>
        <v>https://dpmzos25m8ivg.cloudfront.net/Documentos/631/83324321204/6318332432120411092023160553.pdf</v>
      </c>
      <c r="F8096" s="5" t="str">
        <f>HYPERLINK("https://dpmzos25m8ivg.cloudfront.net/Documentos/631/83324321204/6318332432120411092023160612.pdf","https://dpmzos25m8ivg.cloudfront.net/Documentos/631/83324321204/6318332432120411092023160612.pdf")</f>
        <v>https://dpmzos25m8ivg.cloudfront.net/Documentos/631/83324321204/6318332432120411092023160612.pdf</v>
      </c>
      <c r="G8096" s="5" t="str">
        <f>HYPERLINK("https://dpmzos25m8ivg.cloudfront.net/Documentos/631/83324321204/6318332432120411092023160630.pdf","https://dpmzos25m8ivg.cloudfront.net/Documentos/631/83324321204/6318332432120411092023160630.pdf")</f>
        <v>https://dpmzos25m8ivg.cloudfront.net/Documentos/631/83324321204/6318332432120411092023160630.pdf</v>
      </c>
      <c r="H8096" s="5" t="s">
        <v>16664</v>
      </c>
    </row>
    <row r="8097" spans="1:8" x14ac:dyDescent="0.25">
      <c r="A8097" s="2" t="s">
        <v>8125</v>
      </c>
      <c r="B8097" s="3"/>
      <c r="C8097" s="3"/>
      <c r="D8097" s="3"/>
      <c r="E8097" s="5" t="str">
        <f>HYPERLINK("https://dpmzos25m8ivg.cloudfront.net/Documentos/631/83336338204/6318333633820406092023181708.pdf","https://dpmzos25m8ivg.cloudfront.net/Documentos/631/83336338204/6318333633820406092023181708.pdf")</f>
        <v>https://dpmzos25m8ivg.cloudfront.net/Documentos/631/83336338204/6318333633820406092023181708.pdf</v>
      </c>
      <c r="F8097" s="5" t="str">
        <f>HYPERLINK("https://dpmzos25m8ivg.cloudfront.net/Documentos/631/83336338204/6318333633820406092023181721.pdf","https://dpmzos25m8ivg.cloudfront.net/Documentos/631/83336338204/6318333633820406092023181721.pdf")</f>
        <v>https://dpmzos25m8ivg.cloudfront.net/Documentos/631/83336338204/6318333633820406092023181721.pdf</v>
      </c>
      <c r="G8097" s="5" t="str">
        <f>HYPERLINK("https://dpmzos25m8ivg.cloudfront.net/Documentos/631/83336338204/6318333633820406092023181738.pdf","https://dpmzos25m8ivg.cloudfront.net/Documentos/631/83336338204/6318333633820406092023181738.pdf")</f>
        <v>https://dpmzos25m8ivg.cloudfront.net/Documentos/631/83336338204/6318333633820406092023181738.pdf</v>
      </c>
      <c r="H8097" s="5" t="s">
        <v>16665</v>
      </c>
    </row>
    <row r="8098" spans="1:8" x14ac:dyDescent="0.25">
      <c r="A8098" s="2" t="s">
        <v>8126</v>
      </c>
      <c r="B8098" s="3"/>
      <c r="C8098" s="3"/>
      <c r="D8098" s="3"/>
      <c r="E8098" s="5" t="str">
        <f>HYPERLINK("https://dpmzos25m8ivg.cloudfront.net/Documentos/631/83342532068/6318334253206812092023184503.pdf","https://dpmzos25m8ivg.cloudfront.net/Documentos/631/83342532068/6318334253206812092023184503.pdf")</f>
        <v>https://dpmzos25m8ivg.cloudfront.net/Documentos/631/83342532068/6318334253206812092023184503.pdf</v>
      </c>
      <c r="F8098" s="5" t="str">
        <f>HYPERLINK("https://dpmzos25m8ivg.cloudfront.net/Documentos/631/83342532068/6318334253206812092023185246.pdf","https://dpmzos25m8ivg.cloudfront.net/Documentos/631/83342532068/6318334253206812092023185246.pdf")</f>
        <v>https://dpmzos25m8ivg.cloudfront.net/Documentos/631/83342532068/6318334253206812092023185246.pdf</v>
      </c>
      <c r="G8098" s="5" t="str">
        <f>HYPERLINK("https://dpmzos25m8ivg.cloudfront.net/Documentos/631/83342532068/6318334253206812092023185444.pdf","https://dpmzos25m8ivg.cloudfront.net/Documentos/631/83342532068/6318334253206812092023185444.pdf")</f>
        <v>https://dpmzos25m8ivg.cloudfront.net/Documentos/631/83342532068/6318334253206812092023185444.pdf</v>
      </c>
      <c r="H8098" s="5" t="s">
        <v>16666</v>
      </c>
    </row>
    <row r="8099" spans="1:8" x14ac:dyDescent="0.25">
      <c r="A8099" s="2" t="s">
        <v>8127</v>
      </c>
      <c r="B8099" s="3"/>
      <c r="C8099" s="3"/>
      <c r="D8099" s="3"/>
      <c r="E8099" s="5" t="str">
        <f>HYPERLINK("https://dpmzos25m8ivg.cloudfront.net/Documentos/631/83425675591/6318342567559111092023161832.pdf","https://dpmzos25m8ivg.cloudfront.net/Documentos/631/83425675591/6318342567559111092023161832.pdf")</f>
        <v>https://dpmzos25m8ivg.cloudfront.net/Documentos/631/83425675591/6318342567559111092023161832.pdf</v>
      </c>
      <c r="F8099" s="5" t="str">
        <f>HYPERLINK("https://dpmzos25m8ivg.cloudfront.net/Documentos/631/83425675591/6318342567559111092023161927.pdf","https://dpmzos25m8ivg.cloudfront.net/Documentos/631/83425675591/6318342567559111092023161927.pdf")</f>
        <v>https://dpmzos25m8ivg.cloudfront.net/Documentos/631/83425675591/6318342567559111092023161927.pdf</v>
      </c>
      <c r="G8099" s="5" t="str">
        <f>HYPERLINK("https://dpmzos25m8ivg.cloudfront.net/Documentos/631/83425675591/6318342567559111092023161948.pdf","https://dpmzos25m8ivg.cloudfront.net/Documentos/631/83425675591/6318342567559111092023161948.pdf")</f>
        <v>https://dpmzos25m8ivg.cloudfront.net/Documentos/631/83425675591/6318342567559111092023161948.pdf</v>
      </c>
      <c r="H8099" s="5" t="s">
        <v>16667</v>
      </c>
    </row>
    <row r="8100" spans="1:8" x14ac:dyDescent="0.25">
      <c r="A8100" s="2" t="s">
        <v>8128</v>
      </c>
      <c r="B8100" s="3"/>
      <c r="C8100" s="3"/>
      <c r="D8100" s="3"/>
      <c r="E8100" s="5" t="str">
        <f>HYPERLINK("https://dpmzos25m8ivg.cloudfront.net/Documentos/631/83600302353/6318360030235305092023092818.pdf","https://dpmzos25m8ivg.cloudfront.net/Documentos/631/83600302353/6318360030235305092023092818.pdf")</f>
        <v>https://dpmzos25m8ivg.cloudfront.net/Documentos/631/83600302353/6318360030235305092023092818.pdf</v>
      </c>
      <c r="F8100" s="5" t="str">
        <f>HYPERLINK("https://dpmzos25m8ivg.cloudfront.net/Documentos/631/83600302353/6318360030235305092023092824.pdf","https://dpmzos25m8ivg.cloudfront.net/Documentos/631/83600302353/6318360030235305092023092824.pdf")</f>
        <v>https://dpmzos25m8ivg.cloudfront.net/Documentos/631/83600302353/6318360030235305092023092824.pdf</v>
      </c>
      <c r="G8100" s="5" t="str">
        <f>HYPERLINK("https://dpmzos25m8ivg.cloudfront.net/Documentos/631/83600302353/6318360030235305092023092831.pdf","https://dpmzos25m8ivg.cloudfront.net/Documentos/631/83600302353/6318360030235305092023092831.pdf")</f>
        <v>https://dpmzos25m8ivg.cloudfront.net/Documentos/631/83600302353/6318360030235305092023092831.pdf</v>
      </c>
      <c r="H8100" s="5" t="s">
        <v>16668</v>
      </c>
    </row>
    <row r="8101" spans="1:8" x14ac:dyDescent="0.25">
      <c r="A8101" s="2" t="s">
        <v>8129</v>
      </c>
      <c r="B8101" s="3"/>
      <c r="C8101" s="3"/>
      <c r="D8101" s="3"/>
      <c r="E8101" s="5" t="str">
        <f>HYPERLINK("https://dpmzos25m8ivg.cloudfront.net/Documentos/631/83650644568/6318365064456804092023200555.pdf","https://dpmzos25m8ivg.cloudfront.net/Documentos/631/83650644568/6318365064456804092023200555.pdf")</f>
        <v>https://dpmzos25m8ivg.cloudfront.net/Documentos/631/83650644568/6318365064456804092023200555.pdf</v>
      </c>
      <c r="F8101" s="5" t="str">
        <f>HYPERLINK("https://dpmzos25m8ivg.cloudfront.net/Documentos/631/83650644568/6318365064456804092023213208.jpg","https://dpmzos25m8ivg.cloudfront.net/Documentos/631/83650644568/6318365064456804092023213208.jpg")</f>
        <v>https://dpmzos25m8ivg.cloudfront.net/Documentos/631/83650644568/6318365064456804092023213208.jpg</v>
      </c>
      <c r="G8101" s="5" t="str">
        <f>HYPERLINK("https://dpmzos25m8ivg.cloudfront.net/Documentos/631/83650644568/6318365064456804092023230841.jpg","https://dpmzos25m8ivg.cloudfront.net/Documentos/631/83650644568/6318365064456804092023230841.jpg")</f>
        <v>https://dpmzos25m8ivg.cloudfront.net/Documentos/631/83650644568/6318365064456804092023230841.jpg</v>
      </c>
      <c r="H8101" s="5" t="s">
        <v>16669</v>
      </c>
    </row>
    <row r="8102" spans="1:8" x14ac:dyDescent="0.25">
      <c r="A8102" s="2" t="s">
        <v>8130</v>
      </c>
      <c r="B8102" s="3"/>
      <c r="C8102" s="3"/>
      <c r="D8102" s="3"/>
      <c r="E8102" s="5" t="str">
        <f>HYPERLINK("https://dpmzos25m8ivg.cloudfront.net/Documentos/631/83653236215/6318365323621509092023164954.pdf","https://dpmzos25m8ivg.cloudfront.net/Documentos/631/83653236215/6318365323621509092023164954.pdf")</f>
        <v>https://dpmzos25m8ivg.cloudfront.net/Documentos/631/83653236215/6318365323621509092023164954.pdf</v>
      </c>
      <c r="F8102" s="5" t="str">
        <f>HYPERLINK("https://dpmzos25m8ivg.cloudfront.net/Documentos/631/83653236215/6318365323621509092023165009.pdf","https://dpmzos25m8ivg.cloudfront.net/Documentos/631/83653236215/6318365323621509092023165009.pdf")</f>
        <v>https://dpmzos25m8ivg.cloudfront.net/Documentos/631/83653236215/6318365323621509092023165009.pdf</v>
      </c>
      <c r="G8102" s="5" t="str">
        <f>HYPERLINK("https://dpmzos25m8ivg.cloudfront.net/Documentos/631/83653236215/6318365323621509092023165028.pdf","https://dpmzos25m8ivg.cloudfront.net/Documentos/631/83653236215/6318365323621509092023165028.pdf")</f>
        <v>https://dpmzos25m8ivg.cloudfront.net/Documentos/631/83653236215/6318365323621509092023165028.pdf</v>
      </c>
      <c r="H8102" s="5" t="s">
        <v>16670</v>
      </c>
    </row>
    <row r="8103" spans="1:8" x14ac:dyDescent="0.25">
      <c r="A8103" s="2" t="s">
        <v>8131</v>
      </c>
      <c r="B8103" s="3"/>
      <c r="C8103" s="3"/>
      <c r="D8103" s="3"/>
      <c r="E8103" s="5" t="str">
        <f>HYPERLINK("https://dpmzos25m8ivg.cloudfront.net/Documentos/631/83667148534/6318366714853408092023151730.jpg","https://dpmzos25m8ivg.cloudfront.net/Documentos/631/83667148534/6318366714853408092023151730.jpg")</f>
        <v>https://dpmzos25m8ivg.cloudfront.net/Documentos/631/83667148534/6318366714853408092023151730.jpg</v>
      </c>
      <c r="F8103" s="5" t="str">
        <f>HYPERLINK("https://dpmzos25m8ivg.cloudfront.net/Documentos/631/83667148534/6318366714853408092023151825.jpg","https://dpmzos25m8ivg.cloudfront.net/Documentos/631/83667148534/6318366714853408092023151825.jpg")</f>
        <v>https://dpmzos25m8ivg.cloudfront.net/Documentos/631/83667148534/6318366714853408092023151825.jpg</v>
      </c>
      <c r="G8103" s="5" t="str">
        <f>HYPERLINK("https://dpmzos25m8ivg.cloudfront.net/Documentos/631/83667148534/6318366714853408092023151805.jpg","https://dpmzos25m8ivg.cloudfront.net/Documentos/631/83667148534/6318366714853408092023151805.jpg")</f>
        <v>https://dpmzos25m8ivg.cloudfront.net/Documentos/631/83667148534/6318366714853408092023151805.jpg</v>
      </c>
      <c r="H8103" s="5" t="s">
        <v>16671</v>
      </c>
    </row>
    <row r="8104" spans="1:8" x14ac:dyDescent="0.25">
      <c r="A8104" s="2" t="s">
        <v>8132</v>
      </c>
      <c r="B8104" s="3"/>
      <c r="C8104" s="3"/>
      <c r="D8104" s="3"/>
      <c r="E8104" s="5" t="str">
        <f>HYPERLINK("https://dpmzos25m8ivg.cloudfront.net/Documentos/631/83682937072/6318368293707211092023003139.jpg","https://dpmzos25m8ivg.cloudfront.net/Documentos/631/83682937072/6318368293707211092023003139.jpg")</f>
        <v>https://dpmzos25m8ivg.cloudfront.net/Documentos/631/83682937072/6318368293707211092023003139.jpg</v>
      </c>
      <c r="F8104" s="5" t="str">
        <f>HYPERLINK("https://dpmzos25m8ivg.cloudfront.net/Documentos/631/83682937072/6318368293707211092023003204.jpg","https://dpmzos25m8ivg.cloudfront.net/Documentos/631/83682937072/6318368293707211092023003204.jpg")</f>
        <v>https://dpmzos25m8ivg.cloudfront.net/Documentos/631/83682937072/6318368293707211092023003204.jpg</v>
      </c>
      <c r="G8104" s="5" t="str">
        <f>HYPERLINK("https://dpmzos25m8ivg.cloudfront.net/Documentos/631/83682937072/6318368293707211092023003212.jpg","https://dpmzos25m8ivg.cloudfront.net/Documentos/631/83682937072/6318368293707211092023003212.jpg")</f>
        <v>https://dpmzos25m8ivg.cloudfront.net/Documentos/631/83682937072/6318368293707211092023003212.jpg</v>
      </c>
      <c r="H8104" s="5" t="s">
        <v>16672</v>
      </c>
    </row>
    <row r="8105" spans="1:8" x14ac:dyDescent="0.25">
      <c r="A8105" s="2" t="s">
        <v>8133</v>
      </c>
      <c r="B8105" s="3"/>
      <c r="C8105" s="3"/>
      <c r="D8105" s="3"/>
      <c r="E8105" s="5" t="str">
        <f>HYPERLINK("https://dpmzos25m8ivg.cloudfront.net/Documentos/631/83700196687/6318370019668705092023120818.jpeg","https://dpmzos25m8ivg.cloudfront.net/Documentos/631/83700196687/6318370019668705092023120818.jpeg")</f>
        <v>https://dpmzos25m8ivg.cloudfront.net/Documentos/631/83700196687/6318370019668705092023120818.jpeg</v>
      </c>
      <c r="F8105" s="5" t="str">
        <f>HYPERLINK("https://dpmzos25m8ivg.cloudfront.net/Documentos/631/83700196687/6318370019668705092023120845.jpeg","https://dpmzos25m8ivg.cloudfront.net/Documentos/631/83700196687/6318370019668705092023120845.jpeg")</f>
        <v>https://dpmzos25m8ivg.cloudfront.net/Documentos/631/83700196687/6318370019668705092023120845.jpeg</v>
      </c>
      <c r="G8105" s="5" t="str">
        <f>HYPERLINK("https://dpmzos25m8ivg.cloudfront.net/Documentos/631/83700196687/6318370019668705092023120918.jpeg","https://dpmzos25m8ivg.cloudfront.net/Documentos/631/83700196687/6318370019668705092023120918.jpeg")</f>
        <v>https://dpmzos25m8ivg.cloudfront.net/Documentos/631/83700196687/6318370019668705092023120918.jpeg</v>
      </c>
      <c r="H8105" s="5" t="s">
        <v>16673</v>
      </c>
    </row>
    <row r="8106" spans="1:8" x14ac:dyDescent="0.25">
      <c r="A8106" s="2" t="s">
        <v>8134</v>
      </c>
      <c r="B8106" s="3"/>
      <c r="C8106" s="3"/>
      <c r="D8106" s="3"/>
      <c r="E8106" s="5" t="str">
        <f>HYPERLINK("https://dpmzos25m8ivg.cloudfront.net/Documentos/631/83730362291/6318373036229105092023094850.pdf","https://dpmzos25m8ivg.cloudfront.net/Documentos/631/83730362291/6318373036229105092023094850.pdf")</f>
        <v>https://dpmzos25m8ivg.cloudfront.net/Documentos/631/83730362291/6318373036229105092023094850.pdf</v>
      </c>
      <c r="F8106" s="5" t="str">
        <f>HYPERLINK("https://dpmzos25m8ivg.cloudfront.net/Documentos/631/83730362291/6318373036229105092023094903.pdf","https://dpmzos25m8ivg.cloudfront.net/Documentos/631/83730362291/6318373036229105092023094903.pdf")</f>
        <v>https://dpmzos25m8ivg.cloudfront.net/Documentos/631/83730362291/6318373036229105092023094903.pdf</v>
      </c>
      <c r="G8106" s="5" t="str">
        <f>HYPERLINK("https://dpmzos25m8ivg.cloudfront.net/Documentos/631/83730362291/6318373036229105092023094916.pdf","https://dpmzos25m8ivg.cloudfront.net/Documentos/631/83730362291/6318373036229105092023094916.pdf")</f>
        <v>https://dpmzos25m8ivg.cloudfront.net/Documentos/631/83730362291/6318373036229105092023094916.pdf</v>
      </c>
      <c r="H8106" s="5" t="s">
        <v>16674</v>
      </c>
    </row>
    <row r="8107" spans="1:8" x14ac:dyDescent="0.25">
      <c r="A8107" s="2" t="s">
        <v>8135</v>
      </c>
      <c r="B8107" s="3"/>
      <c r="C8107" s="3"/>
      <c r="D8107" s="3"/>
      <c r="E8107" s="5" t="str">
        <f>HYPERLINK("https://dpmzos25m8ivg.cloudfront.net/Documentos/631/83745483200/6318374548320013092023213454.pdf","https://dpmzos25m8ivg.cloudfront.net/Documentos/631/83745483200/6318374548320013092023213454.pdf")</f>
        <v>https://dpmzos25m8ivg.cloudfront.net/Documentos/631/83745483200/6318374548320013092023213454.pdf</v>
      </c>
      <c r="F8107" s="5" t="str">
        <f>HYPERLINK("https://dpmzos25m8ivg.cloudfront.net/Documentos/631/83745483200/6318374548320013092023222608.pdf","https://dpmzos25m8ivg.cloudfront.net/Documentos/631/83745483200/6318374548320013092023222608.pdf")</f>
        <v>https://dpmzos25m8ivg.cloudfront.net/Documentos/631/83745483200/6318374548320013092023222608.pdf</v>
      </c>
      <c r="G8107" s="5" t="str">
        <f>HYPERLINK("https://dpmzos25m8ivg.cloudfront.net/Documentos/631/83745483200/6318374548320013092023222627.pdf","https://dpmzos25m8ivg.cloudfront.net/Documentos/631/83745483200/6318374548320013092023222627.pdf")</f>
        <v>https://dpmzos25m8ivg.cloudfront.net/Documentos/631/83745483200/6318374548320013092023222627.pdf</v>
      </c>
      <c r="H8107" s="5" t="s">
        <v>16675</v>
      </c>
    </row>
    <row r="8108" spans="1:8" x14ac:dyDescent="0.25">
      <c r="A8108" s="2" t="s">
        <v>8136</v>
      </c>
      <c r="B8108" s="3" t="s">
        <v>312</v>
      </c>
      <c r="C8108" s="3"/>
      <c r="D8108" s="3"/>
      <c r="E8108" s="5" t="str">
        <f>HYPERLINK("https://dpmzos25m8ivg.cloudfront.net/Documentos/631/83760083315/6318376008331511092023174100.jpg","https://dpmzos25m8ivg.cloudfront.net/Documentos/631/83760083315/6318376008331511092023174100.jpg")</f>
        <v>https://dpmzos25m8ivg.cloudfront.net/Documentos/631/83760083315/6318376008331511092023174100.jpg</v>
      </c>
      <c r="F8108" s="5" t="str">
        <f>HYPERLINK("https://dpmzos25m8ivg.cloudfront.net/Documentos/631/83760083315/6318376008331511092023174113.jpg","https://dpmzos25m8ivg.cloudfront.net/Documentos/631/83760083315/6318376008331511092023174113.jpg")</f>
        <v>https://dpmzos25m8ivg.cloudfront.net/Documentos/631/83760083315/6318376008331511092023174113.jpg</v>
      </c>
      <c r="G8108" s="5" t="str">
        <f>HYPERLINK("https://dpmzos25m8ivg.cloudfront.net/Documentos/631/83760083315/6318376008331511092023174122.jpg","https://dpmzos25m8ivg.cloudfront.net/Documentos/631/83760083315/6318376008331511092023174122.jpg")</f>
        <v>https://dpmzos25m8ivg.cloudfront.net/Documentos/631/83760083315/6318376008331511092023174122.jpg</v>
      </c>
      <c r="H8108" s="5" t="s">
        <v>16676</v>
      </c>
    </row>
    <row r="8109" spans="1:8" x14ac:dyDescent="0.25">
      <c r="A8109" s="2" t="s">
        <v>8137</v>
      </c>
      <c r="B8109" s="3"/>
      <c r="C8109" s="3"/>
      <c r="D8109" s="3"/>
      <c r="E8109" s="5" t="str">
        <f>HYPERLINK("https://dpmzos25m8ivg.cloudfront.net/Documentos/631/83780556553/6318378055655311092023165016.pdf","https://dpmzos25m8ivg.cloudfront.net/Documentos/631/83780556553/6318378055655311092023165016.pdf")</f>
        <v>https://dpmzos25m8ivg.cloudfront.net/Documentos/631/83780556553/6318378055655311092023165016.pdf</v>
      </c>
      <c r="F8109" s="5" t="str">
        <f>HYPERLINK("https://dpmzos25m8ivg.cloudfront.net/Documentos/631/83780556553/6318378055655311092023165031.pdf","https://dpmzos25m8ivg.cloudfront.net/Documentos/631/83780556553/6318378055655311092023165031.pdf")</f>
        <v>https://dpmzos25m8ivg.cloudfront.net/Documentos/631/83780556553/6318378055655311092023165031.pdf</v>
      </c>
      <c r="G8109" s="5" t="str">
        <f>HYPERLINK("https://dpmzos25m8ivg.cloudfront.net/Documentos/631/83780556553/6318378055655311092023165046.pdf","https://dpmzos25m8ivg.cloudfront.net/Documentos/631/83780556553/6318378055655311092023165046.pdf")</f>
        <v>https://dpmzos25m8ivg.cloudfront.net/Documentos/631/83780556553/6318378055655311092023165046.pdf</v>
      </c>
      <c r="H8109" s="5" t="s">
        <v>16677</v>
      </c>
    </row>
    <row r="8110" spans="1:8" x14ac:dyDescent="0.25">
      <c r="A8110" s="2" t="s">
        <v>8138</v>
      </c>
      <c r="B8110" s="3"/>
      <c r="C8110" s="3"/>
      <c r="D8110" s="3"/>
      <c r="E8110" s="5" t="str">
        <f>HYPERLINK("https://dpmzos25m8ivg.cloudfront.net/Documentos/631/83784039200/6318378403920011092023131001.pdf","https://dpmzos25m8ivg.cloudfront.net/Documentos/631/83784039200/6318378403920011092023131001.pdf")</f>
        <v>https://dpmzos25m8ivg.cloudfront.net/Documentos/631/83784039200/6318378403920011092023131001.pdf</v>
      </c>
      <c r="F8110" s="5" t="str">
        <f>HYPERLINK("https://dpmzos25m8ivg.cloudfront.net/Documentos/631/83784039200/6318378403920011092023131013.pdf","https://dpmzos25m8ivg.cloudfront.net/Documentos/631/83784039200/6318378403920011092023131013.pdf")</f>
        <v>https://dpmzos25m8ivg.cloudfront.net/Documentos/631/83784039200/6318378403920011092023131013.pdf</v>
      </c>
      <c r="G8110" s="5" t="str">
        <f>HYPERLINK("https://dpmzos25m8ivg.cloudfront.net/Documentos/631/83784039200/6318378403920011092023131026.pdf","https://dpmzos25m8ivg.cloudfront.net/Documentos/631/83784039200/6318378403920011092023131026.pdf")</f>
        <v>https://dpmzos25m8ivg.cloudfront.net/Documentos/631/83784039200/6318378403920011092023131026.pdf</v>
      </c>
      <c r="H8110" s="5" t="s">
        <v>16678</v>
      </c>
    </row>
    <row r="8111" spans="1:8" x14ac:dyDescent="0.25">
      <c r="A8111" s="2" t="s">
        <v>8139</v>
      </c>
      <c r="B8111" s="3"/>
      <c r="C8111" s="3"/>
      <c r="D8111" s="3"/>
      <c r="E8111" s="5" t="str">
        <f>HYPERLINK("https://dpmzos25m8ivg.cloudfront.net/Documentos/631/83796444504/6318379644450409092023233659.pdf","https://dpmzos25m8ivg.cloudfront.net/Documentos/631/83796444504/6318379644450409092023233659.pdf")</f>
        <v>https://dpmzos25m8ivg.cloudfront.net/Documentos/631/83796444504/6318379644450409092023233659.pdf</v>
      </c>
      <c r="F8111" s="5" t="str">
        <f>HYPERLINK("https://dpmzos25m8ivg.cloudfront.net/Documentos/631/83796444504/6318379644450409092023233739.pdf","https://dpmzos25m8ivg.cloudfront.net/Documentos/631/83796444504/6318379644450409092023233739.pdf")</f>
        <v>https://dpmzos25m8ivg.cloudfront.net/Documentos/631/83796444504/6318379644450409092023233739.pdf</v>
      </c>
      <c r="G8111" s="5" t="str">
        <f>HYPERLINK("https://dpmzos25m8ivg.cloudfront.net/Documentos/631/83796444504/6318379644450409092023233815.pdf","https://dpmzos25m8ivg.cloudfront.net/Documentos/631/83796444504/6318379644450409092023233815.pdf")</f>
        <v>https://dpmzos25m8ivg.cloudfront.net/Documentos/631/83796444504/6318379644450409092023233815.pdf</v>
      </c>
      <c r="H8111" s="5" t="s">
        <v>16679</v>
      </c>
    </row>
    <row r="8112" spans="1:8" x14ac:dyDescent="0.25">
      <c r="A8112" s="2" t="s">
        <v>8140</v>
      </c>
      <c r="B8112" s="3" t="s">
        <v>312</v>
      </c>
      <c r="C8112" s="3"/>
      <c r="D8112" s="3"/>
      <c r="E8112" s="5" t="str">
        <f>HYPERLINK("https://dpmzos25m8ivg.cloudfront.net/Documentos/631/83823379615/6318382337961507092023200730.jpg","https://dpmzos25m8ivg.cloudfront.net/Documentos/631/83823379615/6318382337961507092023200730.jpg")</f>
        <v>https://dpmzos25m8ivg.cloudfront.net/Documentos/631/83823379615/6318382337961507092023200730.jpg</v>
      </c>
      <c r="F8112" s="5" t="str">
        <f>HYPERLINK("https://dpmzos25m8ivg.cloudfront.net/Documentos/631/83823379615/6318382337961511092023115451.jpg","https://dpmzos25m8ivg.cloudfront.net/Documentos/631/83823379615/6318382337961511092023115451.jpg")</f>
        <v>https://dpmzos25m8ivg.cloudfront.net/Documentos/631/83823379615/6318382337961511092023115451.jpg</v>
      </c>
      <c r="G8112" s="5" t="str">
        <f>HYPERLINK("https://dpmzos25m8ivg.cloudfront.net/Documentos/631/83823379615/6318382337961511092023114813.jpg","https://dpmzos25m8ivg.cloudfront.net/Documentos/631/83823379615/6318382337961511092023114813.jpg")</f>
        <v>https://dpmzos25m8ivg.cloudfront.net/Documentos/631/83823379615/6318382337961511092023114813.jpg</v>
      </c>
      <c r="H8112" s="5" t="s">
        <v>16680</v>
      </c>
    </row>
    <row r="8113" spans="1:8" x14ac:dyDescent="0.25">
      <c r="A8113" s="2" t="s">
        <v>8141</v>
      </c>
      <c r="B8113" s="3"/>
      <c r="C8113" s="3"/>
      <c r="D8113" s="3"/>
      <c r="E8113" s="5" t="str">
        <f>HYPERLINK("https://dpmzos25m8ivg.cloudfront.net/Documentos/631/83834532304/6318383453230411092023143635.pdf","https://dpmzos25m8ivg.cloudfront.net/Documentos/631/83834532304/6318383453230411092023143635.pdf")</f>
        <v>https://dpmzos25m8ivg.cloudfront.net/Documentos/631/83834532304/6318383453230411092023143635.pdf</v>
      </c>
      <c r="F8113" s="5" t="str">
        <f>HYPERLINK("https://dpmzos25m8ivg.cloudfront.net/Documentos/631/83834532304/6318383453230411092023143659.pdf","https://dpmzos25m8ivg.cloudfront.net/Documentos/631/83834532304/6318383453230411092023143659.pdf")</f>
        <v>https://dpmzos25m8ivg.cloudfront.net/Documentos/631/83834532304/6318383453230411092023143659.pdf</v>
      </c>
      <c r="G8113" s="5" t="str">
        <f>HYPERLINK("https://dpmzos25m8ivg.cloudfront.net/Documentos/631/83834532304/6318383453230411092023143722.pdf","https://dpmzos25m8ivg.cloudfront.net/Documentos/631/83834532304/6318383453230411092023143722.pdf")</f>
        <v>https://dpmzos25m8ivg.cloudfront.net/Documentos/631/83834532304/6318383453230411092023143722.pdf</v>
      </c>
      <c r="H8113" s="5" t="s">
        <v>16681</v>
      </c>
    </row>
    <row r="8114" spans="1:8" x14ac:dyDescent="0.25">
      <c r="A8114" s="2" t="s">
        <v>8142</v>
      </c>
      <c r="B8114" s="3" t="s">
        <v>312</v>
      </c>
      <c r="C8114" s="3"/>
      <c r="D8114" s="3"/>
      <c r="E8114" s="5" t="str">
        <f>HYPERLINK("https://dpmzos25m8ivg.cloudfront.net/Documentos/631/83835555200/6318383555520008092023141352.jpg","https://dpmzos25m8ivg.cloudfront.net/Documentos/631/83835555200/6318383555520008092023141352.jpg")</f>
        <v>https://dpmzos25m8ivg.cloudfront.net/Documentos/631/83835555200/6318383555520008092023141352.jpg</v>
      </c>
      <c r="F8114" s="5" t="str">
        <f>HYPERLINK("https://dpmzos25m8ivg.cloudfront.net/Documentos/631/83835555200/6318383555520008092023141410.jpg","https://dpmzos25m8ivg.cloudfront.net/Documentos/631/83835555200/6318383555520008092023141410.jpg")</f>
        <v>https://dpmzos25m8ivg.cloudfront.net/Documentos/631/83835555200/6318383555520008092023141410.jpg</v>
      </c>
      <c r="G8114" s="5" t="str">
        <f>HYPERLINK("https://dpmzos25m8ivg.cloudfront.net/Documentos/631/83835555200/6318383555520008092023141433.jpg","https://dpmzos25m8ivg.cloudfront.net/Documentos/631/83835555200/6318383555520008092023141433.jpg")</f>
        <v>https://dpmzos25m8ivg.cloudfront.net/Documentos/631/83835555200/6318383555520008092023141433.jpg</v>
      </c>
      <c r="H8114" s="5" t="s">
        <v>16682</v>
      </c>
    </row>
    <row r="8115" spans="1:8" x14ac:dyDescent="0.25">
      <c r="A8115" s="2" t="s">
        <v>8143</v>
      </c>
      <c r="B8115" s="3"/>
      <c r="C8115" s="3"/>
      <c r="D8115" s="3"/>
      <c r="E8115" s="5" t="str">
        <f>HYPERLINK("https://dpmzos25m8ivg.cloudfront.net/Documentos/631/83857230568/6318385723056809092023142317.jpg","https://dpmzos25m8ivg.cloudfront.net/Documentos/631/83857230568/6318385723056809092023142317.jpg")</f>
        <v>https://dpmzos25m8ivg.cloudfront.net/Documentos/631/83857230568/6318385723056809092023142317.jpg</v>
      </c>
      <c r="F8115" s="5" t="str">
        <f>HYPERLINK("https://dpmzos25m8ivg.cloudfront.net/Documentos/631/83857230568/6318385723056809092023142331.jpg","https://dpmzos25m8ivg.cloudfront.net/Documentos/631/83857230568/6318385723056809092023142331.jpg")</f>
        <v>https://dpmzos25m8ivg.cloudfront.net/Documentos/631/83857230568/6318385723056809092023142331.jpg</v>
      </c>
      <c r="G8115" s="5" t="str">
        <f>HYPERLINK("https://dpmzos25m8ivg.cloudfront.net/Documentos/631/83857230568/6318385723056809092023142345.jpg","https://dpmzos25m8ivg.cloudfront.net/Documentos/631/83857230568/6318385723056809092023142345.jpg")</f>
        <v>https://dpmzos25m8ivg.cloudfront.net/Documentos/631/83857230568/6318385723056809092023142345.jpg</v>
      </c>
      <c r="H8115" s="5" t="s">
        <v>16683</v>
      </c>
    </row>
    <row r="8116" spans="1:8" x14ac:dyDescent="0.25">
      <c r="A8116" s="2" t="s">
        <v>8144</v>
      </c>
      <c r="B8116" s="3" t="s">
        <v>308</v>
      </c>
      <c r="C8116" s="3"/>
      <c r="D8116" s="3"/>
      <c r="E8116" s="5" t="str">
        <f>HYPERLINK("https://dpmzos25m8ivg.cloudfront.net/Documentos/631/83891820500/6318389182050005092023183854.pdf","https://dpmzos25m8ivg.cloudfront.net/Documentos/631/83891820500/6318389182050005092023183854.pdf")</f>
        <v>https://dpmzos25m8ivg.cloudfront.net/Documentos/631/83891820500/6318389182050005092023183854.pdf</v>
      </c>
      <c r="F8116" s="5" t="str">
        <f>HYPERLINK("https://dpmzos25m8ivg.cloudfront.net/Documentos/631/83891820500/6318389182050005092023185145.pdf","https://dpmzos25m8ivg.cloudfront.net/Documentos/631/83891820500/6318389182050005092023185145.pdf")</f>
        <v>https://dpmzos25m8ivg.cloudfront.net/Documentos/631/83891820500/6318389182050005092023185145.pdf</v>
      </c>
      <c r="G8116" s="5" t="str">
        <f>HYPERLINK("https://dpmzos25m8ivg.cloudfront.net/Documentos/631/83891820500/6318389182050005092023190111.pdf","https://dpmzos25m8ivg.cloudfront.net/Documentos/631/83891820500/6318389182050005092023190111.pdf")</f>
        <v>https://dpmzos25m8ivg.cloudfront.net/Documentos/631/83891820500/6318389182050005092023190111.pdf</v>
      </c>
      <c r="H8116" s="5" t="s">
        <v>16684</v>
      </c>
    </row>
    <row r="8117" spans="1:8" x14ac:dyDescent="0.25">
      <c r="A8117" s="2" t="s">
        <v>8145</v>
      </c>
      <c r="B8117" s="3"/>
      <c r="C8117" s="3"/>
      <c r="D8117" s="3"/>
      <c r="E8117" s="5" t="str">
        <f>HYPERLINK("https://dpmzos25m8ivg.cloudfront.net/Documentos/631/83924051534/6318392405153407092023150024.jpeg","https://dpmzos25m8ivg.cloudfront.net/Documentos/631/83924051534/6318392405153407092023150024.jpeg")</f>
        <v>https://dpmzos25m8ivg.cloudfront.net/Documentos/631/83924051534/6318392405153407092023150024.jpeg</v>
      </c>
      <c r="F8117" s="5" t="str">
        <f>HYPERLINK("https://dpmzos25m8ivg.cloudfront.net/Documentos/631/83924051534/6318392405153407092023150036.jpeg","https://dpmzos25m8ivg.cloudfront.net/Documentos/631/83924051534/6318392405153407092023150036.jpeg")</f>
        <v>https://dpmzos25m8ivg.cloudfront.net/Documentos/631/83924051534/6318392405153407092023150036.jpeg</v>
      </c>
      <c r="G8117" s="5" t="str">
        <f>HYPERLINK("https://dpmzos25m8ivg.cloudfront.net/Documentos/631/83924051534/6318392405153407092023150047.jpeg","https://dpmzos25m8ivg.cloudfront.net/Documentos/631/83924051534/6318392405153407092023150047.jpeg")</f>
        <v>https://dpmzos25m8ivg.cloudfront.net/Documentos/631/83924051534/6318392405153407092023150047.jpeg</v>
      </c>
      <c r="H8117" s="5" t="s">
        <v>16685</v>
      </c>
    </row>
    <row r="8118" spans="1:8" x14ac:dyDescent="0.25">
      <c r="A8118" s="2" t="s">
        <v>8146</v>
      </c>
      <c r="B8118" s="3" t="s">
        <v>312</v>
      </c>
      <c r="C8118" s="3"/>
      <c r="D8118" s="3"/>
      <c r="E8118" s="5" t="str">
        <f>HYPERLINK("https://dpmzos25m8ivg.cloudfront.net/Documentos/631/83928529587/6318392852958705092023102031.pdf","https://dpmzos25m8ivg.cloudfront.net/Documentos/631/83928529587/6318392852958705092023102031.pdf")</f>
        <v>https://dpmzos25m8ivg.cloudfront.net/Documentos/631/83928529587/6318392852958705092023102031.pdf</v>
      </c>
      <c r="F8118" s="5" t="str">
        <f>HYPERLINK("https://dpmzos25m8ivg.cloudfront.net/Documentos/631/83928529587/6318392852958705092023102045.pdf","https://dpmzos25m8ivg.cloudfront.net/Documentos/631/83928529587/6318392852958705092023102045.pdf")</f>
        <v>https://dpmzos25m8ivg.cloudfront.net/Documentos/631/83928529587/6318392852958705092023102045.pdf</v>
      </c>
      <c r="G8118" s="5" t="str">
        <f>HYPERLINK("https://dpmzos25m8ivg.cloudfront.net/Documentos/631/83928529587/6318392852958705092023102144.pdf","https://dpmzos25m8ivg.cloudfront.net/Documentos/631/83928529587/6318392852958705092023102144.pdf")</f>
        <v>https://dpmzos25m8ivg.cloudfront.net/Documentos/631/83928529587/6318392852958705092023102144.pdf</v>
      </c>
      <c r="H8118" s="5" t="s">
        <v>16686</v>
      </c>
    </row>
    <row r="8119" spans="1:8" x14ac:dyDescent="0.25">
      <c r="A8119" s="2" t="s">
        <v>8147</v>
      </c>
      <c r="B8119" s="3"/>
      <c r="C8119" s="3"/>
      <c r="D8119" s="3"/>
      <c r="E8119" s="5" t="str">
        <f>HYPERLINK("https://dpmzos25m8ivg.cloudfront.net/Documentos/631/83958371515/6318395837151510092023003248.pdf","https://dpmzos25m8ivg.cloudfront.net/Documentos/631/83958371515/6318395837151510092023003248.pdf")</f>
        <v>https://dpmzos25m8ivg.cloudfront.net/Documentos/631/83958371515/6318395837151510092023003248.pdf</v>
      </c>
      <c r="F8119" s="5" t="str">
        <f>HYPERLINK("https://dpmzos25m8ivg.cloudfront.net/Documentos/631/83958371515/6318395837151510092023003330.pdf","https://dpmzos25m8ivg.cloudfront.net/Documentos/631/83958371515/6318395837151510092023003330.pdf")</f>
        <v>https://dpmzos25m8ivg.cloudfront.net/Documentos/631/83958371515/6318395837151510092023003330.pdf</v>
      </c>
      <c r="G8119" s="5" t="str">
        <f>HYPERLINK("https://dpmzos25m8ivg.cloudfront.net/Documentos/631/83958371515/6318395837151510092023003402.pdf","https://dpmzos25m8ivg.cloudfront.net/Documentos/631/83958371515/6318395837151510092023003402.pdf")</f>
        <v>https://dpmzos25m8ivg.cloudfront.net/Documentos/631/83958371515/6318395837151510092023003402.pdf</v>
      </c>
      <c r="H8119" s="5" t="s">
        <v>16687</v>
      </c>
    </row>
    <row r="8120" spans="1:8" x14ac:dyDescent="0.25">
      <c r="A8120" s="2" t="s">
        <v>8148</v>
      </c>
      <c r="B8120" s="3" t="s">
        <v>308</v>
      </c>
      <c r="C8120" s="3"/>
      <c r="D8120" s="3"/>
      <c r="E8120" s="5" t="str">
        <f>HYPERLINK("https://dpmzos25m8ivg.cloudfront.net/Documentos/631/83976396320/6318397639632010092023193813.pdf","https://dpmzos25m8ivg.cloudfront.net/Documentos/631/83976396320/6318397639632010092023193813.pdf")</f>
        <v>https://dpmzos25m8ivg.cloudfront.net/Documentos/631/83976396320/6318397639632010092023193813.pdf</v>
      </c>
      <c r="F8120" s="5" t="str">
        <f>HYPERLINK("https://dpmzos25m8ivg.cloudfront.net/Documentos/631/83976396320/6318397639632010092023193837.pdf","https://dpmzos25m8ivg.cloudfront.net/Documentos/631/83976396320/6318397639632010092023193837.pdf")</f>
        <v>https://dpmzos25m8ivg.cloudfront.net/Documentos/631/83976396320/6318397639632010092023193837.pdf</v>
      </c>
      <c r="G8120" s="5" t="str">
        <f>HYPERLINK("https://dpmzos25m8ivg.cloudfront.net/Documentos/631/83976396320/6318397639632010092023193850.pdf","https://dpmzos25m8ivg.cloudfront.net/Documentos/631/83976396320/6318397639632010092023193850.pdf")</f>
        <v>https://dpmzos25m8ivg.cloudfront.net/Documentos/631/83976396320/6318397639632010092023193850.pdf</v>
      </c>
      <c r="H8120" s="5" t="s">
        <v>16688</v>
      </c>
    </row>
    <row r="8121" spans="1:8" x14ac:dyDescent="0.25">
      <c r="A8121" s="2" t="s">
        <v>8149</v>
      </c>
      <c r="B8121" s="3"/>
      <c r="C8121" s="3"/>
      <c r="D8121" s="3"/>
      <c r="E8121" s="5" t="str">
        <f>HYPERLINK("https://dpmzos25m8ivg.cloudfront.net/Documentos/631/83992758249/6318399275824908092023082514.pdf","https://dpmzos25m8ivg.cloudfront.net/Documentos/631/83992758249/6318399275824908092023082514.pdf")</f>
        <v>https://dpmzos25m8ivg.cloudfront.net/Documentos/631/83992758249/6318399275824908092023082514.pdf</v>
      </c>
      <c r="F8121" s="5" t="str">
        <f>HYPERLINK("https://dpmzos25m8ivg.cloudfront.net/Documentos/631/83992758249/6318399275824908092023082048.pdf","https://dpmzos25m8ivg.cloudfront.net/Documentos/631/83992758249/6318399275824908092023082048.pdf")</f>
        <v>https://dpmzos25m8ivg.cloudfront.net/Documentos/631/83992758249/6318399275824908092023082048.pdf</v>
      </c>
      <c r="G8121" s="5" t="str">
        <f>HYPERLINK("https://dpmzos25m8ivg.cloudfront.net/Documentos/631/83992758249/6318399275824906092023103632.pdf","https://dpmzos25m8ivg.cloudfront.net/Documentos/631/83992758249/6318399275824906092023103632.pdf")</f>
        <v>https://dpmzos25m8ivg.cloudfront.net/Documentos/631/83992758249/6318399275824906092023103632.pdf</v>
      </c>
      <c r="H8121" s="5" t="s">
        <v>16689</v>
      </c>
    </row>
    <row r="8122" spans="1:8" x14ac:dyDescent="0.25">
      <c r="A8122" s="2" t="s">
        <v>8150</v>
      </c>
      <c r="B8122" s="3"/>
      <c r="C8122" s="3"/>
      <c r="D8122" s="3"/>
      <c r="E8122" s="5" t="str">
        <f>HYPERLINK("https://dpmzos25m8ivg.cloudfront.net/Documentos/631/83994130387/6318399413038705092023225748.pdf","https://dpmzos25m8ivg.cloudfront.net/Documentos/631/83994130387/6318399413038705092023225748.pdf")</f>
        <v>https://dpmzos25m8ivg.cloudfront.net/Documentos/631/83994130387/6318399413038705092023225748.pdf</v>
      </c>
      <c r="F8122" s="5" t="str">
        <f>HYPERLINK("https://dpmzos25m8ivg.cloudfront.net/Documentos/631/83994130387/6318399413038705092023225805.pdf","https://dpmzos25m8ivg.cloudfront.net/Documentos/631/83994130387/6318399413038705092023225805.pdf")</f>
        <v>https://dpmzos25m8ivg.cloudfront.net/Documentos/631/83994130387/6318399413038705092023225805.pdf</v>
      </c>
      <c r="G8122" s="5" t="str">
        <f>HYPERLINK("https://dpmzos25m8ivg.cloudfront.net/Documentos/631/83994130387/6318399413038705092023225824.pdf","https://dpmzos25m8ivg.cloudfront.net/Documentos/631/83994130387/6318399413038705092023225824.pdf")</f>
        <v>https://dpmzos25m8ivg.cloudfront.net/Documentos/631/83994130387/6318399413038705092023225824.pdf</v>
      </c>
      <c r="H8122" s="5" t="s">
        <v>16690</v>
      </c>
    </row>
    <row r="8123" spans="1:8" x14ac:dyDescent="0.25">
      <c r="A8123" s="2" t="s">
        <v>8151</v>
      </c>
      <c r="B8123" s="3" t="s">
        <v>90</v>
      </c>
      <c r="C8123" s="3"/>
      <c r="D8123" s="3"/>
      <c r="E8123" s="5" t="str">
        <f>HYPERLINK("https://dpmzos25m8ivg.cloudfront.net/Documentos/631/84082160582/6318408216058205092023150204.pdf","https://dpmzos25m8ivg.cloudfront.net/Documentos/631/84082160582/6318408216058205092023150204.pdf")</f>
        <v>https://dpmzos25m8ivg.cloudfront.net/Documentos/631/84082160582/6318408216058205092023150204.pdf</v>
      </c>
      <c r="F8123" s="5" t="str">
        <f>HYPERLINK("https://dpmzos25m8ivg.cloudfront.net/Documentos/631/84082160582/6318408216058205092023150211.pdf","https://dpmzos25m8ivg.cloudfront.net/Documentos/631/84082160582/6318408216058205092023150211.pdf")</f>
        <v>https://dpmzos25m8ivg.cloudfront.net/Documentos/631/84082160582/6318408216058205092023150211.pdf</v>
      </c>
      <c r="G8123" s="5" t="str">
        <f>HYPERLINK("https://dpmzos25m8ivg.cloudfront.net/Documentos/631/84082160582/6318408216058205092023150219.pdf","https://dpmzos25m8ivg.cloudfront.net/Documentos/631/84082160582/6318408216058205092023150219.pdf")</f>
        <v>https://dpmzos25m8ivg.cloudfront.net/Documentos/631/84082160582/6318408216058205092023150219.pdf</v>
      </c>
      <c r="H8123" s="5" t="s">
        <v>16691</v>
      </c>
    </row>
    <row r="8124" spans="1:8" x14ac:dyDescent="0.25">
      <c r="A8124" s="2" t="s">
        <v>8152</v>
      </c>
      <c r="B8124" s="3" t="s">
        <v>312</v>
      </c>
      <c r="C8124" s="3"/>
      <c r="D8124" s="3"/>
      <c r="E8124" s="5" t="str">
        <f>HYPERLINK("https://dpmzos25m8ivg.cloudfront.net/Documentos/631/84115505168/6318411550516805092023183639.jpg","https://dpmzos25m8ivg.cloudfront.net/Documentos/631/84115505168/6318411550516805092023183639.jpg")</f>
        <v>https://dpmzos25m8ivg.cloudfront.net/Documentos/631/84115505168/6318411550516805092023183639.jpg</v>
      </c>
      <c r="F8124" s="5" t="str">
        <f>HYPERLINK("https://dpmzos25m8ivg.cloudfront.net/Documentos/631/84115505168/6318411550516805092023184043.jpg","https://dpmzos25m8ivg.cloudfront.net/Documentos/631/84115505168/6318411550516805092023184043.jpg")</f>
        <v>https://dpmzos25m8ivg.cloudfront.net/Documentos/631/84115505168/6318411550516805092023184043.jpg</v>
      </c>
      <c r="G8124" s="5" t="str">
        <f>HYPERLINK("https://dpmzos25m8ivg.cloudfront.net/Documentos/631/84115505168/6318411550516805092023184118.jpg","https://dpmzos25m8ivg.cloudfront.net/Documentos/631/84115505168/6318411550516805092023184118.jpg")</f>
        <v>https://dpmzos25m8ivg.cloudfront.net/Documentos/631/84115505168/6318411550516805092023184118.jpg</v>
      </c>
      <c r="H8124" s="5" t="s">
        <v>9010</v>
      </c>
    </row>
    <row r="8125" spans="1:8" x14ac:dyDescent="0.25">
      <c r="A8125" s="2" t="s">
        <v>8153</v>
      </c>
      <c r="B8125" s="3"/>
      <c r="C8125" s="3"/>
      <c r="D8125" s="3"/>
      <c r="E8125" s="5" t="str">
        <f>HYPERLINK("https://dpmzos25m8ivg.cloudfront.net/Documentos/631/84116692549/6318411669254908092023220730.pdf","https://dpmzos25m8ivg.cloudfront.net/Documentos/631/84116692549/6318411669254908092023220730.pdf")</f>
        <v>https://dpmzos25m8ivg.cloudfront.net/Documentos/631/84116692549/6318411669254908092023220730.pdf</v>
      </c>
      <c r="F8125" s="5" t="str">
        <f>HYPERLINK("https://dpmzos25m8ivg.cloudfront.net/Documentos/631/84116692549/6318411669254908092023220751.pdf","https://dpmzos25m8ivg.cloudfront.net/Documentos/631/84116692549/6318411669254908092023220751.pdf")</f>
        <v>https://dpmzos25m8ivg.cloudfront.net/Documentos/631/84116692549/6318411669254908092023220751.pdf</v>
      </c>
      <c r="G8125" s="5" t="str">
        <f>HYPERLINK("https://dpmzos25m8ivg.cloudfront.net/Documentos/631/84116692549/6318411669254908092023220809.pdf","https://dpmzos25m8ivg.cloudfront.net/Documentos/631/84116692549/6318411669254908092023220809.pdf")</f>
        <v>https://dpmzos25m8ivg.cloudfront.net/Documentos/631/84116692549/6318411669254908092023220809.pdf</v>
      </c>
      <c r="H8125" s="5" t="s">
        <v>16692</v>
      </c>
    </row>
    <row r="8126" spans="1:8" x14ac:dyDescent="0.25">
      <c r="A8126" s="2" t="s">
        <v>8154</v>
      </c>
      <c r="B8126" s="3"/>
      <c r="C8126" s="3"/>
      <c r="D8126" s="3"/>
      <c r="E8126" s="5" t="str">
        <f>HYPERLINK("https://dpmzos25m8ivg.cloudfront.net/Documentos/631/84122617553/6318412261755307092023193723.pdf","https://dpmzos25m8ivg.cloudfront.net/Documentos/631/84122617553/6318412261755307092023193723.pdf")</f>
        <v>https://dpmzos25m8ivg.cloudfront.net/Documentos/631/84122617553/6318412261755307092023193723.pdf</v>
      </c>
      <c r="F8126" s="5" t="str">
        <f>HYPERLINK("https://dpmzos25m8ivg.cloudfront.net/Documentos/631/84122617553/6318412261755307092023193659.pdf","https://dpmzos25m8ivg.cloudfront.net/Documentos/631/84122617553/6318412261755307092023193659.pdf")</f>
        <v>https://dpmzos25m8ivg.cloudfront.net/Documentos/631/84122617553/6318412261755307092023193659.pdf</v>
      </c>
      <c r="G8126" s="5" t="str">
        <f>HYPERLINK("https://dpmzos25m8ivg.cloudfront.net/Documentos/631/84122617553/6318412261755307092023193632.pdf","https://dpmzos25m8ivg.cloudfront.net/Documentos/631/84122617553/6318412261755307092023193632.pdf")</f>
        <v>https://dpmzos25m8ivg.cloudfront.net/Documentos/631/84122617553/6318412261755307092023193632.pdf</v>
      </c>
      <c r="H8126" s="5" t="s">
        <v>16693</v>
      </c>
    </row>
    <row r="8127" spans="1:8" x14ac:dyDescent="0.25">
      <c r="A8127" s="2" t="s">
        <v>8155</v>
      </c>
      <c r="B8127" s="3"/>
      <c r="C8127" s="3"/>
      <c r="D8127" s="3"/>
      <c r="E8127" s="5" t="str">
        <f>HYPERLINK("https://dpmzos25m8ivg.cloudfront.net/Documentos/631/84167041553/6318416704155310092023153602.jpg","https://dpmzos25m8ivg.cloudfront.net/Documentos/631/84167041553/6318416704155310092023153602.jpg")</f>
        <v>https://dpmzos25m8ivg.cloudfront.net/Documentos/631/84167041553/6318416704155310092023153602.jpg</v>
      </c>
      <c r="F8127" s="5" t="str">
        <f>HYPERLINK("https://dpmzos25m8ivg.cloudfront.net/Documentos/631/84167041553/6318416704155310092023153619.jpg","https://dpmzos25m8ivg.cloudfront.net/Documentos/631/84167041553/6318416704155310092023153619.jpg")</f>
        <v>https://dpmzos25m8ivg.cloudfront.net/Documentos/631/84167041553/6318416704155310092023153619.jpg</v>
      </c>
      <c r="G8127" s="5" t="str">
        <f>HYPERLINK("https://dpmzos25m8ivg.cloudfront.net/Documentos/631/84167041553/6318416704155310092023153631.jpg","https://dpmzos25m8ivg.cloudfront.net/Documentos/631/84167041553/6318416704155310092023153631.jpg")</f>
        <v>https://dpmzos25m8ivg.cloudfront.net/Documentos/631/84167041553/6318416704155310092023153631.jpg</v>
      </c>
      <c r="H8127" s="5" t="s">
        <v>16694</v>
      </c>
    </row>
    <row r="8128" spans="1:8" x14ac:dyDescent="0.25">
      <c r="A8128" s="2" t="s">
        <v>8156</v>
      </c>
      <c r="B8128" s="3"/>
      <c r="C8128" s="3"/>
      <c r="D8128" s="3"/>
      <c r="E8128" s="5" t="str">
        <f>HYPERLINK("https://dpmzos25m8ivg.cloudfront.net/Documentos/631/84202076400/6318420207640011092023005029.pdf","https://dpmzos25m8ivg.cloudfront.net/Documentos/631/84202076400/6318420207640011092023005029.pdf")</f>
        <v>https://dpmzos25m8ivg.cloudfront.net/Documentos/631/84202076400/6318420207640011092023005029.pdf</v>
      </c>
      <c r="F8128" s="5" t="str">
        <f>HYPERLINK("https://dpmzos25m8ivg.cloudfront.net/Documentos/631/84202076400/6318420207640011092023005048.pdf","https://dpmzos25m8ivg.cloudfront.net/Documentos/631/84202076400/6318420207640011092023005048.pdf")</f>
        <v>https://dpmzos25m8ivg.cloudfront.net/Documentos/631/84202076400/6318420207640011092023005048.pdf</v>
      </c>
      <c r="G8128" s="5" t="str">
        <f>HYPERLINK("https://dpmzos25m8ivg.cloudfront.net/Documentos/631/84202076400/6318420207640011092023005103.pdf","https://dpmzos25m8ivg.cloudfront.net/Documentos/631/84202076400/6318420207640011092023005103.pdf")</f>
        <v>https://dpmzos25m8ivg.cloudfront.net/Documentos/631/84202076400/6318420207640011092023005103.pdf</v>
      </c>
      <c r="H8128" s="5" t="s">
        <v>16695</v>
      </c>
    </row>
    <row r="8129" spans="1:8" x14ac:dyDescent="0.25">
      <c r="A8129" s="2" t="s">
        <v>8157</v>
      </c>
      <c r="B8129" s="3"/>
      <c r="C8129" s="3"/>
      <c r="D8129" s="3"/>
      <c r="E8129" s="5" t="str">
        <f>HYPERLINK("https://dpmzos25m8ivg.cloudfront.net/Documentos/631/84293810587/6318429381058710092023141618.pdf","https://dpmzos25m8ivg.cloudfront.net/Documentos/631/84293810587/6318429381058710092023141618.pdf")</f>
        <v>https://dpmzos25m8ivg.cloudfront.net/Documentos/631/84293810587/6318429381058710092023141618.pdf</v>
      </c>
      <c r="F8129" s="5" t="str">
        <f>HYPERLINK("https://dpmzos25m8ivg.cloudfront.net/Documentos/631/84293810587/6318429381058710092023141651.pdf","https://dpmzos25m8ivg.cloudfront.net/Documentos/631/84293810587/6318429381058710092023141651.pdf")</f>
        <v>https://dpmzos25m8ivg.cloudfront.net/Documentos/631/84293810587/6318429381058710092023141651.pdf</v>
      </c>
      <c r="G8129" s="5" t="str">
        <f>HYPERLINK("https://dpmzos25m8ivg.cloudfront.net/Documentos/631/84293810587/6318429381058710092023141723.pdf","https://dpmzos25m8ivg.cloudfront.net/Documentos/631/84293810587/6318429381058710092023141723.pdf")</f>
        <v>https://dpmzos25m8ivg.cloudfront.net/Documentos/631/84293810587/6318429381058710092023141723.pdf</v>
      </c>
      <c r="H8129" s="5" t="s">
        <v>16696</v>
      </c>
    </row>
    <row r="8130" spans="1:8" x14ac:dyDescent="0.25">
      <c r="A8130" s="2" t="s">
        <v>8158</v>
      </c>
      <c r="B8130" s="3"/>
      <c r="C8130" s="3"/>
      <c r="D8130" s="3"/>
      <c r="E8130" s="5" t="str">
        <f>HYPERLINK("https://dpmzos25m8ivg.cloudfront.net/Documentos/631/84322071520/6318432207152006092023132218.pdf","https://dpmzos25m8ivg.cloudfront.net/Documentos/631/84322071520/6318432207152006092023132218.pdf")</f>
        <v>https://dpmzos25m8ivg.cloudfront.net/Documentos/631/84322071520/6318432207152006092023132218.pdf</v>
      </c>
      <c r="F8130" s="5" t="str">
        <f>HYPERLINK("https://dpmzos25m8ivg.cloudfront.net/Documentos/631/84322071520/6318432207152006092023132249.pdf","https://dpmzos25m8ivg.cloudfront.net/Documentos/631/84322071520/6318432207152006092023132249.pdf")</f>
        <v>https://dpmzos25m8ivg.cloudfront.net/Documentos/631/84322071520/6318432207152006092023132249.pdf</v>
      </c>
      <c r="G8130" s="5" t="str">
        <f>HYPERLINK("https://dpmzos25m8ivg.cloudfront.net/Documentos/631/84322071520/6318432207152006092023132306.pdf","https://dpmzos25m8ivg.cloudfront.net/Documentos/631/84322071520/6318432207152006092023132306.pdf")</f>
        <v>https://dpmzos25m8ivg.cloudfront.net/Documentos/631/84322071520/6318432207152006092023132306.pdf</v>
      </c>
      <c r="H8130" s="5" t="s">
        <v>16697</v>
      </c>
    </row>
    <row r="8131" spans="1:8" x14ac:dyDescent="0.25">
      <c r="A8131" s="2" t="s">
        <v>8159</v>
      </c>
      <c r="B8131" s="3"/>
      <c r="C8131" s="3"/>
      <c r="D8131" s="3"/>
      <c r="E8131" s="5" t="str">
        <f>HYPERLINK("https://dpmzos25m8ivg.cloudfront.net/Documentos/631/84376392553/6318437639255306092023152713.pdf","https://dpmzos25m8ivg.cloudfront.net/Documentos/631/84376392553/6318437639255306092023152713.pdf")</f>
        <v>https://dpmzos25m8ivg.cloudfront.net/Documentos/631/84376392553/6318437639255306092023152713.pdf</v>
      </c>
      <c r="F8131" s="5" t="str">
        <f>HYPERLINK("https://dpmzos25m8ivg.cloudfront.net/Documentos/631/84376392553/6318437639255306092023152728.pdf","https://dpmzos25m8ivg.cloudfront.net/Documentos/631/84376392553/6318437639255306092023152728.pdf")</f>
        <v>https://dpmzos25m8ivg.cloudfront.net/Documentos/631/84376392553/6318437639255306092023152728.pdf</v>
      </c>
      <c r="G8131" s="5" t="str">
        <f>HYPERLINK("https://dpmzos25m8ivg.cloudfront.net/Documentos/631/84376392553/6318437639255306092023152744.pdf","https://dpmzos25m8ivg.cloudfront.net/Documentos/631/84376392553/6318437639255306092023152744.pdf")</f>
        <v>https://dpmzos25m8ivg.cloudfront.net/Documentos/631/84376392553/6318437639255306092023152744.pdf</v>
      </c>
      <c r="H8131" s="5" t="s">
        <v>16698</v>
      </c>
    </row>
    <row r="8132" spans="1:8" x14ac:dyDescent="0.25">
      <c r="A8132" s="2" t="s">
        <v>8160</v>
      </c>
      <c r="B8132" s="3"/>
      <c r="C8132" s="3"/>
      <c r="D8132" s="3"/>
      <c r="E8132" s="5" t="str">
        <f>HYPERLINK("https://dpmzos25m8ivg.cloudfront.net/Documentos/631/84478179115/6318447817911513092023151630.pdf","https://dpmzos25m8ivg.cloudfront.net/Documentos/631/84478179115/6318447817911513092023151630.pdf")</f>
        <v>https://dpmzos25m8ivg.cloudfront.net/Documentos/631/84478179115/6318447817911513092023151630.pdf</v>
      </c>
      <c r="F8132" s="5" t="str">
        <f>HYPERLINK("https://dpmzos25m8ivg.cloudfront.net/Documentos/631/84478179115/6318447817911513092023151653.pdf","https://dpmzos25m8ivg.cloudfront.net/Documentos/631/84478179115/6318447817911513092023151653.pdf")</f>
        <v>https://dpmzos25m8ivg.cloudfront.net/Documentos/631/84478179115/6318447817911513092023151653.pdf</v>
      </c>
      <c r="G8132" s="5" t="str">
        <f>HYPERLINK("https://dpmzos25m8ivg.cloudfront.net/Documentos/631/84478179115/6318447817911513092023151807.pdf","https://dpmzos25m8ivg.cloudfront.net/Documentos/631/84478179115/6318447817911513092023151807.pdf")</f>
        <v>https://dpmzos25m8ivg.cloudfront.net/Documentos/631/84478179115/6318447817911513092023151807.pdf</v>
      </c>
      <c r="H8132" s="5" t="s">
        <v>16699</v>
      </c>
    </row>
    <row r="8133" spans="1:8" x14ac:dyDescent="0.25">
      <c r="A8133" s="2" t="s">
        <v>8161</v>
      </c>
      <c r="B8133" s="3"/>
      <c r="C8133" s="3"/>
      <c r="D8133" s="3"/>
      <c r="E8133" s="5" t="str">
        <f>HYPERLINK("https://dpmzos25m8ivg.cloudfront.net/Documentos/631/84492015515/6318449201551505092023194907.pdf","https://dpmzos25m8ivg.cloudfront.net/Documentos/631/84492015515/6318449201551505092023194907.pdf")</f>
        <v>https://dpmzos25m8ivg.cloudfront.net/Documentos/631/84492015515/6318449201551505092023194907.pdf</v>
      </c>
      <c r="F8133" s="5" t="str">
        <f>HYPERLINK("https://dpmzos25m8ivg.cloudfront.net/Documentos/631/84492015515/6318449201551505092023194925.pdf","https://dpmzos25m8ivg.cloudfront.net/Documentos/631/84492015515/6318449201551505092023194925.pdf")</f>
        <v>https://dpmzos25m8ivg.cloudfront.net/Documentos/631/84492015515/6318449201551505092023194925.pdf</v>
      </c>
      <c r="G8133" s="5" t="str">
        <f>HYPERLINK("https://dpmzos25m8ivg.cloudfront.net/Documentos/631/84492015515/6318449201551505092023194957.pdf","https://dpmzos25m8ivg.cloudfront.net/Documentos/631/84492015515/6318449201551505092023194957.pdf")</f>
        <v>https://dpmzos25m8ivg.cloudfront.net/Documentos/631/84492015515/6318449201551505092023194957.pdf</v>
      </c>
      <c r="H8133" s="5" t="s">
        <v>16700</v>
      </c>
    </row>
    <row r="8134" spans="1:8" x14ac:dyDescent="0.25">
      <c r="A8134" s="2" t="s">
        <v>8162</v>
      </c>
      <c r="B8134" s="3"/>
      <c r="C8134" s="3"/>
      <c r="D8134" s="3"/>
      <c r="E8134" s="5" t="str">
        <f>HYPERLINK("https://dpmzos25m8ivg.cloudfront.net/Documentos/631/84506997115/6318450699711510092023131628.pdf","https://dpmzos25m8ivg.cloudfront.net/Documentos/631/84506997115/6318450699711510092023131628.pdf")</f>
        <v>https://dpmzos25m8ivg.cloudfront.net/Documentos/631/84506997115/6318450699711510092023131628.pdf</v>
      </c>
      <c r="F8134" s="5" t="str">
        <f>HYPERLINK("https://dpmzos25m8ivg.cloudfront.net/Documentos/631/84506997115/6318450699711510092023131636.pdf","https://dpmzos25m8ivg.cloudfront.net/Documentos/631/84506997115/6318450699711510092023131636.pdf")</f>
        <v>https://dpmzos25m8ivg.cloudfront.net/Documentos/631/84506997115/6318450699711510092023131636.pdf</v>
      </c>
      <c r="G8134" s="5" t="str">
        <f>HYPERLINK("https://dpmzos25m8ivg.cloudfront.net/Documentos/631/84506997115/6318450699711510092023131644.pdf","https://dpmzos25m8ivg.cloudfront.net/Documentos/631/84506997115/6318450699711510092023131644.pdf")</f>
        <v>https://dpmzos25m8ivg.cloudfront.net/Documentos/631/84506997115/6318450699711510092023131644.pdf</v>
      </c>
      <c r="H8134" s="5" t="s">
        <v>16701</v>
      </c>
    </row>
    <row r="8135" spans="1:8" x14ac:dyDescent="0.25">
      <c r="A8135" s="2" t="s">
        <v>8163</v>
      </c>
      <c r="B8135" s="3"/>
      <c r="C8135" s="3"/>
      <c r="D8135" s="3"/>
      <c r="E8135" s="5" t="str">
        <f>HYPERLINK("https://dpmzos25m8ivg.cloudfront.net/Documentos/631/84514671134/6318451467113410092023221632.pdf","https://dpmzos25m8ivg.cloudfront.net/Documentos/631/84514671134/6318451467113410092023221632.pdf")</f>
        <v>https://dpmzos25m8ivg.cloudfront.net/Documentos/631/84514671134/6318451467113410092023221632.pdf</v>
      </c>
      <c r="F8135" s="5" t="str">
        <f>HYPERLINK("https://dpmzos25m8ivg.cloudfront.net/Documentos/631/84514671134/6318451467113410092023221743.pdf","https://dpmzos25m8ivg.cloudfront.net/Documentos/631/84514671134/6318451467113410092023221743.pdf")</f>
        <v>https://dpmzos25m8ivg.cloudfront.net/Documentos/631/84514671134/6318451467113410092023221743.pdf</v>
      </c>
      <c r="G8135" s="5" t="str">
        <f>HYPERLINK("https://dpmzos25m8ivg.cloudfront.net/Documentos/631/84514671134/6318451467113410092023221808.pdf","https://dpmzos25m8ivg.cloudfront.net/Documentos/631/84514671134/6318451467113410092023221808.pdf")</f>
        <v>https://dpmzos25m8ivg.cloudfront.net/Documentos/631/84514671134/6318451467113410092023221808.pdf</v>
      </c>
      <c r="H8135" s="5" t="s">
        <v>16702</v>
      </c>
    </row>
    <row r="8136" spans="1:8" x14ac:dyDescent="0.25">
      <c r="A8136" s="2" t="s">
        <v>8164</v>
      </c>
      <c r="B8136" s="3"/>
      <c r="C8136" s="3"/>
      <c r="D8136" s="3"/>
      <c r="E8136" s="5" t="str">
        <f>HYPERLINK("https://dpmzos25m8ivg.cloudfront.net/Documentos/631/84516151553/6318451615155314092023154414.pdf","https://dpmzos25m8ivg.cloudfront.net/Documentos/631/84516151553/6318451615155314092023154414.pdf")</f>
        <v>https://dpmzos25m8ivg.cloudfront.net/Documentos/631/84516151553/6318451615155314092023154414.pdf</v>
      </c>
      <c r="F8136" s="5" t="str">
        <f>HYPERLINK("https://dpmzos25m8ivg.cloudfront.net/Documentos/631/84516151553/6318451615155314092023154502.pdf","https://dpmzos25m8ivg.cloudfront.net/Documentos/631/84516151553/6318451615155314092023154502.pdf")</f>
        <v>https://dpmzos25m8ivg.cloudfront.net/Documentos/631/84516151553/6318451615155314092023154502.pdf</v>
      </c>
      <c r="G8136" s="5" t="str">
        <f>HYPERLINK("https://dpmzos25m8ivg.cloudfront.net/Documentos/631/84516151553/6318451615155314092023154529.pdf","https://dpmzos25m8ivg.cloudfront.net/Documentos/631/84516151553/6318451615155314092023154529.pdf")</f>
        <v>https://dpmzos25m8ivg.cloudfront.net/Documentos/631/84516151553/6318451615155314092023154529.pdf</v>
      </c>
      <c r="H8136" s="5" t="s">
        <v>16703</v>
      </c>
    </row>
    <row r="8137" spans="1:8" x14ac:dyDescent="0.25">
      <c r="A8137" s="2" t="s">
        <v>8165</v>
      </c>
      <c r="B8137" s="3"/>
      <c r="C8137" s="3"/>
      <c r="D8137" s="3"/>
      <c r="E8137" s="5" t="str">
        <f>HYPERLINK("https://dpmzos25m8ivg.cloudfront.net/Documentos/631/84530006468/6318453000646809092023114513.pdf","https://dpmzos25m8ivg.cloudfront.net/Documentos/631/84530006468/6318453000646809092023114513.pdf")</f>
        <v>https://dpmzos25m8ivg.cloudfront.net/Documentos/631/84530006468/6318453000646809092023114513.pdf</v>
      </c>
      <c r="F8137" s="5" t="str">
        <f>HYPERLINK("https://dpmzos25m8ivg.cloudfront.net/Documentos/631/84530006468/6318453000646809092023114530.pdf","https://dpmzos25m8ivg.cloudfront.net/Documentos/631/84530006468/6318453000646809092023114530.pdf")</f>
        <v>https://dpmzos25m8ivg.cloudfront.net/Documentos/631/84530006468/6318453000646809092023114530.pdf</v>
      </c>
      <c r="G8137" s="5" t="str">
        <f>HYPERLINK("https://dpmzos25m8ivg.cloudfront.net/Documentos/631/84530006468/6318453000646809092023114544.pdf","https://dpmzos25m8ivg.cloudfront.net/Documentos/631/84530006468/6318453000646809092023114544.pdf")</f>
        <v>https://dpmzos25m8ivg.cloudfront.net/Documentos/631/84530006468/6318453000646809092023114544.pdf</v>
      </c>
      <c r="H8137" s="5" t="s">
        <v>16704</v>
      </c>
    </row>
    <row r="8138" spans="1:8" x14ac:dyDescent="0.25">
      <c r="A8138" s="2" t="s">
        <v>8166</v>
      </c>
      <c r="B8138" s="3"/>
      <c r="C8138" s="3"/>
      <c r="D8138" s="3"/>
      <c r="E8138" s="5" t="str">
        <f>HYPERLINK("https://dpmzos25m8ivg.cloudfront.net/Documentos/631/84585315268/6318458531526806092023101206.pdf","https://dpmzos25m8ivg.cloudfront.net/Documentos/631/84585315268/6318458531526806092023101206.pdf")</f>
        <v>https://dpmzos25m8ivg.cloudfront.net/Documentos/631/84585315268/6318458531526806092023101206.pdf</v>
      </c>
      <c r="F8138" s="5" t="str">
        <f>HYPERLINK("https://dpmzos25m8ivg.cloudfront.net/Documentos/631/84585315268/6318458531526806092023101221.pdf","https://dpmzos25m8ivg.cloudfront.net/Documentos/631/84585315268/6318458531526806092023101221.pdf")</f>
        <v>https://dpmzos25m8ivg.cloudfront.net/Documentos/631/84585315268/6318458531526806092023101221.pdf</v>
      </c>
      <c r="G8138" s="5" t="str">
        <f>HYPERLINK("https://dpmzos25m8ivg.cloudfront.net/Documentos/631/84585315268/6318458531526806092023101239.pdf","https://dpmzos25m8ivg.cloudfront.net/Documentos/631/84585315268/6318458531526806092023101239.pdf")</f>
        <v>https://dpmzos25m8ivg.cloudfront.net/Documentos/631/84585315268/6318458531526806092023101239.pdf</v>
      </c>
      <c r="H8138" s="5" t="s">
        <v>16705</v>
      </c>
    </row>
    <row r="8139" spans="1:8" x14ac:dyDescent="0.25">
      <c r="A8139" s="2" t="s">
        <v>8167</v>
      </c>
      <c r="B8139" s="3"/>
      <c r="C8139" s="3"/>
      <c r="D8139" s="3"/>
      <c r="E8139" s="5" t="str">
        <f>HYPERLINK("https://dpmzos25m8ivg.cloudfront.net/Documentos/631/84696745520/6318469674552011092023164159.jpg","https://dpmzos25m8ivg.cloudfront.net/Documentos/631/84696745520/6318469674552011092023164159.jpg")</f>
        <v>https://dpmzos25m8ivg.cloudfront.net/Documentos/631/84696745520/6318469674552011092023164159.jpg</v>
      </c>
      <c r="F8139" s="5" t="str">
        <f>HYPERLINK("https://dpmzos25m8ivg.cloudfront.net/Documentos/631/84696745520/6318469674552011092023164359.jpg","https://dpmzos25m8ivg.cloudfront.net/Documentos/631/84696745520/6318469674552011092023164359.jpg")</f>
        <v>https://dpmzos25m8ivg.cloudfront.net/Documentos/631/84696745520/6318469674552011092023164359.jpg</v>
      </c>
      <c r="G8139" s="5" t="str">
        <f>HYPERLINK("https://dpmzos25m8ivg.cloudfront.net/Documentos/631/84696745520/6318469674552011092023164416.jpg","https://dpmzos25m8ivg.cloudfront.net/Documentos/631/84696745520/6318469674552011092023164416.jpg")</f>
        <v>https://dpmzos25m8ivg.cloudfront.net/Documentos/631/84696745520/6318469674552011092023164416.jpg</v>
      </c>
      <c r="H8139" s="5" t="s">
        <v>16706</v>
      </c>
    </row>
    <row r="8140" spans="1:8" x14ac:dyDescent="0.25">
      <c r="A8140" s="2" t="s">
        <v>8168</v>
      </c>
      <c r="B8140" s="3"/>
      <c r="C8140" s="3"/>
      <c r="D8140" s="3"/>
      <c r="E8140" s="5" t="str">
        <f>HYPERLINK("https://dpmzos25m8ivg.cloudfront.net/Documentos/631/84725540072/6318472554007208092023124726.pdf","https://dpmzos25m8ivg.cloudfront.net/Documentos/631/84725540072/6318472554007208092023124726.pdf")</f>
        <v>https://dpmzos25m8ivg.cloudfront.net/Documentos/631/84725540072/6318472554007208092023124726.pdf</v>
      </c>
      <c r="F8140" s="5" t="str">
        <f>HYPERLINK("https://dpmzos25m8ivg.cloudfront.net/Documentos/631/84725540072/6318472554007208092023161357.jpeg","https://dpmzos25m8ivg.cloudfront.net/Documentos/631/84725540072/6318472554007208092023161357.jpeg")</f>
        <v>https://dpmzos25m8ivg.cloudfront.net/Documentos/631/84725540072/6318472554007208092023161357.jpeg</v>
      </c>
      <c r="G8140" s="5" t="str">
        <f>HYPERLINK("https://dpmzos25m8ivg.cloudfront.net/Documentos/631/84725540072/6318472554007208092023161409.jpeg","https://dpmzos25m8ivg.cloudfront.net/Documentos/631/84725540072/6318472554007208092023161409.jpeg")</f>
        <v>https://dpmzos25m8ivg.cloudfront.net/Documentos/631/84725540072/6318472554007208092023161409.jpeg</v>
      </c>
      <c r="H8140" s="5" t="s">
        <v>16707</v>
      </c>
    </row>
    <row r="8141" spans="1:8" x14ac:dyDescent="0.25">
      <c r="A8141" s="2" t="s">
        <v>8169</v>
      </c>
      <c r="B8141" s="3" t="s">
        <v>90</v>
      </c>
      <c r="C8141" s="3"/>
      <c r="D8141" s="3"/>
      <c r="E8141" s="5" t="str">
        <f>HYPERLINK("https://dpmzos25m8ivg.cloudfront.net/Documentos/631/84734604649/6318473460464905092023090001.pdf","https://dpmzos25m8ivg.cloudfront.net/Documentos/631/84734604649/6318473460464905092023090001.pdf")</f>
        <v>https://dpmzos25m8ivg.cloudfront.net/Documentos/631/84734604649/6318473460464905092023090001.pdf</v>
      </c>
      <c r="F8141" s="5" t="str">
        <f>HYPERLINK("https://dpmzos25m8ivg.cloudfront.net/Documentos/631/84734604649/6318473460464905092023090027.pdf","https://dpmzos25m8ivg.cloudfront.net/Documentos/631/84734604649/6318473460464905092023090027.pdf")</f>
        <v>https://dpmzos25m8ivg.cloudfront.net/Documentos/631/84734604649/6318473460464905092023090027.pdf</v>
      </c>
      <c r="G8141" s="5" t="str">
        <f>HYPERLINK("https://dpmzos25m8ivg.cloudfront.net/Documentos/631/84734604649/6318473460464905092023090053.pdf","https://dpmzos25m8ivg.cloudfront.net/Documentos/631/84734604649/6318473460464905092023090053.pdf")</f>
        <v>https://dpmzos25m8ivg.cloudfront.net/Documentos/631/84734604649/6318473460464905092023090053.pdf</v>
      </c>
      <c r="H8141" s="5" t="s">
        <v>16708</v>
      </c>
    </row>
    <row r="8142" spans="1:8" x14ac:dyDescent="0.25">
      <c r="A8142" s="2" t="s">
        <v>8170</v>
      </c>
      <c r="B8142" s="3" t="s">
        <v>90</v>
      </c>
      <c r="C8142" s="3"/>
      <c r="D8142" s="3"/>
      <c r="E8142" s="5" t="str">
        <f>HYPERLINK("https://dpmzos25m8ivg.cloudfront.net/Documentos/631/84807407368/6318480740736806092023131859.pdf","https://dpmzos25m8ivg.cloudfront.net/Documentos/631/84807407368/6318480740736806092023131859.pdf")</f>
        <v>https://dpmzos25m8ivg.cloudfront.net/Documentos/631/84807407368/6318480740736806092023131859.pdf</v>
      </c>
      <c r="F8142" s="5" t="str">
        <f>HYPERLINK("https://dpmzos25m8ivg.cloudfront.net/Documentos/631/84807407368/6318480740736806092023131920.pdf","https://dpmzos25m8ivg.cloudfront.net/Documentos/631/84807407368/6318480740736806092023131920.pdf")</f>
        <v>https://dpmzos25m8ivg.cloudfront.net/Documentos/631/84807407368/6318480740736806092023131920.pdf</v>
      </c>
      <c r="G8142" s="5" t="str">
        <f>HYPERLINK("https://dpmzos25m8ivg.cloudfront.net/Documentos/631/84807407368/6318480740736806092023131931.pdf","https://dpmzos25m8ivg.cloudfront.net/Documentos/631/84807407368/6318480740736806092023131931.pdf")</f>
        <v>https://dpmzos25m8ivg.cloudfront.net/Documentos/631/84807407368/6318480740736806092023131931.pdf</v>
      </c>
      <c r="H8142" s="5" t="s">
        <v>16709</v>
      </c>
    </row>
    <row r="8143" spans="1:8" x14ac:dyDescent="0.25">
      <c r="A8143" s="2" t="s">
        <v>8171</v>
      </c>
      <c r="B8143" s="3"/>
      <c r="C8143" s="3"/>
      <c r="D8143" s="3"/>
      <c r="E8143" s="5" t="str">
        <f>HYPERLINK("https://dpmzos25m8ivg.cloudfront.net/Documentos/631/84818417572/6318481841757213092023223150.pdf","https://dpmzos25m8ivg.cloudfront.net/Documentos/631/84818417572/6318481841757213092023223150.pdf")</f>
        <v>https://dpmzos25m8ivg.cloudfront.net/Documentos/631/84818417572/6318481841757213092023223150.pdf</v>
      </c>
      <c r="F8143" s="5" t="str">
        <f>HYPERLINK("https://dpmzos25m8ivg.cloudfront.net/Documentos/631/84818417572/6318481841757213092023223205.pdf","https://dpmzos25m8ivg.cloudfront.net/Documentos/631/84818417572/6318481841757213092023223205.pdf")</f>
        <v>https://dpmzos25m8ivg.cloudfront.net/Documentos/631/84818417572/6318481841757213092023223205.pdf</v>
      </c>
      <c r="G8143" s="5" t="str">
        <f>HYPERLINK("https://dpmzos25m8ivg.cloudfront.net/Documentos/631/84818417572/6318481841757213092023223214.pdf","https://dpmzos25m8ivg.cloudfront.net/Documentos/631/84818417572/6318481841757213092023223214.pdf")</f>
        <v>https://dpmzos25m8ivg.cloudfront.net/Documentos/631/84818417572/6318481841757213092023223214.pdf</v>
      </c>
      <c r="H8143" s="5" t="s">
        <v>16710</v>
      </c>
    </row>
    <row r="8144" spans="1:8" x14ac:dyDescent="0.25">
      <c r="A8144" s="2" t="s">
        <v>8172</v>
      </c>
      <c r="B8144" s="3" t="s">
        <v>308</v>
      </c>
      <c r="C8144" s="3"/>
      <c r="D8144" s="3"/>
      <c r="E8144" s="5" t="str">
        <f>HYPERLINK("https://dpmzos25m8ivg.cloudfront.net/Documentos/631/84837314287/6318483731428710092023224321.pdf","https://dpmzos25m8ivg.cloudfront.net/Documentos/631/84837314287/6318483731428710092023224321.pdf")</f>
        <v>https://dpmzos25m8ivg.cloudfront.net/Documentos/631/84837314287/6318483731428710092023224321.pdf</v>
      </c>
      <c r="F8144" s="5" t="str">
        <f>HYPERLINK("https://dpmzos25m8ivg.cloudfront.net/Documentos/631/84837314287/6318483731428710092023224347.pdf","https://dpmzos25m8ivg.cloudfront.net/Documentos/631/84837314287/6318483731428710092023224347.pdf")</f>
        <v>https://dpmzos25m8ivg.cloudfront.net/Documentos/631/84837314287/6318483731428710092023224347.pdf</v>
      </c>
      <c r="G8144" s="5" t="str">
        <f>HYPERLINK("https://dpmzos25m8ivg.cloudfront.net/Documentos/631/84837314287/6318483731428710092023224503.pdf","https://dpmzos25m8ivg.cloudfront.net/Documentos/631/84837314287/6318483731428710092023224503.pdf")</f>
        <v>https://dpmzos25m8ivg.cloudfront.net/Documentos/631/84837314287/6318483731428710092023224503.pdf</v>
      </c>
      <c r="H8144" s="5" t="s">
        <v>16711</v>
      </c>
    </row>
    <row r="8145" spans="1:8" x14ac:dyDescent="0.25">
      <c r="A8145" s="2" t="s">
        <v>8173</v>
      </c>
      <c r="B8145" s="3" t="s">
        <v>90</v>
      </c>
      <c r="C8145" s="3"/>
      <c r="D8145" s="3"/>
      <c r="E8145" s="5" t="str">
        <f>HYPERLINK("https://dpmzos25m8ivg.cloudfront.net/Documentos/631/84958529268/6318495852926811092023155703.pdf","https://dpmzos25m8ivg.cloudfront.net/Documentos/631/84958529268/6318495852926811092023155703.pdf")</f>
        <v>https://dpmzos25m8ivg.cloudfront.net/Documentos/631/84958529268/6318495852926811092023155703.pdf</v>
      </c>
      <c r="F8145" s="5" t="str">
        <f>HYPERLINK("https://dpmzos25m8ivg.cloudfront.net/Documentos/631/84958529268/6318495852926811092023155739.pdf","https://dpmzos25m8ivg.cloudfront.net/Documentos/631/84958529268/6318495852926811092023155739.pdf")</f>
        <v>https://dpmzos25m8ivg.cloudfront.net/Documentos/631/84958529268/6318495852926811092023155739.pdf</v>
      </c>
      <c r="G8145" s="5" t="str">
        <f>HYPERLINK("https://dpmzos25m8ivg.cloudfront.net/Documentos/631/84958529268/6318495852926811092023155803.pdf","https://dpmzos25m8ivg.cloudfront.net/Documentos/631/84958529268/6318495852926811092023155803.pdf")</f>
        <v>https://dpmzos25m8ivg.cloudfront.net/Documentos/631/84958529268/6318495852926811092023155803.pdf</v>
      </c>
      <c r="H8145" s="5" t="s">
        <v>16712</v>
      </c>
    </row>
    <row r="8146" spans="1:8" x14ac:dyDescent="0.25">
      <c r="A8146" s="2" t="s">
        <v>8174</v>
      </c>
      <c r="B8146" s="3" t="s">
        <v>23</v>
      </c>
      <c r="C8146" s="3"/>
      <c r="D8146" s="3"/>
      <c r="E8146" s="5" t="str">
        <f>HYPERLINK("https://dpmzos25m8ivg.cloudfront.net/Documentos/631/85001716691/6318500171669111092023134812.pdf","https://dpmzos25m8ivg.cloudfront.net/Documentos/631/85001716691/6318500171669111092023134812.pdf")</f>
        <v>https://dpmzos25m8ivg.cloudfront.net/Documentos/631/85001716691/6318500171669111092023134812.pdf</v>
      </c>
      <c r="F8146" s="5" t="str">
        <f>HYPERLINK("https://dpmzos25m8ivg.cloudfront.net/Documentos/631/85001716691/6318500171669111092023134849.pdf","https://dpmzos25m8ivg.cloudfront.net/Documentos/631/85001716691/6318500171669111092023134849.pdf")</f>
        <v>https://dpmzos25m8ivg.cloudfront.net/Documentos/631/85001716691/6318500171669111092023134849.pdf</v>
      </c>
      <c r="G8146" s="5" t="str">
        <f>HYPERLINK("https://dpmzos25m8ivg.cloudfront.net/Documentos/631/85001716691/6318500171669111092023134928.pdf","https://dpmzos25m8ivg.cloudfront.net/Documentos/631/85001716691/6318500171669111092023134928.pdf")</f>
        <v>https://dpmzos25m8ivg.cloudfront.net/Documentos/631/85001716691/6318500171669111092023134928.pdf</v>
      </c>
      <c r="H8146" s="5" t="s">
        <v>16713</v>
      </c>
    </row>
    <row r="8147" spans="1:8" x14ac:dyDescent="0.25">
      <c r="A8147" s="2" t="s">
        <v>8175</v>
      </c>
      <c r="B8147" s="3"/>
      <c r="C8147" s="3"/>
      <c r="D8147" s="3"/>
      <c r="E8147" s="5" t="str">
        <f>HYPERLINK("https://dpmzos25m8ivg.cloudfront.net/Documentos/631/85082155253/6318508215525311092023161118.jpg","https://dpmzos25m8ivg.cloudfront.net/Documentos/631/85082155253/6318508215525311092023161118.jpg")</f>
        <v>https://dpmzos25m8ivg.cloudfront.net/Documentos/631/85082155253/6318508215525311092023161118.jpg</v>
      </c>
      <c r="F8147" s="5" t="str">
        <f>HYPERLINK("https://dpmzos25m8ivg.cloudfront.net/Documentos/631/85082155253/6318508215525311092023161026.jpg","https://dpmzos25m8ivg.cloudfront.net/Documentos/631/85082155253/6318508215525311092023161026.jpg")</f>
        <v>https://dpmzos25m8ivg.cloudfront.net/Documentos/631/85082155253/6318508215525311092023161026.jpg</v>
      </c>
      <c r="G8147" s="5" t="str">
        <f>HYPERLINK("https://dpmzos25m8ivg.cloudfront.net/Documentos/631/85082155253/6318508215525311092023160940.jpg","https://dpmzos25m8ivg.cloudfront.net/Documentos/631/85082155253/6318508215525311092023160940.jpg")</f>
        <v>https://dpmzos25m8ivg.cloudfront.net/Documentos/631/85082155253/6318508215525311092023160940.jpg</v>
      </c>
      <c r="H8147" s="5" t="s">
        <v>16714</v>
      </c>
    </row>
    <row r="8148" spans="1:8" x14ac:dyDescent="0.25">
      <c r="A8148" s="2" t="s">
        <v>8176</v>
      </c>
      <c r="B8148" s="3"/>
      <c r="C8148" s="3"/>
      <c r="D8148" s="3"/>
      <c r="E8148" s="5" t="str">
        <f>HYPERLINK("https://dpmzos25m8ivg.cloudfront.net/Documentos/631/85091391568/6318509139156811092023153557.jpeg","https://dpmzos25m8ivg.cloudfront.net/Documentos/631/85091391568/6318509139156811092023153557.jpeg")</f>
        <v>https://dpmzos25m8ivg.cloudfront.net/Documentos/631/85091391568/6318509139156811092023153557.jpeg</v>
      </c>
      <c r="F8148" s="5" t="str">
        <f>HYPERLINK("https://dpmzos25m8ivg.cloudfront.net/Documentos/631/85091391568/6318509139156811092023153618.jpeg","https://dpmzos25m8ivg.cloudfront.net/Documentos/631/85091391568/6318509139156811092023153618.jpeg")</f>
        <v>https://dpmzos25m8ivg.cloudfront.net/Documentos/631/85091391568/6318509139156811092023153618.jpeg</v>
      </c>
      <c r="G8148" s="5" t="str">
        <f>HYPERLINK("https://dpmzos25m8ivg.cloudfront.net/Documentos/631/85091391568/6318509139156811092023153639.jpeg","https://dpmzos25m8ivg.cloudfront.net/Documentos/631/85091391568/6318509139156811092023153639.jpeg")</f>
        <v>https://dpmzos25m8ivg.cloudfront.net/Documentos/631/85091391568/6318509139156811092023153639.jpeg</v>
      </c>
      <c r="H8148" s="5" t="s">
        <v>16715</v>
      </c>
    </row>
    <row r="8149" spans="1:8" x14ac:dyDescent="0.25">
      <c r="A8149" s="2" t="s">
        <v>8177</v>
      </c>
      <c r="B8149" s="3"/>
      <c r="C8149" s="3"/>
      <c r="D8149" s="3"/>
      <c r="E8149" s="5" t="str">
        <f>HYPERLINK("https://dpmzos25m8ivg.cloudfront.net/Documentos/631/85111350306/6318511135030611092023070312.pdf","https://dpmzos25m8ivg.cloudfront.net/Documentos/631/85111350306/6318511135030611092023070312.pdf")</f>
        <v>https://dpmzos25m8ivg.cloudfront.net/Documentos/631/85111350306/6318511135030611092023070312.pdf</v>
      </c>
      <c r="F8149" s="5" t="str">
        <f>HYPERLINK("https://dpmzos25m8ivg.cloudfront.net/Documentos/631/85111350306/6318511135030611092023070330.pdf","https://dpmzos25m8ivg.cloudfront.net/Documentos/631/85111350306/6318511135030611092023070330.pdf")</f>
        <v>https://dpmzos25m8ivg.cloudfront.net/Documentos/631/85111350306/6318511135030611092023070330.pdf</v>
      </c>
      <c r="G8149" s="5" t="str">
        <f>HYPERLINK("https://dpmzos25m8ivg.cloudfront.net/Documentos/631/85111350306/6318511135030611092023070341.pdf","https://dpmzos25m8ivg.cloudfront.net/Documentos/631/85111350306/6318511135030611092023070341.pdf")</f>
        <v>https://dpmzos25m8ivg.cloudfront.net/Documentos/631/85111350306/6318511135030611092023070341.pdf</v>
      </c>
      <c r="H8149" s="5" t="s">
        <v>16716</v>
      </c>
    </row>
    <row r="8150" spans="1:8" x14ac:dyDescent="0.25">
      <c r="A8150" s="2" t="s">
        <v>8178</v>
      </c>
      <c r="B8150" s="3"/>
      <c r="C8150" s="3"/>
      <c r="D8150" s="3"/>
      <c r="E8150" s="5" t="str">
        <f>HYPERLINK("https://dpmzos25m8ivg.cloudfront.net/Documentos/631/85157465068/6318515746506806092023095259.pdf","https://dpmzos25m8ivg.cloudfront.net/Documentos/631/85157465068/6318515746506806092023095259.pdf")</f>
        <v>https://dpmzos25m8ivg.cloudfront.net/Documentos/631/85157465068/6318515746506806092023095259.pdf</v>
      </c>
      <c r="F8150" s="5" t="str">
        <f>HYPERLINK("https://dpmzos25m8ivg.cloudfront.net/Documentos/631/85157465068/6318515746506806092023100243.pdf","https://dpmzos25m8ivg.cloudfront.net/Documentos/631/85157465068/6318515746506806092023100243.pdf")</f>
        <v>https://dpmzos25m8ivg.cloudfront.net/Documentos/631/85157465068/6318515746506806092023100243.pdf</v>
      </c>
      <c r="G8150" s="5" t="str">
        <f>HYPERLINK("https://dpmzos25m8ivg.cloudfront.net/Documentos/631/85157465068/6318515746506806092023101842.pdf","https://dpmzos25m8ivg.cloudfront.net/Documentos/631/85157465068/6318515746506806092023101842.pdf")</f>
        <v>https://dpmzos25m8ivg.cloudfront.net/Documentos/631/85157465068/6318515746506806092023101842.pdf</v>
      </c>
      <c r="H8150" s="5" t="s">
        <v>16717</v>
      </c>
    </row>
    <row r="8151" spans="1:8" x14ac:dyDescent="0.25">
      <c r="A8151" s="2" t="s">
        <v>8179</v>
      </c>
      <c r="B8151" s="3"/>
      <c r="C8151" s="3"/>
      <c r="D8151" s="3"/>
      <c r="E8151" s="5" t="str">
        <f>HYPERLINK("https://dpmzos25m8ivg.cloudfront.net/Documentos/631/85248444500/6318524844450014092023164710.pdf","https://dpmzos25m8ivg.cloudfront.net/Documentos/631/85248444500/6318524844450014092023164710.pdf")</f>
        <v>https://dpmzos25m8ivg.cloudfront.net/Documentos/631/85248444500/6318524844450014092023164710.pdf</v>
      </c>
      <c r="F8151" s="5" t="str">
        <f>HYPERLINK("https://dpmzos25m8ivg.cloudfront.net/Documentos/631/85248444500/6318524844450014092023164726.pdf","https://dpmzos25m8ivg.cloudfront.net/Documentos/631/85248444500/6318524844450014092023164726.pdf")</f>
        <v>https://dpmzos25m8ivg.cloudfront.net/Documentos/631/85248444500/6318524844450014092023164726.pdf</v>
      </c>
      <c r="G8151" s="5" t="str">
        <f>HYPERLINK("https://dpmzos25m8ivg.cloudfront.net/Documentos/631/85248444500/6318524844450014092023164755.pdf","https://dpmzos25m8ivg.cloudfront.net/Documentos/631/85248444500/6318524844450014092023164755.pdf")</f>
        <v>https://dpmzos25m8ivg.cloudfront.net/Documentos/631/85248444500/6318524844450014092023164755.pdf</v>
      </c>
      <c r="H8151" s="5" t="s">
        <v>16718</v>
      </c>
    </row>
    <row r="8152" spans="1:8" x14ac:dyDescent="0.25">
      <c r="A8152" s="2" t="s">
        <v>8180</v>
      </c>
      <c r="B8152" s="3"/>
      <c r="C8152" s="3"/>
      <c r="D8152" s="3"/>
      <c r="E8152" s="5" t="str">
        <f>HYPERLINK("https://dpmzos25m8ivg.cloudfront.net/Documentos/631/85277118772/6318527711877211092023094647.pdf","https://dpmzos25m8ivg.cloudfront.net/Documentos/631/85277118772/6318527711877211092023094647.pdf")</f>
        <v>https://dpmzos25m8ivg.cloudfront.net/Documentos/631/85277118772/6318527711877211092023094647.pdf</v>
      </c>
      <c r="F8152" s="5" t="str">
        <f>HYPERLINK("https://dpmzos25m8ivg.cloudfront.net/Documentos/631/85277118772/6318527711877211092023094658.pdf","https://dpmzos25m8ivg.cloudfront.net/Documentos/631/85277118772/6318527711877211092023094658.pdf")</f>
        <v>https://dpmzos25m8ivg.cloudfront.net/Documentos/631/85277118772/6318527711877211092023094658.pdf</v>
      </c>
      <c r="G8152" s="5" t="str">
        <f>HYPERLINK("https://dpmzos25m8ivg.cloudfront.net/Documentos/631/85277118772/6318527711877211092023094710.pdf","https://dpmzos25m8ivg.cloudfront.net/Documentos/631/85277118772/6318527711877211092023094710.pdf")</f>
        <v>https://dpmzos25m8ivg.cloudfront.net/Documentos/631/85277118772/6318527711877211092023094710.pdf</v>
      </c>
      <c r="H8152" s="5" t="s">
        <v>16719</v>
      </c>
    </row>
    <row r="8153" spans="1:8" x14ac:dyDescent="0.25">
      <c r="A8153" s="2" t="s">
        <v>8181</v>
      </c>
      <c r="B8153" s="3"/>
      <c r="C8153" s="3"/>
      <c r="D8153" s="3"/>
      <c r="E8153" s="5" t="str">
        <f>HYPERLINK("https://dpmzos25m8ivg.cloudfront.net/Documentos/631/85287091591/6318528709159107092023142851.jpg","https://dpmzos25m8ivg.cloudfront.net/Documentos/631/85287091591/6318528709159107092023142851.jpg")</f>
        <v>https://dpmzos25m8ivg.cloudfront.net/Documentos/631/85287091591/6318528709159107092023142851.jpg</v>
      </c>
      <c r="F8153" s="5" t="str">
        <f>HYPERLINK("https://dpmzos25m8ivg.cloudfront.net/Documentos/631/85287091591/6318528709159107092023142900.jpg","https://dpmzos25m8ivg.cloudfront.net/Documentos/631/85287091591/6318528709159107092023142900.jpg")</f>
        <v>https://dpmzos25m8ivg.cloudfront.net/Documentos/631/85287091591/6318528709159107092023142900.jpg</v>
      </c>
      <c r="G8153" s="5" t="str">
        <f>HYPERLINK("https://dpmzos25m8ivg.cloudfront.net/Documentos/631/85287091591/6318528709159107092023142908.jpg","https://dpmzos25m8ivg.cloudfront.net/Documentos/631/85287091591/6318528709159107092023142908.jpg")</f>
        <v>https://dpmzos25m8ivg.cloudfront.net/Documentos/631/85287091591/6318528709159107092023142908.jpg</v>
      </c>
      <c r="H8153" s="5" t="s">
        <v>16720</v>
      </c>
    </row>
    <row r="8154" spans="1:8" x14ac:dyDescent="0.25">
      <c r="A8154" s="2" t="s">
        <v>8182</v>
      </c>
      <c r="B8154" s="3" t="s">
        <v>312</v>
      </c>
      <c r="C8154" s="3"/>
      <c r="D8154" s="3"/>
      <c r="E8154" s="5" t="str">
        <f>HYPERLINK("https://dpmzos25m8ivg.cloudfront.net/Documentos/631/85459674549/6318545967454905092023172133.jpg","https://dpmzos25m8ivg.cloudfront.net/Documentos/631/85459674549/6318545967454905092023172133.jpg")</f>
        <v>https://dpmzos25m8ivg.cloudfront.net/Documentos/631/85459674549/6318545967454905092023172133.jpg</v>
      </c>
      <c r="F8154" s="5" t="str">
        <f>HYPERLINK("https://dpmzos25m8ivg.cloudfront.net/Documentos/631/85459674549/6318545967454905092023172147.jpg","https://dpmzos25m8ivg.cloudfront.net/Documentos/631/85459674549/6318545967454905092023172147.jpg")</f>
        <v>https://dpmzos25m8ivg.cloudfront.net/Documentos/631/85459674549/6318545967454905092023172147.jpg</v>
      </c>
      <c r="G8154" s="5" t="str">
        <f>HYPERLINK("https://dpmzos25m8ivg.cloudfront.net/Documentos/631/85459674549/6318545967454905092023172200.jpg","https://dpmzos25m8ivg.cloudfront.net/Documentos/631/85459674549/6318545967454905092023172200.jpg")</f>
        <v>https://dpmzos25m8ivg.cloudfront.net/Documentos/631/85459674549/6318545967454905092023172200.jpg</v>
      </c>
      <c r="H8154" s="5" t="s">
        <v>16721</v>
      </c>
    </row>
    <row r="8155" spans="1:8" x14ac:dyDescent="0.25">
      <c r="A8155" s="2" t="s">
        <v>8183</v>
      </c>
      <c r="B8155" s="3"/>
      <c r="C8155" s="3"/>
      <c r="D8155" s="3"/>
      <c r="E8155" s="5" t="str">
        <f>HYPERLINK("https://dpmzos25m8ivg.cloudfront.net/Documentos/631/85469580253/6318546958025311092023151127.pdf","https://dpmzos25m8ivg.cloudfront.net/Documentos/631/85469580253/6318546958025311092023151127.pdf")</f>
        <v>https://dpmzos25m8ivg.cloudfront.net/Documentos/631/85469580253/6318546958025311092023151127.pdf</v>
      </c>
      <c r="F8155" s="5" t="str">
        <f>HYPERLINK("https://dpmzos25m8ivg.cloudfront.net/Documentos/631/85469580253/6318546958025311092023151224.pdf","https://dpmzos25m8ivg.cloudfront.net/Documentos/631/85469580253/6318546958025311092023151224.pdf")</f>
        <v>https://dpmzos25m8ivg.cloudfront.net/Documentos/631/85469580253/6318546958025311092023151224.pdf</v>
      </c>
      <c r="G8155" s="5" t="str">
        <f>HYPERLINK("https://dpmzos25m8ivg.cloudfront.net/Documentos/631/85469580253/6318546958025311092023151241.pdf","https://dpmzos25m8ivg.cloudfront.net/Documentos/631/85469580253/6318546958025311092023151241.pdf")</f>
        <v>https://dpmzos25m8ivg.cloudfront.net/Documentos/631/85469580253/6318546958025311092023151241.pdf</v>
      </c>
      <c r="H8155" s="5" t="s">
        <v>16722</v>
      </c>
    </row>
    <row r="8156" spans="1:8" x14ac:dyDescent="0.25">
      <c r="A8156" s="2" t="s">
        <v>8184</v>
      </c>
      <c r="B8156" s="3"/>
      <c r="C8156" s="3"/>
      <c r="D8156" s="3"/>
      <c r="E8156" s="5" t="str">
        <f>HYPERLINK("https://dpmzos25m8ivg.cloudfront.net/Documentos/631/85470082768/6318547008276805092023091149.pdf","https://dpmzos25m8ivg.cloudfront.net/Documentos/631/85470082768/6318547008276805092023091149.pdf")</f>
        <v>https://dpmzos25m8ivg.cloudfront.net/Documentos/631/85470082768/6318547008276805092023091149.pdf</v>
      </c>
      <c r="F8156" s="5" t="str">
        <f>HYPERLINK("https://dpmzos25m8ivg.cloudfront.net/Documentos/631/85470082768/6318547008276805092023091210.pdf","https://dpmzos25m8ivg.cloudfront.net/Documentos/631/85470082768/6318547008276805092023091210.pdf")</f>
        <v>https://dpmzos25m8ivg.cloudfront.net/Documentos/631/85470082768/6318547008276805092023091210.pdf</v>
      </c>
      <c r="G8156" s="5" t="str">
        <f>HYPERLINK("https://dpmzos25m8ivg.cloudfront.net/Documentos/631/85470082768/6318547008276805092023091231.pdf","https://dpmzos25m8ivg.cloudfront.net/Documentos/631/85470082768/6318547008276805092023091231.pdf")</f>
        <v>https://dpmzos25m8ivg.cloudfront.net/Documentos/631/85470082768/6318547008276805092023091231.pdf</v>
      </c>
      <c r="H8156" s="5" t="s">
        <v>16723</v>
      </c>
    </row>
    <row r="8157" spans="1:8" x14ac:dyDescent="0.25">
      <c r="A8157" s="2" t="s">
        <v>8185</v>
      </c>
      <c r="B8157" s="3"/>
      <c r="C8157" s="3"/>
      <c r="D8157" s="3"/>
      <c r="E8157" s="5" t="str">
        <f>HYPERLINK("https://dpmzos25m8ivg.cloudfront.net/Documentos/631/85543381204/6318554338120405092023120719.pdf","https://dpmzos25m8ivg.cloudfront.net/Documentos/631/85543381204/6318554338120405092023120719.pdf")</f>
        <v>https://dpmzos25m8ivg.cloudfront.net/Documentos/631/85543381204/6318554338120405092023120719.pdf</v>
      </c>
      <c r="F8157" s="5" t="str">
        <f>HYPERLINK("https://dpmzos25m8ivg.cloudfront.net/Documentos/631/85543381204/6318554338120405092023120801.pdf","https://dpmzos25m8ivg.cloudfront.net/Documentos/631/85543381204/6318554338120405092023120801.pdf")</f>
        <v>https://dpmzos25m8ivg.cloudfront.net/Documentos/631/85543381204/6318554338120405092023120801.pdf</v>
      </c>
      <c r="G8157" s="5" t="str">
        <f>HYPERLINK("https://dpmzos25m8ivg.cloudfront.net/Documentos/631/85543381204/6318554338120405092023120812.pdf","https://dpmzos25m8ivg.cloudfront.net/Documentos/631/85543381204/6318554338120405092023120812.pdf")</f>
        <v>https://dpmzos25m8ivg.cloudfront.net/Documentos/631/85543381204/6318554338120405092023120812.pdf</v>
      </c>
      <c r="H8157" s="5" t="s">
        <v>16724</v>
      </c>
    </row>
    <row r="8158" spans="1:8" x14ac:dyDescent="0.25">
      <c r="A8158" s="2" t="s">
        <v>8186</v>
      </c>
      <c r="B8158" s="3"/>
      <c r="C8158" s="3"/>
      <c r="D8158" s="3"/>
      <c r="E8158" s="5" t="str">
        <f>HYPERLINK("https://dpmzos25m8ivg.cloudfront.net/Documentos/631/85621897234/6318562189723405092023143452.pdf","https://dpmzos25m8ivg.cloudfront.net/Documentos/631/85621897234/6318562189723405092023143452.pdf")</f>
        <v>https://dpmzos25m8ivg.cloudfront.net/Documentos/631/85621897234/6318562189723405092023143452.pdf</v>
      </c>
      <c r="F8158" s="5" t="str">
        <f>HYPERLINK("https://dpmzos25m8ivg.cloudfront.net/Documentos/631/85621897234/6318562189723405092023143547.pdf","https://dpmzos25m8ivg.cloudfront.net/Documentos/631/85621897234/6318562189723405092023143547.pdf")</f>
        <v>https://dpmzos25m8ivg.cloudfront.net/Documentos/631/85621897234/6318562189723405092023143547.pdf</v>
      </c>
      <c r="G8158" s="5" t="str">
        <f>HYPERLINK("https://dpmzos25m8ivg.cloudfront.net/Documentos/631/85621897234/6318562189723405092023143604.pdf","https://dpmzos25m8ivg.cloudfront.net/Documentos/631/85621897234/6318562189723405092023143604.pdf")</f>
        <v>https://dpmzos25m8ivg.cloudfront.net/Documentos/631/85621897234/6318562189723405092023143604.pdf</v>
      </c>
      <c r="H8158" s="5" t="s">
        <v>16725</v>
      </c>
    </row>
    <row r="8159" spans="1:8" x14ac:dyDescent="0.25">
      <c r="A8159" s="2" t="s">
        <v>8187</v>
      </c>
      <c r="B8159" s="3" t="s">
        <v>308</v>
      </c>
      <c r="C8159" s="3"/>
      <c r="D8159" s="3"/>
      <c r="E8159" s="5" t="str">
        <f>HYPERLINK("https://dpmzos25m8ivg.cloudfront.net/Documentos/631/85659525253/6318565952525311092023132555.pdf","https://dpmzos25m8ivg.cloudfront.net/Documentos/631/85659525253/6318565952525311092023132555.pdf")</f>
        <v>https://dpmzos25m8ivg.cloudfront.net/Documentos/631/85659525253/6318565952525311092023132555.pdf</v>
      </c>
      <c r="F8159" s="5" t="str">
        <f>HYPERLINK("https://dpmzos25m8ivg.cloudfront.net/Documentos/631/85659525253/6318565952525311092023132608.pdf","https://dpmzos25m8ivg.cloudfront.net/Documentos/631/85659525253/6318565952525311092023132608.pdf")</f>
        <v>https://dpmzos25m8ivg.cloudfront.net/Documentos/631/85659525253/6318565952525311092023132608.pdf</v>
      </c>
      <c r="G8159" s="5" t="str">
        <f>HYPERLINK("https://dpmzos25m8ivg.cloudfront.net/Documentos/631/85659525253/6318565952525311092023132619.pdf","https://dpmzos25m8ivg.cloudfront.net/Documentos/631/85659525253/6318565952525311092023132619.pdf")</f>
        <v>https://dpmzos25m8ivg.cloudfront.net/Documentos/631/85659525253/6318565952525311092023132619.pdf</v>
      </c>
      <c r="H8159" s="5" t="s">
        <v>9010</v>
      </c>
    </row>
    <row r="8160" spans="1:8" x14ac:dyDescent="0.25">
      <c r="A8160" s="2" t="s">
        <v>8188</v>
      </c>
      <c r="B8160" s="3"/>
      <c r="C8160" s="3"/>
      <c r="D8160" s="3"/>
      <c r="E8160" s="5" t="str">
        <f>HYPERLINK("https://dpmzos25m8ivg.cloudfront.net/Documentos/631/85666297368/6318566629736806092023132735.pdf","https://dpmzos25m8ivg.cloudfront.net/Documentos/631/85666297368/6318566629736806092023132735.pdf")</f>
        <v>https://dpmzos25m8ivg.cloudfront.net/Documentos/631/85666297368/6318566629736806092023132735.pdf</v>
      </c>
      <c r="F8160" s="5" t="str">
        <f>HYPERLINK("https://dpmzos25m8ivg.cloudfront.net/Documentos/631/85666297368/6318566629736806092023132754.pdf","https://dpmzos25m8ivg.cloudfront.net/Documentos/631/85666297368/6318566629736806092023132754.pdf")</f>
        <v>https://dpmzos25m8ivg.cloudfront.net/Documentos/631/85666297368/6318566629736806092023132754.pdf</v>
      </c>
      <c r="G8160" s="5" t="str">
        <f>HYPERLINK("https://dpmzos25m8ivg.cloudfront.net/Documentos/631/85666297368/6318566629736806092023132812.pdf","https://dpmzos25m8ivg.cloudfront.net/Documentos/631/85666297368/6318566629736806092023132812.pdf")</f>
        <v>https://dpmzos25m8ivg.cloudfront.net/Documentos/631/85666297368/6318566629736806092023132812.pdf</v>
      </c>
      <c r="H8160" s="5" t="s">
        <v>16726</v>
      </c>
    </row>
    <row r="8161" spans="1:8" x14ac:dyDescent="0.25">
      <c r="A8161" s="2" t="s">
        <v>8189</v>
      </c>
      <c r="B8161" s="3" t="s">
        <v>308</v>
      </c>
      <c r="C8161" s="3"/>
      <c r="D8161" s="3"/>
      <c r="E8161" s="5" t="str">
        <f>HYPERLINK("https://dpmzos25m8ivg.cloudfront.net/Documentos/631/85719617191/6318571961719110092023222146.jpeg","https://dpmzos25m8ivg.cloudfront.net/Documentos/631/85719617191/6318571961719110092023222146.jpeg")</f>
        <v>https://dpmzos25m8ivg.cloudfront.net/Documentos/631/85719617191/6318571961719110092023222146.jpeg</v>
      </c>
      <c r="F8161" s="5" t="str">
        <f>HYPERLINK("https://dpmzos25m8ivg.cloudfront.net/Documentos/631/85719617191/6318571961719110092023222154.jpeg","https://dpmzos25m8ivg.cloudfront.net/Documentos/631/85719617191/6318571961719110092023222154.jpeg")</f>
        <v>https://dpmzos25m8ivg.cloudfront.net/Documentos/631/85719617191/6318571961719110092023222154.jpeg</v>
      </c>
      <c r="G8161" s="5" t="str">
        <f>HYPERLINK("https://dpmzos25m8ivg.cloudfront.net/Documentos/631/85719617191/6318571961719110092023222202.jpeg","https://dpmzos25m8ivg.cloudfront.net/Documentos/631/85719617191/6318571961719110092023222202.jpeg")</f>
        <v>https://dpmzos25m8ivg.cloudfront.net/Documentos/631/85719617191/6318571961719110092023222202.jpeg</v>
      </c>
      <c r="H8161" s="5" t="s">
        <v>16727</v>
      </c>
    </row>
    <row r="8162" spans="1:8" x14ac:dyDescent="0.25">
      <c r="A8162" s="2" t="s">
        <v>8190</v>
      </c>
      <c r="B8162" s="3" t="s">
        <v>312</v>
      </c>
      <c r="C8162" s="3"/>
      <c r="D8162" s="3"/>
      <c r="E8162" s="5" t="str">
        <f>HYPERLINK("https://dpmzos25m8ivg.cloudfront.net/Documentos/631/85765622518/6318576562251806092023141702.pdf","https://dpmzos25m8ivg.cloudfront.net/Documentos/631/85765622518/6318576562251806092023141702.pdf")</f>
        <v>https://dpmzos25m8ivg.cloudfront.net/Documentos/631/85765622518/6318576562251806092023141702.pdf</v>
      </c>
      <c r="F8162" s="5" t="str">
        <f>HYPERLINK("https://dpmzos25m8ivg.cloudfront.net/Documentos/631/85765622518/6318576562251806092023141718.pdf","https://dpmzos25m8ivg.cloudfront.net/Documentos/631/85765622518/6318576562251806092023141718.pdf")</f>
        <v>https://dpmzos25m8ivg.cloudfront.net/Documentos/631/85765622518/6318576562251806092023141718.pdf</v>
      </c>
      <c r="G8162" s="5" t="str">
        <f>HYPERLINK("https://dpmzos25m8ivg.cloudfront.net/Documentos/631/85765622518/6318576562251806092023141730.pdf","https://dpmzos25m8ivg.cloudfront.net/Documentos/631/85765622518/6318576562251806092023141730.pdf")</f>
        <v>https://dpmzos25m8ivg.cloudfront.net/Documentos/631/85765622518/6318576562251806092023141730.pdf</v>
      </c>
      <c r="H8162" s="5" t="s">
        <v>16728</v>
      </c>
    </row>
    <row r="8163" spans="1:8" x14ac:dyDescent="0.25">
      <c r="A8163" s="2" t="s">
        <v>8191</v>
      </c>
      <c r="B8163" s="3"/>
      <c r="C8163" s="3"/>
      <c r="D8163" s="3"/>
      <c r="E8163" s="5" t="str">
        <f>HYPERLINK("https://dpmzos25m8ivg.cloudfront.net/Documentos/631/85767170509/6318576717050913092023141725.pdf","https://dpmzos25m8ivg.cloudfront.net/Documentos/631/85767170509/6318576717050913092023141725.pdf")</f>
        <v>https://dpmzos25m8ivg.cloudfront.net/Documentos/631/85767170509/6318576717050913092023141725.pdf</v>
      </c>
      <c r="F8163" s="5" t="str">
        <f>HYPERLINK("https://dpmzos25m8ivg.cloudfront.net/Documentos/631/85767170509/6318576717050914092023124556.pdf","https://dpmzos25m8ivg.cloudfront.net/Documentos/631/85767170509/6318576717050914092023124556.pdf")</f>
        <v>https://dpmzos25m8ivg.cloudfront.net/Documentos/631/85767170509/6318576717050914092023124556.pdf</v>
      </c>
      <c r="G8163" s="5" t="str">
        <f>HYPERLINK("https://dpmzos25m8ivg.cloudfront.net/Documentos/631/85767170509/6318576717050914092023124633.pdf","https://dpmzos25m8ivg.cloudfront.net/Documentos/631/85767170509/6318576717050914092023124633.pdf")</f>
        <v>https://dpmzos25m8ivg.cloudfront.net/Documentos/631/85767170509/6318576717050914092023124633.pdf</v>
      </c>
      <c r="H8163" s="5" t="s">
        <v>16729</v>
      </c>
    </row>
    <row r="8164" spans="1:8" x14ac:dyDescent="0.25">
      <c r="A8164" s="2" t="s">
        <v>8192</v>
      </c>
      <c r="B8164" s="3"/>
      <c r="C8164" s="3"/>
      <c r="D8164" s="3"/>
      <c r="E8164" s="5" t="str">
        <f>HYPERLINK("https://dpmzos25m8ivg.cloudfront.net/Documentos/631/85769043571/6318576904357114092023092750.pdf","https://dpmzos25m8ivg.cloudfront.net/Documentos/631/85769043571/6318576904357114092023092750.pdf")</f>
        <v>https://dpmzos25m8ivg.cloudfront.net/Documentos/631/85769043571/6318576904357114092023092750.pdf</v>
      </c>
      <c r="F8164" s="5" t="str">
        <f>HYPERLINK("https://dpmzos25m8ivg.cloudfront.net/Documentos/631/85769043571/6318576904357114092023092807.pdf","https://dpmzos25m8ivg.cloudfront.net/Documentos/631/85769043571/6318576904357114092023092807.pdf")</f>
        <v>https://dpmzos25m8ivg.cloudfront.net/Documentos/631/85769043571/6318576904357114092023092807.pdf</v>
      </c>
      <c r="G8164" s="5" t="str">
        <f>HYPERLINK("https://dpmzos25m8ivg.cloudfront.net/Documentos/631/85769043571/6318576904357114092023092825.pdf","https://dpmzos25m8ivg.cloudfront.net/Documentos/631/85769043571/6318576904357114092023092825.pdf")</f>
        <v>https://dpmzos25m8ivg.cloudfront.net/Documentos/631/85769043571/6318576904357114092023092825.pdf</v>
      </c>
      <c r="H8164" s="5" t="s">
        <v>16730</v>
      </c>
    </row>
    <row r="8165" spans="1:8" x14ac:dyDescent="0.25">
      <c r="A8165" s="2" t="s">
        <v>8193</v>
      </c>
      <c r="B8165" s="3"/>
      <c r="C8165" s="3"/>
      <c r="D8165" s="3"/>
      <c r="E8165" s="5" t="str">
        <f>HYPERLINK("https://dpmzos25m8ivg.cloudfront.net/Documentos/631/85773223511/6318577322351108092023201636.pdf","https://dpmzos25m8ivg.cloudfront.net/Documentos/631/85773223511/6318577322351108092023201636.pdf")</f>
        <v>https://dpmzos25m8ivg.cloudfront.net/Documentos/631/85773223511/6318577322351108092023201636.pdf</v>
      </c>
      <c r="F8165" s="5" t="str">
        <f>HYPERLINK("https://dpmzos25m8ivg.cloudfront.net/Documentos/631/85773223511/6318577322351108092023201641.pdf","https://dpmzos25m8ivg.cloudfront.net/Documentos/631/85773223511/6318577322351108092023201641.pdf")</f>
        <v>https://dpmzos25m8ivg.cloudfront.net/Documentos/631/85773223511/6318577322351108092023201641.pdf</v>
      </c>
      <c r="G8165" s="5" t="str">
        <f>HYPERLINK("https://dpmzos25m8ivg.cloudfront.net/Documentos/631/85773223511/6318577322351108092023201648.pdf","https://dpmzos25m8ivg.cloudfront.net/Documentos/631/85773223511/6318577322351108092023201648.pdf")</f>
        <v>https://dpmzos25m8ivg.cloudfront.net/Documentos/631/85773223511/6318577322351108092023201648.pdf</v>
      </c>
      <c r="H8165" s="5" t="s">
        <v>16731</v>
      </c>
    </row>
    <row r="8166" spans="1:8" x14ac:dyDescent="0.25">
      <c r="A8166" s="2" t="s">
        <v>8194</v>
      </c>
      <c r="B8166" s="3"/>
      <c r="C8166" s="3"/>
      <c r="D8166" s="3"/>
      <c r="E8166" s="5" t="str">
        <f>HYPERLINK("https://dpmzos25m8ivg.cloudfront.net/Documentos/631/85779589577/6318577958957711092023110221.pdf","https://dpmzos25m8ivg.cloudfront.net/Documentos/631/85779589577/6318577958957711092023110221.pdf")</f>
        <v>https://dpmzos25m8ivg.cloudfront.net/Documentos/631/85779589577/6318577958957711092023110221.pdf</v>
      </c>
      <c r="F8166" s="5" t="str">
        <f>HYPERLINK("https://dpmzos25m8ivg.cloudfront.net/Documentos/631/85779589577/6318577958957711092023110233.pdf","https://dpmzos25m8ivg.cloudfront.net/Documentos/631/85779589577/6318577958957711092023110233.pdf")</f>
        <v>https://dpmzos25m8ivg.cloudfront.net/Documentos/631/85779589577/6318577958957711092023110233.pdf</v>
      </c>
      <c r="G8166" s="5" t="str">
        <f>HYPERLINK("https://dpmzos25m8ivg.cloudfront.net/Documentos/631/85779589577/6318577958957711092023110244.pdf","https://dpmzos25m8ivg.cloudfront.net/Documentos/631/85779589577/6318577958957711092023110244.pdf")</f>
        <v>https://dpmzos25m8ivg.cloudfront.net/Documentos/631/85779589577/6318577958957711092023110244.pdf</v>
      </c>
      <c r="H8166" s="5" t="s">
        <v>16732</v>
      </c>
    </row>
    <row r="8167" spans="1:8" x14ac:dyDescent="0.25">
      <c r="A8167" s="2" t="s">
        <v>8195</v>
      </c>
      <c r="B8167" s="3" t="s">
        <v>312</v>
      </c>
      <c r="C8167" s="3"/>
      <c r="D8167" s="3"/>
      <c r="E8167" s="5" t="str">
        <f>HYPERLINK("https://dpmzos25m8ivg.cloudfront.net/Documentos/631/85793027491/6318579302749114092023165007.pdf","https://dpmzos25m8ivg.cloudfront.net/Documentos/631/85793027491/6318579302749114092023165007.pdf")</f>
        <v>https://dpmzos25m8ivg.cloudfront.net/Documentos/631/85793027491/6318579302749114092023165007.pdf</v>
      </c>
      <c r="F8167" s="5" t="str">
        <f>HYPERLINK("https://dpmzos25m8ivg.cloudfront.net/Documentos/631/85793027491/6318579302749114092023165018.pdf","https://dpmzos25m8ivg.cloudfront.net/Documentos/631/85793027491/6318579302749114092023165018.pdf")</f>
        <v>https://dpmzos25m8ivg.cloudfront.net/Documentos/631/85793027491/6318579302749114092023165018.pdf</v>
      </c>
      <c r="G8167" s="5" t="str">
        <f>HYPERLINK("https://dpmzos25m8ivg.cloudfront.net/Documentos/631/85793027491/6318579302749114092023165029.pdf","https://dpmzos25m8ivg.cloudfront.net/Documentos/631/85793027491/6318579302749114092023165029.pdf")</f>
        <v>https://dpmzos25m8ivg.cloudfront.net/Documentos/631/85793027491/6318579302749114092023165029.pdf</v>
      </c>
      <c r="H8167" s="5" t="s">
        <v>16733</v>
      </c>
    </row>
    <row r="8168" spans="1:8" x14ac:dyDescent="0.25">
      <c r="A8168" s="2" t="s">
        <v>8196</v>
      </c>
      <c r="B8168" s="3"/>
      <c r="C8168" s="3"/>
      <c r="D8168" s="3"/>
      <c r="E8168" s="5" t="str">
        <f>HYPERLINK("https://dpmzos25m8ivg.cloudfront.net/Documentos/631/85797386526/6318579738652607092023085505.pdf","https://dpmzos25m8ivg.cloudfront.net/Documentos/631/85797386526/6318579738652607092023085505.pdf")</f>
        <v>https://dpmzos25m8ivg.cloudfront.net/Documentos/631/85797386526/6318579738652607092023085505.pdf</v>
      </c>
      <c r="F8168" s="5" t="str">
        <f>HYPERLINK("https://dpmzos25m8ivg.cloudfront.net/Documentos/631/85797386526/6318579738652607092023085526.pdf","https://dpmzos25m8ivg.cloudfront.net/Documentos/631/85797386526/6318579738652607092023085526.pdf")</f>
        <v>https://dpmzos25m8ivg.cloudfront.net/Documentos/631/85797386526/6318579738652607092023085526.pdf</v>
      </c>
      <c r="G8168" s="5" t="str">
        <f>HYPERLINK("https://dpmzos25m8ivg.cloudfront.net/Documentos/631/85797386526/6318579738652607092023085546.pdf","https://dpmzos25m8ivg.cloudfront.net/Documentos/631/85797386526/6318579738652607092023085546.pdf")</f>
        <v>https://dpmzos25m8ivg.cloudfront.net/Documentos/631/85797386526/6318579738652607092023085546.pdf</v>
      </c>
      <c r="H8168" s="5" t="s">
        <v>16734</v>
      </c>
    </row>
    <row r="8169" spans="1:8" x14ac:dyDescent="0.25">
      <c r="A8169" s="2" t="s">
        <v>8197</v>
      </c>
      <c r="B8169" s="3"/>
      <c r="C8169" s="3"/>
      <c r="D8169" s="3"/>
      <c r="E8169" s="5" t="str">
        <f>HYPERLINK("https://dpmzos25m8ivg.cloudfront.net/Documentos/631/85800987505/6318580098750510092023123723.pdf","https://dpmzos25m8ivg.cloudfront.net/Documentos/631/85800987505/6318580098750510092023123723.pdf")</f>
        <v>https://dpmzos25m8ivg.cloudfront.net/Documentos/631/85800987505/6318580098750510092023123723.pdf</v>
      </c>
      <c r="F8169" s="5" t="str">
        <f>HYPERLINK("https://dpmzos25m8ivg.cloudfront.net/Documentos/631/85800987505/6318580098750510092023123754.pdf","https://dpmzos25m8ivg.cloudfront.net/Documentos/631/85800987505/6318580098750510092023123754.pdf")</f>
        <v>https://dpmzos25m8ivg.cloudfront.net/Documentos/631/85800987505/6318580098750510092023123754.pdf</v>
      </c>
      <c r="G8169" s="5" t="str">
        <f>HYPERLINK("https://dpmzos25m8ivg.cloudfront.net/Documentos/631/85800987505/6318580098750511092023143955.pdf","https://dpmzos25m8ivg.cloudfront.net/Documentos/631/85800987505/6318580098750511092023143955.pdf")</f>
        <v>https://dpmzos25m8ivg.cloudfront.net/Documentos/631/85800987505/6318580098750511092023143955.pdf</v>
      </c>
      <c r="H8169" s="5" t="s">
        <v>16735</v>
      </c>
    </row>
    <row r="8170" spans="1:8" x14ac:dyDescent="0.25">
      <c r="A8170" s="2" t="s">
        <v>8198</v>
      </c>
      <c r="B8170" s="3"/>
      <c r="C8170" s="3"/>
      <c r="D8170" s="3"/>
      <c r="E8170" s="5" t="str">
        <f>HYPERLINK("https://dpmzos25m8ivg.cloudfront.net/Documentos/631/85806344584/6318580634458408092023083129.jpg","https://dpmzos25m8ivg.cloudfront.net/Documentos/631/85806344584/6318580634458408092023083129.jpg")</f>
        <v>https://dpmzos25m8ivg.cloudfront.net/Documentos/631/85806344584/6318580634458408092023083129.jpg</v>
      </c>
      <c r="F8170" s="5" t="str">
        <f>HYPERLINK("https://dpmzos25m8ivg.cloudfront.net/Documentos/631/85806344584/6318580634458408092023083028.jpg","https://dpmzos25m8ivg.cloudfront.net/Documentos/631/85806344584/6318580634458408092023083028.jpg")</f>
        <v>https://dpmzos25m8ivg.cloudfront.net/Documentos/631/85806344584/6318580634458408092023083028.jpg</v>
      </c>
      <c r="G8170" s="5" t="str">
        <f>HYPERLINK("https://dpmzos25m8ivg.cloudfront.net/Documentos/631/85806344584/6318580634458408092023084058.jpg","https://dpmzos25m8ivg.cloudfront.net/Documentos/631/85806344584/6318580634458408092023084058.jpg")</f>
        <v>https://dpmzos25m8ivg.cloudfront.net/Documentos/631/85806344584/6318580634458408092023084058.jpg</v>
      </c>
      <c r="H8170" s="5" t="s">
        <v>16736</v>
      </c>
    </row>
    <row r="8171" spans="1:8" x14ac:dyDescent="0.25">
      <c r="A8171" s="2" t="s">
        <v>8199</v>
      </c>
      <c r="B8171" s="3"/>
      <c r="C8171" s="3"/>
      <c r="D8171" s="3"/>
      <c r="E8171" s="5" t="str">
        <f>HYPERLINK("https://dpmzos25m8ivg.cloudfront.net/Documentos/631/85812331472/6318581233147210092023203545.pdf","https://dpmzos25m8ivg.cloudfront.net/Documentos/631/85812331472/6318581233147210092023203545.pdf")</f>
        <v>https://dpmzos25m8ivg.cloudfront.net/Documentos/631/85812331472/6318581233147210092023203545.pdf</v>
      </c>
      <c r="F8171" s="5" t="str">
        <f>HYPERLINK("https://dpmzos25m8ivg.cloudfront.net/Documentos/631/85812331472/6318581233147210092023203700.pdf","https://dpmzos25m8ivg.cloudfront.net/Documentos/631/85812331472/6318581233147210092023203700.pdf")</f>
        <v>https://dpmzos25m8ivg.cloudfront.net/Documentos/631/85812331472/6318581233147210092023203700.pdf</v>
      </c>
      <c r="G8171" s="5" t="str">
        <f>HYPERLINK("https://dpmzos25m8ivg.cloudfront.net/Documentos/631/85812331472/6318581233147210092023203735.pdf","https://dpmzos25m8ivg.cloudfront.net/Documentos/631/85812331472/6318581233147210092023203735.pdf")</f>
        <v>https://dpmzos25m8ivg.cloudfront.net/Documentos/631/85812331472/6318581233147210092023203735.pdf</v>
      </c>
      <c r="H8171" s="5" t="s">
        <v>16737</v>
      </c>
    </row>
    <row r="8172" spans="1:8" x14ac:dyDescent="0.25">
      <c r="A8172" s="2" t="s">
        <v>8200</v>
      </c>
      <c r="B8172" s="3"/>
      <c r="C8172" s="3"/>
      <c r="D8172" s="3"/>
      <c r="E8172" s="5" t="str">
        <f>HYPERLINK("https://dpmzos25m8ivg.cloudfront.net/Documentos/631/85827197521/6318582719752111092023152632.pdf","https://dpmzos25m8ivg.cloudfront.net/Documentos/631/85827197521/6318582719752111092023152632.pdf")</f>
        <v>https://dpmzos25m8ivg.cloudfront.net/Documentos/631/85827197521/6318582719752111092023152632.pdf</v>
      </c>
      <c r="F8172" s="5" t="str">
        <f>HYPERLINK("https://dpmzos25m8ivg.cloudfront.net/Documentos/631/85827197521/6318582719752111092023152647.pdf","https://dpmzos25m8ivg.cloudfront.net/Documentos/631/85827197521/6318582719752111092023152647.pdf")</f>
        <v>https://dpmzos25m8ivg.cloudfront.net/Documentos/631/85827197521/6318582719752111092023152647.pdf</v>
      </c>
      <c r="G8172" s="5" t="str">
        <f>HYPERLINK("https://dpmzos25m8ivg.cloudfront.net/Documentos/631/85827197521/6318582719752111092023152718.pdf","https://dpmzos25m8ivg.cloudfront.net/Documentos/631/85827197521/6318582719752111092023152718.pdf")</f>
        <v>https://dpmzos25m8ivg.cloudfront.net/Documentos/631/85827197521/6318582719752111092023152718.pdf</v>
      </c>
      <c r="H8172" s="5" t="s">
        <v>16738</v>
      </c>
    </row>
    <row r="8173" spans="1:8" x14ac:dyDescent="0.25">
      <c r="A8173" s="2" t="s">
        <v>8201</v>
      </c>
      <c r="B8173" s="3"/>
      <c r="C8173" s="3"/>
      <c r="D8173" s="3"/>
      <c r="E8173" s="5" t="str">
        <f>HYPERLINK("https://dpmzos25m8ivg.cloudfront.net/Documentos/631/85840114634/6318584011463405092023093423.jpg","https://dpmzos25m8ivg.cloudfront.net/Documentos/631/85840114634/6318584011463405092023093423.jpg")</f>
        <v>https://dpmzos25m8ivg.cloudfront.net/Documentos/631/85840114634/6318584011463405092023093423.jpg</v>
      </c>
      <c r="F8173" s="5" t="str">
        <f>HYPERLINK("https://dpmzos25m8ivg.cloudfront.net/Documentos/631/85840114634/6318584011463405092023093442.jpg","https://dpmzos25m8ivg.cloudfront.net/Documentos/631/85840114634/6318584011463405092023093442.jpg")</f>
        <v>https://dpmzos25m8ivg.cloudfront.net/Documentos/631/85840114634/6318584011463405092023093442.jpg</v>
      </c>
      <c r="G8173" s="5" t="str">
        <f>HYPERLINK("https://dpmzos25m8ivg.cloudfront.net/Documentos/631/85840114634/6318584011463405092023093500.jpg","https://dpmzos25m8ivg.cloudfront.net/Documentos/631/85840114634/6318584011463405092023093500.jpg")</f>
        <v>https://dpmzos25m8ivg.cloudfront.net/Documentos/631/85840114634/6318584011463405092023093500.jpg</v>
      </c>
      <c r="H8173" s="5" t="s">
        <v>16739</v>
      </c>
    </row>
    <row r="8174" spans="1:8" x14ac:dyDescent="0.25">
      <c r="A8174" s="2" t="s">
        <v>8202</v>
      </c>
      <c r="B8174" s="3"/>
      <c r="C8174" s="3"/>
      <c r="D8174" s="3"/>
      <c r="E8174" s="5" t="str">
        <f>HYPERLINK("https://dpmzos25m8ivg.cloudfront.net/Documentos/631/85852786500/6318585278650011092023105819.pdf","https://dpmzos25m8ivg.cloudfront.net/Documentos/631/85852786500/6318585278650011092023105819.pdf")</f>
        <v>https://dpmzos25m8ivg.cloudfront.net/Documentos/631/85852786500/6318585278650011092023105819.pdf</v>
      </c>
      <c r="F8174" s="5" t="str">
        <f>HYPERLINK("https://dpmzos25m8ivg.cloudfront.net/Documentos/631/85852786500/6318585278650011092023105834.pdf","https://dpmzos25m8ivg.cloudfront.net/Documentos/631/85852786500/6318585278650011092023105834.pdf")</f>
        <v>https://dpmzos25m8ivg.cloudfront.net/Documentos/631/85852786500/6318585278650011092023105834.pdf</v>
      </c>
      <c r="G8174" s="5" t="str">
        <f>HYPERLINK("https://dpmzos25m8ivg.cloudfront.net/Documentos/631/85852786500/6318585278650011092023105850.pdf","https://dpmzos25m8ivg.cloudfront.net/Documentos/631/85852786500/6318585278650011092023105850.pdf")</f>
        <v>https://dpmzos25m8ivg.cloudfront.net/Documentos/631/85852786500/6318585278650011092023105850.pdf</v>
      </c>
      <c r="H8174" s="5" t="s">
        <v>16740</v>
      </c>
    </row>
    <row r="8175" spans="1:8" x14ac:dyDescent="0.25">
      <c r="A8175" s="2" t="s">
        <v>8203</v>
      </c>
      <c r="B8175" s="3"/>
      <c r="C8175" s="3"/>
      <c r="D8175" s="3"/>
      <c r="E8175" s="5" t="str">
        <f>HYPERLINK("https://dpmzos25m8ivg.cloudfront.net/Documentos/631/85883050204/6318588305020408092023105442.pdf","https://dpmzos25m8ivg.cloudfront.net/Documentos/631/85883050204/6318588305020408092023105442.pdf")</f>
        <v>https://dpmzos25m8ivg.cloudfront.net/Documentos/631/85883050204/6318588305020408092023105442.pdf</v>
      </c>
      <c r="F8175" s="5" t="str">
        <f>HYPERLINK("https://dpmzos25m8ivg.cloudfront.net/Documentos/631/85883050204/6318588305020408092023105509.pdf","https://dpmzos25m8ivg.cloudfront.net/Documentos/631/85883050204/6318588305020408092023105509.pdf")</f>
        <v>https://dpmzos25m8ivg.cloudfront.net/Documentos/631/85883050204/6318588305020408092023105509.pdf</v>
      </c>
      <c r="G8175" s="5" t="str">
        <f>HYPERLINK("https://dpmzos25m8ivg.cloudfront.net/Documentos/631/85883050204/6318588305020408092023105528.pdf","https://dpmzos25m8ivg.cloudfront.net/Documentos/631/85883050204/6318588305020408092023105528.pdf")</f>
        <v>https://dpmzos25m8ivg.cloudfront.net/Documentos/631/85883050204/6318588305020408092023105528.pdf</v>
      </c>
      <c r="H8175" s="5" t="s">
        <v>16741</v>
      </c>
    </row>
    <row r="8176" spans="1:8" x14ac:dyDescent="0.25">
      <c r="A8176" s="2" t="s">
        <v>8204</v>
      </c>
      <c r="B8176" s="3"/>
      <c r="C8176" s="3"/>
      <c r="D8176" s="3"/>
      <c r="E8176" s="5" t="str">
        <f>HYPERLINK("https://dpmzos25m8ivg.cloudfront.net/Documentos/631/85898163115/6318589816311511092023143039.pdf","https://dpmzos25m8ivg.cloudfront.net/Documentos/631/85898163115/6318589816311511092023143039.pdf")</f>
        <v>https://dpmzos25m8ivg.cloudfront.net/Documentos/631/85898163115/6318589816311511092023143039.pdf</v>
      </c>
      <c r="F8176" s="5" t="str">
        <f>HYPERLINK("https://dpmzos25m8ivg.cloudfront.net/Documentos/631/85898163115/6318589816311511092023143917.pdf","https://dpmzos25m8ivg.cloudfront.net/Documentos/631/85898163115/6318589816311511092023143917.pdf")</f>
        <v>https://dpmzos25m8ivg.cloudfront.net/Documentos/631/85898163115/6318589816311511092023143917.pdf</v>
      </c>
      <c r="G8176" s="5" t="str">
        <f>HYPERLINK("https://dpmzos25m8ivg.cloudfront.net/Documentos/631/85898163115/6318589816311511092023144301.pdf","https://dpmzos25m8ivg.cloudfront.net/Documentos/631/85898163115/6318589816311511092023144301.pdf")</f>
        <v>https://dpmzos25m8ivg.cloudfront.net/Documentos/631/85898163115/6318589816311511092023144301.pdf</v>
      </c>
      <c r="H8176" s="5" t="s">
        <v>16742</v>
      </c>
    </row>
    <row r="8177" spans="1:8" x14ac:dyDescent="0.25">
      <c r="A8177" s="2" t="s">
        <v>8205</v>
      </c>
      <c r="B8177" s="3"/>
      <c r="C8177" s="3"/>
      <c r="D8177" s="3"/>
      <c r="E8177" s="5" t="str">
        <f>HYPERLINK("https://dpmzos25m8ivg.cloudfront.net/Documentos/631/85943519505/6318594351950506092023114144.pdf","https://dpmzos25m8ivg.cloudfront.net/Documentos/631/85943519505/6318594351950506092023114144.pdf")</f>
        <v>https://dpmzos25m8ivg.cloudfront.net/Documentos/631/85943519505/6318594351950506092023114144.pdf</v>
      </c>
      <c r="F8177" s="5" t="str">
        <f>HYPERLINK("https://dpmzos25m8ivg.cloudfront.net/Documentos/631/85943519505/6318594351950506092023114156.pdf","https://dpmzos25m8ivg.cloudfront.net/Documentos/631/85943519505/6318594351950506092023114156.pdf")</f>
        <v>https://dpmzos25m8ivg.cloudfront.net/Documentos/631/85943519505/6318594351950506092023114156.pdf</v>
      </c>
      <c r="G8177" s="5" t="str">
        <f>HYPERLINK("https://dpmzos25m8ivg.cloudfront.net/Documentos/631/85943519505/6318594351950506092023114207.pdf","https://dpmzos25m8ivg.cloudfront.net/Documentos/631/85943519505/6318594351950506092023114207.pdf")</f>
        <v>https://dpmzos25m8ivg.cloudfront.net/Documentos/631/85943519505/6318594351950506092023114207.pdf</v>
      </c>
      <c r="H8177" s="5" t="s">
        <v>16743</v>
      </c>
    </row>
    <row r="8178" spans="1:8" x14ac:dyDescent="0.25">
      <c r="A8178" s="2" t="s">
        <v>8206</v>
      </c>
      <c r="B8178" s="3"/>
      <c r="C8178" s="3"/>
      <c r="D8178" s="3"/>
      <c r="E8178" s="5" t="str">
        <f>HYPERLINK("https://dpmzos25m8ivg.cloudfront.net/Documentos/631/85943910565/6318594391056506092023184837.pdf","https://dpmzos25m8ivg.cloudfront.net/Documentos/631/85943910565/6318594391056506092023184837.pdf")</f>
        <v>https://dpmzos25m8ivg.cloudfront.net/Documentos/631/85943910565/6318594391056506092023184837.pdf</v>
      </c>
      <c r="F8178" s="5" t="str">
        <f>HYPERLINK("https://dpmzos25m8ivg.cloudfront.net/Documentos/631/85943910565/6318594391056506092023184920.pdf","https://dpmzos25m8ivg.cloudfront.net/Documentos/631/85943910565/6318594391056506092023184920.pdf")</f>
        <v>https://dpmzos25m8ivg.cloudfront.net/Documentos/631/85943910565/6318594391056506092023184920.pdf</v>
      </c>
      <c r="G8178" s="5" t="str">
        <f>HYPERLINK("https://dpmzos25m8ivg.cloudfront.net/Documentos/631/85943910565/6318594391056506092023184929.pdf","https://dpmzos25m8ivg.cloudfront.net/Documentos/631/85943910565/6318594391056506092023184929.pdf")</f>
        <v>https://dpmzos25m8ivg.cloudfront.net/Documentos/631/85943910565/6318594391056506092023184929.pdf</v>
      </c>
      <c r="H8178" s="5" t="s">
        <v>16744</v>
      </c>
    </row>
    <row r="8179" spans="1:8" x14ac:dyDescent="0.25">
      <c r="A8179" s="2" t="s">
        <v>8207</v>
      </c>
      <c r="B8179" s="3"/>
      <c r="C8179" s="3"/>
      <c r="D8179" s="3"/>
      <c r="E8179" s="5" t="str">
        <f>HYPERLINK("https://dpmzos25m8ivg.cloudfront.net/Documentos/631/85963935520/6318596393552008092023235107.pdf","https://dpmzos25m8ivg.cloudfront.net/Documentos/631/85963935520/6318596393552008092023235107.pdf")</f>
        <v>https://dpmzos25m8ivg.cloudfront.net/Documentos/631/85963935520/6318596393552008092023235107.pdf</v>
      </c>
      <c r="F8179" s="5" t="str">
        <f>HYPERLINK("https://dpmzos25m8ivg.cloudfront.net/Documentos/631/85963935520/6318596393552008092023235228.pdf","https://dpmzos25m8ivg.cloudfront.net/Documentos/631/85963935520/6318596393552008092023235228.pdf")</f>
        <v>https://dpmzos25m8ivg.cloudfront.net/Documentos/631/85963935520/6318596393552008092023235228.pdf</v>
      </c>
      <c r="G8179" s="5" t="str">
        <f>HYPERLINK("https://dpmzos25m8ivg.cloudfront.net/Documentos/631/85963935520/6318596393552008092023235325.pdf","https://dpmzos25m8ivg.cloudfront.net/Documentos/631/85963935520/6318596393552008092023235325.pdf")</f>
        <v>https://dpmzos25m8ivg.cloudfront.net/Documentos/631/85963935520/6318596393552008092023235325.pdf</v>
      </c>
      <c r="H8179" s="5" t="s">
        <v>16745</v>
      </c>
    </row>
    <row r="8180" spans="1:8" x14ac:dyDescent="0.25">
      <c r="A8180" s="2" t="s">
        <v>8208</v>
      </c>
      <c r="B8180" s="3"/>
      <c r="C8180" s="3"/>
      <c r="D8180" s="3"/>
      <c r="E8180" s="5" t="str">
        <f>HYPERLINK("https://dpmzos25m8ivg.cloudfront.net/Documentos/631/85965874545/6318596587454511092023150021.jpg","https://dpmzos25m8ivg.cloudfront.net/Documentos/631/85965874545/6318596587454511092023150021.jpg")</f>
        <v>https://dpmzos25m8ivg.cloudfront.net/Documentos/631/85965874545/6318596587454511092023150021.jpg</v>
      </c>
      <c r="F8180" s="5" t="str">
        <f>HYPERLINK("https://dpmzos25m8ivg.cloudfront.net/Documentos/631/85965874545/6318596587454511092023150104.jpg","https://dpmzos25m8ivg.cloudfront.net/Documentos/631/85965874545/6318596587454511092023150104.jpg")</f>
        <v>https://dpmzos25m8ivg.cloudfront.net/Documentos/631/85965874545/6318596587454511092023150104.jpg</v>
      </c>
      <c r="G8180" s="5" t="str">
        <f>HYPERLINK("https://dpmzos25m8ivg.cloudfront.net/Documentos/631/85965874545/6318596587454511092023150119.jpg","https://dpmzos25m8ivg.cloudfront.net/Documentos/631/85965874545/6318596587454511092023150119.jpg")</f>
        <v>https://dpmzos25m8ivg.cloudfront.net/Documentos/631/85965874545/6318596587454511092023150119.jpg</v>
      </c>
      <c r="H8180" s="5" t="s">
        <v>16746</v>
      </c>
    </row>
    <row r="8181" spans="1:8" x14ac:dyDescent="0.25">
      <c r="A8181" s="2" t="s">
        <v>8209</v>
      </c>
      <c r="B8181" s="3"/>
      <c r="C8181" s="3"/>
      <c r="D8181" s="3"/>
      <c r="E8181" s="5" t="str">
        <f>HYPERLINK("https://dpmzos25m8ivg.cloudfront.net/Documentos/631/85972220504/6318597222050411092023000829.pdf","https://dpmzos25m8ivg.cloudfront.net/Documentos/631/85972220504/6318597222050411092023000829.pdf")</f>
        <v>https://dpmzos25m8ivg.cloudfront.net/Documentos/631/85972220504/6318597222050411092023000829.pdf</v>
      </c>
      <c r="F8181" s="5" t="str">
        <f>HYPERLINK("https://dpmzos25m8ivg.cloudfront.net/Documentos/631/85972220504/6318597222050411092023000845.pdf","https://dpmzos25m8ivg.cloudfront.net/Documentos/631/85972220504/6318597222050411092023000845.pdf")</f>
        <v>https://dpmzos25m8ivg.cloudfront.net/Documentos/631/85972220504/6318597222050411092023000845.pdf</v>
      </c>
      <c r="G8181" s="5" t="str">
        <f>HYPERLINK("https://dpmzos25m8ivg.cloudfront.net/Documentos/631/85972220504/6318597222050411092023000918.pdf","https://dpmzos25m8ivg.cloudfront.net/Documentos/631/85972220504/6318597222050411092023000918.pdf")</f>
        <v>https://dpmzos25m8ivg.cloudfront.net/Documentos/631/85972220504/6318597222050411092023000918.pdf</v>
      </c>
      <c r="H8181" s="5" t="s">
        <v>16747</v>
      </c>
    </row>
    <row r="8182" spans="1:8" x14ac:dyDescent="0.25">
      <c r="A8182" s="2" t="s">
        <v>8210</v>
      </c>
      <c r="B8182" s="3"/>
      <c r="C8182" s="3"/>
      <c r="D8182" s="3"/>
      <c r="E8182" s="5" t="str">
        <f>HYPERLINK("https://dpmzos25m8ivg.cloudfront.net/Documentos/631/85973173291/6318597317329113092023102656.jpg","https://dpmzos25m8ivg.cloudfront.net/Documentos/631/85973173291/6318597317329113092023102656.jpg")</f>
        <v>https://dpmzos25m8ivg.cloudfront.net/Documentos/631/85973173291/6318597317329113092023102656.jpg</v>
      </c>
      <c r="F8182" s="5" t="str">
        <f>HYPERLINK("https://dpmzos25m8ivg.cloudfront.net/Documentos/631/85973173291/6318597317329113092023102711.jpg","https://dpmzos25m8ivg.cloudfront.net/Documentos/631/85973173291/6318597317329113092023102711.jpg")</f>
        <v>https://dpmzos25m8ivg.cloudfront.net/Documentos/631/85973173291/6318597317329113092023102711.jpg</v>
      </c>
      <c r="G8182" s="5" t="str">
        <f>HYPERLINK("https://dpmzos25m8ivg.cloudfront.net/Documentos/631/85973173291/6318597317329113092023102722.jpg","https://dpmzos25m8ivg.cloudfront.net/Documentos/631/85973173291/6318597317329113092023102722.jpg")</f>
        <v>https://dpmzos25m8ivg.cloudfront.net/Documentos/631/85973173291/6318597317329113092023102722.jpg</v>
      </c>
      <c r="H8182" s="5" t="s">
        <v>16748</v>
      </c>
    </row>
    <row r="8183" spans="1:8" x14ac:dyDescent="0.25">
      <c r="A8183" s="2" t="s">
        <v>8211</v>
      </c>
      <c r="B8183" s="3"/>
      <c r="C8183" s="3"/>
      <c r="D8183" s="3"/>
      <c r="E8183" s="5" t="str">
        <f>HYPERLINK("https://dpmzos25m8ivg.cloudfront.net/Documentos/631/85975742595/6318597574259508092023122607.pdf","https://dpmzos25m8ivg.cloudfront.net/Documentos/631/85975742595/6318597574259508092023122607.pdf")</f>
        <v>https://dpmzos25m8ivg.cloudfront.net/Documentos/631/85975742595/6318597574259508092023122607.pdf</v>
      </c>
      <c r="F8183" s="5" t="str">
        <f>HYPERLINK("https://dpmzos25m8ivg.cloudfront.net/Documentos/631/85975742595/6318597574259508092023122623.pdf","https://dpmzos25m8ivg.cloudfront.net/Documentos/631/85975742595/6318597574259508092023122623.pdf")</f>
        <v>https://dpmzos25m8ivg.cloudfront.net/Documentos/631/85975742595/6318597574259508092023122623.pdf</v>
      </c>
      <c r="G8183" s="5" t="str">
        <f>HYPERLINK("https://dpmzos25m8ivg.cloudfront.net/Documentos/631/85975742595/6318597574259508092023122639.pdf","https://dpmzos25m8ivg.cloudfront.net/Documentos/631/85975742595/6318597574259508092023122639.pdf")</f>
        <v>https://dpmzos25m8ivg.cloudfront.net/Documentos/631/85975742595/6318597574259508092023122639.pdf</v>
      </c>
      <c r="H8183" s="5" t="s">
        <v>16749</v>
      </c>
    </row>
    <row r="8184" spans="1:8" x14ac:dyDescent="0.25">
      <c r="A8184" s="2" t="s">
        <v>8212</v>
      </c>
      <c r="B8184" s="3"/>
      <c r="C8184" s="3"/>
      <c r="D8184" s="3"/>
      <c r="E8184" s="5" t="str">
        <f>HYPERLINK("https://dpmzos25m8ivg.cloudfront.net/Documentos/631/85977033508/6318597703350807092023140312.pdf","https://dpmzos25m8ivg.cloudfront.net/Documentos/631/85977033508/6318597703350807092023140312.pdf")</f>
        <v>https://dpmzos25m8ivg.cloudfront.net/Documentos/631/85977033508/6318597703350807092023140312.pdf</v>
      </c>
      <c r="F8184" s="5" t="str">
        <f>HYPERLINK("https://dpmzos25m8ivg.cloudfront.net/Documentos/631/85977033508/6318597703350807092023140334.pdf","https://dpmzos25m8ivg.cloudfront.net/Documentos/631/85977033508/6318597703350807092023140334.pdf")</f>
        <v>https://dpmzos25m8ivg.cloudfront.net/Documentos/631/85977033508/6318597703350807092023140334.pdf</v>
      </c>
      <c r="G8184" s="5" t="str">
        <f>HYPERLINK("https://dpmzos25m8ivg.cloudfront.net/Documentos/631/85977033508/6318597703350807092023140346.pdf","https://dpmzos25m8ivg.cloudfront.net/Documentos/631/85977033508/6318597703350807092023140346.pdf")</f>
        <v>https://dpmzos25m8ivg.cloudfront.net/Documentos/631/85977033508/6318597703350807092023140346.pdf</v>
      </c>
      <c r="H8184" s="5" t="s">
        <v>16750</v>
      </c>
    </row>
    <row r="8185" spans="1:8" x14ac:dyDescent="0.25">
      <c r="A8185" s="2" t="s">
        <v>8213</v>
      </c>
      <c r="B8185" s="3"/>
      <c r="C8185" s="3"/>
      <c r="D8185" s="3"/>
      <c r="E8185" s="5" t="str">
        <f>HYPERLINK("https://dpmzos25m8ivg.cloudfront.net/Documentos/631/85981032502/6318598103250211092023153252.pdf","https://dpmzos25m8ivg.cloudfront.net/Documentos/631/85981032502/6318598103250211092023153252.pdf")</f>
        <v>https://dpmzos25m8ivg.cloudfront.net/Documentos/631/85981032502/6318598103250211092023153252.pdf</v>
      </c>
      <c r="F8185" s="5" t="str">
        <f>HYPERLINK("https://dpmzos25m8ivg.cloudfront.net/Documentos/631/85981032502/6318598103250211092023153312.pdf","https://dpmzos25m8ivg.cloudfront.net/Documentos/631/85981032502/6318598103250211092023153312.pdf")</f>
        <v>https://dpmzos25m8ivg.cloudfront.net/Documentos/631/85981032502/6318598103250211092023153312.pdf</v>
      </c>
      <c r="G8185" s="5" t="str">
        <f>HYPERLINK("https://dpmzos25m8ivg.cloudfront.net/Documentos/631/85981032502/6318598103250211092023153331.pdf","https://dpmzos25m8ivg.cloudfront.net/Documentos/631/85981032502/6318598103250211092023153331.pdf")</f>
        <v>https://dpmzos25m8ivg.cloudfront.net/Documentos/631/85981032502/6318598103250211092023153331.pdf</v>
      </c>
      <c r="H8185" s="5" t="s">
        <v>16751</v>
      </c>
    </row>
    <row r="8186" spans="1:8" x14ac:dyDescent="0.25">
      <c r="A8186" s="2" t="s">
        <v>8214</v>
      </c>
      <c r="B8186" s="3"/>
      <c r="C8186" s="3"/>
      <c r="D8186" s="3"/>
      <c r="E8186" s="5" t="str">
        <f>HYPERLINK("https://dpmzos25m8ivg.cloudfront.net/Documentos/631/85983356577/6318598335657714092023165418.pdf","https://dpmzos25m8ivg.cloudfront.net/Documentos/631/85983356577/6318598335657714092023165418.pdf")</f>
        <v>https://dpmzos25m8ivg.cloudfront.net/Documentos/631/85983356577/6318598335657714092023165418.pdf</v>
      </c>
      <c r="F8186" s="5" t="str">
        <f>HYPERLINK("https://dpmzos25m8ivg.cloudfront.net/Documentos/631/85983356577/6318598335657714092023165425.pdf","https://dpmzos25m8ivg.cloudfront.net/Documentos/631/85983356577/6318598335657714092023165425.pdf")</f>
        <v>https://dpmzos25m8ivg.cloudfront.net/Documentos/631/85983356577/6318598335657714092023165425.pdf</v>
      </c>
      <c r="G8186" s="5" t="str">
        <f>HYPERLINK("https://dpmzos25m8ivg.cloudfront.net/Documentos/631/85983356577/6318598335657714092023165433.pdf","https://dpmzos25m8ivg.cloudfront.net/Documentos/631/85983356577/6318598335657714092023165433.pdf")</f>
        <v>https://dpmzos25m8ivg.cloudfront.net/Documentos/631/85983356577/6318598335657714092023165433.pdf</v>
      </c>
      <c r="H8186" s="5" t="s">
        <v>16752</v>
      </c>
    </row>
    <row r="8187" spans="1:8" x14ac:dyDescent="0.25">
      <c r="A8187" s="2" t="s">
        <v>8215</v>
      </c>
      <c r="B8187" s="3"/>
      <c r="C8187" s="3"/>
      <c r="D8187" s="3"/>
      <c r="E8187" s="5" t="str">
        <f>HYPERLINK("https://dpmzos25m8ivg.cloudfront.net/Documentos/631/85984059576/6318598405957614092023075134.jpeg","https://dpmzos25m8ivg.cloudfront.net/Documentos/631/85984059576/6318598405957614092023075134.jpeg")</f>
        <v>https://dpmzos25m8ivg.cloudfront.net/Documentos/631/85984059576/6318598405957614092023075134.jpeg</v>
      </c>
      <c r="F8187" s="5" t="str">
        <f>HYPERLINK("https://dpmzos25m8ivg.cloudfront.net/Documentos/631/85984059576/6318598405957614092023075145.jpeg","https://dpmzos25m8ivg.cloudfront.net/Documentos/631/85984059576/6318598405957614092023075145.jpeg")</f>
        <v>https://dpmzos25m8ivg.cloudfront.net/Documentos/631/85984059576/6318598405957614092023075145.jpeg</v>
      </c>
      <c r="G8187" s="5" t="str">
        <f>HYPERLINK("https://dpmzos25m8ivg.cloudfront.net/Documentos/631/85984059576/6318598405957614092023075156.jpeg","https://dpmzos25m8ivg.cloudfront.net/Documentos/631/85984059576/6318598405957614092023075156.jpeg")</f>
        <v>https://dpmzos25m8ivg.cloudfront.net/Documentos/631/85984059576/6318598405957614092023075156.jpeg</v>
      </c>
      <c r="H8187" s="5" t="s">
        <v>16753</v>
      </c>
    </row>
    <row r="8188" spans="1:8" x14ac:dyDescent="0.25">
      <c r="A8188" s="2" t="s">
        <v>8216</v>
      </c>
      <c r="B8188" s="3"/>
      <c r="C8188" s="3"/>
      <c r="D8188" s="3"/>
      <c r="E8188" s="5" t="str">
        <f>HYPERLINK("https://dpmzos25m8ivg.cloudfront.net/Documentos/631/85989957548/6318598995754813092023124822.pdf","https://dpmzos25m8ivg.cloudfront.net/Documentos/631/85989957548/6318598995754813092023124822.pdf")</f>
        <v>https://dpmzos25m8ivg.cloudfront.net/Documentos/631/85989957548/6318598995754813092023124822.pdf</v>
      </c>
      <c r="F8188" s="5" t="str">
        <f>HYPERLINK("https://dpmzos25m8ivg.cloudfront.net/Documentos/631/85989957548/6318598995754813092023124836.pdf","https://dpmzos25m8ivg.cloudfront.net/Documentos/631/85989957548/6318598995754813092023124836.pdf")</f>
        <v>https://dpmzos25m8ivg.cloudfront.net/Documentos/631/85989957548/6318598995754813092023124836.pdf</v>
      </c>
      <c r="G8188" s="5" t="str">
        <f>HYPERLINK("https://dpmzos25m8ivg.cloudfront.net/Documentos/631/85989957548/6318598995754813092023125226.pdf","https://dpmzos25m8ivg.cloudfront.net/Documentos/631/85989957548/6318598995754813092023125226.pdf")</f>
        <v>https://dpmzos25m8ivg.cloudfront.net/Documentos/631/85989957548/6318598995754813092023125226.pdf</v>
      </c>
      <c r="H8188" s="5" t="s">
        <v>16754</v>
      </c>
    </row>
    <row r="8189" spans="1:8" x14ac:dyDescent="0.25">
      <c r="A8189" s="2" t="s">
        <v>8217</v>
      </c>
      <c r="B8189" s="3"/>
      <c r="C8189" s="3"/>
      <c r="D8189" s="3"/>
      <c r="E8189" s="5" t="str">
        <f>HYPERLINK("https://dpmzos25m8ivg.cloudfront.net/Documentos/631/85990138580/6318599013858011092023112852.pdf","https://dpmzos25m8ivg.cloudfront.net/Documentos/631/85990138580/6318599013858011092023112852.pdf")</f>
        <v>https://dpmzos25m8ivg.cloudfront.net/Documentos/631/85990138580/6318599013858011092023112852.pdf</v>
      </c>
      <c r="F8189" s="5" t="str">
        <f>HYPERLINK("https://dpmzos25m8ivg.cloudfront.net/Documentos/631/85990138580/6318599013858011092023112919.pdf","https://dpmzos25m8ivg.cloudfront.net/Documentos/631/85990138580/6318599013858011092023112919.pdf")</f>
        <v>https://dpmzos25m8ivg.cloudfront.net/Documentos/631/85990138580/6318599013858011092023112919.pdf</v>
      </c>
      <c r="G8189" s="5" t="str">
        <f>HYPERLINK("https://dpmzos25m8ivg.cloudfront.net/Documentos/631/85990138580/6318599013858011092023112940.pdf","https://dpmzos25m8ivg.cloudfront.net/Documentos/631/85990138580/6318599013858011092023112940.pdf")</f>
        <v>https://dpmzos25m8ivg.cloudfront.net/Documentos/631/85990138580/6318599013858011092023112940.pdf</v>
      </c>
      <c r="H8189" s="5" t="s">
        <v>16755</v>
      </c>
    </row>
    <row r="8190" spans="1:8" x14ac:dyDescent="0.25">
      <c r="A8190" s="2" t="s">
        <v>8218</v>
      </c>
      <c r="B8190" s="3"/>
      <c r="C8190" s="3"/>
      <c r="D8190" s="3"/>
      <c r="E8190" s="5" t="str">
        <f>HYPERLINK("https://dpmzos25m8ivg.cloudfront.net/Documentos/631/85993806567/6318599380656710092023224220.pdf","https://dpmzos25m8ivg.cloudfront.net/Documentos/631/85993806567/6318599380656710092023224220.pdf")</f>
        <v>https://dpmzos25m8ivg.cloudfront.net/Documentos/631/85993806567/6318599380656710092023224220.pdf</v>
      </c>
      <c r="F8190" s="5" t="str">
        <f>HYPERLINK("https://dpmzos25m8ivg.cloudfront.net/Documentos/631/85993806567/6318599380656710092023224232.pdf","https://dpmzos25m8ivg.cloudfront.net/Documentos/631/85993806567/6318599380656710092023224232.pdf")</f>
        <v>https://dpmzos25m8ivg.cloudfront.net/Documentos/631/85993806567/6318599380656710092023224232.pdf</v>
      </c>
      <c r="G8190" s="5" t="str">
        <f>HYPERLINK("https://dpmzos25m8ivg.cloudfront.net/Documentos/631/85993806567/6318599380656710092023224243.pdf","https://dpmzos25m8ivg.cloudfront.net/Documentos/631/85993806567/6318599380656710092023224243.pdf")</f>
        <v>https://dpmzos25m8ivg.cloudfront.net/Documentos/631/85993806567/6318599380656710092023224243.pdf</v>
      </c>
      <c r="H8190" s="5" t="s">
        <v>16756</v>
      </c>
    </row>
    <row r="8191" spans="1:8" x14ac:dyDescent="0.25">
      <c r="A8191" s="2" t="s">
        <v>8219</v>
      </c>
      <c r="B8191" s="3"/>
      <c r="C8191" s="3"/>
      <c r="D8191" s="3"/>
      <c r="E8191" s="5" t="str">
        <f>HYPERLINK("https://dpmzos25m8ivg.cloudfront.net/Documentos/631/86016815578/6318601681557813092023171217.pdf","https://dpmzos25m8ivg.cloudfront.net/Documentos/631/86016815578/6318601681557813092023171217.pdf")</f>
        <v>https://dpmzos25m8ivg.cloudfront.net/Documentos/631/86016815578/6318601681557813092023171217.pdf</v>
      </c>
      <c r="F8191" s="5" t="str">
        <f>HYPERLINK("https://dpmzos25m8ivg.cloudfront.net/Documentos/631/86016815578/6318601681557813092023171306.pdf","https://dpmzos25m8ivg.cloudfront.net/Documentos/631/86016815578/6318601681557813092023171306.pdf")</f>
        <v>https://dpmzos25m8ivg.cloudfront.net/Documentos/631/86016815578/6318601681557813092023171306.pdf</v>
      </c>
      <c r="G8191" s="5" t="str">
        <f>HYPERLINK("https://dpmzos25m8ivg.cloudfront.net/Documentos/631/86016815578/6318601681557813092023171330.pdf","https://dpmzos25m8ivg.cloudfront.net/Documentos/631/86016815578/6318601681557813092023171330.pdf")</f>
        <v>https://dpmzos25m8ivg.cloudfront.net/Documentos/631/86016815578/6318601681557813092023171330.pdf</v>
      </c>
      <c r="H8191" s="5" t="s">
        <v>16757</v>
      </c>
    </row>
    <row r="8192" spans="1:8" x14ac:dyDescent="0.25">
      <c r="A8192" s="2" t="s">
        <v>8220</v>
      </c>
      <c r="B8192" s="3"/>
      <c r="C8192" s="3"/>
      <c r="D8192" s="3"/>
      <c r="E8192" s="5" t="str">
        <f>HYPERLINK("https://dpmzos25m8ivg.cloudfront.net/Documentos/631/86019821234/6318601982123408092023133518.pdf","https://dpmzos25m8ivg.cloudfront.net/Documentos/631/86019821234/6318601982123408092023133518.pdf")</f>
        <v>https://dpmzos25m8ivg.cloudfront.net/Documentos/631/86019821234/6318601982123408092023133518.pdf</v>
      </c>
      <c r="F8192" s="5" t="str">
        <f>HYPERLINK("https://dpmzos25m8ivg.cloudfront.net/Documentos/631/86019821234/6318601982123408092023133530.pdf","https://dpmzos25m8ivg.cloudfront.net/Documentos/631/86019821234/6318601982123408092023133530.pdf")</f>
        <v>https://dpmzos25m8ivg.cloudfront.net/Documentos/631/86019821234/6318601982123408092023133530.pdf</v>
      </c>
      <c r="G8192" s="5" t="str">
        <f>HYPERLINK("https://dpmzos25m8ivg.cloudfront.net/Documentos/631/86019821234/6318601982123408092023133543.pdf","https://dpmzos25m8ivg.cloudfront.net/Documentos/631/86019821234/6318601982123408092023133543.pdf")</f>
        <v>https://dpmzos25m8ivg.cloudfront.net/Documentos/631/86019821234/6318601982123408092023133543.pdf</v>
      </c>
      <c r="H8192" s="5" t="s">
        <v>16758</v>
      </c>
    </row>
    <row r="8193" spans="1:8" x14ac:dyDescent="0.25">
      <c r="A8193" s="2" t="s">
        <v>8221</v>
      </c>
      <c r="B8193" s="3"/>
      <c r="C8193" s="3"/>
      <c r="D8193" s="3"/>
      <c r="E8193" s="5" t="str">
        <f>HYPERLINK("https://dpmzos25m8ivg.cloudfront.net/Documentos/631/86020794512/6318602079451211092023144953.jpeg","https://dpmzos25m8ivg.cloudfront.net/Documentos/631/86020794512/6318602079451211092023144953.jpeg")</f>
        <v>https://dpmzos25m8ivg.cloudfront.net/Documentos/631/86020794512/6318602079451211092023144953.jpeg</v>
      </c>
      <c r="F8193" s="5" t="str">
        <f>HYPERLINK("https://dpmzos25m8ivg.cloudfront.net/Documentos/631/86020794512/6318602079451211092023145014.jpeg","https://dpmzos25m8ivg.cloudfront.net/Documentos/631/86020794512/6318602079451211092023145014.jpeg")</f>
        <v>https://dpmzos25m8ivg.cloudfront.net/Documentos/631/86020794512/6318602079451211092023145014.jpeg</v>
      </c>
      <c r="G8193" s="5" t="str">
        <f>HYPERLINK("https://dpmzos25m8ivg.cloudfront.net/Documentos/631/86020794512/6318602079451211092023145028.jpeg","https://dpmzos25m8ivg.cloudfront.net/Documentos/631/86020794512/6318602079451211092023145028.jpeg")</f>
        <v>https://dpmzos25m8ivg.cloudfront.net/Documentos/631/86020794512/6318602079451211092023145028.jpeg</v>
      </c>
      <c r="H8193" s="5" t="s">
        <v>16759</v>
      </c>
    </row>
    <row r="8194" spans="1:8" x14ac:dyDescent="0.25">
      <c r="A8194" s="2" t="s">
        <v>8222</v>
      </c>
      <c r="B8194" s="3"/>
      <c r="C8194" s="3"/>
      <c r="D8194" s="3"/>
      <c r="E8194" s="5" t="str">
        <f>HYPERLINK("https://dpmzos25m8ivg.cloudfront.net/Documentos/631/86021082575/6318602108257506092023231112.pdf","https://dpmzos25m8ivg.cloudfront.net/Documentos/631/86021082575/6318602108257506092023231112.pdf")</f>
        <v>https://dpmzos25m8ivg.cloudfront.net/Documentos/631/86021082575/6318602108257506092023231112.pdf</v>
      </c>
      <c r="F8194" s="5" t="str">
        <f>HYPERLINK("https://dpmzos25m8ivg.cloudfront.net/Documentos/631/86021082575/6318602108257506092023231010.pdf","https://dpmzos25m8ivg.cloudfront.net/Documentos/631/86021082575/6318602108257506092023231010.pdf")</f>
        <v>https://dpmzos25m8ivg.cloudfront.net/Documentos/631/86021082575/6318602108257506092023231010.pdf</v>
      </c>
      <c r="G8194" s="5" t="str">
        <f>HYPERLINK("https://dpmzos25m8ivg.cloudfront.net/Documentos/631/86021082575/6318602108257506092023230843.pdf","https://dpmzos25m8ivg.cloudfront.net/Documentos/631/86021082575/6318602108257506092023230843.pdf")</f>
        <v>https://dpmzos25m8ivg.cloudfront.net/Documentos/631/86021082575/6318602108257506092023230843.pdf</v>
      </c>
      <c r="H8194" s="5" t="s">
        <v>16760</v>
      </c>
    </row>
    <row r="8195" spans="1:8" x14ac:dyDescent="0.25">
      <c r="A8195" s="2" t="s">
        <v>8223</v>
      </c>
      <c r="B8195" s="3"/>
      <c r="C8195" s="3"/>
      <c r="D8195" s="3"/>
      <c r="E8195" s="5" t="str">
        <f>HYPERLINK("https://dpmzos25m8ivg.cloudfront.net/Documentos/631/86031023415/6318603102341505092023141209.jpg","https://dpmzos25m8ivg.cloudfront.net/Documentos/631/86031023415/6318603102341505092023141209.jpg")</f>
        <v>https://dpmzos25m8ivg.cloudfront.net/Documentos/631/86031023415/6318603102341505092023141209.jpg</v>
      </c>
      <c r="F8195" s="5" t="str">
        <f>HYPERLINK("https://dpmzos25m8ivg.cloudfront.net/Documentos/631/86031023415/6318603102341505092023141225.jpg","https://dpmzos25m8ivg.cloudfront.net/Documentos/631/86031023415/6318603102341505092023141225.jpg")</f>
        <v>https://dpmzos25m8ivg.cloudfront.net/Documentos/631/86031023415/6318603102341505092023141225.jpg</v>
      </c>
      <c r="G8195" s="5" t="str">
        <f>HYPERLINK("https://dpmzos25m8ivg.cloudfront.net/Documentos/631/86031023415/6318603102341505092023141241.jpg","https://dpmzos25m8ivg.cloudfront.net/Documentos/631/86031023415/6318603102341505092023141241.jpg")</f>
        <v>https://dpmzos25m8ivg.cloudfront.net/Documentos/631/86031023415/6318603102341505092023141241.jpg</v>
      </c>
      <c r="H8195" s="5" t="s">
        <v>16761</v>
      </c>
    </row>
    <row r="8196" spans="1:8" x14ac:dyDescent="0.25">
      <c r="A8196" s="2" t="s">
        <v>8224</v>
      </c>
      <c r="B8196" s="3"/>
      <c r="C8196" s="3"/>
      <c r="D8196" s="3"/>
      <c r="E8196" s="5" t="str">
        <f>HYPERLINK("https://dpmzos25m8ivg.cloudfront.net/Documentos/631/86041823570/6318604182357011092023141605.pdf","https://dpmzos25m8ivg.cloudfront.net/Documentos/631/86041823570/6318604182357011092023141605.pdf")</f>
        <v>https://dpmzos25m8ivg.cloudfront.net/Documentos/631/86041823570/6318604182357011092023141605.pdf</v>
      </c>
      <c r="F8196" s="5" t="str">
        <f>HYPERLINK("https://dpmzos25m8ivg.cloudfront.net/Documentos/631/86041823570/6318604182357011092023141615.pdf","https://dpmzos25m8ivg.cloudfront.net/Documentos/631/86041823570/6318604182357011092023141615.pdf")</f>
        <v>https://dpmzos25m8ivg.cloudfront.net/Documentos/631/86041823570/6318604182357011092023141615.pdf</v>
      </c>
      <c r="G8196" s="5" t="str">
        <f>HYPERLINK("https://dpmzos25m8ivg.cloudfront.net/Documentos/631/86041823570/6318604182357011092023141648.pdf","https://dpmzos25m8ivg.cloudfront.net/Documentos/631/86041823570/6318604182357011092023141648.pdf")</f>
        <v>https://dpmzos25m8ivg.cloudfront.net/Documentos/631/86041823570/6318604182357011092023141648.pdf</v>
      </c>
      <c r="H8196" s="5" t="s">
        <v>16762</v>
      </c>
    </row>
    <row r="8197" spans="1:8" x14ac:dyDescent="0.25">
      <c r="A8197" s="2" t="s">
        <v>8225</v>
      </c>
      <c r="B8197" s="3"/>
      <c r="C8197" s="3"/>
      <c r="D8197" s="3"/>
      <c r="E8197" s="5" t="str">
        <f>HYPERLINK("https://dpmzos25m8ivg.cloudfront.net/Documentos/631/86074923574/6318607492357408092023214322.pdf","https://dpmzos25m8ivg.cloudfront.net/Documentos/631/86074923574/6318607492357408092023214322.pdf")</f>
        <v>https://dpmzos25m8ivg.cloudfront.net/Documentos/631/86074923574/6318607492357408092023214322.pdf</v>
      </c>
      <c r="F8197" s="5" t="str">
        <f>HYPERLINK("https://dpmzos25m8ivg.cloudfront.net/Documentos/631/86074923574/6318607492357408092023214339.pdf","https://dpmzos25m8ivg.cloudfront.net/Documentos/631/86074923574/6318607492357408092023214339.pdf")</f>
        <v>https://dpmzos25m8ivg.cloudfront.net/Documentos/631/86074923574/6318607492357408092023214339.pdf</v>
      </c>
      <c r="G8197" s="5" t="str">
        <f>HYPERLINK("https://dpmzos25m8ivg.cloudfront.net/Documentos/631/86074923574/6318607492357408092023214347.pdf","https://dpmzos25m8ivg.cloudfront.net/Documentos/631/86074923574/6318607492357408092023214347.pdf")</f>
        <v>https://dpmzos25m8ivg.cloudfront.net/Documentos/631/86074923574/6318607492357408092023214347.pdf</v>
      </c>
      <c r="H8197" s="5" t="s">
        <v>16763</v>
      </c>
    </row>
    <row r="8198" spans="1:8" x14ac:dyDescent="0.25">
      <c r="A8198" s="2" t="s">
        <v>8226</v>
      </c>
      <c r="B8198" s="3"/>
      <c r="C8198" s="3"/>
      <c r="D8198" s="3"/>
      <c r="E8198" s="5" t="str">
        <f>HYPERLINK("https://dpmzos25m8ivg.cloudfront.net/Documentos/631/86086078599/6318608607859908092023194821.pdf","https://dpmzos25m8ivg.cloudfront.net/Documentos/631/86086078599/6318608607859908092023194821.pdf")</f>
        <v>https://dpmzos25m8ivg.cloudfront.net/Documentos/631/86086078599/6318608607859908092023194821.pdf</v>
      </c>
      <c r="F8198" s="5" t="str">
        <f>HYPERLINK("https://dpmzos25m8ivg.cloudfront.net/Documentos/631/86086078599/6318608607859908092023194844.pdf","https://dpmzos25m8ivg.cloudfront.net/Documentos/631/86086078599/6318608607859908092023194844.pdf")</f>
        <v>https://dpmzos25m8ivg.cloudfront.net/Documentos/631/86086078599/6318608607859908092023194844.pdf</v>
      </c>
      <c r="G8198" s="5" t="str">
        <f>HYPERLINK("https://dpmzos25m8ivg.cloudfront.net/Documentos/631/86086078599/6318608607859908092023194904.pdf","https://dpmzos25m8ivg.cloudfront.net/Documentos/631/86086078599/6318608607859908092023194904.pdf")</f>
        <v>https://dpmzos25m8ivg.cloudfront.net/Documentos/631/86086078599/6318608607859908092023194904.pdf</v>
      </c>
      <c r="H8198" s="5" t="s">
        <v>16764</v>
      </c>
    </row>
    <row r="8199" spans="1:8" x14ac:dyDescent="0.25">
      <c r="A8199" s="2" t="s">
        <v>8227</v>
      </c>
      <c r="B8199" s="3"/>
      <c r="C8199" s="3"/>
      <c r="D8199" s="3"/>
      <c r="E8199" s="5" t="str">
        <f>HYPERLINK("https://dpmzos25m8ivg.cloudfront.net/Documentos/631/86091745573/6318609174557312092023194253.jpg","https://dpmzos25m8ivg.cloudfront.net/Documentos/631/86091745573/6318609174557312092023194253.jpg")</f>
        <v>https://dpmzos25m8ivg.cloudfront.net/Documentos/631/86091745573/6318609174557312092023194253.jpg</v>
      </c>
      <c r="F8199" s="5" t="str">
        <f>HYPERLINK("https://dpmzos25m8ivg.cloudfront.net/Documentos/631/86091745573/6318609174557312092023194636.jpg","https://dpmzos25m8ivg.cloudfront.net/Documentos/631/86091745573/6318609174557312092023194636.jpg")</f>
        <v>https://dpmzos25m8ivg.cloudfront.net/Documentos/631/86091745573/6318609174557312092023194636.jpg</v>
      </c>
      <c r="G8199" s="5" t="str">
        <f>HYPERLINK("https://dpmzos25m8ivg.cloudfront.net/Documentos/631/86091745573/6318609174557312092023194653.jpg","https://dpmzos25m8ivg.cloudfront.net/Documentos/631/86091745573/6318609174557312092023194653.jpg")</f>
        <v>https://dpmzos25m8ivg.cloudfront.net/Documentos/631/86091745573/6318609174557312092023194653.jpg</v>
      </c>
      <c r="H8199" s="5" t="s">
        <v>16765</v>
      </c>
    </row>
    <row r="8200" spans="1:8" x14ac:dyDescent="0.25">
      <c r="A8200" s="2" t="s">
        <v>8228</v>
      </c>
      <c r="B8200" s="3"/>
      <c r="C8200" s="3"/>
      <c r="D8200" s="3"/>
      <c r="E8200" s="5" t="str">
        <f>HYPERLINK("https://dpmzos25m8ivg.cloudfront.net/Documentos/631/86096357598/6318609635759811092023161550.pdf","https://dpmzos25m8ivg.cloudfront.net/Documentos/631/86096357598/6318609635759811092023161550.pdf")</f>
        <v>https://dpmzos25m8ivg.cloudfront.net/Documentos/631/86096357598/6318609635759811092023161550.pdf</v>
      </c>
      <c r="F8200" s="5" t="str">
        <f>HYPERLINK("https://dpmzos25m8ivg.cloudfront.net/Documentos/631/86096357598/6318609635759811092023161607.pdf","https://dpmzos25m8ivg.cloudfront.net/Documentos/631/86096357598/6318609635759811092023161607.pdf")</f>
        <v>https://dpmzos25m8ivg.cloudfront.net/Documentos/631/86096357598/6318609635759811092023161607.pdf</v>
      </c>
      <c r="G8200" s="5" t="str">
        <f>HYPERLINK("https://dpmzos25m8ivg.cloudfront.net/Documentos/631/86096357598/6318609635759811092023161622.pdf","https://dpmzos25m8ivg.cloudfront.net/Documentos/631/86096357598/6318609635759811092023161622.pdf")</f>
        <v>https://dpmzos25m8ivg.cloudfront.net/Documentos/631/86096357598/6318609635759811092023161622.pdf</v>
      </c>
      <c r="H8200" s="5" t="s">
        <v>16766</v>
      </c>
    </row>
    <row r="8201" spans="1:8" x14ac:dyDescent="0.25">
      <c r="A8201" s="2" t="s">
        <v>8229</v>
      </c>
      <c r="B8201" s="3"/>
      <c r="C8201" s="3"/>
      <c r="D8201" s="3"/>
      <c r="E8201" s="5" t="str">
        <f>HYPERLINK("https://dpmzos25m8ivg.cloudfront.net/Documentos/631/86097884583/6318609788458311092023164939.pdf","https://dpmzos25m8ivg.cloudfront.net/Documentos/631/86097884583/6318609788458311092023164939.pdf")</f>
        <v>https://dpmzos25m8ivg.cloudfront.net/Documentos/631/86097884583/6318609788458311092023164939.pdf</v>
      </c>
      <c r="F8201" s="5" t="str">
        <f>HYPERLINK("https://dpmzos25m8ivg.cloudfront.net/Documentos/631/86097884583/6318609788458311092023164947.pdf","https://dpmzos25m8ivg.cloudfront.net/Documentos/631/86097884583/6318609788458311092023164947.pdf")</f>
        <v>https://dpmzos25m8ivg.cloudfront.net/Documentos/631/86097884583/6318609788458311092023164947.pdf</v>
      </c>
      <c r="G8201" s="5" t="str">
        <f>HYPERLINK("https://dpmzos25m8ivg.cloudfront.net/Documentos/631/86097884583/6318609788458311092023164955.pdf","https://dpmzos25m8ivg.cloudfront.net/Documentos/631/86097884583/6318609788458311092023164955.pdf")</f>
        <v>https://dpmzos25m8ivg.cloudfront.net/Documentos/631/86097884583/6318609788458311092023164955.pdf</v>
      </c>
      <c r="H8201" s="5" t="s">
        <v>16767</v>
      </c>
    </row>
    <row r="8202" spans="1:8" x14ac:dyDescent="0.25">
      <c r="A8202" s="2" t="s">
        <v>8230</v>
      </c>
      <c r="B8202" s="3"/>
      <c r="C8202" s="3"/>
      <c r="D8202" s="3"/>
      <c r="E8202" s="5" t="str">
        <f>HYPERLINK("https://dpmzos25m8ivg.cloudfront.net/Documentos/631/86112956500/6318611295650005092023233608.jpeg","https://dpmzos25m8ivg.cloudfront.net/Documentos/631/86112956500/6318611295650005092023233608.jpeg")</f>
        <v>https://dpmzos25m8ivg.cloudfront.net/Documentos/631/86112956500/6318611295650005092023233608.jpeg</v>
      </c>
      <c r="F8202" s="5" t="str">
        <f>HYPERLINK("https://dpmzos25m8ivg.cloudfront.net/Documentos/631/86112956500/6318611295650005092023233618.jpeg","https://dpmzos25m8ivg.cloudfront.net/Documentos/631/86112956500/6318611295650005092023233618.jpeg")</f>
        <v>https://dpmzos25m8ivg.cloudfront.net/Documentos/631/86112956500/6318611295650005092023233618.jpeg</v>
      </c>
      <c r="G8202" s="5" t="str">
        <f>HYPERLINK("https://dpmzos25m8ivg.cloudfront.net/Documentos/631/86112956500/6318611295650005092023233627.jpeg","https://dpmzos25m8ivg.cloudfront.net/Documentos/631/86112956500/6318611295650005092023233627.jpeg")</f>
        <v>https://dpmzos25m8ivg.cloudfront.net/Documentos/631/86112956500/6318611295650005092023233627.jpeg</v>
      </c>
      <c r="H8202" s="5" t="s">
        <v>16768</v>
      </c>
    </row>
    <row r="8203" spans="1:8" x14ac:dyDescent="0.25">
      <c r="A8203" s="2" t="s">
        <v>8231</v>
      </c>
      <c r="B8203" s="3"/>
      <c r="C8203" s="3"/>
      <c r="D8203" s="3"/>
      <c r="E8203" s="5" t="str">
        <f>HYPERLINK("https://dpmzos25m8ivg.cloudfront.net/Documentos/631/86123861522/6318612386152211092023094027.pdf","https://dpmzos25m8ivg.cloudfront.net/Documentos/631/86123861522/6318612386152211092023094027.pdf")</f>
        <v>https://dpmzos25m8ivg.cloudfront.net/Documentos/631/86123861522/6318612386152211092023094027.pdf</v>
      </c>
      <c r="F8203" s="5" t="str">
        <f>HYPERLINK("https://dpmzos25m8ivg.cloudfront.net/Documentos/631/86123861522/6318612386152211092023094036.pdf","https://dpmzos25m8ivg.cloudfront.net/Documentos/631/86123861522/6318612386152211092023094036.pdf")</f>
        <v>https://dpmzos25m8ivg.cloudfront.net/Documentos/631/86123861522/6318612386152211092023094036.pdf</v>
      </c>
      <c r="G8203" s="5" t="str">
        <f>HYPERLINK("https://dpmzos25m8ivg.cloudfront.net/Documentos/631/86123861522/6318612386152211092023094047.pdf","https://dpmzos25m8ivg.cloudfront.net/Documentos/631/86123861522/6318612386152211092023094047.pdf")</f>
        <v>https://dpmzos25m8ivg.cloudfront.net/Documentos/631/86123861522/6318612386152211092023094047.pdf</v>
      </c>
      <c r="H8203" s="5" t="s">
        <v>16769</v>
      </c>
    </row>
    <row r="8204" spans="1:8" x14ac:dyDescent="0.25">
      <c r="A8204" s="2" t="s">
        <v>8232</v>
      </c>
      <c r="B8204" s="3"/>
      <c r="C8204" s="3"/>
      <c r="D8204" s="3"/>
      <c r="E8204" s="5" t="str">
        <f>HYPERLINK("https://dpmzos25m8ivg.cloudfront.net/Documentos/631/86140008557/6318614000855711092023133635.pdf","https://dpmzos25m8ivg.cloudfront.net/Documentos/631/86140008557/6318614000855711092023133635.pdf")</f>
        <v>https://dpmzos25m8ivg.cloudfront.net/Documentos/631/86140008557/6318614000855711092023133635.pdf</v>
      </c>
      <c r="F8204" s="5" t="str">
        <f>HYPERLINK("https://dpmzos25m8ivg.cloudfront.net/Documentos/631/86140008557/6318614000855711092023133651.pdf","https://dpmzos25m8ivg.cloudfront.net/Documentos/631/86140008557/6318614000855711092023133651.pdf")</f>
        <v>https://dpmzos25m8ivg.cloudfront.net/Documentos/631/86140008557/6318614000855711092023133651.pdf</v>
      </c>
      <c r="G8204" s="5" t="str">
        <f>HYPERLINK("https://dpmzos25m8ivg.cloudfront.net/Documentos/631/86140008557/6318614000855711092023133705.pdf","https://dpmzos25m8ivg.cloudfront.net/Documentos/631/86140008557/6318614000855711092023133705.pdf")</f>
        <v>https://dpmzos25m8ivg.cloudfront.net/Documentos/631/86140008557/6318614000855711092023133705.pdf</v>
      </c>
      <c r="H8204" s="5" t="s">
        <v>16770</v>
      </c>
    </row>
    <row r="8205" spans="1:8" x14ac:dyDescent="0.25">
      <c r="A8205" s="2" t="s">
        <v>8233</v>
      </c>
      <c r="B8205" s="3"/>
      <c r="C8205" s="3"/>
      <c r="D8205" s="3"/>
      <c r="E8205" s="5" t="str">
        <f>HYPERLINK("https://dpmzos25m8ivg.cloudfront.net/Documentos/631/86159492551/6318615949255111092023140642.pdf","https://dpmzos25m8ivg.cloudfront.net/Documentos/631/86159492551/6318615949255111092023140642.pdf")</f>
        <v>https://dpmzos25m8ivg.cloudfront.net/Documentos/631/86159492551/6318615949255111092023140642.pdf</v>
      </c>
      <c r="F8205" s="5" t="str">
        <f>HYPERLINK("https://dpmzos25m8ivg.cloudfront.net/Documentos/631/86159492551/6318615949255111092023140701.pdf","https://dpmzos25m8ivg.cloudfront.net/Documentos/631/86159492551/6318615949255111092023140701.pdf")</f>
        <v>https://dpmzos25m8ivg.cloudfront.net/Documentos/631/86159492551/6318615949255111092023140701.pdf</v>
      </c>
      <c r="G8205" s="5" t="str">
        <f>HYPERLINK("https://dpmzos25m8ivg.cloudfront.net/Documentos/631/86159492551/6318615949255111092023140731.pdf","https://dpmzos25m8ivg.cloudfront.net/Documentos/631/86159492551/6318615949255111092023140731.pdf")</f>
        <v>https://dpmzos25m8ivg.cloudfront.net/Documentos/631/86159492551/6318615949255111092023140731.pdf</v>
      </c>
      <c r="H8205" s="5" t="s">
        <v>16771</v>
      </c>
    </row>
    <row r="8206" spans="1:8" x14ac:dyDescent="0.25">
      <c r="A8206" s="2" t="s">
        <v>8234</v>
      </c>
      <c r="B8206" s="3"/>
      <c r="C8206" s="3"/>
      <c r="D8206" s="3"/>
      <c r="E8206" s="5" t="str">
        <f>HYPERLINK("https://dpmzos25m8ivg.cloudfront.net/Documentos/631/86171975524/6318617197552409092023224317.pdf","https://dpmzos25m8ivg.cloudfront.net/Documentos/631/86171975524/6318617197552409092023224317.pdf")</f>
        <v>https://dpmzos25m8ivg.cloudfront.net/Documentos/631/86171975524/6318617197552409092023224317.pdf</v>
      </c>
      <c r="F8206" s="5" t="str">
        <f>HYPERLINK("https://dpmzos25m8ivg.cloudfront.net/Documentos/631/86171975524/6318617197552409092023224411.pdf","https://dpmzos25m8ivg.cloudfront.net/Documentos/631/86171975524/6318617197552409092023224411.pdf")</f>
        <v>https://dpmzos25m8ivg.cloudfront.net/Documentos/631/86171975524/6318617197552409092023224411.pdf</v>
      </c>
      <c r="G8206" s="5" t="str">
        <f>HYPERLINK("https://dpmzos25m8ivg.cloudfront.net/Documentos/631/86171975524/6318617197552409092023224539.pdf","https://dpmzos25m8ivg.cloudfront.net/Documentos/631/86171975524/6318617197552409092023224539.pdf")</f>
        <v>https://dpmzos25m8ivg.cloudfront.net/Documentos/631/86171975524/6318617197552409092023224539.pdf</v>
      </c>
      <c r="H8206" s="5" t="s">
        <v>16772</v>
      </c>
    </row>
    <row r="8207" spans="1:8" x14ac:dyDescent="0.25">
      <c r="A8207" s="2" t="s">
        <v>8235</v>
      </c>
      <c r="B8207" s="3"/>
      <c r="C8207" s="3"/>
      <c r="D8207" s="3"/>
      <c r="E8207" s="5" t="str">
        <f>HYPERLINK("https://dpmzos25m8ivg.cloudfront.net/Documentos/631/86175239563/6318617523956314092023131445.jpg","https://dpmzos25m8ivg.cloudfront.net/Documentos/631/86175239563/6318617523956314092023131445.jpg")</f>
        <v>https://dpmzos25m8ivg.cloudfront.net/Documentos/631/86175239563/6318617523956314092023131445.jpg</v>
      </c>
      <c r="F8207" s="5" t="str">
        <f>HYPERLINK("https://dpmzos25m8ivg.cloudfront.net/Documentos/631/86175239563/6318617523956314092023131454.jpg","https://dpmzos25m8ivg.cloudfront.net/Documentos/631/86175239563/6318617523956314092023131454.jpg")</f>
        <v>https://dpmzos25m8ivg.cloudfront.net/Documentos/631/86175239563/6318617523956314092023131454.jpg</v>
      </c>
      <c r="G8207" s="5" t="str">
        <f>HYPERLINK("https://dpmzos25m8ivg.cloudfront.net/Documentos/631/86175239563/6318617523956314092023131504.jpg","https://dpmzos25m8ivg.cloudfront.net/Documentos/631/86175239563/6318617523956314092023131504.jpg")</f>
        <v>https://dpmzos25m8ivg.cloudfront.net/Documentos/631/86175239563/6318617523956314092023131504.jpg</v>
      </c>
      <c r="H8207" s="5" t="s">
        <v>16773</v>
      </c>
    </row>
    <row r="8208" spans="1:8" x14ac:dyDescent="0.25">
      <c r="A8208" s="2" t="s">
        <v>8236</v>
      </c>
      <c r="B8208" s="3"/>
      <c r="C8208" s="3"/>
      <c r="D8208" s="3"/>
      <c r="E8208" s="5" t="str">
        <f>HYPERLINK("https://dpmzos25m8ivg.cloudfront.net/Documentos/631/86182540532/6318618254053211092023152845.pdf","https://dpmzos25m8ivg.cloudfront.net/Documentos/631/86182540532/6318618254053211092023152845.pdf")</f>
        <v>https://dpmzos25m8ivg.cloudfront.net/Documentos/631/86182540532/6318618254053211092023152845.pdf</v>
      </c>
      <c r="F8208" s="5" t="str">
        <f>HYPERLINK("https://dpmzos25m8ivg.cloudfront.net/Documentos/631/86182540532/6318618254053211092023152900.pdf","https://dpmzos25m8ivg.cloudfront.net/Documentos/631/86182540532/6318618254053211092023152900.pdf")</f>
        <v>https://dpmzos25m8ivg.cloudfront.net/Documentos/631/86182540532/6318618254053211092023152900.pdf</v>
      </c>
      <c r="G8208" s="5" t="str">
        <f>HYPERLINK("https://dpmzos25m8ivg.cloudfront.net/Documentos/631/86182540532/6318618254053211092023152914.pdf","https://dpmzos25m8ivg.cloudfront.net/Documentos/631/86182540532/6318618254053211092023152914.pdf")</f>
        <v>https://dpmzos25m8ivg.cloudfront.net/Documentos/631/86182540532/6318618254053211092023152914.pdf</v>
      </c>
      <c r="H8208" s="5" t="s">
        <v>16774</v>
      </c>
    </row>
    <row r="8209" spans="1:8" x14ac:dyDescent="0.25">
      <c r="A8209" s="2" t="s">
        <v>8237</v>
      </c>
      <c r="B8209" s="3" t="s">
        <v>312</v>
      </c>
      <c r="C8209" s="3"/>
      <c r="D8209" s="3"/>
      <c r="E8209" s="5" t="str">
        <f>HYPERLINK("https://dpmzos25m8ivg.cloudfront.net/Documentos/631/86188628512/6318618862851211092023162700.jpeg","https://dpmzos25m8ivg.cloudfront.net/Documentos/631/86188628512/6318618862851211092023162700.jpeg")</f>
        <v>https://dpmzos25m8ivg.cloudfront.net/Documentos/631/86188628512/6318618862851211092023162700.jpeg</v>
      </c>
      <c r="F8209" s="5" t="str">
        <f>HYPERLINK("https://dpmzos25m8ivg.cloudfront.net/Documentos/631/86188628512/6318618862851211092023162724.jpeg","https://dpmzos25m8ivg.cloudfront.net/Documentos/631/86188628512/6318618862851211092023162724.jpeg")</f>
        <v>https://dpmzos25m8ivg.cloudfront.net/Documentos/631/86188628512/6318618862851211092023162724.jpeg</v>
      </c>
      <c r="G8209" s="5" t="str">
        <f>HYPERLINK("https://dpmzos25m8ivg.cloudfront.net/Documentos/631/86188628512/6318618862851211092023162748.jpeg","https://dpmzos25m8ivg.cloudfront.net/Documentos/631/86188628512/6318618862851211092023162748.jpeg")</f>
        <v>https://dpmzos25m8ivg.cloudfront.net/Documentos/631/86188628512/6318618862851211092023162748.jpeg</v>
      </c>
      <c r="H8209" s="5" t="s">
        <v>16775</v>
      </c>
    </row>
    <row r="8210" spans="1:8" x14ac:dyDescent="0.25">
      <c r="A8210" s="2" t="s">
        <v>8238</v>
      </c>
      <c r="B8210" s="3"/>
      <c r="C8210" s="3"/>
      <c r="D8210" s="3"/>
      <c r="E8210" s="5" t="str">
        <f>HYPERLINK("https://dpmzos25m8ivg.cloudfront.net/Documentos/631/86196260359/6318619626035913092023153245.jpg","https://dpmzos25m8ivg.cloudfront.net/Documentos/631/86196260359/6318619626035913092023153245.jpg")</f>
        <v>https://dpmzos25m8ivg.cloudfront.net/Documentos/631/86196260359/6318619626035913092023153245.jpg</v>
      </c>
      <c r="F8210" s="5" t="str">
        <f>HYPERLINK("https://dpmzos25m8ivg.cloudfront.net/Documentos/631/86196260359/6318619626035913092023153301.jpg","https://dpmzos25m8ivg.cloudfront.net/Documentos/631/86196260359/6318619626035913092023153301.jpg")</f>
        <v>https://dpmzos25m8ivg.cloudfront.net/Documentos/631/86196260359/6318619626035913092023153301.jpg</v>
      </c>
      <c r="G8210" s="5" t="str">
        <f>HYPERLINK("https://dpmzos25m8ivg.cloudfront.net/Documentos/631/86196260359/6318619626035913092023153316.jpg","https://dpmzos25m8ivg.cloudfront.net/Documentos/631/86196260359/6318619626035913092023153316.jpg")</f>
        <v>https://dpmzos25m8ivg.cloudfront.net/Documentos/631/86196260359/6318619626035913092023153316.jpg</v>
      </c>
      <c r="H8210" s="5" t="s">
        <v>16776</v>
      </c>
    </row>
    <row r="8211" spans="1:8" x14ac:dyDescent="0.25">
      <c r="A8211" s="2" t="s">
        <v>8239</v>
      </c>
      <c r="B8211" s="3"/>
      <c r="C8211" s="3"/>
      <c r="D8211" s="3"/>
      <c r="E8211" s="5" t="str">
        <f>HYPERLINK("https://dpmzos25m8ivg.cloudfront.net/Documentos/631/86210949592/6318621094959211092023155457.jpeg","https://dpmzos25m8ivg.cloudfront.net/Documentos/631/86210949592/6318621094959211092023155457.jpeg")</f>
        <v>https://dpmzos25m8ivg.cloudfront.net/Documentos/631/86210949592/6318621094959211092023155457.jpeg</v>
      </c>
      <c r="F8211" s="5" t="str">
        <f>HYPERLINK("https://dpmzos25m8ivg.cloudfront.net/Documentos/631/86210949592/6318621094959211092023155517.jpeg","https://dpmzos25m8ivg.cloudfront.net/Documentos/631/86210949592/6318621094959211092023155517.jpeg")</f>
        <v>https://dpmzos25m8ivg.cloudfront.net/Documentos/631/86210949592/6318621094959211092023155517.jpeg</v>
      </c>
      <c r="G8211" s="5" t="str">
        <f>HYPERLINK("https://dpmzos25m8ivg.cloudfront.net/Documentos/631/86210949592/6318621094959211092023155526.jpeg","https://dpmzos25m8ivg.cloudfront.net/Documentos/631/86210949592/6318621094959211092023155526.jpeg")</f>
        <v>https://dpmzos25m8ivg.cloudfront.net/Documentos/631/86210949592/6318621094959211092023155526.jpeg</v>
      </c>
      <c r="H8211" s="5" t="s">
        <v>16777</v>
      </c>
    </row>
    <row r="8212" spans="1:8" x14ac:dyDescent="0.25">
      <c r="A8212" s="2" t="s">
        <v>8240</v>
      </c>
      <c r="B8212" s="3"/>
      <c r="C8212" s="3"/>
      <c r="D8212" s="3"/>
      <c r="E8212" s="5" t="str">
        <f>HYPERLINK("https://dpmzos25m8ivg.cloudfront.net/Documentos/631/86215024538/6318621502453810092023203519.pdf","https://dpmzos25m8ivg.cloudfront.net/Documentos/631/86215024538/6318621502453810092023203519.pdf")</f>
        <v>https://dpmzos25m8ivg.cloudfront.net/Documentos/631/86215024538/6318621502453810092023203519.pdf</v>
      </c>
      <c r="F8212" s="5" t="str">
        <f>HYPERLINK("https://dpmzos25m8ivg.cloudfront.net/Documentos/631/86215024538/6318621502453810092023203511.pdf","https://dpmzos25m8ivg.cloudfront.net/Documentos/631/86215024538/6318621502453810092023203511.pdf")</f>
        <v>https://dpmzos25m8ivg.cloudfront.net/Documentos/631/86215024538/6318621502453810092023203511.pdf</v>
      </c>
      <c r="G8212" s="5" t="str">
        <f>HYPERLINK("https://dpmzos25m8ivg.cloudfront.net/Documentos/631/86215024538/6318621502453810092023203456.pdf","https://dpmzos25m8ivg.cloudfront.net/Documentos/631/86215024538/6318621502453810092023203456.pdf")</f>
        <v>https://dpmzos25m8ivg.cloudfront.net/Documentos/631/86215024538/6318621502453810092023203456.pdf</v>
      </c>
      <c r="H8212" s="5" t="s">
        <v>16778</v>
      </c>
    </row>
    <row r="8213" spans="1:8" x14ac:dyDescent="0.25">
      <c r="A8213" s="2" t="s">
        <v>8241</v>
      </c>
      <c r="B8213" s="3"/>
      <c r="C8213" s="3"/>
      <c r="D8213" s="3"/>
      <c r="E8213" s="5" t="str">
        <f>HYPERLINK("https://dpmzos25m8ivg.cloudfront.net/Documentos/631/86221540763/6318622154076310092023224340.jpg","https://dpmzos25m8ivg.cloudfront.net/Documentos/631/86221540763/6318622154076310092023224340.jpg")</f>
        <v>https://dpmzos25m8ivg.cloudfront.net/Documentos/631/86221540763/6318622154076310092023224340.jpg</v>
      </c>
      <c r="F8213" s="5" t="str">
        <f>HYPERLINK("https://dpmzos25m8ivg.cloudfront.net/Documentos/631/86221540763/6318622154076310092023224508.jpeg","https://dpmzos25m8ivg.cloudfront.net/Documentos/631/86221540763/6318622154076310092023224508.jpeg")</f>
        <v>https://dpmzos25m8ivg.cloudfront.net/Documentos/631/86221540763/6318622154076310092023224508.jpeg</v>
      </c>
      <c r="G8213" s="5" t="str">
        <f>HYPERLINK("https://dpmzos25m8ivg.cloudfront.net/Documentos/631/86221540763/6318622154076310092023224526.jpeg","https://dpmzos25m8ivg.cloudfront.net/Documentos/631/86221540763/6318622154076310092023224526.jpeg")</f>
        <v>https://dpmzos25m8ivg.cloudfront.net/Documentos/631/86221540763/6318622154076310092023224526.jpeg</v>
      </c>
      <c r="H8213" s="5" t="s">
        <v>16779</v>
      </c>
    </row>
    <row r="8214" spans="1:8" x14ac:dyDescent="0.25">
      <c r="A8214" s="2" t="s">
        <v>8242</v>
      </c>
      <c r="B8214" s="3"/>
      <c r="C8214" s="3"/>
      <c r="D8214" s="3"/>
      <c r="E8214" s="5" t="str">
        <f>HYPERLINK("https://dpmzos25m8ivg.cloudfront.net/Documentos/631/86228831593/6318622883159311092023142747.pdf","https://dpmzos25m8ivg.cloudfront.net/Documentos/631/86228831593/6318622883159311092023142747.pdf")</f>
        <v>https://dpmzos25m8ivg.cloudfront.net/Documentos/631/86228831593/6318622883159311092023142747.pdf</v>
      </c>
      <c r="F8214" s="5" t="str">
        <f>HYPERLINK("https://dpmzos25m8ivg.cloudfront.net/Documentos/631/86228831593/6318622883159311092023142804.pdf","https://dpmzos25m8ivg.cloudfront.net/Documentos/631/86228831593/6318622883159311092023142804.pdf")</f>
        <v>https://dpmzos25m8ivg.cloudfront.net/Documentos/631/86228831593/6318622883159311092023142804.pdf</v>
      </c>
      <c r="G8214" s="5" t="str">
        <f>HYPERLINK("https://dpmzos25m8ivg.cloudfront.net/Documentos/631/86228831593/6318622883159311092023142818.pdf","https://dpmzos25m8ivg.cloudfront.net/Documentos/631/86228831593/6318622883159311092023142818.pdf")</f>
        <v>https://dpmzos25m8ivg.cloudfront.net/Documentos/631/86228831593/6318622883159311092023142818.pdf</v>
      </c>
      <c r="H8214" s="5" t="s">
        <v>16780</v>
      </c>
    </row>
    <row r="8215" spans="1:8" x14ac:dyDescent="0.25">
      <c r="A8215" s="2" t="s">
        <v>8243</v>
      </c>
      <c r="B8215" s="3"/>
      <c r="C8215" s="3"/>
      <c r="D8215" s="3"/>
      <c r="E8215" s="5" t="str">
        <f>HYPERLINK("https://dpmzos25m8ivg.cloudfront.net/Documentos/631/86242145561/6318624214556109092023163658.jpeg","https://dpmzos25m8ivg.cloudfront.net/Documentos/631/86242145561/6318624214556109092023163658.jpeg")</f>
        <v>https://dpmzos25m8ivg.cloudfront.net/Documentos/631/86242145561/6318624214556109092023163658.jpeg</v>
      </c>
      <c r="F8215" s="5" t="str">
        <f>HYPERLINK("https://dpmzos25m8ivg.cloudfront.net/Documentos/631/86242145561/6318624214556109092023163735.jpeg","https://dpmzos25m8ivg.cloudfront.net/Documentos/631/86242145561/6318624214556109092023163735.jpeg")</f>
        <v>https://dpmzos25m8ivg.cloudfront.net/Documentos/631/86242145561/6318624214556109092023163735.jpeg</v>
      </c>
      <c r="G8215" s="5" t="str">
        <f>HYPERLINK("https://dpmzos25m8ivg.cloudfront.net/Documentos/631/86242145561/6318624214556109092023163747.jpeg","https://dpmzos25m8ivg.cloudfront.net/Documentos/631/86242145561/6318624214556109092023163747.jpeg")</f>
        <v>https://dpmzos25m8ivg.cloudfront.net/Documentos/631/86242145561/6318624214556109092023163747.jpeg</v>
      </c>
      <c r="H8215" s="5" t="s">
        <v>16781</v>
      </c>
    </row>
    <row r="8216" spans="1:8" x14ac:dyDescent="0.25">
      <c r="A8216" s="2" t="s">
        <v>8244</v>
      </c>
      <c r="B8216" s="3"/>
      <c r="C8216" s="3"/>
      <c r="D8216" s="3"/>
      <c r="E8216" s="5" t="str">
        <f>HYPERLINK("https://dpmzos25m8ivg.cloudfront.net/Documentos/631/86244884272/6318624488427208092023132043.jpg","https://dpmzos25m8ivg.cloudfront.net/Documentos/631/86244884272/6318624488427208092023132043.jpg")</f>
        <v>https://dpmzos25m8ivg.cloudfront.net/Documentos/631/86244884272/6318624488427208092023132043.jpg</v>
      </c>
      <c r="F8216" s="5" t="str">
        <f>HYPERLINK("https://dpmzos25m8ivg.cloudfront.net/Documentos/631/86244884272/6318624488427208092023132017.jpg","https://dpmzos25m8ivg.cloudfront.net/Documentos/631/86244884272/6318624488427208092023132017.jpg")</f>
        <v>https://dpmzos25m8ivg.cloudfront.net/Documentos/631/86244884272/6318624488427208092023132017.jpg</v>
      </c>
      <c r="G8216" s="5" t="str">
        <f>HYPERLINK("https://dpmzos25m8ivg.cloudfront.net/Documentos/631/86244884272/6318624488427208092023131947.jpg","https://dpmzos25m8ivg.cloudfront.net/Documentos/631/86244884272/6318624488427208092023131947.jpg")</f>
        <v>https://dpmzos25m8ivg.cloudfront.net/Documentos/631/86244884272/6318624488427208092023131947.jpg</v>
      </c>
      <c r="H8216" s="5" t="s">
        <v>16782</v>
      </c>
    </row>
    <row r="8217" spans="1:8" x14ac:dyDescent="0.25">
      <c r="A8217" s="2" t="s">
        <v>8245</v>
      </c>
      <c r="B8217" s="3"/>
      <c r="C8217" s="3"/>
      <c r="D8217" s="3"/>
      <c r="E8217" s="5" t="str">
        <f>HYPERLINK("https://dpmzos25m8ivg.cloudfront.net/Documentos/631/86248774234/6318624877423406092023145220.pdf","https://dpmzos25m8ivg.cloudfront.net/Documentos/631/86248774234/6318624877423406092023145220.pdf")</f>
        <v>https://dpmzos25m8ivg.cloudfront.net/Documentos/631/86248774234/6318624877423406092023145220.pdf</v>
      </c>
      <c r="F8217" s="5" t="str">
        <f>HYPERLINK("https://dpmzos25m8ivg.cloudfront.net/Documentos/631/86248774234/6318624877423406092023145236.pdf","https://dpmzos25m8ivg.cloudfront.net/Documentos/631/86248774234/6318624877423406092023145236.pdf")</f>
        <v>https://dpmzos25m8ivg.cloudfront.net/Documentos/631/86248774234/6318624877423406092023145236.pdf</v>
      </c>
      <c r="G8217" s="5" t="str">
        <f>HYPERLINK("https://dpmzos25m8ivg.cloudfront.net/Documentos/631/86248774234/6318624877423406092023145249.pdf","https://dpmzos25m8ivg.cloudfront.net/Documentos/631/86248774234/6318624877423406092023145249.pdf")</f>
        <v>https://dpmzos25m8ivg.cloudfront.net/Documentos/631/86248774234/6318624877423406092023145249.pdf</v>
      </c>
      <c r="H8217" s="5" t="s">
        <v>16783</v>
      </c>
    </row>
    <row r="8218" spans="1:8" x14ac:dyDescent="0.25">
      <c r="A8218" s="2" t="s">
        <v>8246</v>
      </c>
      <c r="B8218" s="3" t="s">
        <v>23</v>
      </c>
      <c r="C8218" s="3"/>
      <c r="D8218" s="3"/>
      <c r="E8218" s="5" t="str">
        <f>HYPERLINK("https://dpmzos25m8ivg.cloudfront.net/Documentos/631/86253478516/6318625347851613092023161127.pdf","https://dpmzos25m8ivg.cloudfront.net/Documentos/631/86253478516/6318625347851613092023161127.pdf")</f>
        <v>https://dpmzos25m8ivg.cloudfront.net/Documentos/631/86253478516/6318625347851613092023161127.pdf</v>
      </c>
      <c r="F8218" s="5" t="str">
        <f>HYPERLINK("https://dpmzos25m8ivg.cloudfront.net/Documentos/631/86253478516/6318625347851613092023161201.pdf","https://dpmzos25m8ivg.cloudfront.net/Documentos/631/86253478516/6318625347851613092023161201.pdf")</f>
        <v>https://dpmzos25m8ivg.cloudfront.net/Documentos/631/86253478516/6318625347851613092023161201.pdf</v>
      </c>
      <c r="G8218" s="5" t="str">
        <f>HYPERLINK("https://dpmzos25m8ivg.cloudfront.net/Documentos/631/86253478516/6318625347851613092023161229.pdf","https://dpmzos25m8ivg.cloudfront.net/Documentos/631/86253478516/6318625347851613092023161229.pdf")</f>
        <v>https://dpmzos25m8ivg.cloudfront.net/Documentos/631/86253478516/6318625347851613092023161229.pdf</v>
      </c>
      <c r="H8218" s="5" t="s">
        <v>16784</v>
      </c>
    </row>
    <row r="8219" spans="1:8" x14ac:dyDescent="0.25">
      <c r="A8219" s="2" t="s">
        <v>8247</v>
      </c>
      <c r="B8219" s="3" t="s">
        <v>308</v>
      </c>
      <c r="C8219" s="3"/>
      <c r="D8219" s="3"/>
      <c r="E8219" s="5" t="str">
        <f>HYPERLINK("https://dpmzos25m8ivg.cloudfront.net/Documentos/631/86260804172/6318626080417209092023054736.pdf","https://dpmzos25m8ivg.cloudfront.net/Documentos/631/86260804172/6318626080417209092023054736.pdf")</f>
        <v>https://dpmzos25m8ivg.cloudfront.net/Documentos/631/86260804172/6318626080417209092023054736.pdf</v>
      </c>
      <c r="F8219" s="5" t="str">
        <f>HYPERLINK("https://dpmzos25m8ivg.cloudfront.net/Documentos/631/86260804172/6318626080417209092023054848.pdf","https://dpmzos25m8ivg.cloudfront.net/Documentos/631/86260804172/6318626080417209092023054848.pdf")</f>
        <v>https://dpmzos25m8ivg.cloudfront.net/Documentos/631/86260804172/6318626080417209092023054848.pdf</v>
      </c>
      <c r="G8219" s="5" t="str">
        <f>HYPERLINK("https://dpmzos25m8ivg.cloudfront.net/Documentos/631/86260804172/6318626080417209092023054903.pdf","https://dpmzos25m8ivg.cloudfront.net/Documentos/631/86260804172/6318626080417209092023054903.pdf")</f>
        <v>https://dpmzos25m8ivg.cloudfront.net/Documentos/631/86260804172/6318626080417209092023054903.pdf</v>
      </c>
      <c r="H8219" s="5" t="s">
        <v>16785</v>
      </c>
    </row>
    <row r="8220" spans="1:8" x14ac:dyDescent="0.25">
      <c r="A8220" s="2" t="s">
        <v>8248</v>
      </c>
      <c r="B8220" s="3"/>
      <c r="C8220" s="3"/>
      <c r="D8220" s="3"/>
      <c r="E8220" s="5" t="str">
        <f>HYPERLINK("https://dpmzos25m8ivg.cloudfront.net/Documentos/631/86264058556/6318626405855608092023183811.pdf","https://dpmzos25m8ivg.cloudfront.net/Documentos/631/86264058556/6318626405855608092023183811.pdf")</f>
        <v>https://dpmzos25m8ivg.cloudfront.net/Documentos/631/86264058556/6318626405855608092023183811.pdf</v>
      </c>
      <c r="F8220" s="5" t="str">
        <f>HYPERLINK("https://dpmzos25m8ivg.cloudfront.net/Documentos/631/86264058556/6318626405855608092023183822.pdf","https://dpmzos25m8ivg.cloudfront.net/Documentos/631/86264058556/6318626405855608092023183822.pdf")</f>
        <v>https://dpmzos25m8ivg.cloudfront.net/Documentos/631/86264058556/6318626405855608092023183822.pdf</v>
      </c>
      <c r="G8220" s="5" t="str">
        <f>HYPERLINK("https://dpmzos25m8ivg.cloudfront.net/Documentos/631/86264058556/6318626405855608092023183833.pdf","https://dpmzos25m8ivg.cloudfront.net/Documentos/631/86264058556/6318626405855608092023183833.pdf")</f>
        <v>https://dpmzos25m8ivg.cloudfront.net/Documentos/631/86264058556/6318626405855608092023183833.pdf</v>
      </c>
      <c r="H8220" s="5" t="s">
        <v>16786</v>
      </c>
    </row>
    <row r="8221" spans="1:8" x14ac:dyDescent="0.25">
      <c r="A8221" s="2" t="s">
        <v>8249</v>
      </c>
      <c r="B8221" s="3"/>
      <c r="C8221" s="3"/>
      <c r="D8221" s="3"/>
      <c r="E8221" s="5" t="str">
        <f>HYPERLINK("https://dpmzos25m8ivg.cloudfront.net/Documentos/631/86275778547/6318627577854705092023162003.jpeg","https://dpmzos25m8ivg.cloudfront.net/Documentos/631/86275778547/6318627577854705092023162003.jpeg")</f>
        <v>https://dpmzos25m8ivg.cloudfront.net/Documentos/631/86275778547/6318627577854705092023162003.jpeg</v>
      </c>
      <c r="F8221" s="5" t="str">
        <f>HYPERLINK("https://dpmzos25m8ivg.cloudfront.net/Documentos/631/86275778547/6318627577854705092023162011.jpeg","https://dpmzos25m8ivg.cloudfront.net/Documentos/631/86275778547/6318627577854705092023162011.jpeg")</f>
        <v>https://dpmzos25m8ivg.cloudfront.net/Documentos/631/86275778547/6318627577854705092023162011.jpeg</v>
      </c>
      <c r="G8221" s="5" t="str">
        <f>HYPERLINK("https://dpmzos25m8ivg.cloudfront.net/Documentos/631/86275778547/6318627577854705092023162022.jpeg","https://dpmzos25m8ivg.cloudfront.net/Documentos/631/86275778547/6318627577854705092023162022.jpeg")</f>
        <v>https://dpmzos25m8ivg.cloudfront.net/Documentos/631/86275778547/6318627577854705092023162022.jpeg</v>
      </c>
      <c r="H8221" s="5" t="s">
        <v>16787</v>
      </c>
    </row>
    <row r="8222" spans="1:8" x14ac:dyDescent="0.25">
      <c r="A8222" s="2" t="s">
        <v>8250</v>
      </c>
      <c r="B8222" s="3" t="s">
        <v>90</v>
      </c>
      <c r="C8222" s="3"/>
      <c r="D8222" s="3"/>
      <c r="E8222" s="5" t="str">
        <f>HYPERLINK("https://dpmzos25m8ivg.cloudfront.net/Documentos/631/86280287220/6318628028722010092023234748.jpg","https://dpmzos25m8ivg.cloudfront.net/Documentos/631/86280287220/6318628028722010092023234748.jpg")</f>
        <v>https://dpmzos25m8ivg.cloudfront.net/Documentos/631/86280287220/6318628028722010092023234748.jpg</v>
      </c>
      <c r="F8222" s="5" t="str">
        <f>HYPERLINK("https://dpmzos25m8ivg.cloudfront.net/Documentos/631/86280287220/6318628028722010092023234808.jpg","https://dpmzos25m8ivg.cloudfront.net/Documentos/631/86280287220/6318628028722010092023234808.jpg")</f>
        <v>https://dpmzos25m8ivg.cloudfront.net/Documentos/631/86280287220/6318628028722010092023234808.jpg</v>
      </c>
      <c r="G8222" s="5" t="str">
        <f>HYPERLINK("https://dpmzos25m8ivg.cloudfront.net/Documentos/631/86280287220/6318628028722010092023234833.jpg","https://dpmzos25m8ivg.cloudfront.net/Documentos/631/86280287220/6318628028722010092023234833.jpg")</f>
        <v>https://dpmzos25m8ivg.cloudfront.net/Documentos/631/86280287220/6318628028722010092023234833.jpg</v>
      </c>
      <c r="H8222" s="5" t="s">
        <v>16788</v>
      </c>
    </row>
    <row r="8223" spans="1:8" x14ac:dyDescent="0.25">
      <c r="A8223" s="2" t="s">
        <v>8251</v>
      </c>
      <c r="B8223" s="3"/>
      <c r="C8223" s="3"/>
      <c r="D8223" s="3"/>
      <c r="E8223" s="5" t="str">
        <f>HYPERLINK("https://dpmzos25m8ivg.cloudfront.net/Documentos/631/86282212120/6318628221212011092023074907.pdf","https://dpmzos25m8ivg.cloudfront.net/Documentos/631/86282212120/6318628221212011092023074907.pdf")</f>
        <v>https://dpmzos25m8ivg.cloudfront.net/Documentos/631/86282212120/6318628221212011092023074907.pdf</v>
      </c>
      <c r="F8223" s="5" t="str">
        <f>HYPERLINK("https://dpmzos25m8ivg.cloudfront.net/Documentos/631/86282212120/6318628221212011092023074928.pdf","https://dpmzos25m8ivg.cloudfront.net/Documentos/631/86282212120/6318628221212011092023074928.pdf")</f>
        <v>https://dpmzos25m8ivg.cloudfront.net/Documentos/631/86282212120/6318628221212011092023074928.pdf</v>
      </c>
      <c r="G8223" s="5" t="str">
        <f>HYPERLINK("https://dpmzos25m8ivg.cloudfront.net/Documentos/631/86282212120/6318628221212011092023074949.pdf","https://dpmzos25m8ivg.cloudfront.net/Documentos/631/86282212120/6318628221212011092023074949.pdf")</f>
        <v>https://dpmzos25m8ivg.cloudfront.net/Documentos/631/86282212120/6318628221212011092023074949.pdf</v>
      </c>
      <c r="H8223" s="5" t="s">
        <v>16789</v>
      </c>
    </row>
    <row r="8224" spans="1:8" x14ac:dyDescent="0.25">
      <c r="A8224" s="2" t="s">
        <v>8252</v>
      </c>
      <c r="B8224" s="3" t="s">
        <v>90</v>
      </c>
      <c r="C8224" s="3"/>
      <c r="D8224" s="3"/>
      <c r="E8224" s="5" t="str">
        <f>HYPERLINK("https://dpmzos25m8ivg.cloudfront.net/Documentos/631/86308236586/6318630823658611092023142259.pdf","https://dpmzos25m8ivg.cloudfront.net/Documentos/631/86308236586/6318630823658611092023142259.pdf")</f>
        <v>https://dpmzos25m8ivg.cloudfront.net/Documentos/631/86308236586/6318630823658611092023142259.pdf</v>
      </c>
      <c r="F8224" s="5" t="str">
        <f>HYPERLINK("https://dpmzos25m8ivg.cloudfront.net/Documentos/631/86308236586/6318630823658611092023142310.pdf","https://dpmzos25m8ivg.cloudfront.net/Documentos/631/86308236586/6318630823658611092023142310.pdf")</f>
        <v>https://dpmzos25m8ivg.cloudfront.net/Documentos/631/86308236586/6318630823658611092023142310.pdf</v>
      </c>
      <c r="G8224" s="5" t="str">
        <f>HYPERLINK("https://dpmzos25m8ivg.cloudfront.net/Documentos/631/86308236586/6318630823658611092023142322.pdf","https://dpmzos25m8ivg.cloudfront.net/Documentos/631/86308236586/6318630823658611092023142322.pdf")</f>
        <v>https://dpmzos25m8ivg.cloudfront.net/Documentos/631/86308236586/6318630823658611092023142322.pdf</v>
      </c>
      <c r="H8224" s="5" t="s">
        <v>16790</v>
      </c>
    </row>
    <row r="8225" spans="1:8" x14ac:dyDescent="0.25">
      <c r="A8225" s="2" t="s">
        <v>8253</v>
      </c>
      <c r="B8225" s="3"/>
      <c r="C8225" s="3"/>
      <c r="D8225" s="3"/>
      <c r="E8225" s="5" t="str">
        <f>HYPERLINK("https://dpmzos25m8ivg.cloudfront.net/Documentos/631/86321835595/6318632183559511092023100738.pdf","https://dpmzos25m8ivg.cloudfront.net/Documentos/631/86321835595/6318632183559511092023100738.pdf")</f>
        <v>https://dpmzos25m8ivg.cloudfront.net/Documentos/631/86321835595/6318632183559511092023100738.pdf</v>
      </c>
      <c r="F8225" s="5" t="str">
        <f>HYPERLINK("https://dpmzos25m8ivg.cloudfront.net/Documentos/631/86321835595/6318632183559511092023100753.pdf","https://dpmzos25m8ivg.cloudfront.net/Documentos/631/86321835595/6318632183559511092023100753.pdf")</f>
        <v>https://dpmzos25m8ivg.cloudfront.net/Documentos/631/86321835595/6318632183559511092023100753.pdf</v>
      </c>
      <c r="G8225" s="5" t="str">
        <f>HYPERLINK("https://dpmzos25m8ivg.cloudfront.net/Documentos/631/86321835595/6318632183559511092023100837.pdf","https://dpmzos25m8ivg.cloudfront.net/Documentos/631/86321835595/6318632183559511092023100837.pdf")</f>
        <v>https://dpmzos25m8ivg.cloudfront.net/Documentos/631/86321835595/6318632183559511092023100837.pdf</v>
      </c>
      <c r="H8225" s="5" t="s">
        <v>16791</v>
      </c>
    </row>
    <row r="8226" spans="1:8" x14ac:dyDescent="0.25">
      <c r="A8226" s="2" t="s">
        <v>8254</v>
      </c>
      <c r="B8226" s="3"/>
      <c r="C8226" s="3"/>
      <c r="D8226" s="3"/>
      <c r="E8226" s="5" t="str">
        <f>HYPERLINK("https://dpmzos25m8ivg.cloudfront.net/Documentos/631/86327593291/6318632759329114092023093714.pdf","https://dpmzos25m8ivg.cloudfront.net/Documentos/631/86327593291/6318632759329114092023093714.pdf")</f>
        <v>https://dpmzos25m8ivg.cloudfront.net/Documentos/631/86327593291/6318632759329114092023093714.pdf</v>
      </c>
      <c r="F8226" s="5" t="str">
        <f>HYPERLINK("https://dpmzos25m8ivg.cloudfront.net/Documentos/631/86327593291/6318632759329114092023093747.pdf","https://dpmzos25m8ivg.cloudfront.net/Documentos/631/86327593291/6318632759329114092023093747.pdf")</f>
        <v>https://dpmzos25m8ivg.cloudfront.net/Documentos/631/86327593291/6318632759329114092023093747.pdf</v>
      </c>
      <c r="G8226" s="5" t="str">
        <f>HYPERLINK("https://dpmzos25m8ivg.cloudfront.net/Documentos/631/86327593291/6318632759329114092023093801.pdf","https://dpmzos25m8ivg.cloudfront.net/Documentos/631/86327593291/6318632759329114092023093801.pdf")</f>
        <v>https://dpmzos25m8ivg.cloudfront.net/Documentos/631/86327593291/6318632759329114092023093801.pdf</v>
      </c>
      <c r="H8226" s="5" t="s">
        <v>16792</v>
      </c>
    </row>
    <row r="8227" spans="1:8" x14ac:dyDescent="0.25">
      <c r="A8227" s="2" t="s">
        <v>8255</v>
      </c>
      <c r="B8227" s="3"/>
      <c r="C8227" s="3"/>
      <c r="D8227" s="3"/>
      <c r="E8227" s="5" t="str">
        <f>HYPERLINK("https://dpmzos25m8ivg.cloudfront.net/Documentos/631/86336314588/6318633631458806092023123211.pdf","https://dpmzos25m8ivg.cloudfront.net/Documentos/631/86336314588/6318633631458806092023123211.pdf")</f>
        <v>https://dpmzos25m8ivg.cloudfront.net/Documentos/631/86336314588/6318633631458806092023123211.pdf</v>
      </c>
      <c r="F8227" s="5" t="str">
        <f>HYPERLINK("https://dpmzos25m8ivg.cloudfront.net/Documentos/631/86336314588/6318633631458806092023123222.pdf","https://dpmzos25m8ivg.cloudfront.net/Documentos/631/86336314588/6318633631458806092023123222.pdf")</f>
        <v>https://dpmzos25m8ivg.cloudfront.net/Documentos/631/86336314588/6318633631458806092023123222.pdf</v>
      </c>
      <c r="G8227" s="5" t="str">
        <f>HYPERLINK("https://dpmzos25m8ivg.cloudfront.net/Documentos/631/86336314588/6318633631458806092023123233.pdf","https://dpmzos25m8ivg.cloudfront.net/Documentos/631/86336314588/6318633631458806092023123233.pdf")</f>
        <v>https://dpmzos25m8ivg.cloudfront.net/Documentos/631/86336314588/6318633631458806092023123233.pdf</v>
      </c>
      <c r="H8227" s="5" t="s">
        <v>16793</v>
      </c>
    </row>
    <row r="8228" spans="1:8" x14ac:dyDescent="0.25">
      <c r="A8228" s="2" t="s">
        <v>8256</v>
      </c>
      <c r="B8228" s="3"/>
      <c r="C8228" s="3"/>
      <c r="D8228" s="3"/>
      <c r="E8228" s="5" t="str">
        <f>HYPERLINK("https://dpmzos25m8ivg.cloudfront.net/Documentos/631/86388610528/6318638861052811092023134107.pdf","https://dpmzos25m8ivg.cloudfront.net/Documentos/631/86388610528/6318638861052811092023134107.pdf")</f>
        <v>https://dpmzos25m8ivg.cloudfront.net/Documentos/631/86388610528/6318638861052811092023134107.pdf</v>
      </c>
      <c r="F8228" s="5" t="str">
        <f>HYPERLINK("https://dpmzos25m8ivg.cloudfront.net/Documentos/631/86388610528/6318638861052811092023134116.pdf","https://dpmzos25m8ivg.cloudfront.net/Documentos/631/86388610528/6318638861052811092023134116.pdf")</f>
        <v>https://dpmzos25m8ivg.cloudfront.net/Documentos/631/86388610528/6318638861052811092023134116.pdf</v>
      </c>
      <c r="G8228" s="5" t="str">
        <f>HYPERLINK("https://dpmzos25m8ivg.cloudfront.net/Documentos/631/86388610528/6318638861052811092023134125.pdf","https://dpmzos25m8ivg.cloudfront.net/Documentos/631/86388610528/6318638861052811092023134125.pdf")</f>
        <v>https://dpmzos25m8ivg.cloudfront.net/Documentos/631/86388610528/6318638861052811092023134125.pdf</v>
      </c>
      <c r="H8228" s="5" t="s">
        <v>16794</v>
      </c>
    </row>
    <row r="8229" spans="1:8" x14ac:dyDescent="0.25">
      <c r="A8229" s="2" t="s">
        <v>8257</v>
      </c>
      <c r="B8229" s="3"/>
      <c r="C8229" s="3"/>
      <c r="D8229" s="3"/>
      <c r="E8229" s="5" t="str">
        <f>HYPERLINK("https://dpmzos25m8ivg.cloudfront.net/Documentos/631/86409433034/6318640943303405092023103924.pdf","https://dpmzos25m8ivg.cloudfront.net/Documentos/631/86409433034/6318640943303405092023103924.pdf")</f>
        <v>https://dpmzos25m8ivg.cloudfront.net/Documentos/631/86409433034/6318640943303405092023103924.pdf</v>
      </c>
      <c r="F8229" s="5" t="str">
        <f>HYPERLINK("https://dpmzos25m8ivg.cloudfront.net/Documentos/631/86409433034/6318640943303405092023103946.pdf","https://dpmzos25m8ivg.cloudfront.net/Documentos/631/86409433034/6318640943303405092023103946.pdf")</f>
        <v>https://dpmzos25m8ivg.cloudfront.net/Documentos/631/86409433034/6318640943303405092023103946.pdf</v>
      </c>
      <c r="G8229" s="5" t="str">
        <f>HYPERLINK("https://dpmzos25m8ivg.cloudfront.net/Documentos/631/86409433034/6318640943303405092023104223.pdf","https://dpmzos25m8ivg.cloudfront.net/Documentos/631/86409433034/6318640943303405092023104223.pdf")</f>
        <v>https://dpmzos25m8ivg.cloudfront.net/Documentos/631/86409433034/6318640943303405092023104223.pdf</v>
      </c>
      <c r="H8229" s="5" t="s">
        <v>16795</v>
      </c>
    </row>
    <row r="8230" spans="1:8" x14ac:dyDescent="0.25">
      <c r="A8230" s="2" t="s">
        <v>8258</v>
      </c>
      <c r="B8230" s="3" t="s">
        <v>308</v>
      </c>
      <c r="C8230" s="3"/>
      <c r="D8230" s="3"/>
      <c r="E8230" s="5" t="str">
        <f>HYPERLINK("https://dpmzos25m8ivg.cloudfront.net/Documentos/631/86419790000/6318641979000011092023170049.pdf","https://dpmzos25m8ivg.cloudfront.net/Documentos/631/86419790000/6318641979000011092023170049.pdf")</f>
        <v>https://dpmzos25m8ivg.cloudfront.net/Documentos/631/86419790000/6318641979000011092023170049.pdf</v>
      </c>
      <c r="F8230" s="5" t="str">
        <f>HYPERLINK("https://dpmzos25m8ivg.cloudfront.net/Documentos/631/86419790000/6318641979000011092023170101.pdf","https://dpmzos25m8ivg.cloudfront.net/Documentos/631/86419790000/6318641979000011092023170101.pdf")</f>
        <v>https://dpmzos25m8ivg.cloudfront.net/Documentos/631/86419790000/6318641979000011092023170101.pdf</v>
      </c>
      <c r="G8230" s="5" t="str">
        <f>HYPERLINK("https://dpmzos25m8ivg.cloudfront.net/Documentos/631/86419790000/6318641979000011092023170112.pdf","https://dpmzos25m8ivg.cloudfront.net/Documentos/631/86419790000/6318641979000011092023170112.pdf")</f>
        <v>https://dpmzos25m8ivg.cloudfront.net/Documentos/631/86419790000/6318641979000011092023170112.pdf</v>
      </c>
      <c r="H8230" s="5" t="s">
        <v>16796</v>
      </c>
    </row>
    <row r="8231" spans="1:8" x14ac:dyDescent="0.25">
      <c r="A8231" s="2" t="s">
        <v>8259</v>
      </c>
      <c r="B8231" s="3"/>
      <c r="C8231" s="3"/>
      <c r="D8231" s="3"/>
      <c r="E8231" s="5" t="str">
        <f>HYPERLINK("https://dpmzos25m8ivg.cloudfront.net/Documentos/631/86421730507/6318642173050708092023213133.pdf","https://dpmzos25m8ivg.cloudfront.net/Documentos/631/86421730507/6318642173050708092023213133.pdf")</f>
        <v>https://dpmzos25m8ivg.cloudfront.net/Documentos/631/86421730507/6318642173050708092023213133.pdf</v>
      </c>
      <c r="F8231" s="5" t="str">
        <f>HYPERLINK("https://dpmzos25m8ivg.cloudfront.net/Documentos/631/86421730507/6318642173050708092023213146.pdf","https://dpmzos25m8ivg.cloudfront.net/Documentos/631/86421730507/6318642173050708092023213146.pdf")</f>
        <v>https://dpmzos25m8ivg.cloudfront.net/Documentos/631/86421730507/6318642173050708092023213146.pdf</v>
      </c>
      <c r="G8231" s="5" t="str">
        <f>HYPERLINK("https://dpmzos25m8ivg.cloudfront.net/Documentos/631/86421730507/6318642173050708092023213200.pdf","https://dpmzos25m8ivg.cloudfront.net/Documentos/631/86421730507/6318642173050708092023213200.pdf")</f>
        <v>https://dpmzos25m8ivg.cloudfront.net/Documentos/631/86421730507/6318642173050708092023213200.pdf</v>
      </c>
      <c r="H8231" s="5" t="s">
        <v>16797</v>
      </c>
    </row>
    <row r="8232" spans="1:8" x14ac:dyDescent="0.25">
      <c r="A8232" s="2" t="s">
        <v>8260</v>
      </c>
      <c r="B8232" s="3" t="s">
        <v>23</v>
      </c>
      <c r="C8232" s="3"/>
      <c r="D8232" s="3"/>
      <c r="E8232" s="5" t="str">
        <f>HYPERLINK("https://dpmzos25m8ivg.cloudfront.net/Documentos/631/86459124574/6318645912457411092023130530.jpeg","https://dpmzos25m8ivg.cloudfront.net/Documentos/631/86459124574/6318645912457411092023130530.jpeg")</f>
        <v>https://dpmzos25m8ivg.cloudfront.net/Documentos/631/86459124574/6318645912457411092023130530.jpeg</v>
      </c>
      <c r="F8232" s="5" t="str">
        <f>HYPERLINK("https://dpmzos25m8ivg.cloudfront.net/Documentos/631/86459124574/6318645912457411092023130759.jpeg","https://dpmzos25m8ivg.cloudfront.net/Documentos/631/86459124574/6318645912457411092023130759.jpeg")</f>
        <v>https://dpmzos25m8ivg.cloudfront.net/Documentos/631/86459124574/6318645912457411092023130759.jpeg</v>
      </c>
      <c r="G8232" s="5" t="str">
        <f>HYPERLINK("https://dpmzos25m8ivg.cloudfront.net/Documentos/631/86459124574/6318645912457411092023130809.jpeg","https://dpmzos25m8ivg.cloudfront.net/Documentos/631/86459124574/6318645912457411092023130809.jpeg")</f>
        <v>https://dpmzos25m8ivg.cloudfront.net/Documentos/631/86459124574/6318645912457411092023130809.jpeg</v>
      </c>
      <c r="H8232" s="5" t="s">
        <v>16798</v>
      </c>
    </row>
    <row r="8233" spans="1:8" x14ac:dyDescent="0.25">
      <c r="A8233" s="2" t="s">
        <v>8261</v>
      </c>
      <c r="B8233" s="3"/>
      <c r="C8233" s="3"/>
      <c r="D8233" s="3"/>
      <c r="E8233" s="5" t="str">
        <f>HYPERLINK("https://dpmzos25m8ivg.cloudfront.net/Documentos/631/86468206537/6318646820653710092023135337.pdf","https://dpmzos25m8ivg.cloudfront.net/Documentos/631/86468206537/6318646820653710092023135337.pdf")</f>
        <v>https://dpmzos25m8ivg.cloudfront.net/Documentos/631/86468206537/6318646820653710092023135337.pdf</v>
      </c>
      <c r="F8233" s="5" t="str">
        <f>HYPERLINK("https://dpmzos25m8ivg.cloudfront.net/Documentos/631/86468206537/6318646820653710092023135355.pdf","https://dpmzos25m8ivg.cloudfront.net/Documentos/631/86468206537/6318646820653710092023135355.pdf")</f>
        <v>https://dpmzos25m8ivg.cloudfront.net/Documentos/631/86468206537/6318646820653710092023135355.pdf</v>
      </c>
      <c r="G8233" s="5" t="str">
        <f>HYPERLINK("https://dpmzos25m8ivg.cloudfront.net/Documentos/631/86468206537/6318646820653710092023135424.pdf","https://dpmzos25m8ivg.cloudfront.net/Documentos/631/86468206537/6318646820653710092023135424.pdf")</f>
        <v>https://dpmzos25m8ivg.cloudfront.net/Documentos/631/86468206537/6318646820653710092023135424.pdf</v>
      </c>
      <c r="H8233" s="5" t="s">
        <v>16799</v>
      </c>
    </row>
    <row r="8234" spans="1:8" x14ac:dyDescent="0.25">
      <c r="A8234" s="2" t="s">
        <v>8262</v>
      </c>
      <c r="B8234" s="3"/>
      <c r="C8234" s="3"/>
      <c r="D8234" s="3"/>
      <c r="E8234" s="5" t="str">
        <f>HYPERLINK("https://dpmzos25m8ivg.cloudfront.net/Documentos/631/86487450472/6318648745047206092023122732.pdf","https://dpmzos25m8ivg.cloudfront.net/Documentos/631/86487450472/6318648745047206092023122732.pdf")</f>
        <v>https://dpmzos25m8ivg.cloudfront.net/Documentos/631/86487450472/6318648745047206092023122732.pdf</v>
      </c>
      <c r="F8234" s="5" t="str">
        <f>HYPERLINK("https://dpmzos25m8ivg.cloudfront.net/Documentos/631/86487450472/6318648745047206092023122746.pdf","https://dpmzos25m8ivg.cloudfront.net/Documentos/631/86487450472/6318648745047206092023122746.pdf")</f>
        <v>https://dpmzos25m8ivg.cloudfront.net/Documentos/631/86487450472/6318648745047206092023122746.pdf</v>
      </c>
      <c r="G8234" s="5" t="str">
        <f>HYPERLINK("https://dpmzos25m8ivg.cloudfront.net/Documentos/631/86487450472/6318648745047206092023122759.pdf","https://dpmzos25m8ivg.cloudfront.net/Documentos/631/86487450472/6318648745047206092023122759.pdf")</f>
        <v>https://dpmzos25m8ivg.cloudfront.net/Documentos/631/86487450472/6318648745047206092023122759.pdf</v>
      </c>
      <c r="H8234" s="5" t="s">
        <v>16800</v>
      </c>
    </row>
    <row r="8235" spans="1:8" x14ac:dyDescent="0.25">
      <c r="A8235" s="2" t="s">
        <v>6875</v>
      </c>
      <c r="B8235" s="3" t="s">
        <v>308</v>
      </c>
      <c r="C8235" s="3"/>
      <c r="D8235" s="3"/>
      <c r="E8235" s="5" t="str">
        <f>HYPERLINK("https://dpmzos25m8ivg.cloudfront.net/Documentos/631/86492616472/6318649261647211092023130910.jpg","https://dpmzos25m8ivg.cloudfront.net/Documentos/631/86492616472/6318649261647211092023130910.jpg")</f>
        <v>https://dpmzos25m8ivg.cloudfront.net/Documentos/631/86492616472/6318649261647211092023130910.jpg</v>
      </c>
      <c r="F8235" s="5" t="str">
        <f>HYPERLINK("https://dpmzos25m8ivg.cloudfront.net/Documentos/631/86492616472/6318649261647211092023131109.jpg","https://dpmzos25m8ivg.cloudfront.net/Documentos/631/86492616472/6318649261647211092023131109.jpg")</f>
        <v>https://dpmzos25m8ivg.cloudfront.net/Documentos/631/86492616472/6318649261647211092023131109.jpg</v>
      </c>
      <c r="G8235" s="5" t="str">
        <f>HYPERLINK("https://dpmzos25m8ivg.cloudfront.net/Documentos/631/86492616472/6318649261647211092023132632.jpg","https://dpmzos25m8ivg.cloudfront.net/Documentos/631/86492616472/6318649261647211092023132632.jpg")</f>
        <v>https://dpmzos25m8ivg.cloudfront.net/Documentos/631/86492616472/6318649261647211092023132632.jpg</v>
      </c>
      <c r="H8235" s="5" t="s">
        <v>16801</v>
      </c>
    </row>
    <row r="8236" spans="1:8" x14ac:dyDescent="0.25">
      <c r="A8236" s="2" t="s">
        <v>8263</v>
      </c>
      <c r="B8236" s="3"/>
      <c r="C8236" s="3"/>
      <c r="D8236" s="3"/>
      <c r="E8236" s="5" t="str">
        <f>HYPERLINK("https://dpmzos25m8ivg.cloudfront.net/Documentos/631/86502414508/6318650241450810092023161639.jpeg","https://dpmzos25m8ivg.cloudfront.net/Documentos/631/86502414508/6318650241450810092023161639.jpeg")</f>
        <v>https://dpmzos25m8ivg.cloudfront.net/Documentos/631/86502414508/6318650241450810092023161639.jpeg</v>
      </c>
      <c r="F8236" s="5" t="str">
        <f>HYPERLINK("https://dpmzos25m8ivg.cloudfront.net/Documentos/631/86502414508/6318650241450810092023161647.jpeg","https://dpmzos25m8ivg.cloudfront.net/Documentos/631/86502414508/6318650241450810092023161647.jpeg")</f>
        <v>https://dpmzos25m8ivg.cloudfront.net/Documentos/631/86502414508/6318650241450810092023161647.jpeg</v>
      </c>
      <c r="G8236" s="5" t="str">
        <f>HYPERLINK("https://dpmzos25m8ivg.cloudfront.net/Documentos/631/86502414508/6318650241450810092023161654.jpeg","https://dpmzos25m8ivg.cloudfront.net/Documentos/631/86502414508/6318650241450810092023161654.jpeg")</f>
        <v>https://dpmzos25m8ivg.cloudfront.net/Documentos/631/86502414508/6318650241450810092023161654.jpeg</v>
      </c>
      <c r="H8236" s="5" t="s">
        <v>16802</v>
      </c>
    </row>
    <row r="8237" spans="1:8" x14ac:dyDescent="0.25">
      <c r="A8237" s="2" t="s">
        <v>8264</v>
      </c>
      <c r="B8237" s="3"/>
      <c r="C8237" s="3"/>
      <c r="D8237" s="3"/>
      <c r="E8237" s="5" t="str">
        <f>HYPERLINK("https://dpmzos25m8ivg.cloudfront.net/Documentos/631/86516477434/6318651647743406092023070711.jpg","https://dpmzos25m8ivg.cloudfront.net/Documentos/631/86516477434/6318651647743406092023070711.jpg")</f>
        <v>https://dpmzos25m8ivg.cloudfront.net/Documentos/631/86516477434/6318651647743406092023070711.jpg</v>
      </c>
      <c r="F8237" s="5" t="str">
        <f>HYPERLINK("https://dpmzos25m8ivg.cloudfront.net/Documentos/631/86516477434/6318651647743406092023070731.jpg","https://dpmzos25m8ivg.cloudfront.net/Documentos/631/86516477434/6318651647743406092023070731.jpg")</f>
        <v>https://dpmzos25m8ivg.cloudfront.net/Documentos/631/86516477434/6318651647743406092023070731.jpg</v>
      </c>
      <c r="G8237" s="5" t="str">
        <f>HYPERLINK("https://dpmzos25m8ivg.cloudfront.net/Documentos/631/86516477434/6318651647743406092023070815.jpg","https://dpmzos25m8ivg.cloudfront.net/Documentos/631/86516477434/6318651647743406092023070815.jpg")</f>
        <v>https://dpmzos25m8ivg.cloudfront.net/Documentos/631/86516477434/6318651647743406092023070815.jpg</v>
      </c>
      <c r="H8237" s="5" t="s">
        <v>16803</v>
      </c>
    </row>
    <row r="8238" spans="1:8" x14ac:dyDescent="0.25">
      <c r="A8238" s="2" t="s">
        <v>8265</v>
      </c>
      <c r="B8238" s="3" t="s">
        <v>308</v>
      </c>
      <c r="C8238" s="3"/>
      <c r="D8238" s="3"/>
      <c r="E8238" s="5" t="str">
        <f>HYPERLINK("https://dpmzos25m8ivg.cloudfront.net/Documentos/631/86535455734/6318653545573411092023132857.jpeg","https://dpmzos25m8ivg.cloudfront.net/Documentos/631/86535455734/6318653545573411092023132857.jpeg")</f>
        <v>https://dpmzos25m8ivg.cloudfront.net/Documentos/631/86535455734/6318653545573411092023132857.jpeg</v>
      </c>
      <c r="F8238" s="5" t="str">
        <f>HYPERLINK("https://dpmzos25m8ivg.cloudfront.net/Documentos/631/86535455734/6318653545573411092023133622.jpeg","https://dpmzos25m8ivg.cloudfront.net/Documentos/631/86535455734/6318653545573411092023133622.jpeg")</f>
        <v>https://dpmzos25m8ivg.cloudfront.net/Documentos/631/86535455734/6318653545573411092023133622.jpeg</v>
      </c>
      <c r="G8238" s="5" t="str">
        <f>HYPERLINK("https://dpmzos25m8ivg.cloudfront.net/Documentos/631/86535455734/6318653545573411092023133709.jpeg","https://dpmzos25m8ivg.cloudfront.net/Documentos/631/86535455734/6318653545573411092023133709.jpeg")</f>
        <v>https://dpmzos25m8ivg.cloudfront.net/Documentos/631/86535455734/6318653545573411092023133709.jpeg</v>
      </c>
      <c r="H8238" s="5" t="s">
        <v>16804</v>
      </c>
    </row>
    <row r="8239" spans="1:8" x14ac:dyDescent="0.25">
      <c r="A8239" s="2" t="s">
        <v>8266</v>
      </c>
      <c r="B8239" s="3"/>
      <c r="C8239" s="3"/>
      <c r="D8239" s="3"/>
      <c r="E8239" s="5" t="str">
        <f>HYPERLINK("https://dpmzos25m8ivg.cloudfront.net/Documentos/631/86542312544/6318654231254411092023151424.pdf","https://dpmzos25m8ivg.cloudfront.net/Documentos/631/86542312544/6318654231254411092023151424.pdf")</f>
        <v>https://dpmzos25m8ivg.cloudfront.net/Documentos/631/86542312544/6318654231254411092023151424.pdf</v>
      </c>
      <c r="F8239" s="5" t="str">
        <f>HYPERLINK("https://dpmzos25m8ivg.cloudfront.net/Documentos/631/86542312544/6318654231254411092023151545.pdf","https://dpmzos25m8ivg.cloudfront.net/Documentos/631/86542312544/6318654231254411092023151545.pdf")</f>
        <v>https://dpmzos25m8ivg.cloudfront.net/Documentos/631/86542312544/6318654231254411092023151545.pdf</v>
      </c>
      <c r="G8239" s="5" t="str">
        <f>HYPERLINK("https://dpmzos25m8ivg.cloudfront.net/Documentos/631/86542312544/6318654231254411092023151700.pdf","https://dpmzos25m8ivg.cloudfront.net/Documentos/631/86542312544/6318654231254411092023151700.pdf")</f>
        <v>https://dpmzos25m8ivg.cloudfront.net/Documentos/631/86542312544/6318654231254411092023151700.pdf</v>
      </c>
      <c r="H8239" s="5" t="s">
        <v>16805</v>
      </c>
    </row>
    <row r="8240" spans="1:8" x14ac:dyDescent="0.25">
      <c r="A8240" s="2" t="s">
        <v>8267</v>
      </c>
      <c r="B8240" s="3"/>
      <c r="C8240" s="3"/>
      <c r="D8240" s="3"/>
      <c r="E8240" s="5" t="str">
        <f>HYPERLINK("https://dpmzos25m8ivg.cloudfront.net/Documentos/631/86557904515/6318655790451513092023161427.pdf","https://dpmzos25m8ivg.cloudfront.net/Documentos/631/86557904515/6318655790451513092023161427.pdf")</f>
        <v>https://dpmzos25m8ivg.cloudfront.net/Documentos/631/86557904515/6318655790451513092023161427.pdf</v>
      </c>
      <c r="F8240" s="5" t="str">
        <f>HYPERLINK("https://dpmzos25m8ivg.cloudfront.net/Documentos/631/86557904515/6318655790451513092023161553.pdf","https://dpmzos25m8ivg.cloudfront.net/Documentos/631/86557904515/6318655790451513092023161553.pdf")</f>
        <v>https://dpmzos25m8ivg.cloudfront.net/Documentos/631/86557904515/6318655790451513092023161553.pdf</v>
      </c>
      <c r="G8240" s="5" t="str">
        <f>HYPERLINK("https://dpmzos25m8ivg.cloudfront.net/Documentos/631/86557904515/6318655790451513092023161617.pdf","https://dpmzos25m8ivg.cloudfront.net/Documentos/631/86557904515/6318655790451513092023161617.pdf")</f>
        <v>https://dpmzos25m8ivg.cloudfront.net/Documentos/631/86557904515/6318655790451513092023161617.pdf</v>
      </c>
      <c r="H8240" s="5" t="s">
        <v>16806</v>
      </c>
    </row>
    <row r="8241" spans="1:8" x14ac:dyDescent="0.25">
      <c r="A8241" s="2" t="s">
        <v>8268</v>
      </c>
      <c r="B8241" s="3" t="s">
        <v>312</v>
      </c>
      <c r="C8241" s="3"/>
      <c r="D8241" s="3"/>
      <c r="E8241" s="5" t="str">
        <f>HYPERLINK("https://dpmzos25m8ivg.cloudfront.net/Documentos/631/86632884334/6318663288433406092023075912.jpeg","https://dpmzos25m8ivg.cloudfront.net/Documentos/631/86632884334/6318663288433406092023075912.jpeg")</f>
        <v>https://dpmzos25m8ivg.cloudfront.net/Documentos/631/86632884334/6318663288433406092023075912.jpeg</v>
      </c>
      <c r="F8241" s="5" t="str">
        <f>HYPERLINK("https://dpmzos25m8ivg.cloudfront.net/Documentos/631/86632884334/6318663288433406092023075936.jpeg","https://dpmzos25m8ivg.cloudfront.net/Documentos/631/86632884334/6318663288433406092023075936.jpeg")</f>
        <v>https://dpmzos25m8ivg.cloudfront.net/Documentos/631/86632884334/6318663288433406092023075936.jpeg</v>
      </c>
      <c r="G8241" s="5" t="str">
        <f>HYPERLINK("https://dpmzos25m8ivg.cloudfront.net/Documentos/631/86632884334/6318663288433406092023075955.jpeg","https://dpmzos25m8ivg.cloudfront.net/Documentos/631/86632884334/6318663288433406092023075955.jpeg")</f>
        <v>https://dpmzos25m8ivg.cloudfront.net/Documentos/631/86632884334/6318663288433406092023075955.jpeg</v>
      </c>
      <c r="H8241" s="5" t="s">
        <v>16807</v>
      </c>
    </row>
    <row r="8242" spans="1:8" x14ac:dyDescent="0.25">
      <c r="A8242" s="2" t="s">
        <v>8269</v>
      </c>
      <c r="B8242" s="3" t="s">
        <v>308</v>
      </c>
      <c r="C8242" s="3"/>
      <c r="D8242" s="3"/>
      <c r="E8242" s="5" t="str">
        <f>HYPERLINK("https://dpmzos25m8ivg.cloudfront.net/Documentos/631/86640828553/6318664082855313092023204443.jpg","https://dpmzos25m8ivg.cloudfront.net/Documentos/631/86640828553/6318664082855313092023204443.jpg")</f>
        <v>https://dpmzos25m8ivg.cloudfront.net/Documentos/631/86640828553/6318664082855313092023204443.jpg</v>
      </c>
      <c r="F8242" s="5" t="str">
        <f>HYPERLINK("https://dpmzos25m8ivg.cloudfront.net/Documentos/631/86640828553/6318664082855313092023204501.jpg","https://dpmzos25m8ivg.cloudfront.net/Documentos/631/86640828553/6318664082855313092023204501.jpg")</f>
        <v>https://dpmzos25m8ivg.cloudfront.net/Documentos/631/86640828553/6318664082855313092023204501.jpg</v>
      </c>
      <c r="G8242" s="5" t="str">
        <f>HYPERLINK("https://dpmzos25m8ivg.cloudfront.net/Documentos/631/86640828553/6318664082855313092023204520.jpg","https://dpmzos25m8ivg.cloudfront.net/Documentos/631/86640828553/6318664082855313092023204520.jpg")</f>
        <v>https://dpmzos25m8ivg.cloudfront.net/Documentos/631/86640828553/6318664082855313092023204520.jpg</v>
      </c>
      <c r="H8242" s="5" t="s">
        <v>16808</v>
      </c>
    </row>
    <row r="8243" spans="1:8" x14ac:dyDescent="0.25">
      <c r="A8243" s="2" t="s">
        <v>8270</v>
      </c>
      <c r="B8243" s="3"/>
      <c r="C8243" s="3"/>
      <c r="D8243" s="3"/>
      <c r="E8243" s="5" t="str">
        <f>HYPERLINK("https://dpmzos25m8ivg.cloudfront.net/Documentos/631/86660047468/6318666004746807092023222031.jpeg","https://dpmzos25m8ivg.cloudfront.net/Documentos/631/86660047468/6318666004746807092023222031.jpeg")</f>
        <v>https://dpmzos25m8ivg.cloudfront.net/Documentos/631/86660047468/6318666004746807092023222031.jpeg</v>
      </c>
      <c r="F8243" s="5" t="str">
        <f>HYPERLINK("https://dpmzos25m8ivg.cloudfront.net/Documentos/631/86660047468/6318666004746807092023222036.jpeg","https://dpmzos25m8ivg.cloudfront.net/Documentos/631/86660047468/6318666004746807092023222036.jpeg")</f>
        <v>https://dpmzos25m8ivg.cloudfront.net/Documentos/631/86660047468/6318666004746807092023222036.jpeg</v>
      </c>
      <c r="G8243" s="5" t="str">
        <f>HYPERLINK("https://dpmzos25m8ivg.cloudfront.net/Documentos/631/86660047468/6318666004746807092023222041.jpeg","https://dpmzos25m8ivg.cloudfront.net/Documentos/631/86660047468/6318666004746807092023222041.jpeg")</f>
        <v>https://dpmzos25m8ivg.cloudfront.net/Documentos/631/86660047468/6318666004746807092023222041.jpeg</v>
      </c>
      <c r="H8243" s="5" t="s">
        <v>16809</v>
      </c>
    </row>
    <row r="8244" spans="1:8" x14ac:dyDescent="0.25">
      <c r="A8244" s="14" t="s">
        <v>8271</v>
      </c>
      <c r="B8244" s="15"/>
      <c r="C8244" s="3"/>
      <c r="D8244" s="3"/>
      <c r="E8244" s="8" t="str">
        <f>HYPERLINK("https://dpmzos25m8ivg.cloudfront.net/Documentos/631/86841190025/6318684119002511092023151126.pdf","https://dpmzos25m8ivg.cloudfront.net/Documentos/631/86841190025/6318684119002511092023151126.pdf")</f>
        <v>https://dpmzos25m8ivg.cloudfront.net/Documentos/631/86841190025/6318684119002511092023151126.pdf</v>
      </c>
      <c r="F8244" s="8" t="str">
        <f>HYPERLINK("https://dpmzos25m8ivg.cloudfront.net/Documentos/631/86841190025/6318684119002511092023151138.pdf","https://dpmzos25m8ivg.cloudfront.net/Documentos/631/86841190025/6318684119002511092023151138.pdf")</f>
        <v>https://dpmzos25m8ivg.cloudfront.net/Documentos/631/86841190025/6318684119002511092023151138.pdf</v>
      </c>
      <c r="G8244" s="8" t="str">
        <f>HYPERLINK("https://dpmzos25m8ivg.cloudfront.net/Documentos/631/86841190025/6318684119002511092023151202.pdf","https://dpmzos25m8ivg.cloudfront.net/Documentos/631/86841190025/6318684119002511092023151202.pdf")</f>
        <v>https://dpmzos25m8ivg.cloudfront.net/Documentos/631/86841190025/6318684119002511092023151202.pdf</v>
      </c>
      <c r="H8244" s="9" t="s">
        <v>16810</v>
      </c>
    </row>
    <row r="8245" spans="1:8" x14ac:dyDescent="0.25">
      <c r="A8245" s="2" t="s">
        <v>8272</v>
      </c>
      <c r="B8245" s="3"/>
      <c r="C8245" s="3"/>
      <c r="D8245" s="3"/>
      <c r="E8245" s="5" t="str">
        <f>HYPERLINK("https://dpmzos25m8ivg.cloudfront.net/Documentos/631/86848712272/6318684871227205092023215438.pdf","https://dpmzos25m8ivg.cloudfront.net/Documentos/631/86848712272/6318684871227205092023215438.pdf")</f>
        <v>https://dpmzos25m8ivg.cloudfront.net/Documentos/631/86848712272/6318684871227205092023215438.pdf</v>
      </c>
      <c r="F8245" s="5" t="str">
        <f>HYPERLINK("https://dpmzos25m8ivg.cloudfront.net/Documentos/631/86848712272/6318684871227205092023215452.pdf","https://dpmzos25m8ivg.cloudfront.net/Documentos/631/86848712272/6318684871227205092023215452.pdf")</f>
        <v>https://dpmzos25m8ivg.cloudfront.net/Documentos/631/86848712272/6318684871227205092023215452.pdf</v>
      </c>
      <c r="G8245" s="5" t="str">
        <f>HYPERLINK("https://dpmzos25m8ivg.cloudfront.net/Documentos/631/86848712272/6318684871227205092023215506.pdf","https://dpmzos25m8ivg.cloudfront.net/Documentos/631/86848712272/6318684871227205092023215506.pdf")</f>
        <v>https://dpmzos25m8ivg.cloudfront.net/Documentos/631/86848712272/6318684871227205092023215506.pdf</v>
      </c>
      <c r="H8245" s="5" t="s">
        <v>16811</v>
      </c>
    </row>
    <row r="8246" spans="1:8" x14ac:dyDescent="0.25">
      <c r="A8246" s="2" t="s">
        <v>8273</v>
      </c>
      <c r="B8246" s="3"/>
      <c r="C8246" s="3"/>
      <c r="D8246" s="3"/>
      <c r="E8246" s="5" t="str">
        <f>HYPERLINK("https://dpmzos25m8ivg.cloudfront.net/Documentos/631/86896652268/6318689665226805092023112727.pdf","https://dpmzos25m8ivg.cloudfront.net/Documentos/631/86896652268/6318689665226805092023112727.pdf")</f>
        <v>https://dpmzos25m8ivg.cloudfront.net/Documentos/631/86896652268/6318689665226805092023112727.pdf</v>
      </c>
      <c r="F8246" s="5" t="str">
        <f>HYPERLINK("https://dpmzos25m8ivg.cloudfront.net/Documentos/631/86896652268/6318689665226805092023112739.pdf","https://dpmzos25m8ivg.cloudfront.net/Documentos/631/86896652268/6318689665226805092023112739.pdf")</f>
        <v>https://dpmzos25m8ivg.cloudfront.net/Documentos/631/86896652268/6318689665226805092023112739.pdf</v>
      </c>
      <c r="G8246" s="5" t="str">
        <f>HYPERLINK("https://dpmzos25m8ivg.cloudfront.net/Documentos/631/86896652268/6318689665226805092023112752.pdf","https://dpmzos25m8ivg.cloudfront.net/Documentos/631/86896652268/6318689665226805092023112752.pdf")</f>
        <v>https://dpmzos25m8ivg.cloudfront.net/Documentos/631/86896652268/6318689665226805092023112752.pdf</v>
      </c>
      <c r="H8246" s="5" t="s">
        <v>16812</v>
      </c>
    </row>
    <row r="8247" spans="1:8" x14ac:dyDescent="0.25">
      <c r="A8247" s="2" t="s">
        <v>8274</v>
      </c>
      <c r="B8247" s="3"/>
      <c r="C8247" s="3"/>
      <c r="D8247" s="3"/>
      <c r="E8247" s="5" t="str">
        <f>HYPERLINK("https://dpmzos25m8ivg.cloudfront.net/Documentos/631/86957848191/6318695784819106092023113113.pdf","https://dpmzos25m8ivg.cloudfront.net/Documentos/631/86957848191/6318695784819106092023113113.pdf")</f>
        <v>https://dpmzos25m8ivg.cloudfront.net/Documentos/631/86957848191/6318695784819106092023113113.pdf</v>
      </c>
      <c r="F8247" s="5" t="str">
        <f>HYPERLINK("https://dpmzos25m8ivg.cloudfront.net/Documentos/631/86957848191/6318695784819106092023113128.pdf","https://dpmzos25m8ivg.cloudfront.net/Documentos/631/86957848191/6318695784819106092023113128.pdf")</f>
        <v>https://dpmzos25m8ivg.cloudfront.net/Documentos/631/86957848191/6318695784819106092023113128.pdf</v>
      </c>
      <c r="G8247" s="5" t="str">
        <f>HYPERLINK("https://dpmzos25m8ivg.cloudfront.net/Documentos/631/86957848191/6318695784819106092023113148.pdf","https://dpmzos25m8ivg.cloudfront.net/Documentos/631/86957848191/6318695784819106092023113148.pdf")</f>
        <v>https://dpmzos25m8ivg.cloudfront.net/Documentos/631/86957848191/6318695784819106092023113148.pdf</v>
      </c>
      <c r="H8247" s="5" t="s">
        <v>16813</v>
      </c>
    </row>
    <row r="8248" spans="1:8" x14ac:dyDescent="0.25">
      <c r="A8248" s="2" t="s">
        <v>8275</v>
      </c>
      <c r="B8248" s="3"/>
      <c r="C8248" s="3"/>
      <c r="D8248" s="3"/>
      <c r="E8248" s="5" t="str">
        <f>HYPERLINK("https://dpmzos25m8ivg.cloudfront.net/Documentos/631/87172100549/6318717210054905092023201323.jpeg","https://dpmzos25m8ivg.cloudfront.net/Documentos/631/87172100549/6318717210054905092023201323.jpeg")</f>
        <v>https://dpmzos25m8ivg.cloudfront.net/Documentos/631/87172100549/6318717210054905092023201323.jpeg</v>
      </c>
      <c r="F8248" s="5" t="str">
        <f>HYPERLINK("https://dpmzos25m8ivg.cloudfront.net/Documentos/631/87172100549/6318717210054905092023201331.jpeg","https://dpmzos25m8ivg.cloudfront.net/Documentos/631/87172100549/6318717210054905092023201331.jpeg")</f>
        <v>https://dpmzos25m8ivg.cloudfront.net/Documentos/631/87172100549/6318717210054905092023201331.jpeg</v>
      </c>
      <c r="G8248" s="5" t="str">
        <f>HYPERLINK("https://dpmzos25m8ivg.cloudfront.net/Documentos/631/87172100549/6318717210054905092023201340.jpeg","https://dpmzos25m8ivg.cloudfront.net/Documentos/631/87172100549/6318717210054905092023201340.jpeg")</f>
        <v>https://dpmzos25m8ivg.cloudfront.net/Documentos/631/87172100549/6318717210054905092023201340.jpeg</v>
      </c>
      <c r="H8248" s="5" t="s">
        <v>16814</v>
      </c>
    </row>
    <row r="8249" spans="1:8" x14ac:dyDescent="0.25">
      <c r="A8249" s="2" t="s">
        <v>8276</v>
      </c>
      <c r="B8249" s="3" t="s">
        <v>23</v>
      </c>
      <c r="C8249" s="3"/>
      <c r="D8249" s="3"/>
      <c r="E8249" s="5" t="str">
        <f>HYPERLINK("https://dpmzos25m8ivg.cloudfront.net/Documentos/631/87191180153/6318719118015311092023154452.pdf","https://dpmzos25m8ivg.cloudfront.net/Documentos/631/87191180153/6318719118015311092023154452.pdf")</f>
        <v>https://dpmzos25m8ivg.cloudfront.net/Documentos/631/87191180153/6318719118015311092023154452.pdf</v>
      </c>
      <c r="F8249" s="5" t="str">
        <f>HYPERLINK("https://dpmzos25m8ivg.cloudfront.net/Documentos/631/87191180153/6318719118015311092023154515.pdf","https://dpmzos25m8ivg.cloudfront.net/Documentos/631/87191180153/6318719118015311092023154515.pdf")</f>
        <v>https://dpmzos25m8ivg.cloudfront.net/Documentos/631/87191180153/6318719118015311092023154515.pdf</v>
      </c>
      <c r="G8249" s="5" t="str">
        <f>HYPERLINK("https://dpmzos25m8ivg.cloudfront.net/Documentos/631/87191180153/6318719118015311092023154529.pdf","https://dpmzos25m8ivg.cloudfront.net/Documentos/631/87191180153/6318719118015311092023154529.pdf")</f>
        <v>https://dpmzos25m8ivg.cloudfront.net/Documentos/631/87191180153/6318719118015311092023154529.pdf</v>
      </c>
      <c r="H8249" s="5" t="s">
        <v>16815</v>
      </c>
    </row>
    <row r="8250" spans="1:8" x14ac:dyDescent="0.25">
      <c r="A8250" s="2" t="s">
        <v>8277</v>
      </c>
      <c r="B8250" s="3"/>
      <c r="C8250" s="3"/>
      <c r="D8250" s="3"/>
      <c r="E8250" s="5" t="str">
        <f>HYPERLINK("https://dpmzos25m8ivg.cloudfront.net/Documentos/631/87243881068/6318724388106806092023105110.pdf","https://dpmzos25m8ivg.cloudfront.net/Documentos/631/87243881068/6318724388106806092023105110.pdf")</f>
        <v>https://dpmzos25m8ivg.cloudfront.net/Documentos/631/87243881068/6318724388106806092023105110.pdf</v>
      </c>
      <c r="F8250" s="5" t="str">
        <f>HYPERLINK("https://dpmzos25m8ivg.cloudfront.net/Documentos/631/87243881068/6318724388106806092023105249.pdf","https://dpmzos25m8ivg.cloudfront.net/Documentos/631/87243881068/6318724388106806092023105249.pdf")</f>
        <v>https://dpmzos25m8ivg.cloudfront.net/Documentos/631/87243881068/6318724388106806092023105249.pdf</v>
      </c>
      <c r="G8250" s="5" t="str">
        <f>HYPERLINK("https://dpmzos25m8ivg.cloudfront.net/Documentos/631/87243881068/6318724388106806092023105340.pdf","https://dpmzos25m8ivg.cloudfront.net/Documentos/631/87243881068/6318724388106806092023105340.pdf")</f>
        <v>https://dpmzos25m8ivg.cloudfront.net/Documentos/631/87243881068/6318724388106806092023105340.pdf</v>
      </c>
      <c r="H8250" s="5" t="s">
        <v>16816</v>
      </c>
    </row>
    <row r="8251" spans="1:8" x14ac:dyDescent="0.25">
      <c r="A8251" s="2" t="s">
        <v>8278</v>
      </c>
      <c r="B8251" s="3" t="s">
        <v>308</v>
      </c>
      <c r="C8251" s="3"/>
      <c r="D8251" s="3"/>
      <c r="E8251" s="5" t="str">
        <f>HYPERLINK("https://dpmzos25m8ivg.cloudfront.net/Documentos/631/87302047715/6318730204771511092023164814.pdf","https://dpmzos25m8ivg.cloudfront.net/Documentos/631/87302047715/6318730204771511092023164814.pdf")</f>
        <v>https://dpmzos25m8ivg.cloudfront.net/Documentos/631/87302047715/6318730204771511092023164814.pdf</v>
      </c>
      <c r="F8251" s="5" t="str">
        <f>HYPERLINK("https://dpmzos25m8ivg.cloudfront.net/Documentos/631/87302047715/6318730204771511092023164835.pdf","https://dpmzos25m8ivg.cloudfront.net/Documentos/631/87302047715/6318730204771511092023164835.pdf")</f>
        <v>https://dpmzos25m8ivg.cloudfront.net/Documentos/631/87302047715/6318730204771511092023164835.pdf</v>
      </c>
      <c r="G8251" s="5" t="str">
        <f>HYPERLINK("https://dpmzos25m8ivg.cloudfront.net/Documentos/631/87302047715/6318730204771511092023164856.pdf","https://dpmzos25m8ivg.cloudfront.net/Documentos/631/87302047715/6318730204771511092023164856.pdf")</f>
        <v>https://dpmzos25m8ivg.cloudfront.net/Documentos/631/87302047715/6318730204771511092023164856.pdf</v>
      </c>
      <c r="H8251" s="5" t="s">
        <v>16817</v>
      </c>
    </row>
    <row r="8252" spans="1:8" x14ac:dyDescent="0.25">
      <c r="A8252" s="2" t="s">
        <v>8279</v>
      </c>
      <c r="B8252" s="3" t="s">
        <v>23</v>
      </c>
      <c r="C8252" s="3"/>
      <c r="D8252" s="3"/>
      <c r="E8252" s="5" t="str">
        <f>HYPERLINK("https://dpmzos25m8ivg.cloudfront.net/Documentos/631/87310449991/6318731044999108092023131256.pdf","https://dpmzos25m8ivg.cloudfront.net/Documentos/631/87310449991/6318731044999108092023131256.pdf")</f>
        <v>https://dpmzos25m8ivg.cloudfront.net/Documentos/631/87310449991/6318731044999108092023131256.pdf</v>
      </c>
      <c r="F8252" s="5" t="str">
        <f>HYPERLINK("https://dpmzos25m8ivg.cloudfront.net/Documentos/631/87310449991/6318731044999108092023131310.pdf","https://dpmzos25m8ivg.cloudfront.net/Documentos/631/87310449991/6318731044999108092023131310.pdf")</f>
        <v>https://dpmzos25m8ivg.cloudfront.net/Documentos/631/87310449991/6318731044999108092023131310.pdf</v>
      </c>
      <c r="G8252" s="5" t="str">
        <f>HYPERLINK("https://dpmzos25m8ivg.cloudfront.net/Documentos/631/87310449991/6318731044999108092023131321.pdf","https://dpmzos25m8ivg.cloudfront.net/Documentos/631/87310449991/6318731044999108092023131321.pdf")</f>
        <v>https://dpmzos25m8ivg.cloudfront.net/Documentos/631/87310449991/6318731044999108092023131321.pdf</v>
      </c>
      <c r="H8252" s="5" t="s">
        <v>16818</v>
      </c>
    </row>
    <row r="8253" spans="1:8" x14ac:dyDescent="0.25">
      <c r="A8253" s="2" t="s">
        <v>8280</v>
      </c>
      <c r="B8253" s="3"/>
      <c r="C8253" s="3"/>
      <c r="D8253" s="3"/>
      <c r="E8253" s="5" t="str">
        <f>HYPERLINK("https://dpmzos25m8ivg.cloudfront.net/Documentos/631/87348330215/6318734833021507092023182448.pdf","https://dpmzos25m8ivg.cloudfront.net/Documentos/631/87348330215/6318734833021507092023182448.pdf")</f>
        <v>https://dpmzos25m8ivg.cloudfront.net/Documentos/631/87348330215/6318734833021507092023182448.pdf</v>
      </c>
      <c r="F8253" s="5" t="str">
        <f>HYPERLINK("https://dpmzos25m8ivg.cloudfront.net/Documentos/631/87348330215/6318734833021507092023182438.pdf","https://dpmzos25m8ivg.cloudfront.net/Documentos/631/87348330215/6318734833021507092023182438.pdf")</f>
        <v>https://dpmzos25m8ivg.cloudfront.net/Documentos/631/87348330215/6318734833021507092023182438.pdf</v>
      </c>
      <c r="G8253" s="5" t="str">
        <f>HYPERLINK("https://dpmzos25m8ivg.cloudfront.net/Documentos/631/87348330215/6318734833021507092023182426.pdf","https://dpmzos25m8ivg.cloudfront.net/Documentos/631/87348330215/6318734833021507092023182426.pdf")</f>
        <v>https://dpmzos25m8ivg.cloudfront.net/Documentos/631/87348330215/6318734833021507092023182426.pdf</v>
      </c>
      <c r="H8253" s="5" t="s">
        <v>16819</v>
      </c>
    </row>
    <row r="8254" spans="1:8" x14ac:dyDescent="0.25">
      <c r="A8254" s="2" t="s">
        <v>8281</v>
      </c>
      <c r="B8254" s="3"/>
      <c r="C8254" s="3"/>
      <c r="D8254" s="3"/>
      <c r="E8254" s="5" t="str">
        <f>HYPERLINK("https://dpmzos25m8ivg.cloudfront.net/Documentos/631/87432404100/6318743240410011092023162856.pdf","https://dpmzos25m8ivg.cloudfront.net/Documentos/631/87432404100/6318743240410011092023162856.pdf")</f>
        <v>https://dpmzos25m8ivg.cloudfront.net/Documentos/631/87432404100/6318743240410011092023162856.pdf</v>
      </c>
      <c r="F8254" s="5" t="str">
        <f>HYPERLINK("https://dpmzos25m8ivg.cloudfront.net/Documentos/631/87432404100/6318743240410011092023162908.pdf","https://dpmzos25m8ivg.cloudfront.net/Documentos/631/87432404100/6318743240410011092023162908.pdf")</f>
        <v>https://dpmzos25m8ivg.cloudfront.net/Documentos/631/87432404100/6318743240410011092023162908.pdf</v>
      </c>
      <c r="G8254" s="5" t="str">
        <f>HYPERLINK("https://dpmzos25m8ivg.cloudfront.net/Documentos/631/87432404100/6318743240410011092023162925.pdf","https://dpmzos25m8ivg.cloudfront.net/Documentos/631/87432404100/6318743240410011092023162925.pdf")</f>
        <v>https://dpmzos25m8ivg.cloudfront.net/Documentos/631/87432404100/6318743240410011092023162925.pdf</v>
      </c>
      <c r="H8254" s="5" t="s">
        <v>16820</v>
      </c>
    </row>
    <row r="8255" spans="1:8" x14ac:dyDescent="0.25">
      <c r="A8255" s="2" t="s">
        <v>8282</v>
      </c>
      <c r="B8255" s="3"/>
      <c r="C8255" s="3"/>
      <c r="D8255" s="3"/>
      <c r="E8255" s="5" t="str">
        <f>HYPERLINK("https://dpmzos25m8ivg.cloudfront.net/Documentos/631/87436833200/6318743683320009092023195305.pdf","https://dpmzos25m8ivg.cloudfront.net/Documentos/631/87436833200/6318743683320009092023195305.pdf")</f>
        <v>https://dpmzos25m8ivg.cloudfront.net/Documentos/631/87436833200/6318743683320009092023195305.pdf</v>
      </c>
      <c r="F8255" s="5" t="str">
        <f>HYPERLINK("https://dpmzos25m8ivg.cloudfront.net/Documentos/631/87436833200/6318743683320009092023195324.pdf","https://dpmzos25m8ivg.cloudfront.net/Documentos/631/87436833200/6318743683320009092023195324.pdf")</f>
        <v>https://dpmzos25m8ivg.cloudfront.net/Documentos/631/87436833200/6318743683320009092023195324.pdf</v>
      </c>
      <c r="G8255" s="5" t="str">
        <f>HYPERLINK("https://dpmzos25m8ivg.cloudfront.net/Documentos/631/87436833200/6318743683320009092023195344.pdf","https://dpmzos25m8ivg.cloudfront.net/Documentos/631/87436833200/6318743683320009092023195344.pdf")</f>
        <v>https://dpmzos25m8ivg.cloudfront.net/Documentos/631/87436833200/6318743683320009092023195344.pdf</v>
      </c>
      <c r="H8255" s="5" t="s">
        <v>16821</v>
      </c>
    </row>
    <row r="8256" spans="1:8" x14ac:dyDescent="0.25">
      <c r="A8256" s="2" t="s">
        <v>8283</v>
      </c>
      <c r="B8256" s="3"/>
      <c r="C8256" s="3"/>
      <c r="D8256" s="3"/>
      <c r="E8256" s="5" t="str">
        <f>HYPERLINK("https://dpmzos25m8ivg.cloudfront.net/Documentos/631/87441039215/6318744103921508092023155027.pdf","https://dpmzos25m8ivg.cloudfront.net/Documentos/631/87441039215/6318744103921508092023155027.pdf")</f>
        <v>https://dpmzos25m8ivg.cloudfront.net/Documentos/631/87441039215/6318744103921508092023155027.pdf</v>
      </c>
      <c r="F8256" s="5" t="str">
        <f>HYPERLINK("https://dpmzos25m8ivg.cloudfront.net/Documentos/631/87441039215/6318744103921508092023154739.pdf","https://dpmzos25m8ivg.cloudfront.net/Documentos/631/87441039215/6318744103921508092023154739.pdf")</f>
        <v>https://dpmzos25m8ivg.cloudfront.net/Documentos/631/87441039215/6318744103921508092023154739.pdf</v>
      </c>
      <c r="G8256" s="5" t="str">
        <f>HYPERLINK("https://dpmzos25m8ivg.cloudfront.net/Documentos/631/87441039215/6318744103921508092023154454.pdf","https://dpmzos25m8ivg.cloudfront.net/Documentos/631/87441039215/6318744103921508092023154454.pdf")</f>
        <v>https://dpmzos25m8ivg.cloudfront.net/Documentos/631/87441039215/6318744103921508092023154454.pdf</v>
      </c>
      <c r="H8256" s="5" t="s">
        <v>16822</v>
      </c>
    </row>
    <row r="8257" spans="1:8" x14ac:dyDescent="0.25">
      <c r="A8257" s="2" t="s">
        <v>8284</v>
      </c>
      <c r="B8257" s="3"/>
      <c r="C8257" s="3"/>
      <c r="D8257" s="3"/>
      <c r="E8257" s="5" t="str">
        <f>HYPERLINK("https://dpmzos25m8ivg.cloudfront.net/Documentos/631/87472635553/6318747263555313092023114644.pdf","https://dpmzos25m8ivg.cloudfront.net/Documentos/631/87472635553/6318747263555313092023114644.pdf")</f>
        <v>https://dpmzos25m8ivg.cloudfront.net/Documentos/631/87472635553/6318747263555313092023114644.pdf</v>
      </c>
      <c r="F8257" s="5" t="str">
        <f>HYPERLINK("https://dpmzos25m8ivg.cloudfront.net/Documentos/631/87472635553/6318747263555313092023114707.pdf","https://dpmzos25m8ivg.cloudfront.net/Documentos/631/87472635553/6318747263555313092023114707.pdf")</f>
        <v>https://dpmzos25m8ivg.cloudfront.net/Documentos/631/87472635553/6318747263555313092023114707.pdf</v>
      </c>
      <c r="G8257" s="5" t="str">
        <f>HYPERLINK("https://dpmzos25m8ivg.cloudfront.net/Documentos/631/87472635553/6318747263555313092023114854.pdf","https://dpmzos25m8ivg.cloudfront.net/Documentos/631/87472635553/6318747263555313092023114854.pdf")</f>
        <v>https://dpmzos25m8ivg.cloudfront.net/Documentos/631/87472635553/6318747263555313092023114854.pdf</v>
      </c>
      <c r="H8257" s="5" t="s">
        <v>16823</v>
      </c>
    </row>
    <row r="8258" spans="1:8" x14ac:dyDescent="0.25">
      <c r="A8258" s="2" t="s">
        <v>8285</v>
      </c>
      <c r="B8258" s="3" t="s">
        <v>312</v>
      </c>
      <c r="C8258" s="3"/>
      <c r="D8258" s="3"/>
      <c r="E8258" s="5" t="str">
        <f>HYPERLINK("https://dpmzos25m8ivg.cloudfront.net/Documentos/631/87559412572/6318755941257204092023212617.jpg","https://dpmzos25m8ivg.cloudfront.net/Documentos/631/87559412572/6318755941257204092023212617.jpg")</f>
        <v>https://dpmzos25m8ivg.cloudfront.net/Documentos/631/87559412572/6318755941257204092023212617.jpg</v>
      </c>
      <c r="F8258" s="5" t="str">
        <f>HYPERLINK("https://dpmzos25m8ivg.cloudfront.net/Documentos/631/87559412572/6318755941257204092023213047.jpg","https://dpmzos25m8ivg.cloudfront.net/Documentos/631/87559412572/6318755941257204092023213047.jpg")</f>
        <v>https://dpmzos25m8ivg.cloudfront.net/Documentos/631/87559412572/6318755941257204092023213047.jpg</v>
      </c>
      <c r="G8258" s="5" t="str">
        <f>HYPERLINK("https://dpmzos25m8ivg.cloudfront.net/Documentos/631/87559412572/6318755941257204092023213114.jpg","https://dpmzos25m8ivg.cloudfront.net/Documentos/631/87559412572/6318755941257204092023213114.jpg")</f>
        <v>https://dpmzos25m8ivg.cloudfront.net/Documentos/631/87559412572/6318755941257204092023213114.jpg</v>
      </c>
      <c r="H8258" s="5" t="s">
        <v>16824</v>
      </c>
    </row>
    <row r="8259" spans="1:8" x14ac:dyDescent="0.25">
      <c r="A8259" s="2" t="s">
        <v>8286</v>
      </c>
      <c r="B8259" s="3" t="s">
        <v>308</v>
      </c>
      <c r="C8259" s="3"/>
      <c r="D8259" s="3"/>
      <c r="E8259" s="5" t="str">
        <f>HYPERLINK("https://dpmzos25m8ivg.cloudfront.net/Documentos/631/87565714968/6318756571496811092023125637.pdf","https://dpmzos25m8ivg.cloudfront.net/Documentos/631/87565714968/6318756571496811092023125637.pdf")</f>
        <v>https://dpmzos25m8ivg.cloudfront.net/Documentos/631/87565714968/6318756571496811092023125637.pdf</v>
      </c>
      <c r="F8259" s="5" t="str">
        <f>HYPERLINK("https://dpmzos25m8ivg.cloudfront.net/Documentos/631/87565714968/6318756571496811092023125645.pdf","https://dpmzos25m8ivg.cloudfront.net/Documentos/631/87565714968/6318756571496811092023125645.pdf")</f>
        <v>https://dpmzos25m8ivg.cloudfront.net/Documentos/631/87565714968/6318756571496811092023125645.pdf</v>
      </c>
      <c r="G8259" s="5" t="str">
        <f>HYPERLINK("https://dpmzos25m8ivg.cloudfront.net/Documentos/631/87565714968/6318756571496811092023125656.pdf","https://dpmzos25m8ivg.cloudfront.net/Documentos/631/87565714968/6318756571496811092023125656.pdf")</f>
        <v>https://dpmzos25m8ivg.cloudfront.net/Documentos/631/87565714968/6318756571496811092023125656.pdf</v>
      </c>
      <c r="H8259" s="5" t="s">
        <v>16825</v>
      </c>
    </row>
    <row r="8260" spans="1:8" x14ac:dyDescent="0.25">
      <c r="A8260" s="2" t="s">
        <v>8287</v>
      </c>
      <c r="B8260" s="3"/>
      <c r="C8260" s="3"/>
      <c r="D8260" s="3"/>
      <c r="E8260" s="5" t="str">
        <f>HYPERLINK("https://dpmzos25m8ivg.cloudfront.net/Documentos/631/87609185515/6318760918551511092023123118.pdf","https://dpmzos25m8ivg.cloudfront.net/Documentos/631/87609185515/6318760918551511092023123118.pdf")</f>
        <v>https://dpmzos25m8ivg.cloudfront.net/Documentos/631/87609185515/6318760918551511092023123118.pdf</v>
      </c>
      <c r="F8260" s="5" t="str">
        <f>HYPERLINK("https://dpmzos25m8ivg.cloudfront.net/Documentos/631/87609185515/6318760918551511092023123127.pdf","https://dpmzos25m8ivg.cloudfront.net/Documentos/631/87609185515/6318760918551511092023123127.pdf")</f>
        <v>https://dpmzos25m8ivg.cloudfront.net/Documentos/631/87609185515/6318760918551511092023123127.pdf</v>
      </c>
      <c r="G8260" s="5" t="str">
        <f>HYPERLINK("https://dpmzos25m8ivg.cloudfront.net/Documentos/631/87609185515/6318760918551511092023123146.pdf","https://dpmzos25m8ivg.cloudfront.net/Documentos/631/87609185515/6318760918551511092023123146.pdf")</f>
        <v>https://dpmzos25m8ivg.cloudfront.net/Documentos/631/87609185515/6318760918551511092023123146.pdf</v>
      </c>
      <c r="H8260" s="5" t="s">
        <v>16826</v>
      </c>
    </row>
    <row r="8261" spans="1:8" x14ac:dyDescent="0.25">
      <c r="A8261" s="2" t="s">
        <v>8288</v>
      </c>
      <c r="B8261" s="3" t="s">
        <v>308</v>
      </c>
      <c r="C8261" s="3"/>
      <c r="D8261" s="3"/>
      <c r="E8261" s="5" t="str">
        <f>HYPERLINK("https://dpmzos25m8ivg.cloudfront.net/Documentos/631/87637596249/6318763759624906092023122135.pdf","https://dpmzos25m8ivg.cloudfront.net/Documentos/631/87637596249/6318763759624906092023122135.pdf")</f>
        <v>https://dpmzos25m8ivg.cloudfront.net/Documentos/631/87637596249/6318763759624906092023122135.pdf</v>
      </c>
      <c r="F8261" s="5" t="str">
        <f>HYPERLINK("https://dpmzos25m8ivg.cloudfront.net/Documentos/631/87637596249/6318763759624906092023122148.pdf","https://dpmzos25m8ivg.cloudfront.net/Documentos/631/87637596249/6318763759624906092023122148.pdf")</f>
        <v>https://dpmzos25m8ivg.cloudfront.net/Documentos/631/87637596249/6318763759624906092023122148.pdf</v>
      </c>
      <c r="G8261" s="5" t="str">
        <f>HYPERLINK("https://dpmzos25m8ivg.cloudfront.net/Documentos/631/87637596249/6318763759624906092023122208.pdf","https://dpmzos25m8ivg.cloudfront.net/Documentos/631/87637596249/6318763759624906092023122208.pdf")</f>
        <v>https://dpmzos25m8ivg.cloudfront.net/Documentos/631/87637596249/6318763759624906092023122208.pdf</v>
      </c>
      <c r="H8261" s="5" t="s">
        <v>16827</v>
      </c>
    </row>
    <row r="8262" spans="1:8" x14ac:dyDescent="0.25">
      <c r="A8262" s="2" t="s">
        <v>8289</v>
      </c>
      <c r="B8262" s="3"/>
      <c r="C8262" s="3"/>
      <c r="D8262" s="3"/>
      <c r="E8262" s="5" t="str">
        <f>HYPERLINK("https://dpmzos25m8ivg.cloudfront.net/Documentos/631/87686112268/6318768611226805092023022848.pdf","https://dpmzos25m8ivg.cloudfront.net/Documentos/631/87686112268/6318768611226805092023022848.pdf")</f>
        <v>https://dpmzos25m8ivg.cloudfront.net/Documentos/631/87686112268/6318768611226805092023022848.pdf</v>
      </c>
      <c r="F8262" s="5" t="str">
        <f>HYPERLINK("https://dpmzos25m8ivg.cloudfront.net/Documentos/631/87686112268/6318768611226805092023023752.pdf","https://dpmzos25m8ivg.cloudfront.net/Documentos/631/87686112268/6318768611226805092023023752.pdf")</f>
        <v>https://dpmzos25m8ivg.cloudfront.net/Documentos/631/87686112268/6318768611226805092023023752.pdf</v>
      </c>
      <c r="G8262" s="5" t="str">
        <f>HYPERLINK("https://dpmzos25m8ivg.cloudfront.net/Documentos/631/87686112268/6318768611226805092023141528.pdf","https://dpmzos25m8ivg.cloudfront.net/Documentos/631/87686112268/6318768611226805092023141528.pdf")</f>
        <v>https://dpmzos25m8ivg.cloudfront.net/Documentos/631/87686112268/6318768611226805092023141528.pdf</v>
      </c>
      <c r="H8262" s="5" t="s">
        <v>16828</v>
      </c>
    </row>
    <row r="8263" spans="1:8" x14ac:dyDescent="0.25">
      <c r="A8263" s="2" t="s">
        <v>8290</v>
      </c>
      <c r="B8263" s="3"/>
      <c r="C8263" s="3"/>
      <c r="D8263" s="3"/>
      <c r="E8263" s="5" t="str">
        <f>HYPERLINK("https://dpmzos25m8ivg.cloudfront.net/Documentos/631/87725380400/6318772538040014092023151504.pdf","https://dpmzos25m8ivg.cloudfront.net/Documentos/631/87725380400/6318772538040014092023151504.pdf")</f>
        <v>https://dpmzos25m8ivg.cloudfront.net/Documentos/631/87725380400/6318772538040014092023151504.pdf</v>
      </c>
      <c r="F8263" s="5" t="str">
        <f>HYPERLINK("https://dpmzos25m8ivg.cloudfront.net/Documentos/631/87725380400/6318772538040014092023151521.pdf","https://dpmzos25m8ivg.cloudfront.net/Documentos/631/87725380400/6318772538040014092023151521.pdf")</f>
        <v>https://dpmzos25m8ivg.cloudfront.net/Documentos/631/87725380400/6318772538040014092023151521.pdf</v>
      </c>
      <c r="G8263" s="5" t="str">
        <f>HYPERLINK("https://dpmzos25m8ivg.cloudfront.net/Documentos/631/87725380400/6318772538040014092023151535.pdf","https://dpmzos25m8ivg.cloudfront.net/Documentos/631/87725380400/6318772538040014092023151535.pdf")</f>
        <v>https://dpmzos25m8ivg.cloudfront.net/Documentos/631/87725380400/6318772538040014092023151535.pdf</v>
      </c>
      <c r="H8263" s="5" t="s">
        <v>16829</v>
      </c>
    </row>
    <row r="8264" spans="1:8" x14ac:dyDescent="0.25">
      <c r="A8264" s="2" t="s">
        <v>8291</v>
      </c>
      <c r="B8264" s="3" t="s">
        <v>23</v>
      </c>
      <c r="C8264" s="3"/>
      <c r="D8264" s="3"/>
      <c r="E8264" s="5" t="str">
        <f>HYPERLINK("https://dpmzos25m8ivg.cloudfront.net/Documentos/631/87767376168/6318776737616810092023224418.jpg","https://dpmzos25m8ivg.cloudfront.net/Documentos/631/87767376168/6318776737616810092023224418.jpg")</f>
        <v>https://dpmzos25m8ivg.cloudfront.net/Documentos/631/87767376168/6318776737616810092023224418.jpg</v>
      </c>
      <c r="F8264" s="5" t="str">
        <f>HYPERLINK("https://dpmzos25m8ivg.cloudfront.net/Documentos/631/87767376168/6318776737616810092023224503.jpg","https://dpmzos25m8ivg.cloudfront.net/Documentos/631/87767376168/6318776737616810092023224503.jpg")</f>
        <v>https://dpmzos25m8ivg.cloudfront.net/Documentos/631/87767376168/6318776737616810092023224503.jpg</v>
      </c>
      <c r="G8264" s="5" t="str">
        <f>HYPERLINK("https://dpmzos25m8ivg.cloudfront.net/Documentos/631/87767376168/6318776737616810092023225102.jpg","https://dpmzos25m8ivg.cloudfront.net/Documentos/631/87767376168/6318776737616810092023225102.jpg")</f>
        <v>https://dpmzos25m8ivg.cloudfront.net/Documentos/631/87767376168/6318776737616810092023225102.jpg</v>
      </c>
      <c r="H8264" s="5" t="s">
        <v>16830</v>
      </c>
    </row>
    <row r="8265" spans="1:8" x14ac:dyDescent="0.25">
      <c r="A8265" s="2" t="s">
        <v>8292</v>
      </c>
      <c r="B8265" s="3"/>
      <c r="C8265" s="3"/>
      <c r="D8265" s="3"/>
      <c r="E8265" s="5" t="str">
        <f>HYPERLINK("https://dpmzos25m8ivg.cloudfront.net/Documentos/631/87784726104/6318778472610411092023162136.pdf","https://dpmzos25m8ivg.cloudfront.net/Documentos/631/87784726104/6318778472610411092023162136.pdf")</f>
        <v>https://dpmzos25m8ivg.cloudfront.net/Documentos/631/87784726104/6318778472610411092023162136.pdf</v>
      </c>
      <c r="F8265" s="5" t="str">
        <f>HYPERLINK("https://dpmzos25m8ivg.cloudfront.net/Documentos/631/87784726104/6318778472610411092023163113.pdf","https://dpmzos25m8ivg.cloudfront.net/Documentos/631/87784726104/6318778472610411092023163113.pdf")</f>
        <v>https://dpmzos25m8ivg.cloudfront.net/Documentos/631/87784726104/6318778472610411092023163113.pdf</v>
      </c>
      <c r="G8265" s="5" t="str">
        <f>HYPERLINK("https://dpmzos25m8ivg.cloudfront.net/Documentos/631/87784726104/6318778472610411092023163205.pdf","https://dpmzos25m8ivg.cloudfront.net/Documentos/631/87784726104/6318778472610411092023163205.pdf")</f>
        <v>https://dpmzos25m8ivg.cloudfront.net/Documentos/631/87784726104/6318778472610411092023163205.pdf</v>
      </c>
      <c r="H8265" s="5" t="s">
        <v>16831</v>
      </c>
    </row>
    <row r="8266" spans="1:8" x14ac:dyDescent="0.25">
      <c r="A8266" s="2" t="s">
        <v>8293</v>
      </c>
      <c r="B8266" s="3"/>
      <c r="C8266" s="3"/>
      <c r="D8266" s="3"/>
      <c r="E8266" s="5" t="str">
        <f>HYPERLINK("https://dpmzos25m8ivg.cloudfront.net/Documentos/631/87852128149/6318785212814911092023164749.pdf","https://dpmzos25m8ivg.cloudfront.net/Documentos/631/87852128149/6318785212814911092023164749.pdf")</f>
        <v>https://dpmzos25m8ivg.cloudfront.net/Documentos/631/87852128149/6318785212814911092023164749.pdf</v>
      </c>
      <c r="F8266" s="5" t="str">
        <f>HYPERLINK("https://dpmzos25m8ivg.cloudfront.net/Documentos/631/87852128149/6318785212814911092023164803.pdf","https://dpmzos25m8ivg.cloudfront.net/Documentos/631/87852128149/6318785212814911092023164803.pdf")</f>
        <v>https://dpmzos25m8ivg.cloudfront.net/Documentos/631/87852128149/6318785212814911092023164803.pdf</v>
      </c>
      <c r="G8266" s="5" t="str">
        <f>HYPERLINK("https://dpmzos25m8ivg.cloudfront.net/Documentos/631/87852128149/6318785212814911092023164826.pdf","https://dpmzos25m8ivg.cloudfront.net/Documentos/631/87852128149/6318785212814911092023164826.pdf")</f>
        <v>https://dpmzos25m8ivg.cloudfront.net/Documentos/631/87852128149/6318785212814911092023164826.pdf</v>
      </c>
      <c r="H8266" s="5" t="s">
        <v>16832</v>
      </c>
    </row>
    <row r="8267" spans="1:8" x14ac:dyDescent="0.25">
      <c r="A8267" s="2" t="s">
        <v>8294</v>
      </c>
      <c r="B8267" s="3"/>
      <c r="C8267" s="3"/>
      <c r="D8267" s="3"/>
      <c r="E8267" s="5" t="str">
        <f>HYPERLINK("https://dpmzos25m8ivg.cloudfront.net/Documentos/631/87871050478/6318787105047811092023092147.jpg","https://dpmzos25m8ivg.cloudfront.net/Documentos/631/87871050478/6318787105047811092023092147.jpg")</f>
        <v>https://dpmzos25m8ivg.cloudfront.net/Documentos/631/87871050478/6318787105047811092023092147.jpg</v>
      </c>
      <c r="F8267" s="5" t="str">
        <f>HYPERLINK("https://dpmzos25m8ivg.cloudfront.net/Documentos/631/87871050478/6318787105047811092023092543.jpg","https://dpmzos25m8ivg.cloudfront.net/Documentos/631/87871050478/6318787105047811092023092543.jpg")</f>
        <v>https://dpmzos25m8ivg.cloudfront.net/Documentos/631/87871050478/6318787105047811092023092543.jpg</v>
      </c>
      <c r="G8267" s="5" t="str">
        <f>HYPERLINK("https://dpmzos25m8ivg.cloudfront.net/Documentos/631/87871050478/6318787105047811092023092713.jpg","https://dpmzos25m8ivg.cloudfront.net/Documentos/631/87871050478/6318787105047811092023092713.jpg")</f>
        <v>https://dpmzos25m8ivg.cloudfront.net/Documentos/631/87871050478/6318787105047811092023092713.jpg</v>
      </c>
      <c r="H8267" s="5" t="s">
        <v>16833</v>
      </c>
    </row>
    <row r="8268" spans="1:8" x14ac:dyDescent="0.25">
      <c r="A8268" s="2" t="s">
        <v>8295</v>
      </c>
      <c r="B8268" s="3" t="s">
        <v>312</v>
      </c>
      <c r="C8268" s="3"/>
      <c r="D8268" s="3"/>
      <c r="E8268" s="5" t="str">
        <f>HYPERLINK("https://dpmzos25m8ivg.cloudfront.net/Documentos/631/87903857487/6318790385748709092023022020.pdf","https://dpmzos25m8ivg.cloudfront.net/Documentos/631/87903857487/6318790385748709092023022020.pdf")</f>
        <v>https://dpmzos25m8ivg.cloudfront.net/Documentos/631/87903857487/6318790385748709092023022020.pdf</v>
      </c>
      <c r="F8268" s="5" t="str">
        <f>HYPERLINK("https://dpmzos25m8ivg.cloudfront.net/Documentos/631/87903857487/6318790385748709092023022047.pdf","https://dpmzos25m8ivg.cloudfront.net/Documentos/631/87903857487/6318790385748709092023022047.pdf")</f>
        <v>https://dpmzos25m8ivg.cloudfront.net/Documentos/631/87903857487/6318790385748709092023022047.pdf</v>
      </c>
      <c r="G8268" s="5" t="str">
        <f>HYPERLINK("https://dpmzos25m8ivg.cloudfront.net/Documentos/631/87903857487/6318790385748709092023022108.pdf","https://dpmzos25m8ivg.cloudfront.net/Documentos/631/87903857487/6318790385748709092023022108.pdf")</f>
        <v>https://dpmzos25m8ivg.cloudfront.net/Documentos/631/87903857487/6318790385748709092023022108.pdf</v>
      </c>
      <c r="H8268" s="5" t="s">
        <v>16834</v>
      </c>
    </row>
    <row r="8269" spans="1:8" x14ac:dyDescent="0.25">
      <c r="A8269" s="2" t="s">
        <v>8296</v>
      </c>
      <c r="B8269" s="3"/>
      <c r="C8269" s="3"/>
      <c r="D8269" s="3"/>
      <c r="E8269" s="5" t="str">
        <f>HYPERLINK("https://dpmzos25m8ivg.cloudfront.net/Documentos/631/87917220982/6318791722098210092023153923.pdf","https://dpmzos25m8ivg.cloudfront.net/Documentos/631/87917220982/6318791722098210092023153923.pdf")</f>
        <v>https://dpmzos25m8ivg.cloudfront.net/Documentos/631/87917220982/6318791722098210092023153923.pdf</v>
      </c>
      <c r="F8269" s="5" t="str">
        <f>HYPERLINK("https://dpmzos25m8ivg.cloudfront.net/Documentos/631/87917220982/6318791722098210092023154803.pdf","https://dpmzos25m8ivg.cloudfront.net/Documentos/631/87917220982/6318791722098210092023154803.pdf")</f>
        <v>https://dpmzos25m8ivg.cloudfront.net/Documentos/631/87917220982/6318791722098210092023154803.pdf</v>
      </c>
      <c r="G8269" s="5" t="str">
        <f>HYPERLINK("https://dpmzos25m8ivg.cloudfront.net/Documentos/631/87917220982/6318791722098210092023154841.pdf","https://dpmzos25m8ivg.cloudfront.net/Documentos/631/87917220982/6318791722098210092023154841.pdf")</f>
        <v>https://dpmzos25m8ivg.cloudfront.net/Documentos/631/87917220982/6318791722098210092023154841.pdf</v>
      </c>
      <c r="H8269" s="5" t="s">
        <v>16835</v>
      </c>
    </row>
    <row r="8270" spans="1:8" x14ac:dyDescent="0.25">
      <c r="A8270" s="2" t="s">
        <v>8297</v>
      </c>
      <c r="B8270" s="3"/>
      <c r="C8270" s="3"/>
      <c r="D8270" s="3"/>
      <c r="E8270" s="5" t="str">
        <f>HYPERLINK("https://dpmzos25m8ivg.cloudfront.net/Documentos/631/87964929100/6318796492910006092023210827.pdf","https://dpmzos25m8ivg.cloudfront.net/Documentos/631/87964929100/6318796492910006092023210827.pdf")</f>
        <v>https://dpmzos25m8ivg.cloudfront.net/Documentos/631/87964929100/6318796492910006092023210827.pdf</v>
      </c>
      <c r="F8270" s="5" t="str">
        <f>HYPERLINK("https://dpmzos25m8ivg.cloudfront.net/Documentos/631/87964929100/6318796492910006092023210852.pdf","https://dpmzos25m8ivg.cloudfront.net/Documentos/631/87964929100/6318796492910006092023210852.pdf")</f>
        <v>https://dpmzos25m8ivg.cloudfront.net/Documentos/631/87964929100/6318796492910006092023210852.pdf</v>
      </c>
      <c r="G8270" s="5" t="str">
        <f>HYPERLINK("https://dpmzos25m8ivg.cloudfront.net/Documentos/631/87964929100/6318796492910006092023210925.pdf","https://dpmzos25m8ivg.cloudfront.net/Documentos/631/87964929100/6318796492910006092023210925.pdf")</f>
        <v>https://dpmzos25m8ivg.cloudfront.net/Documentos/631/87964929100/6318796492910006092023210925.pdf</v>
      </c>
      <c r="H8270" s="5" t="s">
        <v>16836</v>
      </c>
    </row>
    <row r="8271" spans="1:8" x14ac:dyDescent="0.25">
      <c r="A8271" s="2" t="s">
        <v>8298</v>
      </c>
      <c r="B8271" s="3" t="s">
        <v>312</v>
      </c>
      <c r="C8271" s="3"/>
      <c r="D8271" s="3"/>
      <c r="E8271" s="5" t="str">
        <f>HYPERLINK("https://dpmzos25m8ivg.cloudfront.net/Documentos/631/88000753120/6318800075312006092023174715.jpg","https://dpmzos25m8ivg.cloudfront.net/Documentos/631/88000753120/6318800075312006092023174715.jpg")</f>
        <v>https://dpmzos25m8ivg.cloudfront.net/Documentos/631/88000753120/6318800075312006092023174715.jpg</v>
      </c>
      <c r="F8271" s="5" t="str">
        <f>HYPERLINK("https://dpmzos25m8ivg.cloudfront.net/Documentos/631/88000753120/6318800075312006092023175336.jpg","https://dpmzos25m8ivg.cloudfront.net/Documentos/631/88000753120/6318800075312006092023175336.jpg")</f>
        <v>https://dpmzos25m8ivg.cloudfront.net/Documentos/631/88000753120/6318800075312006092023175336.jpg</v>
      </c>
      <c r="G8271" s="5" t="str">
        <f>HYPERLINK("https://dpmzos25m8ivg.cloudfront.net/Documentos/631/88000753120/6318800075312006092023180831.jpg","https://dpmzos25m8ivg.cloudfront.net/Documentos/631/88000753120/6318800075312006092023180831.jpg")</f>
        <v>https://dpmzos25m8ivg.cloudfront.net/Documentos/631/88000753120/6318800075312006092023180831.jpg</v>
      </c>
      <c r="H8271" s="5" t="s">
        <v>16837</v>
      </c>
    </row>
    <row r="8272" spans="1:8" x14ac:dyDescent="0.25">
      <c r="A8272" s="2" t="s">
        <v>8299</v>
      </c>
      <c r="B8272" s="3"/>
      <c r="C8272" s="3"/>
      <c r="D8272" s="3"/>
      <c r="E8272" s="5" t="str">
        <f>HYPERLINK("https://dpmzos25m8ivg.cloudfront.net/Documentos/631/88014258487/6318801425848709092023095914.pdf","https://dpmzos25m8ivg.cloudfront.net/Documentos/631/88014258487/6318801425848709092023095914.pdf")</f>
        <v>https://dpmzos25m8ivg.cloudfront.net/Documentos/631/88014258487/6318801425848709092023095914.pdf</v>
      </c>
      <c r="F8272" s="5" t="str">
        <f>HYPERLINK("https://dpmzos25m8ivg.cloudfront.net/Documentos/631/88014258487/6318801425848709092023100039.pdf","https://dpmzos25m8ivg.cloudfront.net/Documentos/631/88014258487/6318801425848709092023100039.pdf")</f>
        <v>https://dpmzos25m8ivg.cloudfront.net/Documentos/631/88014258487/6318801425848709092023100039.pdf</v>
      </c>
      <c r="G8272" s="5" t="str">
        <f>HYPERLINK("https://dpmzos25m8ivg.cloudfront.net/Documentos/631/88014258487/6318801425848709092023100057.pdf","https://dpmzos25m8ivg.cloudfront.net/Documentos/631/88014258487/6318801425848709092023100057.pdf")</f>
        <v>https://dpmzos25m8ivg.cloudfront.net/Documentos/631/88014258487/6318801425848709092023100057.pdf</v>
      </c>
      <c r="H8272" s="5" t="s">
        <v>16838</v>
      </c>
    </row>
    <row r="8273" spans="1:8" x14ac:dyDescent="0.25">
      <c r="A8273" s="2" t="s">
        <v>8300</v>
      </c>
      <c r="B8273" s="3"/>
      <c r="C8273" s="3"/>
      <c r="D8273" s="3"/>
      <c r="E8273" s="5" t="str">
        <f>HYPERLINK("https://dpmzos25m8ivg.cloudfront.net/Documentos/631/88023516515/6318802351651510092023172801.pdf","https://dpmzos25m8ivg.cloudfront.net/Documentos/631/88023516515/6318802351651510092023172801.pdf")</f>
        <v>https://dpmzos25m8ivg.cloudfront.net/Documentos/631/88023516515/6318802351651510092023172801.pdf</v>
      </c>
      <c r="F8273" s="5" t="str">
        <f>HYPERLINK("https://dpmzos25m8ivg.cloudfront.net/Documentos/631/88023516515/6318802351651510092023172820.pdf","https://dpmzos25m8ivg.cloudfront.net/Documentos/631/88023516515/6318802351651510092023172820.pdf")</f>
        <v>https://dpmzos25m8ivg.cloudfront.net/Documentos/631/88023516515/6318802351651510092023172820.pdf</v>
      </c>
      <c r="G8273" s="5" t="str">
        <f>HYPERLINK("https://dpmzos25m8ivg.cloudfront.net/Documentos/631/88023516515/6318802351651510092023172839.pdf","https://dpmzos25m8ivg.cloudfront.net/Documentos/631/88023516515/6318802351651510092023172839.pdf")</f>
        <v>https://dpmzos25m8ivg.cloudfront.net/Documentos/631/88023516515/6318802351651510092023172839.pdf</v>
      </c>
      <c r="H8273" s="5" t="s">
        <v>16839</v>
      </c>
    </row>
    <row r="8274" spans="1:8" x14ac:dyDescent="0.25">
      <c r="A8274" s="2" t="s">
        <v>8301</v>
      </c>
      <c r="B8274" s="3"/>
      <c r="C8274" s="3"/>
      <c r="D8274" s="3"/>
      <c r="E8274" s="5" t="str">
        <f>HYPERLINK("https://dpmzos25m8ivg.cloudfront.net/Documentos/631/88048985268/6318804898526808092023231127.pdf","https://dpmzos25m8ivg.cloudfront.net/Documentos/631/88048985268/6318804898526808092023231127.pdf")</f>
        <v>https://dpmzos25m8ivg.cloudfront.net/Documentos/631/88048985268/6318804898526808092023231127.pdf</v>
      </c>
      <c r="F8274" s="5" t="str">
        <f>HYPERLINK("https://dpmzos25m8ivg.cloudfront.net/Documentos/631/88048985268/6318804898526808092023231209.pdf","https://dpmzos25m8ivg.cloudfront.net/Documentos/631/88048985268/6318804898526808092023231209.pdf")</f>
        <v>https://dpmzos25m8ivg.cloudfront.net/Documentos/631/88048985268/6318804898526808092023231209.pdf</v>
      </c>
      <c r="G8274" s="5" t="str">
        <f>HYPERLINK("https://dpmzos25m8ivg.cloudfront.net/Documentos/631/88048985268/6318804898526808092023231239.pdf","https://dpmzos25m8ivg.cloudfront.net/Documentos/631/88048985268/6318804898526808092023231239.pdf")</f>
        <v>https://dpmzos25m8ivg.cloudfront.net/Documentos/631/88048985268/6318804898526808092023231239.pdf</v>
      </c>
      <c r="H8274" s="5" t="s">
        <v>16840</v>
      </c>
    </row>
    <row r="8275" spans="1:8" x14ac:dyDescent="0.25">
      <c r="A8275" s="2" t="s">
        <v>8302</v>
      </c>
      <c r="B8275" s="3"/>
      <c r="C8275" s="3"/>
      <c r="D8275" s="3"/>
      <c r="E8275" s="5" t="str">
        <f>HYPERLINK("https://dpmzos25m8ivg.cloudfront.net/Documentos/631/88064468949/6318806446894908092023114757.jpg","https://dpmzos25m8ivg.cloudfront.net/Documentos/631/88064468949/6318806446894908092023114757.jpg")</f>
        <v>https://dpmzos25m8ivg.cloudfront.net/Documentos/631/88064468949/6318806446894908092023114757.jpg</v>
      </c>
      <c r="F8275" s="5" t="str">
        <f>HYPERLINK("https://dpmzos25m8ivg.cloudfront.net/Documentos/631/88064468949/6318806446894908092023114840.jpg","https://dpmzos25m8ivg.cloudfront.net/Documentos/631/88064468949/6318806446894908092023114840.jpg")</f>
        <v>https://dpmzos25m8ivg.cloudfront.net/Documentos/631/88064468949/6318806446894908092023114840.jpg</v>
      </c>
      <c r="G8275" s="5" t="str">
        <f>HYPERLINK("https://dpmzos25m8ivg.cloudfront.net/Documentos/631/88064468949/6318806446894908092023114936.jpg","https://dpmzos25m8ivg.cloudfront.net/Documentos/631/88064468949/6318806446894908092023114936.jpg")</f>
        <v>https://dpmzos25m8ivg.cloudfront.net/Documentos/631/88064468949/6318806446894908092023114936.jpg</v>
      </c>
      <c r="H8275" s="5" t="s">
        <v>16841</v>
      </c>
    </row>
    <row r="8276" spans="1:8" x14ac:dyDescent="0.25">
      <c r="A8276" s="2" t="s">
        <v>8303</v>
      </c>
      <c r="B8276" s="3"/>
      <c r="C8276" s="3"/>
      <c r="D8276" s="3"/>
      <c r="E8276" s="5" t="str">
        <f>HYPERLINK("https://dpmzos25m8ivg.cloudfront.net/Documentos/631/88130827115/6318813082711514092023091136.pdf","https://dpmzos25m8ivg.cloudfront.net/Documentos/631/88130827115/6318813082711514092023091136.pdf")</f>
        <v>https://dpmzos25m8ivg.cloudfront.net/Documentos/631/88130827115/6318813082711514092023091136.pdf</v>
      </c>
      <c r="F8276" s="5" t="str">
        <f>HYPERLINK("https://dpmzos25m8ivg.cloudfront.net/Documentos/631/88130827115/6318813082711514092023091148.pdf","https://dpmzos25m8ivg.cloudfront.net/Documentos/631/88130827115/6318813082711514092023091148.pdf")</f>
        <v>https://dpmzos25m8ivg.cloudfront.net/Documentos/631/88130827115/6318813082711514092023091148.pdf</v>
      </c>
      <c r="G8276" s="5" t="str">
        <f>HYPERLINK("https://dpmzos25m8ivg.cloudfront.net/Documentos/631/88130827115/6318813082711514092023091158.pdf","https://dpmzos25m8ivg.cloudfront.net/Documentos/631/88130827115/6318813082711514092023091158.pdf")</f>
        <v>https://dpmzos25m8ivg.cloudfront.net/Documentos/631/88130827115/6318813082711514092023091158.pdf</v>
      </c>
      <c r="H8276" s="5" t="s">
        <v>16842</v>
      </c>
    </row>
    <row r="8277" spans="1:8" x14ac:dyDescent="0.25">
      <c r="A8277" s="2" t="s">
        <v>8304</v>
      </c>
      <c r="B8277" s="3" t="s">
        <v>308</v>
      </c>
      <c r="C8277" s="3"/>
      <c r="D8277" s="3"/>
      <c r="E8277" s="5" t="str">
        <f>HYPERLINK("https://dpmzos25m8ivg.cloudfront.net/Documentos/631/88140865320/6318814086532009092023154514.pdf","https://dpmzos25m8ivg.cloudfront.net/Documentos/631/88140865320/6318814086532009092023154514.pdf")</f>
        <v>https://dpmzos25m8ivg.cloudfront.net/Documentos/631/88140865320/6318814086532009092023154514.pdf</v>
      </c>
      <c r="F8277" s="5" t="str">
        <f>HYPERLINK("https://dpmzos25m8ivg.cloudfront.net/Documentos/631/88140865320/6318814086532009092023154525.pdf","https://dpmzos25m8ivg.cloudfront.net/Documentos/631/88140865320/6318814086532009092023154525.pdf")</f>
        <v>https://dpmzos25m8ivg.cloudfront.net/Documentos/631/88140865320/6318814086532009092023154525.pdf</v>
      </c>
      <c r="G8277" s="5" t="str">
        <f>HYPERLINK("https://dpmzos25m8ivg.cloudfront.net/Documentos/631/88140865320/6318814086532009092023154533.pdf","https://dpmzos25m8ivg.cloudfront.net/Documentos/631/88140865320/6318814086532009092023154533.pdf")</f>
        <v>https://dpmzos25m8ivg.cloudfront.net/Documentos/631/88140865320/6318814086532009092023154533.pdf</v>
      </c>
      <c r="H8277" s="5" t="s">
        <v>16843</v>
      </c>
    </row>
    <row r="8278" spans="1:8" x14ac:dyDescent="0.25">
      <c r="A8278" s="2" t="s">
        <v>8305</v>
      </c>
      <c r="B8278" s="3"/>
      <c r="C8278" s="3"/>
      <c r="D8278" s="3"/>
      <c r="E8278" s="5" t="str">
        <f>HYPERLINK("https://dpmzos25m8ivg.cloudfront.net/Documentos/631/88167160610/6318816716061008092023194901.jpg","https://dpmzos25m8ivg.cloudfront.net/Documentos/631/88167160610/6318816716061008092023194901.jpg")</f>
        <v>https://dpmzos25m8ivg.cloudfront.net/Documentos/631/88167160610/6318816716061008092023194901.jpg</v>
      </c>
      <c r="F8278" s="5" t="str">
        <f>HYPERLINK("https://dpmzos25m8ivg.cloudfront.net/Documentos/631/88167160610/6318816716061008092023194915.jpg","https://dpmzos25m8ivg.cloudfront.net/Documentos/631/88167160610/6318816716061008092023194915.jpg")</f>
        <v>https://dpmzos25m8ivg.cloudfront.net/Documentos/631/88167160610/6318816716061008092023194915.jpg</v>
      </c>
      <c r="G8278" s="5" t="str">
        <f>HYPERLINK("https://dpmzos25m8ivg.cloudfront.net/Documentos/631/88167160610/6318816716061008092023194923.jpg","https://dpmzos25m8ivg.cloudfront.net/Documentos/631/88167160610/6318816716061008092023194923.jpg")</f>
        <v>https://dpmzos25m8ivg.cloudfront.net/Documentos/631/88167160610/6318816716061008092023194923.jpg</v>
      </c>
      <c r="H8278" s="5" t="s">
        <v>16844</v>
      </c>
    </row>
    <row r="8279" spans="1:8" x14ac:dyDescent="0.25">
      <c r="A8279" s="2" t="s">
        <v>8306</v>
      </c>
      <c r="B8279" s="3"/>
      <c r="C8279" s="3"/>
      <c r="D8279" s="3"/>
      <c r="E8279" s="5" t="str">
        <f>HYPERLINK("https://dpmzos25m8ivg.cloudfront.net/Documentos/631/88187268700/6318818726870005092023000414.jpg","https://dpmzos25m8ivg.cloudfront.net/Documentos/631/88187268700/6318818726870005092023000414.jpg")</f>
        <v>https://dpmzos25m8ivg.cloudfront.net/Documentos/631/88187268700/6318818726870005092023000414.jpg</v>
      </c>
      <c r="F8279" s="5" t="str">
        <f>HYPERLINK("https://dpmzos25m8ivg.cloudfront.net/Documentos/631/88187268700/6318818726870005092023001524.jpg","https://dpmzos25m8ivg.cloudfront.net/Documentos/631/88187268700/6318818726870005092023001524.jpg")</f>
        <v>https://dpmzos25m8ivg.cloudfront.net/Documentos/631/88187268700/6318818726870005092023001524.jpg</v>
      </c>
      <c r="G8279" s="5" t="str">
        <f>HYPERLINK("https://dpmzos25m8ivg.cloudfront.net/Documentos/631/88187268700/6318818726870005092023001712.jpg","https://dpmzos25m8ivg.cloudfront.net/Documentos/631/88187268700/6318818726870005092023001712.jpg")</f>
        <v>https://dpmzos25m8ivg.cloudfront.net/Documentos/631/88187268700/6318818726870005092023001712.jpg</v>
      </c>
      <c r="H8279" s="5" t="s">
        <v>16845</v>
      </c>
    </row>
    <row r="8280" spans="1:8" x14ac:dyDescent="0.25">
      <c r="A8280" s="2" t="s">
        <v>8307</v>
      </c>
      <c r="B8280" s="3"/>
      <c r="C8280" s="3"/>
      <c r="D8280" s="3"/>
      <c r="E8280" s="5" t="str">
        <f>HYPERLINK("https://dpmzos25m8ivg.cloudfront.net/Documentos/631/88311759391/6318831175939111092023151442.pdf","https://dpmzos25m8ivg.cloudfront.net/Documentos/631/88311759391/6318831175939111092023151442.pdf")</f>
        <v>https://dpmzos25m8ivg.cloudfront.net/Documentos/631/88311759391/6318831175939111092023151442.pdf</v>
      </c>
      <c r="F8280" s="5" t="str">
        <f>HYPERLINK("https://dpmzos25m8ivg.cloudfront.net/Documentos/631/88311759391/6318831175939111092023151457.pdf","https://dpmzos25m8ivg.cloudfront.net/Documentos/631/88311759391/6318831175939111092023151457.pdf")</f>
        <v>https://dpmzos25m8ivg.cloudfront.net/Documentos/631/88311759391/6318831175939111092023151457.pdf</v>
      </c>
      <c r="G8280" s="5" t="str">
        <f>HYPERLINK("https://dpmzos25m8ivg.cloudfront.net/Documentos/631/88311759391/6318831175939111092023151510.pdf","https://dpmzos25m8ivg.cloudfront.net/Documentos/631/88311759391/6318831175939111092023151510.pdf")</f>
        <v>https://dpmzos25m8ivg.cloudfront.net/Documentos/631/88311759391/6318831175939111092023151510.pdf</v>
      </c>
      <c r="H8280" s="5" t="s">
        <v>16846</v>
      </c>
    </row>
    <row r="8281" spans="1:8" x14ac:dyDescent="0.25">
      <c r="A8281" s="2" t="s">
        <v>8308</v>
      </c>
      <c r="B8281" s="3"/>
      <c r="C8281" s="3"/>
      <c r="D8281" s="3"/>
      <c r="E8281" s="5" t="str">
        <f>HYPERLINK("https://dpmzos25m8ivg.cloudfront.net/Documentos/631/88330940144/6318833094014409092023164121.pdf","https://dpmzos25m8ivg.cloudfront.net/Documentos/631/88330940144/6318833094014409092023164121.pdf")</f>
        <v>https://dpmzos25m8ivg.cloudfront.net/Documentos/631/88330940144/6318833094014409092023164121.pdf</v>
      </c>
      <c r="F8281" s="5" t="str">
        <f>HYPERLINK("https://dpmzos25m8ivg.cloudfront.net/Documentos/631/88330940144/6318833094014409092023164134.pdf","https://dpmzos25m8ivg.cloudfront.net/Documentos/631/88330940144/6318833094014409092023164134.pdf")</f>
        <v>https://dpmzos25m8ivg.cloudfront.net/Documentos/631/88330940144/6318833094014409092023164134.pdf</v>
      </c>
      <c r="G8281" s="5" t="str">
        <f>HYPERLINK("https://dpmzos25m8ivg.cloudfront.net/Documentos/631/88330940144/6318833094014409092023164145.pdf","https://dpmzos25m8ivg.cloudfront.net/Documentos/631/88330940144/6318833094014409092023164145.pdf")</f>
        <v>https://dpmzos25m8ivg.cloudfront.net/Documentos/631/88330940144/6318833094014409092023164145.pdf</v>
      </c>
      <c r="H8281" s="5" t="s">
        <v>16847</v>
      </c>
    </row>
    <row r="8282" spans="1:8" x14ac:dyDescent="0.25">
      <c r="A8282" s="2" t="s">
        <v>8309</v>
      </c>
      <c r="B8282" s="3"/>
      <c r="C8282" s="3"/>
      <c r="D8282" s="3"/>
      <c r="E8282" s="5" t="str">
        <f>HYPERLINK("https://dpmzos25m8ivg.cloudfront.net/Documentos/631/88369560415/6318836956041511092023155057.jpg","https://dpmzos25m8ivg.cloudfront.net/Documentos/631/88369560415/6318836956041511092023155057.jpg")</f>
        <v>https://dpmzos25m8ivg.cloudfront.net/Documentos/631/88369560415/6318836956041511092023155057.jpg</v>
      </c>
      <c r="F8282" s="5" t="str">
        <f>HYPERLINK("https://dpmzos25m8ivg.cloudfront.net/Documentos/631/88369560415/6318836956041511092023155201.jpg","https://dpmzos25m8ivg.cloudfront.net/Documentos/631/88369560415/6318836956041511092023155201.jpg")</f>
        <v>https://dpmzos25m8ivg.cloudfront.net/Documentos/631/88369560415/6318836956041511092023155201.jpg</v>
      </c>
      <c r="G8282" s="5" t="str">
        <f>HYPERLINK("https://dpmzos25m8ivg.cloudfront.net/Documentos/631/88369560415/6318836956041511092023155327.jpg","https://dpmzos25m8ivg.cloudfront.net/Documentos/631/88369560415/6318836956041511092023155327.jpg")</f>
        <v>https://dpmzos25m8ivg.cloudfront.net/Documentos/631/88369560415/6318836956041511092023155327.jpg</v>
      </c>
      <c r="H8282" s="5" t="s">
        <v>16848</v>
      </c>
    </row>
    <row r="8283" spans="1:8" x14ac:dyDescent="0.25">
      <c r="A8283" s="2" t="s">
        <v>8310</v>
      </c>
      <c r="B8283" s="3" t="s">
        <v>23</v>
      </c>
      <c r="C8283" s="3"/>
      <c r="D8283" s="3"/>
      <c r="E8283" s="5" t="str">
        <f>HYPERLINK("https://dpmzos25m8ivg.cloudfront.net/Documentos/631/88459187268/6318845918726810092023223509.jpg","https://dpmzos25m8ivg.cloudfront.net/Documentos/631/88459187268/6318845918726810092023223509.jpg")</f>
        <v>https://dpmzos25m8ivg.cloudfront.net/Documentos/631/88459187268/6318845918726810092023223509.jpg</v>
      </c>
      <c r="F8283" s="5" t="str">
        <f>HYPERLINK("https://dpmzos25m8ivg.cloudfront.net/Documentos/631/88459187268/6318845918726810092023223521.jpg","https://dpmzos25m8ivg.cloudfront.net/Documentos/631/88459187268/6318845918726810092023223521.jpg")</f>
        <v>https://dpmzos25m8ivg.cloudfront.net/Documentos/631/88459187268/6318845918726810092023223521.jpg</v>
      </c>
      <c r="G8283" s="5" t="str">
        <f>HYPERLINK("https://dpmzos25m8ivg.cloudfront.net/Documentos/631/88459187268/6318845918726810092023223530.jpg","https://dpmzos25m8ivg.cloudfront.net/Documentos/631/88459187268/6318845918726810092023223530.jpg")</f>
        <v>https://dpmzos25m8ivg.cloudfront.net/Documentos/631/88459187268/6318845918726810092023223530.jpg</v>
      </c>
      <c r="H8283" s="5" t="s">
        <v>16849</v>
      </c>
    </row>
    <row r="8284" spans="1:8" x14ac:dyDescent="0.25">
      <c r="A8284" s="2" t="s">
        <v>8311</v>
      </c>
      <c r="B8284" s="3"/>
      <c r="C8284" s="3"/>
      <c r="D8284" s="3"/>
      <c r="E8284" s="5" t="str">
        <f>HYPERLINK("https://dpmzos25m8ivg.cloudfront.net/Documentos/631/88478041249/6318847804124910092023211040.pdf","https://dpmzos25m8ivg.cloudfront.net/Documentos/631/88478041249/6318847804124910092023211040.pdf")</f>
        <v>https://dpmzos25m8ivg.cloudfront.net/Documentos/631/88478041249/6318847804124910092023211040.pdf</v>
      </c>
      <c r="F8284" s="5" t="str">
        <f>HYPERLINK("https://dpmzos25m8ivg.cloudfront.net/Documentos/631/88478041249/6318847804124910092023211058.pdf","https://dpmzos25m8ivg.cloudfront.net/Documentos/631/88478041249/6318847804124910092023211058.pdf")</f>
        <v>https://dpmzos25m8ivg.cloudfront.net/Documentos/631/88478041249/6318847804124910092023211058.pdf</v>
      </c>
      <c r="G8284" s="5" t="str">
        <f>HYPERLINK("https://dpmzos25m8ivg.cloudfront.net/Documentos/631/88478041249/6318847804124910092023211702.pdf","https://dpmzos25m8ivg.cloudfront.net/Documentos/631/88478041249/6318847804124910092023211702.pdf")</f>
        <v>https://dpmzos25m8ivg.cloudfront.net/Documentos/631/88478041249/6318847804124910092023211702.pdf</v>
      </c>
      <c r="H8284" s="5" t="s">
        <v>16850</v>
      </c>
    </row>
    <row r="8285" spans="1:8" x14ac:dyDescent="0.25">
      <c r="A8285" s="2" t="s">
        <v>8312</v>
      </c>
      <c r="B8285" s="3"/>
      <c r="C8285" s="3"/>
      <c r="D8285" s="3"/>
      <c r="E8285" s="5" t="str">
        <f>HYPERLINK("https://dpmzos25m8ivg.cloudfront.net/Documentos/631/88536076615/6318853607661511092023162129.jpg","https://dpmzos25m8ivg.cloudfront.net/Documentos/631/88536076615/6318853607661511092023162129.jpg")</f>
        <v>https://dpmzos25m8ivg.cloudfront.net/Documentos/631/88536076615/6318853607661511092023162129.jpg</v>
      </c>
      <c r="F8285" s="5" t="str">
        <f>HYPERLINK("https://dpmzos25m8ivg.cloudfront.net/Documentos/631/88536076615/6318853607661511092023162204.jpg","https://dpmzos25m8ivg.cloudfront.net/Documentos/631/88536076615/6318853607661511092023162204.jpg")</f>
        <v>https://dpmzos25m8ivg.cloudfront.net/Documentos/631/88536076615/6318853607661511092023162204.jpg</v>
      </c>
      <c r="G8285" s="5" t="str">
        <f>HYPERLINK("https://dpmzos25m8ivg.cloudfront.net/Documentos/631/88536076615/6318853607661511092023162225.jpg","https://dpmzos25m8ivg.cloudfront.net/Documentos/631/88536076615/6318853607661511092023162225.jpg")</f>
        <v>https://dpmzos25m8ivg.cloudfront.net/Documentos/631/88536076615/6318853607661511092023162225.jpg</v>
      </c>
      <c r="H8285" s="5" t="s">
        <v>16851</v>
      </c>
    </row>
    <row r="8286" spans="1:8" x14ac:dyDescent="0.25">
      <c r="A8286" s="2" t="s">
        <v>8313</v>
      </c>
      <c r="B8286" s="3" t="s">
        <v>308</v>
      </c>
      <c r="C8286" s="3"/>
      <c r="D8286" s="3"/>
      <c r="E8286" s="5" t="str">
        <f>HYPERLINK("https://dpmzos25m8ivg.cloudfront.net/Documentos/631/88568016200/6318856801620010092023203544.jpg","https://dpmzos25m8ivg.cloudfront.net/Documentos/631/88568016200/6318856801620010092023203544.jpg")</f>
        <v>https://dpmzos25m8ivg.cloudfront.net/Documentos/631/88568016200/6318856801620010092023203544.jpg</v>
      </c>
      <c r="F8286" s="5" t="str">
        <f>HYPERLINK("https://dpmzos25m8ivg.cloudfront.net/Documentos/631/88568016200/6318856801620010092023203629.jpg","https://dpmzos25m8ivg.cloudfront.net/Documentos/631/88568016200/6318856801620010092023203629.jpg")</f>
        <v>https://dpmzos25m8ivg.cloudfront.net/Documentos/631/88568016200/6318856801620010092023203629.jpg</v>
      </c>
      <c r="G8286" s="5" t="str">
        <f>HYPERLINK("https://dpmzos25m8ivg.cloudfront.net/Documentos/631/88568016200/6318856801620010092023203654.jpg","https://dpmzos25m8ivg.cloudfront.net/Documentos/631/88568016200/6318856801620010092023203654.jpg")</f>
        <v>https://dpmzos25m8ivg.cloudfront.net/Documentos/631/88568016200/6318856801620010092023203654.jpg</v>
      </c>
      <c r="H8286" s="5" t="s">
        <v>16852</v>
      </c>
    </row>
    <row r="8287" spans="1:8" x14ac:dyDescent="0.25">
      <c r="A8287" s="2" t="s">
        <v>8314</v>
      </c>
      <c r="B8287" s="3"/>
      <c r="C8287" s="3"/>
      <c r="D8287" s="3"/>
      <c r="E8287" s="5" t="str">
        <f>HYPERLINK("https://dpmzos25m8ivg.cloudfront.net/Documentos/631/88581268315/6318858126831506092023000317.jpeg","https://dpmzos25m8ivg.cloudfront.net/Documentos/631/88581268315/6318858126831506092023000317.jpeg")</f>
        <v>https://dpmzos25m8ivg.cloudfront.net/Documentos/631/88581268315/6318858126831506092023000317.jpeg</v>
      </c>
      <c r="F8287" s="5" t="str">
        <f>HYPERLINK("https://dpmzos25m8ivg.cloudfront.net/Documentos/631/88581268315/6318858126831506092023000329.jpeg","https://dpmzos25m8ivg.cloudfront.net/Documentos/631/88581268315/6318858126831506092023000329.jpeg")</f>
        <v>https://dpmzos25m8ivg.cloudfront.net/Documentos/631/88581268315/6318858126831506092023000329.jpeg</v>
      </c>
      <c r="G8287" s="5" t="str">
        <f>HYPERLINK("https://dpmzos25m8ivg.cloudfront.net/Documentos/631/88581268315/6318858126831506092023000341.jpeg","https://dpmzos25m8ivg.cloudfront.net/Documentos/631/88581268315/6318858126831506092023000341.jpeg")</f>
        <v>https://dpmzos25m8ivg.cloudfront.net/Documentos/631/88581268315/6318858126831506092023000341.jpeg</v>
      </c>
      <c r="H8287" s="5" t="s">
        <v>16853</v>
      </c>
    </row>
    <row r="8288" spans="1:8" x14ac:dyDescent="0.25">
      <c r="A8288" s="2" t="s">
        <v>8315</v>
      </c>
      <c r="B8288" s="3" t="s">
        <v>90</v>
      </c>
      <c r="C8288" s="3"/>
      <c r="D8288" s="3"/>
      <c r="E8288" s="5" t="str">
        <f>HYPERLINK("https://dpmzos25m8ivg.cloudfront.net/Documentos/631/88591387287/6318859138728705092023182803.jpeg","https://dpmzos25m8ivg.cloudfront.net/Documentos/631/88591387287/6318859138728705092023182803.jpeg")</f>
        <v>https://dpmzos25m8ivg.cloudfront.net/Documentos/631/88591387287/6318859138728705092023182803.jpeg</v>
      </c>
      <c r="F8288" s="5" t="str">
        <f>HYPERLINK("https://dpmzos25m8ivg.cloudfront.net/Documentos/631/88591387287/6318859138728705092023182853.jpeg","https://dpmzos25m8ivg.cloudfront.net/Documentos/631/88591387287/6318859138728705092023182853.jpeg")</f>
        <v>https://dpmzos25m8ivg.cloudfront.net/Documentos/631/88591387287/6318859138728705092023182853.jpeg</v>
      </c>
      <c r="G8288" s="5" t="str">
        <f>HYPERLINK("https://dpmzos25m8ivg.cloudfront.net/Documentos/631/88591387287/6318859138728705092023182955.jpeg","https://dpmzos25m8ivg.cloudfront.net/Documentos/631/88591387287/6318859138728705092023182955.jpeg")</f>
        <v>https://dpmzos25m8ivg.cloudfront.net/Documentos/631/88591387287/6318859138728705092023182955.jpeg</v>
      </c>
      <c r="H8288" s="5" t="s">
        <v>16854</v>
      </c>
    </row>
    <row r="8289" spans="1:8" x14ac:dyDescent="0.25">
      <c r="A8289" s="2" t="s">
        <v>8316</v>
      </c>
      <c r="B8289" s="3" t="s">
        <v>23</v>
      </c>
      <c r="C8289" s="3"/>
      <c r="D8289" s="3"/>
      <c r="E8289" s="5" t="str">
        <f>HYPERLINK("https://dpmzos25m8ivg.cloudfront.net/Documentos/631/88615049149/6318861504914906092023181730.jpeg","https://dpmzos25m8ivg.cloudfront.net/Documentos/631/88615049149/6318861504914906092023181730.jpeg")</f>
        <v>https://dpmzos25m8ivg.cloudfront.net/Documentos/631/88615049149/6318861504914906092023181730.jpeg</v>
      </c>
      <c r="F8289" s="5" t="str">
        <f>HYPERLINK("https://dpmzos25m8ivg.cloudfront.net/Documentos/631/88615049149/6318861504914906092023182610.pdf","https://dpmzos25m8ivg.cloudfront.net/Documentos/631/88615049149/6318861504914906092023182610.pdf")</f>
        <v>https://dpmzos25m8ivg.cloudfront.net/Documentos/631/88615049149/6318861504914906092023182610.pdf</v>
      </c>
      <c r="G8289" s="5" t="str">
        <f>HYPERLINK("https://dpmzos25m8ivg.cloudfront.net/Documentos/631/88615049149/6318861504914906092023182644.pdf","https://dpmzos25m8ivg.cloudfront.net/Documentos/631/88615049149/6318861504914906092023182644.pdf")</f>
        <v>https://dpmzos25m8ivg.cloudfront.net/Documentos/631/88615049149/6318861504914906092023182644.pdf</v>
      </c>
      <c r="H8289" s="5" t="s">
        <v>16855</v>
      </c>
    </row>
    <row r="8290" spans="1:8" x14ac:dyDescent="0.25">
      <c r="A8290" s="2" t="s">
        <v>8317</v>
      </c>
      <c r="B8290" s="3"/>
      <c r="C8290" s="3"/>
      <c r="D8290" s="3"/>
      <c r="E8290" s="5" t="str">
        <f>HYPERLINK("https://dpmzos25m8ivg.cloudfront.net/Documentos/631/88659330200/6318865933020011092023114039.pdf","https://dpmzos25m8ivg.cloudfront.net/Documentos/631/88659330200/6318865933020011092023114039.pdf")</f>
        <v>https://dpmzos25m8ivg.cloudfront.net/Documentos/631/88659330200/6318865933020011092023114039.pdf</v>
      </c>
      <c r="F8290" s="5" t="str">
        <f>HYPERLINK("https://dpmzos25m8ivg.cloudfront.net/Documentos/631/88659330200/6318865933020011092023114132.pdf","https://dpmzos25m8ivg.cloudfront.net/Documentos/631/88659330200/6318865933020011092023114132.pdf")</f>
        <v>https://dpmzos25m8ivg.cloudfront.net/Documentos/631/88659330200/6318865933020011092023114132.pdf</v>
      </c>
      <c r="G8290" s="5" t="str">
        <f>HYPERLINK("https://dpmzos25m8ivg.cloudfront.net/Documentos/631/88659330200/6318865933020011092023114220.pdf","https://dpmzos25m8ivg.cloudfront.net/Documentos/631/88659330200/6318865933020011092023114220.pdf")</f>
        <v>https://dpmzos25m8ivg.cloudfront.net/Documentos/631/88659330200/6318865933020011092023114220.pdf</v>
      </c>
      <c r="H8290" s="5" t="s">
        <v>16856</v>
      </c>
    </row>
    <row r="8291" spans="1:8" x14ac:dyDescent="0.25">
      <c r="A8291" s="2" t="s">
        <v>8318</v>
      </c>
      <c r="B8291" s="3"/>
      <c r="C8291" s="3"/>
      <c r="D8291" s="3"/>
      <c r="E8291" s="5" t="str">
        <f>HYPERLINK("https://dpmzos25m8ivg.cloudfront.net/Documentos/631/88804810459/6318880481045911092023150903.pdf","https://dpmzos25m8ivg.cloudfront.net/Documentos/631/88804810459/6318880481045911092023150903.pdf")</f>
        <v>https://dpmzos25m8ivg.cloudfront.net/Documentos/631/88804810459/6318880481045911092023150903.pdf</v>
      </c>
      <c r="F8291" s="5" t="str">
        <f>HYPERLINK("https://dpmzos25m8ivg.cloudfront.net/Documentos/631/88804810459/6318880481045911092023150953.pdf","https://dpmzos25m8ivg.cloudfront.net/Documentos/631/88804810459/6318880481045911092023150953.pdf")</f>
        <v>https://dpmzos25m8ivg.cloudfront.net/Documentos/631/88804810459/6318880481045911092023150953.pdf</v>
      </c>
      <c r="G8291" s="5" t="str">
        <f>HYPERLINK("https://dpmzos25m8ivg.cloudfront.net/Documentos/631/88804810459/6318880481045911092023151035.pdf","https://dpmzos25m8ivg.cloudfront.net/Documentos/631/88804810459/6318880481045911092023151035.pdf")</f>
        <v>https://dpmzos25m8ivg.cloudfront.net/Documentos/631/88804810459/6318880481045911092023151035.pdf</v>
      </c>
      <c r="H8291" s="5" t="s">
        <v>16857</v>
      </c>
    </row>
    <row r="8292" spans="1:8" x14ac:dyDescent="0.25">
      <c r="A8292" s="2" t="s">
        <v>8319</v>
      </c>
      <c r="B8292" s="3"/>
      <c r="C8292" s="3"/>
      <c r="D8292" s="3"/>
      <c r="E8292" s="5" t="str">
        <f>HYPERLINK("https://dpmzos25m8ivg.cloudfront.net/Documentos/631/88884384249/6318888438424910092023175802.jpeg","https://dpmzos25m8ivg.cloudfront.net/Documentos/631/88884384249/6318888438424910092023175802.jpeg")</f>
        <v>https://dpmzos25m8ivg.cloudfront.net/Documentos/631/88884384249/6318888438424910092023175802.jpeg</v>
      </c>
      <c r="F8292" s="5" t="str">
        <f>HYPERLINK("https://dpmzos25m8ivg.cloudfront.net/Documentos/631/88884384249/6318888438424910092023175748.jpeg","https://dpmzos25m8ivg.cloudfront.net/Documentos/631/88884384249/6318888438424910092023175748.jpeg")</f>
        <v>https://dpmzos25m8ivg.cloudfront.net/Documentos/631/88884384249/6318888438424910092023175748.jpeg</v>
      </c>
      <c r="G8292" s="5" t="str">
        <f>HYPERLINK("https://dpmzos25m8ivg.cloudfront.net/Documentos/631/88884384249/6318888438424910092023175735.jpeg","https://dpmzos25m8ivg.cloudfront.net/Documentos/631/88884384249/6318888438424910092023175735.jpeg")</f>
        <v>https://dpmzos25m8ivg.cloudfront.net/Documentos/631/88884384249/6318888438424910092023175735.jpeg</v>
      </c>
      <c r="H8292" s="5" t="s">
        <v>16858</v>
      </c>
    </row>
    <row r="8293" spans="1:8" x14ac:dyDescent="0.25">
      <c r="A8293" s="2" t="s">
        <v>8320</v>
      </c>
      <c r="B8293" s="3"/>
      <c r="C8293" s="3"/>
      <c r="D8293" s="3"/>
      <c r="E8293" s="5" t="str">
        <f>HYPERLINK("https://dpmzos25m8ivg.cloudfront.net/Documentos/631/89255860453/6318925586045311092023152901.pdf","https://dpmzos25m8ivg.cloudfront.net/Documentos/631/89255860453/6318925586045311092023152901.pdf")</f>
        <v>https://dpmzos25m8ivg.cloudfront.net/Documentos/631/89255860453/6318925586045311092023152901.pdf</v>
      </c>
      <c r="F8293" s="5" t="str">
        <f>HYPERLINK("https://dpmzos25m8ivg.cloudfront.net/Documentos/631/89255860453/6318925586045311092023152922.pdf","https://dpmzos25m8ivg.cloudfront.net/Documentos/631/89255860453/6318925586045311092023152922.pdf")</f>
        <v>https://dpmzos25m8ivg.cloudfront.net/Documentos/631/89255860453/6318925586045311092023152922.pdf</v>
      </c>
      <c r="G8293" s="5" t="str">
        <f>HYPERLINK("https://dpmzos25m8ivg.cloudfront.net/Documentos/631/89255860453/6318925586045311092023152940.pdf","https://dpmzos25m8ivg.cloudfront.net/Documentos/631/89255860453/6318925586045311092023152940.pdf")</f>
        <v>https://dpmzos25m8ivg.cloudfront.net/Documentos/631/89255860453/6318925586045311092023152940.pdf</v>
      </c>
      <c r="H8293" s="5" t="s">
        <v>16859</v>
      </c>
    </row>
    <row r="8294" spans="1:8" x14ac:dyDescent="0.25">
      <c r="A8294" s="2" t="s">
        <v>8321</v>
      </c>
      <c r="B8294" s="3"/>
      <c r="C8294" s="3"/>
      <c r="D8294" s="3"/>
      <c r="E8294" s="5" t="str">
        <f>HYPERLINK("https://dpmzos25m8ivg.cloudfront.net/Documentos/631/89293347687/6318929334768713092023174047.pdf","https://dpmzos25m8ivg.cloudfront.net/Documentos/631/89293347687/6318929334768713092023174047.pdf")</f>
        <v>https://dpmzos25m8ivg.cloudfront.net/Documentos/631/89293347687/6318929334768713092023174047.pdf</v>
      </c>
      <c r="F8294" s="5" t="str">
        <f>HYPERLINK("https://dpmzos25m8ivg.cloudfront.net/Documentos/631/89293347687/6318929334768713092023174104.pdf","https://dpmzos25m8ivg.cloudfront.net/Documentos/631/89293347687/6318929334768713092023174104.pdf")</f>
        <v>https://dpmzos25m8ivg.cloudfront.net/Documentos/631/89293347687/6318929334768713092023174104.pdf</v>
      </c>
      <c r="G8294" s="5" t="str">
        <f>HYPERLINK("https://dpmzos25m8ivg.cloudfront.net/Documentos/631/89293347687/6318929334768713092023174111.pdf","https://dpmzos25m8ivg.cloudfront.net/Documentos/631/89293347687/6318929334768713092023174111.pdf")</f>
        <v>https://dpmzos25m8ivg.cloudfront.net/Documentos/631/89293347687/6318929334768713092023174111.pdf</v>
      </c>
      <c r="H8294" s="5" t="s">
        <v>16860</v>
      </c>
    </row>
    <row r="8295" spans="1:8" x14ac:dyDescent="0.25">
      <c r="A8295" s="2" t="s">
        <v>8322</v>
      </c>
      <c r="B8295" s="3"/>
      <c r="C8295" s="3"/>
      <c r="D8295" s="3"/>
      <c r="E8295" s="5" t="str">
        <f>HYPERLINK("https://dpmzos25m8ivg.cloudfront.net/Documentos/631/89306538200/6318930653820014092023110454.pdf","https://dpmzos25m8ivg.cloudfront.net/Documentos/631/89306538200/6318930653820014092023110454.pdf")</f>
        <v>https://dpmzos25m8ivg.cloudfront.net/Documentos/631/89306538200/6318930653820014092023110454.pdf</v>
      </c>
      <c r="F8295" s="5" t="str">
        <f>HYPERLINK("https://dpmzos25m8ivg.cloudfront.net/Documentos/631/89306538200/6318930653820014092023110510.pdf","https://dpmzos25m8ivg.cloudfront.net/Documentos/631/89306538200/6318930653820014092023110510.pdf")</f>
        <v>https://dpmzos25m8ivg.cloudfront.net/Documentos/631/89306538200/6318930653820014092023110510.pdf</v>
      </c>
      <c r="G8295" s="5" t="str">
        <f>HYPERLINK("https://dpmzos25m8ivg.cloudfront.net/Documentos/631/89306538200/6318930653820014092023110517.pdf","https://dpmzos25m8ivg.cloudfront.net/Documentos/631/89306538200/6318930653820014092023110517.pdf")</f>
        <v>https://dpmzos25m8ivg.cloudfront.net/Documentos/631/89306538200/6318930653820014092023110517.pdf</v>
      </c>
      <c r="H8295" s="5" t="s">
        <v>16861</v>
      </c>
    </row>
    <row r="8296" spans="1:8" x14ac:dyDescent="0.25">
      <c r="A8296" s="2" t="s">
        <v>8323</v>
      </c>
      <c r="B8296" s="3"/>
      <c r="C8296" s="3"/>
      <c r="D8296" s="3"/>
      <c r="E8296" s="5" t="str">
        <f>HYPERLINK("https://dpmzos25m8ivg.cloudfront.net/Documentos/631/89327993500/6318932799350007092023095943.pdf","https://dpmzos25m8ivg.cloudfront.net/Documentos/631/89327993500/6318932799350007092023095943.pdf")</f>
        <v>https://dpmzos25m8ivg.cloudfront.net/Documentos/631/89327993500/6318932799350007092023095943.pdf</v>
      </c>
      <c r="F8296" s="5" t="str">
        <f>HYPERLINK("https://dpmzos25m8ivg.cloudfront.net/Documentos/631/89327993500/6318932799350007092023095953.pdf","https://dpmzos25m8ivg.cloudfront.net/Documentos/631/89327993500/6318932799350007092023095953.pdf")</f>
        <v>https://dpmzos25m8ivg.cloudfront.net/Documentos/631/89327993500/6318932799350007092023095953.pdf</v>
      </c>
      <c r="G8296" s="5" t="str">
        <f>HYPERLINK("https://dpmzos25m8ivg.cloudfront.net/Documentos/631/89327993500/6318932799350007092023100004.pdf","https://dpmzos25m8ivg.cloudfront.net/Documentos/631/89327993500/6318932799350007092023100004.pdf")</f>
        <v>https://dpmzos25m8ivg.cloudfront.net/Documentos/631/89327993500/6318932799350007092023100004.pdf</v>
      </c>
      <c r="H8296" s="5" t="s">
        <v>16862</v>
      </c>
    </row>
    <row r="8297" spans="1:8" x14ac:dyDescent="0.25">
      <c r="A8297" s="2" t="s">
        <v>8324</v>
      </c>
      <c r="B8297" s="3"/>
      <c r="C8297" s="3"/>
      <c r="D8297" s="3"/>
      <c r="E8297" s="5" t="str">
        <f>HYPERLINK("https://dpmzos25m8ivg.cloudfront.net/Documentos/631/89331001568/6318933100156811092023153542.jpg","https://dpmzos25m8ivg.cloudfront.net/Documentos/631/89331001568/6318933100156811092023153542.jpg")</f>
        <v>https://dpmzos25m8ivg.cloudfront.net/Documentos/631/89331001568/6318933100156811092023153542.jpg</v>
      </c>
      <c r="F8297" s="5" t="str">
        <f>HYPERLINK("https://dpmzos25m8ivg.cloudfront.net/Documentos/631/89331001568/6318933100156811092023153705.jpg","https://dpmzos25m8ivg.cloudfront.net/Documentos/631/89331001568/6318933100156811092023153705.jpg")</f>
        <v>https://dpmzos25m8ivg.cloudfront.net/Documentos/631/89331001568/6318933100156811092023153705.jpg</v>
      </c>
      <c r="G8297" s="5" t="str">
        <f>HYPERLINK("https://dpmzos25m8ivg.cloudfront.net/Documentos/631/89331001568/6318933100156811092023153831.jpg","https://dpmzos25m8ivg.cloudfront.net/Documentos/631/89331001568/6318933100156811092023153831.jpg")</f>
        <v>https://dpmzos25m8ivg.cloudfront.net/Documentos/631/89331001568/6318933100156811092023153831.jpg</v>
      </c>
      <c r="H8297" s="5" t="s">
        <v>16863</v>
      </c>
    </row>
    <row r="8298" spans="1:8" x14ac:dyDescent="0.25">
      <c r="A8298" s="2" t="s">
        <v>8325</v>
      </c>
      <c r="B8298" s="3"/>
      <c r="C8298" s="3"/>
      <c r="D8298" s="3"/>
      <c r="E8298" s="5" t="str">
        <f>HYPERLINK("https://dpmzos25m8ivg.cloudfront.net/Documentos/631/89373324187/6318937332418705092023130629.jpg","https://dpmzos25m8ivg.cloudfront.net/Documentos/631/89373324187/6318937332418705092023130629.jpg")</f>
        <v>https://dpmzos25m8ivg.cloudfront.net/Documentos/631/89373324187/6318937332418705092023130629.jpg</v>
      </c>
      <c r="F8298" s="5" t="str">
        <f>HYPERLINK("https://dpmzos25m8ivg.cloudfront.net/Documentos/631/89373324187/6318937332418705092023130651.jpg","https://dpmzos25m8ivg.cloudfront.net/Documentos/631/89373324187/6318937332418705092023130651.jpg")</f>
        <v>https://dpmzos25m8ivg.cloudfront.net/Documentos/631/89373324187/6318937332418705092023130651.jpg</v>
      </c>
      <c r="G8298" s="5" t="str">
        <f>HYPERLINK("https://dpmzos25m8ivg.cloudfront.net/Documentos/631/89373324187/6318937332418705092023130710.jpg","https://dpmzos25m8ivg.cloudfront.net/Documentos/631/89373324187/6318937332418705092023130710.jpg")</f>
        <v>https://dpmzos25m8ivg.cloudfront.net/Documentos/631/89373324187/6318937332418705092023130710.jpg</v>
      </c>
      <c r="H8298" s="5" t="s">
        <v>16864</v>
      </c>
    </row>
    <row r="8299" spans="1:8" x14ac:dyDescent="0.25">
      <c r="A8299" s="2" t="s">
        <v>8326</v>
      </c>
      <c r="B8299" s="3"/>
      <c r="C8299" s="3"/>
      <c r="D8299" s="3"/>
      <c r="E8299" s="5" t="str">
        <f>HYPERLINK("https://dpmzos25m8ivg.cloudfront.net/Documentos/631/89385691287/6318938569128711092023104911.pdf","https://dpmzos25m8ivg.cloudfront.net/Documentos/631/89385691287/6318938569128711092023104911.pdf")</f>
        <v>https://dpmzos25m8ivg.cloudfront.net/Documentos/631/89385691287/6318938569128711092023104911.pdf</v>
      </c>
      <c r="F8299" s="5" t="str">
        <f>HYPERLINK("https://dpmzos25m8ivg.cloudfront.net/Documentos/631/89385691287/6318938569128711092023104926.pdf","https://dpmzos25m8ivg.cloudfront.net/Documentos/631/89385691287/6318938569128711092023104926.pdf")</f>
        <v>https://dpmzos25m8ivg.cloudfront.net/Documentos/631/89385691287/6318938569128711092023104926.pdf</v>
      </c>
      <c r="G8299" s="5" t="str">
        <f>HYPERLINK("https://dpmzos25m8ivg.cloudfront.net/Documentos/631/89385691287/6318938569128711092023104936.pdf","https://dpmzos25m8ivg.cloudfront.net/Documentos/631/89385691287/6318938569128711092023104936.pdf")</f>
        <v>https://dpmzos25m8ivg.cloudfront.net/Documentos/631/89385691287/6318938569128711092023104936.pdf</v>
      </c>
      <c r="H8299" s="5" t="s">
        <v>16865</v>
      </c>
    </row>
    <row r="8300" spans="1:8" x14ac:dyDescent="0.25">
      <c r="A8300" s="2" t="s">
        <v>8327</v>
      </c>
      <c r="B8300" s="3"/>
      <c r="C8300" s="3"/>
      <c r="D8300" s="3"/>
      <c r="E8300" s="5" t="str">
        <f>HYPERLINK("https://dpmzos25m8ivg.cloudfront.net/Documentos/631/89397193368/6318939719336810092023104639.pdf","https://dpmzos25m8ivg.cloudfront.net/Documentos/631/89397193368/6318939719336810092023104639.pdf")</f>
        <v>https://dpmzos25m8ivg.cloudfront.net/Documentos/631/89397193368/6318939719336810092023104639.pdf</v>
      </c>
      <c r="F8300" s="5" t="str">
        <f>HYPERLINK("https://dpmzos25m8ivg.cloudfront.net/Documentos/631/89397193368/6318939719336810092023104650.pdf","https://dpmzos25m8ivg.cloudfront.net/Documentos/631/89397193368/6318939719336810092023104650.pdf")</f>
        <v>https://dpmzos25m8ivg.cloudfront.net/Documentos/631/89397193368/6318939719336810092023104650.pdf</v>
      </c>
      <c r="G8300" s="5" t="str">
        <f>HYPERLINK("https://dpmzos25m8ivg.cloudfront.net/Documentos/631/89397193368/6318939719336810092023104701.pdf","https://dpmzos25m8ivg.cloudfront.net/Documentos/631/89397193368/6318939719336810092023104701.pdf")</f>
        <v>https://dpmzos25m8ivg.cloudfront.net/Documentos/631/89397193368/6318939719336810092023104701.pdf</v>
      </c>
      <c r="H8300" s="5" t="s">
        <v>16866</v>
      </c>
    </row>
    <row r="8301" spans="1:8" x14ac:dyDescent="0.25">
      <c r="A8301" s="2" t="s">
        <v>8328</v>
      </c>
      <c r="B8301" s="3"/>
      <c r="C8301" s="3"/>
      <c r="D8301" s="3"/>
      <c r="E8301" s="5" t="str">
        <f>HYPERLINK("https://dpmzos25m8ivg.cloudfront.net/Documentos/631/89406141272/6318940614127211092023131113.pdf","https://dpmzos25m8ivg.cloudfront.net/Documentos/631/89406141272/6318940614127211092023131113.pdf")</f>
        <v>https://dpmzos25m8ivg.cloudfront.net/Documentos/631/89406141272/6318940614127211092023131113.pdf</v>
      </c>
      <c r="F8301" s="5" t="str">
        <f>HYPERLINK("https://dpmzos25m8ivg.cloudfront.net/Documentos/631/89406141272/6318940614127211092023131340.pdf","https://dpmzos25m8ivg.cloudfront.net/Documentos/631/89406141272/6318940614127211092023131340.pdf")</f>
        <v>https://dpmzos25m8ivg.cloudfront.net/Documentos/631/89406141272/6318940614127211092023131340.pdf</v>
      </c>
      <c r="G8301" s="5" t="str">
        <f>HYPERLINK("https://dpmzos25m8ivg.cloudfront.net/Documentos/631/89406141272/6318940614127211092023131428.pdf","https://dpmzos25m8ivg.cloudfront.net/Documentos/631/89406141272/6318940614127211092023131428.pdf")</f>
        <v>https://dpmzos25m8ivg.cloudfront.net/Documentos/631/89406141272/6318940614127211092023131428.pdf</v>
      </c>
      <c r="H8301" s="5" t="s">
        <v>16867</v>
      </c>
    </row>
    <row r="8302" spans="1:8" x14ac:dyDescent="0.25">
      <c r="A8302" s="2" t="s">
        <v>8329</v>
      </c>
      <c r="B8302" s="3"/>
      <c r="C8302" s="3"/>
      <c r="D8302" s="3"/>
      <c r="E8302" s="5" t="str">
        <f>HYPERLINK("https://dpmzos25m8ivg.cloudfront.net/Documentos/631/89488032200/6318948803220005092023134108.pdf","https://dpmzos25m8ivg.cloudfront.net/Documentos/631/89488032200/6318948803220005092023134108.pdf")</f>
        <v>https://dpmzos25m8ivg.cloudfront.net/Documentos/631/89488032200/6318948803220005092023134108.pdf</v>
      </c>
      <c r="F8302" s="5" t="str">
        <f>HYPERLINK("https://dpmzos25m8ivg.cloudfront.net/Documentos/631/89488032200/6318948803220005092023134209.pdf","https://dpmzos25m8ivg.cloudfront.net/Documentos/631/89488032200/6318948803220005092023134209.pdf")</f>
        <v>https://dpmzos25m8ivg.cloudfront.net/Documentos/631/89488032200/6318948803220005092023134209.pdf</v>
      </c>
      <c r="G8302" s="5" t="str">
        <f>HYPERLINK("https://dpmzos25m8ivg.cloudfront.net/Documentos/631/89488032200/6318948803220005092023134336.pdf","https://dpmzos25m8ivg.cloudfront.net/Documentos/631/89488032200/6318948803220005092023134336.pdf")</f>
        <v>https://dpmzos25m8ivg.cloudfront.net/Documentos/631/89488032200/6318948803220005092023134336.pdf</v>
      </c>
      <c r="H8302" s="5" t="s">
        <v>16868</v>
      </c>
    </row>
    <row r="8303" spans="1:8" x14ac:dyDescent="0.25">
      <c r="A8303" s="2" t="s">
        <v>8330</v>
      </c>
      <c r="B8303" s="3"/>
      <c r="C8303" s="3"/>
      <c r="D8303" s="3"/>
      <c r="E8303" s="5" t="str">
        <f>HYPERLINK("https://dpmzos25m8ivg.cloudfront.net/Documentos/631/89528247253/6318952824725309092023221323.pdf","https://dpmzos25m8ivg.cloudfront.net/Documentos/631/89528247253/6318952824725309092023221323.pdf")</f>
        <v>https://dpmzos25m8ivg.cloudfront.net/Documentos/631/89528247253/6318952824725309092023221323.pdf</v>
      </c>
      <c r="F8303" s="5" t="str">
        <f>HYPERLINK("https://dpmzos25m8ivg.cloudfront.net/Documentos/631/89528247253/6318952824725309092023221410.pdf","https://dpmzos25m8ivg.cloudfront.net/Documentos/631/89528247253/6318952824725309092023221410.pdf")</f>
        <v>https://dpmzos25m8ivg.cloudfront.net/Documentos/631/89528247253/6318952824725309092023221410.pdf</v>
      </c>
      <c r="G8303" s="5" t="str">
        <f>HYPERLINK("https://dpmzos25m8ivg.cloudfront.net/Documentos/631/89528247253/6318952824725309092023221635.pdf","https://dpmzos25m8ivg.cloudfront.net/Documentos/631/89528247253/6318952824725309092023221635.pdf")</f>
        <v>https://dpmzos25m8ivg.cloudfront.net/Documentos/631/89528247253/6318952824725309092023221635.pdf</v>
      </c>
      <c r="H8303" s="5" t="s">
        <v>16869</v>
      </c>
    </row>
    <row r="8304" spans="1:8" x14ac:dyDescent="0.25">
      <c r="A8304" s="2" t="s">
        <v>8331</v>
      </c>
      <c r="B8304" s="3"/>
      <c r="C8304" s="3"/>
      <c r="D8304" s="3"/>
      <c r="E8304" s="5" t="str">
        <f>HYPERLINK("https://dpmzos25m8ivg.cloudfront.net/Documentos/631/89623266120/6318962326612010092023213114.pdf","https://dpmzos25m8ivg.cloudfront.net/Documentos/631/89623266120/6318962326612010092023213114.pdf")</f>
        <v>https://dpmzos25m8ivg.cloudfront.net/Documentos/631/89623266120/6318962326612010092023213114.pdf</v>
      </c>
      <c r="F8304" s="5" t="str">
        <f>HYPERLINK("https://dpmzos25m8ivg.cloudfront.net/Documentos/631/89623266120/6318962326612010092023213132.pdf","https://dpmzos25m8ivg.cloudfront.net/Documentos/631/89623266120/6318962326612010092023213132.pdf")</f>
        <v>https://dpmzos25m8ivg.cloudfront.net/Documentos/631/89623266120/6318962326612010092023213132.pdf</v>
      </c>
      <c r="G8304" s="5" t="str">
        <f>HYPERLINK("https://dpmzos25m8ivg.cloudfront.net/Documentos/631/89623266120/6318962326612010092023213154.pdf","https://dpmzos25m8ivg.cloudfront.net/Documentos/631/89623266120/6318962326612010092023213154.pdf")</f>
        <v>https://dpmzos25m8ivg.cloudfront.net/Documentos/631/89623266120/6318962326612010092023213154.pdf</v>
      </c>
      <c r="H8304" s="5" t="s">
        <v>16870</v>
      </c>
    </row>
    <row r="8305" spans="1:8" x14ac:dyDescent="0.25">
      <c r="A8305" s="2" t="s">
        <v>8332</v>
      </c>
      <c r="B8305" s="3"/>
      <c r="C8305" s="3"/>
      <c r="D8305" s="3"/>
      <c r="E8305" s="5" t="str">
        <f>HYPERLINK("https://dpmzos25m8ivg.cloudfront.net/Documentos/631/89728440200/6318972844020011092023152008.pdf","https://dpmzos25m8ivg.cloudfront.net/Documentos/631/89728440200/6318972844020011092023152008.pdf")</f>
        <v>https://dpmzos25m8ivg.cloudfront.net/Documentos/631/89728440200/6318972844020011092023152008.pdf</v>
      </c>
      <c r="F8305" s="5" t="str">
        <f>HYPERLINK("https://dpmzos25m8ivg.cloudfront.net/Documentos/631/89728440200/6318972844020011092023152100.pdf","https://dpmzos25m8ivg.cloudfront.net/Documentos/631/89728440200/6318972844020011092023152100.pdf")</f>
        <v>https://dpmzos25m8ivg.cloudfront.net/Documentos/631/89728440200/6318972844020011092023152100.pdf</v>
      </c>
      <c r="G8305" s="5" t="str">
        <f>HYPERLINK("https://dpmzos25m8ivg.cloudfront.net/Documentos/631/89728440200/6318972844020011092023152148.pdf","https://dpmzos25m8ivg.cloudfront.net/Documentos/631/89728440200/6318972844020011092023152148.pdf")</f>
        <v>https://dpmzos25m8ivg.cloudfront.net/Documentos/631/89728440200/6318972844020011092023152148.pdf</v>
      </c>
      <c r="H8305" s="5" t="s">
        <v>16871</v>
      </c>
    </row>
    <row r="8306" spans="1:8" x14ac:dyDescent="0.25">
      <c r="A8306" s="2" t="s">
        <v>8333</v>
      </c>
      <c r="B8306" s="3" t="s">
        <v>312</v>
      </c>
      <c r="C8306" s="3"/>
      <c r="D8306" s="3"/>
      <c r="E8306" s="5" t="str">
        <f>HYPERLINK("https://dpmzos25m8ivg.cloudfront.net/Documentos/631/89783549200/6318978354920011092023170355.pdf","https://dpmzos25m8ivg.cloudfront.net/Documentos/631/89783549200/6318978354920011092023170355.pdf")</f>
        <v>https://dpmzos25m8ivg.cloudfront.net/Documentos/631/89783549200/6318978354920011092023170355.pdf</v>
      </c>
      <c r="F8306" s="5" t="str">
        <f>HYPERLINK("https://dpmzos25m8ivg.cloudfront.net/Documentos/631/89783549200/6318978354920011092023170408.pdf","https://dpmzos25m8ivg.cloudfront.net/Documentos/631/89783549200/6318978354920011092023170408.pdf")</f>
        <v>https://dpmzos25m8ivg.cloudfront.net/Documentos/631/89783549200/6318978354920011092023170408.pdf</v>
      </c>
      <c r="G8306" s="5" t="str">
        <f>HYPERLINK("https://dpmzos25m8ivg.cloudfront.net/Documentos/631/89783549200/6318978354920011092023170431.pdf","https://dpmzos25m8ivg.cloudfront.net/Documentos/631/89783549200/6318978354920011092023170431.pdf")</f>
        <v>https://dpmzos25m8ivg.cloudfront.net/Documentos/631/89783549200/6318978354920011092023170431.pdf</v>
      </c>
      <c r="H8306" s="5" t="s">
        <v>16872</v>
      </c>
    </row>
    <row r="8307" spans="1:8" x14ac:dyDescent="0.25">
      <c r="A8307" s="2" t="s">
        <v>8334</v>
      </c>
      <c r="B8307" s="3"/>
      <c r="C8307" s="3"/>
      <c r="D8307" s="3"/>
      <c r="E8307" s="5" t="str">
        <f>HYPERLINK("https://dpmzos25m8ivg.cloudfront.net/Documentos/631/89873602534/6318987360253408092023113852.jpg","https://dpmzos25m8ivg.cloudfront.net/Documentos/631/89873602534/6318987360253408092023113852.jpg")</f>
        <v>https://dpmzos25m8ivg.cloudfront.net/Documentos/631/89873602534/6318987360253408092023113852.jpg</v>
      </c>
      <c r="F8307" s="5" t="str">
        <f>HYPERLINK("https://dpmzos25m8ivg.cloudfront.net/Documentos/631/89873602534/6318987360253408092023113915.jpg","https://dpmzos25m8ivg.cloudfront.net/Documentos/631/89873602534/6318987360253408092023113915.jpg")</f>
        <v>https://dpmzos25m8ivg.cloudfront.net/Documentos/631/89873602534/6318987360253408092023113915.jpg</v>
      </c>
      <c r="G8307" s="5" t="str">
        <f>HYPERLINK("https://dpmzos25m8ivg.cloudfront.net/Documentos/631/89873602534/6318987360253408092023113945.jpg","https://dpmzos25m8ivg.cloudfront.net/Documentos/631/89873602534/6318987360253408092023113945.jpg")</f>
        <v>https://dpmzos25m8ivg.cloudfront.net/Documentos/631/89873602534/6318987360253408092023113945.jpg</v>
      </c>
      <c r="H8307" s="5" t="s">
        <v>16873</v>
      </c>
    </row>
    <row r="8308" spans="1:8" x14ac:dyDescent="0.25">
      <c r="A8308" s="2" t="s">
        <v>8335</v>
      </c>
      <c r="B8308" s="3" t="s">
        <v>308</v>
      </c>
      <c r="C8308" s="3"/>
      <c r="D8308" s="3"/>
      <c r="E8308" s="5" t="str">
        <f>HYPERLINK("https://dpmzos25m8ivg.cloudfront.net/Documentos/631/89992377704/6318999237770413092023160448.pdf","https://dpmzos25m8ivg.cloudfront.net/Documentos/631/89992377704/6318999237770413092023160448.pdf")</f>
        <v>https://dpmzos25m8ivg.cloudfront.net/Documentos/631/89992377704/6318999237770413092023160448.pdf</v>
      </c>
      <c r="F8308" s="5" t="str">
        <f>HYPERLINK("https://dpmzos25m8ivg.cloudfront.net/Documentos/631/89992377704/6318999237770413092023160529.pdf","https://dpmzos25m8ivg.cloudfront.net/Documentos/631/89992377704/6318999237770413092023160529.pdf")</f>
        <v>https://dpmzos25m8ivg.cloudfront.net/Documentos/631/89992377704/6318999237770413092023160529.pdf</v>
      </c>
      <c r="G8308" s="5" t="str">
        <f>HYPERLINK("https://dpmzos25m8ivg.cloudfront.net/Documentos/631/89992377704/6318999237770413092023160646.pdf","https://dpmzos25m8ivg.cloudfront.net/Documentos/631/89992377704/6318999237770413092023160646.pdf")</f>
        <v>https://dpmzos25m8ivg.cloudfront.net/Documentos/631/89992377704/6318999237770413092023160646.pdf</v>
      </c>
      <c r="H8308" s="5" t="s">
        <v>16874</v>
      </c>
    </row>
    <row r="8309" spans="1:8" x14ac:dyDescent="0.25">
      <c r="A8309" s="2" t="s">
        <v>8336</v>
      </c>
      <c r="B8309" s="3"/>
      <c r="C8309" s="3"/>
      <c r="D8309" s="3"/>
      <c r="E8309" s="5" t="str">
        <f>HYPERLINK("https://dpmzos25m8ivg.cloudfront.net/Documentos/631/90003853187/6319000385318707092023205446.jpg","https://dpmzos25m8ivg.cloudfront.net/Documentos/631/90003853187/6319000385318707092023205446.jpg")</f>
        <v>https://dpmzos25m8ivg.cloudfront.net/Documentos/631/90003853187/6319000385318707092023205446.jpg</v>
      </c>
      <c r="F8309" s="5" t="str">
        <f>HYPERLINK("https://dpmzos25m8ivg.cloudfront.net/Documentos/631/90003853187/6319000385318707092023205512.jpg","https://dpmzos25m8ivg.cloudfront.net/Documentos/631/90003853187/6319000385318707092023205512.jpg")</f>
        <v>https://dpmzos25m8ivg.cloudfront.net/Documentos/631/90003853187/6319000385318707092023205512.jpg</v>
      </c>
      <c r="G8309" s="5" t="str">
        <f>HYPERLINK("https://dpmzos25m8ivg.cloudfront.net/Documentos/631/90003853187/6319000385318707092023205539.jpg","https://dpmzos25m8ivg.cloudfront.net/Documentos/631/90003853187/6319000385318707092023205539.jpg")</f>
        <v>https://dpmzos25m8ivg.cloudfront.net/Documentos/631/90003853187/6319000385318707092023205539.jpg</v>
      </c>
      <c r="H8309" s="5" t="s">
        <v>16875</v>
      </c>
    </row>
    <row r="8310" spans="1:8" x14ac:dyDescent="0.25">
      <c r="A8310" s="2" t="s">
        <v>8337</v>
      </c>
      <c r="B8310" s="3"/>
      <c r="C8310" s="3"/>
      <c r="D8310" s="3"/>
      <c r="E8310" s="5" t="str">
        <f>HYPERLINK("https://dpmzos25m8ivg.cloudfront.net/Documentos/631/90032195249/6319003219524911092023142726.pdf","https://dpmzos25m8ivg.cloudfront.net/Documentos/631/90032195249/6319003219524911092023142726.pdf")</f>
        <v>https://dpmzos25m8ivg.cloudfront.net/Documentos/631/90032195249/6319003219524911092023142726.pdf</v>
      </c>
      <c r="F8310" s="5" t="str">
        <f>HYPERLINK("https://dpmzos25m8ivg.cloudfront.net/Documentos/631/90032195249/6319003219524911092023142735.pdf","https://dpmzos25m8ivg.cloudfront.net/Documentos/631/90032195249/6319003219524911092023142735.pdf")</f>
        <v>https://dpmzos25m8ivg.cloudfront.net/Documentos/631/90032195249/6319003219524911092023142735.pdf</v>
      </c>
      <c r="G8310" s="5" t="str">
        <f>HYPERLINK("https://dpmzos25m8ivg.cloudfront.net/Documentos/631/90032195249/6319003219524911092023142743.pdf","https://dpmzos25m8ivg.cloudfront.net/Documentos/631/90032195249/6319003219524911092023142743.pdf")</f>
        <v>https://dpmzos25m8ivg.cloudfront.net/Documentos/631/90032195249/6319003219524911092023142743.pdf</v>
      </c>
      <c r="H8310" s="5" t="s">
        <v>16876</v>
      </c>
    </row>
    <row r="8311" spans="1:8" x14ac:dyDescent="0.25">
      <c r="A8311" s="2" t="s">
        <v>8338</v>
      </c>
      <c r="B8311" s="3" t="s">
        <v>23</v>
      </c>
      <c r="C8311" s="3"/>
      <c r="D8311" s="3"/>
      <c r="E8311" s="5" t="str">
        <f>HYPERLINK("https://dpmzos25m8ivg.cloudfront.net/Documentos/631/90142667153/6319014266715311092023124351.pdf","https://dpmzos25m8ivg.cloudfront.net/Documentos/631/90142667153/6319014266715311092023124351.pdf")</f>
        <v>https://dpmzos25m8ivg.cloudfront.net/Documentos/631/90142667153/6319014266715311092023124351.pdf</v>
      </c>
      <c r="F8311" s="5" t="str">
        <f>HYPERLINK("https://dpmzos25m8ivg.cloudfront.net/Documentos/631/90142667153/6319014266715311092023124401.pdf","https://dpmzos25m8ivg.cloudfront.net/Documentos/631/90142667153/6319014266715311092023124401.pdf")</f>
        <v>https://dpmzos25m8ivg.cloudfront.net/Documentos/631/90142667153/6319014266715311092023124401.pdf</v>
      </c>
      <c r="G8311" s="5" t="str">
        <f>HYPERLINK("https://dpmzos25m8ivg.cloudfront.net/Documentos/631/90142667153/6319014266715311092023124409.pdf","https://dpmzos25m8ivg.cloudfront.net/Documentos/631/90142667153/6319014266715311092023124409.pdf")</f>
        <v>https://dpmzos25m8ivg.cloudfront.net/Documentos/631/90142667153/6319014266715311092023124409.pdf</v>
      </c>
      <c r="H8311" s="5" t="s">
        <v>16877</v>
      </c>
    </row>
    <row r="8312" spans="1:8" x14ac:dyDescent="0.25">
      <c r="A8312" s="2" t="s">
        <v>8339</v>
      </c>
      <c r="B8312" s="3" t="s">
        <v>90</v>
      </c>
      <c r="C8312" s="3"/>
      <c r="D8312" s="3"/>
      <c r="E8312" s="5" t="str">
        <f>HYPERLINK("https://dpmzos25m8ivg.cloudfront.net/Documentos/631/90164911120/6319016491112008092023203618.pdf","https://dpmzos25m8ivg.cloudfront.net/Documentos/631/90164911120/6319016491112008092023203618.pdf")</f>
        <v>https://dpmzos25m8ivg.cloudfront.net/Documentos/631/90164911120/6319016491112008092023203618.pdf</v>
      </c>
      <c r="F8312" s="5" t="str">
        <f>HYPERLINK("https://dpmzos25m8ivg.cloudfront.net/Documentos/631/90164911120/6319016491112008092023203556.pdf","https://dpmzos25m8ivg.cloudfront.net/Documentos/631/90164911120/6319016491112008092023203556.pdf")</f>
        <v>https://dpmzos25m8ivg.cloudfront.net/Documentos/631/90164911120/6319016491112008092023203556.pdf</v>
      </c>
      <c r="G8312" s="5" t="str">
        <f>HYPERLINK("https://dpmzos25m8ivg.cloudfront.net/Documentos/631/90164911120/6319016491112008092023202933.pdf","https://dpmzos25m8ivg.cloudfront.net/Documentos/631/90164911120/6319016491112008092023202933.pdf")</f>
        <v>https://dpmzos25m8ivg.cloudfront.net/Documentos/631/90164911120/6319016491112008092023202933.pdf</v>
      </c>
      <c r="H8312" s="5" t="s">
        <v>16878</v>
      </c>
    </row>
    <row r="8313" spans="1:8" x14ac:dyDescent="0.25">
      <c r="A8313" s="2" t="s">
        <v>8340</v>
      </c>
      <c r="B8313" s="3"/>
      <c r="C8313" s="3"/>
      <c r="D8313" s="3"/>
      <c r="E8313" s="5" t="str">
        <f>HYPERLINK("https://dpmzos25m8ivg.cloudfront.net/Documentos/631/90206193068/6319020619306805092023134342.pdf","https://dpmzos25m8ivg.cloudfront.net/Documentos/631/90206193068/6319020619306805092023134342.pdf")</f>
        <v>https://dpmzos25m8ivg.cloudfront.net/Documentos/631/90206193068/6319020619306805092023134342.pdf</v>
      </c>
      <c r="F8313" s="5" t="str">
        <f>HYPERLINK("https://dpmzos25m8ivg.cloudfront.net/Documentos/631/90206193068/6319020619306805092023134550.pdf","https://dpmzos25m8ivg.cloudfront.net/Documentos/631/90206193068/6319020619306805092023134550.pdf")</f>
        <v>https://dpmzos25m8ivg.cloudfront.net/Documentos/631/90206193068/6319020619306805092023134550.pdf</v>
      </c>
      <c r="G8313" s="5" t="str">
        <f>HYPERLINK("https://dpmzos25m8ivg.cloudfront.net/Documentos/631/90206193068/6319020619306805092023134601.pdf","https://dpmzos25m8ivg.cloudfront.net/Documentos/631/90206193068/6319020619306805092023134601.pdf")</f>
        <v>https://dpmzos25m8ivg.cloudfront.net/Documentos/631/90206193068/6319020619306805092023134601.pdf</v>
      </c>
      <c r="H8313" s="5" t="s">
        <v>16879</v>
      </c>
    </row>
    <row r="8314" spans="1:8" x14ac:dyDescent="0.25">
      <c r="A8314" s="2" t="s">
        <v>8341</v>
      </c>
      <c r="B8314" s="3"/>
      <c r="C8314" s="3"/>
      <c r="D8314" s="3"/>
      <c r="E8314" s="5" t="str">
        <f>HYPERLINK("https://dpmzos25m8ivg.cloudfront.net/Documentos/631/90235096253/6319023509625306092023163215.pdf","https://dpmzos25m8ivg.cloudfront.net/Documentos/631/90235096253/6319023509625306092023163215.pdf")</f>
        <v>https://dpmzos25m8ivg.cloudfront.net/Documentos/631/90235096253/6319023509625306092023163215.pdf</v>
      </c>
      <c r="F8314" s="5" t="str">
        <f>HYPERLINK("https://dpmzos25m8ivg.cloudfront.net/Documentos/631/90235096253/6319023509625306092023165527.pdf","https://dpmzos25m8ivg.cloudfront.net/Documentos/631/90235096253/6319023509625306092023165527.pdf")</f>
        <v>https://dpmzos25m8ivg.cloudfront.net/Documentos/631/90235096253/6319023509625306092023165527.pdf</v>
      </c>
      <c r="G8314" s="5" t="str">
        <f>HYPERLINK("https://dpmzos25m8ivg.cloudfront.net/Documentos/631/90235096253/6319023509625306092023165552.pdf","https://dpmzos25m8ivg.cloudfront.net/Documentos/631/90235096253/6319023509625306092023165552.pdf")</f>
        <v>https://dpmzos25m8ivg.cloudfront.net/Documentos/631/90235096253/6319023509625306092023165552.pdf</v>
      </c>
      <c r="H8314" s="5" t="s">
        <v>16880</v>
      </c>
    </row>
    <row r="8315" spans="1:8" x14ac:dyDescent="0.25">
      <c r="A8315" s="2" t="s">
        <v>8342</v>
      </c>
      <c r="B8315" s="3"/>
      <c r="C8315" s="3"/>
      <c r="D8315" s="3"/>
      <c r="E8315" s="5" t="str">
        <f>HYPERLINK("https://dpmzos25m8ivg.cloudfront.net/Documentos/631/90247612553/6319024761255309092023145507.pdf","https://dpmzos25m8ivg.cloudfront.net/Documentos/631/90247612553/6319024761255309092023145507.pdf")</f>
        <v>https://dpmzos25m8ivg.cloudfront.net/Documentos/631/90247612553/6319024761255309092023145507.pdf</v>
      </c>
      <c r="F8315" s="5" t="str">
        <f>HYPERLINK("https://dpmzos25m8ivg.cloudfront.net/Documentos/631/90247612553/6319024761255309092023145532.pdf","https://dpmzos25m8ivg.cloudfront.net/Documentos/631/90247612553/6319024761255309092023145532.pdf")</f>
        <v>https://dpmzos25m8ivg.cloudfront.net/Documentos/631/90247612553/6319024761255309092023145532.pdf</v>
      </c>
      <c r="G8315" s="5" t="str">
        <f>HYPERLINK("https://dpmzos25m8ivg.cloudfront.net/Documentos/631/90247612553/6319024761255309092023145605.pdf","https://dpmzos25m8ivg.cloudfront.net/Documentos/631/90247612553/6319024761255309092023145605.pdf")</f>
        <v>https://dpmzos25m8ivg.cloudfront.net/Documentos/631/90247612553/6319024761255309092023145605.pdf</v>
      </c>
      <c r="H8315" s="5" t="s">
        <v>16881</v>
      </c>
    </row>
    <row r="8316" spans="1:8" x14ac:dyDescent="0.25">
      <c r="A8316" s="2" t="s">
        <v>8343</v>
      </c>
      <c r="B8316" s="3"/>
      <c r="C8316" s="3"/>
      <c r="D8316" s="3"/>
      <c r="E8316" s="5" t="str">
        <f>HYPERLINK("https://dpmzos25m8ivg.cloudfront.net/Documentos/631/90352157291/6319035215729110092023131631.jpg","https://dpmzos25m8ivg.cloudfront.net/Documentos/631/90352157291/6319035215729110092023131631.jpg")</f>
        <v>https://dpmzos25m8ivg.cloudfront.net/Documentos/631/90352157291/6319035215729110092023131631.jpg</v>
      </c>
      <c r="F8316" s="5" t="str">
        <f>HYPERLINK("https://dpmzos25m8ivg.cloudfront.net/Documentos/631/90352157291/6319035215729110092023131851.jpg","https://dpmzos25m8ivg.cloudfront.net/Documentos/631/90352157291/6319035215729110092023131851.jpg")</f>
        <v>https://dpmzos25m8ivg.cloudfront.net/Documentos/631/90352157291/6319035215729110092023131851.jpg</v>
      </c>
      <c r="G8316" s="5" t="str">
        <f>HYPERLINK("https://dpmzos25m8ivg.cloudfront.net/Documentos/631/90352157291/6319035215729110092023132016.jpg","https://dpmzos25m8ivg.cloudfront.net/Documentos/631/90352157291/6319035215729110092023132016.jpg")</f>
        <v>https://dpmzos25m8ivg.cloudfront.net/Documentos/631/90352157291/6319035215729110092023132016.jpg</v>
      </c>
      <c r="H8316" s="5" t="s">
        <v>16882</v>
      </c>
    </row>
    <row r="8317" spans="1:8" x14ac:dyDescent="0.25">
      <c r="A8317" s="2" t="s">
        <v>8344</v>
      </c>
      <c r="B8317" s="3"/>
      <c r="C8317" s="3"/>
      <c r="D8317" s="3"/>
      <c r="E8317" s="5" t="str">
        <f>HYPERLINK("https://dpmzos25m8ivg.cloudfront.net/Documentos/631/90406273553/6319040627355314092023151529.pdf","https://dpmzos25m8ivg.cloudfront.net/Documentos/631/90406273553/6319040627355314092023151529.pdf")</f>
        <v>https://dpmzos25m8ivg.cloudfront.net/Documentos/631/90406273553/6319040627355314092023151529.pdf</v>
      </c>
      <c r="F8317" s="5" t="str">
        <f>HYPERLINK("https://dpmzos25m8ivg.cloudfront.net/Documentos/631/90406273553/6319040627355314092023151550.pdf","https://dpmzos25m8ivg.cloudfront.net/Documentos/631/90406273553/6319040627355314092023151550.pdf")</f>
        <v>https://dpmzos25m8ivg.cloudfront.net/Documentos/631/90406273553/6319040627355314092023151550.pdf</v>
      </c>
      <c r="G8317" s="5" t="str">
        <f>HYPERLINK("https://dpmzos25m8ivg.cloudfront.net/Documentos/631/90406273553/6319040627355314092023151604.pdf","https://dpmzos25m8ivg.cloudfront.net/Documentos/631/90406273553/6319040627355314092023151604.pdf")</f>
        <v>https://dpmzos25m8ivg.cloudfront.net/Documentos/631/90406273553/6319040627355314092023151604.pdf</v>
      </c>
      <c r="H8317" s="5" t="s">
        <v>16883</v>
      </c>
    </row>
    <row r="8318" spans="1:8" x14ac:dyDescent="0.25">
      <c r="A8318" s="2" t="s">
        <v>8345</v>
      </c>
      <c r="B8318" s="3"/>
      <c r="C8318" s="3"/>
      <c r="D8318" s="3"/>
      <c r="E8318" s="5" t="str">
        <f>HYPERLINK("https://dpmzos25m8ivg.cloudfront.net/Documentos/631/90459490249/6319045949024911092023062858.pdf","https://dpmzos25m8ivg.cloudfront.net/Documentos/631/90459490249/6319045949024911092023062858.pdf")</f>
        <v>https://dpmzos25m8ivg.cloudfront.net/Documentos/631/90459490249/6319045949024911092023062858.pdf</v>
      </c>
      <c r="F8318" s="5" t="str">
        <f>HYPERLINK("https://dpmzos25m8ivg.cloudfront.net/Documentos/631/90459490249/6319045949024911092023062912.pdf","https://dpmzos25m8ivg.cloudfront.net/Documentos/631/90459490249/6319045949024911092023062912.pdf")</f>
        <v>https://dpmzos25m8ivg.cloudfront.net/Documentos/631/90459490249/6319045949024911092023062912.pdf</v>
      </c>
      <c r="G8318" s="5" t="str">
        <f>HYPERLINK("https://dpmzos25m8ivg.cloudfront.net/Documentos/631/90459490249/6319045949024911092023062928.pdf","https://dpmzos25m8ivg.cloudfront.net/Documentos/631/90459490249/6319045949024911092023062928.pdf")</f>
        <v>https://dpmzos25m8ivg.cloudfront.net/Documentos/631/90459490249/6319045949024911092023062928.pdf</v>
      </c>
      <c r="H8318" s="5" t="s">
        <v>16884</v>
      </c>
    </row>
    <row r="8319" spans="1:8" x14ac:dyDescent="0.25">
      <c r="A8319" s="2" t="s">
        <v>8346</v>
      </c>
      <c r="B8319" s="3"/>
      <c r="C8319" s="3"/>
      <c r="D8319" s="3"/>
      <c r="E8319" s="5" t="str">
        <f>HYPERLINK("https://dpmzos25m8ivg.cloudfront.net/Documentos/631/90471121134/6319047112113411092023141331.pdf","https://dpmzos25m8ivg.cloudfront.net/Documentos/631/90471121134/6319047112113411092023141331.pdf")</f>
        <v>https://dpmzos25m8ivg.cloudfront.net/Documentos/631/90471121134/6319047112113411092023141331.pdf</v>
      </c>
      <c r="F8319" s="5" t="str">
        <f>HYPERLINK("https://dpmzos25m8ivg.cloudfront.net/Documentos/631/90471121134/6319047112113411092023141354.pdf","https://dpmzos25m8ivg.cloudfront.net/Documentos/631/90471121134/6319047112113411092023141354.pdf")</f>
        <v>https://dpmzos25m8ivg.cloudfront.net/Documentos/631/90471121134/6319047112113411092023141354.pdf</v>
      </c>
      <c r="G8319" s="5" t="str">
        <f>HYPERLINK("https://dpmzos25m8ivg.cloudfront.net/Documentos/631/90471121134/6319047112113411092023141410.pdf","https://dpmzos25m8ivg.cloudfront.net/Documentos/631/90471121134/6319047112113411092023141410.pdf")</f>
        <v>https://dpmzos25m8ivg.cloudfront.net/Documentos/631/90471121134/6319047112113411092023141410.pdf</v>
      </c>
      <c r="H8319" s="5" t="s">
        <v>16885</v>
      </c>
    </row>
    <row r="8320" spans="1:8" x14ac:dyDescent="0.25">
      <c r="A8320" s="2" t="s">
        <v>8347</v>
      </c>
      <c r="B8320" s="3"/>
      <c r="C8320" s="3"/>
      <c r="D8320" s="3"/>
      <c r="E8320" s="5" t="str">
        <f>HYPERLINK("https://dpmzos25m8ivg.cloudfront.net/Documentos/631/90661613100/6319066161310007092023233946.pdf","https://dpmzos25m8ivg.cloudfront.net/Documentos/631/90661613100/6319066161310007092023233946.pdf")</f>
        <v>https://dpmzos25m8ivg.cloudfront.net/Documentos/631/90661613100/6319066161310007092023233946.pdf</v>
      </c>
      <c r="F8320" s="5" t="str">
        <f>HYPERLINK("https://dpmzos25m8ivg.cloudfront.net/Documentos/631/90661613100/6319066161310007092023234013.pdf","https://dpmzos25m8ivg.cloudfront.net/Documentos/631/90661613100/6319066161310007092023234013.pdf")</f>
        <v>https://dpmzos25m8ivg.cloudfront.net/Documentos/631/90661613100/6319066161310007092023234013.pdf</v>
      </c>
      <c r="G8320" s="5" t="str">
        <f>HYPERLINK("https://dpmzos25m8ivg.cloudfront.net/Documentos/631/90661613100/6319066161310007092023234028.pdf","https://dpmzos25m8ivg.cloudfront.net/Documentos/631/90661613100/6319066161310007092023234028.pdf")</f>
        <v>https://dpmzos25m8ivg.cloudfront.net/Documentos/631/90661613100/6319066161310007092023234028.pdf</v>
      </c>
      <c r="H8320" s="5" t="s">
        <v>16886</v>
      </c>
    </row>
    <row r="8321" spans="1:8" x14ac:dyDescent="0.25">
      <c r="A8321" s="2" t="s">
        <v>8348</v>
      </c>
      <c r="B8321" s="3"/>
      <c r="C8321" s="3"/>
      <c r="D8321" s="3"/>
      <c r="E8321" s="5" t="str">
        <f>HYPERLINK("https://dpmzos25m8ivg.cloudfront.net/Documentos/631/90898800544/6319089880054405092023101536.pdf","https://dpmzos25m8ivg.cloudfront.net/Documentos/631/90898800544/6319089880054405092023101536.pdf")</f>
        <v>https://dpmzos25m8ivg.cloudfront.net/Documentos/631/90898800544/6319089880054405092023101536.pdf</v>
      </c>
      <c r="F8321" s="5" t="str">
        <f>HYPERLINK("https://dpmzos25m8ivg.cloudfront.net/Documentos/631/90898800544/6319089880054405092023101549.pdf","https://dpmzos25m8ivg.cloudfront.net/Documentos/631/90898800544/6319089880054405092023101549.pdf")</f>
        <v>https://dpmzos25m8ivg.cloudfront.net/Documentos/631/90898800544/6319089880054405092023101549.pdf</v>
      </c>
      <c r="G8321" s="5" t="str">
        <f>HYPERLINK("https://dpmzos25m8ivg.cloudfront.net/Documentos/631/90898800544/6319089880054405092023101607.pdf","https://dpmzos25m8ivg.cloudfront.net/Documentos/631/90898800544/6319089880054405092023101607.pdf")</f>
        <v>https://dpmzos25m8ivg.cloudfront.net/Documentos/631/90898800544/6319089880054405092023101607.pdf</v>
      </c>
      <c r="H8321" s="5" t="s">
        <v>16887</v>
      </c>
    </row>
    <row r="8322" spans="1:8" x14ac:dyDescent="0.25">
      <c r="A8322" s="2" t="s">
        <v>8349</v>
      </c>
      <c r="B8322" s="3"/>
      <c r="C8322" s="3"/>
      <c r="D8322" s="3"/>
      <c r="E8322" s="5" t="str">
        <f>HYPERLINK("https://dpmzos25m8ivg.cloudfront.net/Documentos/631/90909917191/6319090991719111092023114914.jpg","https://dpmzos25m8ivg.cloudfront.net/Documentos/631/90909917191/6319090991719111092023114914.jpg")</f>
        <v>https://dpmzos25m8ivg.cloudfront.net/Documentos/631/90909917191/6319090991719111092023114914.jpg</v>
      </c>
      <c r="F8322" s="5" t="str">
        <f>HYPERLINK("https://dpmzos25m8ivg.cloudfront.net/Documentos/631/90909917191/6319090991719111092023114926.jpg","https://dpmzos25m8ivg.cloudfront.net/Documentos/631/90909917191/6319090991719111092023114926.jpg")</f>
        <v>https://dpmzos25m8ivg.cloudfront.net/Documentos/631/90909917191/6319090991719111092023114926.jpg</v>
      </c>
      <c r="G8322" s="5" t="str">
        <f>HYPERLINK("https://dpmzos25m8ivg.cloudfront.net/Documentos/631/90909917191/6319090991719111092023114940.jpg","https://dpmzos25m8ivg.cloudfront.net/Documentos/631/90909917191/6319090991719111092023114940.jpg")</f>
        <v>https://dpmzos25m8ivg.cloudfront.net/Documentos/631/90909917191/6319090991719111092023114940.jpg</v>
      </c>
      <c r="H8322" s="5" t="s">
        <v>16888</v>
      </c>
    </row>
    <row r="8323" spans="1:8" x14ac:dyDescent="0.25">
      <c r="A8323" s="2" t="s">
        <v>8350</v>
      </c>
      <c r="B8323" s="3"/>
      <c r="C8323" s="3"/>
      <c r="D8323" s="3"/>
      <c r="E8323" s="5" t="str">
        <f>HYPERLINK("https://dpmzos25m8ivg.cloudfront.net/Documentos/631/90967585520/6319096758552005092023112635.pdf","https://dpmzos25m8ivg.cloudfront.net/Documentos/631/90967585520/6319096758552005092023112635.pdf")</f>
        <v>https://dpmzos25m8ivg.cloudfront.net/Documentos/631/90967585520/6319096758552005092023112635.pdf</v>
      </c>
      <c r="F8323" s="5" t="str">
        <f>HYPERLINK("https://dpmzos25m8ivg.cloudfront.net/Documentos/631/90967585520/6319096758552005092023112645.pdf","https://dpmzos25m8ivg.cloudfront.net/Documentos/631/90967585520/6319096758552005092023112645.pdf")</f>
        <v>https://dpmzos25m8ivg.cloudfront.net/Documentos/631/90967585520/6319096758552005092023112645.pdf</v>
      </c>
      <c r="G8323" s="5" t="str">
        <f>HYPERLINK("https://dpmzos25m8ivg.cloudfront.net/Documentos/631/90967585520/6319096758552005092023112701.pdf","https://dpmzos25m8ivg.cloudfront.net/Documentos/631/90967585520/6319096758552005092023112701.pdf")</f>
        <v>https://dpmzos25m8ivg.cloudfront.net/Documentos/631/90967585520/6319096758552005092023112701.pdf</v>
      </c>
      <c r="H8323" s="5" t="s">
        <v>16889</v>
      </c>
    </row>
    <row r="8324" spans="1:8" x14ac:dyDescent="0.25">
      <c r="A8324" s="2" t="s">
        <v>8351</v>
      </c>
      <c r="B8324" s="3"/>
      <c r="C8324" s="3"/>
      <c r="D8324" s="3"/>
      <c r="E8324" s="5" t="str">
        <f>HYPERLINK("https://dpmzos25m8ivg.cloudfront.net/Documentos/631/91006350144/6319100635014411092023121026.jpg","https://dpmzos25m8ivg.cloudfront.net/Documentos/631/91006350144/6319100635014411092023121026.jpg")</f>
        <v>https://dpmzos25m8ivg.cloudfront.net/Documentos/631/91006350144/6319100635014411092023121026.jpg</v>
      </c>
      <c r="F8324" s="5" t="str">
        <f>HYPERLINK("https://dpmzos25m8ivg.cloudfront.net/Documentos/631/91006350144/6319100635014411092023121039.jpg","https://dpmzos25m8ivg.cloudfront.net/Documentos/631/91006350144/6319100635014411092023121039.jpg")</f>
        <v>https://dpmzos25m8ivg.cloudfront.net/Documentos/631/91006350144/6319100635014411092023121039.jpg</v>
      </c>
      <c r="G8324" s="5" t="str">
        <f>HYPERLINK("https://dpmzos25m8ivg.cloudfront.net/Documentos/631/91006350144/6319100635014411092023121052.jpg","https://dpmzos25m8ivg.cloudfront.net/Documentos/631/91006350144/6319100635014411092023121052.jpg")</f>
        <v>https://dpmzos25m8ivg.cloudfront.net/Documentos/631/91006350144/6319100635014411092023121052.jpg</v>
      </c>
      <c r="H8324" s="5" t="s">
        <v>16890</v>
      </c>
    </row>
    <row r="8325" spans="1:8" x14ac:dyDescent="0.25">
      <c r="A8325" s="2" t="s">
        <v>8352</v>
      </c>
      <c r="B8325" s="3" t="s">
        <v>23</v>
      </c>
      <c r="C8325" s="3"/>
      <c r="D8325" s="3"/>
      <c r="E8325" s="5" t="str">
        <f>HYPERLINK("https://dpmzos25m8ivg.cloudfront.net/Documentos/631/91036054934/6319103605493409092023193050.pdf","https://dpmzos25m8ivg.cloudfront.net/Documentos/631/91036054934/6319103605493409092023193050.pdf")</f>
        <v>https://dpmzos25m8ivg.cloudfront.net/Documentos/631/91036054934/6319103605493409092023193050.pdf</v>
      </c>
      <c r="F8325" s="5" t="str">
        <f>HYPERLINK("https://dpmzos25m8ivg.cloudfront.net/Documentos/631/91036054934/6319103605493409092023193155.pdf","https://dpmzos25m8ivg.cloudfront.net/Documentos/631/91036054934/6319103605493409092023193155.pdf")</f>
        <v>https://dpmzos25m8ivg.cloudfront.net/Documentos/631/91036054934/6319103605493409092023193155.pdf</v>
      </c>
      <c r="G8325" s="5" t="str">
        <f>HYPERLINK("https://dpmzos25m8ivg.cloudfront.net/Documentos/631/91036054934/6319103605493409092023193210.pdf","https://dpmzos25m8ivg.cloudfront.net/Documentos/631/91036054934/6319103605493409092023193210.pdf")</f>
        <v>https://dpmzos25m8ivg.cloudfront.net/Documentos/631/91036054934/6319103605493409092023193210.pdf</v>
      </c>
      <c r="H8325" s="5" t="s">
        <v>16891</v>
      </c>
    </row>
    <row r="8326" spans="1:8" x14ac:dyDescent="0.25">
      <c r="A8326" s="2" t="s">
        <v>8353</v>
      </c>
      <c r="B8326" s="3" t="s">
        <v>23</v>
      </c>
      <c r="C8326" s="3"/>
      <c r="D8326" s="3"/>
      <c r="E8326" s="5" t="str">
        <f>HYPERLINK("https://dpmzos25m8ivg.cloudfront.net/Documentos/631/91148901191/6319114890119111092023000341.jpg","https://dpmzos25m8ivg.cloudfront.net/Documentos/631/91148901191/6319114890119111092023000341.jpg")</f>
        <v>https://dpmzos25m8ivg.cloudfront.net/Documentos/631/91148901191/6319114890119111092023000341.jpg</v>
      </c>
      <c r="F8326" s="5" t="str">
        <f>HYPERLINK("https://dpmzos25m8ivg.cloudfront.net/Documentos/631/91148901191/6319114890119111092023000356.jpg","https://dpmzos25m8ivg.cloudfront.net/Documentos/631/91148901191/6319114890119111092023000356.jpg")</f>
        <v>https://dpmzos25m8ivg.cloudfront.net/Documentos/631/91148901191/6319114890119111092023000356.jpg</v>
      </c>
      <c r="G8326" s="5" t="str">
        <f>HYPERLINK("https://dpmzos25m8ivg.cloudfront.net/Documentos/631/91148901191/6319114890119111092023000432.jpg","https://dpmzos25m8ivg.cloudfront.net/Documentos/631/91148901191/6319114890119111092023000432.jpg")</f>
        <v>https://dpmzos25m8ivg.cloudfront.net/Documentos/631/91148901191/6319114890119111092023000432.jpg</v>
      </c>
      <c r="H8326" s="5" t="s">
        <v>16892</v>
      </c>
    </row>
    <row r="8327" spans="1:8" x14ac:dyDescent="0.25">
      <c r="A8327" s="2" t="s">
        <v>8354</v>
      </c>
      <c r="B8327" s="3"/>
      <c r="C8327" s="3"/>
      <c r="D8327" s="3"/>
      <c r="E8327" s="5" t="str">
        <f>HYPERLINK("https://dpmzos25m8ivg.cloudfront.net/Documentos/631/91197333215/6319119733321513092023094601.pdf","https://dpmzos25m8ivg.cloudfront.net/Documentos/631/91197333215/6319119733321513092023094601.pdf")</f>
        <v>https://dpmzos25m8ivg.cloudfront.net/Documentos/631/91197333215/6319119733321513092023094601.pdf</v>
      </c>
      <c r="F8327" s="5" t="str">
        <f>HYPERLINK("https://dpmzos25m8ivg.cloudfront.net/Documentos/631/91197333215/6319119733321511092023165914.pdf","https://dpmzos25m8ivg.cloudfront.net/Documentos/631/91197333215/6319119733321511092023165914.pdf")</f>
        <v>https://dpmzos25m8ivg.cloudfront.net/Documentos/631/91197333215/6319119733321511092023165914.pdf</v>
      </c>
      <c r="G8327" s="5" t="str">
        <f>HYPERLINK("https://dpmzos25m8ivg.cloudfront.net/Documentos/631/91197333215/6319119733321511092023170000.pdf","https://dpmzos25m8ivg.cloudfront.net/Documentos/631/91197333215/6319119733321511092023170000.pdf")</f>
        <v>https://dpmzos25m8ivg.cloudfront.net/Documentos/631/91197333215/6319119733321511092023170000.pdf</v>
      </c>
      <c r="H8327" s="5" t="s">
        <v>16893</v>
      </c>
    </row>
    <row r="8328" spans="1:8" x14ac:dyDescent="0.25">
      <c r="A8328" s="2" t="s">
        <v>8355</v>
      </c>
      <c r="B8328" s="3"/>
      <c r="C8328" s="3"/>
      <c r="D8328" s="3"/>
      <c r="E8328" s="5" t="str">
        <f>HYPERLINK("https://dpmzos25m8ivg.cloudfront.net/Documentos/631/91205921168/6319120592116811092023153122.pdf","https://dpmzos25m8ivg.cloudfront.net/Documentos/631/91205921168/6319120592116811092023153122.pdf")</f>
        <v>https://dpmzos25m8ivg.cloudfront.net/Documentos/631/91205921168/6319120592116811092023153122.pdf</v>
      </c>
      <c r="F8328" s="5" t="str">
        <f>HYPERLINK("https://dpmzos25m8ivg.cloudfront.net/Documentos/631/91205921168/6319120592116811092023153133.pdf","https://dpmzos25m8ivg.cloudfront.net/Documentos/631/91205921168/6319120592116811092023153133.pdf")</f>
        <v>https://dpmzos25m8ivg.cloudfront.net/Documentos/631/91205921168/6319120592116811092023153133.pdf</v>
      </c>
      <c r="G8328" s="5" t="str">
        <f>HYPERLINK("https://dpmzos25m8ivg.cloudfront.net/Documentos/631/91205921168/6319120592116811092023153148.pdf","https://dpmzos25m8ivg.cloudfront.net/Documentos/631/91205921168/6319120592116811092023153148.pdf")</f>
        <v>https://dpmzos25m8ivg.cloudfront.net/Documentos/631/91205921168/6319120592116811092023153148.pdf</v>
      </c>
      <c r="H8328" s="5" t="s">
        <v>16894</v>
      </c>
    </row>
    <row r="8329" spans="1:8" x14ac:dyDescent="0.25">
      <c r="A8329" s="2" t="s">
        <v>8356</v>
      </c>
      <c r="B8329" s="3" t="s">
        <v>312</v>
      </c>
      <c r="C8329" s="3"/>
      <c r="D8329" s="3"/>
      <c r="E8329" s="5" t="str">
        <f>HYPERLINK("https://dpmzos25m8ivg.cloudfront.net/Documentos/631/91274699568/6319127469956811092023080502.pdf","https://dpmzos25m8ivg.cloudfront.net/Documentos/631/91274699568/6319127469956811092023080502.pdf")</f>
        <v>https://dpmzos25m8ivg.cloudfront.net/Documentos/631/91274699568/6319127469956811092023080502.pdf</v>
      </c>
      <c r="F8329" s="5" t="str">
        <f>HYPERLINK("https://dpmzos25m8ivg.cloudfront.net/Documentos/631/91274699568/6319127469956811092023080529.pdf","https://dpmzos25m8ivg.cloudfront.net/Documentos/631/91274699568/6319127469956811092023080529.pdf")</f>
        <v>https://dpmzos25m8ivg.cloudfront.net/Documentos/631/91274699568/6319127469956811092023080529.pdf</v>
      </c>
      <c r="G8329" s="5" t="str">
        <f>HYPERLINK("https://dpmzos25m8ivg.cloudfront.net/Documentos/631/91274699568/6319127469956811092023080559.pdf","https://dpmzos25m8ivg.cloudfront.net/Documentos/631/91274699568/6319127469956811092023080559.pdf")</f>
        <v>https://dpmzos25m8ivg.cloudfront.net/Documentos/631/91274699568/6319127469956811092023080559.pdf</v>
      </c>
      <c r="H8329" s="5" t="s">
        <v>16895</v>
      </c>
    </row>
    <row r="8330" spans="1:8" x14ac:dyDescent="0.25">
      <c r="A8330" s="2" t="s">
        <v>8357</v>
      </c>
      <c r="B8330" s="3"/>
      <c r="C8330" s="3"/>
      <c r="D8330" s="3"/>
      <c r="E8330" s="5" t="str">
        <f>HYPERLINK("https://dpmzos25m8ivg.cloudfront.net/Documentos/631/91311748415/6319131174841507092023181626.jpeg","https://dpmzos25m8ivg.cloudfront.net/Documentos/631/91311748415/6319131174841507092023181626.jpeg")</f>
        <v>https://dpmzos25m8ivg.cloudfront.net/Documentos/631/91311748415/6319131174841507092023181626.jpeg</v>
      </c>
      <c r="F8330" s="5" t="str">
        <f>HYPERLINK("https://dpmzos25m8ivg.cloudfront.net/Documentos/631/91311748415/6319131174841507092023181638.jpeg","https://dpmzos25m8ivg.cloudfront.net/Documentos/631/91311748415/6319131174841507092023181638.jpeg")</f>
        <v>https://dpmzos25m8ivg.cloudfront.net/Documentos/631/91311748415/6319131174841507092023181638.jpeg</v>
      </c>
      <c r="G8330" s="5" t="str">
        <f>HYPERLINK("https://dpmzos25m8ivg.cloudfront.net/Documentos/631/91311748415/6319131174841507092023181650.jpeg","https://dpmzos25m8ivg.cloudfront.net/Documentos/631/91311748415/6319131174841507092023181650.jpeg")</f>
        <v>https://dpmzos25m8ivg.cloudfront.net/Documentos/631/91311748415/6319131174841507092023181650.jpeg</v>
      </c>
      <c r="H8330" s="5" t="s">
        <v>16896</v>
      </c>
    </row>
    <row r="8331" spans="1:8" x14ac:dyDescent="0.25">
      <c r="A8331" s="2" t="s">
        <v>8358</v>
      </c>
      <c r="B8331" s="3"/>
      <c r="C8331" s="3"/>
      <c r="D8331" s="3"/>
      <c r="E8331" s="5" t="str">
        <f>HYPERLINK("https://dpmzos25m8ivg.cloudfront.net/Documentos/631/91425743587/6319142574358712092023224429.jpeg","https://dpmzos25m8ivg.cloudfront.net/Documentos/631/91425743587/6319142574358712092023224429.jpeg")</f>
        <v>https://dpmzos25m8ivg.cloudfront.net/Documentos/631/91425743587/6319142574358712092023224429.jpeg</v>
      </c>
      <c r="F8331" s="5" t="str">
        <f>HYPERLINK("https://dpmzos25m8ivg.cloudfront.net/Documentos/631/91425743587/6319142574358712092023224441.jpeg","https://dpmzos25m8ivg.cloudfront.net/Documentos/631/91425743587/6319142574358712092023224441.jpeg")</f>
        <v>https://dpmzos25m8ivg.cloudfront.net/Documentos/631/91425743587/6319142574358712092023224441.jpeg</v>
      </c>
      <c r="G8331" s="5" t="str">
        <f>HYPERLINK("https://dpmzos25m8ivg.cloudfront.net/Documentos/631/91425743587/6319142574358712092023224452.jpeg","https://dpmzos25m8ivg.cloudfront.net/Documentos/631/91425743587/6319142574358712092023224452.jpeg")</f>
        <v>https://dpmzos25m8ivg.cloudfront.net/Documentos/631/91425743587/6319142574358712092023224452.jpeg</v>
      </c>
      <c r="H8331" s="5" t="s">
        <v>16897</v>
      </c>
    </row>
    <row r="8332" spans="1:8" x14ac:dyDescent="0.25">
      <c r="A8332" s="2" t="s">
        <v>8359</v>
      </c>
      <c r="B8332" s="3" t="s">
        <v>308</v>
      </c>
      <c r="C8332" s="3"/>
      <c r="D8332" s="3"/>
      <c r="E8332" s="5" t="str">
        <f>HYPERLINK("https://dpmzos25m8ivg.cloudfront.net/Documentos/631/91426170572/6319142617057211092023143357.pdf","https://dpmzos25m8ivg.cloudfront.net/Documentos/631/91426170572/6319142617057211092023143357.pdf")</f>
        <v>https://dpmzos25m8ivg.cloudfront.net/Documentos/631/91426170572/6319142617057211092023143357.pdf</v>
      </c>
      <c r="F8332" s="5" t="str">
        <f>HYPERLINK("https://dpmzos25m8ivg.cloudfront.net/Documentos/631/91426170572/6319142617057211092023143413.pdf","https://dpmzos25m8ivg.cloudfront.net/Documentos/631/91426170572/6319142617057211092023143413.pdf")</f>
        <v>https://dpmzos25m8ivg.cloudfront.net/Documentos/631/91426170572/6319142617057211092023143413.pdf</v>
      </c>
      <c r="G8332" s="5" t="str">
        <f>HYPERLINK("https://dpmzos25m8ivg.cloudfront.net/Documentos/631/91426170572/6319142617057211092023143426.pdf","https://dpmzos25m8ivg.cloudfront.net/Documentos/631/91426170572/6319142617057211092023143426.pdf")</f>
        <v>https://dpmzos25m8ivg.cloudfront.net/Documentos/631/91426170572/6319142617057211092023143426.pdf</v>
      </c>
      <c r="H8332" s="5" t="s">
        <v>9010</v>
      </c>
    </row>
    <row r="8333" spans="1:8" x14ac:dyDescent="0.25">
      <c r="A8333" s="2" t="s">
        <v>8360</v>
      </c>
      <c r="B8333" s="3"/>
      <c r="C8333" s="3"/>
      <c r="D8333" s="3"/>
      <c r="E8333" s="5" t="str">
        <f>HYPERLINK("https://dpmzos25m8ivg.cloudfront.net/Documentos/631/91475376553/6319147537655309092023103900.pdf","https://dpmzos25m8ivg.cloudfront.net/Documentos/631/91475376553/6319147537655309092023103900.pdf")</f>
        <v>https://dpmzos25m8ivg.cloudfront.net/Documentos/631/91475376553/6319147537655309092023103900.pdf</v>
      </c>
      <c r="F8333" s="5" t="str">
        <f>HYPERLINK("https://dpmzos25m8ivg.cloudfront.net/Documentos/631/91475376553/6319147537655309092023103934.pdf","https://dpmzos25m8ivg.cloudfront.net/Documentos/631/91475376553/6319147537655309092023103934.pdf")</f>
        <v>https://dpmzos25m8ivg.cloudfront.net/Documentos/631/91475376553/6319147537655309092023103934.pdf</v>
      </c>
      <c r="G8333" s="5" t="str">
        <f>HYPERLINK("https://dpmzos25m8ivg.cloudfront.net/Documentos/631/91475376553/6319147537655309092023103954.pdf","https://dpmzos25m8ivg.cloudfront.net/Documentos/631/91475376553/6319147537655309092023103954.pdf")</f>
        <v>https://dpmzos25m8ivg.cloudfront.net/Documentos/631/91475376553/6319147537655309092023103954.pdf</v>
      </c>
      <c r="H8333" s="5" t="s">
        <v>16898</v>
      </c>
    </row>
    <row r="8334" spans="1:8" x14ac:dyDescent="0.25">
      <c r="A8334" s="2" t="s">
        <v>8361</v>
      </c>
      <c r="B8334" s="3"/>
      <c r="C8334" s="3"/>
      <c r="D8334" s="3"/>
      <c r="E8334" s="5" t="str">
        <f>HYPERLINK("https://dpmzos25m8ivg.cloudfront.net/Documentos/631/91576040615/6319157604061510092023233815.jpg","https://dpmzos25m8ivg.cloudfront.net/Documentos/631/91576040615/6319157604061510092023233815.jpg")</f>
        <v>https://dpmzos25m8ivg.cloudfront.net/Documentos/631/91576040615/6319157604061510092023233815.jpg</v>
      </c>
      <c r="F8334" s="5" t="str">
        <f>HYPERLINK("https://dpmzos25m8ivg.cloudfront.net/Documentos/631/91576040615/6319157604061510092023233913.jpg","https://dpmzos25m8ivg.cloudfront.net/Documentos/631/91576040615/6319157604061510092023233913.jpg")</f>
        <v>https://dpmzos25m8ivg.cloudfront.net/Documentos/631/91576040615/6319157604061510092023233913.jpg</v>
      </c>
      <c r="G8334" s="5" t="str">
        <f>HYPERLINK("https://dpmzos25m8ivg.cloudfront.net/Documentos/631/91576040615/6319157604061510092023233838.jpg","https://dpmzos25m8ivg.cloudfront.net/Documentos/631/91576040615/6319157604061510092023233838.jpg")</f>
        <v>https://dpmzos25m8ivg.cloudfront.net/Documentos/631/91576040615/6319157604061510092023233838.jpg</v>
      </c>
      <c r="H8334" s="5" t="s">
        <v>16899</v>
      </c>
    </row>
    <row r="8335" spans="1:8" x14ac:dyDescent="0.25">
      <c r="A8335" s="2" t="s">
        <v>8362</v>
      </c>
      <c r="B8335" s="3"/>
      <c r="C8335" s="3"/>
      <c r="D8335" s="3"/>
      <c r="E8335" s="5" t="str">
        <f>HYPERLINK("https://dpmzos25m8ivg.cloudfront.net/Documentos/631/91589878272/6319158987827208092023203031.pdf","https://dpmzos25m8ivg.cloudfront.net/Documentos/631/91589878272/6319158987827208092023203031.pdf")</f>
        <v>https://dpmzos25m8ivg.cloudfront.net/Documentos/631/91589878272/6319158987827208092023203031.pdf</v>
      </c>
      <c r="F8335" s="5" t="str">
        <f>HYPERLINK("https://dpmzos25m8ivg.cloudfront.net/Documentos/631/91589878272/6319158987827208092023203042.pdf","https://dpmzos25m8ivg.cloudfront.net/Documentos/631/91589878272/6319158987827208092023203042.pdf")</f>
        <v>https://dpmzos25m8ivg.cloudfront.net/Documentos/631/91589878272/6319158987827208092023203042.pdf</v>
      </c>
      <c r="G8335" s="5" t="str">
        <f>HYPERLINK("https://dpmzos25m8ivg.cloudfront.net/Documentos/631/91589878272/6319158987827208092023203052.pdf","https://dpmzos25m8ivg.cloudfront.net/Documentos/631/91589878272/6319158987827208092023203052.pdf")</f>
        <v>https://dpmzos25m8ivg.cloudfront.net/Documentos/631/91589878272/6319158987827208092023203052.pdf</v>
      </c>
      <c r="H8335" s="5" t="s">
        <v>16900</v>
      </c>
    </row>
    <row r="8336" spans="1:8" x14ac:dyDescent="0.25">
      <c r="A8336" s="2" t="s">
        <v>8363</v>
      </c>
      <c r="B8336" s="3"/>
      <c r="C8336" s="3"/>
      <c r="D8336" s="3"/>
      <c r="E8336" s="5" t="str">
        <f>HYPERLINK("https://dpmzos25m8ivg.cloudfront.net/Documentos/631/91595673768/6319159567376811092023143501.jpeg","https://dpmzos25m8ivg.cloudfront.net/Documentos/631/91595673768/6319159567376811092023143501.jpeg")</f>
        <v>https://dpmzos25m8ivg.cloudfront.net/Documentos/631/91595673768/6319159567376811092023143501.jpeg</v>
      </c>
      <c r="F8336" s="5" t="str">
        <f>HYPERLINK("https://dpmzos25m8ivg.cloudfront.net/Documentos/631/91595673768/6319159567376811092023143519.jpeg","https://dpmzos25m8ivg.cloudfront.net/Documentos/631/91595673768/6319159567376811092023143519.jpeg")</f>
        <v>https://dpmzos25m8ivg.cloudfront.net/Documentos/631/91595673768/6319159567376811092023143519.jpeg</v>
      </c>
      <c r="G8336" s="5" t="str">
        <f>HYPERLINK("https://dpmzos25m8ivg.cloudfront.net/Documentos/631/91595673768/6319159567376811092023143532.jpeg","https://dpmzos25m8ivg.cloudfront.net/Documentos/631/91595673768/6319159567376811092023143532.jpeg")</f>
        <v>https://dpmzos25m8ivg.cloudfront.net/Documentos/631/91595673768/6319159567376811092023143532.jpeg</v>
      </c>
      <c r="H8336" s="5" t="s">
        <v>16901</v>
      </c>
    </row>
    <row r="8337" spans="1:8" x14ac:dyDescent="0.25">
      <c r="A8337" s="2" t="s">
        <v>8364</v>
      </c>
      <c r="B8337" s="3"/>
      <c r="C8337" s="3"/>
      <c r="D8337" s="3"/>
      <c r="E8337" s="5" t="str">
        <f>HYPERLINK("https://dpmzos25m8ivg.cloudfront.net/Documentos/631/91638836191/6319163883619106092023150412.pdf","https://dpmzos25m8ivg.cloudfront.net/Documentos/631/91638836191/6319163883619106092023150412.pdf")</f>
        <v>https://dpmzos25m8ivg.cloudfront.net/Documentos/631/91638836191/6319163883619106092023150412.pdf</v>
      </c>
      <c r="F8337" s="5" t="str">
        <f>HYPERLINK("https://dpmzos25m8ivg.cloudfront.net/Documentos/631/91638836191/6319163883619106092023150419.pdf","https://dpmzos25m8ivg.cloudfront.net/Documentos/631/91638836191/6319163883619106092023150419.pdf")</f>
        <v>https://dpmzos25m8ivg.cloudfront.net/Documentos/631/91638836191/6319163883619106092023150419.pdf</v>
      </c>
      <c r="G8337" s="5" t="str">
        <f>HYPERLINK("https://dpmzos25m8ivg.cloudfront.net/Documentos/631/91638836191/6319163883619106092023150449.pdf","https://dpmzos25m8ivg.cloudfront.net/Documentos/631/91638836191/6319163883619106092023150449.pdf")</f>
        <v>https://dpmzos25m8ivg.cloudfront.net/Documentos/631/91638836191/6319163883619106092023150449.pdf</v>
      </c>
      <c r="H8337" s="5" t="s">
        <v>16902</v>
      </c>
    </row>
    <row r="8338" spans="1:8" x14ac:dyDescent="0.25">
      <c r="A8338" s="2" t="s">
        <v>8365</v>
      </c>
      <c r="B8338" s="3"/>
      <c r="C8338" s="3"/>
      <c r="D8338" s="3"/>
      <c r="E8338" s="5" t="str">
        <f>HYPERLINK("https://dpmzos25m8ivg.cloudfront.net/Documentos/631/91692954334/6319169295433411092023150806.jpg","https://dpmzos25m8ivg.cloudfront.net/Documentos/631/91692954334/6319169295433411092023150806.jpg")</f>
        <v>https://dpmzos25m8ivg.cloudfront.net/Documentos/631/91692954334/6319169295433411092023150806.jpg</v>
      </c>
      <c r="F8338" s="5" t="str">
        <f>HYPERLINK("https://dpmzos25m8ivg.cloudfront.net/Documentos/631/91692954334/6319169295433411092023150827.jpg","https://dpmzos25m8ivg.cloudfront.net/Documentos/631/91692954334/6319169295433411092023150827.jpg")</f>
        <v>https://dpmzos25m8ivg.cloudfront.net/Documentos/631/91692954334/6319169295433411092023150827.jpg</v>
      </c>
      <c r="G8338" s="5" t="str">
        <f>HYPERLINK("https://dpmzos25m8ivg.cloudfront.net/Documentos/631/91692954334/6319169295433411092023150846.jpg","https://dpmzos25m8ivg.cloudfront.net/Documentos/631/91692954334/6319169295433411092023150846.jpg")</f>
        <v>https://dpmzos25m8ivg.cloudfront.net/Documentos/631/91692954334/6319169295433411092023150846.jpg</v>
      </c>
      <c r="H8338" s="5" t="s">
        <v>16903</v>
      </c>
    </row>
    <row r="8339" spans="1:8" x14ac:dyDescent="0.25">
      <c r="A8339" s="2" t="s">
        <v>8366</v>
      </c>
      <c r="B8339" s="3"/>
      <c r="C8339" s="3"/>
      <c r="D8339" s="3"/>
      <c r="E8339" s="5" t="str">
        <f>HYPERLINK("https://dpmzos25m8ivg.cloudfront.net/Documentos/631/91747856215/6319174785621511092023144931.pdf","https://dpmzos25m8ivg.cloudfront.net/Documentos/631/91747856215/6319174785621511092023144931.pdf")</f>
        <v>https://dpmzos25m8ivg.cloudfront.net/Documentos/631/91747856215/6319174785621511092023144931.pdf</v>
      </c>
      <c r="F8339" s="5" t="str">
        <f>HYPERLINK("https://dpmzos25m8ivg.cloudfront.net/Documentos/631/91747856215/6319174785621511092023144950.pdf","https://dpmzos25m8ivg.cloudfront.net/Documentos/631/91747856215/6319174785621511092023144950.pdf")</f>
        <v>https://dpmzos25m8ivg.cloudfront.net/Documentos/631/91747856215/6319174785621511092023144950.pdf</v>
      </c>
      <c r="G8339" s="5" t="str">
        <f>HYPERLINK("https://dpmzos25m8ivg.cloudfront.net/Documentos/631/91747856215/6319174785621511092023145011.pdf","https://dpmzos25m8ivg.cloudfront.net/Documentos/631/91747856215/6319174785621511092023145011.pdf")</f>
        <v>https://dpmzos25m8ivg.cloudfront.net/Documentos/631/91747856215/6319174785621511092023145011.pdf</v>
      </c>
      <c r="H8339" s="5" t="s">
        <v>16904</v>
      </c>
    </row>
    <row r="8340" spans="1:8" x14ac:dyDescent="0.25">
      <c r="A8340" s="2" t="s">
        <v>8367</v>
      </c>
      <c r="B8340" s="3"/>
      <c r="C8340" s="3"/>
      <c r="D8340" s="3"/>
      <c r="E8340" s="5" t="str">
        <f>HYPERLINK("https://dpmzos25m8ivg.cloudfront.net/Documentos/631/91810213215/6319181021321511092023155644.pdf","https://dpmzos25m8ivg.cloudfront.net/Documentos/631/91810213215/6319181021321511092023155644.pdf")</f>
        <v>https://dpmzos25m8ivg.cloudfront.net/Documentos/631/91810213215/6319181021321511092023155644.pdf</v>
      </c>
      <c r="F8340" s="5" t="str">
        <f>HYPERLINK("https://dpmzos25m8ivg.cloudfront.net/Documentos/631/91810213215/6319181021321511092023155659.pdf","https://dpmzos25m8ivg.cloudfront.net/Documentos/631/91810213215/6319181021321511092023155659.pdf")</f>
        <v>https://dpmzos25m8ivg.cloudfront.net/Documentos/631/91810213215/6319181021321511092023155659.pdf</v>
      </c>
      <c r="G8340" s="5" t="str">
        <f>HYPERLINK("https://dpmzos25m8ivg.cloudfront.net/Documentos/631/91810213215/6319181021321511092023155713.pdf","https://dpmzos25m8ivg.cloudfront.net/Documentos/631/91810213215/6319181021321511092023155713.pdf")</f>
        <v>https://dpmzos25m8ivg.cloudfront.net/Documentos/631/91810213215/6319181021321511092023155713.pdf</v>
      </c>
      <c r="H8340" s="5" t="s">
        <v>16905</v>
      </c>
    </row>
    <row r="8341" spans="1:8" x14ac:dyDescent="0.25">
      <c r="A8341" s="2" t="s">
        <v>8368</v>
      </c>
      <c r="B8341" s="3"/>
      <c r="C8341" s="3"/>
      <c r="D8341" s="3"/>
      <c r="E8341" s="5" t="str">
        <f>HYPERLINK("https://dpmzos25m8ivg.cloudfront.net/Documentos/631/91903572215/6319190357221505092023090030.pdf","https://dpmzos25m8ivg.cloudfront.net/Documentos/631/91903572215/6319190357221505092023090030.pdf")</f>
        <v>https://dpmzos25m8ivg.cloudfront.net/Documentos/631/91903572215/6319190357221505092023090030.pdf</v>
      </c>
      <c r="F8341" s="5" t="str">
        <f>HYPERLINK("https://dpmzos25m8ivg.cloudfront.net/Documentos/631/91903572215/6319190357221505092023090114.pdf","https://dpmzos25m8ivg.cloudfront.net/Documentos/631/91903572215/6319190357221505092023090114.pdf")</f>
        <v>https://dpmzos25m8ivg.cloudfront.net/Documentos/631/91903572215/6319190357221505092023090114.pdf</v>
      </c>
      <c r="G8341" s="5" t="str">
        <f>HYPERLINK("https://dpmzos25m8ivg.cloudfront.net/Documentos/631/91903572215/6319190357221505092023090142.pdf","https://dpmzos25m8ivg.cloudfront.net/Documentos/631/91903572215/6319190357221505092023090142.pdf")</f>
        <v>https://dpmzos25m8ivg.cloudfront.net/Documentos/631/91903572215/6319190357221505092023090142.pdf</v>
      </c>
      <c r="H8341" s="5" t="s">
        <v>16906</v>
      </c>
    </row>
    <row r="8342" spans="1:8" x14ac:dyDescent="0.25">
      <c r="A8342" s="2" t="s">
        <v>8369</v>
      </c>
      <c r="B8342" s="3"/>
      <c r="C8342" s="3"/>
      <c r="D8342" s="3"/>
      <c r="E8342" s="5" t="str">
        <f>HYPERLINK("https://dpmzos25m8ivg.cloudfront.net/Documentos/631/91922046515/6319192204651508092023194058.pdf","https://dpmzos25m8ivg.cloudfront.net/Documentos/631/91922046515/6319192204651508092023194058.pdf")</f>
        <v>https://dpmzos25m8ivg.cloudfront.net/Documentos/631/91922046515/6319192204651508092023194058.pdf</v>
      </c>
      <c r="F8342" s="5" t="str">
        <f>HYPERLINK("https://dpmzos25m8ivg.cloudfront.net/Documentos/631/91922046515/6319192204651508092023194121.pdf","https://dpmzos25m8ivg.cloudfront.net/Documentos/631/91922046515/6319192204651508092023194121.pdf")</f>
        <v>https://dpmzos25m8ivg.cloudfront.net/Documentos/631/91922046515/6319192204651508092023194121.pdf</v>
      </c>
      <c r="G8342" s="5" t="str">
        <f>HYPERLINK("https://dpmzos25m8ivg.cloudfront.net/Documentos/631/91922046515/6319192204651508092023194207.pdf","https://dpmzos25m8ivg.cloudfront.net/Documentos/631/91922046515/6319192204651508092023194207.pdf")</f>
        <v>https://dpmzos25m8ivg.cloudfront.net/Documentos/631/91922046515/6319192204651508092023194207.pdf</v>
      </c>
      <c r="H8342" s="5" t="s">
        <v>16907</v>
      </c>
    </row>
    <row r="8343" spans="1:8" x14ac:dyDescent="0.25">
      <c r="A8343" s="2" t="s">
        <v>8370</v>
      </c>
      <c r="B8343" s="3"/>
      <c r="C8343" s="3"/>
      <c r="D8343" s="3"/>
      <c r="E8343" s="5" t="str">
        <f>HYPERLINK("https://dpmzos25m8ivg.cloudfront.net/Documentos/631/91959926420/6319195992642011092023161510.pdf","https://dpmzos25m8ivg.cloudfront.net/Documentos/631/91959926420/6319195992642011092023161510.pdf")</f>
        <v>https://dpmzos25m8ivg.cloudfront.net/Documentos/631/91959926420/6319195992642011092023161510.pdf</v>
      </c>
      <c r="F8343" s="5" t="str">
        <f>HYPERLINK("https://dpmzos25m8ivg.cloudfront.net/Documentos/631/91959926420/6319195992642011092023161529.pdf","https://dpmzos25m8ivg.cloudfront.net/Documentos/631/91959926420/6319195992642011092023161529.pdf")</f>
        <v>https://dpmzos25m8ivg.cloudfront.net/Documentos/631/91959926420/6319195992642011092023161529.pdf</v>
      </c>
      <c r="G8343" s="5" t="str">
        <f>HYPERLINK("https://dpmzos25m8ivg.cloudfront.net/Documentos/631/91959926420/6319195992642011092023161547.pdf","https://dpmzos25m8ivg.cloudfront.net/Documentos/631/91959926420/6319195992642011092023161547.pdf")</f>
        <v>https://dpmzos25m8ivg.cloudfront.net/Documentos/631/91959926420/6319195992642011092023161547.pdf</v>
      </c>
      <c r="H8343" s="5" t="s">
        <v>16908</v>
      </c>
    </row>
    <row r="8344" spans="1:8" x14ac:dyDescent="0.25">
      <c r="A8344" s="2" t="s">
        <v>8371</v>
      </c>
      <c r="B8344" s="3"/>
      <c r="C8344" s="3"/>
      <c r="D8344" s="3"/>
      <c r="E8344" s="5" t="str">
        <f>HYPERLINK("https://dpmzos25m8ivg.cloudfront.net/Documentos/631/91961629534/6319196162953411092023141805.pdf","https://dpmzos25m8ivg.cloudfront.net/Documentos/631/91961629534/6319196162953411092023141805.pdf")</f>
        <v>https://dpmzos25m8ivg.cloudfront.net/Documentos/631/91961629534/6319196162953411092023141805.pdf</v>
      </c>
      <c r="F8344" s="5" t="str">
        <f>HYPERLINK("https://dpmzos25m8ivg.cloudfront.net/Documentos/631/91961629534/6319196162953411092023141828.pdf","https://dpmzos25m8ivg.cloudfront.net/Documentos/631/91961629534/6319196162953411092023141828.pdf")</f>
        <v>https://dpmzos25m8ivg.cloudfront.net/Documentos/631/91961629534/6319196162953411092023141828.pdf</v>
      </c>
      <c r="G8344" s="5" t="str">
        <f>HYPERLINK("https://dpmzos25m8ivg.cloudfront.net/Documentos/631/91961629534/6319196162953411092023141853.pdf","https://dpmzos25m8ivg.cloudfront.net/Documentos/631/91961629534/6319196162953411092023141853.pdf")</f>
        <v>https://dpmzos25m8ivg.cloudfront.net/Documentos/631/91961629534/6319196162953411092023141853.pdf</v>
      </c>
      <c r="H8344" s="5" t="s">
        <v>16909</v>
      </c>
    </row>
    <row r="8345" spans="1:8" x14ac:dyDescent="0.25">
      <c r="A8345" s="2" t="s">
        <v>8372</v>
      </c>
      <c r="B8345" s="3"/>
      <c r="C8345" s="3"/>
      <c r="D8345" s="3"/>
      <c r="E8345" s="5" t="str">
        <f>HYPERLINK("https://dpmzos25m8ivg.cloudfront.net/Documentos/631/92000746268/6319200074626811092023101534.pdf","https://dpmzos25m8ivg.cloudfront.net/Documentos/631/92000746268/6319200074626811092023101534.pdf")</f>
        <v>https://dpmzos25m8ivg.cloudfront.net/Documentos/631/92000746268/6319200074626811092023101534.pdf</v>
      </c>
      <c r="F8345" s="5" t="str">
        <f>HYPERLINK("https://dpmzos25m8ivg.cloudfront.net/Documentos/631/92000746268/6319200074626811092023101609.pdf","https://dpmzos25m8ivg.cloudfront.net/Documentos/631/92000746268/6319200074626811092023101609.pdf")</f>
        <v>https://dpmzos25m8ivg.cloudfront.net/Documentos/631/92000746268/6319200074626811092023101609.pdf</v>
      </c>
      <c r="G8345" s="5" t="str">
        <f>HYPERLINK("https://dpmzos25m8ivg.cloudfront.net/Documentos/631/92000746268/6319200074626811092023101648.pdf","https://dpmzos25m8ivg.cloudfront.net/Documentos/631/92000746268/6319200074626811092023101648.pdf")</f>
        <v>https://dpmzos25m8ivg.cloudfront.net/Documentos/631/92000746268/6319200074626811092023101648.pdf</v>
      </c>
      <c r="H8345" s="5" t="s">
        <v>16910</v>
      </c>
    </row>
    <row r="8346" spans="1:8" x14ac:dyDescent="0.25">
      <c r="A8346" s="2" t="s">
        <v>8373</v>
      </c>
      <c r="B8346" s="3" t="s">
        <v>23</v>
      </c>
      <c r="C8346" s="3"/>
      <c r="D8346" s="3"/>
      <c r="E8346" s="5" t="str">
        <f>HYPERLINK("https://dpmzos25m8ivg.cloudfront.net/Documentos/631/92058140672/6319205814067211092023105723.pdf","https://dpmzos25m8ivg.cloudfront.net/Documentos/631/92058140672/6319205814067211092023105723.pdf")</f>
        <v>https://dpmzos25m8ivg.cloudfront.net/Documentos/631/92058140672/6319205814067211092023105723.pdf</v>
      </c>
      <c r="F8346" s="5" t="str">
        <f>HYPERLINK("https://dpmzos25m8ivg.cloudfront.net/Documentos/631/92058140672/6319205814067211092023105747.pdf","https://dpmzos25m8ivg.cloudfront.net/Documentos/631/92058140672/6319205814067211092023105747.pdf")</f>
        <v>https://dpmzos25m8ivg.cloudfront.net/Documentos/631/92058140672/6319205814067211092023105747.pdf</v>
      </c>
      <c r="G8346" s="5" t="str">
        <f>HYPERLINK("https://dpmzos25m8ivg.cloudfront.net/Documentos/631/92058140672/6319205814067211092023105807.pdf","https://dpmzos25m8ivg.cloudfront.net/Documentos/631/92058140672/6319205814067211092023105807.pdf")</f>
        <v>https://dpmzos25m8ivg.cloudfront.net/Documentos/631/92058140672/6319205814067211092023105807.pdf</v>
      </c>
      <c r="H8346" s="5" t="s">
        <v>16911</v>
      </c>
    </row>
    <row r="8347" spans="1:8" x14ac:dyDescent="0.25">
      <c r="A8347" s="2" t="s">
        <v>8374</v>
      </c>
      <c r="B8347" s="3"/>
      <c r="C8347" s="3"/>
      <c r="D8347" s="3"/>
      <c r="E8347" s="5" t="str">
        <f>HYPERLINK("https://dpmzos25m8ivg.cloudfront.net/Documentos/631/92060650500/6319206065050011092023104256.pdf","https://dpmzos25m8ivg.cloudfront.net/Documentos/631/92060650500/6319206065050011092023104256.pdf")</f>
        <v>https://dpmzos25m8ivg.cloudfront.net/Documentos/631/92060650500/6319206065050011092023104256.pdf</v>
      </c>
      <c r="F8347" s="5" t="str">
        <f>HYPERLINK("https://dpmzos25m8ivg.cloudfront.net/Documentos/631/92060650500/6319206065050011092023104310.pdf","https://dpmzos25m8ivg.cloudfront.net/Documentos/631/92060650500/6319206065050011092023104310.pdf")</f>
        <v>https://dpmzos25m8ivg.cloudfront.net/Documentos/631/92060650500/6319206065050011092023104310.pdf</v>
      </c>
      <c r="G8347" s="5" t="str">
        <f>HYPERLINK("https://dpmzos25m8ivg.cloudfront.net/Documentos/631/92060650500/6319206065050011092023104320.pdf","https://dpmzos25m8ivg.cloudfront.net/Documentos/631/92060650500/6319206065050011092023104320.pdf")</f>
        <v>https://dpmzos25m8ivg.cloudfront.net/Documentos/631/92060650500/6319206065050011092023104320.pdf</v>
      </c>
      <c r="H8347" s="5" t="s">
        <v>16912</v>
      </c>
    </row>
    <row r="8348" spans="1:8" x14ac:dyDescent="0.25">
      <c r="A8348" s="2" t="s">
        <v>8375</v>
      </c>
      <c r="B8348" s="3"/>
      <c r="C8348" s="3"/>
      <c r="D8348" s="3"/>
      <c r="E8348" s="5" t="str">
        <f>HYPERLINK("https://dpmzos25m8ivg.cloudfront.net/Documentos/631/92109780568/6319210978056811092023150027.jpg","https://dpmzos25m8ivg.cloudfront.net/Documentos/631/92109780568/6319210978056811092023150027.jpg")</f>
        <v>https://dpmzos25m8ivg.cloudfront.net/Documentos/631/92109780568/6319210978056811092023150027.jpg</v>
      </c>
      <c r="F8348" s="5" t="str">
        <f>HYPERLINK("https://dpmzos25m8ivg.cloudfront.net/Documentos/631/92109780568/6319210978056811092023150100.jpg","https://dpmzos25m8ivg.cloudfront.net/Documentos/631/92109780568/6319210978056811092023150100.jpg")</f>
        <v>https://dpmzos25m8ivg.cloudfront.net/Documentos/631/92109780568/6319210978056811092023150100.jpg</v>
      </c>
      <c r="G8348" s="5" t="str">
        <f>HYPERLINK("https://dpmzos25m8ivg.cloudfront.net/Documentos/631/92109780568/6319210978056811092023150120.jpg","https://dpmzos25m8ivg.cloudfront.net/Documentos/631/92109780568/6319210978056811092023150120.jpg")</f>
        <v>https://dpmzos25m8ivg.cloudfront.net/Documentos/631/92109780568/6319210978056811092023150120.jpg</v>
      </c>
      <c r="H8348" s="5" t="s">
        <v>16913</v>
      </c>
    </row>
    <row r="8349" spans="1:8" x14ac:dyDescent="0.25">
      <c r="A8349" s="2" t="s">
        <v>8376</v>
      </c>
      <c r="B8349" s="3"/>
      <c r="C8349" s="3"/>
      <c r="D8349" s="3"/>
      <c r="E8349" s="5" t="str">
        <f>HYPERLINK("https://dpmzos25m8ivg.cloudfront.net/Documentos/631/92297706553/6319229770655311092023123159.pdf","https://dpmzos25m8ivg.cloudfront.net/Documentos/631/92297706553/6319229770655311092023123159.pdf")</f>
        <v>https://dpmzos25m8ivg.cloudfront.net/Documentos/631/92297706553/6319229770655311092023123159.pdf</v>
      </c>
      <c r="F8349" s="5" t="str">
        <f>HYPERLINK("https://dpmzos25m8ivg.cloudfront.net/Documentos/631/92297706553/6319229770655311092023123210.pdf","https://dpmzos25m8ivg.cloudfront.net/Documentos/631/92297706553/6319229770655311092023123210.pdf")</f>
        <v>https://dpmzos25m8ivg.cloudfront.net/Documentos/631/92297706553/6319229770655311092023123210.pdf</v>
      </c>
      <c r="G8349" s="5" t="str">
        <f>HYPERLINK("https://dpmzos25m8ivg.cloudfront.net/Documentos/631/92297706553/6319229770655311092023123253.pdf","https://dpmzos25m8ivg.cloudfront.net/Documentos/631/92297706553/6319229770655311092023123253.pdf")</f>
        <v>https://dpmzos25m8ivg.cloudfront.net/Documentos/631/92297706553/6319229770655311092023123253.pdf</v>
      </c>
      <c r="H8349" s="5" t="s">
        <v>16914</v>
      </c>
    </row>
    <row r="8350" spans="1:8" x14ac:dyDescent="0.25">
      <c r="A8350" s="2" t="s">
        <v>8377</v>
      </c>
      <c r="B8350" s="3"/>
      <c r="C8350" s="3"/>
      <c r="D8350" s="3"/>
      <c r="E8350" s="5" t="str">
        <f>HYPERLINK("https://dpmzos25m8ivg.cloudfront.net/Documentos/631/92305113587/6319230511358711092023135801.pdf","https://dpmzos25m8ivg.cloudfront.net/Documentos/631/92305113587/6319230511358711092023135801.pdf")</f>
        <v>https://dpmzos25m8ivg.cloudfront.net/Documentos/631/92305113587/6319230511358711092023135801.pdf</v>
      </c>
      <c r="F8350" s="5" t="str">
        <f>HYPERLINK("https://dpmzos25m8ivg.cloudfront.net/Documentos/631/92305113587/6319230511358711092023135816.pdf","https://dpmzos25m8ivg.cloudfront.net/Documentos/631/92305113587/6319230511358711092023135816.pdf")</f>
        <v>https://dpmzos25m8ivg.cloudfront.net/Documentos/631/92305113587/6319230511358711092023135816.pdf</v>
      </c>
      <c r="G8350" s="5" t="str">
        <f>HYPERLINK("https://dpmzos25m8ivg.cloudfront.net/Documentos/631/92305113587/6319230511358711092023135831.pdf","https://dpmzos25m8ivg.cloudfront.net/Documentos/631/92305113587/6319230511358711092023135831.pdf")</f>
        <v>https://dpmzos25m8ivg.cloudfront.net/Documentos/631/92305113587/6319230511358711092023135831.pdf</v>
      </c>
      <c r="H8350" s="5" t="s">
        <v>16915</v>
      </c>
    </row>
    <row r="8351" spans="1:8" x14ac:dyDescent="0.25">
      <c r="A8351" s="2" t="s">
        <v>8378</v>
      </c>
      <c r="B8351" s="3"/>
      <c r="C8351" s="3"/>
      <c r="D8351" s="3"/>
      <c r="E8351" s="5" t="str">
        <f>HYPERLINK("https://dpmzos25m8ivg.cloudfront.net/Documentos/631/92311890506/6319231189050606092023174901.pdf","https://dpmzos25m8ivg.cloudfront.net/Documentos/631/92311890506/6319231189050606092023174901.pdf")</f>
        <v>https://dpmzos25m8ivg.cloudfront.net/Documentos/631/92311890506/6319231189050606092023174901.pdf</v>
      </c>
      <c r="F8351" s="5" t="str">
        <f>HYPERLINK("https://dpmzos25m8ivg.cloudfront.net/Documentos/631/92311890506/6319231189050606092023174922.pdf","https://dpmzos25m8ivg.cloudfront.net/Documentos/631/92311890506/6319231189050606092023174922.pdf")</f>
        <v>https://dpmzos25m8ivg.cloudfront.net/Documentos/631/92311890506/6319231189050606092023174922.pdf</v>
      </c>
      <c r="G8351" s="5" t="str">
        <f>HYPERLINK("https://dpmzos25m8ivg.cloudfront.net/Documentos/631/92311890506/6319231189050606092023174940.pdf","https://dpmzos25m8ivg.cloudfront.net/Documentos/631/92311890506/6319231189050606092023174940.pdf")</f>
        <v>https://dpmzos25m8ivg.cloudfront.net/Documentos/631/92311890506/6319231189050606092023174940.pdf</v>
      </c>
      <c r="H8351" s="5" t="s">
        <v>16916</v>
      </c>
    </row>
    <row r="8352" spans="1:8" x14ac:dyDescent="0.25">
      <c r="A8352" s="2" t="s">
        <v>8379</v>
      </c>
      <c r="B8352" s="3"/>
      <c r="C8352" s="3"/>
      <c r="D8352" s="3"/>
      <c r="E8352" s="5" t="str">
        <f>HYPERLINK("https://dpmzos25m8ivg.cloudfront.net/Documentos/631/92332790578/6319233279057809092023111207.jpg","https://dpmzos25m8ivg.cloudfront.net/Documentos/631/92332790578/6319233279057809092023111207.jpg")</f>
        <v>https://dpmzos25m8ivg.cloudfront.net/Documentos/631/92332790578/6319233279057809092023111207.jpg</v>
      </c>
      <c r="F8352" s="5" t="str">
        <f>HYPERLINK("https://dpmzos25m8ivg.cloudfront.net/Documentos/631/92332790578/6319233279057809092023111228.jpg","https://dpmzos25m8ivg.cloudfront.net/Documentos/631/92332790578/6319233279057809092023111228.jpg")</f>
        <v>https://dpmzos25m8ivg.cloudfront.net/Documentos/631/92332790578/6319233279057809092023111228.jpg</v>
      </c>
      <c r="G8352" s="5" t="str">
        <f>HYPERLINK("https://dpmzos25m8ivg.cloudfront.net/Documentos/631/92332790578/6319233279057809092023111242.jpg","https://dpmzos25m8ivg.cloudfront.net/Documentos/631/92332790578/6319233279057809092023111242.jpg")</f>
        <v>https://dpmzos25m8ivg.cloudfront.net/Documentos/631/92332790578/6319233279057809092023111242.jpg</v>
      </c>
      <c r="H8352" s="5" t="s">
        <v>16917</v>
      </c>
    </row>
    <row r="8353" spans="1:8" x14ac:dyDescent="0.25">
      <c r="A8353" s="2" t="s">
        <v>8380</v>
      </c>
      <c r="B8353" s="3"/>
      <c r="C8353" s="3"/>
      <c r="D8353" s="3"/>
      <c r="E8353" s="5" t="str">
        <f>HYPERLINK("https://dpmzos25m8ivg.cloudfront.net/Documentos/631/92345255900/6319234525590011092023113825.jpg","https://dpmzos25m8ivg.cloudfront.net/Documentos/631/92345255900/6319234525590011092023113825.jpg")</f>
        <v>https://dpmzos25m8ivg.cloudfront.net/Documentos/631/92345255900/6319234525590011092023113825.jpg</v>
      </c>
      <c r="F8353" s="5" t="str">
        <f>HYPERLINK("https://dpmzos25m8ivg.cloudfront.net/Documentos/631/92345255900/6319234525590011092023113840.jpg","https://dpmzos25m8ivg.cloudfront.net/Documentos/631/92345255900/6319234525590011092023113840.jpg")</f>
        <v>https://dpmzos25m8ivg.cloudfront.net/Documentos/631/92345255900/6319234525590011092023113840.jpg</v>
      </c>
      <c r="G8353" s="5" t="str">
        <f>HYPERLINK("https://dpmzos25m8ivg.cloudfront.net/Documentos/631/92345255900/6319234525590011092023113855.jpg","https://dpmzos25m8ivg.cloudfront.net/Documentos/631/92345255900/6319234525590011092023113855.jpg")</f>
        <v>https://dpmzos25m8ivg.cloudfront.net/Documentos/631/92345255900/6319234525590011092023113855.jpg</v>
      </c>
      <c r="H8353" s="5" t="s">
        <v>16918</v>
      </c>
    </row>
    <row r="8354" spans="1:8" x14ac:dyDescent="0.25">
      <c r="A8354" s="2" t="s">
        <v>8381</v>
      </c>
      <c r="B8354" s="3"/>
      <c r="C8354" s="3"/>
      <c r="D8354" s="3"/>
      <c r="E8354" s="5" t="str">
        <f>HYPERLINK("https://dpmzos25m8ivg.cloudfront.net/Documentos/631/92350550249/6319235055024911092023102023.pdf","https://dpmzos25m8ivg.cloudfront.net/Documentos/631/92350550249/6319235055024911092023102023.pdf")</f>
        <v>https://dpmzos25m8ivg.cloudfront.net/Documentos/631/92350550249/6319235055024911092023102023.pdf</v>
      </c>
      <c r="F8354" s="5" t="str">
        <f>HYPERLINK("https://dpmzos25m8ivg.cloudfront.net/Documentos/631/92350550249/6319235055024911092023102038.pdf","https://dpmzos25m8ivg.cloudfront.net/Documentos/631/92350550249/6319235055024911092023102038.pdf")</f>
        <v>https://dpmzos25m8ivg.cloudfront.net/Documentos/631/92350550249/6319235055024911092023102038.pdf</v>
      </c>
      <c r="G8354" s="5" t="str">
        <f>HYPERLINK("https://dpmzos25m8ivg.cloudfront.net/Documentos/631/92350550249/6319235055024911092023102048.pdf","https://dpmzos25m8ivg.cloudfront.net/Documentos/631/92350550249/6319235055024911092023102048.pdf")</f>
        <v>https://dpmzos25m8ivg.cloudfront.net/Documentos/631/92350550249/6319235055024911092023102048.pdf</v>
      </c>
      <c r="H8354" s="5" t="s">
        <v>16919</v>
      </c>
    </row>
    <row r="8355" spans="1:8" x14ac:dyDescent="0.25">
      <c r="A8355" s="2" t="s">
        <v>8382</v>
      </c>
      <c r="B8355" s="3"/>
      <c r="C8355" s="3"/>
      <c r="D8355" s="3"/>
      <c r="E8355" s="5" t="str">
        <f>HYPERLINK("https://dpmzos25m8ivg.cloudfront.net/Documentos/631/92379052204/6319237905220411092023111456.jpg","https://dpmzos25m8ivg.cloudfront.net/Documentos/631/92379052204/6319237905220411092023111456.jpg")</f>
        <v>https://dpmzos25m8ivg.cloudfront.net/Documentos/631/92379052204/6319237905220411092023111456.jpg</v>
      </c>
      <c r="F8355" s="5" t="str">
        <f>HYPERLINK("https://dpmzos25m8ivg.cloudfront.net/Documentos/631/92379052204/6319237905220411092023112013.jpg","https://dpmzos25m8ivg.cloudfront.net/Documentos/631/92379052204/6319237905220411092023112013.jpg")</f>
        <v>https://dpmzos25m8ivg.cloudfront.net/Documentos/631/92379052204/6319237905220411092023112013.jpg</v>
      </c>
      <c r="G8355" s="5" t="str">
        <f>HYPERLINK("https://dpmzos25m8ivg.cloudfront.net/Documentos/631/92379052204/6319237905220411092023112310.jpg","https://dpmzos25m8ivg.cloudfront.net/Documentos/631/92379052204/6319237905220411092023112310.jpg")</f>
        <v>https://dpmzos25m8ivg.cloudfront.net/Documentos/631/92379052204/6319237905220411092023112310.jpg</v>
      </c>
      <c r="H8355" s="5" t="s">
        <v>16920</v>
      </c>
    </row>
    <row r="8356" spans="1:8" x14ac:dyDescent="0.25">
      <c r="A8356" s="2" t="s">
        <v>8383</v>
      </c>
      <c r="B8356" s="3"/>
      <c r="C8356" s="3"/>
      <c r="D8356" s="3"/>
      <c r="E8356" s="5" t="str">
        <f>HYPERLINK("https://dpmzos25m8ivg.cloudfront.net/Documentos/631/92379095191/6319237909519111092023170819.pdf","https://dpmzos25m8ivg.cloudfront.net/Documentos/631/92379095191/6319237909519111092023170819.pdf")</f>
        <v>https://dpmzos25m8ivg.cloudfront.net/Documentos/631/92379095191/6319237909519111092023170819.pdf</v>
      </c>
      <c r="F8356" s="5" t="str">
        <f>HYPERLINK("https://dpmzos25m8ivg.cloudfront.net/Documentos/631/92379095191/6319237909519111092023170851.pdf","https://dpmzos25m8ivg.cloudfront.net/Documentos/631/92379095191/6319237909519111092023170851.pdf")</f>
        <v>https://dpmzos25m8ivg.cloudfront.net/Documentos/631/92379095191/6319237909519111092023170851.pdf</v>
      </c>
      <c r="G8356" s="5" t="str">
        <f>HYPERLINK("https://dpmzos25m8ivg.cloudfront.net/Documentos/631/92379095191/6319237909519111092023170909.pdf","https://dpmzos25m8ivg.cloudfront.net/Documentos/631/92379095191/6319237909519111092023170909.pdf")</f>
        <v>https://dpmzos25m8ivg.cloudfront.net/Documentos/631/92379095191/6319237909519111092023170909.pdf</v>
      </c>
      <c r="H8356" s="5" t="s">
        <v>16921</v>
      </c>
    </row>
    <row r="8357" spans="1:8" x14ac:dyDescent="0.25">
      <c r="A8357" s="2" t="s">
        <v>8384</v>
      </c>
      <c r="B8357" s="3"/>
      <c r="C8357" s="3"/>
      <c r="D8357" s="3"/>
      <c r="E8357" s="5" t="str">
        <f>HYPERLINK("https://dpmzos25m8ivg.cloudfront.net/Documentos/631/92398766004/6319239876600404092023211631.jpg","https://dpmzos25m8ivg.cloudfront.net/Documentos/631/92398766004/6319239876600404092023211631.jpg")</f>
        <v>https://dpmzos25m8ivg.cloudfront.net/Documentos/631/92398766004/6319239876600404092023211631.jpg</v>
      </c>
      <c r="F8357" s="5" t="str">
        <f>HYPERLINK("https://dpmzos25m8ivg.cloudfront.net/Documentos/631/92398766004/6319239876600404092023212133.jpg","https://dpmzos25m8ivg.cloudfront.net/Documentos/631/92398766004/6319239876600404092023212133.jpg")</f>
        <v>https://dpmzos25m8ivg.cloudfront.net/Documentos/631/92398766004/6319239876600404092023212133.jpg</v>
      </c>
      <c r="G8357" s="5" t="str">
        <f>HYPERLINK("https://dpmzos25m8ivg.cloudfront.net/Documentos/631/92398766004/6319239876600404092023212657.jpg","https://dpmzos25m8ivg.cloudfront.net/Documentos/631/92398766004/6319239876600404092023212657.jpg")</f>
        <v>https://dpmzos25m8ivg.cloudfront.net/Documentos/631/92398766004/6319239876600404092023212657.jpg</v>
      </c>
      <c r="H8357" s="5" t="s">
        <v>16922</v>
      </c>
    </row>
    <row r="8358" spans="1:8" x14ac:dyDescent="0.25">
      <c r="A8358" s="2" t="s">
        <v>8385</v>
      </c>
      <c r="B8358" s="3"/>
      <c r="C8358" s="3"/>
      <c r="D8358" s="3"/>
      <c r="E8358" s="5" t="str">
        <f>HYPERLINK("https://dpmzos25m8ivg.cloudfront.net/Documentos/631/92416675400/6319241667540005092023210019.pdf","https://dpmzos25m8ivg.cloudfront.net/Documentos/631/92416675400/6319241667540005092023210019.pdf")</f>
        <v>https://dpmzos25m8ivg.cloudfront.net/Documentos/631/92416675400/6319241667540005092023210019.pdf</v>
      </c>
      <c r="F8358" s="5" t="str">
        <f>HYPERLINK("https://dpmzos25m8ivg.cloudfront.net/Documentos/631/92416675400/6319241667540005092023210052.pdf","https://dpmzos25m8ivg.cloudfront.net/Documentos/631/92416675400/6319241667540005092023210052.pdf")</f>
        <v>https://dpmzos25m8ivg.cloudfront.net/Documentos/631/92416675400/6319241667540005092023210052.pdf</v>
      </c>
      <c r="G8358" s="5" t="str">
        <f>HYPERLINK("https://dpmzos25m8ivg.cloudfront.net/Documentos/631/92416675400/6319241667540005092023210111.pdf","https://dpmzos25m8ivg.cloudfront.net/Documentos/631/92416675400/6319241667540005092023210111.pdf")</f>
        <v>https://dpmzos25m8ivg.cloudfront.net/Documentos/631/92416675400/6319241667540005092023210111.pdf</v>
      </c>
      <c r="H8358" s="5" t="s">
        <v>16923</v>
      </c>
    </row>
    <row r="8359" spans="1:8" x14ac:dyDescent="0.25">
      <c r="A8359" s="2" t="s">
        <v>8386</v>
      </c>
      <c r="B8359" s="3"/>
      <c r="C8359" s="3"/>
      <c r="D8359" s="3"/>
      <c r="E8359" s="5" t="str">
        <f>HYPERLINK("https://dpmzos25m8ivg.cloudfront.net/Documentos/631/92485820600/6319248582060011092023152007.pdf","https://dpmzos25m8ivg.cloudfront.net/Documentos/631/92485820600/6319248582060011092023152007.pdf")</f>
        <v>https://dpmzos25m8ivg.cloudfront.net/Documentos/631/92485820600/6319248582060011092023152007.pdf</v>
      </c>
      <c r="F8359" s="5" t="str">
        <f>HYPERLINK("https://dpmzos25m8ivg.cloudfront.net/Documentos/631/92485820600/6319248582060011092023152025.pdf","https://dpmzos25m8ivg.cloudfront.net/Documentos/631/92485820600/6319248582060011092023152025.pdf")</f>
        <v>https://dpmzos25m8ivg.cloudfront.net/Documentos/631/92485820600/6319248582060011092023152025.pdf</v>
      </c>
      <c r="G8359" s="5" t="str">
        <f>HYPERLINK("https://dpmzos25m8ivg.cloudfront.net/Documentos/631/92485820600/6319248582060011092023152044.pdf","https://dpmzos25m8ivg.cloudfront.net/Documentos/631/92485820600/6319248582060011092023152044.pdf")</f>
        <v>https://dpmzos25m8ivg.cloudfront.net/Documentos/631/92485820600/6319248582060011092023152044.pdf</v>
      </c>
      <c r="H8359" s="5" t="s">
        <v>16924</v>
      </c>
    </row>
    <row r="8360" spans="1:8" x14ac:dyDescent="0.25">
      <c r="A8360" s="2" t="s">
        <v>8387</v>
      </c>
      <c r="B8360" s="3"/>
      <c r="C8360" s="3"/>
      <c r="D8360" s="3"/>
      <c r="E8360" s="5" t="str">
        <f>HYPERLINK("https://dpmzos25m8ivg.cloudfront.net/Documentos/631/92524877434/6319252487743411092023092416.pdf","https://dpmzos25m8ivg.cloudfront.net/Documentos/631/92524877434/6319252487743411092023092416.pdf")</f>
        <v>https://dpmzos25m8ivg.cloudfront.net/Documentos/631/92524877434/6319252487743411092023092416.pdf</v>
      </c>
      <c r="F8360" s="5" t="str">
        <f>HYPERLINK("https://dpmzos25m8ivg.cloudfront.net/Documentos/631/92524877434/6319252487743411092023092431.pdf","https://dpmzos25m8ivg.cloudfront.net/Documentos/631/92524877434/6319252487743411092023092431.pdf")</f>
        <v>https://dpmzos25m8ivg.cloudfront.net/Documentos/631/92524877434/6319252487743411092023092431.pdf</v>
      </c>
      <c r="G8360" s="5" t="str">
        <f>HYPERLINK("https://dpmzos25m8ivg.cloudfront.net/Documentos/631/92524877434/6319252487743411092023092440.pdf","https://dpmzos25m8ivg.cloudfront.net/Documentos/631/92524877434/6319252487743411092023092440.pdf")</f>
        <v>https://dpmzos25m8ivg.cloudfront.net/Documentos/631/92524877434/6319252487743411092023092440.pdf</v>
      </c>
      <c r="H8360" s="5" t="s">
        <v>16925</v>
      </c>
    </row>
    <row r="8361" spans="1:8" x14ac:dyDescent="0.25">
      <c r="A8361" s="2" t="s">
        <v>8388</v>
      </c>
      <c r="B8361" s="3"/>
      <c r="C8361" s="3"/>
      <c r="D8361" s="3"/>
      <c r="E8361" s="5" t="str">
        <f>HYPERLINK("https://dpmzos25m8ivg.cloudfront.net/Documentos/631/92538258553/6319253825855307092023103051.pdf","https://dpmzos25m8ivg.cloudfront.net/Documentos/631/92538258553/6319253825855307092023103051.pdf")</f>
        <v>https://dpmzos25m8ivg.cloudfront.net/Documentos/631/92538258553/6319253825855307092023103051.pdf</v>
      </c>
      <c r="F8361" s="5" t="str">
        <f>HYPERLINK("https://dpmzos25m8ivg.cloudfront.net/Documentos/631/92538258553/6319253825855307092023103136.pdf","https://dpmzos25m8ivg.cloudfront.net/Documentos/631/92538258553/6319253825855307092023103136.pdf")</f>
        <v>https://dpmzos25m8ivg.cloudfront.net/Documentos/631/92538258553/6319253825855307092023103136.pdf</v>
      </c>
      <c r="G8361" s="5" t="str">
        <f>HYPERLINK("https://dpmzos25m8ivg.cloudfront.net/Documentos/631/92538258553/6319253825855307092023103215.pdf","https://dpmzos25m8ivg.cloudfront.net/Documentos/631/92538258553/6319253825855307092023103215.pdf")</f>
        <v>https://dpmzos25m8ivg.cloudfront.net/Documentos/631/92538258553/6319253825855307092023103215.pdf</v>
      </c>
      <c r="H8361" s="5" t="s">
        <v>16926</v>
      </c>
    </row>
    <row r="8362" spans="1:8" x14ac:dyDescent="0.25">
      <c r="A8362" s="2" t="s">
        <v>8389</v>
      </c>
      <c r="B8362" s="3"/>
      <c r="C8362" s="3"/>
      <c r="D8362" s="3"/>
      <c r="E8362" s="5" t="str">
        <f>HYPERLINK("https://dpmzos25m8ivg.cloudfront.net/Documentos/631/92558143387/6319255814338707092023221320.pdf","https://dpmzos25m8ivg.cloudfront.net/Documentos/631/92558143387/6319255814338707092023221320.pdf")</f>
        <v>https://dpmzos25m8ivg.cloudfront.net/Documentos/631/92558143387/6319255814338707092023221320.pdf</v>
      </c>
      <c r="F8362" s="5" t="str">
        <f>HYPERLINK("https://dpmzos25m8ivg.cloudfront.net/Documentos/631/92558143387/6319255814338707092023221337.pdf","https://dpmzos25m8ivg.cloudfront.net/Documentos/631/92558143387/6319255814338707092023221337.pdf")</f>
        <v>https://dpmzos25m8ivg.cloudfront.net/Documentos/631/92558143387/6319255814338707092023221337.pdf</v>
      </c>
      <c r="G8362" s="5" t="str">
        <f>HYPERLINK("https://dpmzos25m8ivg.cloudfront.net/Documentos/631/92558143387/6319255814338707092023221348.pdf","https://dpmzos25m8ivg.cloudfront.net/Documentos/631/92558143387/6319255814338707092023221348.pdf")</f>
        <v>https://dpmzos25m8ivg.cloudfront.net/Documentos/631/92558143387/6319255814338707092023221348.pdf</v>
      </c>
      <c r="H8362" s="5" t="s">
        <v>16927</v>
      </c>
    </row>
    <row r="8363" spans="1:8" x14ac:dyDescent="0.25">
      <c r="A8363" s="2" t="s">
        <v>8390</v>
      </c>
      <c r="B8363" s="3"/>
      <c r="C8363" s="3"/>
      <c r="D8363" s="3"/>
      <c r="E8363" s="5" t="str">
        <f>HYPERLINK("https://dpmzos25m8ivg.cloudfront.net/Documentos/631/92595901591/6319259590159114092023145411.pdf","https://dpmzos25m8ivg.cloudfront.net/Documentos/631/92595901591/6319259590159114092023145411.pdf")</f>
        <v>https://dpmzos25m8ivg.cloudfront.net/Documentos/631/92595901591/6319259590159114092023145411.pdf</v>
      </c>
      <c r="F8363" s="5" t="str">
        <f>HYPERLINK("https://dpmzos25m8ivg.cloudfront.net/Documentos/631/92595901591/6319259590159114092023145356.pdf","https://dpmzos25m8ivg.cloudfront.net/Documentos/631/92595901591/6319259590159114092023145356.pdf")</f>
        <v>https://dpmzos25m8ivg.cloudfront.net/Documentos/631/92595901591/6319259590159114092023145356.pdf</v>
      </c>
      <c r="G8363" s="5" t="str">
        <f>HYPERLINK("https://dpmzos25m8ivg.cloudfront.net/Documentos/631/92595901591/6319259590159114092023145340.pdf","https://dpmzos25m8ivg.cloudfront.net/Documentos/631/92595901591/6319259590159114092023145340.pdf")</f>
        <v>https://dpmzos25m8ivg.cloudfront.net/Documentos/631/92595901591/6319259590159114092023145340.pdf</v>
      </c>
      <c r="H8363" s="5" t="s">
        <v>16928</v>
      </c>
    </row>
    <row r="8364" spans="1:8" x14ac:dyDescent="0.25">
      <c r="A8364" s="2" t="s">
        <v>8391</v>
      </c>
      <c r="B8364" s="3"/>
      <c r="C8364" s="3"/>
      <c r="D8364" s="3"/>
      <c r="E8364" s="5" t="str">
        <f>HYPERLINK("https://dpmzos25m8ivg.cloudfront.net/Documentos/631/92598463234/6319259846323411092023154027.pdf","https://dpmzos25m8ivg.cloudfront.net/Documentos/631/92598463234/6319259846323411092023154027.pdf")</f>
        <v>https://dpmzos25m8ivg.cloudfront.net/Documentos/631/92598463234/6319259846323411092023154027.pdf</v>
      </c>
      <c r="F8364" s="5" t="str">
        <f>HYPERLINK("https://dpmzos25m8ivg.cloudfront.net/Documentos/631/92598463234/6319259846323411092023154047.pdf","https://dpmzos25m8ivg.cloudfront.net/Documentos/631/92598463234/6319259846323411092023154047.pdf")</f>
        <v>https://dpmzos25m8ivg.cloudfront.net/Documentos/631/92598463234/6319259846323411092023154047.pdf</v>
      </c>
      <c r="G8364" s="5" t="str">
        <f>HYPERLINK("https://dpmzos25m8ivg.cloudfront.net/Documentos/631/92598463234/6319259846323411092023154057.pdf","https://dpmzos25m8ivg.cloudfront.net/Documentos/631/92598463234/6319259846323411092023154057.pdf")</f>
        <v>https://dpmzos25m8ivg.cloudfront.net/Documentos/631/92598463234/6319259846323411092023154057.pdf</v>
      </c>
      <c r="H8364" s="5" t="s">
        <v>16929</v>
      </c>
    </row>
    <row r="8365" spans="1:8" x14ac:dyDescent="0.25">
      <c r="A8365" s="2" t="s">
        <v>8392</v>
      </c>
      <c r="B8365" s="3"/>
      <c r="C8365" s="3"/>
      <c r="D8365" s="3"/>
      <c r="E8365" s="5" t="str">
        <f>HYPERLINK("https://dpmzos25m8ivg.cloudfront.net/Documentos/631/92616747987/6319261674798711092023005813.pdf","https://dpmzos25m8ivg.cloudfront.net/Documentos/631/92616747987/6319261674798711092023005813.pdf")</f>
        <v>https://dpmzos25m8ivg.cloudfront.net/Documentos/631/92616747987/6319261674798711092023005813.pdf</v>
      </c>
      <c r="F8365" s="5" t="str">
        <f>HYPERLINK("https://dpmzos25m8ivg.cloudfront.net/Documentos/631/92616747987/6319261674798711092023005838.pdf","https://dpmzos25m8ivg.cloudfront.net/Documentos/631/92616747987/6319261674798711092023005838.pdf")</f>
        <v>https://dpmzos25m8ivg.cloudfront.net/Documentos/631/92616747987/6319261674798711092023005838.pdf</v>
      </c>
      <c r="G8365" s="5" t="str">
        <f>HYPERLINK("https://dpmzos25m8ivg.cloudfront.net/Documentos/631/92616747987/6319261674798711092023005906.pdf","https://dpmzos25m8ivg.cloudfront.net/Documentos/631/92616747987/6319261674798711092023005906.pdf")</f>
        <v>https://dpmzos25m8ivg.cloudfront.net/Documentos/631/92616747987/6319261674798711092023005906.pdf</v>
      </c>
      <c r="H8365" s="5" t="s">
        <v>16930</v>
      </c>
    </row>
    <row r="8366" spans="1:8" x14ac:dyDescent="0.25">
      <c r="A8366" s="2" t="s">
        <v>8393</v>
      </c>
      <c r="B8366" s="3"/>
      <c r="C8366" s="3"/>
      <c r="D8366" s="3"/>
      <c r="E8366" s="5" t="str">
        <f>HYPERLINK("https://dpmzos25m8ivg.cloudfront.net/Documentos/631/92742831649/6319274283164911092023120857.pdf","https://dpmzos25m8ivg.cloudfront.net/Documentos/631/92742831649/6319274283164911092023120857.pdf")</f>
        <v>https://dpmzos25m8ivg.cloudfront.net/Documentos/631/92742831649/6319274283164911092023120857.pdf</v>
      </c>
      <c r="F8366" s="5" t="str">
        <f>HYPERLINK("https://dpmzos25m8ivg.cloudfront.net/Documentos/631/92742831649/6319274283164911092023120921.pdf","https://dpmzos25m8ivg.cloudfront.net/Documentos/631/92742831649/6319274283164911092023120921.pdf")</f>
        <v>https://dpmzos25m8ivg.cloudfront.net/Documentos/631/92742831649/6319274283164911092023120921.pdf</v>
      </c>
      <c r="G8366" s="5" t="str">
        <f>HYPERLINK("https://dpmzos25m8ivg.cloudfront.net/Documentos/631/92742831649/6319274283164911092023120934.pdf","https://dpmzos25m8ivg.cloudfront.net/Documentos/631/92742831649/6319274283164911092023120934.pdf")</f>
        <v>https://dpmzos25m8ivg.cloudfront.net/Documentos/631/92742831649/6319274283164911092023120934.pdf</v>
      </c>
      <c r="H8366" s="5" t="s">
        <v>16931</v>
      </c>
    </row>
    <row r="8367" spans="1:8" x14ac:dyDescent="0.25">
      <c r="A8367" s="2" t="s">
        <v>8394</v>
      </c>
      <c r="B8367" s="3"/>
      <c r="C8367" s="3"/>
      <c r="D8367" s="3"/>
      <c r="E8367" s="5" t="str">
        <f>HYPERLINK("https://dpmzos25m8ivg.cloudfront.net/Documentos/631/92752020104/6319275202010406092023114704.pdf","https://dpmzos25m8ivg.cloudfront.net/Documentos/631/92752020104/6319275202010406092023114704.pdf")</f>
        <v>https://dpmzos25m8ivg.cloudfront.net/Documentos/631/92752020104/6319275202010406092023114704.pdf</v>
      </c>
      <c r="F8367" s="5" t="str">
        <f>HYPERLINK("https://dpmzos25m8ivg.cloudfront.net/Documentos/631/92752020104/6319275202010406092023114719.pdf","https://dpmzos25m8ivg.cloudfront.net/Documentos/631/92752020104/6319275202010406092023114719.pdf")</f>
        <v>https://dpmzos25m8ivg.cloudfront.net/Documentos/631/92752020104/6319275202010406092023114719.pdf</v>
      </c>
      <c r="G8367" s="5" t="str">
        <f>HYPERLINK("https://dpmzos25m8ivg.cloudfront.net/Documentos/631/92752020104/6319275202010406092023114733.pdf","https://dpmzos25m8ivg.cloudfront.net/Documentos/631/92752020104/6319275202010406092023114733.pdf")</f>
        <v>https://dpmzos25m8ivg.cloudfront.net/Documentos/631/92752020104/6319275202010406092023114733.pdf</v>
      </c>
      <c r="H8367" s="5" t="s">
        <v>16932</v>
      </c>
    </row>
    <row r="8368" spans="1:8" x14ac:dyDescent="0.25">
      <c r="A8368" s="2" t="s">
        <v>8395</v>
      </c>
      <c r="B8368" s="3"/>
      <c r="C8368" s="3"/>
      <c r="D8368" s="3"/>
      <c r="E8368" s="5" t="str">
        <f>HYPERLINK("https://dpmzos25m8ivg.cloudfront.net/Documentos/631/92828400930/6319282840093011092023093601.jpg","https://dpmzos25m8ivg.cloudfront.net/Documentos/631/92828400930/6319282840093011092023093601.jpg")</f>
        <v>https://dpmzos25m8ivg.cloudfront.net/Documentos/631/92828400930/6319282840093011092023093601.jpg</v>
      </c>
      <c r="F8368" s="5" t="str">
        <f>HYPERLINK("https://dpmzos25m8ivg.cloudfront.net/Documentos/631/92828400930/6319282840093011092023093524.jpg","https://dpmzos25m8ivg.cloudfront.net/Documentos/631/92828400930/6319282840093011092023093524.jpg")</f>
        <v>https://dpmzos25m8ivg.cloudfront.net/Documentos/631/92828400930/6319282840093011092023093524.jpg</v>
      </c>
      <c r="G8368" s="5" t="str">
        <f>HYPERLINK("https://dpmzos25m8ivg.cloudfront.net/Documentos/631/92828400930/6319282840093011092023094224.jpg","https://dpmzos25m8ivg.cloudfront.net/Documentos/631/92828400930/6319282840093011092023094224.jpg")</f>
        <v>https://dpmzos25m8ivg.cloudfront.net/Documentos/631/92828400930/6319282840093011092023094224.jpg</v>
      </c>
      <c r="H8368" s="5" t="s">
        <v>16933</v>
      </c>
    </row>
    <row r="8369" spans="1:8" x14ac:dyDescent="0.25">
      <c r="A8369" s="2" t="s">
        <v>8396</v>
      </c>
      <c r="B8369" s="3" t="s">
        <v>23</v>
      </c>
      <c r="C8369" s="3"/>
      <c r="D8369" s="3"/>
      <c r="E8369" s="5" t="str">
        <f>HYPERLINK("https://dpmzos25m8ivg.cloudfront.net/Documentos/631/92871534268/6319287153426811092023001656.jpg","https://dpmzos25m8ivg.cloudfront.net/Documentos/631/92871534268/6319287153426811092023001656.jpg")</f>
        <v>https://dpmzos25m8ivg.cloudfront.net/Documentos/631/92871534268/6319287153426811092023001656.jpg</v>
      </c>
      <c r="F8369" s="5" t="str">
        <f>HYPERLINK("https://dpmzos25m8ivg.cloudfront.net/Documentos/631/92871534268/6319287153426811092023001742.jpg","https://dpmzos25m8ivg.cloudfront.net/Documentos/631/92871534268/6319287153426811092023001742.jpg")</f>
        <v>https://dpmzos25m8ivg.cloudfront.net/Documentos/631/92871534268/6319287153426811092023001742.jpg</v>
      </c>
      <c r="G8369" s="5" t="str">
        <f>HYPERLINK("https://dpmzos25m8ivg.cloudfront.net/Documentos/631/92871534268/6319287153426811092023001807.jpg","https://dpmzos25m8ivg.cloudfront.net/Documentos/631/92871534268/6319287153426811092023001807.jpg")</f>
        <v>https://dpmzos25m8ivg.cloudfront.net/Documentos/631/92871534268/6319287153426811092023001807.jpg</v>
      </c>
      <c r="H8369" s="5" t="s">
        <v>16934</v>
      </c>
    </row>
    <row r="8370" spans="1:8" x14ac:dyDescent="0.25">
      <c r="A8370" s="2" t="s">
        <v>8397</v>
      </c>
      <c r="B8370" s="3"/>
      <c r="C8370" s="3"/>
      <c r="D8370" s="3"/>
      <c r="E8370" s="5" t="str">
        <f>HYPERLINK("https://dpmzos25m8ivg.cloudfront.net/Documentos/631/92872751491/6319287275149111092023145722.pdf","https://dpmzos25m8ivg.cloudfront.net/Documentos/631/92872751491/6319287275149111092023145722.pdf")</f>
        <v>https://dpmzos25m8ivg.cloudfront.net/Documentos/631/92872751491/6319287275149111092023145722.pdf</v>
      </c>
      <c r="F8370" s="5" t="str">
        <f>HYPERLINK("https://dpmzos25m8ivg.cloudfront.net/Documentos/631/92872751491/6319287275149111092023145752.pdf","https://dpmzos25m8ivg.cloudfront.net/Documentos/631/92872751491/6319287275149111092023145752.pdf")</f>
        <v>https://dpmzos25m8ivg.cloudfront.net/Documentos/631/92872751491/6319287275149111092023145752.pdf</v>
      </c>
      <c r="G8370" s="5" t="str">
        <f>HYPERLINK("https://dpmzos25m8ivg.cloudfront.net/Documentos/631/92872751491/6319287275149111092023145758.pdf","https://dpmzos25m8ivg.cloudfront.net/Documentos/631/92872751491/6319287275149111092023145758.pdf")</f>
        <v>https://dpmzos25m8ivg.cloudfront.net/Documentos/631/92872751491/6319287275149111092023145758.pdf</v>
      </c>
      <c r="H8370" s="5" t="s">
        <v>16935</v>
      </c>
    </row>
    <row r="8371" spans="1:8" x14ac:dyDescent="0.25">
      <c r="A8371" s="2" t="s">
        <v>8398</v>
      </c>
      <c r="B8371" s="3"/>
      <c r="C8371" s="3"/>
      <c r="D8371" s="3"/>
      <c r="E8371" s="5" t="str">
        <f>HYPERLINK("https://dpmzos25m8ivg.cloudfront.net/Documentos/631/92880029520/6319288002952010092023171224.pdf","https://dpmzos25m8ivg.cloudfront.net/Documentos/631/92880029520/6319288002952010092023171224.pdf")</f>
        <v>https://dpmzos25m8ivg.cloudfront.net/Documentos/631/92880029520/6319288002952010092023171224.pdf</v>
      </c>
      <c r="F8371" s="5" t="str">
        <f>HYPERLINK("https://dpmzos25m8ivg.cloudfront.net/Documentos/631/92880029520/6319288002952010092023171512.pdf","https://dpmzos25m8ivg.cloudfront.net/Documentos/631/92880029520/6319288002952010092023171512.pdf")</f>
        <v>https://dpmzos25m8ivg.cloudfront.net/Documentos/631/92880029520/6319288002952010092023171512.pdf</v>
      </c>
      <c r="G8371" s="5" t="str">
        <f>HYPERLINK("https://dpmzos25m8ivg.cloudfront.net/Documentos/631/92880029520/6319288002952010092023171532.pdf","https://dpmzos25m8ivg.cloudfront.net/Documentos/631/92880029520/6319288002952010092023171532.pdf")</f>
        <v>https://dpmzos25m8ivg.cloudfront.net/Documentos/631/92880029520/6319288002952010092023171532.pdf</v>
      </c>
      <c r="H8371" s="5" t="s">
        <v>16936</v>
      </c>
    </row>
    <row r="8372" spans="1:8" x14ac:dyDescent="0.25">
      <c r="A8372" s="2" t="s">
        <v>8399</v>
      </c>
      <c r="B8372" s="3"/>
      <c r="C8372" s="3"/>
      <c r="D8372" s="3"/>
      <c r="E8372" s="5" t="str">
        <f>HYPERLINK("https://dpmzos25m8ivg.cloudfront.net/Documentos/631/92915116334/6319291511633406092023164808.pdf","https://dpmzos25m8ivg.cloudfront.net/Documentos/631/92915116334/6319291511633406092023164808.pdf")</f>
        <v>https://dpmzos25m8ivg.cloudfront.net/Documentos/631/92915116334/6319291511633406092023164808.pdf</v>
      </c>
      <c r="F8372" s="5" t="str">
        <f>HYPERLINK("https://dpmzos25m8ivg.cloudfront.net/Documentos/631/92915116334/6319291511633406092023164829.pdf","https://dpmzos25m8ivg.cloudfront.net/Documentos/631/92915116334/6319291511633406092023164829.pdf")</f>
        <v>https://dpmzos25m8ivg.cloudfront.net/Documentos/631/92915116334/6319291511633406092023164829.pdf</v>
      </c>
      <c r="G8372" s="5" t="str">
        <f>HYPERLINK("https://dpmzos25m8ivg.cloudfront.net/Documentos/631/92915116334/6319291511633406092023164847.pdf","https://dpmzos25m8ivg.cloudfront.net/Documentos/631/92915116334/6319291511633406092023164847.pdf")</f>
        <v>https://dpmzos25m8ivg.cloudfront.net/Documentos/631/92915116334/6319291511633406092023164847.pdf</v>
      </c>
      <c r="H8372" s="5" t="s">
        <v>16937</v>
      </c>
    </row>
    <row r="8373" spans="1:8" x14ac:dyDescent="0.25">
      <c r="A8373" s="2" t="s">
        <v>8400</v>
      </c>
      <c r="B8373" s="3"/>
      <c r="C8373" s="3"/>
      <c r="D8373" s="3"/>
      <c r="E8373" s="5" t="str">
        <f>HYPERLINK("https://dpmzos25m8ivg.cloudfront.net/Documentos/631/92922481700/6319292248170011092023154502.jpg","https://dpmzos25m8ivg.cloudfront.net/Documentos/631/92922481700/6319292248170011092023154502.jpg")</f>
        <v>https://dpmzos25m8ivg.cloudfront.net/Documentos/631/92922481700/6319292248170011092023154502.jpg</v>
      </c>
      <c r="F8373" s="5" t="str">
        <f>HYPERLINK("https://dpmzos25m8ivg.cloudfront.net/Documentos/631/92922481700/6319292248170011092023154516.jpg","https://dpmzos25m8ivg.cloudfront.net/Documentos/631/92922481700/6319292248170011092023154516.jpg")</f>
        <v>https://dpmzos25m8ivg.cloudfront.net/Documentos/631/92922481700/6319292248170011092023154516.jpg</v>
      </c>
      <c r="G8373" s="5" t="str">
        <f>HYPERLINK("https://dpmzos25m8ivg.cloudfront.net/Documentos/631/92922481700/6319292248170011092023154540.jpg","https://dpmzos25m8ivg.cloudfront.net/Documentos/631/92922481700/6319292248170011092023154540.jpg")</f>
        <v>https://dpmzos25m8ivg.cloudfront.net/Documentos/631/92922481700/6319292248170011092023154540.jpg</v>
      </c>
      <c r="H8373" s="5" t="s">
        <v>16938</v>
      </c>
    </row>
    <row r="8374" spans="1:8" x14ac:dyDescent="0.25">
      <c r="A8374" s="2" t="s">
        <v>8401</v>
      </c>
      <c r="B8374" s="3" t="s">
        <v>308</v>
      </c>
      <c r="C8374" s="3"/>
      <c r="D8374" s="3"/>
      <c r="E8374" s="5" t="str">
        <f>HYPERLINK("https://dpmzos25m8ivg.cloudfront.net/Documentos/631/93037716720/6319303771672014092023170056.pdf","https://dpmzos25m8ivg.cloudfront.net/Documentos/631/93037716720/6319303771672014092023170056.pdf")</f>
        <v>https://dpmzos25m8ivg.cloudfront.net/Documentos/631/93037716720/6319303771672014092023170056.pdf</v>
      </c>
      <c r="F8374" s="5" t="str">
        <f>HYPERLINK("https://dpmzos25m8ivg.cloudfront.net/Documentos/631/93037716720/6319303771672014092023170118.pdf","https://dpmzos25m8ivg.cloudfront.net/Documentos/631/93037716720/6319303771672014092023170118.pdf")</f>
        <v>https://dpmzos25m8ivg.cloudfront.net/Documentos/631/93037716720/6319303771672014092023170118.pdf</v>
      </c>
      <c r="G8374" s="5" t="str">
        <f>HYPERLINK("https://dpmzos25m8ivg.cloudfront.net/Documentos/631/93037716720/6319303771672014092023170139.pdf","https://dpmzos25m8ivg.cloudfront.net/Documentos/631/93037716720/6319303771672014092023170139.pdf")</f>
        <v>https://dpmzos25m8ivg.cloudfront.net/Documentos/631/93037716720/6319303771672014092023170139.pdf</v>
      </c>
      <c r="H8374" s="5" t="s">
        <v>9010</v>
      </c>
    </row>
    <row r="8375" spans="1:8" x14ac:dyDescent="0.25">
      <c r="A8375" s="2" t="s">
        <v>8402</v>
      </c>
      <c r="B8375" s="3"/>
      <c r="C8375" s="3"/>
      <c r="D8375" s="3"/>
      <c r="E8375" s="5" t="str">
        <f>HYPERLINK("https://dpmzos25m8ivg.cloudfront.net/Documentos/631/93066791734/6319306679173405092023222843.pdf","https://dpmzos25m8ivg.cloudfront.net/Documentos/631/93066791734/6319306679173405092023222843.pdf")</f>
        <v>https://dpmzos25m8ivg.cloudfront.net/Documentos/631/93066791734/6319306679173405092023222843.pdf</v>
      </c>
      <c r="F8375" s="5" t="str">
        <f>HYPERLINK("https://dpmzos25m8ivg.cloudfront.net/Documentos/631/93066791734/6319306679173405092023222903.pdf","https://dpmzos25m8ivg.cloudfront.net/Documentos/631/93066791734/6319306679173405092023222903.pdf")</f>
        <v>https://dpmzos25m8ivg.cloudfront.net/Documentos/631/93066791734/6319306679173405092023222903.pdf</v>
      </c>
      <c r="G8375" s="5" t="str">
        <f>HYPERLINK("https://dpmzos25m8ivg.cloudfront.net/Documentos/631/93066791734/6319306679173405092023222924.pdf","https://dpmzos25m8ivg.cloudfront.net/Documentos/631/93066791734/6319306679173405092023222924.pdf")</f>
        <v>https://dpmzos25m8ivg.cloudfront.net/Documentos/631/93066791734/6319306679173405092023222924.pdf</v>
      </c>
      <c r="H8375" s="5" t="s">
        <v>16939</v>
      </c>
    </row>
    <row r="8376" spans="1:8" x14ac:dyDescent="0.25">
      <c r="A8376" s="2" t="s">
        <v>8403</v>
      </c>
      <c r="B8376" s="3" t="s">
        <v>308</v>
      </c>
      <c r="C8376" s="3"/>
      <c r="D8376" s="3"/>
      <c r="E8376" s="5" t="str">
        <f>HYPERLINK("https://dpmzos25m8ivg.cloudfront.net/Documentos/631/93094566634/6319309456663411092023150301.pdf","https://dpmzos25m8ivg.cloudfront.net/Documentos/631/93094566634/6319309456663411092023150301.pdf")</f>
        <v>https://dpmzos25m8ivg.cloudfront.net/Documentos/631/93094566634/6319309456663411092023150301.pdf</v>
      </c>
      <c r="F8376" s="5" t="str">
        <f>HYPERLINK("https://dpmzos25m8ivg.cloudfront.net/Documentos/631/93094566634/6319309456663411092023150657.pdf","https://dpmzos25m8ivg.cloudfront.net/Documentos/631/93094566634/6319309456663411092023150657.pdf")</f>
        <v>https://dpmzos25m8ivg.cloudfront.net/Documentos/631/93094566634/6319309456663411092023150657.pdf</v>
      </c>
      <c r="G8376" s="5" t="str">
        <f>HYPERLINK("https://dpmzos25m8ivg.cloudfront.net/Documentos/631/93094566634/6319309456663411092023150722.pdf","https://dpmzos25m8ivg.cloudfront.net/Documentos/631/93094566634/6319309456663411092023150722.pdf")</f>
        <v>https://dpmzos25m8ivg.cloudfront.net/Documentos/631/93094566634/6319309456663411092023150722.pdf</v>
      </c>
      <c r="H8376" s="5" t="s">
        <v>16940</v>
      </c>
    </row>
    <row r="8377" spans="1:8" x14ac:dyDescent="0.25">
      <c r="A8377" s="2" t="s">
        <v>8404</v>
      </c>
      <c r="B8377" s="3"/>
      <c r="C8377" s="3"/>
      <c r="D8377" s="3"/>
      <c r="E8377" s="5" t="str">
        <f>HYPERLINK("https://dpmzos25m8ivg.cloudfront.net/Documentos/631/93121644220/6319312164422005092023142352.pdf","https://dpmzos25m8ivg.cloudfront.net/Documentos/631/93121644220/6319312164422005092023142352.pdf")</f>
        <v>https://dpmzos25m8ivg.cloudfront.net/Documentos/631/93121644220/6319312164422005092023142352.pdf</v>
      </c>
      <c r="F8377" s="5" t="str">
        <f>HYPERLINK("https://dpmzos25m8ivg.cloudfront.net/Documentos/631/93121644220/6319312164422005092023142419.pdf","https://dpmzos25m8ivg.cloudfront.net/Documentos/631/93121644220/6319312164422005092023142419.pdf")</f>
        <v>https://dpmzos25m8ivg.cloudfront.net/Documentos/631/93121644220/6319312164422005092023142419.pdf</v>
      </c>
      <c r="G8377" s="5" t="str">
        <f>HYPERLINK("https://dpmzos25m8ivg.cloudfront.net/Documentos/631/93121644220/6319312164422005092023142442.pdf","https://dpmzos25m8ivg.cloudfront.net/Documentos/631/93121644220/6319312164422005092023142442.pdf")</f>
        <v>https://dpmzos25m8ivg.cloudfront.net/Documentos/631/93121644220/6319312164422005092023142442.pdf</v>
      </c>
      <c r="H8377" s="5" t="s">
        <v>16941</v>
      </c>
    </row>
    <row r="8378" spans="1:8" x14ac:dyDescent="0.25">
      <c r="A8378" s="2" t="s">
        <v>8405</v>
      </c>
      <c r="B8378" s="3" t="s">
        <v>90</v>
      </c>
      <c r="C8378" s="3"/>
      <c r="D8378" s="3"/>
      <c r="E8378" s="5" t="str">
        <f>HYPERLINK("https://dpmzos25m8ivg.cloudfront.net/Documentos/631/93166664149/6319316666414911092023100728.pdf","https://dpmzos25m8ivg.cloudfront.net/Documentos/631/93166664149/6319316666414911092023100728.pdf")</f>
        <v>https://dpmzos25m8ivg.cloudfront.net/Documentos/631/93166664149/6319316666414911092023100728.pdf</v>
      </c>
      <c r="F8378" s="5" t="str">
        <f>HYPERLINK("https://dpmzos25m8ivg.cloudfront.net/Documentos/631/93166664149/6319316666414911092023101911.pdf","https://dpmzos25m8ivg.cloudfront.net/Documentos/631/93166664149/6319316666414911092023101911.pdf")</f>
        <v>https://dpmzos25m8ivg.cloudfront.net/Documentos/631/93166664149/6319316666414911092023101911.pdf</v>
      </c>
      <c r="G8378" s="5" t="str">
        <f>HYPERLINK("https://dpmzos25m8ivg.cloudfront.net/Documentos/631/93166664149/6319316666414911092023101948.pdf","https://dpmzos25m8ivg.cloudfront.net/Documentos/631/93166664149/6319316666414911092023101948.pdf")</f>
        <v>https://dpmzos25m8ivg.cloudfront.net/Documentos/631/93166664149/6319316666414911092023101948.pdf</v>
      </c>
      <c r="H8378" s="5" t="s">
        <v>16942</v>
      </c>
    </row>
    <row r="8379" spans="1:8" x14ac:dyDescent="0.25">
      <c r="A8379" s="2" t="s">
        <v>8406</v>
      </c>
      <c r="B8379" s="3" t="s">
        <v>308</v>
      </c>
      <c r="C8379" s="3"/>
      <c r="D8379" s="3"/>
      <c r="E8379" s="5" t="str">
        <f>HYPERLINK("https://dpmzos25m8ivg.cloudfront.net/Documentos/631/93221061153/6319322106115308092023213447.pdf","https://dpmzos25m8ivg.cloudfront.net/Documentos/631/93221061153/6319322106115308092023213447.pdf")</f>
        <v>https://dpmzos25m8ivg.cloudfront.net/Documentos/631/93221061153/6319322106115308092023213447.pdf</v>
      </c>
      <c r="F8379" s="5" t="str">
        <f>HYPERLINK("https://dpmzos25m8ivg.cloudfront.net/Documentos/631/93221061153/6319322106115308092023213500.pdf","https://dpmzos25m8ivg.cloudfront.net/Documentos/631/93221061153/6319322106115308092023213500.pdf")</f>
        <v>https://dpmzos25m8ivg.cloudfront.net/Documentos/631/93221061153/6319322106115308092023213500.pdf</v>
      </c>
      <c r="G8379" s="5" t="str">
        <f>HYPERLINK("https://dpmzos25m8ivg.cloudfront.net/Documentos/631/93221061153/6319322106115308092023213512.pdf","https://dpmzos25m8ivg.cloudfront.net/Documentos/631/93221061153/6319322106115308092023213512.pdf")</f>
        <v>https://dpmzos25m8ivg.cloudfront.net/Documentos/631/93221061153/6319322106115308092023213512.pdf</v>
      </c>
      <c r="H8379" s="5" t="s">
        <v>16943</v>
      </c>
    </row>
    <row r="8380" spans="1:8" x14ac:dyDescent="0.25">
      <c r="A8380" s="2" t="s">
        <v>8407</v>
      </c>
      <c r="B8380" s="3"/>
      <c r="C8380" s="3"/>
      <c r="D8380" s="3"/>
      <c r="E8380" s="5" t="str">
        <f>HYPERLINK("https://dpmzos25m8ivg.cloudfront.net/Documentos/631/93269129149/6319326912914905092023164349.pdf","https://dpmzos25m8ivg.cloudfront.net/Documentos/631/93269129149/6319326912914905092023164349.pdf")</f>
        <v>https://dpmzos25m8ivg.cloudfront.net/Documentos/631/93269129149/6319326912914905092023164349.pdf</v>
      </c>
      <c r="F8380" s="5" t="str">
        <f>HYPERLINK("https://dpmzos25m8ivg.cloudfront.net/Documentos/631/93269129149/6319326912914905092023164357.pdf","https://dpmzos25m8ivg.cloudfront.net/Documentos/631/93269129149/6319326912914905092023164357.pdf")</f>
        <v>https://dpmzos25m8ivg.cloudfront.net/Documentos/631/93269129149/6319326912914905092023164357.pdf</v>
      </c>
      <c r="G8380" s="5" t="str">
        <f>HYPERLINK("https://dpmzos25m8ivg.cloudfront.net/Documentos/631/93269129149/6319326912914905092023164448.pdf","https://dpmzos25m8ivg.cloudfront.net/Documentos/631/93269129149/6319326912914905092023164448.pdf")</f>
        <v>https://dpmzos25m8ivg.cloudfront.net/Documentos/631/93269129149/6319326912914905092023164448.pdf</v>
      </c>
      <c r="H8380" s="5" t="s">
        <v>16944</v>
      </c>
    </row>
    <row r="8381" spans="1:8" x14ac:dyDescent="0.25">
      <c r="A8381" s="2" t="s">
        <v>8408</v>
      </c>
      <c r="B8381" s="3"/>
      <c r="C8381" s="3"/>
      <c r="D8381" s="3"/>
      <c r="E8381" s="5" t="str">
        <f>HYPERLINK("https://dpmzos25m8ivg.cloudfront.net/Documentos/631/93285744472/6319328574447207092023181117.pdf","https://dpmzos25m8ivg.cloudfront.net/Documentos/631/93285744472/6319328574447207092023181117.pdf")</f>
        <v>https://dpmzos25m8ivg.cloudfront.net/Documentos/631/93285744472/6319328574447207092023181117.pdf</v>
      </c>
      <c r="F8381" s="5" t="str">
        <f>HYPERLINK("https://dpmzos25m8ivg.cloudfront.net/Documentos/631/93285744472/6319328574447207092023181135.pdf","https://dpmzos25m8ivg.cloudfront.net/Documentos/631/93285744472/6319328574447207092023181135.pdf")</f>
        <v>https://dpmzos25m8ivg.cloudfront.net/Documentos/631/93285744472/6319328574447207092023181135.pdf</v>
      </c>
      <c r="G8381" s="5" t="str">
        <f>HYPERLINK("https://dpmzos25m8ivg.cloudfront.net/Documentos/631/93285744472/6319328574447207092023181126.pdf","https://dpmzos25m8ivg.cloudfront.net/Documentos/631/93285744472/6319328574447207092023181126.pdf")</f>
        <v>https://dpmzos25m8ivg.cloudfront.net/Documentos/631/93285744472/6319328574447207092023181126.pdf</v>
      </c>
      <c r="H8381" s="5" t="s">
        <v>16945</v>
      </c>
    </row>
    <row r="8382" spans="1:8" x14ac:dyDescent="0.25">
      <c r="A8382" s="2" t="s">
        <v>8409</v>
      </c>
      <c r="B8382" s="3"/>
      <c r="C8382" s="3"/>
      <c r="D8382" s="3"/>
      <c r="E8382" s="5" t="str">
        <f>HYPERLINK("https://dpmzos25m8ivg.cloudfront.net/Documentos/631/93316925287/6319331692528711092023124814.pdf","https://dpmzos25m8ivg.cloudfront.net/Documentos/631/93316925287/6319331692528711092023124814.pdf")</f>
        <v>https://dpmzos25m8ivg.cloudfront.net/Documentos/631/93316925287/6319331692528711092023124814.pdf</v>
      </c>
      <c r="F8382" s="5" t="str">
        <f>HYPERLINK("https://dpmzos25m8ivg.cloudfront.net/Documentos/631/93316925287/6319331692528711092023124834.pdf","https://dpmzos25m8ivg.cloudfront.net/Documentos/631/93316925287/6319331692528711092023124834.pdf")</f>
        <v>https://dpmzos25m8ivg.cloudfront.net/Documentos/631/93316925287/6319331692528711092023124834.pdf</v>
      </c>
      <c r="G8382" s="5" t="str">
        <f>HYPERLINK("https://dpmzos25m8ivg.cloudfront.net/Documentos/631/93316925287/6319331692528711092023124904.pdf","https://dpmzos25m8ivg.cloudfront.net/Documentos/631/93316925287/6319331692528711092023124904.pdf")</f>
        <v>https://dpmzos25m8ivg.cloudfront.net/Documentos/631/93316925287/6319331692528711092023124904.pdf</v>
      </c>
      <c r="H8382" s="5" t="s">
        <v>16946</v>
      </c>
    </row>
    <row r="8383" spans="1:8" x14ac:dyDescent="0.25">
      <c r="A8383" s="2" t="s">
        <v>8410</v>
      </c>
      <c r="B8383" s="3"/>
      <c r="C8383" s="3"/>
      <c r="D8383" s="3"/>
      <c r="E8383" s="5" t="str">
        <f>HYPERLINK("https://dpmzos25m8ivg.cloudfront.net/Documentos/631/93361432200/6319336143220005092023091052.pdf","https://dpmzos25m8ivg.cloudfront.net/Documentos/631/93361432200/6319336143220005092023091052.pdf")</f>
        <v>https://dpmzos25m8ivg.cloudfront.net/Documentos/631/93361432200/6319336143220005092023091052.pdf</v>
      </c>
      <c r="F8383" s="5" t="str">
        <f>HYPERLINK("https://dpmzos25m8ivg.cloudfront.net/Documentos/631/93361432200/6319336143220005092023091106.pdf","https://dpmzos25m8ivg.cloudfront.net/Documentos/631/93361432200/6319336143220005092023091106.pdf")</f>
        <v>https://dpmzos25m8ivg.cloudfront.net/Documentos/631/93361432200/6319336143220005092023091106.pdf</v>
      </c>
      <c r="G8383" s="5" t="str">
        <f>HYPERLINK("https://dpmzos25m8ivg.cloudfront.net/Documentos/631/93361432200/6319336143220005092023091117.pdf","https://dpmzos25m8ivg.cloudfront.net/Documentos/631/93361432200/6319336143220005092023091117.pdf")</f>
        <v>https://dpmzos25m8ivg.cloudfront.net/Documentos/631/93361432200/6319336143220005092023091117.pdf</v>
      </c>
      <c r="H8383" s="5" t="s">
        <v>16947</v>
      </c>
    </row>
    <row r="8384" spans="1:8" x14ac:dyDescent="0.25">
      <c r="A8384" s="2" t="s">
        <v>8411</v>
      </c>
      <c r="B8384" s="3"/>
      <c r="C8384" s="3"/>
      <c r="D8384" s="3"/>
      <c r="E8384" s="5" t="str">
        <f>HYPERLINK("https://dpmzos25m8ivg.cloudfront.net/Documentos/631/93541120720/6319354112072006092023210602.pdf","https://dpmzos25m8ivg.cloudfront.net/Documentos/631/93541120720/6319354112072006092023210602.pdf")</f>
        <v>https://dpmzos25m8ivg.cloudfront.net/Documentos/631/93541120720/6319354112072006092023210602.pdf</v>
      </c>
      <c r="F8384" s="5" t="str">
        <f>HYPERLINK("https://dpmzos25m8ivg.cloudfront.net/Documentos/631/93541120720/6319354112072006092023214359.pdf","https://dpmzos25m8ivg.cloudfront.net/Documentos/631/93541120720/6319354112072006092023214359.pdf")</f>
        <v>https://dpmzos25m8ivg.cloudfront.net/Documentos/631/93541120720/6319354112072006092023214359.pdf</v>
      </c>
      <c r="G8384" s="5" t="str">
        <f>HYPERLINK("https://dpmzos25m8ivg.cloudfront.net/Documentos/631/93541120720/6319354112072006092023214441.pdf","https://dpmzos25m8ivg.cloudfront.net/Documentos/631/93541120720/6319354112072006092023214441.pdf")</f>
        <v>https://dpmzos25m8ivg.cloudfront.net/Documentos/631/93541120720/6319354112072006092023214441.pdf</v>
      </c>
      <c r="H8384" s="5" t="s">
        <v>16948</v>
      </c>
    </row>
    <row r="8385" spans="1:8" x14ac:dyDescent="0.25">
      <c r="A8385" s="2" t="s">
        <v>8412</v>
      </c>
      <c r="B8385" s="3"/>
      <c r="C8385" s="3"/>
      <c r="D8385" s="3"/>
      <c r="E8385" s="5" t="str">
        <f>HYPERLINK("https://dpmzos25m8ivg.cloudfront.net/Documentos/631/93575980306/6319357598030608092023223435.jpeg","https://dpmzos25m8ivg.cloudfront.net/Documentos/631/93575980306/6319357598030608092023223435.jpeg")</f>
        <v>https://dpmzos25m8ivg.cloudfront.net/Documentos/631/93575980306/6319357598030608092023223435.jpeg</v>
      </c>
      <c r="F8385" s="5" t="str">
        <f>HYPERLINK("https://dpmzos25m8ivg.cloudfront.net/Documentos/631/93575980306/6319357598030608092023223522.jpeg","https://dpmzos25m8ivg.cloudfront.net/Documentos/631/93575980306/6319357598030608092023223522.jpeg")</f>
        <v>https://dpmzos25m8ivg.cloudfront.net/Documentos/631/93575980306/6319357598030608092023223522.jpeg</v>
      </c>
      <c r="G8385" s="5" t="str">
        <f>HYPERLINK("https://dpmzos25m8ivg.cloudfront.net/Documentos/631/93575980306/6319357598030608092023224005.jpeg","https://dpmzos25m8ivg.cloudfront.net/Documentos/631/93575980306/6319357598030608092023224005.jpeg")</f>
        <v>https://dpmzos25m8ivg.cloudfront.net/Documentos/631/93575980306/6319357598030608092023224005.jpeg</v>
      </c>
      <c r="H8385" s="5" t="s">
        <v>16949</v>
      </c>
    </row>
    <row r="8386" spans="1:8" x14ac:dyDescent="0.25">
      <c r="A8386" s="2" t="s">
        <v>8413</v>
      </c>
      <c r="B8386" s="3"/>
      <c r="C8386" s="3"/>
      <c r="D8386" s="3"/>
      <c r="E8386" s="5" t="str">
        <f>HYPERLINK("https://dpmzos25m8ivg.cloudfront.net/Documentos/631/93611897353/6319361189735311092023113543.pdf","https://dpmzos25m8ivg.cloudfront.net/Documentos/631/93611897353/6319361189735311092023113543.pdf")</f>
        <v>https://dpmzos25m8ivg.cloudfront.net/Documentos/631/93611897353/6319361189735311092023113543.pdf</v>
      </c>
      <c r="F8386" s="5" t="str">
        <f>HYPERLINK("https://dpmzos25m8ivg.cloudfront.net/Documentos/631/93611897353/6319361189735311092023113605.pdf","https://dpmzos25m8ivg.cloudfront.net/Documentos/631/93611897353/6319361189735311092023113605.pdf")</f>
        <v>https://dpmzos25m8ivg.cloudfront.net/Documentos/631/93611897353/6319361189735311092023113605.pdf</v>
      </c>
      <c r="G8386" s="5" t="str">
        <f>HYPERLINK("https://dpmzos25m8ivg.cloudfront.net/Documentos/631/93611897353/6319361189735311092023113624.pdf","https://dpmzos25m8ivg.cloudfront.net/Documentos/631/93611897353/6319361189735311092023113624.pdf")</f>
        <v>https://dpmzos25m8ivg.cloudfront.net/Documentos/631/93611897353/6319361189735311092023113624.pdf</v>
      </c>
      <c r="H8386" s="5" t="s">
        <v>16950</v>
      </c>
    </row>
    <row r="8387" spans="1:8" x14ac:dyDescent="0.25">
      <c r="A8387" s="2" t="s">
        <v>8414</v>
      </c>
      <c r="B8387" s="3"/>
      <c r="C8387" s="3"/>
      <c r="D8387" s="3"/>
      <c r="E8387" s="5" t="str">
        <f>HYPERLINK("https://dpmzos25m8ivg.cloudfront.net/Documentos/631/93616368200/6319361636820011092023044428.pdf","https://dpmzos25m8ivg.cloudfront.net/Documentos/631/93616368200/6319361636820011092023044428.pdf")</f>
        <v>https://dpmzos25m8ivg.cloudfront.net/Documentos/631/93616368200/6319361636820011092023044428.pdf</v>
      </c>
      <c r="F8387" s="5" t="str">
        <f>HYPERLINK("https://dpmzos25m8ivg.cloudfront.net/Documentos/631/93616368200/6319361636820011092023044458.pdf","https://dpmzos25m8ivg.cloudfront.net/Documentos/631/93616368200/6319361636820011092023044458.pdf")</f>
        <v>https://dpmzos25m8ivg.cloudfront.net/Documentos/631/93616368200/6319361636820011092023044458.pdf</v>
      </c>
      <c r="G8387" s="5" t="str">
        <f>HYPERLINK("https://dpmzos25m8ivg.cloudfront.net/Documentos/631/93616368200/6319361636820011092023044508.pdf","https://dpmzos25m8ivg.cloudfront.net/Documentos/631/93616368200/6319361636820011092023044508.pdf")</f>
        <v>https://dpmzos25m8ivg.cloudfront.net/Documentos/631/93616368200/6319361636820011092023044508.pdf</v>
      </c>
      <c r="H8387" s="5" t="s">
        <v>16951</v>
      </c>
    </row>
    <row r="8388" spans="1:8" x14ac:dyDescent="0.25">
      <c r="A8388" s="2" t="s">
        <v>8415</v>
      </c>
      <c r="B8388" s="3"/>
      <c r="C8388" s="3"/>
      <c r="D8388" s="3"/>
      <c r="E8388" s="5" t="str">
        <f>HYPERLINK("https://dpmzos25m8ivg.cloudfront.net/Documentos/631/93662068087/6319366206808710092023134139.jpg","https://dpmzos25m8ivg.cloudfront.net/Documentos/631/93662068087/6319366206808710092023134139.jpg")</f>
        <v>https://dpmzos25m8ivg.cloudfront.net/Documentos/631/93662068087/6319366206808710092023134139.jpg</v>
      </c>
      <c r="F8388" s="5" t="str">
        <f>HYPERLINK("https://dpmzos25m8ivg.cloudfront.net/Documentos/631/93662068087/6319366206808710092023134149.jpg","https://dpmzos25m8ivg.cloudfront.net/Documentos/631/93662068087/6319366206808710092023134149.jpg")</f>
        <v>https://dpmzos25m8ivg.cloudfront.net/Documentos/631/93662068087/6319366206808710092023134149.jpg</v>
      </c>
      <c r="G8388" s="5" t="str">
        <f>HYPERLINK("https://dpmzos25m8ivg.cloudfront.net/Documentos/631/93662068087/6319366206808710092023134159.jpg","https://dpmzos25m8ivg.cloudfront.net/Documentos/631/93662068087/6319366206808710092023134159.jpg")</f>
        <v>https://dpmzos25m8ivg.cloudfront.net/Documentos/631/93662068087/6319366206808710092023134159.jpg</v>
      </c>
      <c r="H8388" s="5" t="s">
        <v>16952</v>
      </c>
    </row>
    <row r="8389" spans="1:8" x14ac:dyDescent="0.25">
      <c r="A8389" s="2" t="s">
        <v>8416</v>
      </c>
      <c r="B8389" s="3"/>
      <c r="C8389" s="3"/>
      <c r="D8389" s="3"/>
      <c r="E8389" s="5" t="str">
        <f>HYPERLINK("https://dpmzos25m8ivg.cloudfront.net/Documentos/631/93667337272/6319366733727211092023163629.pdf","https://dpmzos25m8ivg.cloudfront.net/Documentos/631/93667337272/6319366733727211092023163629.pdf")</f>
        <v>https://dpmzos25m8ivg.cloudfront.net/Documentos/631/93667337272/6319366733727211092023163629.pdf</v>
      </c>
      <c r="F8389" s="5" t="str">
        <f>HYPERLINK("https://dpmzos25m8ivg.cloudfront.net/Documentos/631/93667337272/6319366733727211092023163639.pdf","https://dpmzos25m8ivg.cloudfront.net/Documentos/631/93667337272/6319366733727211092023163639.pdf")</f>
        <v>https://dpmzos25m8ivg.cloudfront.net/Documentos/631/93667337272/6319366733727211092023163639.pdf</v>
      </c>
      <c r="G8389" s="5" t="str">
        <f>HYPERLINK("https://dpmzos25m8ivg.cloudfront.net/Documentos/631/93667337272/6319366733727211092023163650.pdf","https://dpmzos25m8ivg.cloudfront.net/Documentos/631/93667337272/6319366733727211092023163650.pdf")</f>
        <v>https://dpmzos25m8ivg.cloudfront.net/Documentos/631/93667337272/6319366733727211092023163650.pdf</v>
      </c>
      <c r="H8389" s="5" t="s">
        <v>16953</v>
      </c>
    </row>
    <row r="8390" spans="1:8" x14ac:dyDescent="0.25">
      <c r="A8390" s="2" t="s">
        <v>8417</v>
      </c>
      <c r="B8390" s="3"/>
      <c r="C8390" s="3"/>
      <c r="D8390" s="3"/>
      <c r="E8390" s="5" t="str">
        <f>HYPERLINK("https://dpmzos25m8ivg.cloudfront.net/Documentos/631/93675127168/6319367512716810092023145925.jpeg","https://dpmzos25m8ivg.cloudfront.net/Documentos/631/93675127168/6319367512716810092023145925.jpeg")</f>
        <v>https://dpmzos25m8ivg.cloudfront.net/Documentos/631/93675127168/6319367512716810092023145925.jpeg</v>
      </c>
      <c r="F8390" s="5" t="str">
        <f>HYPERLINK("https://dpmzos25m8ivg.cloudfront.net/Documentos/631/93675127168/6319367512716810092023145937.jpeg","https://dpmzos25m8ivg.cloudfront.net/Documentos/631/93675127168/6319367512716810092023145937.jpeg")</f>
        <v>https://dpmzos25m8ivg.cloudfront.net/Documentos/631/93675127168/6319367512716810092023145937.jpeg</v>
      </c>
      <c r="G8390" s="5" t="str">
        <f>HYPERLINK("https://dpmzos25m8ivg.cloudfront.net/Documentos/631/93675127168/6319367512716810092023145949.jpeg","https://dpmzos25m8ivg.cloudfront.net/Documentos/631/93675127168/6319367512716810092023145949.jpeg")</f>
        <v>https://dpmzos25m8ivg.cloudfront.net/Documentos/631/93675127168/6319367512716810092023145949.jpeg</v>
      </c>
      <c r="H8390" s="5" t="s">
        <v>16954</v>
      </c>
    </row>
    <row r="8391" spans="1:8" x14ac:dyDescent="0.25">
      <c r="A8391" s="2" t="s">
        <v>8418</v>
      </c>
      <c r="B8391" s="3"/>
      <c r="C8391" s="3"/>
      <c r="D8391" s="3"/>
      <c r="E8391" s="5" t="str">
        <f>HYPERLINK("https://dpmzos25m8ivg.cloudfront.net/Documentos/631/93736320000/6319373632000011092023165536.pdf","https://dpmzos25m8ivg.cloudfront.net/Documentos/631/93736320000/6319373632000011092023165536.pdf")</f>
        <v>https://dpmzos25m8ivg.cloudfront.net/Documentos/631/93736320000/6319373632000011092023165536.pdf</v>
      </c>
      <c r="F8391" s="5" t="str">
        <f>HYPERLINK("https://dpmzos25m8ivg.cloudfront.net/Documentos/631/93736320000/6319373632000011092023165548.pdf","https://dpmzos25m8ivg.cloudfront.net/Documentos/631/93736320000/6319373632000011092023165548.pdf")</f>
        <v>https://dpmzos25m8ivg.cloudfront.net/Documentos/631/93736320000/6319373632000011092023165548.pdf</v>
      </c>
      <c r="G8391" s="5" t="str">
        <f>HYPERLINK("https://dpmzos25m8ivg.cloudfront.net/Documentos/631/93736320000/6319373632000011092023165559.pdf","https://dpmzos25m8ivg.cloudfront.net/Documentos/631/93736320000/6319373632000011092023165559.pdf")</f>
        <v>https://dpmzos25m8ivg.cloudfront.net/Documentos/631/93736320000/6319373632000011092023165559.pdf</v>
      </c>
      <c r="H8391" s="5" t="s">
        <v>16955</v>
      </c>
    </row>
    <row r="8392" spans="1:8" x14ac:dyDescent="0.25">
      <c r="A8392" s="2" t="s">
        <v>8419</v>
      </c>
      <c r="B8392" s="3"/>
      <c r="C8392" s="3"/>
      <c r="D8392" s="3"/>
      <c r="E8392" s="5" t="str">
        <f>HYPERLINK("https://dpmzos25m8ivg.cloudfront.net/Documentos/631/93785976704/6319378597670407092023163453.pdf","https://dpmzos25m8ivg.cloudfront.net/Documentos/631/93785976704/6319378597670407092023163453.pdf")</f>
        <v>https://dpmzos25m8ivg.cloudfront.net/Documentos/631/93785976704/6319378597670407092023163453.pdf</v>
      </c>
      <c r="F8392" s="5" t="str">
        <f>HYPERLINK("https://dpmzos25m8ivg.cloudfront.net/Documentos/631/93785976704/6319378597670407092023163537.pdf","https://dpmzos25m8ivg.cloudfront.net/Documentos/631/93785976704/6319378597670407092023163537.pdf")</f>
        <v>https://dpmzos25m8ivg.cloudfront.net/Documentos/631/93785976704/6319378597670407092023163537.pdf</v>
      </c>
      <c r="G8392" s="5" t="str">
        <f>HYPERLINK("https://dpmzos25m8ivg.cloudfront.net/Documentos/631/93785976704/6319378597670407092023163609.pdf","https://dpmzos25m8ivg.cloudfront.net/Documentos/631/93785976704/6319378597670407092023163609.pdf")</f>
        <v>https://dpmzos25m8ivg.cloudfront.net/Documentos/631/93785976704/6319378597670407092023163609.pdf</v>
      </c>
      <c r="H8392" s="5" t="s">
        <v>16956</v>
      </c>
    </row>
    <row r="8393" spans="1:8" x14ac:dyDescent="0.25">
      <c r="A8393" s="2" t="s">
        <v>8420</v>
      </c>
      <c r="B8393" s="3"/>
      <c r="C8393" s="3"/>
      <c r="D8393" s="3"/>
      <c r="E8393" s="5" t="str">
        <f>HYPERLINK("https://dpmzos25m8ivg.cloudfront.net/Documentos/631/93795637368/6319379563736811092023145251.pdf","https://dpmzos25m8ivg.cloudfront.net/Documentos/631/93795637368/6319379563736811092023145251.pdf")</f>
        <v>https://dpmzos25m8ivg.cloudfront.net/Documentos/631/93795637368/6319379563736811092023145251.pdf</v>
      </c>
      <c r="F8393" s="5" t="str">
        <f>HYPERLINK("https://dpmzos25m8ivg.cloudfront.net/Documentos/631/93795637368/6319379563736811092023145303.pdf","https://dpmzos25m8ivg.cloudfront.net/Documentos/631/93795637368/6319379563736811092023145303.pdf")</f>
        <v>https://dpmzos25m8ivg.cloudfront.net/Documentos/631/93795637368/6319379563736811092023145303.pdf</v>
      </c>
      <c r="G8393" s="5" t="str">
        <f>HYPERLINK("https://dpmzos25m8ivg.cloudfront.net/Documentos/631/93795637368/6319379563736811092023145316.pdf","https://dpmzos25m8ivg.cloudfront.net/Documentos/631/93795637368/6319379563736811092023145316.pdf")</f>
        <v>https://dpmzos25m8ivg.cloudfront.net/Documentos/631/93795637368/6319379563736811092023145316.pdf</v>
      </c>
      <c r="H8393" s="5" t="s">
        <v>16957</v>
      </c>
    </row>
    <row r="8394" spans="1:8" x14ac:dyDescent="0.25">
      <c r="A8394" s="2" t="s">
        <v>8421</v>
      </c>
      <c r="B8394" s="3"/>
      <c r="C8394" s="3"/>
      <c r="D8394" s="3"/>
      <c r="E8394" s="5" t="str">
        <f>HYPERLINK("https://dpmzos25m8ivg.cloudfront.net/Documentos/631/93904703587/6319390470358711092023155555.pdf","https://dpmzos25m8ivg.cloudfront.net/Documentos/631/93904703587/6319390470358711092023155555.pdf")</f>
        <v>https://dpmzos25m8ivg.cloudfront.net/Documentos/631/93904703587/6319390470358711092023155555.pdf</v>
      </c>
      <c r="F8394" s="5" t="str">
        <f>HYPERLINK("https://dpmzos25m8ivg.cloudfront.net/Documentos/631/93904703587/6319390470358711092023155709.pdf","https://dpmzos25m8ivg.cloudfront.net/Documentos/631/93904703587/6319390470358711092023155709.pdf")</f>
        <v>https://dpmzos25m8ivg.cloudfront.net/Documentos/631/93904703587/6319390470358711092023155709.pdf</v>
      </c>
      <c r="G8394" s="5" t="str">
        <f>HYPERLINK("https://dpmzos25m8ivg.cloudfront.net/Documentos/631/93904703587/6319390470358711092023155758.pdf","https://dpmzos25m8ivg.cloudfront.net/Documentos/631/93904703587/6319390470358711092023155758.pdf")</f>
        <v>https://dpmzos25m8ivg.cloudfront.net/Documentos/631/93904703587/6319390470358711092023155758.pdf</v>
      </c>
      <c r="H8394" s="5" t="s">
        <v>16958</v>
      </c>
    </row>
    <row r="8395" spans="1:8" x14ac:dyDescent="0.25">
      <c r="A8395" s="2" t="s">
        <v>8422</v>
      </c>
      <c r="B8395" s="3"/>
      <c r="C8395" s="3"/>
      <c r="D8395" s="3"/>
      <c r="E8395" s="5" t="str">
        <f>HYPERLINK("https://dpmzos25m8ivg.cloudfront.net/Documentos/631/93940114200/6319394011420011092023103618.pdf","https://dpmzos25m8ivg.cloudfront.net/Documentos/631/93940114200/6319394011420011092023103618.pdf")</f>
        <v>https://dpmzos25m8ivg.cloudfront.net/Documentos/631/93940114200/6319394011420011092023103618.pdf</v>
      </c>
      <c r="F8395" s="5" t="str">
        <f>HYPERLINK("https://dpmzos25m8ivg.cloudfront.net/Documentos/631/93940114200/6319394011420011092023103632.pdf","https://dpmzos25m8ivg.cloudfront.net/Documentos/631/93940114200/6319394011420011092023103632.pdf")</f>
        <v>https://dpmzos25m8ivg.cloudfront.net/Documentos/631/93940114200/6319394011420011092023103632.pdf</v>
      </c>
      <c r="G8395" s="5" t="str">
        <f>HYPERLINK("https://dpmzos25m8ivg.cloudfront.net/Documentos/631/93940114200/6319394011420011092023103744.pdf","https://dpmzos25m8ivg.cloudfront.net/Documentos/631/93940114200/6319394011420011092023103744.pdf")</f>
        <v>https://dpmzos25m8ivg.cloudfront.net/Documentos/631/93940114200/6319394011420011092023103744.pdf</v>
      </c>
      <c r="H8395" s="5" t="s">
        <v>16959</v>
      </c>
    </row>
    <row r="8396" spans="1:8" x14ac:dyDescent="0.25">
      <c r="A8396" s="2" t="s">
        <v>8423</v>
      </c>
      <c r="B8396" s="3"/>
      <c r="C8396" s="3"/>
      <c r="D8396" s="3"/>
      <c r="E8396" s="5" t="str">
        <f>HYPERLINK("https://dpmzos25m8ivg.cloudfront.net/Documentos/631/93971370691/6319397137069111092023121155.pdf","https://dpmzos25m8ivg.cloudfront.net/Documentos/631/93971370691/6319397137069111092023121155.pdf")</f>
        <v>https://dpmzos25m8ivg.cloudfront.net/Documentos/631/93971370691/6319397137069111092023121155.pdf</v>
      </c>
      <c r="F8396" s="5" t="str">
        <f>HYPERLINK("https://dpmzos25m8ivg.cloudfront.net/Documentos/631/93971370691/6319397137069111092023121212.pdf","https://dpmzos25m8ivg.cloudfront.net/Documentos/631/93971370691/6319397137069111092023121212.pdf")</f>
        <v>https://dpmzos25m8ivg.cloudfront.net/Documentos/631/93971370691/6319397137069111092023121212.pdf</v>
      </c>
      <c r="G8396" s="5" t="str">
        <f>HYPERLINK("https://dpmzos25m8ivg.cloudfront.net/Documentos/631/93971370691/6319397137069111092023121228.pdf","https://dpmzos25m8ivg.cloudfront.net/Documentos/631/93971370691/6319397137069111092023121228.pdf")</f>
        <v>https://dpmzos25m8ivg.cloudfront.net/Documentos/631/93971370691/6319397137069111092023121228.pdf</v>
      </c>
      <c r="H8396" s="5" t="s">
        <v>16960</v>
      </c>
    </row>
    <row r="8397" spans="1:8" x14ac:dyDescent="0.25">
      <c r="A8397" s="2" t="s">
        <v>8424</v>
      </c>
      <c r="B8397" s="3"/>
      <c r="C8397" s="3"/>
      <c r="D8397" s="3"/>
      <c r="E8397" s="5" t="str">
        <f>HYPERLINK("https://dpmzos25m8ivg.cloudfront.net/Documentos/631/93981295587/6319398129558712092023181509.pdf","https://dpmzos25m8ivg.cloudfront.net/Documentos/631/93981295587/6319398129558712092023181509.pdf")</f>
        <v>https://dpmzos25m8ivg.cloudfront.net/Documentos/631/93981295587/6319398129558712092023181509.pdf</v>
      </c>
      <c r="F8397" s="5" t="str">
        <f>HYPERLINK("https://dpmzos25m8ivg.cloudfront.net/Documentos/631/93981295587/6319398129558712092023182715.pdf","https://dpmzos25m8ivg.cloudfront.net/Documentos/631/93981295587/6319398129558712092023182715.pdf")</f>
        <v>https://dpmzos25m8ivg.cloudfront.net/Documentos/631/93981295587/6319398129558712092023182715.pdf</v>
      </c>
      <c r="G8397" s="5" t="str">
        <f>HYPERLINK("https://dpmzos25m8ivg.cloudfront.net/Documentos/631/93981295587/6319398129558712092023182911.pdf","https://dpmzos25m8ivg.cloudfront.net/Documentos/631/93981295587/6319398129558712092023182911.pdf")</f>
        <v>https://dpmzos25m8ivg.cloudfront.net/Documentos/631/93981295587/6319398129558712092023182911.pdf</v>
      </c>
      <c r="H8397" s="5" t="s">
        <v>16961</v>
      </c>
    </row>
    <row r="8398" spans="1:8" x14ac:dyDescent="0.25">
      <c r="A8398" s="2" t="s">
        <v>8425</v>
      </c>
      <c r="B8398" s="3"/>
      <c r="C8398" s="3"/>
      <c r="D8398" s="3"/>
      <c r="E8398" s="5" t="str">
        <f>HYPERLINK("https://dpmzos25m8ivg.cloudfront.net/Documentos/631/94106177234/6319410617723409092023194314.pdf","https://dpmzos25m8ivg.cloudfront.net/Documentos/631/94106177234/6319410617723409092023194314.pdf")</f>
        <v>https://dpmzos25m8ivg.cloudfront.net/Documentos/631/94106177234/6319410617723409092023194314.pdf</v>
      </c>
      <c r="F8398" s="5" t="str">
        <f>HYPERLINK("https://dpmzos25m8ivg.cloudfront.net/Documentos/631/94106177234/6319410617723409092023194343.pdf","https://dpmzos25m8ivg.cloudfront.net/Documentos/631/94106177234/6319410617723409092023194343.pdf")</f>
        <v>https://dpmzos25m8ivg.cloudfront.net/Documentos/631/94106177234/6319410617723409092023194343.pdf</v>
      </c>
      <c r="G8398" s="5" t="str">
        <f>HYPERLINK("https://dpmzos25m8ivg.cloudfront.net/Documentos/631/94106177234/6319410617723409092023194401.pdf","https://dpmzos25m8ivg.cloudfront.net/Documentos/631/94106177234/6319410617723409092023194401.pdf")</f>
        <v>https://dpmzos25m8ivg.cloudfront.net/Documentos/631/94106177234/6319410617723409092023194401.pdf</v>
      </c>
      <c r="H8398" s="5" t="s">
        <v>16962</v>
      </c>
    </row>
    <row r="8399" spans="1:8" x14ac:dyDescent="0.25">
      <c r="A8399" s="2" t="s">
        <v>8426</v>
      </c>
      <c r="B8399" s="3" t="s">
        <v>23</v>
      </c>
      <c r="C8399" s="3"/>
      <c r="D8399" s="3"/>
      <c r="E8399" s="5" t="str">
        <f>HYPERLINK("https://dpmzos25m8ivg.cloudfront.net/Documentos/631/94155372568/6319415537256808092023130451.pdf","https://dpmzos25m8ivg.cloudfront.net/Documentos/631/94155372568/6319415537256808092023130451.pdf")</f>
        <v>https://dpmzos25m8ivg.cloudfront.net/Documentos/631/94155372568/6319415537256808092023130451.pdf</v>
      </c>
      <c r="F8399" s="5" t="str">
        <f>HYPERLINK("https://dpmzos25m8ivg.cloudfront.net/Documentos/631/94155372568/6319415537256808092023130534.pdf","https://dpmzos25m8ivg.cloudfront.net/Documentos/631/94155372568/6319415537256808092023130534.pdf")</f>
        <v>https://dpmzos25m8ivg.cloudfront.net/Documentos/631/94155372568/6319415537256808092023130534.pdf</v>
      </c>
      <c r="G8399" s="5" t="str">
        <f>HYPERLINK("https://dpmzos25m8ivg.cloudfront.net/Documentos/631/94155372568/6319415537256808092023130607.pdf","https://dpmzos25m8ivg.cloudfront.net/Documentos/631/94155372568/6319415537256808092023130607.pdf")</f>
        <v>https://dpmzos25m8ivg.cloudfront.net/Documentos/631/94155372568/6319415537256808092023130607.pdf</v>
      </c>
      <c r="H8399" s="5" t="s">
        <v>16963</v>
      </c>
    </row>
    <row r="8400" spans="1:8" x14ac:dyDescent="0.25">
      <c r="A8400" s="2" t="s">
        <v>8427</v>
      </c>
      <c r="B8400" s="3" t="s">
        <v>308</v>
      </c>
      <c r="C8400" s="3"/>
      <c r="D8400" s="3"/>
      <c r="E8400" s="5" t="str">
        <f>HYPERLINK("https://dpmzos25m8ivg.cloudfront.net/Documentos/631/94212449234/6319421244923411092023162348.pdf","https://dpmzos25m8ivg.cloudfront.net/Documentos/631/94212449234/6319421244923411092023162348.pdf")</f>
        <v>https://dpmzos25m8ivg.cloudfront.net/Documentos/631/94212449234/6319421244923411092023162348.pdf</v>
      </c>
      <c r="F8400" s="5" t="str">
        <f>HYPERLINK("https://dpmzos25m8ivg.cloudfront.net/Documentos/631/94212449234/6319421244923411092023162357.pdf","https://dpmzos25m8ivg.cloudfront.net/Documentos/631/94212449234/6319421244923411092023162357.pdf")</f>
        <v>https://dpmzos25m8ivg.cloudfront.net/Documentos/631/94212449234/6319421244923411092023162357.pdf</v>
      </c>
      <c r="G8400" s="5" t="str">
        <f>HYPERLINK("https://dpmzos25m8ivg.cloudfront.net/Documentos/631/94212449234/6319421244923411092023162406.pdf","https://dpmzos25m8ivg.cloudfront.net/Documentos/631/94212449234/6319421244923411092023162406.pdf")</f>
        <v>https://dpmzos25m8ivg.cloudfront.net/Documentos/631/94212449234/6319421244923411092023162406.pdf</v>
      </c>
      <c r="H8400" s="5" t="s">
        <v>16964</v>
      </c>
    </row>
    <row r="8401" spans="1:8" x14ac:dyDescent="0.25">
      <c r="A8401" s="2" t="s">
        <v>8428</v>
      </c>
      <c r="B8401" s="3"/>
      <c r="C8401" s="3"/>
      <c r="D8401" s="3"/>
      <c r="E8401" s="5" t="str">
        <f>HYPERLINK("https://dpmzos25m8ivg.cloudfront.net/Documentos/631/94227438268/6319422743826810092023170224.pdf","https://dpmzos25m8ivg.cloudfront.net/Documentos/631/94227438268/6319422743826810092023170224.pdf")</f>
        <v>https://dpmzos25m8ivg.cloudfront.net/Documentos/631/94227438268/6319422743826810092023170224.pdf</v>
      </c>
      <c r="F8401" s="5" t="str">
        <f>HYPERLINK("https://dpmzos25m8ivg.cloudfront.net/Documentos/631/94227438268/6319422743826810092023163252.pdf","https://dpmzos25m8ivg.cloudfront.net/Documentos/631/94227438268/6319422743826810092023163252.pdf")</f>
        <v>https://dpmzos25m8ivg.cloudfront.net/Documentos/631/94227438268/6319422743826810092023163252.pdf</v>
      </c>
      <c r="G8401" s="5" t="str">
        <f>HYPERLINK("https://dpmzos25m8ivg.cloudfront.net/Documentos/631/94227438268/6319422743826810092023163410.pdf","https://dpmzos25m8ivg.cloudfront.net/Documentos/631/94227438268/6319422743826810092023163410.pdf")</f>
        <v>https://dpmzos25m8ivg.cloudfront.net/Documentos/631/94227438268/6319422743826810092023163410.pdf</v>
      </c>
      <c r="H8401" s="5" t="s">
        <v>16965</v>
      </c>
    </row>
    <row r="8402" spans="1:8" x14ac:dyDescent="0.25">
      <c r="A8402" s="2" t="s">
        <v>8429</v>
      </c>
      <c r="B8402" s="3"/>
      <c r="C8402" s="3"/>
      <c r="D8402" s="3"/>
      <c r="E8402" s="5" t="str">
        <f>HYPERLINK("https://dpmzos25m8ivg.cloudfront.net/Documentos/631/94317976587/6319431797658710092023231102.pdf","https://dpmzos25m8ivg.cloudfront.net/Documentos/631/94317976587/6319431797658710092023231102.pdf")</f>
        <v>https://dpmzos25m8ivg.cloudfront.net/Documentos/631/94317976587/6319431797658710092023231102.pdf</v>
      </c>
      <c r="F8402" s="5" t="str">
        <f>HYPERLINK("https://dpmzos25m8ivg.cloudfront.net/Documentos/631/94317976587/6319431797658710092023231155.pdf","https://dpmzos25m8ivg.cloudfront.net/Documentos/631/94317976587/6319431797658710092023231155.pdf")</f>
        <v>https://dpmzos25m8ivg.cloudfront.net/Documentos/631/94317976587/6319431797658710092023231155.pdf</v>
      </c>
      <c r="G8402" s="5" t="str">
        <f>HYPERLINK("https://dpmzos25m8ivg.cloudfront.net/Documentos/631/94317976587/6319431797658710092023231210.pdf","https://dpmzos25m8ivg.cloudfront.net/Documentos/631/94317976587/6319431797658710092023231210.pdf")</f>
        <v>https://dpmzos25m8ivg.cloudfront.net/Documentos/631/94317976587/6319431797658710092023231210.pdf</v>
      </c>
      <c r="H8402" s="5" t="s">
        <v>16966</v>
      </c>
    </row>
    <row r="8403" spans="1:8" x14ac:dyDescent="0.25">
      <c r="A8403" s="2" t="s">
        <v>8430</v>
      </c>
      <c r="B8403" s="3"/>
      <c r="C8403" s="3"/>
      <c r="D8403" s="3"/>
      <c r="E8403" s="5" t="str">
        <f>HYPERLINK("https://dpmzos25m8ivg.cloudfront.net/Documentos/631/94374635572/6319437463557205092023102907.pdf","https://dpmzos25m8ivg.cloudfront.net/Documentos/631/94374635572/6319437463557205092023102907.pdf")</f>
        <v>https://dpmzos25m8ivg.cloudfront.net/Documentos/631/94374635572/6319437463557205092023102907.pdf</v>
      </c>
      <c r="F8403" s="5" t="str">
        <f>HYPERLINK("https://dpmzos25m8ivg.cloudfront.net/Documentos/631/94374635572/6319437463557205092023102923.pdf","https://dpmzos25m8ivg.cloudfront.net/Documentos/631/94374635572/6319437463557205092023102923.pdf")</f>
        <v>https://dpmzos25m8ivg.cloudfront.net/Documentos/631/94374635572/6319437463557205092023102923.pdf</v>
      </c>
      <c r="G8403" s="5" t="str">
        <f>HYPERLINK("https://dpmzos25m8ivg.cloudfront.net/Documentos/631/94374635572/6319437463557205092023102939.pdf","https://dpmzos25m8ivg.cloudfront.net/Documentos/631/94374635572/6319437463557205092023102939.pdf")</f>
        <v>https://dpmzos25m8ivg.cloudfront.net/Documentos/631/94374635572/6319437463557205092023102939.pdf</v>
      </c>
      <c r="H8403" s="5" t="s">
        <v>16967</v>
      </c>
    </row>
    <row r="8404" spans="1:8" x14ac:dyDescent="0.25">
      <c r="A8404" s="2" t="s">
        <v>8431</v>
      </c>
      <c r="B8404" s="3"/>
      <c r="C8404" s="3"/>
      <c r="D8404" s="3"/>
      <c r="E8404" s="5" t="str">
        <f>HYPERLINK("https://dpmzos25m8ivg.cloudfront.net/Documentos/631/94375607220/6319437560722005092023131119.pdf","https://dpmzos25m8ivg.cloudfront.net/Documentos/631/94375607220/6319437560722005092023131119.pdf")</f>
        <v>https://dpmzos25m8ivg.cloudfront.net/Documentos/631/94375607220/6319437560722005092023131119.pdf</v>
      </c>
      <c r="F8404" s="5" t="str">
        <f>HYPERLINK("https://dpmzos25m8ivg.cloudfront.net/Documentos/631/94375607220/6319437560722005092023131939.pdf","https://dpmzos25m8ivg.cloudfront.net/Documentos/631/94375607220/6319437560722005092023131939.pdf")</f>
        <v>https://dpmzos25m8ivg.cloudfront.net/Documentos/631/94375607220/6319437560722005092023131939.pdf</v>
      </c>
      <c r="G8404" s="5" t="str">
        <f>HYPERLINK("https://dpmzos25m8ivg.cloudfront.net/Documentos/631/94375607220/6319437560722005092023131951.pdf","https://dpmzos25m8ivg.cloudfront.net/Documentos/631/94375607220/6319437560722005092023131951.pdf")</f>
        <v>https://dpmzos25m8ivg.cloudfront.net/Documentos/631/94375607220/6319437560722005092023131951.pdf</v>
      </c>
      <c r="H8404" s="5" t="s">
        <v>16968</v>
      </c>
    </row>
    <row r="8405" spans="1:8" x14ac:dyDescent="0.25">
      <c r="A8405" s="2" t="s">
        <v>8432</v>
      </c>
      <c r="B8405" s="3" t="s">
        <v>90</v>
      </c>
      <c r="C8405" s="3"/>
      <c r="D8405" s="3"/>
      <c r="E8405" s="5" t="str">
        <f>HYPERLINK("https://dpmzos25m8ivg.cloudfront.net/Documentos/631/94428140100/6319442814010006092023124232.jpeg","https://dpmzos25m8ivg.cloudfront.net/Documentos/631/94428140100/6319442814010006092023124232.jpeg")</f>
        <v>https://dpmzos25m8ivg.cloudfront.net/Documentos/631/94428140100/6319442814010006092023124232.jpeg</v>
      </c>
      <c r="F8405" s="5" t="str">
        <f>HYPERLINK("https://dpmzos25m8ivg.cloudfront.net/Documentos/631/94428140100/6319442814010006092023124251.jpeg","https://dpmzos25m8ivg.cloudfront.net/Documentos/631/94428140100/6319442814010006092023124251.jpeg")</f>
        <v>https://dpmzos25m8ivg.cloudfront.net/Documentos/631/94428140100/6319442814010006092023124251.jpeg</v>
      </c>
      <c r="G8405" s="5" t="str">
        <f>HYPERLINK("https://dpmzos25m8ivg.cloudfront.net/Documentos/631/94428140100/6319442814010006092023124309.jpeg","https://dpmzos25m8ivg.cloudfront.net/Documentos/631/94428140100/6319442814010006092023124309.jpeg")</f>
        <v>https://dpmzos25m8ivg.cloudfront.net/Documentos/631/94428140100/6319442814010006092023124309.jpeg</v>
      </c>
      <c r="H8405" s="5" t="s">
        <v>16969</v>
      </c>
    </row>
    <row r="8406" spans="1:8" x14ac:dyDescent="0.25">
      <c r="A8406" s="2" t="s">
        <v>8433</v>
      </c>
      <c r="B8406" s="3"/>
      <c r="C8406" s="3"/>
      <c r="D8406" s="3"/>
      <c r="E8406" s="5" t="str">
        <f>HYPERLINK("https://dpmzos25m8ivg.cloudfront.net/Documentos/631/94454280568/6319445428056809092023102416.jpg","https://dpmzos25m8ivg.cloudfront.net/Documentos/631/94454280568/6319445428056809092023102416.jpg")</f>
        <v>https://dpmzos25m8ivg.cloudfront.net/Documentos/631/94454280568/6319445428056809092023102416.jpg</v>
      </c>
      <c r="F8406" s="5" t="str">
        <f>HYPERLINK("https://dpmzos25m8ivg.cloudfront.net/Documentos/631/94454280568/6319445428056809092023102548.jpg","https://dpmzos25m8ivg.cloudfront.net/Documentos/631/94454280568/6319445428056809092023102548.jpg")</f>
        <v>https://dpmzos25m8ivg.cloudfront.net/Documentos/631/94454280568/6319445428056809092023102548.jpg</v>
      </c>
      <c r="G8406" s="5" t="str">
        <f>HYPERLINK("https://dpmzos25m8ivg.cloudfront.net/Documentos/631/94454280568/6319445428056809092023102620.jpg","https://dpmzos25m8ivg.cloudfront.net/Documentos/631/94454280568/6319445428056809092023102620.jpg")</f>
        <v>https://dpmzos25m8ivg.cloudfront.net/Documentos/631/94454280568/6319445428056809092023102620.jpg</v>
      </c>
      <c r="H8406" s="5" t="s">
        <v>16970</v>
      </c>
    </row>
    <row r="8407" spans="1:8" x14ac:dyDescent="0.25">
      <c r="A8407" s="2" t="s">
        <v>8434</v>
      </c>
      <c r="B8407" s="3"/>
      <c r="C8407" s="3"/>
      <c r="D8407" s="3"/>
      <c r="E8407" s="5" t="str">
        <f>HYPERLINK("https://dpmzos25m8ivg.cloudfront.net/Documentos/631/94525994215/6319452599421511092023121722.pdf","https://dpmzos25m8ivg.cloudfront.net/Documentos/631/94525994215/6319452599421511092023121722.pdf")</f>
        <v>https://dpmzos25m8ivg.cloudfront.net/Documentos/631/94525994215/6319452599421511092023121722.pdf</v>
      </c>
      <c r="F8407" s="5" t="str">
        <f>HYPERLINK("https://dpmzos25m8ivg.cloudfront.net/Documentos/631/94525994215/6319452599421511092023121735.pdf","https://dpmzos25m8ivg.cloudfront.net/Documentos/631/94525994215/6319452599421511092023121735.pdf")</f>
        <v>https://dpmzos25m8ivg.cloudfront.net/Documentos/631/94525994215/6319452599421511092023121735.pdf</v>
      </c>
      <c r="G8407" s="5" t="str">
        <f>HYPERLINK("https://dpmzos25m8ivg.cloudfront.net/Documentos/631/94525994215/6319452599421511092023121747.pdf","https://dpmzos25m8ivg.cloudfront.net/Documentos/631/94525994215/6319452599421511092023121747.pdf")</f>
        <v>https://dpmzos25m8ivg.cloudfront.net/Documentos/631/94525994215/6319452599421511092023121747.pdf</v>
      </c>
      <c r="H8407" s="5" t="s">
        <v>16971</v>
      </c>
    </row>
    <row r="8408" spans="1:8" x14ac:dyDescent="0.25">
      <c r="A8408" s="2" t="s">
        <v>8435</v>
      </c>
      <c r="B8408" s="3"/>
      <c r="C8408" s="3"/>
      <c r="D8408" s="3"/>
      <c r="E8408" s="5" t="str">
        <f>HYPERLINK("https://dpmzos25m8ivg.cloudfront.net/Documentos/631/94610053268/6319461005326806092023093723.pdf","https://dpmzos25m8ivg.cloudfront.net/Documentos/631/94610053268/6319461005326806092023093723.pdf")</f>
        <v>https://dpmzos25m8ivg.cloudfront.net/Documentos/631/94610053268/6319461005326806092023093723.pdf</v>
      </c>
      <c r="F8408" s="5" t="str">
        <f>HYPERLINK("https://dpmzos25m8ivg.cloudfront.net/Documentos/631/94610053268/6319461005326806092023093733.pdf","https://dpmzos25m8ivg.cloudfront.net/Documentos/631/94610053268/6319461005326806092023093733.pdf")</f>
        <v>https://dpmzos25m8ivg.cloudfront.net/Documentos/631/94610053268/6319461005326806092023093733.pdf</v>
      </c>
      <c r="G8408" s="5" t="str">
        <f>HYPERLINK("https://dpmzos25m8ivg.cloudfront.net/Documentos/631/94610053268/6319461005326806092023093745.pdf","https://dpmzos25m8ivg.cloudfront.net/Documentos/631/94610053268/6319461005326806092023093745.pdf")</f>
        <v>https://dpmzos25m8ivg.cloudfront.net/Documentos/631/94610053268/6319461005326806092023093745.pdf</v>
      </c>
      <c r="H8408" s="5" t="s">
        <v>16972</v>
      </c>
    </row>
    <row r="8409" spans="1:8" x14ac:dyDescent="0.25">
      <c r="A8409" s="2" t="s">
        <v>8436</v>
      </c>
      <c r="B8409" s="3"/>
      <c r="C8409" s="3"/>
      <c r="D8409" s="3"/>
      <c r="E8409" s="5" t="str">
        <f>HYPERLINK("https://dpmzos25m8ivg.cloudfront.net/Documentos/631/94666865420/6319466686542010092023152249.pdf","https://dpmzos25m8ivg.cloudfront.net/Documentos/631/94666865420/6319466686542010092023152249.pdf")</f>
        <v>https://dpmzos25m8ivg.cloudfront.net/Documentos/631/94666865420/6319466686542010092023152249.pdf</v>
      </c>
      <c r="F8409" s="5" t="str">
        <f>HYPERLINK("https://dpmzos25m8ivg.cloudfront.net/Documentos/631/94666865420/6319466686542010092023152319.pdf","https://dpmzos25m8ivg.cloudfront.net/Documentos/631/94666865420/6319466686542010092023152319.pdf")</f>
        <v>https://dpmzos25m8ivg.cloudfront.net/Documentos/631/94666865420/6319466686542010092023152319.pdf</v>
      </c>
      <c r="G8409" s="5" t="str">
        <f>HYPERLINK("https://dpmzos25m8ivg.cloudfront.net/Documentos/631/94666865420/6319466686542010092023152356.pdf","https://dpmzos25m8ivg.cloudfront.net/Documentos/631/94666865420/6319466686542010092023152356.pdf")</f>
        <v>https://dpmzos25m8ivg.cloudfront.net/Documentos/631/94666865420/6319466686542010092023152356.pdf</v>
      </c>
      <c r="H8409" s="5" t="s">
        <v>16973</v>
      </c>
    </row>
    <row r="8410" spans="1:8" x14ac:dyDescent="0.25">
      <c r="A8410" s="2" t="s">
        <v>8437</v>
      </c>
      <c r="B8410" s="3"/>
      <c r="C8410" s="3"/>
      <c r="D8410" s="3"/>
      <c r="E8410" s="5" t="str">
        <f>HYPERLINK("https://dpmzos25m8ivg.cloudfront.net/Documentos/631/94719063691/6319471906369111092023120917.pdf","https://dpmzos25m8ivg.cloudfront.net/Documentos/631/94719063691/6319471906369111092023120917.pdf")</f>
        <v>https://dpmzos25m8ivg.cloudfront.net/Documentos/631/94719063691/6319471906369111092023120917.pdf</v>
      </c>
      <c r="F8410" s="5" t="str">
        <f>HYPERLINK("https://dpmzos25m8ivg.cloudfront.net/Documentos/631/94719063691/6319471906369111092023120938.pdf","https://dpmzos25m8ivg.cloudfront.net/Documentos/631/94719063691/6319471906369111092023120938.pdf")</f>
        <v>https://dpmzos25m8ivg.cloudfront.net/Documentos/631/94719063691/6319471906369111092023120938.pdf</v>
      </c>
      <c r="G8410" s="5" t="str">
        <f>HYPERLINK("https://dpmzos25m8ivg.cloudfront.net/Documentos/631/94719063691/6319471906369111092023120950.pdf","https://dpmzos25m8ivg.cloudfront.net/Documentos/631/94719063691/6319471906369111092023120950.pdf")</f>
        <v>https://dpmzos25m8ivg.cloudfront.net/Documentos/631/94719063691/6319471906369111092023120950.pdf</v>
      </c>
      <c r="H8410" s="5" t="s">
        <v>16974</v>
      </c>
    </row>
    <row r="8411" spans="1:8" x14ac:dyDescent="0.25">
      <c r="A8411" s="2" t="s">
        <v>8438</v>
      </c>
      <c r="B8411" s="3" t="s">
        <v>312</v>
      </c>
      <c r="C8411" s="3"/>
      <c r="D8411" s="3"/>
      <c r="E8411" s="5" t="str">
        <f>HYPERLINK("https://dpmzos25m8ivg.cloudfront.net/Documentos/631/94750653268/6319475065326811092023162033.pdf","https://dpmzos25m8ivg.cloudfront.net/Documentos/631/94750653268/6319475065326811092023162033.pdf")</f>
        <v>https://dpmzos25m8ivg.cloudfront.net/Documentos/631/94750653268/6319475065326811092023162033.pdf</v>
      </c>
      <c r="F8411" s="5" t="str">
        <f>HYPERLINK("https://dpmzos25m8ivg.cloudfront.net/Documentos/631/94750653268/6319475065326811092023161822.jpg","https://dpmzos25m8ivg.cloudfront.net/Documentos/631/94750653268/6319475065326811092023161822.jpg")</f>
        <v>https://dpmzos25m8ivg.cloudfront.net/Documentos/631/94750653268/6319475065326811092023161822.jpg</v>
      </c>
      <c r="G8411" s="5" t="str">
        <f>HYPERLINK("https://dpmzos25m8ivg.cloudfront.net/Documentos/631/94750653268/6319475065326811092023161800.jpg","https://dpmzos25m8ivg.cloudfront.net/Documentos/631/94750653268/6319475065326811092023161800.jpg")</f>
        <v>https://dpmzos25m8ivg.cloudfront.net/Documentos/631/94750653268/6319475065326811092023161800.jpg</v>
      </c>
      <c r="H8411" s="5" t="s">
        <v>16975</v>
      </c>
    </row>
    <row r="8412" spans="1:8" x14ac:dyDescent="0.25">
      <c r="A8412" s="2" t="s">
        <v>8439</v>
      </c>
      <c r="B8412" s="3"/>
      <c r="C8412" s="3"/>
      <c r="D8412" s="3"/>
      <c r="E8412" s="5" t="str">
        <f>HYPERLINK("https://dpmzos25m8ivg.cloudfront.net/Documentos/631/94776890259/6319477689025911092023085852.pdf","https://dpmzos25m8ivg.cloudfront.net/Documentos/631/94776890259/6319477689025911092023085852.pdf")</f>
        <v>https://dpmzos25m8ivg.cloudfront.net/Documentos/631/94776890259/6319477689025911092023085852.pdf</v>
      </c>
      <c r="F8412" s="5" t="str">
        <f>HYPERLINK("https://dpmzos25m8ivg.cloudfront.net/Documentos/631/94776890259/6319477689025911092023085901.pdf","https://dpmzos25m8ivg.cloudfront.net/Documentos/631/94776890259/6319477689025911092023085901.pdf")</f>
        <v>https://dpmzos25m8ivg.cloudfront.net/Documentos/631/94776890259/6319477689025911092023085901.pdf</v>
      </c>
      <c r="G8412" s="5" t="str">
        <f>HYPERLINK("https://dpmzos25m8ivg.cloudfront.net/Documentos/631/94776890259/6319477689025911092023085910.pdf","https://dpmzos25m8ivg.cloudfront.net/Documentos/631/94776890259/6319477689025911092023085910.pdf")</f>
        <v>https://dpmzos25m8ivg.cloudfront.net/Documentos/631/94776890259/6319477689025911092023085910.pdf</v>
      </c>
      <c r="H8412" s="5" t="s">
        <v>16976</v>
      </c>
    </row>
    <row r="8413" spans="1:8" x14ac:dyDescent="0.25">
      <c r="A8413" s="2" t="s">
        <v>8440</v>
      </c>
      <c r="B8413" s="3"/>
      <c r="C8413" s="3"/>
      <c r="D8413" s="3"/>
      <c r="E8413" s="5" t="str">
        <f>HYPERLINK("https://dpmzos25m8ivg.cloudfront.net/Documentos/631/94840040320/6319484004032011092023114702.jpeg","https://dpmzos25m8ivg.cloudfront.net/Documentos/631/94840040320/6319484004032011092023114702.jpeg")</f>
        <v>https://dpmzos25m8ivg.cloudfront.net/Documentos/631/94840040320/6319484004032011092023114702.jpeg</v>
      </c>
      <c r="F8413" s="5" t="str">
        <f>HYPERLINK("https://dpmzos25m8ivg.cloudfront.net/Documentos/631/94840040320/6319484004032011092023114747.jpeg","https://dpmzos25m8ivg.cloudfront.net/Documentos/631/94840040320/6319484004032011092023114747.jpeg")</f>
        <v>https://dpmzos25m8ivg.cloudfront.net/Documentos/631/94840040320/6319484004032011092023114747.jpeg</v>
      </c>
      <c r="G8413" s="5" t="str">
        <f>HYPERLINK("https://dpmzos25m8ivg.cloudfront.net/Documentos/631/94840040320/6319484004032011092023114759.jpeg","https://dpmzos25m8ivg.cloudfront.net/Documentos/631/94840040320/6319484004032011092023114759.jpeg")</f>
        <v>https://dpmzos25m8ivg.cloudfront.net/Documentos/631/94840040320/6319484004032011092023114759.jpeg</v>
      </c>
      <c r="H8413" s="5" t="s">
        <v>16977</v>
      </c>
    </row>
    <row r="8414" spans="1:8" x14ac:dyDescent="0.25">
      <c r="A8414" s="2" t="s">
        <v>8441</v>
      </c>
      <c r="B8414" s="3"/>
      <c r="C8414" s="3"/>
      <c r="D8414" s="3"/>
      <c r="E8414" s="5" t="str">
        <f>HYPERLINK("https://dpmzos25m8ivg.cloudfront.net/Documentos/631/94844674587/6319484467458708092023165443.jpg","https://dpmzos25m8ivg.cloudfront.net/Documentos/631/94844674587/6319484467458708092023165443.jpg")</f>
        <v>https://dpmzos25m8ivg.cloudfront.net/Documentos/631/94844674587/6319484467458708092023165443.jpg</v>
      </c>
      <c r="F8414" s="5" t="str">
        <f>HYPERLINK("https://dpmzos25m8ivg.cloudfront.net/Documentos/631/94844674587/6319484467458708092023165511.jpg","https://dpmzos25m8ivg.cloudfront.net/Documentos/631/94844674587/6319484467458708092023165511.jpg")</f>
        <v>https://dpmzos25m8ivg.cloudfront.net/Documentos/631/94844674587/6319484467458708092023165511.jpg</v>
      </c>
      <c r="G8414" s="5" t="str">
        <f>HYPERLINK("https://dpmzos25m8ivg.cloudfront.net/Documentos/631/94844674587/6319484467458708092023165526.jpg","https://dpmzos25m8ivg.cloudfront.net/Documentos/631/94844674587/6319484467458708092023165526.jpg")</f>
        <v>https://dpmzos25m8ivg.cloudfront.net/Documentos/631/94844674587/6319484467458708092023165526.jpg</v>
      </c>
      <c r="H8414" s="5" t="s">
        <v>16978</v>
      </c>
    </row>
    <row r="8415" spans="1:8" x14ac:dyDescent="0.25">
      <c r="A8415" s="2" t="s">
        <v>8442</v>
      </c>
      <c r="B8415" s="3" t="s">
        <v>197</v>
      </c>
      <c r="C8415" s="3"/>
      <c r="D8415" s="3"/>
      <c r="E8415" s="5" t="str">
        <f>HYPERLINK("https://dpmzos25m8ivg.cloudfront.net/Documentos/631/94917221587/6319491722158705092023130151.pdf","https://dpmzos25m8ivg.cloudfront.net/Documentos/631/94917221587/6319491722158705092023130151.pdf")</f>
        <v>https://dpmzos25m8ivg.cloudfront.net/Documentos/631/94917221587/6319491722158705092023130151.pdf</v>
      </c>
      <c r="F8415" s="5" t="str">
        <f>HYPERLINK("https://dpmzos25m8ivg.cloudfront.net/Documentos/631/94917221587/6319491722158705092023130234.pdf","https://dpmzos25m8ivg.cloudfront.net/Documentos/631/94917221587/6319491722158705092023130234.pdf")</f>
        <v>https://dpmzos25m8ivg.cloudfront.net/Documentos/631/94917221587/6319491722158705092023130234.pdf</v>
      </c>
      <c r="G8415" s="5" t="str">
        <f>HYPERLINK("https://dpmzos25m8ivg.cloudfront.net/Documentos/631/94917221587/6319491722158705092023130328.pdf","https://dpmzos25m8ivg.cloudfront.net/Documentos/631/94917221587/6319491722158705092023130328.pdf")</f>
        <v>https://dpmzos25m8ivg.cloudfront.net/Documentos/631/94917221587/6319491722158705092023130328.pdf</v>
      </c>
      <c r="H8415" s="5" t="s">
        <v>16979</v>
      </c>
    </row>
    <row r="8416" spans="1:8" x14ac:dyDescent="0.25">
      <c r="A8416" s="2" t="s">
        <v>8443</v>
      </c>
      <c r="B8416" s="3" t="s">
        <v>308</v>
      </c>
      <c r="C8416" s="3"/>
      <c r="D8416" s="3"/>
      <c r="E8416" s="5" t="str">
        <f>HYPERLINK("https://dpmzos25m8ivg.cloudfront.net/Documentos/631/94929874491/6319492987449105092023112852.jpg","https://dpmzos25m8ivg.cloudfront.net/Documentos/631/94929874491/6319492987449105092023112852.jpg")</f>
        <v>https://dpmzos25m8ivg.cloudfront.net/Documentos/631/94929874491/6319492987449105092023112852.jpg</v>
      </c>
      <c r="F8416" s="5" t="str">
        <f>HYPERLINK("https://dpmzos25m8ivg.cloudfront.net/Documentos/631/94929874491/6319492987449105092023113150.jpg","https://dpmzos25m8ivg.cloudfront.net/Documentos/631/94929874491/6319492987449105092023113150.jpg")</f>
        <v>https://dpmzos25m8ivg.cloudfront.net/Documentos/631/94929874491/6319492987449105092023113150.jpg</v>
      </c>
      <c r="G8416" s="5" t="str">
        <f>HYPERLINK("https://dpmzos25m8ivg.cloudfront.net/Documentos/631/94929874491/6319492987449105092023113227.jpg","https://dpmzos25m8ivg.cloudfront.net/Documentos/631/94929874491/6319492987449105092023113227.jpg")</f>
        <v>https://dpmzos25m8ivg.cloudfront.net/Documentos/631/94929874491/6319492987449105092023113227.jpg</v>
      </c>
      <c r="H8416" s="5" t="s">
        <v>16980</v>
      </c>
    </row>
    <row r="8417" spans="1:8" x14ac:dyDescent="0.25">
      <c r="A8417" s="2" t="s">
        <v>8444</v>
      </c>
      <c r="B8417" s="3"/>
      <c r="C8417" s="3"/>
      <c r="D8417" s="3"/>
      <c r="E8417" s="5" t="str">
        <f>HYPERLINK("https://dpmzos25m8ivg.cloudfront.net/Documentos/631/95022600315/6319502260031510092023152448.pdf","https://dpmzos25m8ivg.cloudfront.net/Documentos/631/95022600315/6319502260031510092023152448.pdf")</f>
        <v>https://dpmzos25m8ivg.cloudfront.net/Documentos/631/95022600315/6319502260031510092023152448.pdf</v>
      </c>
      <c r="F8417" s="5" t="str">
        <f>HYPERLINK("https://dpmzos25m8ivg.cloudfront.net/Documentos/631/95022600315/6319502260031510092023152526.pdf","https://dpmzos25m8ivg.cloudfront.net/Documentos/631/95022600315/6319502260031510092023152526.pdf")</f>
        <v>https://dpmzos25m8ivg.cloudfront.net/Documentos/631/95022600315/6319502260031510092023152526.pdf</v>
      </c>
      <c r="G8417" s="5" t="str">
        <f>HYPERLINK("https://dpmzos25m8ivg.cloudfront.net/Documentos/631/95022600315/6319502260031510092023152546.pdf","https://dpmzos25m8ivg.cloudfront.net/Documentos/631/95022600315/6319502260031510092023152546.pdf")</f>
        <v>https://dpmzos25m8ivg.cloudfront.net/Documentos/631/95022600315/6319502260031510092023152546.pdf</v>
      </c>
      <c r="H8417" s="5" t="s">
        <v>16981</v>
      </c>
    </row>
    <row r="8418" spans="1:8" x14ac:dyDescent="0.25">
      <c r="A8418" s="2" t="s">
        <v>8445</v>
      </c>
      <c r="B8418" s="3"/>
      <c r="C8418" s="3"/>
      <c r="D8418" s="3"/>
      <c r="E8418" s="5" t="str">
        <f>HYPERLINK("https://dpmzos25m8ivg.cloudfront.net/Documentos/631/95034536234/6319503453623412092023185258.pdf","https://dpmzos25m8ivg.cloudfront.net/Documentos/631/95034536234/6319503453623412092023185258.pdf")</f>
        <v>https://dpmzos25m8ivg.cloudfront.net/Documentos/631/95034536234/6319503453623412092023185258.pdf</v>
      </c>
      <c r="F8418" s="5" t="str">
        <f>HYPERLINK("https://dpmzos25m8ivg.cloudfront.net/Documentos/631/95034536234/6319503453623412092023185319.pdf","https://dpmzos25m8ivg.cloudfront.net/Documentos/631/95034536234/6319503453623412092023185319.pdf")</f>
        <v>https://dpmzos25m8ivg.cloudfront.net/Documentos/631/95034536234/6319503453623412092023185319.pdf</v>
      </c>
      <c r="G8418" s="5" t="str">
        <f>HYPERLINK("https://dpmzos25m8ivg.cloudfront.net/Documentos/631/95034536234/6319503453623412092023185329.pdf","https://dpmzos25m8ivg.cloudfront.net/Documentos/631/95034536234/6319503453623412092023185329.pdf")</f>
        <v>https://dpmzos25m8ivg.cloudfront.net/Documentos/631/95034536234/6319503453623412092023185329.pdf</v>
      </c>
      <c r="H8418" s="5" t="s">
        <v>16982</v>
      </c>
    </row>
    <row r="8419" spans="1:8" x14ac:dyDescent="0.25">
      <c r="A8419" s="2" t="s">
        <v>8446</v>
      </c>
      <c r="B8419" s="3" t="s">
        <v>23</v>
      </c>
      <c r="C8419" s="3"/>
      <c r="D8419" s="3"/>
      <c r="E8419" s="5" t="str">
        <f>HYPERLINK("https://dpmzos25m8ivg.cloudfront.net/Documentos/631/95048650034/6319504865003405092023095601.pdf","https://dpmzos25m8ivg.cloudfront.net/Documentos/631/95048650034/6319504865003405092023095601.pdf")</f>
        <v>https://dpmzos25m8ivg.cloudfront.net/Documentos/631/95048650034/6319504865003405092023095601.pdf</v>
      </c>
      <c r="F8419" s="5" t="str">
        <f>HYPERLINK("https://dpmzos25m8ivg.cloudfront.net/Documentos/631/95048650034/6319504865003405092023095609.pdf","https://dpmzos25m8ivg.cloudfront.net/Documentos/631/95048650034/6319504865003405092023095609.pdf")</f>
        <v>https://dpmzos25m8ivg.cloudfront.net/Documentos/631/95048650034/6319504865003405092023095609.pdf</v>
      </c>
      <c r="G8419" s="5" t="str">
        <f>HYPERLINK("https://dpmzos25m8ivg.cloudfront.net/Documentos/631/95048650034/6319504865003405092023095619.pdf","https://dpmzos25m8ivg.cloudfront.net/Documentos/631/95048650034/6319504865003405092023095619.pdf")</f>
        <v>https://dpmzos25m8ivg.cloudfront.net/Documentos/631/95048650034/6319504865003405092023095619.pdf</v>
      </c>
      <c r="H8419" s="5" t="s">
        <v>16983</v>
      </c>
    </row>
    <row r="8420" spans="1:8" x14ac:dyDescent="0.25">
      <c r="A8420" s="2" t="s">
        <v>8447</v>
      </c>
      <c r="B8420" s="3"/>
      <c r="C8420" s="3"/>
      <c r="D8420" s="3"/>
      <c r="E8420" s="5" t="str">
        <f>HYPERLINK("https://dpmzos25m8ivg.cloudfront.net/Documentos/631/95080155949/6319508015594911092023144305.pdf","https://dpmzos25m8ivg.cloudfront.net/Documentos/631/95080155949/6319508015594911092023144305.pdf")</f>
        <v>https://dpmzos25m8ivg.cloudfront.net/Documentos/631/95080155949/6319508015594911092023144305.pdf</v>
      </c>
      <c r="F8420" s="5" t="str">
        <f>HYPERLINK("https://dpmzos25m8ivg.cloudfront.net/Documentos/631/95080155949/6319508015594911092023144326.pdf","https://dpmzos25m8ivg.cloudfront.net/Documentos/631/95080155949/6319508015594911092023144326.pdf")</f>
        <v>https://dpmzos25m8ivg.cloudfront.net/Documentos/631/95080155949/6319508015594911092023144326.pdf</v>
      </c>
      <c r="G8420" s="5" t="str">
        <f>HYPERLINK("https://dpmzos25m8ivg.cloudfront.net/Documentos/631/95080155949/6319508015594911092023144338.pdf","https://dpmzos25m8ivg.cloudfront.net/Documentos/631/95080155949/6319508015594911092023144338.pdf")</f>
        <v>https://dpmzos25m8ivg.cloudfront.net/Documentos/631/95080155949/6319508015594911092023144338.pdf</v>
      </c>
      <c r="H8420" s="5" t="s">
        <v>16984</v>
      </c>
    </row>
    <row r="8421" spans="1:8" x14ac:dyDescent="0.25">
      <c r="A8421" s="2" t="s">
        <v>8448</v>
      </c>
      <c r="B8421" s="3"/>
      <c r="C8421" s="3"/>
      <c r="D8421" s="3"/>
      <c r="E8421" s="5" t="str">
        <f>HYPERLINK("https://dpmzos25m8ivg.cloudfront.net/Documentos/631/95091580549/6319509158054911092023154905.pdf","https://dpmzos25m8ivg.cloudfront.net/Documentos/631/95091580549/6319509158054911092023154905.pdf")</f>
        <v>https://dpmzos25m8ivg.cloudfront.net/Documentos/631/95091580549/6319509158054911092023154905.pdf</v>
      </c>
      <c r="F8421" s="5" t="str">
        <f>HYPERLINK("https://dpmzos25m8ivg.cloudfront.net/Documentos/631/95091580549/6319509158054911092023154952.pdf","https://dpmzos25m8ivg.cloudfront.net/Documentos/631/95091580549/6319509158054911092023154952.pdf")</f>
        <v>https://dpmzos25m8ivg.cloudfront.net/Documentos/631/95091580549/6319509158054911092023154952.pdf</v>
      </c>
      <c r="G8421" s="5" t="str">
        <f>HYPERLINK("https://dpmzos25m8ivg.cloudfront.net/Documentos/631/95091580549/6319509158054911092023154919.pdf","https://dpmzos25m8ivg.cloudfront.net/Documentos/631/95091580549/6319509158054911092023154919.pdf")</f>
        <v>https://dpmzos25m8ivg.cloudfront.net/Documentos/631/95091580549/6319509158054911092023154919.pdf</v>
      </c>
      <c r="H8421" s="5" t="s">
        <v>16985</v>
      </c>
    </row>
    <row r="8422" spans="1:8" x14ac:dyDescent="0.25">
      <c r="A8422" s="2" t="s">
        <v>8449</v>
      </c>
      <c r="B8422" s="3" t="s">
        <v>90</v>
      </c>
      <c r="C8422" s="3"/>
      <c r="D8422" s="3"/>
      <c r="E8422" s="5" t="str">
        <f>HYPERLINK("https://dpmzos25m8ivg.cloudfront.net/Documentos/631/95154116615/6319515411661511092023112912.jpeg","https://dpmzos25m8ivg.cloudfront.net/Documentos/631/95154116615/6319515411661511092023112912.jpeg")</f>
        <v>https://dpmzos25m8ivg.cloudfront.net/Documentos/631/95154116615/6319515411661511092023112912.jpeg</v>
      </c>
      <c r="F8422" s="5" t="str">
        <f>HYPERLINK("https://dpmzos25m8ivg.cloudfront.net/Documentos/631/95154116615/6319515411661511092023112944.jpeg","https://dpmzos25m8ivg.cloudfront.net/Documentos/631/95154116615/6319515411661511092023112944.jpeg")</f>
        <v>https://dpmzos25m8ivg.cloudfront.net/Documentos/631/95154116615/6319515411661511092023112944.jpeg</v>
      </c>
      <c r="G8422" s="5" t="str">
        <f>HYPERLINK("https://dpmzos25m8ivg.cloudfront.net/Documentos/631/95154116615/6319515411661511092023113005.jpeg","https://dpmzos25m8ivg.cloudfront.net/Documentos/631/95154116615/6319515411661511092023113005.jpeg")</f>
        <v>https://dpmzos25m8ivg.cloudfront.net/Documentos/631/95154116615/6319515411661511092023113005.jpeg</v>
      </c>
      <c r="H8422" s="5" t="s">
        <v>16986</v>
      </c>
    </row>
    <row r="8423" spans="1:8" x14ac:dyDescent="0.25">
      <c r="A8423" s="2" t="s">
        <v>8450</v>
      </c>
      <c r="B8423" s="3"/>
      <c r="C8423" s="3"/>
      <c r="D8423" s="3"/>
      <c r="E8423" s="5" t="str">
        <f>HYPERLINK("https://dpmzos25m8ivg.cloudfront.net/Documentos/631/95168087191/6319516808719110092023225456.jpg","https://dpmzos25m8ivg.cloudfront.net/Documentos/631/95168087191/6319516808719110092023225456.jpg")</f>
        <v>https://dpmzos25m8ivg.cloudfront.net/Documentos/631/95168087191/6319516808719110092023225456.jpg</v>
      </c>
      <c r="F8423" s="5" t="str">
        <f>HYPERLINK("https://dpmzos25m8ivg.cloudfront.net/Documentos/631/95168087191/6319516808719110092023225715.jpg","https://dpmzos25m8ivg.cloudfront.net/Documentos/631/95168087191/6319516808719110092023225715.jpg")</f>
        <v>https://dpmzos25m8ivg.cloudfront.net/Documentos/631/95168087191/6319516808719110092023225715.jpg</v>
      </c>
      <c r="G8423" s="5" t="str">
        <f>HYPERLINK("https://dpmzos25m8ivg.cloudfront.net/Documentos/631/95168087191/6319516808719110092023225906.jpg","https://dpmzos25m8ivg.cloudfront.net/Documentos/631/95168087191/6319516808719110092023225906.jpg")</f>
        <v>https://dpmzos25m8ivg.cloudfront.net/Documentos/631/95168087191/6319516808719110092023225906.jpg</v>
      </c>
      <c r="H8423" s="5" t="s">
        <v>16987</v>
      </c>
    </row>
    <row r="8424" spans="1:8" x14ac:dyDescent="0.25">
      <c r="A8424" s="2" t="s">
        <v>8451</v>
      </c>
      <c r="B8424" s="3"/>
      <c r="C8424" s="3"/>
      <c r="D8424" s="3"/>
      <c r="E8424" s="5" t="str">
        <f>HYPERLINK("https://dpmzos25m8ivg.cloudfront.net/Documentos/631/95176888068/6319517688806812092023171126.pdf","https://dpmzos25m8ivg.cloudfront.net/Documentos/631/95176888068/6319517688806812092023171126.pdf")</f>
        <v>https://dpmzos25m8ivg.cloudfront.net/Documentos/631/95176888068/6319517688806812092023171126.pdf</v>
      </c>
      <c r="F8424" s="5" t="str">
        <f>HYPERLINK("https://dpmzos25m8ivg.cloudfront.net/Documentos/631/95176888068/6319517688806812092023171151.pdf","https://dpmzos25m8ivg.cloudfront.net/Documentos/631/95176888068/6319517688806812092023171151.pdf")</f>
        <v>https://dpmzos25m8ivg.cloudfront.net/Documentos/631/95176888068/6319517688806812092023171151.pdf</v>
      </c>
      <c r="G8424" s="5" t="str">
        <f>HYPERLINK("https://dpmzos25m8ivg.cloudfront.net/Documentos/631/95176888068/6319517688806812092023171204.pdf","https://dpmzos25m8ivg.cloudfront.net/Documentos/631/95176888068/6319517688806812092023171204.pdf")</f>
        <v>https://dpmzos25m8ivg.cloudfront.net/Documentos/631/95176888068/6319517688806812092023171204.pdf</v>
      </c>
      <c r="H8424" s="5" t="s">
        <v>16988</v>
      </c>
    </row>
    <row r="8425" spans="1:8" x14ac:dyDescent="0.25">
      <c r="A8425" s="2" t="s">
        <v>8452</v>
      </c>
      <c r="B8425" s="3" t="s">
        <v>23</v>
      </c>
      <c r="C8425" s="3"/>
      <c r="D8425" s="3"/>
      <c r="E8425" s="5" t="str">
        <f>HYPERLINK("https://dpmzos25m8ivg.cloudfront.net/Documentos/631/95179194768/6319517919476811092023180801.jpg","https://dpmzos25m8ivg.cloudfront.net/Documentos/631/95179194768/6319517919476811092023180801.jpg")</f>
        <v>https://dpmzos25m8ivg.cloudfront.net/Documentos/631/95179194768/6319517919476811092023180801.jpg</v>
      </c>
      <c r="F8425" s="5" t="str">
        <f>HYPERLINK("https://dpmzos25m8ivg.cloudfront.net/Documentos/631/95179194768/6319517919476811092023180824.jpg","https://dpmzos25m8ivg.cloudfront.net/Documentos/631/95179194768/6319517919476811092023180824.jpg")</f>
        <v>https://dpmzos25m8ivg.cloudfront.net/Documentos/631/95179194768/6319517919476811092023180824.jpg</v>
      </c>
      <c r="G8425" s="5" t="str">
        <f>HYPERLINK("https://dpmzos25m8ivg.cloudfront.net/Documentos/631/95179194768/6319517919476811092023180857.jpg","https://dpmzos25m8ivg.cloudfront.net/Documentos/631/95179194768/6319517919476811092023180857.jpg")</f>
        <v>https://dpmzos25m8ivg.cloudfront.net/Documentos/631/95179194768/6319517919476811092023180857.jpg</v>
      </c>
      <c r="H8425" s="5" t="s">
        <v>16989</v>
      </c>
    </row>
    <row r="8426" spans="1:8" x14ac:dyDescent="0.25">
      <c r="A8426" s="2" t="s">
        <v>8453</v>
      </c>
      <c r="B8426" s="3"/>
      <c r="C8426" s="3"/>
      <c r="D8426" s="3"/>
      <c r="E8426" s="5" t="str">
        <f>HYPERLINK("https://dpmzos25m8ivg.cloudfront.net/Documentos/631/95180893291/6319518089329105092023152233.jpg","https://dpmzos25m8ivg.cloudfront.net/Documentos/631/95180893291/6319518089329105092023152233.jpg")</f>
        <v>https://dpmzos25m8ivg.cloudfront.net/Documentos/631/95180893291/6319518089329105092023152233.jpg</v>
      </c>
      <c r="F8426" s="5" t="str">
        <f>HYPERLINK("https://dpmzos25m8ivg.cloudfront.net/Documentos/631/95180893291/6319518089329105092023152315.jpg","https://dpmzos25m8ivg.cloudfront.net/Documentos/631/95180893291/6319518089329105092023152315.jpg")</f>
        <v>https://dpmzos25m8ivg.cloudfront.net/Documentos/631/95180893291/6319518089329105092023152315.jpg</v>
      </c>
      <c r="G8426" s="5" t="str">
        <f>HYPERLINK("https://dpmzos25m8ivg.cloudfront.net/Documentos/631/95180893291/6319518089329105092023152333.jpg","https://dpmzos25m8ivg.cloudfront.net/Documentos/631/95180893291/6319518089329105092023152333.jpg")</f>
        <v>https://dpmzos25m8ivg.cloudfront.net/Documentos/631/95180893291/6319518089329105092023152333.jpg</v>
      </c>
      <c r="H8426" s="5" t="s">
        <v>16990</v>
      </c>
    </row>
    <row r="8427" spans="1:8" x14ac:dyDescent="0.25">
      <c r="A8427" s="2" t="s">
        <v>8454</v>
      </c>
      <c r="B8427" s="3"/>
      <c r="C8427" s="3"/>
      <c r="D8427" s="3"/>
      <c r="E8427" s="5" t="str">
        <f>HYPERLINK("https://dpmzos25m8ivg.cloudfront.net/Documentos/631/95193790100/6319519379010011092023162944.pdf","https://dpmzos25m8ivg.cloudfront.net/Documentos/631/95193790100/6319519379010011092023162944.pdf")</f>
        <v>https://dpmzos25m8ivg.cloudfront.net/Documentos/631/95193790100/6319519379010011092023162944.pdf</v>
      </c>
      <c r="F8427" s="5" t="str">
        <f>HYPERLINK("https://dpmzos25m8ivg.cloudfront.net/Documentos/631/95193790100/6319519379010011092023163009.pdf","https://dpmzos25m8ivg.cloudfront.net/Documentos/631/95193790100/6319519379010011092023163009.pdf")</f>
        <v>https://dpmzos25m8ivg.cloudfront.net/Documentos/631/95193790100/6319519379010011092023163009.pdf</v>
      </c>
      <c r="G8427" s="5" t="str">
        <f>HYPERLINK("https://dpmzos25m8ivg.cloudfront.net/Documentos/631/95193790100/6319519379010011092023163030.pdf","https://dpmzos25m8ivg.cloudfront.net/Documentos/631/95193790100/6319519379010011092023163030.pdf")</f>
        <v>https://dpmzos25m8ivg.cloudfront.net/Documentos/631/95193790100/6319519379010011092023163030.pdf</v>
      </c>
      <c r="H8427" s="5" t="s">
        <v>16991</v>
      </c>
    </row>
    <row r="8428" spans="1:8" x14ac:dyDescent="0.25">
      <c r="A8428" s="2" t="s">
        <v>8455</v>
      </c>
      <c r="B8428" s="3"/>
      <c r="C8428" s="3"/>
      <c r="D8428" s="3"/>
      <c r="E8428" s="5" t="str">
        <f>HYPERLINK("https://dpmzos25m8ivg.cloudfront.net/Documentos/631/95195602204/6319519560220407092023201720.jpg","https://dpmzos25m8ivg.cloudfront.net/Documentos/631/95195602204/6319519560220407092023201720.jpg")</f>
        <v>https://dpmzos25m8ivg.cloudfront.net/Documentos/631/95195602204/6319519560220407092023201720.jpg</v>
      </c>
      <c r="F8428" s="5" t="str">
        <f>HYPERLINK("https://dpmzos25m8ivg.cloudfront.net/Documentos/631/95195602204/6319519560220407092023201748.jpg","https://dpmzos25m8ivg.cloudfront.net/Documentos/631/95195602204/6319519560220407092023201748.jpg")</f>
        <v>https://dpmzos25m8ivg.cloudfront.net/Documentos/631/95195602204/6319519560220407092023201748.jpg</v>
      </c>
      <c r="G8428" s="5" t="str">
        <f>HYPERLINK("https://dpmzos25m8ivg.cloudfront.net/Documentos/631/95195602204/6319519560220407092023201811.jpg","https://dpmzos25m8ivg.cloudfront.net/Documentos/631/95195602204/6319519560220407092023201811.jpg")</f>
        <v>https://dpmzos25m8ivg.cloudfront.net/Documentos/631/95195602204/6319519560220407092023201811.jpg</v>
      </c>
      <c r="H8428" s="5" t="s">
        <v>16992</v>
      </c>
    </row>
    <row r="8429" spans="1:8" x14ac:dyDescent="0.25">
      <c r="A8429" s="2" t="s">
        <v>8456</v>
      </c>
      <c r="B8429" s="3"/>
      <c r="C8429" s="3"/>
      <c r="D8429" s="3"/>
      <c r="E8429" s="5" t="str">
        <f>HYPERLINK("https://dpmzos25m8ivg.cloudfront.net/Documentos/631/95266399287/6319526639928712092023221905.pdf","https://dpmzos25m8ivg.cloudfront.net/Documentos/631/95266399287/6319526639928712092023221905.pdf")</f>
        <v>https://dpmzos25m8ivg.cloudfront.net/Documentos/631/95266399287/6319526639928712092023221905.pdf</v>
      </c>
      <c r="F8429" s="5" t="str">
        <f>HYPERLINK("https://dpmzos25m8ivg.cloudfront.net/Documentos/631/95266399287/6319526639928712092023221919.pdf","https://dpmzos25m8ivg.cloudfront.net/Documentos/631/95266399287/6319526639928712092023221919.pdf")</f>
        <v>https://dpmzos25m8ivg.cloudfront.net/Documentos/631/95266399287/6319526639928712092023221919.pdf</v>
      </c>
      <c r="G8429" s="5" t="str">
        <f>HYPERLINK("https://dpmzos25m8ivg.cloudfront.net/Documentos/631/95266399287/6319526639928712092023221940.pdf","https://dpmzos25m8ivg.cloudfront.net/Documentos/631/95266399287/6319526639928712092023221940.pdf")</f>
        <v>https://dpmzos25m8ivg.cloudfront.net/Documentos/631/95266399287/6319526639928712092023221940.pdf</v>
      </c>
      <c r="H8429" s="5" t="s">
        <v>16993</v>
      </c>
    </row>
    <row r="8430" spans="1:8" x14ac:dyDescent="0.25">
      <c r="A8430" s="2" t="s">
        <v>8457</v>
      </c>
      <c r="B8430" s="3"/>
      <c r="C8430" s="3"/>
      <c r="D8430" s="3"/>
      <c r="E8430" s="5" t="str">
        <f>HYPERLINK("https://dpmzos25m8ivg.cloudfront.net/Documentos/631/95272585372/6319527258537211092023132258.jpg","https://dpmzos25m8ivg.cloudfront.net/Documentos/631/95272585372/6319527258537211092023132258.jpg")</f>
        <v>https://dpmzos25m8ivg.cloudfront.net/Documentos/631/95272585372/6319527258537211092023132258.jpg</v>
      </c>
      <c r="F8430" s="5" t="str">
        <f>HYPERLINK("https://dpmzos25m8ivg.cloudfront.net/Documentos/631/95272585372/6319527258537211092023132313.jpg","https://dpmzos25m8ivg.cloudfront.net/Documentos/631/95272585372/6319527258537211092023132313.jpg")</f>
        <v>https://dpmzos25m8ivg.cloudfront.net/Documentos/631/95272585372/6319527258537211092023132313.jpg</v>
      </c>
      <c r="G8430" s="5" t="str">
        <f>HYPERLINK("https://dpmzos25m8ivg.cloudfront.net/Documentos/631/95272585372/6319527258537211092023132326.jpg","https://dpmzos25m8ivg.cloudfront.net/Documentos/631/95272585372/6319527258537211092023132326.jpg")</f>
        <v>https://dpmzos25m8ivg.cloudfront.net/Documentos/631/95272585372/6319527258537211092023132326.jpg</v>
      </c>
      <c r="H8430" s="5" t="s">
        <v>16994</v>
      </c>
    </row>
    <row r="8431" spans="1:8" x14ac:dyDescent="0.25">
      <c r="A8431" s="2" t="s">
        <v>8458</v>
      </c>
      <c r="B8431" s="3"/>
      <c r="C8431" s="3"/>
      <c r="D8431" s="3"/>
      <c r="E8431" s="5" t="str">
        <f>HYPERLINK("https://dpmzos25m8ivg.cloudfront.net/Documentos/631/95284761553/6319528476155306092023202657.pdf","https://dpmzos25m8ivg.cloudfront.net/Documentos/631/95284761553/6319528476155306092023202657.pdf")</f>
        <v>https://dpmzos25m8ivg.cloudfront.net/Documentos/631/95284761553/6319528476155306092023202657.pdf</v>
      </c>
      <c r="F8431" s="5" t="str">
        <f>HYPERLINK("https://dpmzos25m8ivg.cloudfront.net/Documentos/631/95284761553/6319528476155306092023202729.pdf","https://dpmzos25m8ivg.cloudfront.net/Documentos/631/95284761553/6319528476155306092023202729.pdf")</f>
        <v>https://dpmzos25m8ivg.cloudfront.net/Documentos/631/95284761553/6319528476155306092023202729.pdf</v>
      </c>
      <c r="G8431" s="5" t="str">
        <f>HYPERLINK("https://dpmzos25m8ivg.cloudfront.net/Documentos/631/95284761553/6319528476155306092023202743.pdf","https://dpmzos25m8ivg.cloudfront.net/Documentos/631/95284761553/6319528476155306092023202743.pdf")</f>
        <v>https://dpmzos25m8ivg.cloudfront.net/Documentos/631/95284761553/6319528476155306092023202743.pdf</v>
      </c>
      <c r="H8431" s="5" t="s">
        <v>16995</v>
      </c>
    </row>
    <row r="8432" spans="1:8" x14ac:dyDescent="0.25">
      <c r="A8432" s="2" t="s">
        <v>8459</v>
      </c>
      <c r="B8432" s="3"/>
      <c r="C8432" s="3"/>
      <c r="D8432" s="3"/>
      <c r="E8432" s="5" t="str">
        <f>HYPERLINK("https://dpmzos25m8ivg.cloudfront.net/Documentos/631/95318038204/6319531803820405092023155957.pdf","https://dpmzos25m8ivg.cloudfront.net/Documentos/631/95318038204/6319531803820405092023155957.pdf")</f>
        <v>https://dpmzos25m8ivg.cloudfront.net/Documentos/631/95318038204/6319531803820405092023155957.pdf</v>
      </c>
      <c r="F8432" s="5" t="str">
        <f>HYPERLINK("https://dpmzos25m8ivg.cloudfront.net/Documentos/631/95318038204/6319531803820405092023160016.pdf","https://dpmzos25m8ivg.cloudfront.net/Documentos/631/95318038204/6319531803820405092023160016.pdf")</f>
        <v>https://dpmzos25m8ivg.cloudfront.net/Documentos/631/95318038204/6319531803820405092023160016.pdf</v>
      </c>
      <c r="G8432" s="5" t="str">
        <f>HYPERLINK("https://dpmzos25m8ivg.cloudfront.net/Documentos/631/95318038204/6319531803820405092023160029.pdf","https://dpmzos25m8ivg.cloudfront.net/Documentos/631/95318038204/6319531803820405092023160029.pdf")</f>
        <v>https://dpmzos25m8ivg.cloudfront.net/Documentos/631/95318038204/6319531803820405092023160029.pdf</v>
      </c>
      <c r="H8432" s="5" t="s">
        <v>16996</v>
      </c>
    </row>
    <row r="8433" spans="1:8" x14ac:dyDescent="0.25">
      <c r="A8433" s="2" t="s">
        <v>8460</v>
      </c>
      <c r="B8433" s="3"/>
      <c r="C8433" s="3"/>
      <c r="D8433" s="3"/>
      <c r="E8433" s="5" t="str">
        <f>HYPERLINK("https://dpmzos25m8ivg.cloudfront.net/Documentos/631/95345817200/6319534581720014092023102823.jpg","https://dpmzos25m8ivg.cloudfront.net/Documentos/631/95345817200/6319534581720014092023102823.jpg")</f>
        <v>https://dpmzos25m8ivg.cloudfront.net/Documentos/631/95345817200/6319534581720014092023102823.jpg</v>
      </c>
      <c r="F8433" s="5" t="str">
        <f>HYPERLINK("https://dpmzos25m8ivg.cloudfront.net/Documentos/631/95345817200/6319534581720014092023103040.jpg","https://dpmzos25m8ivg.cloudfront.net/Documentos/631/95345817200/6319534581720014092023103040.jpg")</f>
        <v>https://dpmzos25m8ivg.cloudfront.net/Documentos/631/95345817200/6319534581720014092023103040.jpg</v>
      </c>
      <c r="G8433" s="5" t="str">
        <f>HYPERLINK("https://dpmzos25m8ivg.cloudfront.net/Documentos/631/95345817200/6319534581720014092023103103.jpg","https://dpmzos25m8ivg.cloudfront.net/Documentos/631/95345817200/6319534581720014092023103103.jpg")</f>
        <v>https://dpmzos25m8ivg.cloudfront.net/Documentos/631/95345817200/6319534581720014092023103103.jpg</v>
      </c>
      <c r="H8433" s="5" t="s">
        <v>16997</v>
      </c>
    </row>
    <row r="8434" spans="1:8" x14ac:dyDescent="0.25">
      <c r="A8434" s="2" t="s">
        <v>8461</v>
      </c>
      <c r="B8434" s="3"/>
      <c r="C8434" s="3"/>
      <c r="D8434" s="3"/>
      <c r="E8434" s="5" t="str">
        <f>HYPERLINK("https://dpmzos25m8ivg.cloudfront.net/Documentos/631/95360654520/6319536065452006092023220614.jpg","https://dpmzos25m8ivg.cloudfront.net/Documentos/631/95360654520/6319536065452006092023220614.jpg")</f>
        <v>https://dpmzos25m8ivg.cloudfront.net/Documentos/631/95360654520/6319536065452006092023220614.jpg</v>
      </c>
      <c r="F8434" s="5" t="str">
        <f>HYPERLINK("https://dpmzos25m8ivg.cloudfront.net/Documentos/631/95360654520/6319536065452006092023220731.jpg","https://dpmzos25m8ivg.cloudfront.net/Documentos/631/95360654520/6319536065452006092023220731.jpg")</f>
        <v>https://dpmzos25m8ivg.cloudfront.net/Documentos/631/95360654520/6319536065452006092023220731.jpg</v>
      </c>
      <c r="G8434" s="5" t="str">
        <f>HYPERLINK("https://dpmzos25m8ivg.cloudfront.net/Documentos/631/95360654520/6319536065452006092023231155.jpg","https://dpmzos25m8ivg.cloudfront.net/Documentos/631/95360654520/6319536065452006092023231155.jpg")</f>
        <v>https://dpmzos25m8ivg.cloudfront.net/Documentos/631/95360654520/6319536065452006092023231155.jpg</v>
      </c>
      <c r="H8434" s="5" t="s">
        <v>16998</v>
      </c>
    </row>
    <row r="8435" spans="1:8" x14ac:dyDescent="0.25">
      <c r="A8435" s="2" t="s">
        <v>8462</v>
      </c>
      <c r="B8435" s="3"/>
      <c r="C8435" s="3"/>
      <c r="D8435" s="3"/>
      <c r="E8435" s="5" t="str">
        <f>HYPERLINK("https://dpmzos25m8ivg.cloudfront.net/Documentos/631/95365036620/6319536503662011092023160907.pdf","https://dpmzos25m8ivg.cloudfront.net/Documentos/631/95365036620/6319536503662011092023160907.pdf")</f>
        <v>https://dpmzos25m8ivg.cloudfront.net/Documentos/631/95365036620/6319536503662011092023160907.pdf</v>
      </c>
      <c r="F8435" s="5" t="str">
        <f>HYPERLINK("https://dpmzos25m8ivg.cloudfront.net/Documentos/631/95365036620/6319536503662011092023160915.pdf","https://dpmzos25m8ivg.cloudfront.net/Documentos/631/95365036620/6319536503662011092023160915.pdf")</f>
        <v>https://dpmzos25m8ivg.cloudfront.net/Documentos/631/95365036620/6319536503662011092023160915.pdf</v>
      </c>
      <c r="G8435" s="5" t="str">
        <f>HYPERLINK("https://dpmzos25m8ivg.cloudfront.net/Documentos/631/95365036620/6319536503662011092023160924.pdf","https://dpmzos25m8ivg.cloudfront.net/Documentos/631/95365036620/6319536503662011092023160924.pdf")</f>
        <v>https://dpmzos25m8ivg.cloudfront.net/Documentos/631/95365036620/6319536503662011092023160924.pdf</v>
      </c>
      <c r="H8435" s="5" t="s">
        <v>16999</v>
      </c>
    </row>
    <row r="8436" spans="1:8" x14ac:dyDescent="0.25">
      <c r="A8436" s="2" t="s">
        <v>8463</v>
      </c>
      <c r="B8436" s="3"/>
      <c r="C8436" s="3"/>
      <c r="D8436" s="3"/>
      <c r="E8436" s="5" t="str">
        <f>HYPERLINK("https://dpmzos25m8ivg.cloudfront.net/Documentos/631/95406441272/6319540644127208092023223104.pdf","https://dpmzos25m8ivg.cloudfront.net/Documentos/631/95406441272/6319540644127208092023223104.pdf")</f>
        <v>https://dpmzos25m8ivg.cloudfront.net/Documentos/631/95406441272/6319540644127208092023223104.pdf</v>
      </c>
      <c r="F8436" s="5" t="str">
        <f>HYPERLINK("https://dpmzos25m8ivg.cloudfront.net/Documentos/631/95406441272/6319540644127208092023223118.pdf","https://dpmzos25m8ivg.cloudfront.net/Documentos/631/95406441272/6319540644127208092023223118.pdf")</f>
        <v>https://dpmzos25m8ivg.cloudfront.net/Documentos/631/95406441272/6319540644127208092023223118.pdf</v>
      </c>
      <c r="G8436" s="5" t="str">
        <f>HYPERLINK("https://dpmzos25m8ivg.cloudfront.net/Documentos/631/95406441272/6319540644127208092023223128.pdf","https://dpmzos25m8ivg.cloudfront.net/Documentos/631/95406441272/6319540644127208092023223128.pdf")</f>
        <v>https://dpmzos25m8ivg.cloudfront.net/Documentos/631/95406441272/6319540644127208092023223128.pdf</v>
      </c>
      <c r="H8436" s="5" t="s">
        <v>17000</v>
      </c>
    </row>
    <row r="8437" spans="1:8" x14ac:dyDescent="0.25">
      <c r="A8437" s="2" t="s">
        <v>8464</v>
      </c>
      <c r="B8437" s="3" t="s">
        <v>23</v>
      </c>
      <c r="C8437" s="3"/>
      <c r="D8437" s="3"/>
      <c r="E8437" s="5" t="str">
        <f>HYPERLINK("https://dpmzos25m8ivg.cloudfront.net/Documentos/631/95431527568/6319543152756811092023113733.pdf","https://dpmzos25m8ivg.cloudfront.net/Documentos/631/95431527568/6319543152756811092023113733.pdf")</f>
        <v>https://dpmzos25m8ivg.cloudfront.net/Documentos/631/95431527568/6319543152756811092023113733.pdf</v>
      </c>
      <c r="F8437" s="5" t="str">
        <f>HYPERLINK("https://dpmzos25m8ivg.cloudfront.net/Documentos/631/95431527568/6319543152756811092023113749.pdf","https://dpmzos25m8ivg.cloudfront.net/Documentos/631/95431527568/6319543152756811092023113749.pdf")</f>
        <v>https://dpmzos25m8ivg.cloudfront.net/Documentos/631/95431527568/6319543152756811092023113749.pdf</v>
      </c>
      <c r="G8437" s="5" t="str">
        <f>HYPERLINK("https://dpmzos25m8ivg.cloudfront.net/Documentos/631/95431527568/6319543152756811092023113805.pdf","https://dpmzos25m8ivg.cloudfront.net/Documentos/631/95431527568/6319543152756811092023113805.pdf")</f>
        <v>https://dpmzos25m8ivg.cloudfront.net/Documentos/631/95431527568/6319543152756811092023113805.pdf</v>
      </c>
      <c r="H8437" s="5" t="s">
        <v>17001</v>
      </c>
    </row>
    <row r="8438" spans="1:8" x14ac:dyDescent="0.25">
      <c r="A8438" s="2" t="s">
        <v>8465</v>
      </c>
      <c r="B8438" s="3" t="s">
        <v>308</v>
      </c>
      <c r="C8438" s="3"/>
      <c r="D8438" s="3"/>
      <c r="E8438" s="5" t="str">
        <f>HYPERLINK("https://dpmzos25m8ivg.cloudfront.net/Documentos/631/95442596787/6319544259678711092023152134.jpg","https://dpmzos25m8ivg.cloudfront.net/Documentos/631/95442596787/6319544259678711092023152134.jpg")</f>
        <v>https://dpmzos25m8ivg.cloudfront.net/Documentos/631/95442596787/6319544259678711092023152134.jpg</v>
      </c>
      <c r="F8438" s="5" t="str">
        <f>HYPERLINK("https://dpmzos25m8ivg.cloudfront.net/Documentos/631/95442596787/6319544259678711092023152155.jpg","https://dpmzos25m8ivg.cloudfront.net/Documentos/631/95442596787/6319544259678711092023152155.jpg")</f>
        <v>https://dpmzos25m8ivg.cloudfront.net/Documentos/631/95442596787/6319544259678711092023152155.jpg</v>
      </c>
      <c r="G8438" s="5" t="str">
        <f>HYPERLINK("https://dpmzos25m8ivg.cloudfront.net/Documentos/631/95442596787/6319544259678711092023152214.jpg","https://dpmzos25m8ivg.cloudfront.net/Documentos/631/95442596787/6319544259678711092023152214.jpg")</f>
        <v>https://dpmzos25m8ivg.cloudfront.net/Documentos/631/95442596787/6319544259678711092023152214.jpg</v>
      </c>
      <c r="H8438" s="5" t="s">
        <v>17002</v>
      </c>
    </row>
    <row r="8439" spans="1:8" x14ac:dyDescent="0.25">
      <c r="A8439" s="2" t="s">
        <v>8466</v>
      </c>
      <c r="B8439" s="3" t="s">
        <v>312</v>
      </c>
      <c r="C8439" s="3"/>
      <c r="D8439" s="3"/>
      <c r="E8439" s="5" t="str">
        <f>HYPERLINK("https://dpmzos25m8ivg.cloudfront.net/Documentos/631/95451145091/6319545114509111092023111610.jpg","https://dpmzos25m8ivg.cloudfront.net/Documentos/631/95451145091/6319545114509111092023111610.jpg")</f>
        <v>https://dpmzos25m8ivg.cloudfront.net/Documentos/631/95451145091/6319545114509111092023111610.jpg</v>
      </c>
      <c r="F8439" s="5" t="str">
        <f>HYPERLINK("https://dpmzos25m8ivg.cloudfront.net/Documentos/631/95451145091/6319545114509111092023111856.jpg","https://dpmzos25m8ivg.cloudfront.net/Documentos/631/95451145091/6319545114509111092023111856.jpg")</f>
        <v>https://dpmzos25m8ivg.cloudfront.net/Documentos/631/95451145091/6319545114509111092023111856.jpg</v>
      </c>
      <c r="G8439" s="5" t="str">
        <f>HYPERLINK("https://dpmzos25m8ivg.cloudfront.net/Documentos/631/95451145091/6319545114509111092023111923.jpg","https://dpmzos25m8ivg.cloudfront.net/Documentos/631/95451145091/6319545114509111092023111923.jpg")</f>
        <v>https://dpmzos25m8ivg.cloudfront.net/Documentos/631/95451145091/6319545114509111092023111923.jpg</v>
      </c>
      <c r="H8439" s="5" t="s">
        <v>17003</v>
      </c>
    </row>
    <row r="8440" spans="1:8" x14ac:dyDescent="0.25">
      <c r="A8440" s="2" t="s">
        <v>8467</v>
      </c>
      <c r="B8440" s="3" t="s">
        <v>23</v>
      </c>
      <c r="C8440" s="3"/>
      <c r="D8440" s="3"/>
      <c r="E8440" s="5" t="str">
        <f>HYPERLINK("https://dpmzos25m8ivg.cloudfront.net/Documentos/631/95502211487/6319550221148708092023154450.pdf","https://dpmzos25m8ivg.cloudfront.net/Documentos/631/95502211487/6319550221148708092023154450.pdf")</f>
        <v>https://dpmzos25m8ivg.cloudfront.net/Documentos/631/95502211487/6319550221148708092023154450.pdf</v>
      </c>
      <c r="F8440" s="5" t="str">
        <f>HYPERLINK("https://dpmzos25m8ivg.cloudfront.net/Documentos/631/95502211487/6319550221148708092023154513.pdf","https://dpmzos25m8ivg.cloudfront.net/Documentos/631/95502211487/6319550221148708092023154513.pdf")</f>
        <v>https://dpmzos25m8ivg.cloudfront.net/Documentos/631/95502211487/6319550221148708092023154513.pdf</v>
      </c>
      <c r="G8440" s="5" t="str">
        <f>HYPERLINK("https://dpmzos25m8ivg.cloudfront.net/Documentos/631/95502211487/6319550221148708092023154535.pdf","https://dpmzos25m8ivg.cloudfront.net/Documentos/631/95502211487/6319550221148708092023154535.pdf")</f>
        <v>https://dpmzos25m8ivg.cloudfront.net/Documentos/631/95502211487/6319550221148708092023154535.pdf</v>
      </c>
      <c r="H8440" s="5" t="s">
        <v>17004</v>
      </c>
    </row>
    <row r="8441" spans="1:8" x14ac:dyDescent="0.25">
      <c r="A8441" s="2" t="s">
        <v>8468</v>
      </c>
      <c r="B8441" s="3"/>
      <c r="C8441" s="3"/>
      <c r="D8441" s="3"/>
      <c r="E8441" s="5" t="str">
        <f>HYPERLINK("https://dpmzos25m8ivg.cloudfront.net/Documentos/631/95520309191/6319552030919111092023145131.pdf","https://dpmzos25m8ivg.cloudfront.net/Documentos/631/95520309191/6319552030919111092023145131.pdf")</f>
        <v>https://dpmzos25m8ivg.cloudfront.net/Documentos/631/95520309191/6319552030919111092023145131.pdf</v>
      </c>
      <c r="F8441" s="5" t="str">
        <f>HYPERLINK("https://dpmzos25m8ivg.cloudfront.net/Documentos/631/95520309191/6319552030919111092023145359.pdf","https://dpmzos25m8ivg.cloudfront.net/Documentos/631/95520309191/6319552030919111092023145359.pdf")</f>
        <v>https://dpmzos25m8ivg.cloudfront.net/Documentos/631/95520309191/6319552030919111092023145359.pdf</v>
      </c>
      <c r="G8441" s="5" t="str">
        <f>HYPERLINK("https://dpmzos25m8ivg.cloudfront.net/Documentos/631/95520309191/6319552030919111092023145547.pdf","https://dpmzos25m8ivg.cloudfront.net/Documentos/631/95520309191/6319552030919111092023145547.pdf")</f>
        <v>https://dpmzos25m8ivg.cloudfront.net/Documentos/631/95520309191/6319552030919111092023145547.pdf</v>
      </c>
      <c r="H8441" s="5" t="s">
        <v>17005</v>
      </c>
    </row>
    <row r="8442" spans="1:8" x14ac:dyDescent="0.25">
      <c r="A8442" s="2" t="s">
        <v>8469</v>
      </c>
      <c r="B8442" s="3" t="s">
        <v>308</v>
      </c>
      <c r="C8442" s="3"/>
      <c r="D8442" s="3"/>
      <c r="E8442" s="5" t="str">
        <f>HYPERLINK("https://dpmzos25m8ivg.cloudfront.net/Documentos/631/95553002320/6319555300232011092023104115.pdf","https://dpmzos25m8ivg.cloudfront.net/Documentos/631/95553002320/6319555300232011092023104115.pdf")</f>
        <v>https://dpmzos25m8ivg.cloudfront.net/Documentos/631/95553002320/6319555300232011092023104115.pdf</v>
      </c>
      <c r="F8442" s="5" t="str">
        <f>HYPERLINK("https://dpmzos25m8ivg.cloudfront.net/Documentos/631/95553002320/6319555300232011092023104130.pdf","https://dpmzos25m8ivg.cloudfront.net/Documentos/631/95553002320/6319555300232011092023104130.pdf")</f>
        <v>https://dpmzos25m8ivg.cloudfront.net/Documentos/631/95553002320/6319555300232011092023104130.pdf</v>
      </c>
      <c r="G8442" s="5" t="str">
        <f>HYPERLINK("https://dpmzos25m8ivg.cloudfront.net/Documentos/631/95553002320/6319555300232011092023104151.pdf","https://dpmzos25m8ivg.cloudfront.net/Documentos/631/95553002320/6319555300232011092023104151.pdf")</f>
        <v>https://dpmzos25m8ivg.cloudfront.net/Documentos/631/95553002320/6319555300232011092023104151.pdf</v>
      </c>
      <c r="H8442" s="5" t="s">
        <v>17006</v>
      </c>
    </row>
    <row r="8443" spans="1:8" x14ac:dyDescent="0.25">
      <c r="A8443" s="2" t="s">
        <v>8470</v>
      </c>
      <c r="B8443" s="3"/>
      <c r="C8443" s="3"/>
      <c r="D8443" s="3"/>
      <c r="E8443" s="5" t="str">
        <f>HYPERLINK("https://dpmzos25m8ivg.cloudfront.net/Documentos/631/95586229153/6319558622915311092023135246.pdf","https://dpmzos25m8ivg.cloudfront.net/Documentos/631/95586229153/6319558622915311092023135246.pdf")</f>
        <v>https://dpmzos25m8ivg.cloudfront.net/Documentos/631/95586229153/6319558622915311092023135246.pdf</v>
      </c>
      <c r="F8443" s="5" t="str">
        <f>HYPERLINK("https://dpmzos25m8ivg.cloudfront.net/Documentos/631/95586229153/6319558622915311092023135254.pdf","https://dpmzos25m8ivg.cloudfront.net/Documentos/631/95586229153/6319558622915311092023135254.pdf")</f>
        <v>https://dpmzos25m8ivg.cloudfront.net/Documentos/631/95586229153/6319558622915311092023135254.pdf</v>
      </c>
      <c r="G8443" s="5" t="str">
        <f>HYPERLINK("https://dpmzos25m8ivg.cloudfront.net/Documentos/631/95586229153/6319558622915311092023135302.pdf","https://dpmzos25m8ivg.cloudfront.net/Documentos/631/95586229153/6319558622915311092023135302.pdf")</f>
        <v>https://dpmzos25m8ivg.cloudfront.net/Documentos/631/95586229153/6319558622915311092023135302.pdf</v>
      </c>
      <c r="H8443" s="5" t="s">
        <v>17007</v>
      </c>
    </row>
    <row r="8444" spans="1:8" x14ac:dyDescent="0.25">
      <c r="A8444" s="2" t="s">
        <v>8471</v>
      </c>
      <c r="B8444" s="3"/>
      <c r="C8444" s="3"/>
      <c r="D8444" s="3"/>
      <c r="E8444" s="5" t="str">
        <f>HYPERLINK("https://dpmzos25m8ivg.cloudfront.net/Documentos/631/95627294000/6319562729400010092023213201.pdf","https://dpmzos25m8ivg.cloudfront.net/Documentos/631/95627294000/6319562729400010092023213201.pdf")</f>
        <v>https://dpmzos25m8ivg.cloudfront.net/Documentos/631/95627294000/6319562729400010092023213201.pdf</v>
      </c>
      <c r="F8444" s="5" t="str">
        <f>HYPERLINK("https://dpmzos25m8ivg.cloudfront.net/Documentos/631/95627294000/6319562729400010092023213211.pdf","https://dpmzos25m8ivg.cloudfront.net/Documentos/631/95627294000/6319562729400010092023213211.pdf")</f>
        <v>https://dpmzos25m8ivg.cloudfront.net/Documentos/631/95627294000/6319562729400010092023213211.pdf</v>
      </c>
      <c r="G8444" s="5" t="str">
        <f>HYPERLINK("https://dpmzos25m8ivg.cloudfront.net/Documentos/631/95627294000/6319562729400010092023213225.pdf","https://dpmzos25m8ivg.cloudfront.net/Documentos/631/95627294000/6319562729400010092023213225.pdf")</f>
        <v>https://dpmzos25m8ivg.cloudfront.net/Documentos/631/95627294000/6319562729400010092023213225.pdf</v>
      </c>
      <c r="H8444" s="5" t="s">
        <v>17008</v>
      </c>
    </row>
    <row r="8445" spans="1:8" x14ac:dyDescent="0.25">
      <c r="A8445" s="2" t="s">
        <v>8472</v>
      </c>
      <c r="B8445" s="3" t="s">
        <v>90</v>
      </c>
      <c r="C8445" s="3"/>
      <c r="D8445" s="3"/>
      <c r="E8445" s="5" t="str">
        <f>HYPERLINK("https://dpmzos25m8ivg.cloudfront.net/Documentos/631/95655824000/6319565582400005092023201022.pdf","https://dpmzos25m8ivg.cloudfront.net/Documentos/631/95655824000/6319565582400005092023201022.pdf")</f>
        <v>https://dpmzos25m8ivg.cloudfront.net/Documentos/631/95655824000/6319565582400005092023201022.pdf</v>
      </c>
      <c r="F8445" s="5" t="str">
        <f>HYPERLINK("https://dpmzos25m8ivg.cloudfront.net/Documentos/631/95655824000/6319565582400005092023201048.pdf","https://dpmzos25m8ivg.cloudfront.net/Documentos/631/95655824000/6319565582400005092023201048.pdf")</f>
        <v>https://dpmzos25m8ivg.cloudfront.net/Documentos/631/95655824000/6319565582400005092023201048.pdf</v>
      </c>
      <c r="G8445" s="5" t="str">
        <f>HYPERLINK("https://dpmzos25m8ivg.cloudfront.net/Documentos/631/95655824000/6319565582400005092023201102.pdf","https://dpmzos25m8ivg.cloudfront.net/Documentos/631/95655824000/6319565582400005092023201102.pdf")</f>
        <v>https://dpmzos25m8ivg.cloudfront.net/Documentos/631/95655824000/6319565582400005092023201102.pdf</v>
      </c>
      <c r="H8445" s="5" t="s">
        <v>17009</v>
      </c>
    </row>
    <row r="8446" spans="1:8" x14ac:dyDescent="0.25">
      <c r="A8446" s="2" t="s">
        <v>8473</v>
      </c>
      <c r="B8446" s="3"/>
      <c r="C8446" s="3"/>
      <c r="D8446" s="3"/>
      <c r="E8446" s="5" t="str">
        <f>HYPERLINK("https://dpmzos25m8ivg.cloudfront.net/Documentos/631/95699392068/6319569939206811092023141741.jpeg","https://dpmzos25m8ivg.cloudfront.net/Documentos/631/95699392068/6319569939206811092023141741.jpeg")</f>
        <v>https://dpmzos25m8ivg.cloudfront.net/Documentos/631/95699392068/6319569939206811092023141741.jpeg</v>
      </c>
      <c r="F8446" s="5" t="str">
        <f>HYPERLINK("https://dpmzos25m8ivg.cloudfront.net/Documentos/631/95699392068/6319569939206811092023141749.jpeg","https://dpmzos25m8ivg.cloudfront.net/Documentos/631/95699392068/6319569939206811092023141749.jpeg")</f>
        <v>https://dpmzos25m8ivg.cloudfront.net/Documentos/631/95699392068/6319569939206811092023141749.jpeg</v>
      </c>
      <c r="G8446" s="5" t="str">
        <f>HYPERLINK("https://dpmzos25m8ivg.cloudfront.net/Documentos/631/95699392068/6319569939206811092023141757.jpeg","https://dpmzos25m8ivg.cloudfront.net/Documentos/631/95699392068/6319569939206811092023141757.jpeg")</f>
        <v>https://dpmzos25m8ivg.cloudfront.net/Documentos/631/95699392068/6319569939206811092023141757.jpeg</v>
      </c>
      <c r="H8446" s="5" t="s">
        <v>17010</v>
      </c>
    </row>
    <row r="8447" spans="1:8" x14ac:dyDescent="0.25">
      <c r="A8447" s="2" t="s">
        <v>8474</v>
      </c>
      <c r="B8447" s="3" t="s">
        <v>23</v>
      </c>
      <c r="C8447" s="3"/>
      <c r="D8447" s="3"/>
      <c r="E8447" s="5" t="str">
        <f>HYPERLINK("https://dpmzos25m8ivg.cloudfront.net/Documentos/631/95712100304/6319571210030411092023165557.pdf","https://dpmzos25m8ivg.cloudfront.net/Documentos/631/95712100304/6319571210030411092023165557.pdf")</f>
        <v>https://dpmzos25m8ivg.cloudfront.net/Documentos/631/95712100304/6319571210030411092023165557.pdf</v>
      </c>
      <c r="F8447" s="5" t="str">
        <f>HYPERLINK("https://dpmzos25m8ivg.cloudfront.net/Documentos/631/95712100304/6319571210030411092023165613.pdf","https://dpmzos25m8ivg.cloudfront.net/Documentos/631/95712100304/6319571210030411092023165613.pdf")</f>
        <v>https://dpmzos25m8ivg.cloudfront.net/Documentos/631/95712100304/6319571210030411092023165613.pdf</v>
      </c>
      <c r="G8447" s="5" t="str">
        <f>HYPERLINK("https://dpmzos25m8ivg.cloudfront.net/Documentos/631/95712100304/6319571210030411092023165630.pdf","https://dpmzos25m8ivg.cloudfront.net/Documentos/631/95712100304/6319571210030411092023165630.pdf")</f>
        <v>https://dpmzos25m8ivg.cloudfront.net/Documentos/631/95712100304/6319571210030411092023165630.pdf</v>
      </c>
      <c r="H8447" s="5" t="s">
        <v>17011</v>
      </c>
    </row>
    <row r="8448" spans="1:8" x14ac:dyDescent="0.25">
      <c r="A8448" s="2" t="s">
        <v>8475</v>
      </c>
      <c r="B8448" s="3"/>
      <c r="C8448" s="3"/>
      <c r="D8448" s="3"/>
      <c r="E8448" s="5" t="str">
        <f>HYPERLINK("https://dpmzos25m8ivg.cloudfront.net/Documentos/631/95724885204/6319572488520411092023153657.pdf","https://dpmzos25m8ivg.cloudfront.net/Documentos/631/95724885204/6319572488520411092023153657.pdf")</f>
        <v>https://dpmzos25m8ivg.cloudfront.net/Documentos/631/95724885204/6319572488520411092023153657.pdf</v>
      </c>
      <c r="F8448" s="5" t="str">
        <f>HYPERLINK("https://dpmzos25m8ivg.cloudfront.net/Documentos/631/95724885204/6319572488520411092023153715.pdf","https://dpmzos25m8ivg.cloudfront.net/Documentos/631/95724885204/6319572488520411092023153715.pdf")</f>
        <v>https://dpmzos25m8ivg.cloudfront.net/Documentos/631/95724885204/6319572488520411092023153715.pdf</v>
      </c>
      <c r="G8448" s="5" t="str">
        <f>HYPERLINK("https://dpmzos25m8ivg.cloudfront.net/Documentos/631/95724885204/6319572488520411092023153729.pdf","https://dpmzos25m8ivg.cloudfront.net/Documentos/631/95724885204/6319572488520411092023153729.pdf")</f>
        <v>https://dpmzos25m8ivg.cloudfront.net/Documentos/631/95724885204/6319572488520411092023153729.pdf</v>
      </c>
      <c r="H8448" s="5" t="s">
        <v>17012</v>
      </c>
    </row>
    <row r="8449" spans="1:8" x14ac:dyDescent="0.25">
      <c r="A8449" s="2" t="s">
        <v>8476</v>
      </c>
      <c r="B8449" s="3"/>
      <c r="C8449" s="3"/>
      <c r="D8449" s="3"/>
      <c r="E8449" s="5" t="str">
        <f>HYPERLINK("https://dpmzos25m8ivg.cloudfront.net/Documentos/631/95735682172/6319573568217207092023014550.pdf","https://dpmzos25m8ivg.cloudfront.net/Documentos/631/95735682172/6319573568217207092023014550.pdf")</f>
        <v>https://dpmzos25m8ivg.cloudfront.net/Documentos/631/95735682172/6319573568217207092023014550.pdf</v>
      </c>
      <c r="F8449" s="5" t="str">
        <f>HYPERLINK("https://dpmzos25m8ivg.cloudfront.net/Documentos/631/95735682172/6319573568217207092023014618.pdf","https://dpmzos25m8ivg.cloudfront.net/Documentos/631/95735682172/6319573568217207092023014618.pdf")</f>
        <v>https://dpmzos25m8ivg.cloudfront.net/Documentos/631/95735682172/6319573568217207092023014618.pdf</v>
      </c>
      <c r="G8449" s="5" t="str">
        <f>HYPERLINK("https://dpmzos25m8ivg.cloudfront.net/Documentos/631/95735682172/6319573568217207092023014640.pdf","https://dpmzos25m8ivg.cloudfront.net/Documentos/631/95735682172/6319573568217207092023014640.pdf")</f>
        <v>https://dpmzos25m8ivg.cloudfront.net/Documentos/631/95735682172/6319573568217207092023014640.pdf</v>
      </c>
      <c r="H8449" s="5" t="s">
        <v>17013</v>
      </c>
    </row>
    <row r="8450" spans="1:8" x14ac:dyDescent="0.25">
      <c r="A8450" s="2" t="s">
        <v>8477</v>
      </c>
      <c r="B8450" s="3"/>
      <c r="C8450" s="3"/>
      <c r="D8450" s="3"/>
      <c r="E8450" s="5" t="str">
        <f>HYPERLINK("https://dpmzos25m8ivg.cloudfront.net/Documentos/631/95740104068/6319574010406811092023112359.jpg","https://dpmzos25m8ivg.cloudfront.net/Documentos/631/95740104068/6319574010406811092023112359.jpg")</f>
        <v>https://dpmzos25m8ivg.cloudfront.net/Documentos/631/95740104068/6319574010406811092023112359.jpg</v>
      </c>
      <c r="F8450" s="5" t="str">
        <f>HYPERLINK("https://dpmzos25m8ivg.cloudfront.net/Documentos/631/95740104068/6319574010406811092023112531.jpg","https://dpmzos25m8ivg.cloudfront.net/Documentos/631/95740104068/6319574010406811092023112531.jpg")</f>
        <v>https://dpmzos25m8ivg.cloudfront.net/Documentos/631/95740104068/6319574010406811092023112531.jpg</v>
      </c>
      <c r="G8450" s="5" t="str">
        <f>HYPERLINK("https://dpmzos25m8ivg.cloudfront.net/Documentos/631/95740104068/6319574010406811092023112646.jpg","https://dpmzos25m8ivg.cloudfront.net/Documentos/631/95740104068/6319574010406811092023112646.jpg")</f>
        <v>https://dpmzos25m8ivg.cloudfront.net/Documentos/631/95740104068/6319574010406811092023112646.jpg</v>
      </c>
      <c r="H8450" s="5" t="s">
        <v>17014</v>
      </c>
    </row>
    <row r="8451" spans="1:8" x14ac:dyDescent="0.25">
      <c r="A8451" s="2" t="s">
        <v>8478</v>
      </c>
      <c r="B8451" s="3"/>
      <c r="C8451" s="3"/>
      <c r="D8451" s="3"/>
      <c r="E8451" s="5" t="str">
        <f>HYPERLINK("https://dpmzos25m8ivg.cloudfront.net/Documentos/631/95772863134/6319577286313405092023163959.jpg","https://dpmzos25m8ivg.cloudfront.net/Documentos/631/95772863134/6319577286313405092023163959.jpg")</f>
        <v>https://dpmzos25m8ivg.cloudfront.net/Documentos/631/95772863134/6319577286313405092023163959.jpg</v>
      </c>
      <c r="F8451" s="5" t="str">
        <f>HYPERLINK("https://dpmzos25m8ivg.cloudfront.net/Documentos/631/95772863134/6319577286313405092023164020.jpg","https://dpmzos25m8ivg.cloudfront.net/Documentos/631/95772863134/6319577286313405092023164020.jpg")</f>
        <v>https://dpmzos25m8ivg.cloudfront.net/Documentos/631/95772863134/6319577286313405092023164020.jpg</v>
      </c>
      <c r="G8451" s="5" t="str">
        <f>HYPERLINK("https://dpmzos25m8ivg.cloudfront.net/Documentos/631/95772863134/6319577286313405092023164042.jpg","https://dpmzos25m8ivg.cloudfront.net/Documentos/631/95772863134/6319577286313405092023164042.jpg")</f>
        <v>https://dpmzos25m8ivg.cloudfront.net/Documentos/631/95772863134/6319577286313405092023164042.jpg</v>
      </c>
      <c r="H8451" s="5" t="s">
        <v>17015</v>
      </c>
    </row>
    <row r="8452" spans="1:8" x14ac:dyDescent="0.25">
      <c r="A8452" s="2" t="s">
        <v>8479</v>
      </c>
      <c r="B8452" s="3"/>
      <c r="C8452" s="3"/>
      <c r="D8452" s="3"/>
      <c r="E8452" s="5" t="str">
        <f>HYPERLINK("https://dpmzos25m8ivg.cloudfront.net/Documentos/631/95791175434/6319579117543406092023093217.jpg","https://dpmzos25m8ivg.cloudfront.net/Documentos/631/95791175434/6319579117543406092023093217.jpg")</f>
        <v>https://dpmzos25m8ivg.cloudfront.net/Documentos/631/95791175434/6319579117543406092023093217.jpg</v>
      </c>
      <c r="F8452" s="5" t="str">
        <f>HYPERLINK("https://dpmzos25m8ivg.cloudfront.net/Documentos/631/95791175434/6319579117543406092023093320.jpg","https://dpmzos25m8ivg.cloudfront.net/Documentos/631/95791175434/6319579117543406092023093320.jpg")</f>
        <v>https://dpmzos25m8ivg.cloudfront.net/Documentos/631/95791175434/6319579117543406092023093320.jpg</v>
      </c>
      <c r="G8452" s="5" t="str">
        <f>HYPERLINK("https://dpmzos25m8ivg.cloudfront.net/Documentos/631/95791175434/6319579117543406092023093554.jpg","https://dpmzos25m8ivg.cloudfront.net/Documentos/631/95791175434/6319579117543406092023093554.jpg")</f>
        <v>https://dpmzos25m8ivg.cloudfront.net/Documentos/631/95791175434/6319579117543406092023093554.jpg</v>
      </c>
      <c r="H8452" s="5" t="s">
        <v>17016</v>
      </c>
    </row>
    <row r="8453" spans="1:8" x14ac:dyDescent="0.25">
      <c r="A8453" s="2" t="s">
        <v>8480</v>
      </c>
      <c r="B8453" s="3"/>
      <c r="C8453" s="3"/>
      <c r="D8453" s="3"/>
      <c r="E8453" s="5" t="str">
        <f>HYPERLINK("https://dpmzos25m8ivg.cloudfront.net/Documentos/631/95806466191/6319580646619111092023123440.pdf","https://dpmzos25m8ivg.cloudfront.net/Documentos/631/95806466191/6319580646619111092023123440.pdf")</f>
        <v>https://dpmzos25m8ivg.cloudfront.net/Documentos/631/95806466191/6319580646619111092023123440.pdf</v>
      </c>
      <c r="F8453" s="5" t="str">
        <f>HYPERLINK("https://dpmzos25m8ivg.cloudfront.net/Documentos/631/95806466191/6319580646619111092023123454.pdf","https://dpmzos25m8ivg.cloudfront.net/Documentos/631/95806466191/6319580646619111092023123454.pdf")</f>
        <v>https://dpmzos25m8ivg.cloudfront.net/Documentos/631/95806466191/6319580646619111092023123454.pdf</v>
      </c>
      <c r="G8453" s="5" t="str">
        <f>HYPERLINK("https://dpmzos25m8ivg.cloudfront.net/Documentos/631/95806466191/6319580646619111092023123508.pdf","https://dpmzos25m8ivg.cloudfront.net/Documentos/631/95806466191/6319580646619111092023123508.pdf")</f>
        <v>https://dpmzos25m8ivg.cloudfront.net/Documentos/631/95806466191/6319580646619111092023123508.pdf</v>
      </c>
      <c r="H8453" s="5" t="s">
        <v>17017</v>
      </c>
    </row>
    <row r="8454" spans="1:8" x14ac:dyDescent="0.25">
      <c r="A8454" s="2" t="s">
        <v>8481</v>
      </c>
      <c r="B8454" s="3"/>
      <c r="C8454" s="3"/>
      <c r="D8454" s="3"/>
      <c r="E8454" s="5" t="str">
        <f>HYPERLINK("https://dpmzos25m8ivg.cloudfront.net/Documentos/631/95874593268/6319587459326810092023001114.jpg","https://dpmzos25m8ivg.cloudfront.net/Documentos/631/95874593268/6319587459326810092023001114.jpg")</f>
        <v>https://dpmzos25m8ivg.cloudfront.net/Documentos/631/95874593268/6319587459326810092023001114.jpg</v>
      </c>
      <c r="F8454" s="5" t="str">
        <f>HYPERLINK("https://dpmzos25m8ivg.cloudfront.net/Documentos/631/95874593268/6319587459326810092023001150.jpg","https://dpmzos25m8ivg.cloudfront.net/Documentos/631/95874593268/6319587459326810092023001150.jpg")</f>
        <v>https://dpmzos25m8ivg.cloudfront.net/Documentos/631/95874593268/6319587459326810092023001150.jpg</v>
      </c>
      <c r="G8454" s="5" t="str">
        <f>HYPERLINK("https://dpmzos25m8ivg.cloudfront.net/Documentos/631/95874593268/6319587459326810092023001216.jpg","https://dpmzos25m8ivg.cloudfront.net/Documentos/631/95874593268/6319587459326810092023001216.jpg")</f>
        <v>https://dpmzos25m8ivg.cloudfront.net/Documentos/631/95874593268/6319587459326810092023001216.jpg</v>
      </c>
      <c r="H8454" s="5" t="s">
        <v>17018</v>
      </c>
    </row>
    <row r="8455" spans="1:8" x14ac:dyDescent="0.25">
      <c r="A8455" s="2" t="s">
        <v>8482</v>
      </c>
      <c r="B8455" s="3"/>
      <c r="C8455" s="3"/>
      <c r="D8455" s="3"/>
      <c r="E8455" s="5" t="str">
        <f>HYPERLINK("https://dpmzos25m8ivg.cloudfront.net/Documentos/631/95877258591/6319587725859107092023222316.pdf","https://dpmzos25m8ivg.cloudfront.net/Documentos/631/95877258591/6319587725859107092023222316.pdf")</f>
        <v>https://dpmzos25m8ivg.cloudfront.net/Documentos/631/95877258591/6319587725859107092023222316.pdf</v>
      </c>
      <c r="F8455" s="5" t="str">
        <f>HYPERLINK("https://dpmzos25m8ivg.cloudfront.net/Documentos/631/95877258591/6319587725859107092023222339.pdf","https://dpmzos25m8ivg.cloudfront.net/Documentos/631/95877258591/6319587725859107092023222339.pdf")</f>
        <v>https://dpmzos25m8ivg.cloudfront.net/Documentos/631/95877258591/6319587725859107092023222339.pdf</v>
      </c>
      <c r="G8455" s="5" t="str">
        <f>HYPERLINK("https://dpmzos25m8ivg.cloudfront.net/Documentos/631/95877258591/6319587725859107092023222359.pdf","https://dpmzos25m8ivg.cloudfront.net/Documentos/631/95877258591/6319587725859107092023222359.pdf")</f>
        <v>https://dpmzos25m8ivg.cloudfront.net/Documentos/631/95877258591/6319587725859107092023222359.pdf</v>
      </c>
      <c r="H8455" s="5" t="s">
        <v>17019</v>
      </c>
    </row>
    <row r="8456" spans="1:8" x14ac:dyDescent="0.25">
      <c r="A8456" s="2" t="s">
        <v>8483</v>
      </c>
      <c r="B8456" s="3"/>
      <c r="C8456" s="3"/>
      <c r="D8456" s="3"/>
      <c r="E8456" s="5" t="str">
        <f>HYPERLINK("https://dpmzos25m8ivg.cloudfront.net/Documentos/631/95922784587/6319592278458707092023214149.jpg","https://dpmzos25m8ivg.cloudfront.net/Documentos/631/95922784587/6319592278458707092023214149.jpg")</f>
        <v>https://dpmzos25m8ivg.cloudfront.net/Documentos/631/95922784587/6319592278458707092023214149.jpg</v>
      </c>
      <c r="F8456" s="5" t="str">
        <f>HYPERLINK("https://dpmzos25m8ivg.cloudfront.net/Documentos/631/95922784587/6319592278458707092023214400.jpg","https://dpmzos25m8ivg.cloudfront.net/Documentos/631/95922784587/6319592278458707092023214400.jpg")</f>
        <v>https://dpmzos25m8ivg.cloudfront.net/Documentos/631/95922784587/6319592278458707092023214400.jpg</v>
      </c>
      <c r="G8456" s="5" t="str">
        <f>HYPERLINK("https://dpmzos25m8ivg.cloudfront.net/Documentos/631/95922784587/6319592278458707092023222044.jpg","https://dpmzos25m8ivg.cloudfront.net/Documentos/631/95922784587/6319592278458707092023222044.jpg")</f>
        <v>https://dpmzos25m8ivg.cloudfront.net/Documentos/631/95922784587/6319592278458707092023222044.jpg</v>
      </c>
      <c r="H8456" s="5" t="s">
        <v>17020</v>
      </c>
    </row>
    <row r="8457" spans="1:8" x14ac:dyDescent="0.25">
      <c r="A8457" s="2" t="s">
        <v>8484</v>
      </c>
      <c r="B8457" s="3"/>
      <c r="C8457" s="3"/>
      <c r="D8457" s="3"/>
      <c r="E8457" s="5" t="str">
        <f>HYPERLINK("https://dpmzos25m8ivg.cloudfront.net/Documentos/631/95939776604/6319593977660414092023163648.pdf","https://dpmzos25m8ivg.cloudfront.net/Documentos/631/95939776604/6319593977660414092023163648.pdf")</f>
        <v>https://dpmzos25m8ivg.cloudfront.net/Documentos/631/95939776604/6319593977660414092023163648.pdf</v>
      </c>
      <c r="F8457" s="5" t="str">
        <f>HYPERLINK("https://dpmzos25m8ivg.cloudfront.net/Documentos/631/95939776604/6319593977660414092023163657.pdf","https://dpmzos25m8ivg.cloudfront.net/Documentos/631/95939776604/6319593977660414092023163657.pdf")</f>
        <v>https://dpmzos25m8ivg.cloudfront.net/Documentos/631/95939776604/6319593977660414092023163657.pdf</v>
      </c>
      <c r="G8457" s="5" t="str">
        <f>HYPERLINK("https://dpmzos25m8ivg.cloudfront.net/Documentos/631/95939776604/6319593977660414092023163707.pdf","https://dpmzos25m8ivg.cloudfront.net/Documentos/631/95939776604/6319593977660414092023163707.pdf")</f>
        <v>https://dpmzos25m8ivg.cloudfront.net/Documentos/631/95939776604/6319593977660414092023163707.pdf</v>
      </c>
      <c r="H8457" s="5" t="s">
        <v>17021</v>
      </c>
    </row>
    <row r="8458" spans="1:8" x14ac:dyDescent="0.25">
      <c r="A8458" s="2" t="s">
        <v>8485</v>
      </c>
      <c r="B8458" s="3"/>
      <c r="C8458" s="3"/>
      <c r="D8458" s="3"/>
      <c r="E8458" s="5" t="str">
        <f>HYPERLINK("https://dpmzos25m8ivg.cloudfront.net/Documentos/631/95950800125/6319595080012511092023095533.pdf","https://dpmzos25m8ivg.cloudfront.net/Documentos/631/95950800125/6319595080012511092023095533.pdf")</f>
        <v>https://dpmzos25m8ivg.cloudfront.net/Documentos/631/95950800125/6319595080012511092023095533.pdf</v>
      </c>
      <c r="F8458" s="5" t="str">
        <f>HYPERLINK("https://dpmzos25m8ivg.cloudfront.net/Documentos/631/95950800125/6319595080012511092023095613.pdf","https://dpmzos25m8ivg.cloudfront.net/Documentos/631/95950800125/6319595080012511092023095613.pdf")</f>
        <v>https://dpmzos25m8ivg.cloudfront.net/Documentos/631/95950800125/6319595080012511092023095613.pdf</v>
      </c>
      <c r="G8458" s="5" t="str">
        <f>HYPERLINK("https://dpmzos25m8ivg.cloudfront.net/Documentos/631/95950800125/6319595080012511092023095635.pdf","https://dpmzos25m8ivg.cloudfront.net/Documentos/631/95950800125/6319595080012511092023095635.pdf")</f>
        <v>https://dpmzos25m8ivg.cloudfront.net/Documentos/631/95950800125/6319595080012511092023095635.pdf</v>
      </c>
      <c r="H8458" s="5" t="s">
        <v>17022</v>
      </c>
    </row>
    <row r="8459" spans="1:8" x14ac:dyDescent="0.25">
      <c r="A8459" s="2" t="s">
        <v>8486</v>
      </c>
      <c r="B8459" s="3"/>
      <c r="C8459" s="3"/>
      <c r="D8459" s="3"/>
      <c r="E8459" s="5" t="str">
        <f>HYPERLINK("https://dpmzos25m8ivg.cloudfront.net/Documentos/631/95967672168/6319596767216805092023205241.pdf","https://dpmzos25m8ivg.cloudfront.net/Documentos/631/95967672168/6319596767216805092023205241.pdf")</f>
        <v>https://dpmzos25m8ivg.cloudfront.net/Documentos/631/95967672168/6319596767216805092023205241.pdf</v>
      </c>
      <c r="F8459" s="5" t="str">
        <f>HYPERLINK("https://dpmzos25m8ivg.cloudfront.net/Documentos/631/95967672168/6319596767216805092023205259.pdf","https://dpmzos25m8ivg.cloudfront.net/Documentos/631/95967672168/6319596767216805092023205259.pdf")</f>
        <v>https://dpmzos25m8ivg.cloudfront.net/Documentos/631/95967672168/6319596767216805092023205259.pdf</v>
      </c>
      <c r="G8459" s="5" t="str">
        <f>HYPERLINK("https://dpmzos25m8ivg.cloudfront.net/Documentos/631/95967672168/6319596767216805092023205315.pdf","https://dpmzos25m8ivg.cloudfront.net/Documentos/631/95967672168/6319596767216805092023205315.pdf")</f>
        <v>https://dpmzos25m8ivg.cloudfront.net/Documentos/631/95967672168/6319596767216805092023205315.pdf</v>
      </c>
      <c r="H8459" s="5" t="s">
        <v>17023</v>
      </c>
    </row>
    <row r="8460" spans="1:8" x14ac:dyDescent="0.25">
      <c r="A8460" s="2" t="s">
        <v>8487</v>
      </c>
      <c r="B8460" s="3"/>
      <c r="C8460" s="3"/>
      <c r="D8460" s="3"/>
      <c r="E8460" s="5" t="str">
        <f>HYPERLINK("https://dpmzos25m8ivg.cloudfront.net/Documentos/631/95984801515/6319598480151508092023120145.pdf","https://dpmzos25m8ivg.cloudfront.net/Documentos/631/95984801515/6319598480151508092023120145.pdf")</f>
        <v>https://dpmzos25m8ivg.cloudfront.net/Documentos/631/95984801515/6319598480151508092023120145.pdf</v>
      </c>
      <c r="F8460" s="5" t="str">
        <f>HYPERLINK("https://dpmzos25m8ivg.cloudfront.net/Documentos/631/95984801515/6319598480151508092023120158.pdf","https://dpmzos25m8ivg.cloudfront.net/Documentos/631/95984801515/6319598480151508092023120158.pdf")</f>
        <v>https://dpmzos25m8ivg.cloudfront.net/Documentos/631/95984801515/6319598480151508092023120158.pdf</v>
      </c>
      <c r="G8460" s="5" t="str">
        <f>HYPERLINK("https://dpmzos25m8ivg.cloudfront.net/Documentos/631/95984801515/6319598480151508092023120212.pdf","https://dpmzos25m8ivg.cloudfront.net/Documentos/631/95984801515/6319598480151508092023120212.pdf")</f>
        <v>https://dpmzos25m8ivg.cloudfront.net/Documentos/631/95984801515/6319598480151508092023120212.pdf</v>
      </c>
      <c r="H8460" s="5" t="s">
        <v>17024</v>
      </c>
    </row>
    <row r="8461" spans="1:8" x14ac:dyDescent="0.25">
      <c r="A8461" s="2" t="s">
        <v>8488</v>
      </c>
      <c r="B8461" s="3" t="s">
        <v>90</v>
      </c>
      <c r="C8461" s="3"/>
      <c r="D8461" s="3"/>
      <c r="E8461" s="5" t="str">
        <f>HYPERLINK("https://dpmzos25m8ivg.cloudfront.net/Documentos/631/96000309287/6319600030928706092023135610.jpeg","https://dpmzos25m8ivg.cloudfront.net/Documentos/631/96000309287/6319600030928706092023135610.jpeg")</f>
        <v>https://dpmzos25m8ivg.cloudfront.net/Documentos/631/96000309287/6319600030928706092023135610.jpeg</v>
      </c>
      <c r="F8461" s="5" t="str">
        <f>HYPERLINK("https://dpmzos25m8ivg.cloudfront.net/Documentos/631/96000309287/6319600030928706092023135624.jpeg","https://dpmzos25m8ivg.cloudfront.net/Documentos/631/96000309287/6319600030928706092023135624.jpeg")</f>
        <v>https://dpmzos25m8ivg.cloudfront.net/Documentos/631/96000309287/6319600030928706092023135624.jpeg</v>
      </c>
      <c r="G8461" s="5" t="str">
        <f>HYPERLINK("https://dpmzos25m8ivg.cloudfront.net/Documentos/631/96000309287/6319600030928706092023135636.jpeg","https://dpmzos25m8ivg.cloudfront.net/Documentos/631/96000309287/6319600030928706092023135636.jpeg")</f>
        <v>https://dpmzos25m8ivg.cloudfront.net/Documentos/631/96000309287/6319600030928706092023135636.jpeg</v>
      </c>
      <c r="H8461" s="5" t="s">
        <v>17025</v>
      </c>
    </row>
    <row r="8462" spans="1:8" x14ac:dyDescent="0.25">
      <c r="A8462" s="2" t="s">
        <v>8489</v>
      </c>
      <c r="B8462" s="3" t="s">
        <v>90</v>
      </c>
      <c r="C8462" s="3"/>
      <c r="D8462" s="3"/>
      <c r="E8462" s="5" t="str">
        <f>HYPERLINK("https://dpmzos25m8ivg.cloudfront.net/Documentos/631/96058030110/6319605803011014092023120241.jpeg","https://dpmzos25m8ivg.cloudfront.net/Documentos/631/96058030110/6319605803011014092023120241.jpeg")</f>
        <v>https://dpmzos25m8ivg.cloudfront.net/Documentos/631/96058030110/6319605803011014092023120241.jpeg</v>
      </c>
      <c r="F8462" s="5" t="str">
        <f>HYPERLINK("https://dpmzos25m8ivg.cloudfront.net/Documentos/631/96058030110/6319605803011014092023120306.jpeg","https://dpmzos25m8ivg.cloudfront.net/Documentos/631/96058030110/6319605803011014092023120306.jpeg")</f>
        <v>https://dpmzos25m8ivg.cloudfront.net/Documentos/631/96058030110/6319605803011014092023120306.jpeg</v>
      </c>
      <c r="G8462" s="5" t="str">
        <f>HYPERLINK("https://dpmzos25m8ivg.cloudfront.net/Documentos/631/96058030110/6319605803011014092023120322.jpeg","https://dpmzos25m8ivg.cloudfront.net/Documentos/631/96058030110/6319605803011014092023120322.jpeg")</f>
        <v>https://dpmzos25m8ivg.cloudfront.net/Documentos/631/96058030110/6319605803011014092023120322.jpeg</v>
      </c>
      <c r="H8462" s="5" t="s">
        <v>17026</v>
      </c>
    </row>
    <row r="8463" spans="1:8" x14ac:dyDescent="0.25">
      <c r="A8463" s="2" t="s">
        <v>8490</v>
      </c>
      <c r="B8463" s="3"/>
      <c r="C8463" s="3"/>
      <c r="D8463" s="3"/>
      <c r="E8463" s="5" t="str">
        <f>HYPERLINK("https://dpmzos25m8ivg.cloudfront.net/Documentos/631/96154500572/6319615450057208092023190638.jpeg","https://dpmzos25m8ivg.cloudfront.net/Documentos/631/96154500572/6319615450057208092023190638.jpeg")</f>
        <v>https://dpmzos25m8ivg.cloudfront.net/Documentos/631/96154500572/6319615450057208092023190638.jpeg</v>
      </c>
      <c r="F8463" s="5" t="str">
        <f>HYPERLINK("https://dpmzos25m8ivg.cloudfront.net/Documentos/631/96154500572/6319615450057208092023190656.jpeg","https://dpmzos25m8ivg.cloudfront.net/Documentos/631/96154500572/6319615450057208092023190656.jpeg")</f>
        <v>https://dpmzos25m8ivg.cloudfront.net/Documentos/631/96154500572/6319615450057208092023190656.jpeg</v>
      </c>
      <c r="G8463" s="5" t="str">
        <f>HYPERLINK("https://dpmzos25m8ivg.cloudfront.net/Documentos/631/96154500572/6319615450057208092023190712.jpeg","https://dpmzos25m8ivg.cloudfront.net/Documentos/631/96154500572/6319615450057208092023190712.jpeg")</f>
        <v>https://dpmzos25m8ivg.cloudfront.net/Documentos/631/96154500572/6319615450057208092023190712.jpeg</v>
      </c>
      <c r="H8463" s="5" t="s">
        <v>17027</v>
      </c>
    </row>
    <row r="8464" spans="1:8" x14ac:dyDescent="0.25">
      <c r="A8464" s="2" t="s">
        <v>8491</v>
      </c>
      <c r="B8464" s="3"/>
      <c r="C8464" s="3"/>
      <c r="D8464" s="3"/>
      <c r="E8464" s="5" t="str">
        <f>HYPERLINK("https://dpmzos25m8ivg.cloudfront.net/Documentos/631/96155493200/6319615549320011092023160303.pdf","https://dpmzos25m8ivg.cloudfront.net/Documentos/631/96155493200/6319615549320011092023160303.pdf")</f>
        <v>https://dpmzos25m8ivg.cloudfront.net/Documentos/631/96155493200/6319615549320011092023160303.pdf</v>
      </c>
      <c r="F8464" s="5" t="str">
        <f>HYPERLINK("https://dpmzos25m8ivg.cloudfront.net/Documentos/631/96155493200/6319615549320011092023160315.pdf","https://dpmzos25m8ivg.cloudfront.net/Documentos/631/96155493200/6319615549320011092023160315.pdf")</f>
        <v>https://dpmzos25m8ivg.cloudfront.net/Documentos/631/96155493200/6319615549320011092023160315.pdf</v>
      </c>
      <c r="G8464" s="5" t="str">
        <f>HYPERLINK("https://dpmzos25m8ivg.cloudfront.net/Documentos/631/96155493200/6319615549320011092023160329.pdf","https://dpmzos25m8ivg.cloudfront.net/Documentos/631/96155493200/6319615549320011092023160329.pdf")</f>
        <v>https://dpmzos25m8ivg.cloudfront.net/Documentos/631/96155493200/6319615549320011092023160329.pdf</v>
      </c>
      <c r="H8464" s="5" t="s">
        <v>17028</v>
      </c>
    </row>
    <row r="8465" spans="1:8" x14ac:dyDescent="0.25">
      <c r="A8465" s="2" t="s">
        <v>8492</v>
      </c>
      <c r="B8465" s="3"/>
      <c r="C8465" s="3"/>
      <c r="D8465" s="3"/>
      <c r="E8465" s="5" t="str">
        <f>HYPERLINK("https://dpmzos25m8ivg.cloudfront.net/Documentos/631/96230541300/6319623054130010092023201542.pdf","https://dpmzos25m8ivg.cloudfront.net/Documentos/631/96230541300/6319623054130010092023201542.pdf")</f>
        <v>https://dpmzos25m8ivg.cloudfront.net/Documentos/631/96230541300/6319623054130010092023201542.pdf</v>
      </c>
      <c r="F8465" s="5" t="str">
        <f>HYPERLINK("https://dpmzos25m8ivg.cloudfront.net/Documentos/631/96230541300/6319623054130010092023201556.pdf","https://dpmzos25m8ivg.cloudfront.net/Documentos/631/96230541300/6319623054130010092023201556.pdf")</f>
        <v>https://dpmzos25m8ivg.cloudfront.net/Documentos/631/96230541300/6319623054130010092023201556.pdf</v>
      </c>
      <c r="G8465" s="5" t="str">
        <f>HYPERLINK("https://dpmzos25m8ivg.cloudfront.net/Documentos/631/96230541300/6319623054130010092023201613.pdf","https://dpmzos25m8ivg.cloudfront.net/Documentos/631/96230541300/6319623054130010092023201613.pdf")</f>
        <v>https://dpmzos25m8ivg.cloudfront.net/Documentos/631/96230541300/6319623054130010092023201613.pdf</v>
      </c>
      <c r="H8465" s="5" t="s">
        <v>17029</v>
      </c>
    </row>
    <row r="8466" spans="1:8" x14ac:dyDescent="0.25">
      <c r="A8466" s="2" t="s">
        <v>8493</v>
      </c>
      <c r="B8466" s="3"/>
      <c r="C8466" s="3"/>
      <c r="D8466" s="3"/>
      <c r="E8466" s="5" t="str">
        <f>HYPERLINK("https://dpmzos25m8ivg.cloudfront.net/Documentos/631/96245018153/6319624501815311092023132315.pdf","https://dpmzos25m8ivg.cloudfront.net/Documentos/631/96245018153/6319624501815311092023132315.pdf")</f>
        <v>https://dpmzos25m8ivg.cloudfront.net/Documentos/631/96245018153/6319624501815311092023132315.pdf</v>
      </c>
      <c r="F8466" s="5" t="str">
        <f>HYPERLINK("https://dpmzos25m8ivg.cloudfront.net/Documentos/631/96245018153/6319624501815311092023132251.pdf","https://dpmzos25m8ivg.cloudfront.net/Documentos/631/96245018153/6319624501815311092023132251.pdf")</f>
        <v>https://dpmzos25m8ivg.cloudfront.net/Documentos/631/96245018153/6319624501815311092023132251.pdf</v>
      </c>
      <c r="G8466" s="5" t="str">
        <f>HYPERLINK("https://dpmzos25m8ivg.cloudfront.net/Documentos/631/96245018153/6319624501815311092023132211.pdf","https://dpmzos25m8ivg.cloudfront.net/Documentos/631/96245018153/6319624501815311092023132211.pdf")</f>
        <v>https://dpmzos25m8ivg.cloudfront.net/Documentos/631/96245018153/6319624501815311092023132211.pdf</v>
      </c>
      <c r="H8466" s="5" t="s">
        <v>17030</v>
      </c>
    </row>
    <row r="8467" spans="1:8" x14ac:dyDescent="0.25">
      <c r="A8467" s="2" t="s">
        <v>8494</v>
      </c>
      <c r="B8467" s="3"/>
      <c r="C8467" s="3"/>
      <c r="D8467" s="3"/>
      <c r="E8467" s="5" t="str">
        <f>HYPERLINK("https://dpmzos25m8ivg.cloudfront.net/Documentos/631/96259329504/6319625932950407092023153641.jpeg","https://dpmzos25m8ivg.cloudfront.net/Documentos/631/96259329504/6319625932950407092023153641.jpeg")</f>
        <v>https://dpmzos25m8ivg.cloudfront.net/Documentos/631/96259329504/6319625932950407092023153641.jpeg</v>
      </c>
      <c r="F8467" s="5" t="str">
        <f>HYPERLINK("https://dpmzos25m8ivg.cloudfront.net/Documentos/631/96259329504/6319625932950407092023154010.jpeg","https://dpmzos25m8ivg.cloudfront.net/Documentos/631/96259329504/6319625932950407092023154010.jpeg")</f>
        <v>https://dpmzos25m8ivg.cloudfront.net/Documentos/631/96259329504/6319625932950407092023154010.jpeg</v>
      </c>
      <c r="G8467" s="5" t="str">
        <f>HYPERLINK("https://dpmzos25m8ivg.cloudfront.net/Documentos/631/96259329504/6319625932950407092023154502.jpeg","https://dpmzos25m8ivg.cloudfront.net/Documentos/631/96259329504/6319625932950407092023154502.jpeg")</f>
        <v>https://dpmzos25m8ivg.cloudfront.net/Documentos/631/96259329504/6319625932950407092023154502.jpeg</v>
      </c>
      <c r="H8467" s="5" t="s">
        <v>17031</v>
      </c>
    </row>
    <row r="8468" spans="1:8" x14ac:dyDescent="0.25">
      <c r="A8468" s="2" t="s">
        <v>8495</v>
      </c>
      <c r="B8468" s="3"/>
      <c r="C8468" s="3"/>
      <c r="D8468" s="3"/>
      <c r="E8468" s="5" t="str">
        <f>HYPERLINK("https://dpmzos25m8ivg.cloudfront.net/Documentos/631/96266708353/6319626670835305092023103457.pdf","https://dpmzos25m8ivg.cloudfront.net/Documentos/631/96266708353/6319626670835305092023103457.pdf")</f>
        <v>https://dpmzos25m8ivg.cloudfront.net/Documentos/631/96266708353/6319626670835305092023103457.pdf</v>
      </c>
      <c r="F8468" s="5" t="str">
        <f>HYPERLINK("https://dpmzos25m8ivg.cloudfront.net/Documentos/631/96266708353/6319626670835305092023104431.pdf","https://dpmzos25m8ivg.cloudfront.net/Documentos/631/96266708353/6319626670835305092023104431.pdf")</f>
        <v>https://dpmzos25m8ivg.cloudfront.net/Documentos/631/96266708353/6319626670835305092023104431.pdf</v>
      </c>
      <c r="G8468" s="5" t="str">
        <f>HYPERLINK("https://dpmzos25m8ivg.cloudfront.net/Documentos/631/96266708353/6319626670835305092023104447.pdf","https://dpmzos25m8ivg.cloudfront.net/Documentos/631/96266708353/6319626670835305092023104447.pdf")</f>
        <v>https://dpmzos25m8ivg.cloudfront.net/Documentos/631/96266708353/6319626670835305092023104447.pdf</v>
      </c>
      <c r="H8468" s="5" t="s">
        <v>17032</v>
      </c>
    </row>
    <row r="8469" spans="1:8" x14ac:dyDescent="0.25">
      <c r="A8469" s="2" t="s">
        <v>8496</v>
      </c>
      <c r="B8469" s="3"/>
      <c r="C8469" s="3"/>
      <c r="D8469" s="3"/>
      <c r="E8469" s="5" t="str">
        <f>HYPERLINK("https://dpmzos25m8ivg.cloudfront.net/Documentos/631/96278935953/6319627893595306092023214011.pdf","https://dpmzos25m8ivg.cloudfront.net/Documentos/631/96278935953/6319627893595306092023214011.pdf")</f>
        <v>https://dpmzos25m8ivg.cloudfront.net/Documentos/631/96278935953/6319627893595306092023214011.pdf</v>
      </c>
      <c r="F8469" s="5" t="str">
        <f>HYPERLINK("https://dpmzos25m8ivg.cloudfront.net/Documentos/631/96278935953/6319627893595306092023214032.pdf","https://dpmzos25m8ivg.cloudfront.net/Documentos/631/96278935953/6319627893595306092023214032.pdf")</f>
        <v>https://dpmzos25m8ivg.cloudfront.net/Documentos/631/96278935953/6319627893595306092023214032.pdf</v>
      </c>
      <c r="G8469" s="5" t="str">
        <f>HYPERLINK("https://dpmzos25m8ivg.cloudfront.net/Documentos/631/96278935953/6319627893595306092023214056.pdf","https://dpmzos25m8ivg.cloudfront.net/Documentos/631/96278935953/6319627893595306092023214056.pdf")</f>
        <v>https://dpmzos25m8ivg.cloudfront.net/Documentos/631/96278935953/6319627893595306092023214056.pdf</v>
      </c>
      <c r="H8469" s="5" t="s">
        <v>17033</v>
      </c>
    </row>
    <row r="8470" spans="1:8" x14ac:dyDescent="0.25">
      <c r="A8470" s="2" t="s">
        <v>8497</v>
      </c>
      <c r="B8470" s="3" t="s">
        <v>90</v>
      </c>
      <c r="C8470" s="3"/>
      <c r="D8470" s="3"/>
      <c r="E8470" s="5" t="str">
        <f>HYPERLINK("https://dpmzos25m8ivg.cloudfront.net/Documentos/631/96525258120/6319652525812010092023211844.jpg","https://dpmzos25m8ivg.cloudfront.net/Documentos/631/96525258120/6319652525812010092023211844.jpg")</f>
        <v>https://dpmzos25m8ivg.cloudfront.net/Documentos/631/96525258120/6319652525812010092023211844.jpg</v>
      </c>
      <c r="F8470" s="5" t="str">
        <f>HYPERLINK("https://dpmzos25m8ivg.cloudfront.net/Documentos/631/96525258120/6319652525812010092023211858.jpg","https://dpmzos25m8ivg.cloudfront.net/Documentos/631/96525258120/6319652525812010092023211858.jpg")</f>
        <v>https://dpmzos25m8ivg.cloudfront.net/Documentos/631/96525258120/6319652525812010092023211858.jpg</v>
      </c>
      <c r="G8470" s="5" t="str">
        <f>HYPERLINK("https://dpmzos25m8ivg.cloudfront.net/Documentos/631/96525258120/6319652525812010092023211916.jpg","https://dpmzos25m8ivg.cloudfront.net/Documentos/631/96525258120/6319652525812010092023211916.jpg")</f>
        <v>https://dpmzos25m8ivg.cloudfront.net/Documentos/631/96525258120/6319652525812010092023211916.jpg</v>
      </c>
      <c r="H8470" s="5" t="s">
        <v>17034</v>
      </c>
    </row>
    <row r="8471" spans="1:8" x14ac:dyDescent="0.25">
      <c r="A8471" s="2" t="s">
        <v>8498</v>
      </c>
      <c r="B8471" s="3"/>
      <c r="C8471" s="3"/>
      <c r="D8471" s="3"/>
      <c r="E8471" s="5" t="str">
        <f>HYPERLINK("https://dpmzos25m8ivg.cloudfront.net/Documentos/631/96555246049/6319655524604911092023111518.pdf","https://dpmzos25m8ivg.cloudfront.net/Documentos/631/96555246049/6319655524604911092023111518.pdf")</f>
        <v>https://dpmzos25m8ivg.cloudfront.net/Documentos/631/96555246049/6319655524604911092023111518.pdf</v>
      </c>
      <c r="F8471" s="5" t="str">
        <f>HYPERLINK("https://dpmzos25m8ivg.cloudfront.net/Documentos/631/96555246049/6319655524604911092023111608.pdf","https://dpmzos25m8ivg.cloudfront.net/Documentos/631/96555246049/6319655524604911092023111608.pdf")</f>
        <v>https://dpmzos25m8ivg.cloudfront.net/Documentos/631/96555246049/6319655524604911092023111608.pdf</v>
      </c>
      <c r="G8471" s="5" t="str">
        <f>HYPERLINK("https://dpmzos25m8ivg.cloudfront.net/Documentos/631/96555246049/6319655524604911092023111646.pdf","https://dpmzos25m8ivg.cloudfront.net/Documentos/631/96555246049/6319655524604911092023111646.pdf")</f>
        <v>https://dpmzos25m8ivg.cloudfront.net/Documentos/631/96555246049/6319655524604911092023111646.pdf</v>
      </c>
      <c r="H8471" s="5" t="s">
        <v>17035</v>
      </c>
    </row>
    <row r="8472" spans="1:8" x14ac:dyDescent="0.25">
      <c r="A8472" s="2" t="s">
        <v>8499</v>
      </c>
      <c r="B8472" s="3"/>
      <c r="C8472" s="3"/>
      <c r="D8472" s="3"/>
      <c r="E8472" s="5" t="str">
        <f>HYPERLINK("https://dpmzos25m8ivg.cloudfront.net/Documentos/631/96568526134/6319656852613405092023164912.jpeg","https://dpmzos25m8ivg.cloudfront.net/Documentos/631/96568526134/6319656852613405092023164912.jpeg")</f>
        <v>https://dpmzos25m8ivg.cloudfront.net/Documentos/631/96568526134/6319656852613405092023164912.jpeg</v>
      </c>
      <c r="F8472" s="5" t="str">
        <f>HYPERLINK("https://dpmzos25m8ivg.cloudfront.net/Documentos/631/96568526134/6319656852613405092023164856.jpeg","https://dpmzos25m8ivg.cloudfront.net/Documentos/631/96568526134/6319656852613405092023164856.jpeg")</f>
        <v>https://dpmzos25m8ivg.cloudfront.net/Documentos/631/96568526134/6319656852613405092023164856.jpeg</v>
      </c>
      <c r="G8472" s="5" t="str">
        <f>HYPERLINK("https://dpmzos25m8ivg.cloudfront.net/Documentos/631/96568526134/6319656852613405092023164836.jpeg","https://dpmzos25m8ivg.cloudfront.net/Documentos/631/96568526134/6319656852613405092023164836.jpeg")</f>
        <v>https://dpmzos25m8ivg.cloudfront.net/Documentos/631/96568526134/6319656852613405092023164836.jpeg</v>
      </c>
      <c r="H8472" s="5" t="s">
        <v>17036</v>
      </c>
    </row>
    <row r="8473" spans="1:8" x14ac:dyDescent="0.25">
      <c r="A8473" s="2" t="s">
        <v>8500</v>
      </c>
      <c r="B8473" s="3" t="s">
        <v>23</v>
      </c>
      <c r="C8473" s="3"/>
      <c r="D8473" s="3"/>
      <c r="E8473" s="5" t="str">
        <f>HYPERLINK("https://dpmzos25m8ivg.cloudfront.net/Documentos/631/96644460178/6319664446017807092023202519.jpg","https://dpmzos25m8ivg.cloudfront.net/Documentos/631/96644460178/6319664446017807092023202519.jpg")</f>
        <v>https://dpmzos25m8ivg.cloudfront.net/Documentos/631/96644460178/6319664446017807092023202519.jpg</v>
      </c>
      <c r="F8473" s="5" t="str">
        <f>HYPERLINK("https://dpmzos25m8ivg.cloudfront.net/Documentos/631/96644460178/6319664446017807092023202535.jpg","https://dpmzos25m8ivg.cloudfront.net/Documentos/631/96644460178/6319664446017807092023202535.jpg")</f>
        <v>https://dpmzos25m8ivg.cloudfront.net/Documentos/631/96644460178/6319664446017807092023202535.jpg</v>
      </c>
      <c r="G8473" s="5" t="str">
        <f>HYPERLINK("https://dpmzos25m8ivg.cloudfront.net/Documentos/631/96644460178/6319664446017807092023202551.jpg","https://dpmzos25m8ivg.cloudfront.net/Documentos/631/96644460178/6319664446017807092023202551.jpg")</f>
        <v>https://dpmzos25m8ivg.cloudfront.net/Documentos/631/96644460178/6319664446017807092023202551.jpg</v>
      </c>
      <c r="H8473" s="5" t="s">
        <v>17037</v>
      </c>
    </row>
    <row r="8474" spans="1:8" x14ac:dyDescent="0.25">
      <c r="A8474" s="2" t="s">
        <v>8501</v>
      </c>
      <c r="B8474" s="3"/>
      <c r="C8474" s="3"/>
      <c r="D8474" s="3"/>
      <c r="E8474" s="5" t="str">
        <f>HYPERLINK("https://dpmzos25m8ivg.cloudfront.net/Documentos/631/96807865520/6319680786552005092023090909.jpg","https://dpmzos25m8ivg.cloudfront.net/Documentos/631/96807865520/6319680786552005092023090909.jpg")</f>
        <v>https://dpmzos25m8ivg.cloudfront.net/Documentos/631/96807865520/6319680786552005092023090909.jpg</v>
      </c>
      <c r="F8474" s="5" t="str">
        <f>HYPERLINK("https://dpmzos25m8ivg.cloudfront.net/Documentos/631/96807865520/6319680786552005092023090933.jpg","https://dpmzos25m8ivg.cloudfront.net/Documentos/631/96807865520/6319680786552005092023090933.jpg")</f>
        <v>https://dpmzos25m8ivg.cloudfront.net/Documentos/631/96807865520/6319680786552005092023090933.jpg</v>
      </c>
      <c r="G8474" s="5" t="str">
        <f>HYPERLINK("https://dpmzos25m8ivg.cloudfront.net/Documentos/631/96807865520/6319680786552005092023091008.jpg","https://dpmzos25m8ivg.cloudfront.net/Documentos/631/96807865520/6319680786552005092023091008.jpg")</f>
        <v>https://dpmzos25m8ivg.cloudfront.net/Documentos/631/96807865520/6319680786552005092023091008.jpg</v>
      </c>
      <c r="H8474" s="5" t="s">
        <v>17038</v>
      </c>
    </row>
    <row r="8475" spans="1:8" x14ac:dyDescent="0.25">
      <c r="A8475" s="2" t="s">
        <v>8502</v>
      </c>
      <c r="B8475" s="3" t="s">
        <v>23</v>
      </c>
      <c r="C8475" s="3"/>
      <c r="D8475" s="3"/>
      <c r="E8475" s="5" t="str">
        <f>HYPERLINK("https://dpmzos25m8ivg.cloudfront.net/Documentos/631/96890142268/6319689014226808092023230119.pdf","https://dpmzos25m8ivg.cloudfront.net/Documentos/631/96890142268/6319689014226808092023230119.pdf")</f>
        <v>https://dpmzos25m8ivg.cloudfront.net/Documentos/631/96890142268/6319689014226808092023230119.pdf</v>
      </c>
      <c r="F8475" s="5" t="str">
        <f>HYPERLINK("https://dpmzos25m8ivg.cloudfront.net/Documentos/631/96890142268/6319689014226808092023230138.pdf","https://dpmzos25m8ivg.cloudfront.net/Documentos/631/96890142268/6319689014226808092023230138.pdf")</f>
        <v>https://dpmzos25m8ivg.cloudfront.net/Documentos/631/96890142268/6319689014226808092023230138.pdf</v>
      </c>
      <c r="G8475" s="5" t="str">
        <f>HYPERLINK("https://dpmzos25m8ivg.cloudfront.net/Documentos/631/96890142268/6319689014226808092023230236.pdf","https://dpmzos25m8ivg.cloudfront.net/Documentos/631/96890142268/6319689014226808092023230236.pdf")</f>
        <v>https://dpmzos25m8ivg.cloudfront.net/Documentos/631/96890142268/6319689014226808092023230236.pdf</v>
      </c>
      <c r="H8475" s="5" t="s">
        <v>17039</v>
      </c>
    </row>
    <row r="8476" spans="1:8" x14ac:dyDescent="0.25">
      <c r="A8476" s="2" t="s">
        <v>8503</v>
      </c>
      <c r="B8476" s="3"/>
      <c r="C8476" s="3"/>
      <c r="D8476" s="3"/>
      <c r="E8476" s="5" t="str">
        <f>HYPERLINK("https://dpmzos25m8ivg.cloudfront.net/Documentos/631/96898739115/6319689873911511092023131923.pdf","https://dpmzos25m8ivg.cloudfront.net/Documentos/631/96898739115/6319689873911511092023131923.pdf")</f>
        <v>https://dpmzos25m8ivg.cloudfront.net/Documentos/631/96898739115/6319689873911511092023131923.pdf</v>
      </c>
      <c r="F8476" s="5" t="str">
        <f>HYPERLINK("https://dpmzos25m8ivg.cloudfront.net/Documentos/631/96898739115/6319689873911511092023131933.pdf","https://dpmzos25m8ivg.cloudfront.net/Documentos/631/96898739115/6319689873911511092023131933.pdf")</f>
        <v>https://dpmzos25m8ivg.cloudfront.net/Documentos/631/96898739115/6319689873911511092023131933.pdf</v>
      </c>
      <c r="G8476" s="5" t="str">
        <f>HYPERLINK("https://dpmzos25m8ivg.cloudfront.net/Documentos/631/96898739115/6319689873911511092023131947.pdf","https://dpmzos25m8ivg.cloudfront.net/Documentos/631/96898739115/6319689873911511092023131947.pdf")</f>
        <v>https://dpmzos25m8ivg.cloudfront.net/Documentos/631/96898739115/6319689873911511092023131947.pdf</v>
      </c>
      <c r="H8476" s="5" t="s">
        <v>17040</v>
      </c>
    </row>
    <row r="8477" spans="1:8" x14ac:dyDescent="0.25">
      <c r="A8477" s="2" t="s">
        <v>8504</v>
      </c>
      <c r="B8477" s="3"/>
      <c r="C8477" s="3"/>
      <c r="D8477" s="3"/>
      <c r="E8477" s="5" t="str">
        <f>HYPERLINK("https://dpmzos25m8ivg.cloudfront.net/Documentos/631/96929545287/6319692954528711092023165147.pdf","https://dpmzos25m8ivg.cloudfront.net/Documentos/631/96929545287/6319692954528711092023165147.pdf")</f>
        <v>https://dpmzos25m8ivg.cloudfront.net/Documentos/631/96929545287/6319692954528711092023165147.pdf</v>
      </c>
      <c r="F8477" s="5" t="str">
        <f>HYPERLINK("https://dpmzos25m8ivg.cloudfront.net/Documentos/631/96929545287/6319692954528711092023165200.pdf","https://dpmzos25m8ivg.cloudfront.net/Documentos/631/96929545287/6319692954528711092023165200.pdf")</f>
        <v>https://dpmzos25m8ivg.cloudfront.net/Documentos/631/96929545287/6319692954528711092023165200.pdf</v>
      </c>
      <c r="G8477" s="5" t="str">
        <f>HYPERLINK("https://dpmzos25m8ivg.cloudfront.net/Documentos/631/96929545287/6319692954528711092023165214.pdf","https://dpmzos25m8ivg.cloudfront.net/Documentos/631/96929545287/6319692954528711092023165214.pdf")</f>
        <v>https://dpmzos25m8ivg.cloudfront.net/Documentos/631/96929545287/6319692954528711092023165214.pdf</v>
      </c>
      <c r="H8477" s="5" t="s">
        <v>17041</v>
      </c>
    </row>
    <row r="8478" spans="1:8" x14ac:dyDescent="0.25">
      <c r="A8478" s="2" t="s">
        <v>8505</v>
      </c>
      <c r="B8478" s="3"/>
      <c r="C8478" s="3"/>
      <c r="D8478" s="3"/>
      <c r="E8478" s="5" t="str">
        <f>HYPERLINK("https://dpmzos25m8ivg.cloudfront.net/Documentos/631/96937920253/6319693792025312092023173522.jpg","https://dpmzos25m8ivg.cloudfront.net/Documentos/631/96937920253/6319693792025312092023173522.jpg")</f>
        <v>https://dpmzos25m8ivg.cloudfront.net/Documentos/631/96937920253/6319693792025312092023173522.jpg</v>
      </c>
      <c r="F8478" s="5" t="str">
        <f>HYPERLINK("https://dpmzos25m8ivg.cloudfront.net/Documentos/631/96937920253/6319693792025312092023173544.jpg","https://dpmzos25m8ivg.cloudfront.net/Documentos/631/96937920253/6319693792025312092023173544.jpg")</f>
        <v>https://dpmzos25m8ivg.cloudfront.net/Documentos/631/96937920253/6319693792025312092023173544.jpg</v>
      </c>
      <c r="G8478" s="5" t="str">
        <f>HYPERLINK("https://dpmzos25m8ivg.cloudfront.net/Documentos/631/96937920253/6319693792025312092023174658.jpg","https://dpmzos25m8ivg.cloudfront.net/Documentos/631/96937920253/6319693792025312092023174658.jpg")</f>
        <v>https://dpmzos25m8ivg.cloudfront.net/Documentos/631/96937920253/6319693792025312092023174658.jpg</v>
      </c>
      <c r="H8478" s="5" t="s">
        <v>17042</v>
      </c>
    </row>
    <row r="8479" spans="1:8" x14ac:dyDescent="0.25">
      <c r="A8479" s="2" t="s">
        <v>8506</v>
      </c>
      <c r="B8479" s="3"/>
      <c r="C8479" s="3"/>
      <c r="D8479" s="3"/>
      <c r="E8479" s="5" t="str">
        <f>HYPERLINK("https://dpmzos25m8ivg.cloudfront.net/Documentos/631/97020672353/6319702067235312092023190440.pdf","https://dpmzos25m8ivg.cloudfront.net/Documentos/631/97020672353/6319702067235312092023190440.pdf")</f>
        <v>https://dpmzos25m8ivg.cloudfront.net/Documentos/631/97020672353/6319702067235312092023190440.pdf</v>
      </c>
      <c r="F8479" s="5" t="str">
        <f>HYPERLINK("https://dpmzos25m8ivg.cloudfront.net/Documentos/631/97020672353/6319702067235312092023190448.pdf","https://dpmzos25m8ivg.cloudfront.net/Documentos/631/97020672353/6319702067235312092023190448.pdf")</f>
        <v>https://dpmzos25m8ivg.cloudfront.net/Documentos/631/97020672353/6319702067235312092023190448.pdf</v>
      </c>
      <c r="G8479" s="5" t="str">
        <f>HYPERLINK("https://dpmzos25m8ivg.cloudfront.net/Documentos/631/97020672353/6319702067235312092023190455.pdf","https://dpmzos25m8ivg.cloudfront.net/Documentos/631/97020672353/6319702067235312092023190455.pdf")</f>
        <v>https://dpmzos25m8ivg.cloudfront.net/Documentos/631/97020672353/6319702067235312092023190455.pdf</v>
      </c>
      <c r="H8479" s="5" t="s">
        <v>17043</v>
      </c>
    </row>
    <row r="8480" spans="1:8" x14ac:dyDescent="0.25">
      <c r="A8480" s="2" t="s">
        <v>8507</v>
      </c>
      <c r="B8480" s="3"/>
      <c r="C8480" s="3"/>
      <c r="D8480" s="3"/>
      <c r="E8480" s="5" t="str">
        <f>HYPERLINK("https://dpmzos25m8ivg.cloudfront.net/Documentos/631/97024198249/6319702419824910092023191624.pdf","https://dpmzos25m8ivg.cloudfront.net/Documentos/631/97024198249/6319702419824910092023191624.pdf")</f>
        <v>https://dpmzos25m8ivg.cloudfront.net/Documentos/631/97024198249/6319702419824910092023191624.pdf</v>
      </c>
      <c r="F8480" s="5" t="str">
        <f>HYPERLINK("https://dpmzos25m8ivg.cloudfront.net/Documentos/631/97024198249/6319702419824910092023191705.pdf","https://dpmzos25m8ivg.cloudfront.net/Documentos/631/97024198249/6319702419824910092023191705.pdf")</f>
        <v>https://dpmzos25m8ivg.cloudfront.net/Documentos/631/97024198249/6319702419824910092023191705.pdf</v>
      </c>
      <c r="G8480" s="5" t="str">
        <f>HYPERLINK("https://dpmzos25m8ivg.cloudfront.net/Documentos/631/97024198249/6319702419824910092023191737.pdf","https://dpmzos25m8ivg.cloudfront.net/Documentos/631/97024198249/6319702419824910092023191737.pdf")</f>
        <v>https://dpmzos25m8ivg.cloudfront.net/Documentos/631/97024198249/6319702419824910092023191737.pdf</v>
      </c>
      <c r="H8480" s="5" t="s">
        <v>17044</v>
      </c>
    </row>
    <row r="8481" spans="1:8" x14ac:dyDescent="0.25">
      <c r="A8481" s="2" t="s">
        <v>8508</v>
      </c>
      <c r="B8481" s="3"/>
      <c r="C8481" s="3"/>
      <c r="D8481" s="3"/>
      <c r="E8481" s="5" t="str">
        <f>HYPERLINK("https://dpmzos25m8ivg.cloudfront.net/Documentos/631/97046183368/6319704618336811092023143817.pdf","https://dpmzos25m8ivg.cloudfront.net/Documentos/631/97046183368/6319704618336811092023143817.pdf")</f>
        <v>https://dpmzos25m8ivg.cloudfront.net/Documentos/631/97046183368/6319704618336811092023143817.pdf</v>
      </c>
      <c r="F8481" s="5" t="str">
        <f>HYPERLINK("https://dpmzos25m8ivg.cloudfront.net/Documentos/631/97046183368/6319704618336811092023143836.pdf","https://dpmzos25m8ivg.cloudfront.net/Documentos/631/97046183368/6319704618336811092023143836.pdf")</f>
        <v>https://dpmzos25m8ivg.cloudfront.net/Documentos/631/97046183368/6319704618336811092023143836.pdf</v>
      </c>
      <c r="G8481" s="5" t="str">
        <f>HYPERLINK("https://dpmzos25m8ivg.cloudfront.net/Documentos/631/97046183368/6319704618336811092023143926.pdf","https://dpmzos25m8ivg.cloudfront.net/Documentos/631/97046183368/6319704618336811092023143926.pdf")</f>
        <v>https://dpmzos25m8ivg.cloudfront.net/Documentos/631/97046183368/6319704618336811092023143926.pdf</v>
      </c>
      <c r="H8481" s="5" t="s">
        <v>17045</v>
      </c>
    </row>
    <row r="8482" spans="1:8" x14ac:dyDescent="0.25">
      <c r="A8482" s="2" t="s">
        <v>8509</v>
      </c>
      <c r="B8482" s="3"/>
      <c r="C8482" s="3"/>
      <c r="D8482" s="3"/>
      <c r="E8482" s="5" t="str">
        <f>HYPERLINK("https://dpmzos25m8ivg.cloudfront.net/Documentos/631/97047929304/6319704792930408092023153359.jpg","https://dpmzos25m8ivg.cloudfront.net/Documentos/631/97047929304/6319704792930408092023153359.jpg")</f>
        <v>https://dpmzos25m8ivg.cloudfront.net/Documentos/631/97047929304/6319704792930408092023153359.jpg</v>
      </c>
      <c r="F8482" s="5" t="str">
        <f>HYPERLINK("https://dpmzos25m8ivg.cloudfront.net/Documentos/631/97047929304/6319704792930408092023153434.jpg","https://dpmzos25m8ivg.cloudfront.net/Documentos/631/97047929304/6319704792930408092023153434.jpg")</f>
        <v>https://dpmzos25m8ivg.cloudfront.net/Documentos/631/97047929304/6319704792930408092023153434.jpg</v>
      </c>
      <c r="G8482" s="5" t="str">
        <f>HYPERLINK("https://dpmzos25m8ivg.cloudfront.net/Documentos/631/97047929304/6319704792930408092023153506.jpg","https://dpmzos25m8ivg.cloudfront.net/Documentos/631/97047929304/6319704792930408092023153506.jpg")</f>
        <v>https://dpmzos25m8ivg.cloudfront.net/Documentos/631/97047929304/6319704792930408092023153506.jpg</v>
      </c>
      <c r="H8482" s="5" t="s">
        <v>17046</v>
      </c>
    </row>
    <row r="8483" spans="1:8" x14ac:dyDescent="0.25">
      <c r="A8483" s="2" t="s">
        <v>8510</v>
      </c>
      <c r="B8483" s="3"/>
      <c r="C8483" s="3"/>
      <c r="D8483" s="3"/>
      <c r="E8483" s="5" t="str">
        <f>HYPERLINK("https://dpmzos25m8ivg.cloudfront.net/Documentos/631/97052647591/6319705264759106092023170405.pdf","https://dpmzos25m8ivg.cloudfront.net/Documentos/631/97052647591/6319705264759106092023170405.pdf")</f>
        <v>https://dpmzos25m8ivg.cloudfront.net/Documentos/631/97052647591/6319705264759106092023170405.pdf</v>
      </c>
      <c r="F8483" s="5" t="str">
        <f>HYPERLINK("https://dpmzos25m8ivg.cloudfront.net/Documentos/631/97052647591/6319705264759106092023170432.pdf","https://dpmzos25m8ivg.cloudfront.net/Documentos/631/97052647591/6319705264759106092023170432.pdf")</f>
        <v>https://dpmzos25m8ivg.cloudfront.net/Documentos/631/97052647591/6319705264759106092023170432.pdf</v>
      </c>
      <c r="G8483" s="5" t="str">
        <f>HYPERLINK("https://dpmzos25m8ivg.cloudfront.net/Documentos/631/97052647591/6319705264759106092023170448.pdf","https://dpmzos25m8ivg.cloudfront.net/Documentos/631/97052647591/6319705264759106092023170448.pdf")</f>
        <v>https://dpmzos25m8ivg.cloudfront.net/Documentos/631/97052647591/6319705264759106092023170448.pdf</v>
      </c>
      <c r="H8483" s="5" t="s">
        <v>17047</v>
      </c>
    </row>
    <row r="8484" spans="1:8" x14ac:dyDescent="0.25">
      <c r="A8484" s="2" t="s">
        <v>8511</v>
      </c>
      <c r="B8484" s="3"/>
      <c r="C8484" s="3"/>
      <c r="D8484" s="3"/>
      <c r="E8484" s="5" t="str">
        <f>HYPERLINK("https://dpmzos25m8ivg.cloudfront.net/Documentos/631/97153826220/6319715382622012092023173005.pdf","https://dpmzos25m8ivg.cloudfront.net/Documentos/631/97153826220/6319715382622012092023173005.pdf")</f>
        <v>https://dpmzos25m8ivg.cloudfront.net/Documentos/631/97153826220/6319715382622012092023173005.pdf</v>
      </c>
      <c r="F8484" s="5" t="str">
        <f>HYPERLINK("https://dpmzos25m8ivg.cloudfront.net/Documentos/631/97153826220/6319715382622012092023173027.pdf","https://dpmzos25m8ivg.cloudfront.net/Documentos/631/97153826220/6319715382622012092023173027.pdf")</f>
        <v>https://dpmzos25m8ivg.cloudfront.net/Documentos/631/97153826220/6319715382622012092023173027.pdf</v>
      </c>
      <c r="G8484" s="5" t="str">
        <f>HYPERLINK("https://dpmzos25m8ivg.cloudfront.net/Documentos/631/97153826220/6319715382622012092023173040.pdf","https://dpmzos25m8ivg.cloudfront.net/Documentos/631/97153826220/6319715382622012092023173040.pdf")</f>
        <v>https://dpmzos25m8ivg.cloudfront.net/Documentos/631/97153826220/6319715382622012092023173040.pdf</v>
      </c>
      <c r="H8484" s="5" t="s">
        <v>17048</v>
      </c>
    </row>
    <row r="8485" spans="1:8" x14ac:dyDescent="0.25">
      <c r="A8485" s="2" t="s">
        <v>8512</v>
      </c>
      <c r="B8485" s="3" t="s">
        <v>90</v>
      </c>
      <c r="C8485" s="3"/>
      <c r="D8485" s="3"/>
      <c r="E8485" s="5" t="str">
        <f>HYPERLINK("https://dpmzos25m8ivg.cloudfront.net/Documentos/631/97158011453/6319715801145310092023213216.jpg","https://dpmzos25m8ivg.cloudfront.net/Documentos/631/97158011453/6319715801145310092023213216.jpg")</f>
        <v>https://dpmzos25m8ivg.cloudfront.net/Documentos/631/97158011453/6319715801145310092023213216.jpg</v>
      </c>
      <c r="F8485" s="5" t="str">
        <f>HYPERLINK("https://dpmzos25m8ivg.cloudfront.net/Documentos/631/97158011453/6319715801145310092023213233.jpg","https://dpmzos25m8ivg.cloudfront.net/Documentos/631/97158011453/6319715801145310092023213233.jpg")</f>
        <v>https://dpmzos25m8ivg.cloudfront.net/Documentos/631/97158011453/6319715801145310092023213233.jpg</v>
      </c>
      <c r="G8485" s="5" t="str">
        <f>HYPERLINK("https://dpmzos25m8ivg.cloudfront.net/Documentos/631/97158011453/6319715801145310092023213247.jpg","https://dpmzos25m8ivg.cloudfront.net/Documentos/631/97158011453/6319715801145310092023213247.jpg")</f>
        <v>https://dpmzos25m8ivg.cloudfront.net/Documentos/631/97158011453/6319715801145310092023213247.jpg</v>
      </c>
      <c r="H8485" s="5" t="s">
        <v>17049</v>
      </c>
    </row>
    <row r="8486" spans="1:8" x14ac:dyDescent="0.25">
      <c r="A8486" s="2" t="s">
        <v>8513</v>
      </c>
      <c r="B8486" s="3"/>
      <c r="C8486" s="3"/>
      <c r="D8486" s="3"/>
      <c r="E8486" s="5" t="str">
        <f>HYPERLINK("https://dpmzos25m8ivg.cloudfront.net/Documentos/631/97240087204/6319724008720409092023002621.jpg","https://dpmzos25m8ivg.cloudfront.net/Documentos/631/97240087204/6319724008720409092023002621.jpg")</f>
        <v>https://dpmzos25m8ivg.cloudfront.net/Documentos/631/97240087204/6319724008720409092023002621.jpg</v>
      </c>
      <c r="F8486" s="5" t="str">
        <f>HYPERLINK("https://dpmzos25m8ivg.cloudfront.net/Documentos/631/97240087204/6319724008720409092023002700.jpg","https://dpmzos25m8ivg.cloudfront.net/Documentos/631/97240087204/6319724008720409092023002700.jpg")</f>
        <v>https://dpmzos25m8ivg.cloudfront.net/Documentos/631/97240087204/6319724008720409092023002700.jpg</v>
      </c>
      <c r="G8486" s="5" t="str">
        <f>HYPERLINK("https://dpmzos25m8ivg.cloudfront.net/Documentos/631/97240087204/6319724008720409092023002726.jpg","https://dpmzos25m8ivg.cloudfront.net/Documentos/631/97240087204/6319724008720409092023002726.jpg")</f>
        <v>https://dpmzos25m8ivg.cloudfront.net/Documentos/631/97240087204/6319724008720409092023002726.jpg</v>
      </c>
      <c r="H8486" s="5" t="s">
        <v>17050</v>
      </c>
    </row>
    <row r="8487" spans="1:8" x14ac:dyDescent="0.25">
      <c r="A8487" s="2" t="s">
        <v>8514</v>
      </c>
      <c r="B8487" s="3"/>
      <c r="C8487" s="3"/>
      <c r="D8487" s="3"/>
      <c r="E8487" s="5" t="str">
        <f>HYPERLINK("https://dpmzos25m8ivg.cloudfront.net/Documentos/631/97246620206/6319724662020614092023160244.jpeg","https://dpmzos25m8ivg.cloudfront.net/Documentos/631/97246620206/6319724662020614092023160244.jpeg")</f>
        <v>https://dpmzos25m8ivg.cloudfront.net/Documentos/631/97246620206/6319724662020614092023160244.jpeg</v>
      </c>
      <c r="F8487" s="5" t="str">
        <f>HYPERLINK("https://dpmzos25m8ivg.cloudfront.net/Documentos/631/97246620206/6319724662020614092023160312.jpeg","https://dpmzos25m8ivg.cloudfront.net/Documentos/631/97246620206/6319724662020614092023160312.jpeg")</f>
        <v>https://dpmzos25m8ivg.cloudfront.net/Documentos/631/97246620206/6319724662020614092023160312.jpeg</v>
      </c>
      <c r="G8487" s="5" t="str">
        <f>HYPERLINK("https://dpmzos25m8ivg.cloudfront.net/Documentos/631/97246620206/6319724662020614092023160407.jpeg","https://dpmzos25m8ivg.cloudfront.net/Documentos/631/97246620206/6319724662020614092023160407.jpeg")</f>
        <v>https://dpmzos25m8ivg.cloudfront.net/Documentos/631/97246620206/6319724662020614092023160407.jpeg</v>
      </c>
      <c r="H8487" s="5" t="s">
        <v>17051</v>
      </c>
    </row>
    <row r="8488" spans="1:8" x14ac:dyDescent="0.25">
      <c r="A8488" s="2" t="s">
        <v>8515</v>
      </c>
      <c r="B8488" s="3" t="s">
        <v>312</v>
      </c>
      <c r="C8488" s="3"/>
      <c r="D8488" s="3"/>
      <c r="E8488" s="5" t="str">
        <f>HYPERLINK("https://dpmzos25m8ivg.cloudfront.net/Documentos/631/97280860400/6319728086040013092023194238.jpg","https://dpmzos25m8ivg.cloudfront.net/Documentos/631/97280860400/6319728086040013092023194238.jpg")</f>
        <v>https://dpmzos25m8ivg.cloudfront.net/Documentos/631/97280860400/6319728086040013092023194238.jpg</v>
      </c>
      <c r="F8488" s="5" t="str">
        <f>HYPERLINK("https://dpmzos25m8ivg.cloudfront.net/Documentos/631/97280860400/6319728086040013092023194537.jpg","https://dpmzos25m8ivg.cloudfront.net/Documentos/631/97280860400/6319728086040013092023194537.jpg")</f>
        <v>https://dpmzos25m8ivg.cloudfront.net/Documentos/631/97280860400/6319728086040013092023194537.jpg</v>
      </c>
      <c r="G8488" s="5" t="str">
        <f>HYPERLINK("https://dpmzos25m8ivg.cloudfront.net/Documentos/631/97280860400/6319728086040013092023194905.jpg","https://dpmzos25m8ivg.cloudfront.net/Documentos/631/97280860400/6319728086040013092023194905.jpg")</f>
        <v>https://dpmzos25m8ivg.cloudfront.net/Documentos/631/97280860400/6319728086040013092023194905.jpg</v>
      </c>
      <c r="H8488" s="5" t="s">
        <v>17052</v>
      </c>
    </row>
    <row r="8489" spans="1:8" x14ac:dyDescent="0.25">
      <c r="A8489" s="2" t="s">
        <v>8516</v>
      </c>
      <c r="B8489" s="3"/>
      <c r="C8489" s="3"/>
      <c r="D8489" s="3"/>
      <c r="E8489" s="5" t="str">
        <f>HYPERLINK("https://dpmzos25m8ivg.cloudfront.net/Documentos/631/97337234287/6319733723428711092023132759.pdf","https://dpmzos25m8ivg.cloudfront.net/Documentos/631/97337234287/6319733723428711092023132759.pdf")</f>
        <v>https://dpmzos25m8ivg.cloudfront.net/Documentos/631/97337234287/6319733723428711092023132759.pdf</v>
      </c>
      <c r="F8489" s="5" t="str">
        <f>HYPERLINK("https://dpmzos25m8ivg.cloudfront.net/Documentos/631/97337234287/6319733723428711092023132921.pdf","https://dpmzos25m8ivg.cloudfront.net/Documentos/631/97337234287/6319733723428711092023132921.pdf")</f>
        <v>https://dpmzos25m8ivg.cloudfront.net/Documentos/631/97337234287/6319733723428711092023132921.pdf</v>
      </c>
      <c r="G8489" s="5" t="str">
        <f>HYPERLINK("https://dpmzos25m8ivg.cloudfront.net/Documentos/631/97337234287/6319733723428711092023132629.pdf","https://dpmzos25m8ivg.cloudfront.net/Documentos/631/97337234287/6319733723428711092023132629.pdf")</f>
        <v>https://dpmzos25m8ivg.cloudfront.net/Documentos/631/97337234287/6319733723428711092023132629.pdf</v>
      </c>
      <c r="H8489" s="5" t="s">
        <v>17053</v>
      </c>
    </row>
    <row r="8490" spans="1:8" x14ac:dyDescent="0.25">
      <c r="A8490" s="2" t="s">
        <v>8517</v>
      </c>
      <c r="B8490" s="3"/>
      <c r="C8490" s="3"/>
      <c r="D8490" s="3"/>
      <c r="E8490" s="5" t="str">
        <f>HYPERLINK("https://dpmzos25m8ivg.cloudfront.net/Documentos/631/97352144072/6319735214407205092023144443.pdf","https://dpmzos25m8ivg.cloudfront.net/Documentos/631/97352144072/6319735214407205092023144443.pdf")</f>
        <v>https://dpmzos25m8ivg.cloudfront.net/Documentos/631/97352144072/6319735214407205092023144443.pdf</v>
      </c>
      <c r="F8490" s="5" t="str">
        <f>HYPERLINK("https://dpmzos25m8ivg.cloudfront.net/Documentos/631/97352144072/6319735214407205092023150657.pdf","https://dpmzos25m8ivg.cloudfront.net/Documentos/631/97352144072/6319735214407205092023150657.pdf")</f>
        <v>https://dpmzos25m8ivg.cloudfront.net/Documentos/631/97352144072/6319735214407205092023150657.pdf</v>
      </c>
      <c r="G8490" s="5" t="str">
        <f>HYPERLINK("https://dpmzos25m8ivg.cloudfront.net/Documentos/631/97352144072/6319735214407205092023144555.pdf","https://dpmzos25m8ivg.cloudfront.net/Documentos/631/97352144072/6319735214407205092023144555.pdf")</f>
        <v>https://dpmzos25m8ivg.cloudfront.net/Documentos/631/97352144072/6319735214407205092023144555.pdf</v>
      </c>
      <c r="H8490" s="5" t="s">
        <v>17054</v>
      </c>
    </row>
    <row r="8491" spans="1:8" x14ac:dyDescent="0.25">
      <c r="A8491" s="2" t="s">
        <v>8518</v>
      </c>
      <c r="B8491" s="3" t="s">
        <v>90</v>
      </c>
      <c r="C8491" s="3"/>
      <c r="D8491" s="3"/>
      <c r="E8491" s="5" t="str">
        <f>HYPERLINK("https://dpmzos25m8ivg.cloudfront.net/Documentos/631/97411205320/6319741120532011092023140626.pdf","https://dpmzos25m8ivg.cloudfront.net/Documentos/631/97411205320/6319741120532011092023140626.pdf")</f>
        <v>https://dpmzos25m8ivg.cloudfront.net/Documentos/631/97411205320/6319741120532011092023140626.pdf</v>
      </c>
      <c r="F8491" s="5" t="str">
        <f>HYPERLINK("https://dpmzos25m8ivg.cloudfront.net/Documentos/631/97411205320/6319741120532011092023140639.pdf","https://dpmzos25m8ivg.cloudfront.net/Documentos/631/97411205320/6319741120532011092023140639.pdf")</f>
        <v>https://dpmzos25m8ivg.cloudfront.net/Documentos/631/97411205320/6319741120532011092023140639.pdf</v>
      </c>
      <c r="G8491" s="5" t="str">
        <f>HYPERLINK("https://dpmzos25m8ivg.cloudfront.net/Documentos/631/97411205320/6319741120532011092023140655.pdf","https://dpmzos25m8ivg.cloudfront.net/Documentos/631/97411205320/6319741120532011092023140655.pdf")</f>
        <v>https://dpmzos25m8ivg.cloudfront.net/Documentos/631/97411205320/6319741120532011092023140655.pdf</v>
      </c>
      <c r="H8491" s="5" t="s">
        <v>17055</v>
      </c>
    </row>
    <row r="8492" spans="1:8" x14ac:dyDescent="0.25">
      <c r="A8492" s="2" t="s">
        <v>8519</v>
      </c>
      <c r="B8492" s="3"/>
      <c r="C8492" s="3"/>
      <c r="D8492" s="3"/>
      <c r="E8492" s="5" t="str">
        <f>HYPERLINK("https://dpmzos25m8ivg.cloudfront.net/Documentos/631/97421081020/6319742108102005092023115001.pdf","https://dpmzos25m8ivg.cloudfront.net/Documentos/631/97421081020/6319742108102005092023115001.pdf")</f>
        <v>https://dpmzos25m8ivg.cloudfront.net/Documentos/631/97421081020/6319742108102005092023115001.pdf</v>
      </c>
      <c r="F8492" s="5" t="str">
        <f>HYPERLINK("https://dpmzos25m8ivg.cloudfront.net/Documentos/631/97421081020/6319742108102005092023115014.pdf","https://dpmzos25m8ivg.cloudfront.net/Documentos/631/97421081020/6319742108102005092023115014.pdf")</f>
        <v>https://dpmzos25m8ivg.cloudfront.net/Documentos/631/97421081020/6319742108102005092023115014.pdf</v>
      </c>
      <c r="G8492" s="5" t="str">
        <f>HYPERLINK("https://dpmzos25m8ivg.cloudfront.net/Documentos/631/97421081020/6319742108102005092023115026.pdf","https://dpmzos25m8ivg.cloudfront.net/Documentos/631/97421081020/6319742108102005092023115026.pdf")</f>
        <v>https://dpmzos25m8ivg.cloudfront.net/Documentos/631/97421081020/6319742108102005092023115026.pdf</v>
      </c>
      <c r="H8492" s="5" t="s">
        <v>17056</v>
      </c>
    </row>
    <row r="8493" spans="1:8" x14ac:dyDescent="0.25">
      <c r="A8493" s="2" t="s">
        <v>8520</v>
      </c>
      <c r="B8493" s="3"/>
      <c r="C8493" s="3"/>
      <c r="D8493" s="3"/>
      <c r="E8493" s="5" t="str">
        <f>HYPERLINK("https://dpmzos25m8ivg.cloudfront.net/Documentos/631/97423386049/6319742338604905092023170031.pdf","https://dpmzos25m8ivg.cloudfront.net/Documentos/631/97423386049/6319742338604905092023170031.pdf")</f>
        <v>https://dpmzos25m8ivg.cloudfront.net/Documentos/631/97423386049/6319742338604905092023170031.pdf</v>
      </c>
      <c r="F8493" s="5" t="str">
        <f>HYPERLINK("https://dpmzos25m8ivg.cloudfront.net/Documentos/631/97423386049/6319742338604905092023170101.pdf","https://dpmzos25m8ivg.cloudfront.net/Documentos/631/97423386049/6319742338604905092023170101.pdf")</f>
        <v>https://dpmzos25m8ivg.cloudfront.net/Documentos/631/97423386049/6319742338604905092023170101.pdf</v>
      </c>
      <c r="G8493" s="5" t="str">
        <f>HYPERLINK("https://dpmzos25m8ivg.cloudfront.net/Documentos/631/97423386049/6319742338604905092023170119.pdf","https://dpmzos25m8ivg.cloudfront.net/Documentos/631/97423386049/6319742338604905092023170119.pdf")</f>
        <v>https://dpmzos25m8ivg.cloudfront.net/Documentos/631/97423386049/6319742338604905092023170119.pdf</v>
      </c>
      <c r="H8493" s="5" t="s">
        <v>17057</v>
      </c>
    </row>
    <row r="8494" spans="1:8" x14ac:dyDescent="0.25">
      <c r="A8494" s="2" t="s">
        <v>8521</v>
      </c>
      <c r="B8494" s="3" t="s">
        <v>23</v>
      </c>
      <c r="C8494" s="3"/>
      <c r="D8494" s="3"/>
      <c r="E8494" s="5" t="str">
        <f>HYPERLINK("https://dpmzos25m8ivg.cloudfront.net/Documentos/631/97452300149/6319745230014905092023154207.pdf","https://dpmzos25m8ivg.cloudfront.net/Documentos/631/97452300149/6319745230014905092023154207.pdf")</f>
        <v>https://dpmzos25m8ivg.cloudfront.net/Documentos/631/97452300149/6319745230014905092023154207.pdf</v>
      </c>
      <c r="F8494" s="5" t="str">
        <f>HYPERLINK("https://dpmzos25m8ivg.cloudfront.net/Documentos/631/97452300149/6319745230014905092023154230.pdf","https://dpmzos25m8ivg.cloudfront.net/Documentos/631/97452300149/6319745230014905092023154230.pdf")</f>
        <v>https://dpmzos25m8ivg.cloudfront.net/Documentos/631/97452300149/6319745230014905092023154230.pdf</v>
      </c>
      <c r="G8494" s="5" t="str">
        <f>HYPERLINK("https://dpmzos25m8ivg.cloudfront.net/Documentos/631/97452300149/6319745230014905092023154251.pdf","https://dpmzos25m8ivg.cloudfront.net/Documentos/631/97452300149/6319745230014905092023154251.pdf")</f>
        <v>https://dpmzos25m8ivg.cloudfront.net/Documentos/631/97452300149/6319745230014905092023154251.pdf</v>
      </c>
      <c r="H8494" s="5" t="s">
        <v>17058</v>
      </c>
    </row>
    <row r="8495" spans="1:8" x14ac:dyDescent="0.25">
      <c r="A8495" s="2" t="s">
        <v>8522</v>
      </c>
      <c r="B8495" s="3"/>
      <c r="C8495" s="3"/>
      <c r="D8495" s="3"/>
      <c r="E8495" s="5" t="str">
        <f>HYPERLINK("https://dpmzos25m8ivg.cloudfront.net/Documentos/631/97530255568/6319753025556808092023101831.jpg","https://dpmzos25m8ivg.cloudfront.net/Documentos/631/97530255568/6319753025556808092023101831.jpg")</f>
        <v>https://dpmzos25m8ivg.cloudfront.net/Documentos/631/97530255568/6319753025556808092023101831.jpg</v>
      </c>
      <c r="F8495" s="5" t="str">
        <f>HYPERLINK("https://dpmzos25m8ivg.cloudfront.net/Documentos/631/97530255568/6319753025556808092023093907.jpg","https://dpmzos25m8ivg.cloudfront.net/Documentos/631/97530255568/6319753025556808092023093907.jpg")</f>
        <v>https://dpmzos25m8ivg.cloudfront.net/Documentos/631/97530255568/6319753025556808092023093907.jpg</v>
      </c>
      <c r="G8495" s="5" t="str">
        <f>HYPERLINK("https://dpmzos25m8ivg.cloudfront.net/Documentos/631/97530255568/6319753025556808092023094013.jpg","https://dpmzos25m8ivg.cloudfront.net/Documentos/631/97530255568/6319753025556808092023094013.jpg")</f>
        <v>https://dpmzos25m8ivg.cloudfront.net/Documentos/631/97530255568/6319753025556808092023094013.jpg</v>
      </c>
      <c r="H8495" s="5" t="s">
        <v>17059</v>
      </c>
    </row>
    <row r="8496" spans="1:8" x14ac:dyDescent="0.25">
      <c r="A8496" s="2" t="s">
        <v>8523</v>
      </c>
      <c r="B8496" s="3" t="s">
        <v>312</v>
      </c>
      <c r="C8496" s="3"/>
      <c r="D8496" s="3"/>
      <c r="E8496" s="5" t="str">
        <f>HYPERLINK("https://dpmzos25m8ivg.cloudfront.net/Documentos/631/97532878449/6319753287844911092023122531.jpg","https://dpmzos25m8ivg.cloudfront.net/Documentos/631/97532878449/6319753287844911092023122531.jpg")</f>
        <v>https://dpmzos25m8ivg.cloudfront.net/Documentos/631/97532878449/6319753287844911092023122531.jpg</v>
      </c>
      <c r="F8496" s="5" t="str">
        <f>HYPERLINK("https://dpmzos25m8ivg.cloudfront.net/Documentos/631/97532878449/6319753287844911092023122256.jpg","https://dpmzos25m8ivg.cloudfront.net/Documentos/631/97532878449/6319753287844911092023122256.jpg")</f>
        <v>https://dpmzos25m8ivg.cloudfront.net/Documentos/631/97532878449/6319753287844911092023122256.jpg</v>
      </c>
      <c r="G8496" s="5" t="str">
        <f>HYPERLINK("https://dpmzos25m8ivg.cloudfront.net/Documentos/631/97532878449/6319753287844911092023124850.jpg","https://dpmzos25m8ivg.cloudfront.net/Documentos/631/97532878449/6319753287844911092023124850.jpg")</f>
        <v>https://dpmzos25m8ivg.cloudfront.net/Documentos/631/97532878449/6319753287844911092023124850.jpg</v>
      </c>
      <c r="H8496" s="5" t="s">
        <v>17060</v>
      </c>
    </row>
    <row r="8497" spans="1:8" x14ac:dyDescent="0.25">
      <c r="A8497" s="2" t="s">
        <v>8524</v>
      </c>
      <c r="B8497" s="3"/>
      <c r="C8497" s="3"/>
      <c r="D8497" s="3"/>
      <c r="E8497" s="5" t="str">
        <f>HYPERLINK("https://dpmzos25m8ivg.cloudfront.net/Documentos/631/97606510172/6319760651017211092023152540.pdf","https://dpmzos25m8ivg.cloudfront.net/Documentos/631/97606510172/6319760651017211092023152540.pdf")</f>
        <v>https://dpmzos25m8ivg.cloudfront.net/Documentos/631/97606510172/6319760651017211092023152540.pdf</v>
      </c>
      <c r="F8497" s="5" t="str">
        <f>HYPERLINK("https://dpmzos25m8ivg.cloudfront.net/Documentos/631/97606510172/6319760651017211092023152557.pdf","https://dpmzos25m8ivg.cloudfront.net/Documentos/631/97606510172/6319760651017211092023152557.pdf")</f>
        <v>https://dpmzos25m8ivg.cloudfront.net/Documentos/631/97606510172/6319760651017211092023152557.pdf</v>
      </c>
      <c r="G8497" s="5" t="str">
        <f>HYPERLINK("https://dpmzos25m8ivg.cloudfront.net/Documentos/631/97606510172/6319760651017211092023152612.pdf","https://dpmzos25m8ivg.cloudfront.net/Documentos/631/97606510172/6319760651017211092023152612.pdf")</f>
        <v>https://dpmzos25m8ivg.cloudfront.net/Documentos/631/97606510172/6319760651017211092023152612.pdf</v>
      </c>
      <c r="H8497" s="5" t="s">
        <v>17061</v>
      </c>
    </row>
    <row r="8498" spans="1:8" x14ac:dyDescent="0.25">
      <c r="A8498" s="2" t="s">
        <v>8525</v>
      </c>
      <c r="B8498" s="3"/>
      <c r="C8498" s="3"/>
      <c r="D8498" s="3"/>
      <c r="E8498" s="5" t="str">
        <f>HYPERLINK("https://dpmzos25m8ivg.cloudfront.net/Documentos/631/97680745234/6319768074523405092023115533.pdf","https://dpmzos25m8ivg.cloudfront.net/Documentos/631/97680745234/6319768074523405092023115533.pdf")</f>
        <v>https://dpmzos25m8ivg.cloudfront.net/Documentos/631/97680745234/6319768074523405092023115533.pdf</v>
      </c>
      <c r="F8498" s="5" t="str">
        <f>HYPERLINK("https://dpmzos25m8ivg.cloudfront.net/Documentos/631/97680745234/6319768074523405092023115554.pdf","https://dpmzos25m8ivg.cloudfront.net/Documentos/631/97680745234/6319768074523405092023115554.pdf")</f>
        <v>https://dpmzos25m8ivg.cloudfront.net/Documentos/631/97680745234/6319768074523405092023115554.pdf</v>
      </c>
      <c r="G8498" s="5" t="str">
        <f>HYPERLINK("https://dpmzos25m8ivg.cloudfront.net/Documentos/631/97680745234/6319768074523405092023115611.pdf","https://dpmzos25m8ivg.cloudfront.net/Documentos/631/97680745234/6319768074523405092023115611.pdf")</f>
        <v>https://dpmzos25m8ivg.cloudfront.net/Documentos/631/97680745234/6319768074523405092023115611.pdf</v>
      </c>
      <c r="H8498" s="5" t="s">
        <v>17062</v>
      </c>
    </row>
    <row r="8499" spans="1:8" x14ac:dyDescent="0.25">
      <c r="A8499" s="2" t="s">
        <v>8526</v>
      </c>
      <c r="B8499" s="3" t="s">
        <v>90</v>
      </c>
      <c r="C8499" s="3"/>
      <c r="D8499" s="3"/>
      <c r="E8499" s="5" t="str">
        <f>HYPERLINK("https://dpmzos25m8ivg.cloudfront.net/Documentos/631/97708984300/6319770898430009092023100906.pdf","https://dpmzos25m8ivg.cloudfront.net/Documentos/631/97708984300/6319770898430009092023100906.pdf")</f>
        <v>https://dpmzos25m8ivg.cloudfront.net/Documentos/631/97708984300/6319770898430009092023100906.pdf</v>
      </c>
      <c r="F8499" s="5" t="str">
        <f>HYPERLINK("https://dpmzos25m8ivg.cloudfront.net/Documentos/631/97708984300/6319770898430009092023100928.pdf","https://dpmzos25m8ivg.cloudfront.net/Documentos/631/97708984300/6319770898430009092023100928.pdf")</f>
        <v>https://dpmzos25m8ivg.cloudfront.net/Documentos/631/97708984300/6319770898430009092023100928.pdf</v>
      </c>
      <c r="G8499" s="5" t="str">
        <f>HYPERLINK("https://dpmzos25m8ivg.cloudfront.net/Documentos/631/97708984300/6319770898430009092023100947.pdf","https://dpmzos25m8ivg.cloudfront.net/Documentos/631/97708984300/6319770898430009092023100947.pdf")</f>
        <v>https://dpmzos25m8ivg.cloudfront.net/Documentos/631/97708984300/6319770898430009092023100947.pdf</v>
      </c>
      <c r="H8499" s="5" t="s">
        <v>17063</v>
      </c>
    </row>
    <row r="8500" spans="1:8" x14ac:dyDescent="0.25">
      <c r="A8500" s="2" t="s">
        <v>8527</v>
      </c>
      <c r="B8500" s="3"/>
      <c r="C8500" s="3"/>
      <c r="D8500" s="3"/>
      <c r="E8500" s="5" t="str">
        <f>HYPERLINK("https://dpmzos25m8ivg.cloudfront.net/Documentos/631/97739162272/6319773916227211092023133343.pdf","https://dpmzos25m8ivg.cloudfront.net/Documentos/631/97739162272/6319773916227211092023133343.pdf")</f>
        <v>https://dpmzos25m8ivg.cloudfront.net/Documentos/631/97739162272/6319773916227211092023133343.pdf</v>
      </c>
      <c r="F8500" s="5" t="str">
        <f>HYPERLINK("https://dpmzos25m8ivg.cloudfront.net/Documentos/631/97739162272/6319773916227211092023133356.pdf","https://dpmzos25m8ivg.cloudfront.net/Documentos/631/97739162272/6319773916227211092023133356.pdf")</f>
        <v>https://dpmzos25m8ivg.cloudfront.net/Documentos/631/97739162272/6319773916227211092023133356.pdf</v>
      </c>
      <c r="G8500" s="5" t="str">
        <f>HYPERLINK("https://dpmzos25m8ivg.cloudfront.net/Documentos/631/97739162272/6319773916227211092023133410.pdf","https://dpmzos25m8ivg.cloudfront.net/Documentos/631/97739162272/6319773916227211092023133410.pdf")</f>
        <v>https://dpmzos25m8ivg.cloudfront.net/Documentos/631/97739162272/6319773916227211092023133410.pdf</v>
      </c>
      <c r="H8500" s="5" t="s">
        <v>17064</v>
      </c>
    </row>
    <row r="8501" spans="1:8" x14ac:dyDescent="0.25">
      <c r="A8501" s="2" t="s">
        <v>8528</v>
      </c>
      <c r="B8501" s="3"/>
      <c r="C8501" s="3"/>
      <c r="D8501" s="3"/>
      <c r="E8501" s="5" t="str">
        <f>HYPERLINK("https://dpmzos25m8ivg.cloudfront.net/Documentos/631/97778893215/6319777889321511092023151831.jpeg","https://dpmzos25m8ivg.cloudfront.net/Documentos/631/97778893215/6319777889321511092023151831.jpeg")</f>
        <v>https://dpmzos25m8ivg.cloudfront.net/Documentos/631/97778893215/6319777889321511092023151831.jpeg</v>
      </c>
      <c r="F8501" s="5" t="str">
        <f>HYPERLINK("https://dpmzos25m8ivg.cloudfront.net/Documentos/631/97778893215/6319777889321511092023151859.jpeg","https://dpmzos25m8ivg.cloudfront.net/Documentos/631/97778893215/6319777889321511092023151859.jpeg")</f>
        <v>https://dpmzos25m8ivg.cloudfront.net/Documentos/631/97778893215/6319777889321511092023151859.jpeg</v>
      </c>
      <c r="G8501" s="5" t="str">
        <f>HYPERLINK("https://dpmzos25m8ivg.cloudfront.net/Documentos/631/97778893215/6319777889321511092023151913.jpeg","https://dpmzos25m8ivg.cloudfront.net/Documentos/631/97778893215/6319777889321511092023151913.jpeg")</f>
        <v>https://dpmzos25m8ivg.cloudfront.net/Documentos/631/97778893215/6319777889321511092023151913.jpeg</v>
      </c>
      <c r="H8501" s="5" t="s">
        <v>17065</v>
      </c>
    </row>
    <row r="8502" spans="1:8" x14ac:dyDescent="0.25">
      <c r="A8502" s="2" t="s">
        <v>8529</v>
      </c>
      <c r="B8502" s="3"/>
      <c r="C8502" s="3"/>
      <c r="D8502" s="3"/>
      <c r="E8502" s="5" t="str">
        <f>HYPERLINK("https://dpmzos25m8ivg.cloudfront.net/Documentos/631/97792268004/6319779226800414092023143017.pdf","https://dpmzos25m8ivg.cloudfront.net/Documentos/631/97792268004/6319779226800414092023143017.pdf")</f>
        <v>https://dpmzos25m8ivg.cloudfront.net/Documentos/631/97792268004/6319779226800414092023143017.pdf</v>
      </c>
      <c r="F8502" s="5" t="str">
        <f>HYPERLINK("https://dpmzos25m8ivg.cloudfront.net/Documentos/631/97792268004/6319779226800414092023171825.pdf","https://dpmzos25m8ivg.cloudfront.net/Documentos/631/97792268004/6319779226800414092023171825.pdf")</f>
        <v>https://dpmzos25m8ivg.cloudfront.net/Documentos/631/97792268004/6319779226800414092023171825.pdf</v>
      </c>
      <c r="G8502" s="5" t="str">
        <f>HYPERLINK("https://dpmzos25m8ivg.cloudfront.net/Documentos/631/97792268004/6319779226800414092023160703.pdf","https://dpmzos25m8ivg.cloudfront.net/Documentos/631/97792268004/6319779226800414092023160703.pdf")</f>
        <v>https://dpmzos25m8ivg.cloudfront.net/Documentos/631/97792268004/6319779226800414092023160703.pdf</v>
      </c>
      <c r="H8502" s="5" t="s">
        <v>17066</v>
      </c>
    </row>
    <row r="8503" spans="1:8" x14ac:dyDescent="0.25">
      <c r="A8503" s="2" t="s">
        <v>8530</v>
      </c>
      <c r="B8503" s="3"/>
      <c r="C8503" s="3"/>
      <c r="D8503" s="3"/>
      <c r="E8503" s="5" t="str">
        <f>HYPERLINK("https://dpmzos25m8ivg.cloudfront.net/Documentos/631/97810746049/6319781074604911092023164046.pdf","https://dpmzos25m8ivg.cloudfront.net/Documentos/631/97810746049/6319781074604911092023164046.pdf")</f>
        <v>https://dpmzos25m8ivg.cloudfront.net/Documentos/631/97810746049/6319781074604911092023164046.pdf</v>
      </c>
      <c r="F8503" s="5" t="str">
        <f>HYPERLINK("https://dpmzos25m8ivg.cloudfront.net/Documentos/631/97810746049/6319781074604911092023164055.pdf","https://dpmzos25m8ivg.cloudfront.net/Documentos/631/97810746049/6319781074604911092023164055.pdf")</f>
        <v>https://dpmzos25m8ivg.cloudfront.net/Documentos/631/97810746049/6319781074604911092023164055.pdf</v>
      </c>
      <c r="G8503" s="5" t="str">
        <f>HYPERLINK("https://dpmzos25m8ivg.cloudfront.net/Documentos/631/97810746049/6319781074604911092023164103.pdf","https://dpmzos25m8ivg.cloudfront.net/Documentos/631/97810746049/6319781074604911092023164103.pdf")</f>
        <v>https://dpmzos25m8ivg.cloudfront.net/Documentos/631/97810746049/6319781074604911092023164103.pdf</v>
      </c>
      <c r="H8503" s="5" t="s">
        <v>17067</v>
      </c>
    </row>
    <row r="8504" spans="1:8" x14ac:dyDescent="0.25">
      <c r="A8504" s="2" t="s">
        <v>8531</v>
      </c>
      <c r="B8504" s="3"/>
      <c r="C8504" s="3"/>
      <c r="D8504" s="3"/>
      <c r="E8504" s="5" t="str">
        <f>HYPERLINK("https://dpmzos25m8ivg.cloudfront.net/Documentos/631/97880116249/6319788011624911092023140100.pdf","https://dpmzos25m8ivg.cloudfront.net/Documentos/631/97880116249/6319788011624911092023140100.pdf")</f>
        <v>https://dpmzos25m8ivg.cloudfront.net/Documentos/631/97880116249/6319788011624911092023140100.pdf</v>
      </c>
      <c r="F8504" s="5" t="str">
        <f>HYPERLINK("https://dpmzos25m8ivg.cloudfront.net/Documentos/631/97880116249/6319788011624911092023140124.pdf","https://dpmzos25m8ivg.cloudfront.net/Documentos/631/97880116249/6319788011624911092023140124.pdf")</f>
        <v>https://dpmzos25m8ivg.cloudfront.net/Documentos/631/97880116249/6319788011624911092023140124.pdf</v>
      </c>
      <c r="G8504" s="5" t="str">
        <f>HYPERLINK("https://dpmzos25m8ivg.cloudfront.net/Documentos/631/97880116249/6319788011624911092023140154.pdf","https://dpmzos25m8ivg.cloudfront.net/Documentos/631/97880116249/6319788011624911092023140154.pdf")</f>
        <v>https://dpmzos25m8ivg.cloudfront.net/Documentos/631/97880116249/6319788011624911092023140154.pdf</v>
      </c>
      <c r="H8504" s="5" t="s">
        <v>17068</v>
      </c>
    </row>
    <row r="8505" spans="1:8" x14ac:dyDescent="0.25">
      <c r="A8505" s="2" t="s">
        <v>8532</v>
      </c>
      <c r="B8505" s="3"/>
      <c r="C8505" s="3"/>
      <c r="D8505" s="3"/>
      <c r="E8505" s="5" t="str">
        <f>HYPERLINK("https://dpmzos25m8ivg.cloudfront.net/Documentos/631/97991031187/6319799103118705092023214356.pdf","https://dpmzos25m8ivg.cloudfront.net/Documentos/631/97991031187/6319799103118705092023214356.pdf")</f>
        <v>https://dpmzos25m8ivg.cloudfront.net/Documentos/631/97991031187/6319799103118705092023214356.pdf</v>
      </c>
      <c r="F8505" s="5" t="str">
        <f>HYPERLINK("https://dpmzos25m8ivg.cloudfront.net/Documentos/631/97991031187/6319799103118705092023214419.pdf","https://dpmzos25m8ivg.cloudfront.net/Documentos/631/97991031187/6319799103118705092023214419.pdf")</f>
        <v>https://dpmzos25m8ivg.cloudfront.net/Documentos/631/97991031187/6319799103118705092023214419.pdf</v>
      </c>
      <c r="G8505" s="5" t="str">
        <f>HYPERLINK("https://dpmzos25m8ivg.cloudfront.net/Documentos/631/97991031187/6319799103118705092023214521.pdf","https://dpmzos25m8ivg.cloudfront.net/Documentos/631/97991031187/6319799103118705092023214521.pdf")</f>
        <v>https://dpmzos25m8ivg.cloudfront.net/Documentos/631/97991031187/6319799103118705092023214521.pdf</v>
      </c>
      <c r="H8505" s="5" t="s">
        <v>17069</v>
      </c>
    </row>
    <row r="8506" spans="1:8" x14ac:dyDescent="0.25">
      <c r="A8506" s="2" t="s">
        <v>8533</v>
      </c>
      <c r="B8506" s="3"/>
      <c r="C8506" s="3"/>
      <c r="D8506" s="3"/>
      <c r="E8506" s="5" t="str">
        <f>HYPERLINK("https://dpmzos25m8ivg.cloudfront.net/Documentos/631/98012401568/6319801240156807092023130741.jpg","https://dpmzos25m8ivg.cloudfront.net/Documentos/631/98012401568/6319801240156807092023130741.jpg")</f>
        <v>https://dpmzos25m8ivg.cloudfront.net/Documentos/631/98012401568/6319801240156807092023130741.jpg</v>
      </c>
      <c r="F8506" s="5" t="str">
        <f>HYPERLINK("https://dpmzos25m8ivg.cloudfront.net/Documentos/631/98012401568/6319801240156807092023130807.jpg","https://dpmzos25m8ivg.cloudfront.net/Documentos/631/98012401568/6319801240156807092023130807.jpg")</f>
        <v>https://dpmzos25m8ivg.cloudfront.net/Documentos/631/98012401568/6319801240156807092023130807.jpg</v>
      </c>
      <c r="G8506" s="5" t="str">
        <f>HYPERLINK("https://dpmzos25m8ivg.cloudfront.net/Documentos/631/98012401568/6319801240156807092023130839.jpg","https://dpmzos25m8ivg.cloudfront.net/Documentos/631/98012401568/6319801240156807092023130839.jpg")</f>
        <v>https://dpmzos25m8ivg.cloudfront.net/Documentos/631/98012401568/6319801240156807092023130839.jpg</v>
      </c>
      <c r="H8506" s="5" t="s">
        <v>17070</v>
      </c>
    </row>
    <row r="8507" spans="1:8" x14ac:dyDescent="0.25">
      <c r="A8507" s="2" t="s">
        <v>8534</v>
      </c>
      <c r="B8507" s="3"/>
      <c r="C8507" s="3"/>
      <c r="D8507" s="3"/>
      <c r="E8507" s="5" t="str">
        <f>HYPERLINK("https://dpmzos25m8ivg.cloudfront.net/Documentos/631/98039237572/6319803923757207092023233855.pdf","https://dpmzos25m8ivg.cloudfront.net/Documentos/631/98039237572/6319803923757207092023233855.pdf")</f>
        <v>https://dpmzos25m8ivg.cloudfront.net/Documentos/631/98039237572/6319803923757207092023233855.pdf</v>
      </c>
      <c r="F8507" s="5" t="str">
        <f>HYPERLINK("https://dpmzos25m8ivg.cloudfront.net/Documentos/631/98039237572/6319803923757207092023233914.pdf","https://dpmzos25m8ivg.cloudfront.net/Documentos/631/98039237572/6319803923757207092023233914.pdf")</f>
        <v>https://dpmzos25m8ivg.cloudfront.net/Documentos/631/98039237572/6319803923757207092023233914.pdf</v>
      </c>
      <c r="G8507" s="5" t="str">
        <f>HYPERLINK("https://dpmzos25m8ivg.cloudfront.net/Documentos/631/98039237572/6319803923757207092023233938.pdf","https://dpmzos25m8ivg.cloudfront.net/Documentos/631/98039237572/6319803923757207092023233938.pdf")</f>
        <v>https://dpmzos25m8ivg.cloudfront.net/Documentos/631/98039237572/6319803923757207092023233938.pdf</v>
      </c>
      <c r="H8507" s="5" t="s">
        <v>17071</v>
      </c>
    </row>
    <row r="8508" spans="1:8" x14ac:dyDescent="0.25">
      <c r="A8508" s="2" t="s">
        <v>8535</v>
      </c>
      <c r="B8508" s="3"/>
      <c r="C8508" s="3"/>
      <c r="D8508" s="3"/>
      <c r="E8508" s="5" t="str">
        <f>HYPERLINK("https://dpmzos25m8ivg.cloudfront.net/Documentos/631/98086731120/6319808673112011092023140653.pdf","https://dpmzos25m8ivg.cloudfront.net/Documentos/631/98086731120/6319808673112011092023140653.pdf")</f>
        <v>https://dpmzos25m8ivg.cloudfront.net/Documentos/631/98086731120/6319808673112011092023140653.pdf</v>
      </c>
      <c r="F8508" s="5" t="str">
        <f>HYPERLINK("https://dpmzos25m8ivg.cloudfront.net/Documentos/631/98086731120/6319808673112011092023141934.pdf","https://dpmzos25m8ivg.cloudfront.net/Documentos/631/98086731120/6319808673112011092023141934.pdf")</f>
        <v>https://dpmzos25m8ivg.cloudfront.net/Documentos/631/98086731120/6319808673112011092023141934.pdf</v>
      </c>
      <c r="G8508" s="5" t="str">
        <f>HYPERLINK("https://dpmzos25m8ivg.cloudfront.net/Documentos/631/98086731120/6319808673112011092023141941.pdf","https://dpmzos25m8ivg.cloudfront.net/Documentos/631/98086731120/6319808673112011092023141941.pdf")</f>
        <v>https://dpmzos25m8ivg.cloudfront.net/Documentos/631/98086731120/6319808673112011092023141941.pdf</v>
      </c>
      <c r="H8508" s="5" t="s">
        <v>17072</v>
      </c>
    </row>
    <row r="8509" spans="1:8" x14ac:dyDescent="0.25">
      <c r="A8509" s="2" t="s">
        <v>8536</v>
      </c>
      <c r="B8509" s="3"/>
      <c r="C8509" s="3"/>
      <c r="D8509" s="3"/>
      <c r="E8509" s="5" t="str">
        <f>HYPERLINK("https://dpmzos25m8ivg.cloudfront.net/Documentos/631/98148192472/6319814819247209092023144936.pdf","https://dpmzos25m8ivg.cloudfront.net/Documentos/631/98148192472/6319814819247209092023144936.pdf")</f>
        <v>https://dpmzos25m8ivg.cloudfront.net/Documentos/631/98148192472/6319814819247209092023144936.pdf</v>
      </c>
      <c r="F8509" s="5" t="str">
        <f>HYPERLINK("https://dpmzos25m8ivg.cloudfront.net/Documentos/631/98148192472/6319814819247209092023145110.pdf","https://dpmzos25m8ivg.cloudfront.net/Documentos/631/98148192472/6319814819247209092023145110.pdf")</f>
        <v>https://dpmzos25m8ivg.cloudfront.net/Documentos/631/98148192472/6319814819247209092023145110.pdf</v>
      </c>
      <c r="G8509" s="5" t="str">
        <f>HYPERLINK("https://dpmzos25m8ivg.cloudfront.net/Documentos/631/98148192472/6319814819247209092023145138.pdf","https://dpmzos25m8ivg.cloudfront.net/Documentos/631/98148192472/6319814819247209092023145138.pdf")</f>
        <v>https://dpmzos25m8ivg.cloudfront.net/Documentos/631/98148192472/6319814819247209092023145138.pdf</v>
      </c>
      <c r="H8509" s="5" t="s">
        <v>17073</v>
      </c>
    </row>
    <row r="8510" spans="1:8" x14ac:dyDescent="0.25">
      <c r="A8510" s="2" t="s">
        <v>8537</v>
      </c>
      <c r="B8510" s="3"/>
      <c r="C8510" s="3"/>
      <c r="D8510" s="3"/>
      <c r="E8510" s="5" t="str">
        <f>HYPERLINK("https://dpmzos25m8ivg.cloudfront.net/Documentos/631/98219910259/6319821991025905092023092846.jpg","https://dpmzos25m8ivg.cloudfront.net/Documentos/631/98219910259/6319821991025905092023092846.jpg")</f>
        <v>https://dpmzos25m8ivg.cloudfront.net/Documentos/631/98219910259/6319821991025905092023092846.jpg</v>
      </c>
      <c r="F8510" s="5" t="str">
        <f>HYPERLINK("https://dpmzos25m8ivg.cloudfront.net/Documentos/631/98219910259/6319821991025905092023092913.jpg","https://dpmzos25m8ivg.cloudfront.net/Documentos/631/98219910259/6319821991025905092023092913.jpg")</f>
        <v>https://dpmzos25m8ivg.cloudfront.net/Documentos/631/98219910259/6319821991025905092023092913.jpg</v>
      </c>
      <c r="G8510" s="5" t="str">
        <f>HYPERLINK("https://dpmzos25m8ivg.cloudfront.net/Documentos/631/98219910259/6319821991025905092023092934.jpg","https://dpmzos25m8ivg.cloudfront.net/Documentos/631/98219910259/6319821991025905092023092934.jpg")</f>
        <v>https://dpmzos25m8ivg.cloudfront.net/Documentos/631/98219910259/6319821991025905092023092934.jpg</v>
      </c>
      <c r="H8510" s="5" t="s">
        <v>17074</v>
      </c>
    </row>
    <row r="8511" spans="1:8" x14ac:dyDescent="0.25">
      <c r="A8511" s="2" t="s">
        <v>8538</v>
      </c>
      <c r="B8511" s="3" t="s">
        <v>312</v>
      </c>
      <c r="C8511" s="3"/>
      <c r="D8511" s="3"/>
      <c r="E8511" s="5" t="str">
        <f>HYPERLINK("https://dpmzos25m8ivg.cloudfront.net/Documentos/631/98221892904/6319822189290407092023195827.pdf","https://dpmzos25m8ivg.cloudfront.net/Documentos/631/98221892904/6319822189290407092023195827.pdf")</f>
        <v>https://dpmzos25m8ivg.cloudfront.net/Documentos/631/98221892904/6319822189290407092023195827.pdf</v>
      </c>
      <c r="F8511" s="5" t="str">
        <f>HYPERLINK("https://dpmzos25m8ivg.cloudfront.net/Documentos/631/98221892904/6319822189290407092023195855.pdf","https://dpmzos25m8ivg.cloudfront.net/Documentos/631/98221892904/6319822189290407092023195855.pdf")</f>
        <v>https://dpmzos25m8ivg.cloudfront.net/Documentos/631/98221892904/6319822189290407092023195855.pdf</v>
      </c>
      <c r="G8511" s="5" t="str">
        <f>HYPERLINK("https://dpmzos25m8ivg.cloudfront.net/Documentos/631/98221892904/6319822189290407092023195921.pdf","https://dpmzos25m8ivg.cloudfront.net/Documentos/631/98221892904/6319822189290407092023195921.pdf")</f>
        <v>https://dpmzos25m8ivg.cloudfront.net/Documentos/631/98221892904/6319822189290407092023195921.pdf</v>
      </c>
      <c r="H8511" s="5" t="s">
        <v>17075</v>
      </c>
    </row>
    <row r="8512" spans="1:8" x14ac:dyDescent="0.25">
      <c r="A8512" s="2" t="s">
        <v>8539</v>
      </c>
      <c r="B8512" s="3"/>
      <c r="C8512" s="3"/>
      <c r="D8512" s="3"/>
      <c r="E8512" s="5" t="str">
        <f>HYPERLINK("https://dpmzos25m8ivg.cloudfront.net/Documentos/631/98284584204/6319828458420405092023173758.pdf","https://dpmzos25m8ivg.cloudfront.net/Documentos/631/98284584204/6319828458420405092023173758.pdf")</f>
        <v>https://dpmzos25m8ivg.cloudfront.net/Documentos/631/98284584204/6319828458420405092023173758.pdf</v>
      </c>
      <c r="F8512" s="5" t="str">
        <f>HYPERLINK("https://dpmzos25m8ivg.cloudfront.net/Documentos/631/98284584204/6319828458420405092023173840.pdf","https://dpmzos25m8ivg.cloudfront.net/Documentos/631/98284584204/6319828458420405092023173840.pdf")</f>
        <v>https://dpmzos25m8ivg.cloudfront.net/Documentos/631/98284584204/6319828458420405092023173840.pdf</v>
      </c>
      <c r="G8512" s="5" t="str">
        <f>HYPERLINK("https://dpmzos25m8ivg.cloudfront.net/Documentos/631/98284584204/6319828458420405092023173944.pdf","https://dpmzos25m8ivg.cloudfront.net/Documentos/631/98284584204/6319828458420405092023173944.pdf")</f>
        <v>https://dpmzos25m8ivg.cloudfront.net/Documentos/631/98284584204/6319828458420405092023173944.pdf</v>
      </c>
      <c r="H8512" s="5" t="s">
        <v>17076</v>
      </c>
    </row>
    <row r="8513" spans="1:8" x14ac:dyDescent="0.25">
      <c r="A8513" s="2" t="s">
        <v>8540</v>
      </c>
      <c r="B8513" s="3"/>
      <c r="C8513" s="3"/>
      <c r="D8513" s="3"/>
      <c r="E8513" s="5" t="str">
        <f>HYPERLINK("https://dpmzos25m8ivg.cloudfront.net/Documentos/631/98357441572/6319835744157210092023214754.pdf","https://dpmzos25m8ivg.cloudfront.net/Documentos/631/98357441572/6319835744157210092023214754.pdf")</f>
        <v>https://dpmzos25m8ivg.cloudfront.net/Documentos/631/98357441572/6319835744157210092023214754.pdf</v>
      </c>
      <c r="F8513" s="5" t="str">
        <f>HYPERLINK("https://dpmzos25m8ivg.cloudfront.net/Documentos/631/98357441572/6319835744157210092023214816.pdf","https://dpmzos25m8ivg.cloudfront.net/Documentos/631/98357441572/6319835744157210092023214816.pdf")</f>
        <v>https://dpmzos25m8ivg.cloudfront.net/Documentos/631/98357441572/6319835744157210092023214816.pdf</v>
      </c>
      <c r="G8513" s="5" t="str">
        <f>HYPERLINK("https://dpmzos25m8ivg.cloudfront.net/Documentos/631/98357441572/6319835744157210092023214829.pdf","https://dpmzos25m8ivg.cloudfront.net/Documentos/631/98357441572/6319835744157210092023214829.pdf")</f>
        <v>https://dpmzos25m8ivg.cloudfront.net/Documentos/631/98357441572/6319835744157210092023214829.pdf</v>
      </c>
      <c r="H8513" s="5" t="s">
        <v>17077</v>
      </c>
    </row>
    <row r="8514" spans="1:8" x14ac:dyDescent="0.25">
      <c r="A8514" s="2" t="s">
        <v>8541</v>
      </c>
      <c r="B8514" s="3"/>
      <c r="C8514" s="3"/>
      <c r="D8514" s="3"/>
      <c r="E8514" s="5" t="str">
        <f>HYPERLINK("https://dpmzos25m8ivg.cloudfront.net/Documentos/631/98365045168/6319836504516806092023213620.pdf","https://dpmzos25m8ivg.cloudfront.net/Documentos/631/98365045168/6319836504516806092023213620.pdf")</f>
        <v>https://dpmzos25m8ivg.cloudfront.net/Documentos/631/98365045168/6319836504516806092023213620.pdf</v>
      </c>
      <c r="F8514" s="5" t="str">
        <f>HYPERLINK("https://dpmzos25m8ivg.cloudfront.net/Documentos/631/98365045168/6319836504516806092023213632.pdf","https://dpmzos25m8ivg.cloudfront.net/Documentos/631/98365045168/6319836504516806092023213632.pdf")</f>
        <v>https://dpmzos25m8ivg.cloudfront.net/Documentos/631/98365045168/6319836504516806092023213632.pdf</v>
      </c>
      <c r="G8514" s="5" t="str">
        <f>HYPERLINK("https://dpmzos25m8ivg.cloudfront.net/Documentos/631/98365045168/6319836504516806092023213645.pdf","https://dpmzos25m8ivg.cloudfront.net/Documentos/631/98365045168/6319836504516806092023213645.pdf")</f>
        <v>https://dpmzos25m8ivg.cloudfront.net/Documentos/631/98365045168/6319836504516806092023213645.pdf</v>
      </c>
      <c r="H8514" s="5" t="s">
        <v>17078</v>
      </c>
    </row>
    <row r="8515" spans="1:8" x14ac:dyDescent="0.25">
      <c r="A8515" s="2" t="s">
        <v>8542</v>
      </c>
      <c r="B8515" s="3"/>
      <c r="C8515" s="3"/>
      <c r="D8515" s="3"/>
      <c r="E8515" s="5" t="str">
        <f>HYPERLINK("https://dpmzos25m8ivg.cloudfront.net/Documentos/631/98366513149/6319836651314910092023225904.pdf","https://dpmzos25m8ivg.cloudfront.net/Documentos/631/98366513149/6319836651314910092023225904.pdf")</f>
        <v>https://dpmzos25m8ivg.cloudfront.net/Documentos/631/98366513149/6319836651314910092023225904.pdf</v>
      </c>
      <c r="F8515" s="5" t="str">
        <f>HYPERLINK("https://dpmzos25m8ivg.cloudfront.net/Documentos/631/98366513149/6319836651314910092023230015.pdf","https://dpmzos25m8ivg.cloudfront.net/Documentos/631/98366513149/6319836651314910092023230015.pdf")</f>
        <v>https://dpmzos25m8ivg.cloudfront.net/Documentos/631/98366513149/6319836651314910092023230015.pdf</v>
      </c>
      <c r="G8515" s="5" t="str">
        <f>HYPERLINK("https://dpmzos25m8ivg.cloudfront.net/Documentos/631/98366513149/6319836651314910092023230037.pdf","https://dpmzos25m8ivg.cloudfront.net/Documentos/631/98366513149/6319836651314910092023230037.pdf")</f>
        <v>https://dpmzos25m8ivg.cloudfront.net/Documentos/631/98366513149/6319836651314910092023230037.pdf</v>
      </c>
      <c r="H8515" s="5" t="s">
        <v>17079</v>
      </c>
    </row>
    <row r="8516" spans="1:8" x14ac:dyDescent="0.25">
      <c r="A8516" s="2" t="s">
        <v>8543</v>
      </c>
      <c r="B8516" s="3"/>
      <c r="C8516" s="3"/>
      <c r="D8516" s="3"/>
      <c r="E8516" s="5" t="str">
        <f>HYPERLINK("https://dpmzos25m8ivg.cloudfront.net/Documentos/631/98465350230/6319846535023010092023215348.pdf","https://dpmzos25m8ivg.cloudfront.net/Documentos/631/98465350230/6319846535023010092023215348.pdf")</f>
        <v>https://dpmzos25m8ivg.cloudfront.net/Documentos/631/98465350230/6319846535023010092023215348.pdf</v>
      </c>
      <c r="F8516" s="5" t="str">
        <f>HYPERLINK("https://dpmzos25m8ivg.cloudfront.net/Documentos/631/98465350230/6319846535023010092023215405.pdf","https://dpmzos25m8ivg.cloudfront.net/Documentos/631/98465350230/6319846535023010092023215405.pdf")</f>
        <v>https://dpmzos25m8ivg.cloudfront.net/Documentos/631/98465350230/6319846535023010092023215405.pdf</v>
      </c>
      <c r="G8516" s="5" t="str">
        <f>HYPERLINK("https://dpmzos25m8ivg.cloudfront.net/Documentos/631/98465350230/6319846535023010092023215421.pdf","https://dpmzos25m8ivg.cloudfront.net/Documentos/631/98465350230/6319846535023010092023215421.pdf")</f>
        <v>https://dpmzos25m8ivg.cloudfront.net/Documentos/631/98465350230/6319846535023010092023215421.pdf</v>
      </c>
      <c r="H8516" s="5" t="s">
        <v>17080</v>
      </c>
    </row>
    <row r="8517" spans="1:8" x14ac:dyDescent="0.25">
      <c r="A8517" s="2" t="s">
        <v>8544</v>
      </c>
      <c r="B8517" s="3" t="s">
        <v>23</v>
      </c>
      <c r="C8517" s="3"/>
      <c r="D8517" s="3"/>
      <c r="E8517" s="5" t="str">
        <f>HYPERLINK("https://dpmzos25m8ivg.cloudfront.net/Documentos/631/98479890100/6319847989010007092023130831.pdf","https://dpmzos25m8ivg.cloudfront.net/Documentos/631/98479890100/6319847989010007092023130831.pdf")</f>
        <v>https://dpmzos25m8ivg.cloudfront.net/Documentos/631/98479890100/6319847989010007092023130831.pdf</v>
      </c>
      <c r="F8517" s="5" t="str">
        <f>HYPERLINK("https://dpmzos25m8ivg.cloudfront.net/Documentos/631/98479890100/6319847989010007092023130901.pdf","https://dpmzos25m8ivg.cloudfront.net/Documentos/631/98479890100/6319847989010007092023130901.pdf")</f>
        <v>https://dpmzos25m8ivg.cloudfront.net/Documentos/631/98479890100/6319847989010007092023130901.pdf</v>
      </c>
      <c r="G8517" s="5" t="str">
        <f>HYPERLINK("https://dpmzos25m8ivg.cloudfront.net/Documentos/631/98479890100/6319847989010007092023130919.pdf","https://dpmzos25m8ivg.cloudfront.net/Documentos/631/98479890100/6319847989010007092023130919.pdf")</f>
        <v>https://dpmzos25m8ivg.cloudfront.net/Documentos/631/98479890100/6319847989010007092023130919.pdf</v>
      </c>
      <c r="H8517" s="5" t="s">
        <v>17081</v>
      </c>
    </row>
    <row r="8518" spans="1:8" x14ac:dyDescent="0.25">
      <c r="A8518" s="2" t="s">
        <v>8545</v>
      </c>
      <c r="B8518" s="3"/>
      <c r="C8518" s="3"/>
      <c r="D8518" s="3"/>
      <c r="E8518" s="5" t="str">
        <f>HYPERLINK("https://dpmzos25m8ivg.cloudfront.net/Documentos/631/98493345334/6319849334533411092023161412.jpg","https://dpmzos25m8ivg.cloudfront.net/Documentos/631/98493345334/6319849334533411092023161412.jpg")</f>
        <v>https://dpmzos25m8ivg.cloudfront.net/Documentos/631/98493345334/6319849334533411092023161412.jpg</v>
      </c>
      <c r="F8518" s="5" t="str">
        <f>HYPERLINK("https://dpmzos25m8ivg.cloudfront.net/Documentos/631/98493345334/6319849334533411092023161427.jpg","https://dpmzos25m8ivg.cloudfront.net/Documentos/631/98493345334/6319849334533411092023161427.jpg")</f>
        <v>https://dpmzos25m8ivg.cloudfront.net/Documentos/631/98493345334/6319849334533411092023161427.jpg</v>
      </c>
      <c r="G8518" s="5" t="str">
        <f>HYPERLINK("https://dpmzos25m8ivg.cloudfront.net/Documentos/631/98493345334/6319849334533411092023161443.jpg","https://dpmzos25m8ivg.cloudfront.net/Documentos/631/98493345334/6319849334533411092023161443.jpg")</f>
        <v>https://dpmzos25m8ivg.cloudfront.net/Documentos/631/98493345334/6319849334533411092023161443.jpg</v>
      </c>
      <c r="H8518" s="5" t="s">
        <v>17082</v>
      </c>
    </row>
    <row r="8519" spans="1:8" x14ac:dyDescent="0.25">
      <c r="A8519" s="2" t="s">
        <v>8546</v>
      </c>
      <c r="B8519" s="3" t="s">
        <v>90</v>
      </c>
      <c r="C8519" s="3"/>
      <c r="D8519" s="3"/>
      <c r="E8519" s="5" t="str">
        <f>HYPERLINK("https://dpmzos25m8ivg.cloudfront.net/Documentos/631/98615688320/6319861568832013092023192136.jpg","https://dpmzos25m8ivg.cloudfront.net/Documentos/631/98615688320/6319861568832013092023192136.jpg")</f>
        <v>https://dpmzos25m8ivg.cloudfront.net/Documentos/631/98615688320/6319861568832013092023192136.jpg</v>
      </c>
      <c r="F8519" s="5" t="str">
        <f>HYPERLINK("https://dpmzos25m8ivg.cloudfront.net/Documentos/631/98615688320/6319861568832013092023192158.jpg","https://dpmzos25m8ivg.cloudfront.net/Documentos/631/98615688320/6319861568832013092023192158.jpg")</f>
        <v>https://dpmzos25m8ivg.cloudfront.net/Documentos/631/98615688320/6319861568832013092023192158.jpg</v>
      </c>
      <c r="G8519" s="5" t="str">
        <f>HYPERLINK("https://dpmzos25m8ivg.cloudfront.net/Documentos/631/98615688320/6319861568832013092023193258.jpg","https://dpmzos25m8ivg.cloudfront.net/Documentos/631/98615688320/6319861568832013092023193258.jpg")</f>
        <v>https://dpmzos25m8ivg.cloudfront.net/Documentos/631/98615688320/6319861568832013092023193258.jpg</v>
      </c>
      <c r="H8519" s="5" t="s">
        <v>17083</v>
      </c>
    </row>
    <row r="8520" spans="1:8" x14ac:dyDescent="0.25">
      <c r="A8520" s="2" t="s">
        <v>8547</v>
      </c>
      <c r="B8520" s="3"/>
      <c r="C8520" s="3"/>
      <c r="D8520" s="3"/>
      <c r="E8520" s="5" t="str">
        <f>HYPERLINK("https://dpmzos25m8ivg.cloudfront.net/Documentos/631/98619640453/6319861964045310092023145409.jpeg","https://dpmzos25m8ivg.cloudfront.net/Documentos/631/98619640453/6319861964045310092023145409.jpeg")</f>
        <v>https://dpmzos25m8ivg.cloudfront.net/Documentos/631/98619640453/6319861964045310092023145409.jpeg</v>
      </c>
      <c r="F8520" s="5" t="str">
        <f>HYPERLINK("https://dpmzos25m8ivg.cloudfront.net/Documentos/631/98619640453/6319861964045310092023145545.jpeg","https://dpmzos25m8ivg.cloudfront.net/Documentos/631/98619640453/6319861964045310092023145545.jpeg")</f>
        <v>https://dpmzos25m8ivg.cloudfront.net/Documentos/631/98619640453/6319861964045310092023145545.jpeg</v>
      </c>
      <c r="G8520" s="5" t="str">
        <f>HYPERLINK("https://dpmzos25m8ivg.cloudfront.net/Documentos/631/98619640453/6319861964045310092023145944.jpeg","https://dpmzos25m8ivg.cloudfront.net/Documentos/631/98619640453/6319861964045310092023145944.jpeg")</f>
        <v>https://dpmzos25m8ivg.cloudfront.net/Documentos/631/98619640453/6319861964045310092023145944.jpeg</v>
      </c>
      <c r="H8520" s="5" t="s">
        <v>17084</v>
      </c>
    </row>
    <row r="8521" spans="1:8" x14ac:dyDescent="0.25">
      <c r="A8521" s="2" t="s">
        <v>8548</v>
      </c>
      <c r="B8521" s="3" t="s">
        <v>23</v>
      </c>
      <c r="C8521" s="3"/>
      <c r="D8521" s="3"/>
      <c r="E8521" s="5" t="str">
        <f>HYPERLINK("https://dpmzos25m8ivg.cloudfront.net/Documentos/631/98628089420/6319862808942005092023145902.pdf","https://dpmzos25m8ivg.cloudfront.net/Documentos/631/98628089420/6319862808942005092023145902.pdf")</f>
        <v>https://dpmzos25m8ivg.cloudfront.net/Documentos/631/98628089420/6319862808942005092023145902.pdf</v>
      </c>
      <c r="F8521" s="5" t="str">
        <f>HYPERLINK("https://dpmzos25m8ivg.cloudfront.net/Documentos/631/98628089420/6319862808942005092023145915.pdf","https://dpmzos25m8ivg.cloudfront.net/Documentos/631/98628089420/6319862808942005092023145915.pdf")</f>
        <v>https://dpmzos25m8ivg.cloudfront.net/Documentos/631/98628089420/6319862808942005092023145915.pdf</v>
      </c>
      <c r="G8521" s="5" t="str">
        <f>HYPERLINK("https://dpmzos25m8ivg.cloudfront.net/Documentos/631/98628089420/6319862808942005092023145928.pdf","https://dpmzos25m8ivg.cloudfront.net/Documentos/631/98628089420/6319862808942005092023145928.pdf")</f>
        <v>https://dpmzos25m8ivg.cloudfront.net/Documentos/631/98628089420/6319862808942005092023145928.pdf</v>
      </c>
      <c r="H8521" s="5" t="s">
        <v>17085</v>
      </c>
    </row>
    <row r="8522" spans="1:8" x14ac:dyDescent="0.25">
      <c r="A8522" s="2" t="s">
        <v>8549</v>
      </c>
      <c r="B8522" s="3"/>
      <c r="C8522" s="3"/>
      <c r="D8522" s="3"/>
      <c r="E8522" s="5" t="str">
        <f>HYPERLINK("https://dpmzos25m8ivg.cloudfront.net/Documentos/631/98644955187/6319864495518714092023151613.pdf","https://dpmzos25m8ivg.cloudfront.net/Documentos/631/98644955187/6319864495518714092023151613.pdf")</f>
        <v>https://dpmzos25m8ivg.cloudfront.net/Documentos/631/98644955187/6319864495518714092023151613.pdf</v>
      </c>
      <c r="F8522" s="5" t="str">
        <f>HYPERLINK("https://dpmzos25m8ivg.cloudfront.net/Documentos/631/98644955187/6319864495518714092023151622.pdf","https://dpmzos25m8ivg.cloudfront.net/Documentos/631/98644955187/6319864495518714092023151622.pdf")</f>
        <v>https://dpmzos25m8ivg.cloudfront.net/Documentos/631/98644955187/6319864495518714092023151622.pdf</v>
      </c>
      <c r="G8522" s="5" t="str">
        <f>HYPERLINK("https://dpmzos25m8ivg.cloudfront.net/Documentos/631/98644955187/6319864495518714092023151637.pdf","https://dpmzos25m8ivg.cloudfront.net/Documentos/631/98644955187/6319864495518714092023151637.pdf")</f>
        <v>https://dpmzos25m8ivg.cloudfront.net/Documentos/631/98644955187/6319864495518714092023151637.pdf</v>
      </c>
      <c r="H8522" s="5" t="s">
        <v>17086</v>
      </c>
    </row>
    <row r="8523" spans="1:8" x14ac:dyDescent="0.25">
      <c r="A8523" s="2" t="s">
        <v>8550</v>
      </c>
      <c r="B8523" s="3"/>
      <c r="C8523" s="3"/>
      <c r="D8523" s="3"/>
      <c r="E8523" s="5" t="str">
        <f>HYPERLINK("https://dpmzos25m8ivg.cloudfront.net/Documentos/631/98668650297/6319866865029711092023121101.jpeg","https://dpmzos25m8ivg.cloudfront.net/Documentos/631/98668650297/6319866865029711092023121101.jpeg")</f>
        <v>https://dpmzos25m8ivg.cloudfront.net/Documentos/631/98668650297/6319866865029711092023121101.jpeg</v>
      </c>
      <c r="F8523" s="5" t="str">
        <f>HYPERLINK("https://dpmzos25m8ivg.cloudfront.net/Documentos/631/98668650297/6319866865029711092023121051.jpeg","https://dpmzos25m8ivg.cloudfront.net/Documentos/631/98668650297/6319866865029711092023121051.jpeg")</f>
        <v>https://dpmzos25m8ivg.cloudfront.net/Documentos/631/98668650297/6319866865029711092023121051.jpeg</v>
      </c>
      <c r="G8523" s="5" t="str">
        <f>HYPERLINK("https://dpmzos25m8ivg.cloudfront.net/Documentos/631/98668650297/6319866865029711092023121036.jpeg","https://dpmzos25m8ivg.cloudfront.net/Documentos/631/98668650297/6319866865029711092023121036.jpeg")</f>
        <v>https://dpmzos25m8ivg.cloudfront.net/Documentos/631/98668650297/6319866865029711092023121036.jpeg</v>
      </c>
      <c r="H8523" s="5" t="s">
        <v>17087</v>
      </c>
    </row>
    <row r="8524" spans="1:8" x14ac:dyDescent="0.25">
      <c r="A8524" s="2" t="s">
        <v>8551</v>
      </c>
      <c r="B8524" s="3"/>
      <c r="C8524" s="3"/>
      <c r="D8524" s="3"/>
      <c r="E8524" s="5" t="str">
        <f>HYPERLINK("https://dpmzos25m8ivg.cloudfront.net/Documentos/631/98730843120/6319873084312011092023155431.jpg","https://dpmzos25m8ivg.cloudfront.net/Documentos/631/98730843120/6319873084312011092023155431.jpg")</f>
        <v>https://dpmzos25m8ivg.cloudfront.net/Documentos/631/98730843120/6319873084312011092023155431.jpg</v>
      </c>
      <c r="F8524" s="5" t="str">
        <f>HYPERLINK("https://dpmzos25m8ivg.cloudfront.net/Documentos/631/98730843120/6319873084312011092023155527.jpg","https://dpmzos25m8ivg.cloudfront.net/Documentos/631/98730843120/6319873084312011092023155527.jpg")</f>
        <v>https://dpmzos25m8ivg.cloudfront.net/Documentos/631/98730843120/6319873084312011092023155527.jpg</v>
      </c>
      <c r="G8524" s="5" t="str">
        <f>HYPERLINK("https://dpmzos25m8ivg.cloudfront.net/Documentos/631/98730843120/6319873084312011092023155633.jpg","https://dpmzos25m8ivg.cloudfront.net/Documentos/631/98730843120/6319873084312011092023155633.jpg")</f>
        <v>https://dpmzos25m8ivg.cloudfront.net/Documentos/631/98730843120/6319873084312011092023155633.jpg</v>
      </c>
      <c r="H8524" s="5" t="s">
        <v>17088</v>
      </c>
    </row>
    <row r="8525" spans="1:8" x14ac:dyDescent="0.25">
      <c r="A8525" s="2" t="s">
        <v>8552</v>
      </c>
      <c r="B8525" s="3"/>
      <c r="C8525" s="3"/>
      <c r="D8525" s="3"/>
      <c r="E8525" s="5" t="str">
        <f>HYPERLINK("https://dpmzos25m8ivg.cloudfront.net/Documentos/631/98756842104/6319875684210406092023110703.pdf","https://dpmzos25m8ivg.cloudfront.net/Documentos/631/98756842104/6319875684210406092023110703.pdf")</f>
        <v>https://dpmzos25m8ivg.cloudfront.net/Documentos/631/98756842104/6319875684210406092023110703.pdf</v>
      </c>
      <c r="F8525" s="5" t="str">
        <f>HYPERLINK("https://dpmzos25m8ivg.cloudfront.net/Documentos/631/98756842104/6319875684210406092023110709.pdf","https://dpmzos25m8ivg.cloudfront.net/Documentos/631/98756842104/6319875684210406092023110709.pdf")</f>
        <v>https://dpmzos25m8ivg.cloudfront.net/Documentos/631/98756842104/6319875684210406092023110709.pdf</v>
      </c>
      <c r="G8525" s="5" t="str">
        <f>HYPERLINK("https://dpmzos25m8ivg.cloudfront.net/Documentos/631/98756842104/6319875684210406092023110720.pdf","https://dpmzos25m8ivg.cloudfront.net/Documentos/631/98756842104/6319875684210406092023110720.pdf")</f>
        <v>https://dpmzos25m8ivg.cloudfront.net/Documentos/631/98756842104/6319875684210406092023110720.pdf</v>
      </c>
      <c r="H8525" s="5" t="s">
        <v>17089</v>
      </c>
    </row>
    <row r="8526" spans="1:8" x14ac:dyDescent="0.25">
      <c r="A8526" s="2" t="s">
        <v>8553</v>
      </c>
      <c r="B8526" s="3"/>
      <c r="C8526" s="3"/>
      <c r="D8526" s="3"/>
      <c r="E8526" s="5" t="str">
        <f>HYPERLINK("https://dpmzos25m8ivg.cloudfront.net/Documentos/631/98783980997/6319878398099705092023194237.pdf","https://dpmzos25m8ivg.cloudfront.net/Documentos/631/98783980997/6319878398099705092023194237.pdf")</f>
        <v>https://dpmzos25m8ivg.cloudfront.net/Documentos/631/98783980997/6319878398099705092023194237.pdf</v>
      </c>
      <c r="F8526" s="5" t="str">
        <f>HYPERLINK("https://dpmzos25m8ivg.cloudfront.net/Documentos/631/98783980997/6319878398099705092023194306.pdf","https://dpmzos25m8ivg.cloudfront.net/Documentos/631/98783980997/6319878398099705092023194306.pdf")</f>
        <v>https://dpmzos25m8ivg.cloudfront.net/Documentos/631/98783980997/6319878398099705092023194306.pdf</v>
      </c>
      <c r="G8526" s="5" t="str">
        <f>HYPERLINK("https://dpmzos25m8ivg.cloudfront.net/Documentos/631/98783980997/6319878398099705092023194333.pdf","https://dpmzos25m8ivg.cloudfront.net/Documentos/631/98783980997/6319878398099705092023194333.pdf")</f>
        <v>https://dpmzos25m8ivg.cloudfront.net/Documentos/631/98783980997/6319878398099705092023194333.pdf</v>
      </c>
      <c r="H8526" s="5" t="s">
        <v>17090</v>
      </c>
    </row>
    <row r="8527" spans="1:8" x14ac:dyDescent="0.25">
      <c r="A8527" s="2" t="s">
        <v>8554</v>
      </c>
      <c r="B8527" s="3"/>
      <c r="C8527" s="3"/>
      <c r="D8527" s="3"/>
      <c r="E8527" s="5" t="str">
        <f>HYPERLINK("https://dpmzos25m8ivg.cloudfront.net/Documentos/631/98811410282/6319881141028207092023093510.pdf","https://dpmzos25m8ivg.cloudfront.net/Documentos/631/98811410282/6319881141028207092023093510.pdf")</f>
        <v>https://dpmzos25m8ivg.cloudfront.net/Documentos/631/98811410282/6319881141028207092023093510.pdf</v>
      </c>
      <c r="F8527" s="5" t="str">
        <f>HYPERLINK("https://dpmzos25m8ivg.cloudfront.net/Documentos/631/98811410282/6319881141028207092023093522.pdf","https://dpmzos25m8ivg.cloudfront.net/Documentos/631/98811410282/6319881141028207092023093522.pdf")</f>
        <v>https://dpmzos25m8ivg.cloudfront.net/Documentos/631/98811410282/6319881141028207092023093522.pdf</v>
      </c>
      <c r="G8527" s="5" t="str">
        <f>HYPERLINK("https://dpmzos25m8ivg.cloudfront.net/Documentos/631/98811410282/6319881141028207092023093541.pdf","https://dpmzos25m8ivg.cloudfront.net/Documentos/631/98811410282/6319881141028207092023093541.pdf")</f>
        <v>https://dpmzos25m8ivg.cloudfront.net/Documentos/631/98811410282/6319881141028207092023093541.pdf</v>
      </c>
      <c r="H8527" s="5" t="s">
        <v>17091</v>
      </c>
    </row>
    <row r="8528" spans="1:8" x14ac:dyDescent="0.25">
      <c r="A8528" s="2" t="s">
        <v>8555</v>
      </c>
      <c r="B8528" s="3"/>
      <c r="C8528" s="3"/>
      <c r="D8528" s="3"/>
      <c r="E8528" s="5" t="str">
        <f>HYPERLINK("https://dpmzos25m8ivg.cloudfront.net/Documentos/631/98815784500/6319881578450005092023141912.jpg","https://dpmzos25m8ivg.cloudfront.net/Documentos/631/98815784500/6319881578450005092023141912.jpg")</f>
        <v>https://dpmzos25m8ivg.cloudfront.net/Documentos/631/98815784500/6319881578450005092023141912.jpg</v>
      </c>
      <c r="F8528" s="5" t="str">
        <f>HYPERLINK("https://dpmzos25m8ivg.cloudfront.net/Documentos/631/98815784500/6319881578450005092023141932.jpg","https://dpmzos25m8ivg.cloudfront.net/Documentos/631/98815784500/6319881578450005092023141932.jpg")</f>
        <v>https://dpmzos25m8ivg.cloudfront.net/Documentos/631/98815784500/6319881578450005092023141932.jpg</v>
      </c>
      <c r="G8528" s="5" t="str">
        <f>HYPERLINK("https://dpmzos25m8ivg.cloudfront.net/Documentos/631/98815784500/6319881578450005092023142001.jpg","https://dpmzos25m8ivg.cloudfront.net/Documentos/631/98815784500/6319881578450005092023142001.jpg")</f>
        <v>https://dpmzos25m8ivg.cloudfront.net/Documentos/631/98815784500/6319881578450005092023142001.jpg</v>
      </c>
      <c r="H8528" s="5" t="s">
        <v>17092</v>
      </c>
    </row>
    <row r="8529" spans="1:8" x14ac:dyDescent="0.25">
      <c r="A8529" s="2" t="s">
        <v>8556</v>
      </c>
      <c r="B8529" s="3"/>
      <c r="C8529" s="3"/>
      <c r="D8529" s="3"/>
      <c r="E8529" s="5" t="str">
        <f>HYPERLINK("https://dpmzos25m8ivg.cloudfront.net/Documentos/631/98855450263/6319885545026309092023215732.pdf","https://dpmzos25m8ivg.cloudfront.net/Documentos/631/98855450263/6319885545026309092023215732.pdf")</f>
        <v>https://dpmzos25m8ivg.cloudfront.net/Documentos/631/98855450263/6319885545026309092023215732.pdf</v>
      </c>
      <c r="F8529" s="5" t="str">
        <f>HYPERLINK("https://dpmzos25m8ivg.cloudfront.net/Documentos/631/98855450263/6319885545026309092023215741.pdf","https://dpmzos25m8ivg.cloudfront.net/Documentos/631/98855450263/6319885545026309092023215741.pdf")</f>
        <v>https://dpmzos25m8ivg.cloudfront.net/Documentos/631/98855450263/6319885545026309092023215741.pdf</v>
      </c>
      <c r="G8529" s="5" t="str">
        <f>HYPERLINK("https://dpmzos25m8ivg.cloudfront.net/Documentos/631/98855450263/6319885545026309092023215754.pdf","https://dpmzos25m8ivg.cloudfront.net/Documentos/631/98855450263/6319885545026309092023215754.pdf")</f>
        <v>https://dpmzos25m8ivg.cloudfront.net/Documentos/631/98855450263/6319885545026309092023215754.pdf</v>
      </c>
      <c r="H8529" s="5" t="s">
        <v>17093</v>
      </c>
    </row>
    <row r="8530" spans="1:8" x14ac:dyDescent="0.25">
      <c r="A8530" s="2" t="s">
        <v>8557</v>
      </c>
      <c r="B8530" s="3" t="s">
        <v>90</v>
      </c>
      <c r="C8530" s="3"/>
      <c r="D8530" s="3"/>
      <c r="E8530" s="5" t="str">
        <f>HYPERLINK("https://dpmzos25m8ivg.cloudfront.net/Documentos/631/98884476291/6319888447629109092023202041.pdf","https://dpmzos25m8ivg.cloudfront.net/Documentos/631/98884476291/6319888447629109092023202041.pdf")</f>
        <v>https://dpmzos25m8ivg.cloudfront.net/Documentos/631/98884476291/6319888447629109092023202041.pdf</v>
      </c>
      <c r="F8530" s="5" t="str">
        <f>HYPERLINK("https://dpmzos25m8ivg.cloudfront.net/Documentos/631/98884476291/6319888447629109092023202105.pdf","https://dpmzos25m8ivg.cloudfront.net/Documentos/631/98884476291/6319888447629109092023202105.pdf")</f>
        <v>https://dpmzos25m8ivg.cloudfront.net/Documentos/631/98884476291/6319888447629109092023202105.pdf</v>
      </c>
      <c r="G8530" s="5" t="str">
        <f>HYPERLINK("https://dpmzos25m8ivg.cloudfront.net/Documentos/631/98884476291/6319888447629109092023202127.pdf","https://dpmzos25m8ivg.cloudfront.net/Documentos/631/98884476291/6319888447629109092023202127.pdf")</f>
        <v>https://dpmzos25m8ivg.cloudfront.net/Documentos/631/98884476291/6319888447629109092023202127.pdf</v>
      </c>
      <c r="H8530" s="5" t="s">
        <v>17094</v>
      </c>
    </row>
    <row r="8531" spans="1:8" x14ac:dyDescent="0.25">
      <c r="A8531" s="2" t="s">
        <v>8558</v>
      </c>
      <c r="B8531" s="3" t="s">
        <v>23</v>
      </c>
      <c r="C8531" s="3"/>
      <c r="D8531" s="3"/>
      <c r="E8531" s="5" t="str">
        <f>HYPERLINK("https://dpmzos25m8ivg.cloudfront.net/Documentos/631/98895761200/6319889576120008092023220427.jpeg","https://dpmzos25m8ivg.cloudfront.net/Documentos/631/98895761200/6319889576120008092023220427.jpeg")</f>
        <v>https://dpmzos25m8ivg.cloudfront.net/Documentos/631/98895761200/6319889576120008092023220427.jpeg</v>
      </c>
      <c r="F8531" s="5" t="str">
        <f>HYPERLINK("https://dpmzos25m8ivg.cloudfront.net/Documentos/631/98895761200/6319889576120008092023220509.jpeg","https://dpmzos25m8ivg.cloudfront.net/Documentos/631/98895761200/6319889576120008092023220509.jpeg")</f>
        <v>https://dpmzos25m8ivg.cloudfront.net/Documentos/631/98895761200/6319889576120008092023220509.jpeg</v>
      </c>
      <c r="G8531" s="5" t="str">
        <f>HYPERLINK("https://dpmzos25m8ivg.cloudfront.net/Documentos/631/98895761200/6319889576120008092023220534.jpeg","https://dpmzos25m8ivg.cloudfront.net/Documentos/631/98895761200/6319889576120008092023220534.jpeg")</f>
        <v>https://dpmzos25m8ivg.cloudfront.net/Documentos/631/98895761200/6319889576120008092023220534.jpeg</v>
      </c>
      <c r="H8531" s="5" t="s">
        <v>17095</v>
      </c>
    </row>
    <row r="8532" spans="1:8" x14ac:dyDescent="0.25">
      <c r="A8532" s="2" t="s">
        <v>8559</v>
      </c>
      <c r="B8532" s="3"/>
      <c r="C8532" s="3"/>
      <c r="D8532" s="3"/>
      <c r="E8532" s="5" t="str">
        <f>HYPERLINK("https://dpmzos25m8ivg.cloudfront.net/Documentos/631/98932004153/6319893200415311092023145414.pdf","https://dpmzos25m8ivg.cloudfront.net/Documentos/631/98932004153/6319893200415311092023145414.pdf")</f>
        <v>https://dpmzos25m8ivg.cloudfront.net/Documentos/631/98932004153/6319893200415311092023145414.pdf</v>
      </c>
      <c r="F8532" s="5" t="str">
        <f>HYPERLINK("https://dpmzos25m8ivg.cloudfront.net/Documentos/631/98932004153/6319893200415311092023145429.pdf","https://dpmzos25m8ivg.cloudfront.net/Documentos/631/98932004153/6319893200415311092023145429.pdf")</f>
        <v>https://dpmzos25m8ivg.cloudfront.net/Documentos/631/98932004153/6319893200415311092023145429.pdf</v>
      </c>
      <c r="G8532" s="5" t="str">
        <f>HYPERLINK("https://dpmzos25m8ivg.cloudfront.net/Documentos/631/98932004153/6319893200415311092023145444.pdf","https://dpmzos25m8ivg.cloudfront.net/Documentos/631/98932004153/6319893200415311092023145444.pdf")</f>
        <v>https://dpmzos25m8ivg.cloudfront.net/Documentos/631/98932004153/6319893200415311092023145444.pdf</v>
      </c>
      <c r="H8532" s="5" t="s">
        <v>17096</v>
      </c>
    </row>
    <row r="8533" spans="1:8" x14ac:dyDescent="0.25">
      <c r="A8533" s="2" t="s">
        <v>8560</v>
      </c>
      <c r="B8533" s="3"/>
      <c r="C8533" s="3"/>
      <c r="D8533" s="3"/>
      <c r="E8533" s="5" t="str">
        <f>HYPERLINK("https://dpmzos25m8ivg.cloudfront.net/Documentos/631/98932225249/6319893222524907092023140529.jpeg","https://dpmzos25m8ivg.cloudfront.net/Documentos/631/98932225249/6319893222524907092023140529.jpeg")</f>
        <v>https://dpmzos25m8ivg.cloudfront.net/Documentos/631/98932225249/6319893222524907092023140529.jpeg</v>
      </c>
      <c r="F8533" s="5" t="str">
        <f>HYPERLINK("https://dpmzos25m8ivg.cloudfront.net/Documentos/631/98932225249/6319893222524907092023140644.jpeg","https://dpmzos25m8ivg.cloudfront.net/Documentos/631/98932225249/6319893222524907092023140644.jpeg")</f>
        <v>https://dpmzos25m8ivg.cloudfront.net/Documentos/631/98932225249/6319893222524907092023140644.jpeg</v>
      </c>
      <c r="G8533" s="5" t="str">
        <f>HYPERLINK("https://dpmzos25m8ivg.cloudfront.net/Documentos/631/98932225249/6319893222524907092023140744.jpeg","https://dpmzos25m8ivg.cloudfront.net/Documentos/631/98932225249/6319893222524907092023140744.jpeg")</f>
        <v>https://dpmzos25m8ivg.cloudfront.net/Documentos/631/98932225249/6319893222524907092023140744.jpeg</v>
      </c>
      <c r="H8533" s="5" t="s">
        <v>17097</v>
      </c>
    </row>
    <row r="8534" spans="1:8" x14ac:dyDescent="0.25">
      <c r="A8534" s="2" t="s">
        <v>8561</v>
      </c>
      <c r="B8534" s="3"/>
      <c r="C8534" s="3"/>
      <c r="D8534" s="3"/>
      <c r="E8534" s="5" t="str">
        <f>HYPERLINK("https://dpmzos25m8ivg.cloudfront.net/Documentos/631/98989642191/6319898964219111092023111221.pdf","https://dpmzos25m8ivg.cloudfront.net/Documentos/631/98989642191/6319898964219111092023111221.pdf")</f>
        <v>https://dpmzos25m8ivg.cloudfront.net/Documentos/631/98989642191/6319898964219111092023111221.pdf</v>
      </c>
      <c r="F8534" s="5" t="str">
        <f>HYPERLINK("https://dpmzos25m8ivg.cloudfront.net/Documentos/631/98989642191/6319898964219111092023111236.pdf","https://dpmzos25m8ivg.cloudfront.net/Documentos/631/98989642191/6319898964219111092023111236.pdf")</f>
        <v>https://dpmzos25m8ivg.cloudfront.net/Documentos/631/98989642191/6319898964219111092023111236.pdf</v>
      </c>
      <c r="G8534" s="5" t="str">
        <f>HYPERLINK("https://dpmzos25m8ivg.cloudfront.net/Documentos/631/98989642191/6319898964219111092023111245.pdf","https://dpmzos25m8ivg.cloudfront.net/Documentos/631/98989642191/6319898964219111092023111245.pdf")</f>
        <v>https://dpmzos25m8ivg.cloudfront.net/Documentos/631/98989642191/6319898964219111092023111245.pdf</v>
      </c>
      <c r="H8534" s="5" t="s">
        <v>17098</v>
      </c>
    </row>
    <row r="8535" spans="1:8" x14ac:dyDescent="0.25">
      <c r="A8535" s="2" t="s">
        <v>8562</v>
      </c>
      <c r="B8535" s="3" t="s">
        <v>308</v>
      </c>
      <c r="C8535" s="3"/>
      <c r="D8535" s="3"/>
      <c r="E8535" s="5" t="str">
        <f>HYPERLINK("https://dpmzos25m8ivg.cloudfront.net/Documentos/631/99010917720/6319901091772011092023100139.pdf","https://dpmzos25m8ivg.cloudfront.net/Documentos/631/99010917720/6319901091772011092023100139.pdf")</f>
        <v>https://dpmzos25m8ivg.cloudfront.net/Documentos/631/99010917720/6319901091772011092023100139.pdf</v>
      </c>
      <c r="F8535" s="5" t="str">
        <f>HYPERLINK("https://dpmzos25m8ivg.cloudfront.net/Documentos/631/99010917720/6319901091772011092023100152.pdf","https://dpmzos25m8ivg.cloudfront.net/Documentos/631/99010917720/6319901091772011092023100152.pdf")</f>
        <v>https://dpmzos25m8ivg.cloudfront.net/Documentos/631/99010917720/6319901091772011092023100152.pdf</v>
      </c>
      <c r="G8535" s="5" t="str">
        <f>HYPERLINK("https://dpmzos25m8ivg.cloudfront.net/Documentos/631/99010917720/6319901091772011092023100205.pdf","https://dpmzos25m8ivg.cloudfront.net/Documentos/631/99010917720/6319901091772011092023100205.pdf")</f>
        <v>https://dpmzos25m8ivg.cloudfront.net/Documentos/631/99010917720/6319901091772011092023100205.pdf</v>
      </c>
      <c r="H8535" s="5" t="s">
        <v>17099</v>
      </c>
    </row>
    <row r="8536" spans="1:8" x14ac:dyDescent="0.25">
      <c r="A8536" s="2" t="s">
        <v>8563</v>
      </c>
      <c r="B8536" s="3" t="s">
        <v>308</v>
      </c>
      <c r="C8536" s="3"/>
      <c r="D8536" s="3"/>
      <c r="E8536" s="5" t="str">
        <f>HYPERLINK("https://dpmzos25m8ivg.cloudfront.net/Documentos/631/99063026234/6319906302623409092023161713.pdf","https://dpmzos25m8ivg.cloudfront.net/Documentos/631/99063026234/6319906302623409092023161713.pdf")</f>
        <v>https://dpmzos25m8ivg.cloudfront.net/Documentos/631/99063026234/6319906302623409092023161713.pdf</v>
      </c>
      <c r="F8536" s="5" t="str">
        <f>HYPERLINK("https://dpmzos25m8ivg.cloudfront.net/Documentos/631/99063026234/6319906302623409092023161726.pdf","https://dpmzos25m8ivg.cloudfront.net/Documentos/631/99063026234/6319906302623409092023161726.pdf")</f>
        <v>https://dpmzos25m8ivg.cloudfront.net/Documentos/631/99063026234/6319906302623409092023161726.pdf</v>
      </c>
      <c r="G8536" s="5" t="str">
        <f>HYPERLINK("https://dpmzos25m8ivg.cloudfront.net/Documentos/631/99063026234/6319906302623409092023161739.pdf","https://dpmzos25m8ivg.cloudfront.net/Documentos/631/99063026234/6319906302623409092023161739.pdf")</f>
        <v>https://dpmzos25m8ivg.cloudfront.net/Documentos/631/99063026234/6319906302623409092023161739.pdf</v>
      </c>
      <c r="H8536" s="5" t="s">
        <v>17100</v>
      </c>
    </row>
    <row r="8537" spans="1:8" x14ac:dyDescent="0.25">
      <c r="A8537" s="2" t="s">
        <v>8564</v>
      </c>
      <c r="B8537" s="3"/>
      <c r="C8537" s="3"/>
      <c r="D8537" s="3"/>
      <c r="E8537" s="5" t="str">
        <f>HYPERLINK("https://dpmzos25m8ivg.cloudfront.net/Documentos/631/99063913320/6319906391332011092023020119.jpeg","https://dpmzos25m8ivg.cloudfront.net/Documentos/631/99063913320/6319906391332011092023020119.jpeg")</f>
        <v>https://dpmzos25m8ivg.cloudfront.net/Documentos/631/99063913320/6319906391332011092023020119.jpeg</v>
      </c>
      <c r="F8537" s="5" t="str">
        <f>HYPERLINK("https://dpmzos25m8ivg.cloudfront.net/Documentos/631/99063913320/6319906391332011092023020144.jpeg","https://dpmzos25m8ivg.cloudfront.net/Documentos/631/99063913320/6319906391332011092023020144.jpeg")</f>
        <v>https://dpmzos25m8ivg.cloudfront.net/Documentos/631/99063913320/6319906391332011092023020144.jpeg</v>
      </c>
      <c r="G8537" s="5" t="str">
        <f>HYPERLINK("https://dpmzos25m8ivg.cloudfront.net/Documentos/631/99063913320/6319906391332011092023020205.jpeg","https://dpmzos25m8ivg.cloudfront.net/Documentos/631/99063913320/6319906391332011092023020205.jpeg")</f>
        <v>https://dpmzos25m8ivg.cloudfront.net/Documentos/631/99063913320/6319906391332011092023020205.jpeg</v>
      </c>
      <c r="H8537" s="5" t="s">
        <v>17101</v>
      </c>
    </row>
    <row r="8538" spans="1:8" x14ac:dyDescent="0.25">
      <c r="A8538" s="2" t="s">
        <v>8565</v>
      </c>
      <c r="B8538" s="3"/>
      <c r="C8538" s="3"/>
      <c r="D8538" s="3"/>
      <c r="E8538" s="5" t="str">
        <f>HYPERLINK("https://dpmzos25m8ivg.cloudfront.net/Documentos/631/99097613353/6319909761335307092023231506.pdf","https://dpmzos25m8ivg.cloudfront.net/Documentos/631/99097613353/6319909761335307092023231506.pdf")</f>
        <v>https://dpmzos25m8ivg.cloudfront.net/Documentos/631/99097613353/6319909761335307092023231506.pdf</v>
      </c>
      <c r="F8538" s="5" t="str">
        <f>HYPERLINK("https://dpmzos25m8ivg.cloudfront.net/Documentos/631/99097613353/6319909761335307092023231539.pdf","https://dpmzos25m8ivg.cloudfront.net/Documentos/631/99097613353/6319909761335307092023231539.pdf")</f>
        <v>https://dpmzos25m8ivg.cloudfront.net/Documentos/631/99097613353/6319909761335307092023231539.pdf</v>
      </c>
      <c r="G8538" s="5" t="str">
        <f>HYPERLINK("https://dpmzos25m8ivg.cloudfront.net/Documentos/631/99097613353/6319909761335307092023231607.pdf","https://dpmzos25m8ivg.cloudfront.net/Documentos/631/99097613353/6319909761335307092023231607.pdf")</f>
        <v>https://dpmzos25m8ivg.cloudfront.net/Documentos/631/99097613353/6319909761335307092023231607.pdf</v>
      </c>
      <c r="H8538" s="5" t="s">
        <v>17102</v>
      </c>
    </row>
    <row r="8539" spans="1:8" x14ac:dyDescent="0.25">
      <c r="A8539" s="2" t="s">
        <v>8566</v>
      </c>
      <c r="B8539" s="3" t="s">
        <v>23</v>
      </c>
      <c r="C8539" s="3"/>
      <c r="D8539" s="3"/>
      <c r="E8539" s="5" t="str">
        <f>HYPERLINK("https://dpmzos25m8ivg.cloudfront.net/Documentos/631/99254247804/6319925424780408092023110009.jpeg","https://dpmzos25m8ivg.cloudfront.net/Documentos/631/99254247804/6319925424780408092023110009.jpeg")</f>
        <v>https://dpmzos25m8ivg.cloudfront.net/Documentos/631/99254247804/6319925424780408092023110009.jpeg</v>
      </c>
      <c r="F8539" s="5" t="str">
        <f>HYPERLINK("https://dpmzos25m8ivg.cloudfront.net/Documentos/631/99254247804/6319925424780408092023110016.jpeg","https://dpmzos25m8ivg.cloudfront.net/Documentos/631/99254247804/6319925424780408092023110016.jpeg")</f>
        <v>https://dpmzos25m8ivg.cloudfront.net/Documentos/631/99254247804/6319925424780408092023110016.jpeg</v>
      </c>
      <c r="G8539" s="5" t="str">
        <f>HYPERLINK("https://dpmzos25m8ivg.cloudfront.net/Documentos/631/99254247804/6319925424780408092023110025.jpeg","https://dpmzos25m8ivg.cloudfront.net/Documentos/631/99254247804/6319925424780408092023110025.jpeg")</f>
        <v>https://dpmzos25m8ivg.cloudfront.net/Documentos/631/99254247804/6319925424780408092023110025.jpeg</v>
      </c>
      <c r="H8539" s="5" t="s">
        <v>17103</v>
      </c>
    </row>
    <row r="8540" spans="1:8" x14ac:dyDescent="0.25">
      <c r="A8540" s="2" t="s">
        <v>8567</v>
      </c>
      <c r="B8540" s="3"/>
      <c r="C8540" s="3"/>
      <c r="D8540" s="3"/>
      <c r="E8540" s="5" t="str">
        <f>HYPERLINK("https://dpmzos25m8ivg.cloudfront.net/Documentos/631/99303760468/6319930376046809092023233721.pdf","https://dpmzos25m8ivg.cloudfront.net/Documentos/631/99303760468/6319930376046809092023233721.pdf")</f>
        <v>https://dpmzos25m8ivg.cloudfront.net/Documentos/631/99303760468/6319930376046809092023233721.pdf</v>
      </c>
      <c r="F8540" s="5" t="str">
        <f>HYPERLINK("https://dpmzos25m8ivg.cloudfront.net/Documentos/631/99303760468/6319930376046809092023233743.pdf","https://dpmzos25m8ivg.cloudfront.net/Documentos/631/99303760468/6319930376046809092023233743.pdf")</f>
        <v>https://dpmzos25m8ivg.cloudfront.net/Documentos/631/99303760468/6319930376046809092023233743.pdf</v>
      </c>
      <c r="G8540" s="5" t="str">
        <f>HYPERLINK("https://dpmzos25m8ivg.cloudfront.net/Documentos/631/99303760468/6319930376046809092023233808.pdf","https://dpmzos25m8ivg.cloudfront.net/Documentos/631/99303760468/6319930376046809092023233808.pdf")</f>
        <v>https://dpmzos25m8ivg.cloudfront.net/Documentos/631/99303760468/6319930376046809092023233808.pdf</v>
      </c>
      <c r="H8540" s="5" t="s">
        <v>17104</v>
      </c>
    </row>
    <row r="8541" spans="1:8" x14ac:dyDescent="0.25">
      <c r="A8541" s="2" t="s">
        <v>8568</v>
      </c>
      <c r="B8541" s="3"/>
      <c r="C8541" s="3"/>
      <c r="D8541" s="3"/>
      <c r="E8541" s="5" t="str">
        <f>HYPERLINK("https://dpmzos25m8ivg.cloudfront.net/Documentos/631/99323397687/6319932339768708092023144330.jpg","https://dpmzos25m8ivg.cloudfront.net/Documentos/631/99323397687/6319932339768708092023144330.jpg")</f>
        <v>https://dpmzos25m8ivg.cloudfront.net/Documentos/631/99323397687/6319932339768708092023144330.jpg</v>
      </c>
      <c r="F8541" s="5" t="str">
        <f>HYPERLINK("https://dpmzos25m8ivg.cloudfront.net/Documentos/631/99323397687/6319932339768708092023144349.jpg","https://dpmzos25m8ivg.cloudfront.net/Documentos/631/99323397687/6319932339768708092023144349.jpg")</f>
        <v>https://dpmzos25m8ivg.cloudfront.net/Documentos/631/99323397687/6319932339768708092023144349.jpg</v>
      </c>
      <c r="G8541" s="5" t="str">
        <f>HYPERLINK("https://dpmzos25m8ivg.cloudfront.net/Documentos/631/99323397687/6319932339768708092023144403.jpg","https://dpmzos25m8ivg.cloudfront.net/Documentos/631/99323397687/6319932339768708092023144403.jpg")</f>
        <v>https://dpmzos25m8ivg.cloudfront.net/Documentos/631/99323397687/6319932339768708092023144403.jpg</v>
      </c>
      <c r="H8541" s="5" t="s">
        <v>17105</v>
      </c>
    </row>
    <row r="8542" spans="1:8" x14ac:dyDescent="0.25">
      <c r="A8542" s="2" t="s">
        <v>8569</v>
      </c>
      <c r="B8542" s="3" t="s">
        <v>308</v>
      </c>
      <c r="C8542" s="3"/>
      <c r="D8542" s="3"/>
      <c r="E8542" s="5" t="str">
        <f>HYPERLINK("https://dpmzos25m8ivg.cloudfront.net/Documentos/631/99325594315/6319932559431508092023155227.jpg","https://dpmzos25m8ivg.cloudfront.net/Documentos/631/99325594315/6319932559431508092023155227.jpg")</f>
        <v>https://dpmzos25m8ivg.cloudfront.net/Documentos/631/99325594315/6319932559431508092023155227.jpg</v>
      </c>
      <c r="F8542" s="5" t="str">
        <f>HYPERLINK("https://dpmzos25m8ivg.cloudfront.net/Documentos/631/99325594315/6319932559431508092023155143.jpg","https://dpmzos25m8ivg.cloudfront.net/Documentos/631/99325594315/6319932559431508092023155143.jpg")</f>
        <v>https://dpmzos25m8ivg.cloudfront.net/Documentos/631/99325594315/6319932559431508092023155143.jpg</v>
      </c>
      <c r="G8542" s="5" t="str">
        <f>HYPERLINK("https://dpmzos25m8ivg.cloudfront.net/Documentos/631/99325594315/6319932559431508092023154906.jpg","https://dpmzos25m8ivg.cloudfront.net/Documentos/631/99325594315/6319932559431508092023154906.jpg")</f>
        <v>https://dpmzos25m8ivg.cloudfront.net/Documentos/631/99325594315/6319932559431508092023154906.jpg</v>
      </c>
      <c r="H8542" s="5" t="s">
        <v>9010</v>
      </c>
    </row>
    <row r="8543" spans="1:8" x14ac:dyDescent="0.25">
      <c r="A8543" s="2" t="s">
        <v>8570</v>
      </c>
      <c r="B8543" s="3"/>
      <c r="C8543" s="3"/>
      <c r="D8543" s="3"/>
      <c r="E8543" s="5" t="str">
        <f>HYPERLINK("https://dpmzos25m8ivg.cloudfront.net/Documentos/631/99329751334/6319932975133408092023173126.pdf","https://dpmzos25m8ivg.cloudfront.net/Documentos/631/99329751334/6319932975133408092023173126.pdf")</f>
        <v>https://dpmzos25m8ivg.cloudfront.net/Documentos/631/99329751334/6319932975133408092023173126.pdf</v>
      </c>
      <c r="F8543" s="5" t="str">
        <f>HYPERLINK("https://dpmzos25m8ivg.cloudfront.net/Documentos/631/99329751334/6319932975133408092023173154.pdf","https://dpmzos25m8ivg.cloudfront.net/Documentos/631/99329751334/6319932975133408092023173154.pdf")</f>
        <v>https://dpmzos25m8ivg.cloudfront.net/Documentos/631/99329751334/6319932975133408092023173154.pdf</v>
      </c>
      <c r="G8543" s="5" t="str">
        <f>HYPERLINK("https://dpmzos25m8ivg.cloudfront.net/Documentos/631/99329751334/6319932975133408092023173224.pdf","https://dpmzos25m8ivg.cloudfront.net/Documentos/631/99329751334/6319932975133408092023173224.pdf")</f>
        <v>https://dpmzos25m8ivg.cloudfront.net/Documentos/631/99329751334/6319932975133408092023173224.pdf</v>
      </c>
      <c r="H8543" s="5" t="s">
        <v>17106</v>
      </c>
    </row>
    <row r="8544" spans="1:8" x14ac:dyDescent="0.25">
      <c r="A8544" s="2" t="s">
        <v>8571</v>
      </c>
      <c r="B8544" s="3" t="s">
        <v>308</v>
      </c>
      <c r="C8544" s="3"/>
      <c r="D8544" s="3"/>
      <c r="E8544" s="5" t="str">
        <f>HYPERLINK("https://dpmzos25m8ivg.cloudfront.net/Documentos/631/99335840300/6319933584030011092023091123.pdf","https://dpmzos25m8ivg.cloudfront.net/Documentos/631/99335840300/6319933584030011092023091123.pdf")</f>
        <v>https://dpmzos25m8ivg.cloudfront.net/Documentos/631/99335840300/6319933584030011092023091123.pdf</v>
      </c>
      <c r="F8544" s="5" t="str">
        <f>HYPERLINK("https://dpmzos25m8ivg.cloudfront.net/Documentos/631/99335840300/6319933584030011092023091143.pdf","https://dpmzos25m8ivg.cloudfront.net/Documentos/631/99335840300/6319933584030011092023091143.pdf")</f>
        <v>https://dpmzos25m8ivg.cloudfront.net/Documentos/631/99335840300/6319933584030011092023091143.pdf</v>
      </c>
      <c r="G8544" s="5" t="str">
        <f>HYPERLINK("https://dpmzos25m8ivg.cloudfront.net/Documentos/631/99335840300/6319933584030011092023091203.pdf","https://dpmzos25m8ivg.cloudfront.net/Documentos/631/99335840300/6319933584030011092023091203.pdf")</f>
        <v>https://dpmzos25m8ivg.cloudfront.net/Documentos/631/99335840300/6319933584030011092023091203.pdf</v>
      </c>
      <c r="H8544" s="5" t="s">
        <v>17107</v>
      </c>
    </row>
    <row r="8545" spans="1:8" x14ac:dyDescent="0.25">
      <c r="A8545" s="2" t="s">
        <v>8572</v>
      </c>
      <c r="B8545" s="3"/>
      <c r="C8545" s="3"/>
      <c r="D8545" s="3"/>
      <c r="E8545" s="5" t="str">
        <f>HYPERLINK("https://dpmzos25m8ivg.cloudfront.net/Documentos/631/99441810215/6319944181021514092023021029.pdf","https://dpmzos25m8ivg.cloudfront.net/Documentos/631/99441810215/6319944181021514092023021029.pdf")</f>
        <v>https://dpmzos25m8ivg.cloudfront.net/Documentos/631/99441810215/6319944181021514092023021029.pdf</v>
      </c>
      <c r="F8545" s="5" t="str">
        <f>HYPERLINK("https://dpmzos25m8ivg.cloudfront.net/Documentos/631/99441810215/6319944181021514092023021043.pdf","https://dpmzos25m8ivg.cloudfront.net/Documentos/631/99441810215/6319944181021514092023021043.pdf")</f>
        <v>https://dpmzos25m8ivg.cloudfront.net/Documentos/631/99441810215/6319944181021514092023021043.pdf</v>
      </c>
      <c r="G8545" s="5" t="str">
        <f>HYPERLINK("https://dpmzos25m8ivg.cloudfront.net/Documentos/631/99441810215/6319944181021514092023021152.pdf","https://dpmzos25m8ivg.cloudfront.net/Documentos/631/99441810215/6319944181021514092023021152.pdf")</f>
        <v>https://dpmzos25m8ivg.cloudfront.net/Documentos/631/99441810215/6319944181021514092023021152.pdf</v>
      </c>
      <c r="H8545" s="5" t="s">
        <v>17108</v>
      </c>
    </row>
    <row r="8546" spans="1:8" x14ac:dyDescent="0.25">
      <c r="A8546" s="2" t="s">
        <v>8573</v>
      </c>
      <c r="B8546" s="3" t="s">
        <v>90</v>
      </c>
      <c r="C8546" s="3"/>
      <c r="D8546" s="3"/>
      <c r="E8546" s="5" t="str">
        <f>HYPERLINK("https://dpmzos25m8ivg.cloudfront.net/Documentos/631/99445212053/6319944521205313092023141051.pdf","https://dpmzos25m8ivg.cloudfront.net/Documentos/631/99445212053/6319944521205313092023141051.pdf")</f>
        <v>https://dpmzos25m8ivg.cloudfront.net/Documentos/631/99445212053/6319944521205313092023141051.pdf</v>
      </c>
      <c r="F8546" s="5" t="str">
        <f>HYPERLINK("https://dpmzos25m8ivg.cloudfront.net/Documentos/631/99445212053/6319944521205313092023141122.pdf","https://dpmzos25m8ivg.cloudfront.net/Documentos/631/99445212053/6319944521205313092023141122.pdf")</f>
        <v>https://dpmzos25m8ivg.cloudfront.net/Documentos/631/99445212053/6319944521205313092023141122.pdf</v>
      </c>
      <c r="G8546" s="5" t="str">
        <f>HYPERLINK("https://dpmzos25m8ivg.cloudfront.net/Documentos/631/99445212053/6319944521205313092023141140.pdf","https://dpmzos25m8ivg.cloudfront.net/Documentos/631/99445212053/6319944521205313092023141140.pdf")</f>
        <v>https://dpmzos25m8ivg.cloudfront.net/Documentos/631/99445212053/6319944521205313092023141140.pdf</v>
      </c>
      <c r="H8546" s="5" t="s">
        <v>17109</v>
      </c>
    </row>
    <row r="8547" spans="1:8" x14ac:dyDescent="0.25">
      <c r="A8547" s="2" t="s">
        <v>8574</v>
      </c>
      <c r="B8547" s="3"/>
      <c r="C8547" s="3"/>
      <c r="D8547" s="3"/>
      <c r="E8547" s="5" t="str">
        <f>HYPERLINK("https://dpmzos25m8ivg.cloudfront.net/Documentos/631/99458365287/6319945836528714092023160846.pdf","https://dpmzos25m8ivg.cloudfront.net/Documentos/631/99458365287/6319945836528714092023160846.pdf")</f>
        <v>https://dpmzos25m8ivg.cloudfront.net/Documentos/631/99458365287/6319945836528714092023160846.pdf</v>
      </c>
      <c r="F8547" s="5" t="str">
        <f>HYPERLINK("https://dpmzos25m8ivg.cloudfront.net/Documentos/631/99458365287/6319945836528714092023160954.pdf","https://dpmzos25m8ivg.cloudfront.net/Documentos/631/99458365287/6319945836528714092023160954.pdf")</f>
        <v>https://dpmzos25m8ivg.cloudfront.net/Documentos/631/99458365287/6319945836528714092023160954.pdf</v>
      </c>
      <c r="G8547" s="5" t="str">
        <f>HYPERLINK("https://dpmzos25m8ivg.cloudfront.net/Documentos/631/99458365287/6319945836528714092023162636.pdf","https://dpmzos25m8ivg.cloudfront.net/Documentos/631/99458365287/6319945836528714092023162636.pdf")</f>
        <v>https://dpmzos25m8ivg.cloudfront.net/Documentos/631/99458365287/6319945836528714092023162636.pdf</v>
      </c>
      <c r="H8547" s="5" t="s">
        <v>17110</v>
      </c>
    </row>
    <row r="8548" spans="1:8" x14ac:dyDescent="0.25">
      <c r="A8548" s="2" t="s">
        <v>8575</v>
      </c>
      <c r="B8548" s="3" t="s">
        <v>23</v>
      </c>
      <c r="C8548" s="3"/>
      <c r="D8548" s="3"/>
      <c r="E8548" s="5" t="str">
        <f>HYPERLINK("https://dpmzos25m8ivg.cloudfront.net/Documentos/631/99460734200/6319946073420006092023194409.pdf","https://dpmzos25m8ivg.cloudfront.net/Documentos/631/99460734200/6319946073420006092023194409.pdf")</f>
        <v>https://dpmzos25m8ivg.cloudfront.net/Documentos/631/99460734200/6319946073420006092023194409.pdf</v>
      </c>
      <c r="F8548" s="5" t="str">
        <f>HYPERLINK("https://dpmzos25m8ivg.cloudfront.net/Documentos/631/99460734200/6319946073420006092023194432.pdf","https://dpmzos25m8ivg.cloudfront.net/Documentos/631/99460734200/6319946073420006092023194432.pdf")</f>
        <v>https://dpmzos25m8ivg.cloudfront.net/Documentos/631/99460734200/6319946073420006092023194432.pdf</v>
      </c>
      <c r="G8548" s="5" t="str">
        <f>HYPERLINK("https://dpmzos25m8ivg.cloudfront.net/Documentos/631/99460734200/6319946073420006092023194447.pdf","https://dpmzos25m8ivg.cloudfront.net/Documentos/631/99460734200/6319946073420006092023194447.pdf")</f>
        <v>https://dpmzos25m8ivg.cloudfront.net/Documentos/631/99460734200/6319946073420006092023194447.pdf</v>
      </c>
      <c r="H8548" s="5" t="s">
        <v>17111</v>
      </c>
    </row>
    <row r="8549" spans="1:8" x14ac:dyDescent="0.25">
      <c r="A8549" s="2" t="s">
        <v>8576</v>
      </c>
      <c r="B8549" s="3" t="s">
        <v>308</v>
      </c>
      <c r="C8549" s="3"/>
      <c r="D8549" s="3"/>
      <c r="E8549" s="5" t="str">
        <f>HYPERLINK("https://dpmzos25m8ivg.cloudfront.net/Documentos/631/99503654572/6319950365457213092023084607.pdf","https://dpmzos25m8ivg.cloudfront.net/Documentos/631/99503654572/6319950365457213092023084607.pdf")</f>
        <v>https://dpmzos25m8ivg.cloudfront.net/Documentos/631/99503654572/6319950365457213092023084607.pdf</v>
      </c>
      <c r="F8549" s="5" t="str">
        <f>HYPERLINK("https://dpmzos25m8ivg.cloudfront.net/Documentos/631/99503654572/6319950365457213092023084644.pdf","https://dpmzos25m8ivg.cloudfront.net/Documentos/631/99503654572/6319950365457213092023084644.pdf")</f>
        <v>https://dpmzos25m8ivg.cloudfront.net/Documentos/631/99503654572/6319950365457213092023084644.pdf</v>
      </c>
      <c r="G8549" s="5" t="str">
        <f>HYPERLINK("https://dpmzos25m8ivg.cloudfront.net/Documentos/631/99503654572/6319950365457213092023084704.pdf","https://dpmzos25m8ivg.cloudfront.net/Documentos/631/99503654572/6319950365457213092023084704.pdf")</f>
        <v>https://dpmzos25m8ivg.cloudfront.net/Documentos/631/99503654572/6319950365457213092023084704.pdf</v>
      </c>
      <c r="H8549" s="5" t="s">
        <v>17112</v>
      </c>
    </row>
    <row r="8550" spans="1:8" x14ac:dyDescent="0.25">
      <c r="A8550" s="2" t="s">
        <v>8577</v>
      </c>
      <c r="B8550" s="3"/>
      <c r="C8550" s="3"/>
      <c r="D8550" s="3"/>
      <c r="E8550" s="5" t="str">
        <f>HYPERLINK("https://dpmzos25m8ivg.cloudfront.net/Documentos/631/99528134300/6319952813430008092023165420.pdf","https://dpmzos25m8ivg.cloudfront.net/Documentos/631/99528134300/6319952813430008092023165420.pdf")</f>
        <v>https://dpmzos25m8ivg.cloudfront.net/Documentos/631/99528134300/6319952813430008092023165420.pdf</v>
      </c>
      <c r="F8550" s="5" t="str">
        <f>HYPERLINK("https://dpmzos25m8ivg.cloudfront.net/Documentos/631/99528134300/6319952813430008092023165506.pdf","https://dpmzos25m8ivg.cloudfront.net/Documentos/631/99528134300/6319952813430008092023165506.pdf")</f>
        <v>https://dpmzos25m8ivg.cloudfront.net/Documentos/631/99528134300/6319952813430008092023165506.pdf</v>
      </c>
      <c r="G8550" s="5" t="str">
        <f>HYPERLINK("https://dpmzos25m8ivg.cloudfront.net/Documentos/631/99528134300/6319952813430008092023165548.pdf","https://dpmzos25m8ivg.cloudfront.net/Documentos/631/99528134300/6319952813430008092023165548.pdf")</f>
        <v>https://dpmzos25m8ivg.cloudfront.net/Documentos/631/99528134300/6319952813430008092023165548.pdf</v>
      </c>
      <c r="H8550" s="5" t="s">
        <v>17113</v>
      </c>
    </row>
    <row r="8551" spans="1:8" x14ac:dyDescent="0.25">
      <c r="A8551" s="2" t="s">
        <v>8578</v>
      </c>
      <c r="B8551" s="3"/>
      <c r="C8551" s="3"/>
      <c r="D8551" s="3"/>
      <c r="E8551" s="5" t="str">
        <f>HYPERLINK("https://dpmzos25m8ivg.cloudfront.net/Documentos/631/99565021700/6319956502170011092023151241.pdf","https://dpmzos25m8ivg.cloudfront.net/Documentos/631/99565021700/6319956502170011092023151241.pdf")</f>
        <v>https://dpmzos25m8ivg.cloudfront.net/Documentos/631/99565021700/6319956502170011092023151241.pdf</v>
      </c>
      <c r="F8551" s="5" t="str">
        <f>HYPERLINK("https://dpmzos25m8ivg.cloudfront.net/Documentos/631/99565021700/6319956502170011092023151303.pdf","https://dpmzos25m8ivg.cloudfront.net/Documentos/631/99565021700/6319956502170011092023151303.pdf")</f>
        <v>https://dpmzos25m8ivg.cloudfront.net/Documentos/631/99565021700/6319956502170011092023151303.pdf</v>
      </c>
      <c r="G8551" s="5" t="str">
        <f>HYPERLINK("https://dpmzos25m8ivg.cloudfront.net/Documentos/631/99565021700/6319956502170011092023151341.pdf","https://dpmzos25m8ivg.cloudfront.net/Documentos/631/99565021700/6319956502170011092023151341.pdf")</f>
        <v>https://dpmzos25m8ivg.cloudfront.net/Documentos/631/99565021700/6319956502170011092023151341.pdf</v>
      </c>
      <c r="H8551" s="5" t="s">
        <v>17114</v>
      </c>
    </row>
    <row r="8552" spans="1:8" x14ac:dyDescent="0.25">
      <c r="A8552" s="2" t="s">
        <v>8579</v>
      </c>
      <c r="B8552" s="3"/>
      <c r="C8552" s="3"/>
      <c r="D8552" s="3"/>
      <c r="E8552" s="5" t="str">
        <f>HYPERLINK("https://dpmzos25m8ivg.cloudfront.net/Documentos/631/99567547572/6319956754757205092023180613.pdf","https://dpmzos25m8ivg.cloudfront.net/Documentos/631/99567547572/6319956754757205092023180613.pdf")</f>
        <v>https://dpmzos25m8ivg.cloudfront.net/Documentos/631/99567547572/6319956754757205092023180613.pdf</v>
      </c>
      <c r="F8552" s="5" t="str">
        <f>HYPERLINK("https://dpmzos25m8ivg.cloudfront.net/Documentos/631/99567547572/6319956754757205092023180627.pdf","https://dpmzos25m8ivg.cloudfront.net/Documentos/631/99567547572/6319956754757205092023180627.pdf")</f>
        <v>https://dpmzos25m8ivg.cloudfront.net/Documentos/631/99567547572/6319956754757205092023180627.pdf</v>
      </c>
      <c r="G8552" s="5" t="str">
        <f>HYPERLINK("https://dpmzos25m8ivg.cloudfront.net/Documentos/631/99567547572/6319956754757205092023180640.pdf","https://dpmzos25m8ivg.cloudfront.net/Documentos/631/99567547572/6319956754757205092023180640.pdf")</f>
        <v>https://dpmzos25m8ivg.cloudfront.net/Documentos/631/99567547572/6319956754757205092023180640.pdf</v>
      </c>
      <c r="H8552" s="5" t="s">
        <v>17115</v>
      </c>
    </row>
    <row r="8553" spans="1:8" x14ac:dyDescent="0.25">
      <c r="A8553" s="2" t="s">
        <v>8580</v>
      </c>
      <c r="B8553" s="3"/>
      <c r="C8553" s="3"/>
      <c r="D8553" s="3"/>
      <c r="E8553" s="5" t="str">
        <f>HYPERLINK("https://dpmzos25m8ivg.cloudfront.net/Documentos/631/99695529100/6319969552910011092023152545.pdf","https://dpmzos25m8ivg.cloudfront.net/Documentos/631/99695529100/6319969552910011092023152545.pdf")</f>
        <v>https://dpmzos25m8ivg.cloudfront.net/Documentos/631/99695529100/6319969552910011092023152545.pdf</v>
      </c>
      <c r="F8553" s="5" t="str">
        <f>HYPERLINK("https://dpmzos25m8ivg.cloudfront.net/Documentos/631/99695529100/6319969552910011092023152603.pdf","https://dpmzos25m8ivg.cloudfront.net/Documentos/631/99695529100/6319969552910011092023152603.pdf")</f>
        <v>https://dpmzos25m8ivg.cloudfront.net/Documentos/631/99695529100/6319969552910011092023152603.pdf</v>
      </c>
      <c r="G8553" s="5" t="str">
        <f>HYPERLINK("https://dpmzos25m8ivg.cloudfront.net/Documentos/631/99695529100/6319969552910011092023152614.pdf","https://dpmzos25m8ivg.cloudfront.net/Documentos/631/99695529100/6319969552910011092023152614.pdf")</f>
        <v>https://dpmzos25m8ivg.cloudfront.net/Documentos/631/99695529100/6319969552910011092023152614.pdf</v>
      </c>
      <c r="H8553" s="5" t="s">
        <v>17116</v>
      </c>
    </row>
    <row r="8554" spans="1:8" x14ac:dyDescent="0.25">
      <c r="A8554" s="2" t="s">
        <v>8581</v>
      </c>
      <c r="B8554" s="3" t="s">
        <v>312</v>
      </c>
      <c r="C8554" s="3"/>
      <c r="D8554" s="3"/>
      <c r="E8554" s="5" t="str">
        <f>HYPERLINK("https://dpmzos25m8ivg.cloudfront.net/Documentos/631/99696452500/6319969645250005092023131432.pdf","https://dpmzos25m8ivg.cloudfront.net/Documentos/631/99696452500/6319969645250005092023131432.pdf")</f>
        <v>https://dpmzos25m8ivg.cloudfront.net/Documentos/631/99696452500/6319969645250005092023131432.pdf</v>
      </c>
      <c r="F8554" s="5" t="str">
        <f>HYPERLINK("https://dpmzos25m8ivg.cloudfront.net/Documentos/631/99696452500/6319969645250005092023131459.pdf","https://dpmzos25m8ivg.cloudfront.net/Documentos/631/99696452500/6319969645250005092023131459.pdf")</f>
        <v>https://dpmzos25m8ivg.cloudfront.net/Documentos/631/99696452500/6319969645250005092023131459.pdf</v>
      </c>
      <c r="G8554" s="5" t="str">
        <f>HYPERLINK("https://dpmzos25m8ivg.cloudfront.net/Documentos/631/99696452500/6319969645250005092023131626.pdf","https://dpmzos25m8ivg.cloudfront.net/Documentos/631/99696452500/6319969645250005092023131626.pdf")</f>
        <v>https://dpmzos25m8ivg.cloudfront.net/Documentos/631/99696452500/6319969645250005092023131626.pdf</v>
      </c>
      <c r="H8554" s="5" t="s">
        <v>17117</v>
      </c>
    </row>
    <row r="8555" spans="1:8" x14ac:dyDescent="0.25">
      <c r="A8555" s="2" t="s">
        <v>8582</v>
      </c>
      <c r="B8555" s="3" t="s">
        <v>23</v>
      </c>
      <c r="C8555" s="3"/>
      <c r="D8555" s="3"/>
      <c r="E8555" s="5" t="str">
        <f>HYPERLINK("https://dpmzos25m8ivg.cloudfront.net/Documentos/631/99730014272/6319973001427205092023092140.pdf","https://dpmzos25m8ivg.cloudfront.net/Documentos/631/99730014272/6319973001427205092023092140.pdf")</f>
        <v>https://dpmzos25m8ivg.cloudfront.net/Documentos/631/99730014272/6319973001427205092023092140.pdf</v>
      </c>
      <c r="F8555" s="5" t="str">
        <f>HYPERLINK("https://dpmzos25m8ivg.cloudfront.net/Documentos/631/99730014272/6319973001427205092023092235.pdf","https://dpmzos25m8ivg.cloudfront.net/Documentos/631/99730014272/6319973001427205092023092235.pdf")</f>
        <v>https://dpmzos25m8ivg.cloudfront.net/Documentos/631/99730014272/6319973001427205092023092235.pdf</v>
      </c>
      <c r="G8555" s="5" t="str">
        <f>HYPERLINK("https://dpmzos25m8ivg.cloudfront.net/Documentos/631/99730014272/6319973001427205092023092249.pdf","https://dpmzos25m8ivg.cloudfront.net/Documentos/631/99730014272/6319973001427205092023092249.pdf")</f>
        <v>https://dpmzos25m8ivg.cloudfront.net/Documentos/631/99730014272/6319973001427205092023092249.pdf</v>
      </c>
      <c r="H8555" s="5" t="s">
        <v>17118</v>
      </c>
    </row>
    <row r="8556" spans="1:8" x14ac:dyDescent="0.25">
      <c r="A8556" s="2" t="s">
        <v>8583</v>
      </c>
      <c r="B8556" s="3" t="s">
        <v>312</v>
      </c>
      <c r="C8556" s="3"/>
      <c r="D8556" s="3"/>
      <c r="E8556" s="5" t="str">
        <f>HYPERLINK("https://dpmzos25m8ivg.cloudfront.net/Documentos/631/99763117020/6319976311702005092023140141.pdf","https://dpmzos25m8ivg.cloudfront.net/Documentos/631/99763117020/6319976311702005092023140141.pdf")</f>
        <v>https://dpmzos25m8ivg.cloudfront.net/Documentos/631/99763117020/6319976311702005092023140141.pdf</v>
      </c>
      <c r="F8556" s="5" t="str">
        <f>HYPERLINK("https://dpmzos25m8ivg.cloudfront.net/Documentos/631/99763117020/6319976311702005092023140150.pdf","https://dpmzos25m8ivg.cloudfront.net/Documentos/631/99763117020/6319976311702005092023140150.pdf")</f>
        <v>https://dpmzos25m8ivg.cloudfront.net/Documentos/631/99763117020/6319976311702005092023140150.pdf</v>
      </c>
      <c r="G8556" s="5" t="str">
        <f>HYPERLINK("https://dpmzos25m8ivg.cloudfront.net/Documentos/631/99763117020/6319976311702005092023140214.pdf","https://dpmzos25m8ivg.cloudfront.net/Documentos/631/99763117020/6319976311702005092023140214.pdf")</f>
        <v>https://dpmzos25m8ivg.cloudfront.net/Documentos/631/99763117020/6319976311702005092023140214.pdf</v>
      </c>
      <c r="H8556" s="5" t="s">
        <v>17119</v>
      </c>
    </row>
    <row r="8557" spans="1:8" x14ac:dyDescent="0.25">
      <c r="A8557" s="2" t="s">
        <v>8584</v>
      </c>
      <c r="B8557" s="3"/>
      <c r="C8557" s="3"/>
      <c r="D8557" s="3"/>
      <c r="E8557" s="5" t="str">
        <f>HYPERLINK("https://dpmzos25m8ivg.cloudfront.net/Documentos/631/99765578091/6319976557809114092023092539.pdf","https://dpmzos25m8ivg.cloudfront.net/Documentos/631/99765578091/6319976557809114092023092539.pdf")</f>
        <v>https://dpmzos25m8ivg.cloudfront.net/Documentos/631/99765578091/6319976557809114092023092539.pdf</v>
      </c>
      <c r="F8557" s="5" t="str">
        <f>HYPERLINK("https://dpmzos25m8ivg.cloudfront.net/Documentos/631/99765578091/6319976557809114092023092617.pdf","https://dpmzos25m8ivg.cloudfront.net/Documentos/631/99765578091/6319976557809114092023092617.pdf")</f>
        <v>https://dpmzos25m8ivg.cloudfront.net/Documentos/631/99765578091/6319976557809114092023092617.pdf</v>
      </c>
      <c r="G8557" s="5" t="str">
        <f>HYPERLINK("https://dpmzos25m8ivg.cloudfront.net/Documentos/631/99765578091/6319976557809114092023092636.pdf","https://dpmzos25m8ivg.cloudfront.net/Documentos/631/99765578091/6319976557809114092023092636.pdf")</f>
        <v>https://dpmzos25m8ivg.cloudfront.net/Documentos/631/99765578091/6319976557809114092023092636.pdf</v>
      </c>
      <c r="H8557" s="5" t="s">
        <v>17120</v>
      </c>
    </row>
    <row r="8558" spans="1:8" x14ac:dyDescent="0.25">
      <c r="A8558" s="2" t="s">
        <v>8585</v>
      </c>
      <c r="B8558" s="3"/>
      <c r="C8558" s="3"/>
      <c r="D8558" s="3"/>
      <c r="E8558" s="5" t="str">
        <f>HYPERLINK("https://dpmzos25m8ivg.cloudfront.net/Documentos/631/99856905400/6319985690540011092023151258.jpg","https://dpmzos25m8ivg.cloudfront.net/Documentos/631/99856905400/6319985690540011092023151258.jpg")</f>
        <v>https://dpmzos25m8ivg.cloudfront.net/Documentos/631/99856905400/6319985690540011092023151258.jpg</v>
      </c>
      <c r="F8558" s="5" t="str">
        <f>HYPERLINK("https://dpmzos25m8ivg.cloudfront.net/Documentos/631/99856905400/6319985690540011092023151313.jpg","https://dpmzos25m8ivg.cloudfront.net/Documentos/631/99856905400/6319985690540011092023151313.jpg")</f>
        <v>https://dpmzos25m8ivg.cloudfront.net/Documentos/631/99856905400/6319985690540011092023151313.jpg</v>
      </c>
      <c r="G8558" s="5" t="str">
        <f>HYPERLINK("https://dpmzos25m8ivg.cloudfront.net/Documentos/631/99856905400/6319985690540011092023151524.jpg","https://dpmzos25m8ivg.cloudfront.net/Documentos/631/99856905400/6319985690540011092023151524.jpg")</f>
        <v>https://dpmzos25m8ivg.cloudfront.net/Documentos/631/99856905400/6319985690540011092023151524.jpg</v>
      </c>
      <c r="H8558" s="5" t="s">
        <v>17121</v>
      </c>
    </row>
    <row r="8559" spans="1:8" x14ac:dyDescent="0.25">
      <c r="A8559" s="2" t="s">
        <v>8586</v>
      </c>
      <c r="B8559" s="3"/>
      <c r="C8559" s="3"/>
      <c r="D8559" s="3"/>
      <c r="E8559" s="5" t="str">
        <f>HYPERLINK("https://dpmzos25m8ivg.cloudfront.net/Documentos/631/99941708134/6319994170813411092023163724.pdf","https://dpmzos25m8ivg.cloudfront.net/Documentos/631/99941708134/6319994170813411092023163724.pdf")</f>
        <v>https://dpmzos25m8ivg.cloudfront.net/Documentos/631/99941708134/6319994170813411092023163724.pdf</v>
      </c>
      <c r="F8559" s="5" t="str">
        <f>HYPERLINK("https://dpmzos25m8ivg.cloudfront.net/Documentos/631/99941708134/6319994170813411092023163704.pdf","https://dpmzos25m8ivg.cloudfront.net/Documentos/631/99941708134/6319994170813411092023163704.pdf")</f>
        <v>https://dpmzos25m8ivg.cloudfront.net/Documentos/631/99941708134/6319994170813411092023163704.pdf</v>
      </c>
      <c r="G8559" s="5" t="str">
        <f>HYPERLINK("https://dpmzos25m8ivg.cloudfront.net/Documentos/631/99941708134/6319994170813411092023163631.pdf","https://dpmzos25m8ivg.cloudfront.net/Documentos/631/99941708134/6319994170813411092023163631.pdf")</f>
        <v>https://dpmzos25m8ivg.cloudfront.net/Documentos/631/99941708134/6319994170813411092023163631.pdf</v>
      </c>
      <c r="H8559" s="5" t="s">
        <v>17122</v>
      </c>
    </row>
    <row r="8560" spans="1:8" x14ac:dyDescent="0.25">
      <c r="A8560" s="2" t="s">
        <v>8587</v>
      </c>
      <c r="B8560" s="3" t="s">
        <v>90</v>
      </c>
      <c r="C8560" s="3"/>
      <c r="D8560" s="3"/>
      <c r="E8560" s="5" t="str">
        <f>HYPERLINK("https://dpmzos25m8ivg.cloudfront.net/Documentos/631/99990555320/6319999055532006092023173802.jpg","https://dpmzos25m8ivg.cloudfront.net/Documentos/631/99990555320/6319999055532006092023173802.jpg")</f>
        <v>https://dpmzos25m8ivg.cloudfront.net/Documentos/631/99990555320/6319999055532006092023173802.jpg</v>
      </c>
      <c r="F8560" s="5" t="str">
        <f>HYPERLINK("https://dpmzos25m8ivg.cloudfront.net/Documentos/631/99990555320/6319999055532006092023173813.jpg","https://dpmzos25m8ivg.cloudfront.net/Documentos/631/99990555320/6319999055532006092023173813.jpg")</f>
        <v>https://dpmzos25m8ivg.cloudfront.net/Documentos/631/99990555320/6319999055532006092023173813.jpg</v>
      </c>
      <c r="G8560" s="5" t="str">
        <f>HYPERLINK("https://dpmzos25m8ivg.cloudfront.net/Documentos/631/99990555320/6319999055532006092023173823.jpg","https://dpmzos25m8ivg.cloudfront.net/Documentos/631/99990555320/6319999055532006092023173823.jpg")</f>
        <v>https://dpmzos25m8ivg.cloudfront.net/Documentos/631/99990555320/6319999055532006092023173823.jpg</v>
      </c>
      <c r="H8560" s="5" t="s">
        <v>17123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 Pereira Lima</dc:creator>
  <cp:lastModifiedBy>João Lucas Pereira Lima</cp:lastModifiedBy>
  <dcterms:created xsi:type="dcterms:W3CDTF">2023-12-13T17:42:17Z</dcterms:created>
  <dcterms:modified xsi:type="dcterms:W3CDTF">2023-12-13T18:47:10Z</dcterms:modified>
</cp:coreProperties>
</file>